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owth Model" sheetId="1" r:id="rId4"/>
    <sheet state="visible" name="LD Summary" sheetId="2" r:id="rId5"/>
    <sheet state="visible" name="LD Analysis" sheetId="3" r:id="rId6"/>
    <sheet state="visible" name="Assumptions" sheetId="4" r:id="rId7"/>
    <sheet state="visible" name="Summary" sheetId="5" r:id="rId8"/>
    <sheet state="visible" name="RSED National" sheetId="6" r:id="rId9"/>
    <sheet state="visible" name="Regional Roll-up" sheetId="7" r:id="rId10"/>
    <sheet state="visible" name="All Schools Roll-up" sheetId="8" r:id="rId11"/>
    <sheet state="visible" name="RSGen_Walton" sheetId="9" r:id="rId12"/>
    <sheet state="visible" name="Analysis" sheetId="10" r:id="rId13"/>
    <sheet state="visible" name="National Staffing" sheetId="11" r:id="rId14"/>
    <sheet state="visible" name="Bay Area Roll-out" sheetId="12" r:id="rId15"/>
    <sheet state="visible" name="Region office" sheetId="13" r:id="rId16"/>
    <sheet state="visible" name="Generic Region" sheetId="14" r:id="rId17"/>
    <sheet state="visible" name="Grants" sheetId="15" r:id="rId18"/>
    <sheet state="visible" name="Overhead" sheetId="16" r:id="rId19"/>
    <sheet state="visible" name="Cost Structure" sheetId="17" r:id="rId20"/>
    <sheet state="visible" name="RSED Revs" sheetId="18" r:id="rId21"/>
    <sheet state="visible" name="Fundraising" sheetId="19" r:id="rId22"/>
    <sheet state="visible" name="expenses" sheetId="20" r:id="rId23"/>
    <sheet state="visible" name="Exp % Rev" sheetId="21" r:id="rId24"/>
    <sheet state="visible" name="RSED Exp" sheetId="22" r:id="rId25"/>
    <sheet state="visible" name="Graph Data" sheetId="23" r:id="rId26"/>
    <sheet state="visible" name="Region Staffing" sheetId="24" r:id="rId27"/>
    <sheet state="visible" name="RSGen_none" sheetId="25" r:id="rId28"/>
    <sheet state="visible" name="RSGen 1-7" sheetId="26" r:id="rId29"/>
    <sheet state="visible" name="RS1" sheetId="27" r:id="rId30"/>
    <sheet state="visible" name="RS2" sheetId="28" r:id="rId31"/>
    <sheet state="visible" name="RS3" sheetId="29" r:id="rId32"/>
    <sheet state="visible" name="FY10 Projection" sheetId="30" r:id="rId33"/>
    <sheet state="visible" name="FY09 P&amp;L" sheetId="31" r:id="rId34"/>
  </sheets>
  <definedNames>
    <definedName name="Days_RSED2">'RS2'!$K$36</definedName>
    <definedName name="ADA_RSED2">'RS2'!$K$55</definedName>
    <definedName name="Days_RSED1">'RS1'!$K$36</definedName>
    <definedName name="ADA_RSED1">'RS1'!$K$55</definedName>
    <definedName hidden="1" localSheetId="26" name="_xlnm._FilterDatabase">'RS1'!$A$2:$A$400</definedName>
    <definedName hidden="1" localSheetId="27" name="_xlnm._FilterDatabase">'RS2'!$A$2:$A$400</definedName>
    <definedName hidden="1" localSheetId="28" name="_xlnm._FilterDatabase">'RS3'!$A$2:$A$397</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E8">
      <text>
        <t xml:space="preserve">Based on new regions and school openings within regions
	-Rich Billings</t>
      </text>
    </comment>
    <comment authorId="0" ref="E6">
      <text>
        <t xml:space="preserve">Based on Growth Rate
	-Rich Billings</t>
      </text>
    </comment>
  </commentList>
</comments>
</file>

<file path=xl/comments2.xml><?xml version="1.0" encoding="utf-8"?>
<comments xmlns:r="http://schemas.openxmlformats.org/officeDocument/2006/relationships" xmlns="http://schemas.openxmlformats.org/spreadsheetml/2006/main">
  <authors>
    <author/>
  </authors>
  <commentList>
    <comment authorId="0" ref="C55">
      <text>
        <t xml:space="preserve">The remainder is lost to attrition
	-Rich Billings</t>
      </text>
    </comment>
    <comment authorId="0" ref="C20">
      <text>
        <t xml:space="preserve">The remainder is lost to attrition
	-Rich Billings</t>
      </text>
    </comment>
    <comment authorId="0" ref="C19">
      <text>
        <t xml:space="preserve">The remainder is lost to attrition
	-Rich Billings</t>
      </text>
    </comment>
    <comment authorId="0" ref="C32">
      <text>
        <t xml:space="preserve">Percentage of Promotions
	-Rich Billings</t>
      </text>
    </comment>
    <comment authorId="0" ref="C30">
      <text>
        <t xml:space="preserve">Percentage of Promotions
	-Rich Billings</t>
      </text>
    </comment>
    <comment authorId="0" ref="C56">
      <text>
        <t xml:space="preserve">The remainder is lost to attrition
	-Rich Billings</t>
      </text>
    </comment>
  </commentList>
</comments>
</file>

<file path=xl/comments3.xml><?xml version="1.0" encoding="utf-8"?>
<comments xmlns:r="http://schemas.openxmlformats.org/officeDocument/2006/relationships" xmlns="http://schemas.openxmlformats.org/spreadsheetml/2006/main">
  <authors>
    <author/>
  </authors>
  <commentList>
    <comment authorId="0" ref="F75">
      <text>
        <t xml:space="preserve">Needs to generate same refvenue as 8-79 in order to make regional roll-up correct
	-Rich Billings</t>
      </text>
    </comment>
    <comment authorId="0" ref="D75">
      <text>
        <t xml:space="preserve">Must match above to make sure regional office financials don't change
	-Rich Billings</t>
      </text>
    </comment>
  </commentList>
</comments>
</file>

<file path=xl/comments4.xml><?xml version="1.0" encoding="utf-8"?>
<comments xmlns:r="http://schemas.openxmlformats.org/officeDocument/2006/relationships" xmlns="http://schemas.openxmlformats.org/spreadsheetml/2006/main">
  <authors>
    <author/>
  </authors>
  <commentList>
    <comment authorId="0" ref="J21">
      <text>
        <t xml:space="preserve">Assumes $250K of convertible loan
	-Rich Billings</t>
      </text>
    </comment>
    <comment authorId="0" ref="K21">
      <text>
        <t xml:space="preserve">Assumes $500K of convertible loan
	-Rich Billings</t>
      </text>
    </comment>
  </commentList>
</comments>
</file>

<file path=xl/comments5.xml><?xml version="1.0" encoding="utf-8"?>
<comments xmlns:r="http://schemas.openxmlformats.org/officeDocument/2006/relationships" xmlns="http://schemas.openxmlformats.org/spreadsheetml/2006/main">
  <authors>
    <author/>
  </authors>
  <commentList>
    <comment authorId="0" ref="G234">
      <text>
        <t xml:space="preserve">$20/Sq * 200 sqft/HC
	-Rich Billings</t>
      </text>
    </comment>
    <comment authorId="0" ref="G318">
      <text>
        <t xml:space="preserve">Subsidized through national office
	-Rich Billings</t>
      </text>
    </comment>
    <comment authorId="0" ref="M235">
      <text>
        <t xml:space="preserve">System implementation
	-Rich Billings</t>
      </text>
    </comment>
    <comment authorId="0" ref="M236">
      <text>
        <t xml:space="preserve">Implementation
	-Rich Billings</t>
      </text>
    </comment>
    <comment authorId="0" ref="M220">
      <text>
        <t xml:space="preserve">Before payroll manager or HR manager
	-Rich Billings</t>
      </text>
    </comment>
  </commentList>
</comments>
</file>

<file path=xl/comments6.xml><?xml version="1.0" encoding="utf-8"?>
<comments xmlns:r="http://schemas.openxmlformats.org/officeDocument/2006/relationships" xmlns="http://schemas.openxmlformats.org/spreadsheetml/2006/main">
  <authors>
    <author/>
  </authors>
  <commentList>
    <comment authorId="0" ref="F13">
      <text>
        <t xml:space="preserve">Technically, this should be year 1 as this is founding principal
	-Rich Billings</t>
      </text>
    </comment>
  </commentList>
</comments>
</file>

<file path=xl/comments7.xml><?xml version="1.0" encoding="utf-8"?>
<comments xmlns:r="http://schemas.openxmlformats.org/officeDocument/2006/relationships" xmlns="http://schemas.openxmlformats.org/spreadsheetml/2006/main">
  <authors>
    <author/>
  </authors>
  <commentList>
    <comment authorId="0" ref="G185">
      <text>
        <t xml:space="preserve">Error in formula in earlier version had 16 - corrected here
	-Mike Abbott</t>
      </text>
    </comment>
  </commentList>
</comments>
</file>

<file path=xl/comments8.xml><?xml version="1.0" encoding="utf-8"?>
<comments xmlns:r="http://schemas.openxmlformats.org/officeDocument/2006/relationships" xmlns="http://schemas.openxmlformats.org/spreadsheetml/2006/main">
  <authors>
    <author/>
  </authors>
  <commentList>
    <comment authorId="0" ref="J199">
      <text>
        <t xml:space="preserve">Based on FY09 Budget of $74k / 2 (half new students) divided by 160 new students = $231
	-PST</t>
      </text>
    </comment>
    <comment authorId="0" ref="I228">
      <text>
        <t xml:space="preserve">Based on revised depreciation schedule, implementing $5,000 capitalization policy
	-PST</t>
      </text>
    </comment>
    <comment authorId="0" ref="J202">
      <text>
        <t xml:space="preserve">Average of FY08 actuals ($7k / 160 enrollment = $44) and FY09 Budget ($34k / 320 enrollment = $106)…average = $75
	-PST</t>
      </text>
    </comment>
    <comment authorId="0" ref="J203">
      <text>
        <t xml:space="preserve">Average of FY08 actuals ($63k / 108 FRL ADA = $583) and FY09 Budget ($174k / 211 FRL ADA = $825)…average = $704
with a ~3% discount for new RevFoods contract
	-PST</t>
      </text>
    </comment>
    <comment authorId="0" ref="I363">
      <text>
        <t xml:space="preserve">Added Per Audit
	-Mike Abbott</t>
      </text>
    </comment>
    <comment authorId="0" ref="J200">
      <text>
        <t xml:space="preserve">Average of FY08 actuals ($26k / 160 enrollment = $162) and FY09 Budget ($74k / 320 enrollment = $231)…average = $197
	-PST</t>
      </text>
    </comment>
    <comment authorId="0" ref="I215">
      <text>
        <t xml:space="preserve">Fixed cost for each site, starts about 20% of full cost the year before site first opens
	-PST</t>
      </text>
    </comment>
    <comment authorId="0" ref="J197">
      <text>
        <t xml:space="preserve">Weighted average of FY08 actuals and FY09 budget:  (($443 x 1) + ($164 x 2)) / 3 = $257 per enrolled student
	-PST</t>
      </text>
    </comment>
    <comment authorId="0" ref="I229">
      <text>
        <t xml:space="preserve">Includes items like outside service providers, insurance, and printing costs
	-PST</t>
      </text>
    </comment>
    <comment authorId="0" ref="I182">
      <text>
        <t xml:space="preserve">Based on FY09 budget of $99,180 / 15 FTE @ School Level = $6,612
	-PST</t>
      </text>
    </comment>
    <comment authorId="0" ref="I119">
      <text>
        <t xml:space="preserve">Based on FY09 budget of $30,643 / (320 - 211 ADA) = $281
	-PST</t>
      </text>
    </comment>
    <comment authorId="0" ref="J201">
      <text>
        <t xml:space="preserve">Based on FY09 Budget of $34k / 2 (half new students) divided by 160 new students = $106
	-PST</t>
      </text>
    </comment>
  </commentList>
</comments>
</file>

<file path=xl/comments9.xml><?xml version="1.0" encoding="utf-8"?>
<comments xmlns:r="http://schemas.openxmlformats.org/officeDocument/2006/relationships" xmlns="http://schemas.openxmlformats.org/spreadsheetml/2006/main">
  <authors>
    <author/>
  </authors>
  <commentList>
    <comment authorId="0" ref="M182">
      <text>
        <t xml:space="preserve">Based on FY09 budget of $99,180 / 15 FTE @ School Level = $6,612
	-PST</t>
      </text>
    </comment>
    <comment authorId="0" ref="J182">
      <text>
        <t xml:space="preserve">Based on FY09 budget of $99,180 / 15 FTE @ School Level = $6,612
	-PST</t>
      </text>
    </comment>
    <comment authorId="0" ref="J214">
      <text>
        <t xml:space="preserve">Fixed cost for each site, starts about 20% of full cost the year before site first opens
	-PST</t>
      </text>
    </comment>
    <comment authorId="0" ref="J241">
      <text>
        <t xml:space="preserve">again - plugged this back to this year's actuals based on what I have been projecting...
	-Cat Alexander</t>
      </text>
    </comment>
    <comment authorId="0" ref="K134">
      <text>
        <t xml:space="preserve">Formula was not quite working here - was calculating too many teachers
	-Cat Alexander</t>
      </text>
    </comment>
    <comment authorId="0" ref="K182">
      <text>
        <t xml:space="preserve">Based on FY09 budget of $99,180 / 15 FTE @ School Level = $6,612
	-PST</t>
      </text>
    </comment>
    <comment authorId="0" ref="N182">
      <text>
        <t xml:space="preserve">Based on FY09 budget of $99,180 / 15 FTE @ School Level = $6,612
	-PST</t>
      </text>
    </comment>
    <comment authorId="0" ref="L182">
      <text>
        <t xml:space="preserve">Based on FY09 budget of $99,180 / 15 FTE @ School Level = $6,612
	-PST</t>
      </text>
    </comment>
  </commentList>
</comments>
</file>

<file path=xl/comments10.xml><?xml version="1.0" encoding="utf-8"?>
<comments xmlns:r="http://schemas.openxmlformats.org/officeDocument/2006/relationships" xmlns="http://schemas.openxmlformats.org/spreadsheetml/2006/main">
  <authors>
    <author/>
  </authors>
  <commentList>
    <comment authorId="0" ref="K184">
      <text>
        <t xml:space="preserve">Error in formula in earlier version had 16 - corrected here
	-Mike Abbott</t>
      </text>
    </comment>
  </commentList>
</comments>
</file>

<file path=xl/sharedStrings.xml><?xml version="1.0" encoding="utf-8"?>
<sst xmlns="http://schemas.openxmlformats.org/spreadsheetml/2006/main" count="5557" uniqueCount="1729">
  <si>
    <t>Year of Region</t>
  </si>
  <si>
    <t>Open Schools</t>
  </si>
  <si>
    <t>Target Growth Rate</t>
  </si>
  <si>
    <t>Maximum Annual New Schools</t>
  </si>
  <si>
    <t>2010-2011</t>
  </si>
  <si>
    <t>2011-2012</t>
  </si>
  <si>
    <t>2012-2013</t>
  </si>
  <si>
    <t>2013-2014</t>
  </si>
  <si>
    <t>2014-2015</t>
  </si>
  <si>
    <t>Target # Schools</t>
  </si>
  <si>
    <t>Target New Schools</t>
  </si>
  <si>
    <t>Schools (actual)</t>
  </si>
  <si>
    <t>New Regions</t>
  </si>
  <si>
    <t>Total Regions</t>
  </si>
  <si>
    <t>Clusters</t>
  </si>
  <si>
    <t>Growth Rate</t>
  </si>
  <si>
    <t>Max</t>
  </si>
  <si>
    <t>Region</t>
  </si>
  <si>
    <t>Total Open Schools</t>
  </si>
  <si>
    <t>Total Clusters</t>
  </si>
  <si>
    <t>Year of Region-Model</t>
  </si>
  <si>
    <t>Cap</t>
  </si>
  <si>
    <t>Key Assumptions</t>
  </si>
  <si>
    <t>2011&amp;2012</t>
  </si>
  <si>
    <t>2013-2015</t>
  </si>
  <si>
    <t>2016+</t>
  </si>
  <si>
    <t>Principals</t>
  </si>
  <si>
    <t>Deans</t>
  </si>
  <si>
    <t>P2's Promoted to PIT</t>
  </si>
  <si>
    <t>Attrition (years)</t>
  </si>
  <si>
    <t>P2's Retained</t>
  </si>
  <si>
    <t>DIT retained</t>
  </si>
  <si>
    <t>DIT promoted to Deans</t>
  </si>
  <si>
    <t>Takeover Principals</t>
  </si>
  <si>
    <t>P2 retained</t>
  </si>
  <si>
    <t>New Principal Attrition (# Years)</t>
  </si>
  <si>
    <t>P2 promoted to DIT</t>
  </si>
  <si>
    <t>TP Attrition (# years)</t>
  </si>
  <si>
    <t>% of TP  (TPIT)</t>
  </si>
  <si>
    <t>Regional Staff</t>
  </si>
  <si>
    <t>% of TP (Deans)</t>
  </si>
  <si>
    <t>Regional VP</t>
  </si>
  <si>
    <t>year</t>
  </si>
  <si>
    <t>Takeover PIT promoted</t>
  </si>
  <si>
    <t>Regional Director</t>
  </si>
  <si>
    <t>Takeover P2's Retained</t>
  </si>
  <si>
    <t>Takeover P2's Promoted</t>
  </si>
  <si>
    <t>Teachers/year</t>
  </si>
  <si>
    <t>Schools</t>
  </si>
  <si>
    <t>New Principals Needed</t>
  </si>
  <si>
    <t>PITs Needed</t>
  </si>
  <si>
    <t>P2 Principal Trainees Needed</t>
  </si>
  <si>
    <t>Takeover Principals Needed</t>
  </si>
  <si>
    <t>Takeover PITs Needed</t>
  </si>
  <si>
    <t>Deans to Convert to TP Following Year</t>
  </si>
  <si>
    <t>Takeover P2's Needed</t>
  </si>
  <si>
    <t>New Deans Needed</t>
  </si>
  <si>
    <t>DITs Needed</t>
  </si>
  <si>
    <t>P2 Deans Needed</t>
  </si>
  <si>
    <t>Total Teachers (current year)</t>
  </si>
  <si>
    <t>Teachers promoted to PITs</t>
  </si>
  <si>
    <t>Teachers promoted to Deans</t>
  </si>
  <si>
    <t>Teachers promoted to Takeover Principals</t>
  </si>
  <si>
    <t>New Teachers Needed</t>
  </si>
  <si>
    <t>Total LD Participants</t>
  </si>
  <si>
    <t xml:space="preserve">  P4 (Principals)</t>
  </si>
  <si>
    <t xml:space="preserve">  P4 (Deans)</t>
  </si>
  <si>
    <t xml:space="preserve">  P3 PITs/DITs</t>
  </si>
  <si>
    <t xml:space="preserve">  Teachers Promoted into LD (P2)</t>
  </si>
  <si>
    <t>Total LD Participants (excl. PITs)</t>
  </si>
  <si>
    <t>Teachers per school</t>
  </si>
  <si>
    <t>RS1</t>
  </si>
  <si>
    <t>RS2</t>
  </si>
  <si>
    <t>RS3</t>
  </si>
  <si>
    <t>1st Year</t>
  </si>
  <si>
    <t>2nd Year</t>
  </si>
  <si>
    <t>3rd Year</t>
  </si>
  <si>
    <t>Total Teachers</t>
  </si>
  <si>
    <t>Eligible Teachers (excl 1Y TFA)</t>
  </si>
  <si>
    <t>Y</t>
  </si>
  <si>
    <t>% of PY Teachers entering LD</t>
  </si>
  <si>
    <t>R</t>
  </si>
  <si>
    <t>% of Eligible PY Teachers entering LD</t>
  </si>
  <si>
    <t>% of CY Teachers in LD</t>
  </si>
  <si>
    <t>% of Eligible CY Teachers in LD</t>
  </si>
  <si>
    <t>PIT:School Ratio</t>
  </si>
  <si>
    <t>DIT:School Ratio</t>
  </si>
  <si>
    <t>2009-10</t>
  </si>
  <si>
    <t>New Schools</t>
  </si>
  <si>
    <t>Regions</t>
  </si>
  <si>
    <t>FY11&amp;12</t>
  </si>
  <si>
    <t>FY13-15</t>
  </si>
  <si>
    <t>FY16+</t>
  </si>
  <si>
    <t>NEW PRINCIPALS</t>
  </si>
  <si>
    <t>PIT Needed</t>
  </si>
  <si>
    <t>P2</t>
  </si>
  <si>
    <t>New P2's Needed</t>
  </si>
  <si>
    <t>Retained</t>
  </si>
  <si>
    <t>Promoted to PIT Following Year</t>
  </si>
  <si>
    <t>TAKEOVER PRINCIPALS (TP)</t>
  </si>
  <si>
    <t>New Principals in First Year</t>
  </si>
  <si>
    <t>Regional Directors Needed</t>
  </si>
  <si>
    <t>New Principal Attrition (# years)</t>
  </si>
  <si>
    <t>Number of TP Needed</t>
  </si>
  <si>
    <t>TAKEOVER PIT</t>
  </si>
  <si>
    <t>Takeover PIT needed</t>
  </si>
  <si>
    <t>Takeover PIT's promoted</t>
  </si>
  <si>
    <t>Deans Needed</t>
  </si>
  <si>
    <t>Promoted to TP following year</t>
  </si>
  <si>
    <t>P2 for Takeover PIT</t>
  </si>
  <si>
    <t>Retained P2's</t>
  </si>
  <si>
    <t>Promoted to Takeover PIT (following year)</t>
  </si>
  <si>
    <t>DEANS</t>
  </si>
  <si>
    <t>Deans Promoted to TP</t>
  </si>
  <si>
    <t>Attrition</t>
  </si>
  <si>
    <t>DIT</t>
  </si>
  <si>
    <t>DIT's Needed</t>
  </si>
  <si>
    <t>DIT's Promoted to Dean Following Year</t>
  </si>
  <si>
    <t>Promoted to DIT Following Year</t>
  </si>
  <si>
    <t>KEY ASSUMPTIONS</t>
  </si>
  <si>
    <t>NATIONAL OFFICE ASSUMPTIONS</t>
  </si>
  <si>
    <t>Staff Level</t>
  </si>
  <si>
    <t>Salary and Bonus</t>
  </si>
  <si>
    <t>School Roll-Out</t>
  </si>
  <si>
    <t>Staff</t>
  </si>
  <si>
    <t>Year</t>
  </si>
  <si>
    <t>Manager</t>
  </si>
  <si>
    <t>Director</t>
  </si>
  <si>
    <t>VP</t>
  </si>
  <si>
    <t>CVP</t>
  </si>
  <si>
    <t>SVP</t>
  </si>
  <si>
    <t>EVP</t>
  </si>
  <si>
    <t>Chief</t>
  </si>
  <si>
    <t>Benefits</t>
  </si>
  <si>
    <t>Long-term National Office Expenses</t>
  </si>
  <si>
    <t>Department</t>
  </si>
  <si>
    <t>% of School Rev</t>
  </si>
  <si>
    <t>Achievement</t>
  </si>
  <si>
    <t>Operations</t>
  </si>
  <si>
    <t>Empowerment</t>
  </si>
  <si>
    <t>SCHOOL LEVEL ASSUMPTIONS</t>
  </si>
  <si>
    <t>Year 0 Facilities Charge</t>
  </si>
  <si>
    <t>Accounts Receivable</t>
  </si>
  <si>
    <t>of Revenues</t>
  </si>
  <si>
    <t>Equity</t>
  </si>
  <si>
    <t>Accounts Payable</t>
  </si>
  <si>
    <t>of Expenditures</t>
  </si>
  <si>
    <t>Loan</t>
  </si>
  <si>
    <t>Working Capital Loan</t>
  </si>
  <si>
    <t>of Receivables</t>
  </si>
  <si>
    <t>Walton Grant</t>
  </si>
  <si>
    <t>schools</t>
  </si>
  <si>
    <t>Minimum Cash Balance</t>
  </si>
  <si>
    <t>months of cash</t>
  </si>
  <si>
    <t>Expense Contingency</t>
  </si>
  <si>
    <t>of Expenses</t>
  </si>
  <si>
    <t>Year 0</t>
  </si>
  <si>
    <t>Year 1</t>
  </si>
  <si>
    <t>Year 2</t>
  </si>
  <si>
    <t>Year 3</t>
  </si>
  <si>
    <t>Year 4</t>
  </si>
  <si>
    <t>Year 5</t>
  </si>
  <si>
    <t>Year 6</t>
  </si>
  <si>
    <t>Year 7</t>
  </si>
  <si>
    <t>Year 8</t>
  </si>
  <si>
    <t>Enrollment</t>
  </si>
  <si>
    <t>Kindergarten</t>
  </si>
  <si>
    <t>1st Grade</t>
  </si>
  <si>
    <t>2nd Grade</t>
  </si>
  <si>
    <t>3rd Grade</t>
  </si>
  <si>
    <t>4th Grade</t>
  </si>
  <si>
    <t>5th Grade</t>
  </si>
  <si>
    <t>Total</t>
  </si>
  <si>
    <t>Required Teachers</t>
  </si>
  <si>
    <t>Annual Growth Rates</t>
  </si>
  <si>
    <t>2018+</t>
  </si>
  <si>
    <t>State Revenues</t>
  </si>
  <si>
    <t>Federal Revenues</t>
  </si>
  <si>
    <t>Expenses</t>
  </si>
  <si>
    <t>RSED Fees</t>
  </si>
  <si>
    <t>Year -1</t>
  </si>
  <si>
    <t>Schools 1-7</t>
  </si>
  <si>
    <t>National Fee</t>
  </si>
  <si>
    <t>Facilities Fee</t>
  </si>
  <si>
    <t>Regional Fee</t>
  </si>
  <si>
    <t>Consolidated Summary Financials</t>
  </si>
  <si>
    <t>Fiscal Year Ending June 30th</t>
  </si>
  <si>
    <t># of Schools</t>
  </si>
  <si>
    <t># of Regions</t>
  </si>
  <si>
    <t># of Enrolled Students</t>
  </si>
  <si>
    <t>Headcount</t>
  </si>
  <si>
    <t>Summary Financials</t>
  </si>
  <si>
    <t>2008-2009</t>
  </si>
  <si>
    <t>School Financials</t>
  </si>
  <si>
    <t>Net Income</t>
  </si>
  <si>
    <t>Ending Fund Balance</t>
  </si>
  <si>
    <t>Ending Cash Balance</t>
  </si>
  <si>
    <t>National and Regional Financials</t>
  </si>
  <si>
    <t>Fundraising (excl. secured commitments)</t>
  </si>
  <si>
    <t>CSGF (round 2)</t>
  </si>
  <si>
    <t>Regional Expansion Grants - Local ($1MM, yr -1)</t>
  </si>
  <si>
    <t>Regional Expansion Grants - National ($1MM, yr -1)</t>
  </si>
  <si>
    <t>Other Philanthropy</t>
  </si>
  <si>
    <t>Total Fundraising</t>
  </si>
  <si>
    <t>Cumulative Fundraising</t>
  </si>
  <si>
    <t>Revenue</t>
  </si>
  <si>
    <t>Management Fees</t>
  </si>
  <si>
    <t>Fundraising (incl. secured commitments)</t>
  </si>
  <si>
    <t>Other</t>
  </si>
  <si>
    <t>Total Revenue</t>
  </si>
  <si>
    <t>Rocketship Consolidated Financials</t>
  </si>
  <si>
    <t>Public Revenue</t>
  </si>
  <si>
    <t>Fundraising</t>
  </si>
  <si>
    <t>Expenses (Excluding Mgmt Fees)</t>
  </si>
  <si>
    <t>Total Surplus/(Deficit)</t>
  </si>
  <si>
    <t>Total Change In Cash</t>
  </si>
  <si>
    <t>Beginning Balance</t>
  </si>
  <si>
    <t>Fundraising Summary</t>
  </si>
  <si>
    <t>School</t>
  </si>
  <si>
    <t>Hastings (secured)</t>
  </si>
  <si>
    <t>Walton (secured)</t>
  </si>
  <si>
    <t>Walton</t>
  </si>
  <si>
    <t>National and Regional</t>
  </si>
  <si>
    <t>CSGF (round 1-secured)</t>
  </si>
  <si>
    <t>CSGF (round 2-proposed)</t>
  </si>
  <si>
    <t>All School Units</t>
  </si>
  <si>
    <t>Revenues</t>
  </si>
  <si>
    <t>National and Regional Fees</t>
  </si>
  <si>
    <t>Facilities Fees</t>
  </si>
  <si>
    <t>All other operating expenses</t>
  </si>
  <si>
    <t>Other Outgo (interest)</t>
  </si>
  <si>
    <t>Total Expenses</t>
  </si>
  <si>
    <t>Surplus/(Deficit)</t>
  </si>
  <si>
    <t>Change in Cash</t>
  </si>
  <si>
    <t>RSED (National &amp; Bay Area)</t>
  </si>
  <si>
    <t>National and Bay Area</t>
  </si>
  <si>
    <t>National Revenues</t>
  </si>
  <si>
    <t>Bay Area Revenues</t>
  </si>
  <si>
    <t>Fundraising and Other</t>
  </si>
  <si>
    <t>Total Revenues</t>
  </si>
  <si>
    <t>Other Regions (Excluding Bay Area)</t>
  </si>
  <si>
    <t>Balance Sheet</t>
  </si>
  <si>
    <t>Assets</t>
  </si>
  <si>
    <t>Cash</t>
  </si>
  <si>
    <t>Restricted Cash</t>
  </si>
  <si>
    <t>Facilities Deposit</t>
  </si>
  <si>
    <t>Intercompany Loan</t>
  </si>
  <si>
    <t>Equipment</t>
  </si>
  <si>
    <t>Other Assets</t>
  </si>
  <si>
    <t>Total Assets</t>
  </si>
  <si>
    <t>Liabilities and Fund Balance</t>
  </si>
  <si>
    <t>Liabilities - Loans</t>
  </si>
  <si>
    <t>Intercompany Loans</t>
  </si>
  <si>
    <t>Fund Balance</t>
  </si>
  <si>
    <t>Total Liabilities and Fund Balance</t>
  </si>
  <si>
    <t>RSED National Office</t>
  </si>
  <si>
    <t>Notes</t>
  </si>
  <si>
    <t>RSED NATIONAL OFFICE INCOME STATEMENT AND STATISTICS DETAIL</t>
  </si>
  <si>
    <t>Summary Statistics</t>
  </si>
  <si>
    <t>Schools in Operation</t>
  </si>
  <si>
    <t>Regions with Open Schools</t>
  </si>
  <si>
    <t>National Office Expenses (as % of School Revenues)</t>
  </si>
  <si>
    <t>Target</t>
  </si>
  <si>
    <t>School Revenues</t>
  </si>
  <si>
    <t>CEO</t>
  </si>
  <si>
    <t>Business</t>
  </si>
  <si>
    <t>Policy</t>
  </si>
  <si>
    <t>General</t>
  </si>
  <si>
    <t>Tech</t>
  </si>
  <si>
    <t>Total National Office Expenses (as % of school revenues)</t>
  </si>
  <si>
    <t>National</t>
  </si>
  <si>
    <t>Bay Area Region</t>
  </si>
  <si>
    <t>Other Regions</t>
  </si>
  <si>
    <t>Total Headcount</t>
  </si>
  <si>
    <t>COLA Index</t>
  </si>
  <si>
    <t>REVENUES</t>
  </si>
  <si>
    <t>National Fees</t>
  </si>
  <si>
    <t>Regional/Bay Area Fees</t>
  </si>
  <si>
    <t>Salaries</t>
  </si>
  <si>
    <t>Other Expenses</t>
  </si>
  <si>
    <t>Ending Cash Balance (after cash reserves)</t>
  </si>
  <si>
    <t>Income Statement Detail</t>
  </si>
  <si>
    <t>National Licensing and Franchise Fees</t>
  </si>
  <si>
    <t>Bay Area</t>
  </si>
  <si>
    <t>Bay Area Schools</t>
  </si>
  <si>
    <t>Fees/School</t>
  </si>
  <si>
    <t>Yr -1</t>
  </si>
  <si>
    <t>Yr 0</t>
  </si>
  <si>
    <t>Yr 1</t>
  </si>
  <si>
    <t>Yr 2</t>
  </si>
  <si>
    <t>Yr 3</t>
  </si>
  <si>
    <t>Yr 4</t>
  </si>
  <si>
    <t>Yr 5</t>
  </si>
  <si>
    <t>Yr 6</t>
  </si>
  <si>
    <t>Yr 7</t>
  </si>
  <si>
    <t>Yr 8+</t>
  </si>
  <si>
    <t>Schools 4+</t>
  </si>
  <si>
    <t>New School Regional Fees</t>
  </si>
  <si>
    <t>Total Bay Area Regional Fees</t>
  </si>
  <si>
    <t>Total Fees</t>
  </si>
  <si>
    <t>CSGF (round 1)</t>
  </si>
  <si>
    <t>Other Foundations</t>
  </si>
  <si>
    <t>Special Education Revenues</t>
  </si>
  <si>
    <t>Other Revenues</t>
  </si>
  <si>
    <t>EXPENSES</t>
  </si>
  <si>
    <t>COLA</t>
  </si>
  <si>
    <t>Scale Factor</t>
  </si>
  <si>
    <t>Ld</t>
  </si>
  <si>
    <t>Indiv</t>
  </si>
  <si>
    <t>Finance</t>
  </si>
  <si>
    <t>Planning</t>
  </si>
  <si>
    <t>Bay area</t>
  </si>
  <si>
    <t>Total Salaries</t>
  </si>
  <si>
    <t>Total Benefits</t>
  </si>
  <si>
    <t>Other Operating Expenses</t>
  </si>
  <si>
    <t>Total Other Operating Expenses</t>
  </si>
  <si>
    <t>Other Expense Detail</t>
  </si>
  <si>
    <t>Leadership Development</t>
  </si>
  <si>
    <t>staff</t>
  </si>
  <si>
    <t>Outside Consultants</t>
  </si>
  <si>
    <t>annually</t>
  </si>
  <si>
    <t>Prinicpal Consultants</t>
  </si>
  <si>
    <t>new school</t>
  </si>
  <si>
    <t>Travel (PIT takeover week)</t>
  </si>
  <si>
    <t>per staff</t>
  </si>
  <si>
    <t>Conferences and Training</t>
  </si>
  <si>
    <t>per 10 schools</t>
  </si>
  <si>
    <t>Materials</t>
  </si>
  <si>
    <t>Stipends</t>
  </si>
  <si>
    <t>Total Leadership Development</t>
  </si>
  <si>
    <t>Teacher PD Program</t>
  </si>
  <si>
    <t>Teacher Evaluation Tool</t>
  </si>
  <si>
    <t>Assessment Team</t>
  </si>
  <si>
    <t>Stipend</t>
  </si>
  <si>
    <t>Total Teacher PD Program</t>
  </si>
  <si>
    <t>Teacher Recruitment</t>
  </si>
  <si>
    <t>Recruiting Materials</t>
  </si>
  <si>
    <t>Conferences/Job Fairs</t>
  </si>
  <si>
    <t>Advertisements</t>
  </si>
  <si>
    <t>Travel</t>
  </si>
  <si>
    <t>per new school</t>
  </si>
  <si>
    <t>Total Teacher Recruitment</t>
  </si>
  <si>
    <t>Individualization/Curriculum</t>
  </si>
  <si>
    <t>Quickbase</t>
  </si>
  <si>
    <t>RAD/Data Analysis Consultant</t>
  </si>
  <si>
    <t>Consultants</t>
  </si>
  <si>
    <t>Conferences/Trainings</t>
  </si>
  <si>
    <t>Data Consultants</t>
  </si>
  <si>
    <t>PD for Individualization Staff</t>
  </si>
  <si>
    <t>UbD Kits</t>
  </si>
  <si>
    <t>Travel and Other Consulting Expenses</t>
  </si>
  <si>
    <t>RtI Intervention Resources</t>
  </si>
  <si>
    <t>per school</t>
  </si>
  <si>
    <t>Total Individualization/Curriculum</t>
  </si>
  <si>
    <t>Other Achievement Expenses</t>
  </si>
  <si>
    <t>Board Development</t>
  </si>
  <si>
    <t>PACT (one year)</t>
  </si>
  <si>
    <t>per new region</t>
  </si>
  <si>
    <t>Total Achievement</t>
  </si>
  <si>
    <t>Data Entry Consultants</t>
  </si>
  <si>
    <t>OM Bootcamp</t>
  </si>
  <si>
    <t>Logistical Consultants</t>
  </si>
  <si>
    <t>School Opening Materials</t>
  </si>
  <si>
    <t>Student Recruiting</t>
  </si>
  <si>
    <t>3 new schools</t>
  </si>
  <si>
    <t>Legal (general)</t>
  </si>
  <si>
    <t>Legal (charter)</t>
  </si>
  <si>
    <t>charter</t>
  </si>
  <si>
    <t>Powerschool Hosting</t>
  </si>
  <si>
    <t>Powerschool consulting</t>
  </si>
  <si>
    <t>Operations Consultants</t>
  </si>
  <si>
    <t>per region</t>
  </si>
  <si>
    <t>Total Operations</t>
  </si>
  <si>
    <t>Finance and accounting system</t>
  </si>
  <si>
    <t>Dues and Memberships</t>
  </si>
  <si>
    <t>PD</t>
  </si>
  <si>
    <t>Audit</t>
  </si>
  <si>
    <t>Payroll, HR and Finance consultants</t>
  </si>
  <si>
    <t>Total Finance and Accounting</t>
  </si>
  <si>
    <t>Exp staff</t>
  </si>
  <si>
    <t>Travel Planning</t>
  </si>
  <si>
    <t>per reg exp staff</t>
  </si>
  <si>
    <t>per exp region</t>
  </si>
  <si>
    <t>Total Planning</t>
  </si>
  <si>
    <t>Other Business Expenses</t>
  </si>
  <si>
    <t>Total Business</t>
  </si>
  <si>
    <t>Facilities and Furniture Expenses</t>
  </si>
  <si>
    <t>per HC</t>
  </si>
  <si>
    <t>Payroll System</t>
  </si>
  <si>
    <t>HRIS System</t>
  </si>
  <si>
    <t>Benefit Administration</t>
  </si>
  <si>
    <t>Copier Expenses</t>
  </si>
  <si>
    <t>per 30 HC</t>
  </si>
  <si>
    <t>Telecommunication</t>
  </si>
  <si>
    <t>Tech Equipment</t>
  </si>
  <si>
    <t>new EE</t>
  </si>
  <si>
    <t>Interest on Working Capital Loans</t>
  </si>
  <si>
    <t>Office Supplies</t>
  </si>
  <si>
    <t>Other Operating Costs and Contingency</t>
  </si>
  <si>
    <t>Total General</t>
  </si>
  <si>
    <t>Staff Satisfaction</t>
  </si>
  <si>
    <t>Senior Leadership Recruitment</t>
  </si>
  <si>
    <t>Board Retreat</t>
  </si>
  <si>
    <t>Senior Leadership Development</t>
  </si>
  <si>
    <t>Travel and Conferences</t>
  </si>
  <si>
    <t>Total CEO Expenses</t>
  </si>
  <si>
    <t>Fed Lobbying Budget</t>
  </si>
  <si>
    <t>Fed Lobbying Staff</t>
  </si>
  <si>
    <t>Parent Empowerment</t>
  </si>
  <si>
    <t>per Region</t>
  </si>
  <si>
    <t>State Level Lobbying</t>
  </si>
  <si>
    <t>per trailblazer</t>
  </si>
  <si>
    <t>Charters and RE</t>
  </si>
  <si>
    <t>Parent Advocacy</t>
  </si>
  <si>
    <t>Total Policy</t>
  </si>
  <si>
    <t>State level</t>
  </si>
  <si>
    <t xml:space="preserve">Marketing </t>
  </si>
  <si>
    <t>Staff Marketing Budgets</t>
  </si>
  <si>
    <t>Advertising/Sponsorship</t>
  </si>
  <si>
    <t>Graphice Design</t>
  </si>
  <si>
    <t>General Marketing Budget</t>
  </si>
  <si>
    <t>Total Marketing</t>
  </si>
  <si>
    <t>Marketing</t>
  </si>
  <si>
    <t>Development</t>
  </si>
  <si>
    <t>Development Budget</t>
  </si>
  <si>
    <t>Development Staff</t>
  </si>
  <si>
    <t>Total Development</t>
  </si>
  <si>
    <t>Other Policy Expenses</t>
  </si>
  <si>
    <t>Total Policy Expenses</t>
  </si>
  <si>
    <t>HSP</t>
  </si>
  <si>
    <t>LL coordinator stipends</t>
  </si>
  <si>
    <t>Tech R&amp;D Consultants</t>
  </si>
  <si>
    <t>Onling Learning Platform</t>
  </si>
  <si>
    <t>Online Curriculum Development</t>
  </si>
  <si>
    <t>Online Assessments</t>
  </si>
  <si>
    <t>Effectiveness Analysis (SRI)</t>
  </si>
  <si>
    <t>Effectiveness Analysis (other)</t>
  </si>
  <si>
    <t>SIS R&amp;D and Consultants</t>
  </si>
  <si>
    <t>SIS Development</t>
  </si>
  <si>
    <t>Data Warehouse</t>
  </si>
  <si>
    <t>IIP Development</t>
  </si>
  <si>
    <t>User Interface</t>
  </si>
  <si>
    <t>Electronic Student Records</t>
  </si>
  <si>
    <t>Data Integration</t>
  </si>
  <si>
    <t>Total HSP</t>
  </si>
  <si>
    <t>Ongoing Tech</t>
  </si>
  <si>
    <t>Hourly Tech Support</t>
  </si>
  <si>
    <t>Total Ongoing Tech</t>
  </si>
  <si>
    <t>Ongoing Support and R&amp;D</t>
  </si>
  <si>
    <t>Total Tech</t>
  </si>
  <si>
    <t>Bay Area Expenses</t>
  </si>
  <si>
    <t>Materials and Supplies</t>
  </si>
  <si>
    <t>Supplies</t>
  </si>
  <si>
    <t>Per HC</t>
  </si>
  <si>
    <t>Per new HC</t>
  </si>
  <si>
    <t>Total Materials and Supplies</t>
  </si>
  <si>
    <t>Advocacy</t>
  </si>
  <si>
    <t>per year</t>
  </si>
  <si>
    <t>Prof. Development</t>
  </si>
  <si>
    <t>Rent and Copy Machine</t>
  </si>
  <si>
    <t>Other Fixed Op Ex</t>
  </si>
  <si>
    <t>Other Variable Op Ex</t>
  </si>
  <si>
    <t>Total Bay Area Expenses</t>
  </si>
  <si>
    <t>Cash Flow Detail</t>
  </si>
  <si>
    <t>Operating Activities</t>
  </si>
  <si>
    <t>Depreciation</t>
  </si>
  <si>
    <t>Amortization of Loan Fees</t>
  </si>
  <si>
    <t>(Increase) decrease in A/R</t>
  </si>
  <si>
    <t>Increase (decrease) in A/E net of Prepaid exp</t>
  </si>
  <si>
    <t>Total Operating Cash Flow</t>
  </si>
  <si>
    <t>Investing Activities</t>
  </si>
  <si>
    <t>Loan to LLC</t>
  </si>
  <si>
    <t>(Capital Expenditures)</t>
  </si>
  <si>
    <t>Total Investing Activities</t>
  </si>
  <si>
    <t>Financing Activities</t>
  </si>
  <si>
    <t>Change in Loans</t>
  </si>
  <si>
    <t>CSGF Loan</t>
  </si>
  <si>
    <t>Walton Loan</t>
  </si>
  <si>
    <t>LOC</t>
  </si>
  <si>
    <t>Intra-Company Loan</t>
  </si>
  <si>
    <t>Facilities Loan</t>
  </si>
  <si>
    <t>(Facility Equity Contribution)</t>
  </si>
  <si>
    <t>Total Financing Activities</t>
  </si>
  <si>
    <t>TOTAL CHANGE IN CASH</t>
  </si>
  <si>
    <t>ENDING CASH BALANCE</t>
  </si>
  <si>
    <t>Debt Levels and Intercompany Loans</t>
  </si>
  <si>
    <t>CSGF Loans</t>
  </si>
  <si>
    <t>Initial Balance</t>
  </si>
  <si>
    <t>Additions</t>
  </si>
  <si>
    <t>Interest</t>
  </si>
  <si>
    <t>Mandatory Paydowns</t>
  </si>
  <si>
    <t>Ending Balance</t>
  </si>
  <si>
    <t>Working Capital LOC</t>
  </si>
  <si>
    <t>Walton/CSGF Loans</t>
  </si>
  <si>
    <t>Total Debt</t>
  </si>
  <si>
    <t>Change in Balance</t>
  </si>
  <si>
    <t>BALANCE SHEET</t>
  </si>
  <si>
    <t>Available Cash</t>
  </si>
  <si>
    <t>Cash restrictred for working capital</t>
  </si>
  <si>
    <t>Facility Deposit</t>
  </si>
  <si>
    <t>Current Liabilities</t>
  </si>
  <si>
    <t>Regional Roll Up (Excluding Bay Area)</t>
  </si>
  <si>
    <t>Regional Roll-up</t>
  </si>
  <si>
    <t>Schools in New Regions</t>
  </si>
  <si>
    <t>New Regions with Open Schools</t>
  </si>
  <si>
    <t>Income Statement</t>
  </si>
  <si>
    <t>Regional Management Fees</t>
  </si>
  <si>
    <t>Expansion Grants-Local Source ($1MM, 2 yrs before)</t>
  </si>
  <si>
    <t>Expansion Grants-National Source ($1MM, 2 yrs before)</t>
  </si>
  <si>
    <t>Other Revenue</t>
  </si>
  <si>
    <t>Books, Supplies and Equipment</t>
  </si>
  <si>
    <t>Backup to Income Statement</t>
  </si>
  <si>
    <t>Regional Revenues</t>
  </si>
  <si>
    <t>School Regional Fees</t>
  </si>
  <si>
    <t>Bay Area Regional Revenues</t>
  </si>
  <si>
    <t>Yr</t>
  </si>
  <si>
    <t>Regionals with Open Schools</t>
  </si>
  <si>
    <t>Schools per Year</t>
  </si>
  <si>
    <t>Fundraising Revenues by Year</t>
  </si>
  <si>
    <t>Salaries by Year</t>
  </si>
  <si>
    <t>Books, Supplies and Equipment per Year</t>
  </si>
  <si>
    <t>Total Books, Supplies and Equipment</t>
  </si>
  <si>
    <t>Operating Expenses per Year</t>
  </si>
  <si>
    <t>Headcount per year</t>
  </si>
  <si>
    <t>All Schools Roll-up</t>
  </si>
  <si>
    <t>Note:  This tab consolidates RS1, RS2, RS3 &amp; all forecasted schools (generic)</t>
  </si>
  <si>
    <t>SCHOOL METRICS</t>
  </si>
  <si>
    <t>Site Location Phase (2 yrs before start)</t>
  </si>
  <si>
    <t>Pre-startup schools</t>
  </si>
  <si>
    <t>Year 1 Schools</t>
  </si>
  <si>
    <t>Year 2 Schools</t>
  </si>
  <si>
    <t>Year 3 Schools</t>
  </si>
  <si>
    <t>Year 4 Schools</t>
  </si>
  <si>
    <t>Year 5 Schools</t>
  </si>
  <si>
    <t>Year 6 Schools</t>
  </si>
  <si>
    <t>Year 7 Schools</t>
  </si>
  <si>
    <t>Year 8+ Schools</t>
  </si>
  <si>
    <t>Total Schools in operation</t>
  </si>
  <si>
    <t>Average Daily Attendance (Total)</t>
  </si>
  <si>
    <t>INCOME STATEMENT</t>
  </si>
  <si>
    <t>RS1 only</t>
  </si>
  <si>
    <t>RS1 + RS2</t>
  </si>
  <si>
    <t xml:space="preserve">   RS1, RS2, RS3</t>
  </si>
  <si>
    <t>ALL&amp; Generic</t>
  </si>
  <si>
    <t>State Revenue</t>
  </si>
  <si>
    <t>Federal Revenue</t>
  </si>
  <si>
    <t>Local Revenues</t>
  </si>
  <si>
    <t>Grants</t>
  </si>
  <si>
    <t>TOTAL SCHOOL UNIT REVENUE</t>
  </si>
  <si>
    <t>Salaries &amp; Wages</t>
  </si>
  <si>
    <t>Books, Supplies, Equipment &amp; Food</t>
  </si>
  <si>
    <t>Operating Expenses:</t>
  </si>
  <si>
    <t>RSED School Services Fee:</t>
  </si>
  <si>
    <t xml:space="preserve">   Facilities Charge to LLC</t>
  </si>
  <si>
    <t>Consultants &amp; Other Operating Expenses</t>
  </si>
  <si>
    <t>Other Outgo</t>
  </si>
  <si>
    <t>Loan Interest</t>
  </si>
  <si>
    <t>CDE Revolving Loan Fund</t>
  </si>
  <si>
    <t>Intra-company Loan</t>
  </si>
  <si>
    <t>Contingency</t>
  </si>
  <si>
    <t>TOTAL SCHOOL UNIT EXPENSES</t>
  </si>
  <si>
    <t>BUDGET SURPLUS/(DEFICIT)</t>
  </si>
  <si>
    <t>CASH FLOW</t>
  </si>
  <si>
    <t>CapEx</t>
  </si>
  <si>
    <t>Security Deposit</t>
  </si>
  <si>
    <t>Change in Principal Balances</t>
  </si>
  <si>
    <t>Convertible Loan Additions</t>
  </si>
  <si>
    <t>Convertible Loan Repayments</t>
  </si>
  <si>
    <t>Intercompany Loan Changes</t>
  </si>
  <si>
    <t>Working Capital Loan Changes</t>
  </si>
  <si>
    <t>Facility Security Deposit</t>
  </si>
  <si>
    <t>COLA and Growth Factors Used for Roll-up above</t>
  </si>
  <si>
    <t>COLA and Growth Rates</t>
  </si>
  <si>
    <t>State Funding COLA</t>
  </si>
  <si>
    <t>Federal Funding COLA</t>
  </si>
  <si>
    <t>Federal Startup Funding COLA</t>
  </si>
  <si>
    <t>Salary Growth</t>
  </si>
  <si>
    <t>Health Benefits Growth</t>
  </si>
  <si>
    <t>Expenses Growth</t>
  </si>
  <si>
    <t>Scale Factor (State)</t>
  </si>
  <si>
    <t>Scale Factor (Federal)</t>
  </si>
  <si>
    <t>Scale Factor (Federal - V(b))</t>
  </si>
  <si>
    <t>Scale Factor (Salary)</t>
  </si>
  <si>
    <t>Scale Factor (Health)</t>
  </si>
  <si>
    <t>Scale Factor (Expenses)</t>
  </si>
  <si>
    <t>Sections below do not include RS1, RS2 and RS3</t>
  </si>
  <si>
    <t>which are added in to lines above</t>
  </si>
  <si>
    <t>School Start</t>
  </si>
  <si>
    <t>YR-1</t>
  </si>
  <si>
    <t>Yr 8</t>
  </si>
  <si>
    <t>Total State Revenue</t>
  </si>
  <si>
    <t>Total Fedetal Revenue</t>
  </si>
  <si>
    <t>YR - 1</t>
  </si>
  <si>
    <t>Total Other Revenues</t>
  </si>
  <si>
    <t>Salaries and wages</t>
  </si>
  <si>
    <t>Yr 8 +</t>
  </si>
  <si>
    <t>Total Salaries and Wages</t>
  </si>
  <si>
    <t>Books &amp; Supplies</t>
  </si>
  <si>
    <t>Total Books and Supplies</t>
  </si>
  <si>
    <t>Management Fees to RSED</t>
  </si>
  <si>
    <t>Total National fees to RSED</t>
  </si>
  <si>
    <t>Regional Fees</t>
  </si>
  <si>
    <t>Total Management Fees to Regional offices</t>
  </si>
  <si>
    <t>Facilities Fees to RSED</t>
  </si>
  <si>
    <t>Yr - 1</t>
  </si>
  <si>
    <t>Total Facilities Fees</t>
  </si>
  <si>
    <t>All Other Operating Expenses</t>
  </si>
  <si>
    <t>Auth Oversight</t>
  </si>
  <si>
    <t>SPED</t>
  </si>
  <si>
    <t>CDE Interest</t>
  </si>
  <si>
    <t>Convertible Loan Interest</t>
  </si>
  <si>
    <t>Working Capital Loan Interest</t>
  </si>
  <si>
    <t>LLC Loan</t>
  </si>
  <si>
    <t>CDE Loan</t>
  </si>
  <si>
    <t>Convertible Loan</t>
  </si>
  <si>
    <t>Yr-1</t>
  </si>
  <si>
    <t>InterCompany Loans</t>
  </si>
  <si>
    <t>Working Capital Loans</t>
  </si>
  <si>
    <t>Enrollment (Generic Only)</t>
  </si>
  <si>
    <t>Total Enrollment</t>
  </si>
  <si>
    <t>ADA (Generic Only)</t>
  </si>
  <si>
    <t>Total ADA</t>
  </si>
  <si>
    <t>Receivables</t>
  </si>
  <si>
    <t>Payables</t>
  </si>
  <si>
    <t>Year of School Operation</t>
  </si>
  <si>
    <t>Grant Revenue</t>
  </si>
  <si>
    <t>Operating Expenses</t>
  </si>
  <si>
    <t>RSED National Fee</t>
  </si>
  <si>
    <t>RSED Regional Fee</t>
  </si>
  <si>
    <t>LP Facility Fee</t>
  </si>
  <si>
    <t>Reserve Balance (% of Expenses)</t>
  </si>
  <si>
    <t>Cumulative Contingency Reserve</t>
  </si>
  <si>
    <t>Reserve Balance incl Contingency</t>
  </si>
  <si>
    <t>Year End Working Capital LOC</t>
  </si>
  <si>
    <t>ENROLLMENT AND ATTENDANCE VARIABLES</t>
  </si>
  <si>
    <t>Length of School Year</t>
  </si>
  <si>
    <t>Learning Lab Hours Per Day</t>
  </si>
  <si>
    <t>Change in Enrollment</t>
  </si>
  <si>
    <t>Enrollment for Revenue Calculations</t>
  </si>
  <si>
    <t>Average Daily Attendance (%)</t>
  </si>
  <si>
    <t>K -3rd</t>
  </si>
  <si>
    <t>4th - 5th</t>
  </si>
  <si>
    <t>Free and Reduced Meals Students (%)</t>
  </si>
  <si>
    <t>Free and Reduced Meals Students (Enrollment)</t>
  </si>
  <si>
    <t>Participation Rate - Breakfast</t>
  </si>
  <si>
    <t>Participation Rate - Lunch</t>
  </si>
  <si>
    <t>Free and Reduced Breakfast Students (Participating)</t>
  </si>
  <si>
    <t>Free and Reduced Breakfast Students (Participating ADA)</t>
  </si>
  <si>
    <t>Free and Reduced Breakfast Students (ADA)</t>
  </si>
  <si>
    <t>Free and Reduced Lunch Students (Participating)</t>
  </si>
  <si>
    <t>Free and Reduced Lunch Students (Participating ADA)</t>
  </si>
  <si>
    <t>Free and Reduced Lunch Students (ADA)</t>
  </si>
  <si>
    <t>Federal Poverty Students (%)</t>
  </si>
  <si>
    <t>Federal Poverty Students (Enrollment)</t>
  </si>
  <si>
    <t>Federal Poverty Students (ADA)</t>
  </si>
  <si>
    <t>English Language Learners (%)</t>
  </si>
  <si>
    <t>English Language Learners (Enrollment)</t>
  </si>
  <si>
    <t>English Language Learners (ADA)</t>
  </si>
  <si>
    <t>EIA Disadvantaged Pupil Count (w/conc factor)</t>
  </si>
  <si>
    <t>Special Education Students (%)</t>
  </si>
  <si>
    <t>Special Education Students (Enrollment)</t>
  </si>
  <si>
    <t>Special Education Students (ADA)</t>
  </si>
  <si>
    <t>SHI (Students Eligible for Uncapped Program)</t>
  </si>
  <si>
    <t>SHI (Hours Per Eligible Student)</t>
  </si>
  <si>
    <t>SHI (Total Hours)</t>
  </si>
  <si>
    <t>REVENUE VARIABLES</t>
  </si>
  <si>
    <t>State Funding</t>
  </si>
  <si>
    <t>General Purpose Block Grant (K-3)</t>
  </si>
  <si>
    <t>General Purpose Block Grant (4-5)</t>
  </si>
  <si>
    <t>Categorical Block Grant</t>
  </si>
  <si>
    <t xml:space="preserve">Economic Impact Aid </t>
  </si>
  <si>
    <t>Class Size Reduction</t>
  </si>
  <si>
    <t>Kinder</t>
  </si>
  <si>
    <t>1st</t>
  </si>
  <si>
    <t xml:space="preserve">2nd </t>
  </si>
  <si>
    <t>3rd</t>
  </si>
  <si>
    <t>Supplemental Hourly Instruction</t>
  </si>
  <si>
    <t>Lottery - Unrestricted</t>
  </si>
  <si>
    <t>Lottery - Restricted for Instructional Materials</t>
  </si>
  <si>
    <t>SPED Funding</t>
  </si>
  <si>
    <t>SB740 Facilities Subsidy</t>
  </si>
  <si>
    <t>Other State Funding 1</t>
  </si>
  <si>
    <t>Other State Funding 2</t>
  </si>
  <si>
    <t>Other State Funding 3</t>
  </si>
  <si>
    <t>Other State Funding 4</t>
  </si>
  <si>
    <t>Federal Funding</t>
  </si>
  <si>
    <t>Title I Compensatory Education</t>
  </si>
  <si>
    <t>National School Lunch Program (% of expenses)</t>
  </si>
  <si>
    <t>School Breakfast Program</t>
  </si>
  <si>
    <t>Title III</t>
  </si>
  <si>
    <t>Other Federal Funding 2</t>
  </si>
  <si>
    <t>Other Federal Funding 3</t>
  </si>
  <si>
    <t>Fundraising / Other</t>
  </si>
  <si>
    <t>Loss from Food Program</t>
  </si>
  <si>
    <t>Uniform Fees from Students</t>
  </si>
  <si>
    <t>LL &amp; RTI Offset from SPED</t>
  </si>
  <si>
    <t>Interest Rate on Cash Balances</t>
  </si>
  <si>
    <t>STAFFING VARIABLES</t>
  </si>
  <si>
    <t>School Staffing</t>
  </si>
  <si>
    <t>K</t>
  </si>
  <si>
    <t>Certificated Administrator FTEs</t>
  </si>
  <si>
    <t>Principal</t>
  </si>
  <si>
    <t>Academic Dean</t>
  </si>
  <si>
    <t>Other Certificated Administrator #2</t>
  </si>
  <si>
    <t>Total Certificated Administrator FTEs</t>
  </si>
  <si>
    <t>Certificated Teaching Staff FTEs</t>
  </si>
  <si>
    <t>Associate Teachers (TFA)</t>
  </si>
  <si>
    <t>Teachers</t>
  </si>
  <si>
    <t>Other Certificated Teaching Staff #1</t>
  </si>
  <si>
    <t>Total Certificated Teaching Staff FTEs</t>
  </si>
  <si>
    <t>Classified Staff FTEs</t>
  </si>
  <si>
    <t>Office Manager</t>
  </si>
  <si>
    <t>Learning Lab Coordinators</t>
  </si>
  <si>
    <t>Lunch Workers</t>
  </si>
  <si>
    <t>RtI Tutors</t>
  </si>
  <si>
    <t>Total Classified Staff FTEs</t>
  </si>
  <si>
    <t>Total Certificated FTEs</t>
  </si>
  <si>
    <t>Total Classified FTEs</t>
  </si>
  <si>
    <t>Total FTEs</t>
  </si>
  <si>
    <t>Growth in FTEs</t>
  </si>
  <si>
    <t xml:space="preserve">Salary Growth </t>
  </si>
  <si>
    <t>Other Certificated Administrator #1</t>
  </si>
  <si>
    <t>Associate Teachers</t>
  </si>
  <si>
    <t>Substitute Teacher (Daily Rate)</t>
  </si>
  <si>
    <t>Multi-Purpose Room Coordinator</t>
  </si>
  <si>
    <t>Bonus</t>
  </si>
  <si>
    <t>Salaried employee bonus rate</t>
  </si>
  <si>
    <t>Average performance attainment</t>
  </si>
  <si>
    <t>Incremental Bonuses for Principal and AD (10%)</t>
  </si>
  <si>
    <t>Health Benefits Cost Per Employee</t>
  </si>
  <si>
    <t>Employees Eligible for Health Benefits</t>
  </si>
  <si>
    <t>Workers Compensation</t>
  </si>
  <si>
    <t xml:space="preserve">Unemployment </t>
  </si>
  <si>
    <t>Medicare</t>
  </si>
  <si>
    <t>Retirement - Certificated Staff</t>
  </si>
  <si>
    <t>Retirement - Classified Staff</t>
  </si>
  <si>
    <t>Disability</t>
  </si>
  <si>
    <t>Life Insurance</t>
  </si>
  <si>
    <t>EXPENSE VARIABLES</t>
  </si>
  <si>
    <t>Expense Growth / parallel with COLAs above</t>
  </si>
  <si>
    <t>Office Supplies (per student)</t>
  </si>
  <si>
    <t>Saftey Materials and Other Equip (per new student)</t>
  </si>
  <si>
    <t>Instructional Materials (per teacher)</t>
  </si>
  <si>
    <t>Curriculum (per student)</t>
  </si>
  <si>
    <t>Textbooks and Core Curriculum (per new student)</t>
  </si>
  <si>
    <t>Levelled Library</t>
  </si>
  <si>
    <t>Assessments</t>
  </si>
  <si>
    <t>Online Learning and Other Software (per student)</t>
  </si>
  <si>
    <t>Furniture and Equipment</t>
  </si>
  <si>
    <t>Staff Computers and Equipment (per new staff)</t>
  </si>
  <si>
    <t>Food (per FRL ADA)</t>
  </si>
  <si>
    <t>Teacher Recruitment and Certification (per TFA)</t>
  </si>
  <si>
    <t>Professional Development (per TEACHER)</t>
  </si>
  <si>
    <t>Special Education Offset (per student)</t>
  </si>
  <si>
    <t>Sports for Kids</t>
  </si>
  <si>
    <t>Facilities Maintenance, Custodial, Utilities</t>
  </si>
  <si>
    <t>Substitutes (per Teacher)</t>
  </si>
  <si>
    <t>Other Fixed Op Ex (per year)</t>
  </si>
  <si>
    <t>Copier Lease</t>
  </si>
  <si>
    <t>Legal</t>
  </si>
  <si>
    <t>Technology Consultant</t>
  </si>
  <si>
    <t>Marketing / Development</t>
  </si>
  <si>
    <t>Transportation</t>
  </si>
  <si>
    <t>Banking</t>
  </si>
  <si>
    <t>Staff Appreciation</t>
  </si>
  <si>
    <t>Nurse Evaluation</t>
  </si>
  <si>
    <t>Depreciation &amp; Amortization</t>
  </si>
  <si>
    <t>Other Variable Op Ex (per ALL students)</t>
  </si>
  <si>
    <t>Dues &amp; Memberships</t>
  </si>
  <si>
    <t>Insurance</t>
  </si>
  <si>
    <t>Printing &amp; Copying</t>
  </si>
  <si>
    <t>Postage &amp; Shipping</t>
  </si>
  <si>
    <t>Payroll Services</t>
  </si>
  <si>
    <t>Fingerprinting / TB Testing</t>
  </si>
  <si>
    <t>Other Professional Services</t>
  </si>
  <si>
    <t>Capital Expenses</t>
  </si>
  <si>
    <t>RSED Fee Structure</t>
  </si>
  <si>
    <t>Total RSED Charges</t>
  </si>
  <si>
    <t>Facilities Repair &amp; Maintenance Reserve Contribution</t>
  </si>
  <si>
    <t>Authorizor Oversight Fee</t>
  </si>
  <si>
    <t>Interest Rate on CDE Revolving Loan Fund</t>
  </si>
  <si>
    <t>Amount of Loan</t>
  </si>
  <si>
    <t>Interest Rate on Convertible Loan</t>
  </si>
  <si>
    <t>Interest Rate on Working Capital Loan</t>
  </si>
  <si>
    <t>Contingency (% of total expenses)</t>
  </si>
  <si>
    <t>General Purpose Block Grant</t>
  </si>
  <si>
    <t>Lottery</t>
  </si>
  <si>
    <t>SPED (Federal Entitlement) Funding</t>
  </si>
  <si>
    <t xml:space="preserve">Title I </t>
  </si>
  <si>
    <t>National School Lunch Program</t>
  </si>
  <si>
    <t>Title II</t>
  </si>
  <si>
    <t>Federal Startup Grant (Title Vb)</t>
  </si>
  <si>
    <t>Total Federal Revenue</t>
  </si>
  <si>
    <t>Start up Grants</t>
  </si>
  <si>
    <t>Walton Startup Grant</t>
  </si>
  <si>
    <t>Startup Fundraising (Hastings)</t>
  </si>
  <si>
    <t>School Fundraising</t>
  </si>
  <si>
    <t>Total Grants and Fundraising</t>
  </si>
  <si>
    <t>Food Service Income</t>
  </si>
  <si>
    <t>Total Other Revenue</t>
  </si>
  <si>
    <t>TOTAL REVENUE</t>
  </si>
  <si>
    <t>Certificated Salaries</t>
  </si>
  <si>
    <t xml:space="preserve">Proforma Adjustment </t>
  </si>
  <si>
    <t>Substitute Teachers</t>
  </si>
  <si>
    <t>Total Certificated Salaries</t>
  </si>
  <si>
    <t>Classified Salaries</t>
  </si>
  <si>
    <t>Total Classified Salaries</t>
  </si>
  <si>
    <t>Bonuses</t>
  </si>
  <si>
    <t xml:space="preserve">Benefits </t>
  </si>
  <si>
    <t>Medical, Dental, Vision</t>
  </si>
  <si>
    <t>Unemployment  Insurance</t>
  </si>
  <si>
    <t>Books, Supplies, Equipment and Food</t>
  </si>
  <si>
    <t>Office Supplies and Safety Materials</t>
  </si>
  <si>
    <t>Instructional Materials</t>
  </si>
  <si>
    <t>Curriculum, Assessment, Library</t>
  </si>
  <si>
    <t>Online Learning and Other Software</t>
  </si>
  <si>
    <t>Equipment (All Computers &amp; Furniture)</t>
  </si>
  <si>
    <t xml:space="preserve">Food </t>
  </si>
  <si>
    <t>Total Books, Supplies, Equipment and Food</t>
  </si>
  <si>
    <t>Teacher Recruitment &amp; Certification</t>
  </si>
  <si>
    <t xml:space="preserve">Professional Development </t>
  </si>
  <si>
    <t xml:space="preserve">Special Education Services </t>
  </si>
  <si>
    <t>Substitutes</t>
  </si>
  <si>
    <t>Other Fixed Operating Expenses:</t>
  </si>
  <si>
    <t>Equipment Lease (Copier)</t>
  </si>
  <si>
    <t>Transportation (Field Trips)</t>
  </si>
  <si>
    <t xml:space="preserve">Communications </t>
  </si>
  <si>
    <t>Other Variable Operating Expenses:</t>
  </si>
  <si>
    <t>Other Miscellaneous</t>
  </si>
  <si>
    <t>Non-recurring operating expenses:</t>
  </si>
  <si>
    <t>Other Consulting</t>
  </si>
  <si>
    <t xml:space="preserve">   Educational Consultants</t>
  </si>
  <si>
    <t xml:space="preserve">   Accounting Consultants</t>
  </si>
  <si>
    <t xml:space="preserve">   Legal Fees</t>
  </si>
  <si>
    <t xml:space="preserve">   Operational Consultant</t>
  </si>
  <si>
    <t xml:space="preserve">Unspecified Professional Services </t>
  </si>
  <si>
    <t>RSED School Services Fee Components</t>
  </si>
  <si>
    <t>Facilities Charge</t>
  </si>
  <si>
    <t>RSED School Services Fee Total</t>
  </si>
  <si>
    <t>Total Operating Expenses</t>
  </si>
  <si>
    <t>Authorizer Oversight Fee</t>
  </si>
  <si>
    <t xml:space="preserve">SPED Encroachment </t>
  </si>
  <si>
    <t>Total Other Outgo</t>
  </si>
  <si>
    <t>TOTAL EXPENSES</t>
  </si>
  <si>
    <t>SURPLUS/(DEFICIT)</t>
  </si>
  <si>
    <t>Cash Flow Statement</t>
  </si>
  <si>
    <t>Loan Proceeds</t>
  </si>
  <si>
    <t>(Loan Principal Repayments)</t>
  </si>
  <si>
    <t>Debt Levels/Additions/Paydowns</t>
  </si>
  <si>
    <t>Total Mandatory</t>
  </si>
  <si>
    <t>Discretionary Paydowns</t>
  </si>
  <si>
    <t>Maximum Working Capital Loan</t>
  </si>
  <si>
    <t>Ending Cash Balance Before WC Loan P+I</t>
  </si>
  <si>
    <t>Total National Office</t>
  </si>
  <si>
    <t>National Office Revenue (as % of School Rev)</t>
  </si>
  <si>
    <t>Bay Area Net Income</t>
  </si>
  <si>
    <t>National Revenue</t>
  </si>
  <si>
    <t>National Expenses</t>
  </si>
  <si>
    <t>National Net Income</t>
  </si>
  <si>
    <t>Total Net Income (before philanthropy)</t>
  </si>
  <si>
    <t>Hybrid</t>
  </si>
  <si>
    <t>Bay Area Schools in Operation</t>
  </si>
  <si>
    <t>1st School Opens in 2nd Region</t>
  </si>
  <si>
    <t>Other Schools</t>
  </si>
  <si>
    <t>Base</t>
  </si>
  <si>
    <t>Yes</t>
  </si>
  <si>
    <t>Total Schools in Operation</t>
  </si>
  <si>
    <t>Regions in Operation</t>
  </si>
  <si>
    <t>Total salaries</t>
  </si>
  <si>
    <t>Salary</t>
  </si>
  <si>
    <t>Start Trigger</t>
  </si>
  <si>
    <t>1 Per</t>
  </si>
  <si>
    <t>Role</t>
  </si>
  <si>
    <t>Level</t>
  </si>
  <si>
    <t>Start Year</t>
  </si>
  <si>
    <t># Schools</t>
  </si>
  <si>
    <t>#</t>
  </si>
  <si>
    <t>Proxy</t>
  </si>
  <si>
    <t>Responsibilities</t>
  </si>
  <si>
    <t>National Staff</t>
  </si>
  <si>
    <t xml:space="preserve">Chief Executive Officer </t>
  </si>
  <si>
    <t>National Admin</t>
  </si>
  <si>
    <t>Chief Policy Officer</t>
  </si>
  <si>
    <t>National rocketship policy, strategy and staff</t>
  </si>
  <si>
    <t>Director of Advocacy</t>
  </si>
  <si>
    <t>Regional Policy Directors go dotted line into this organization.  Director can manage 8x8 = 64 regions, so more than we need</t>
  </si>
  <si>
    <t>Manager - Advocacy</t>
  </si>
  <si>
    <t>Sr. Dir</t>
  </si>
  <si>
    <t xml:space="preserve">Dotted line support/oversight of regional policy directors </t>
  </si>
  <si>
    <t>Staff - Federal Advocacy</t>
  </si>
  <si>
    <t>Federal advocacy, grants, etc.</t>
  </si>
  <si>
    <t>Staff - Trailblazers</t>
  </si>
  <si>
    <t>Probably one group of folks running year -2 through +1 of a regions politics including RFP and getting charters and foundations going</t>
  </si>
  <si>
    <t>Director of Marketing</t>
  </si>
  <si>
    <t>National exposure, pr  and brand</t>
  </si>
  <si>
    <t>Manager of Marketing</t>
  </si>
  <si>
    <t>Staff Marketing</t>
  </si>
  <si>
    <t>Manages the 1% of PR/Marketing we do in $1M chunks, manage presence at national conferences and events</t>
  </si>
  <si>
    <t>VP of Development</t>
  </si>
  <si>
    <t>Needs the title, manages national foundation relationships, grants, reporting</t>
  </si>
  <si>
    <t>Mgr of Major Gifts</t>
  </si>
  <si>
    <t>Staff - Grant Management</t>
  </si>
  <si>
    <t>Grant writing and reporting, manage presence at national conferences and events</t>
  </si>
  <si>
    <t>Chief Achievement Officer</t>
  </si>
  <si>
    <t>Director Individualization</t>
  </si>
  <si>
    <t>Responsible for managing all achievement related instructional items like curricula, RtI, data, etc.</t>
  </si>
  <si>
    <t>Manager Data and Measurement</t>
  </si>
  <si>
    <t xml:space="preserve">Responsible for analyzing data (state tests, interim assessments, NWEA, etc.) using RAD or SDS </t>
  </si>
  <si>
    <t>Staff Data and Measurement</t>
  </si>
  <si>
    <t>Responsible for breaking down data</t>
  </si>
  <si>
    <t>Manager ELA/SS</t>
  </si>
  <si>
    <t>Responsible for ensuring that Rocketship is utilizing most effective means of curricula and instruction in ELA and SS.  Responsibilities include: creation of default ELA/SS units for all grade levels and states, due diligience on new regions, keeping ROC website updated with materials and training videos, live trainings of ADs</t>
  </si>
  <si>
    <t>Staff ELA/SS</t>
  </si>
  <si>
    <t>Manager Math/Science</t>
  </si>
  <si>
    <t>Responsible for ensuring that Rocketship is utilizing most effective means of curricula and instruction in Math and Sci  Responsibilities include: creation of default ELA/SS units for all grade levels and states, due diligience on new regions, keeping ROC website updated with materials and training videos, live trainings of ADs</t>
  </si>
  <si>
    <t>Staff Math Science</t>
  </si>
  <si>
    <t>Staff of ROC</t>
  </si>
  <si>
    <t>Responsible for maintaining ROC website</t>
  </si>
  <si>
    <t>Manager of RTI/Hybrid</t>
  </si>
  <si>
    <t>Responsible for ensuring that RtI program is meeting all objectives and is reducing number of SPED students.  Responsible for assisting in the creation of materials and items to roll-out to schools and regions within the hybrid model, RtI, etc.</t>
  </si>
  <si>
    <t>Staff of RtI/Hybrid</t>
  </si>
  <si>
    <t>Responsible for assisting manager to ensure that RtI program is meeting all objectives and is reducing number of SPED students, while also fully compliant with new regions, etc..  Responsible for assisting in the creation of materials and items to roll-out to schools and regions within the hybrid model, RtI, etc.</t>
  </si>
  <si>
    <t>Director of Leadership Development</t>
  </si>
  <si>
    <t>LD</t>
  </si>
  <si>
    <t>Resonsible for managing Leadership Development program in order to ensure that all objectives are met regarding pipeline, PITs, DITs, Takeover Principals, other regional and national positions, and teacher leadership objectives as well.</t>
  </si>
  <si>
    <t>Manager Leadership Development</t>
  </si>
  <si>
    <t>Responsible for Leadership Development strategy.</t>
  </si>
  <si>
    <t>Staff LD-P2</t>
  </si>
  <si>
    <t>Responsible for managing overall direction and organization of P2 program</t>
  </si>
  <si>
    <t>Staff LD-P3</t>
  </si>
  <si>
    <t>Responsible for managing overall direction and organization of P3 program</t>
  </si>
  <si>
    <t>Staff LD-P4</t>
  </si>
  <si>
    <t>Responsible for managing overall direction and organization of P4 program</t>
  </si>
  <si>
    <t>Manager Teacher Leadership</t>
  </si>
  <si>
    <t>Staff Teacher Leadership (TFA/Institute)</t>
  </si>
  <si>
    <t>Managing relationship between RSED and TFA in order to better prepare TFA teachers for immediate results in RSED classrooms.</t>
  </si>
  <si>
    <t>Staff Teacher Leadership (PD/curriculum)</t>
  </si>
  <si>
    <t>Assisting in the implementation of teacher PDs and curricula, especially as they change depending on regional needs</t>
  </si>
  <si>
    <t>Manager Recruitment</t>
  </si>
  <si>
    <t>Manage national recruitment strategy - need to manage regions, there's no pure strategy job</t>
  </si>
  <si>
    <t>Staff Recruitment</t>
  </si>
  <si>
    <t>Manage recruitment of teachers and individuals to fill leadership pipeline within region, RtI staff, and LL staff</t>
  </si>
  <si>
    <t>Staff Expansion</t>
  </si>
  <si>
    <t>Chief Business Officer</t>
  </si>
  <si>
    <t>Dir. of Operations</t>
  </si>
  <si>
    <t>Manager of Attendance</t>
  </si>
  <si>
    <t>Manages attendance centralization and reporting for schools</t>
  </si>
  <si>
    <t>Staff Attendance</t>
  </si>
  <si>
    <t>Manager of NSLP</t>
  </si>
  <si>
    <t>Manages NSLP centralization and reporting for schools</t>
  </si>
  <si>
    <t>Staff NSLP</t>
  </si>
  <si>
    <t>Manager of Teacher Certification</t>
  </si>
  <si>
    <t>Managers compliance aspects around state teacher credentialling programs</t>
  </si>
  <si>
    <t>Staff Certification</t>
  </si>
  <si>
    <t>Manager of SPED Compliance</t>
  </si>
  <si>
    <t>Manages compliance aspects of state Special Education programs</t>
  </si>
  <si>
    <t>Staff SPED Compliance</t>
  </si>
  <si>
    <t>Manager of Compliance</t>
  </si>
  <si>
    <t>Managers the centralization of other operational compliance for schools</t>
  </si>
  <si>
    <t>Staff Compliance</t>
  </si>
  <si>
    <t>Manager of Operations</t>
  </si>
  <si>
    <t>Manages ongoing school operations including JetPack and Assessment Team</t>
  </si>
  <si>
    <t>Staff Operations</t>
  </si>
  <si>
    <t>Region-new</t>
  </si>
  <si>
    <t>Manages research, evaluation and implementation of school startup and compliance in other regions</t>
  </si>
  <si>
    <t>Dir. of Tech</t>
  </si>
  <si>
    <t>Oversee National tech, including all tech initiatives, Learning Lab and IT</t>
  </si>
  <si>
    <t>Staff of HSP</t>
  </si>
  <si>
    <t>Manages online learning software, platform and testing programs</t>
  </si>
  <si>
    <t>Staff of Online Learning</t>
  </si>
  <si>
    <t>Liason with Achievement team on HSP, user interface, and ongoing R&amp;D</t>
  </si>
  <si>
    <t>CFO</t>
  </si>
  <si>
    <t>Strategic planning, management, financing relationships, Board management, external relations (financing, funders), network health</t>
  </si>
  <si>
    <t>Dir. of Finance</t>
  </si>
  <si>
    <t>Sr Director</t>
  </si>
  <si>
    <t>Network health and Cash flow management, Financing, LOC, facilities deals, internal reporting, annual budgeting process, policies and systems, projections</t>
  </si>
  <si>
    <t>Finance Manager</t>
  </si>
  <si>
    <t>Owns regional finance:  understanding budgeting, internal/external reporting, cash flow, state loans situation, support to Regional Bus Director</t>
  </si>
  <si>
    <t>Staff Finance-Procurement</t>
  </si>
  <si>
    <t>Schools-new</t>
  </si>
  <si>
    <t>Working with principals, analytics, crunching numbers for projections and financial support to other regional departments</t>
  </si>
  <si>
    <t>Staff Finance-Expansion</t>
  </si>
  <si>
    <t>Regions-new</t>
  </si>
  <si>
    <t>Procurement for school startup; processing orders; setting up accounts with major vendors for OM's; leveraging our purchasing power to reduce costs</t>
  </si>
  <si>
    <t>Staff Finance-Analyst</t>
  </si>
  <si>
    <t>Researches and supports regional expansion:  learns chart of accounts, financial compliance, state funding schedule, funding calculations; Trains Accounting Manager and Finance Manager</t>
  </si>
  <si>
    <t>Controller</t>
  </si>
  <si>
    <t>Responsible for integrity of all financial information; audit; financial policies; compliance reporting and accounting system utilization</t>
  </si>
  <si>
    <t>Accounting Manager</t>
  </si>
  <si>
    <t>Full-Cycle Accounting; monthly/quarterly/annual close for each region</t>
  </si>
  <si>
    <t>Staff Accountant</t>
  </si>
  <si>
    <t>Accounting (AP/AR, Deposits, processing)</t>
  </si>
  <si>
    <t>Dir HR</t>
  </si>
  <si>
    <t>HR Compliance, credential management, benefits and compliance, payroll, customer service, leave policies, employee handbook</t>
  </si>
  <si>
    <t>HR Manager</t>
  </si>
  <si>
    <t>HR Compliance, credential management, benefits and compliance, payroll</t>
  </si>
  <si>
    <t>Staff Payroll</t>
  </si>
  <si>
    <t>Payroll Processor</t>
  </si>
  <si>
    <t>Staff Benefits&amp; credentialling</t>
  </si>
  <si>
    <t>Benefits processing and compliance, credential management and tracking</t>
  </si>
  <si>
    <t>Dir Planning</t>
  </si>
  <si>
    <t>Mgr School Startup &amp; intra-regional grth</t>
  </si>
  <si>
    <t>Project Managers for new school starts within a region - coordinates Plicy, Achievement, and Business as well as external vendors like LP; oversee school greenlighting within regions</t>
  </si>
  <si>
    <t>Staff School Startup &amp; int. regional grth</t>
  </si>
  <si>
    <t>Project manage school greenlighting process</t>
  </si>
  <si>
    <t>Mgr Regional Expansion</t>
  </si>
  <si>
    <t>Manage the RFP process and project manage regional expansion process</t>
  </si>
  <si>
    <t>Staff Regional Expansion</t>
  </si>
  <si>
    <t>Mgr Network Health</t>
  </si>
  <si>
    <t>Manage school and region scorecards</t>
  </si>
  <si>
    <t>Staff Network Health</t>
  </si>
  <si>
    <t>Design school, region and system dashboard. Responsible for reporting on network and region health to rest of system for management and greenlighting decisions</t>
  </si>
  <si>
    <t>Bay Area Staff</t>
  </si>
  <si>
    <t>Manages regional staff</t>
  </si>
  <si>
    <t>Manages principals</t>
  </si>
  <si>
    <t>Director of Policy</t>
  </si>
  <si>
    <t>Regional Policy (Advocacy, Mktg, Development) including State and regional grass-tops advocacy, secure charters personally until &gt; 3 schools per year, regional marketing, student sourcing, big local donor development</t>
  </si>
  <si>
    <t>Manager of Policy</t>
  </si>
  <si>
    <t>Manage Staff</t>
  </si>
  <si>
    <t>Staff Advocacy - Grassroots</t>
  </si>
  <si>
    <t>Student sourcing for new schools, building tight school parent networks, activating parents for advocacy</t>
  </si>
  <si>
    <t>Director of Business</t>
  </si>
  <si>
    <t>Principal business meetings, staff management, support to RD&amp;RVP,reporting to national,MOU negotiation</t>
  </si>
  <si>
    <t>Regional Business Manager</t>
  </si>
  <si>
    <t>Staff Business - School Startup</t>
  </si>
  <si>
    <t xml:space="preserve">Startup (project management, charter applications, school board set-up) </t>
  </si>
  <si>
    <t>Staff Business - General (DM, Finance, Ops)</t>
  </si>
  <si>
    <t>School Operations-Centralization (attendance, facilities management, student records, tech coordination, board management, manage OM's)</t>
  </si>
  <si>
    <t>Director of Achievement</t>
  </si>
  <si>
    <t>Manages all regional LD and individualization</t>
  </si>
  <si>
    <t>Mgr Leadership Dev</t>
  </si>
  <si>
    <t>Manager of Leadership Development for the region (pipeline, PITs, DITs, takeover principals, etc.)</t>
  </si>
  <si>
    <t>Staff LD</t>
  </si>
  <si>
    <t>Coaching new principals and PITs (weekly); ongoing PD for principals, principal management o fELO's, implementing PIT trainings, LD selection</t>
  </si>
  <si>
    <t>Staff LD-sub</t>
  </si>
  <si>
    <t>Substitutes for principal-pull out</t>
  </si>
  <si>
    <t>Mgr of Teacher Leadership</t>
  </si>
  <si>
    <t>Responsible for managing Staff of Teacher Leadership within a region.</t>
  </si>
  <si>
    <t>Staff of Recruiting</t>
  </si>
  <si>
    <t>Mgr of Individ. Learning</t>
  </si>
  <si>
    <t>Responsible for managing Staff of Individualized Learning within a region and Individualization program roll-out.</t>
  </si>
  <si>
    <t>Staff of IL:  roll-out and training</t>
  </si>
  <si>
    <t>Responsible for managing relationship with Academic Deans and staff, rolling-out of RSED curricula and items, providing trainings on these items and curricula, etc.</t>
  </si>
  <si>
    <t>2015-2016</t>
  </si>
  <si>
    <t>2016-2017</t>
  </si>
  <si>
    <t>2017-2018</t>
  </si>
  <si>
    <t>2018-2019</t>
  </si>
  <si>
    <t>2019-2020</t>
  </si>
  <si>
    <t>2020-2021</t>
  </si>
  <si>
    <t>2021-2022</t>
  </si>
  <si>
    <t>2022-2023</t>
  </si>
  <si>
    <t>2023-2024</t>
  </si>
  <si>
    <t>2024-2025</t>
  </si>
  <si>
    <t>2025-2026</t>
  </si>
  <si>
    <t>2026-2027</t>
  </si>
  <si>
    <t>2027-2028</t>
  </si>
  <si>
    <t>2028-2029</t>
  </si>
  <si>
    <t>2029-2030</t>
  </si>
  <si>
    <t>2030-2031</t>
  </si>
  <si>
    <t>2031-2032</t>
  </si>
  <si>
    <t>SJ</t>
  </si>
  <si>
    <t>EPA/RCITY</t>
  </si>
  <si>
    <t>OAK</t>
  </si>
  <si>
    <t>SF</t>
  </si>
  <si>
    <t>East Bay</t>
  </si>
  <si>
    <t>North Bay</t>
  </si>
  <si>
    <t>Fundraising Needed</t>
  </si>
  <si>
    <t>School Year</t>
  </si>
  <si>
    <t>School Revenue by Year</t>
  </si>
  <si>
    <t>Regional Revenue by School Year</t>
  </si>
  <si>
    <t>8+</t>
  </si>
  <si>
    <t>Supplies (per ALL headcount)</t>
  </si>
  <si>
    <t>Equipment (per NEW headcount)</t>
  </si>
  <si>
    <t>Equipment (cost per ALL headcount)</t>
  </si>
  <si>
    <t>Prof. Development (per ALL headcount)</t>
  </si>
  <si>
    <t>Other Variable Op Ex (per open school)</t>
  </si>
  <si>
    <t>Per Year</t>
  </si>
  <si>
    <t>Regional Office Financials</t>
  </si>
  <si>
    <t>Consolidated Financials</t>
  </si>
  <si>
    <t>Cash Balance after financing and line</t>
  </si>
  <si>
    <t>Total School Revenues</t>
  </si>
  <si>
    <t>School Expenses</t>
  </si>
  <si>
    <t>Total School Expenses</t>
  </si>
  <si>
    <t>Ending School Cash Balance</t>
  </si>
  <si>
    <t>Total School Ending Cash Balances</t>
  </si>
  <si>
    <t>Financing</t>
  </si>
  <si>
    <t>Cash Balance</t>
  </si>
  <si>
    <t>Regional Office</t>
  </si>
  <si>
    <t>National Office</t>
  </si>
  <si>
    <t>Cost Structure at Steady State</t>
  </si>
  <si>
    <t>Cluster Staffing</t>
  </si>
  <si>
    <t>Regional Staffing</t>
  </si>
  <si>
    <t>Compensation</t>
  </si>
  <si>
    <t>Position</t>
  </si>
  <si>
    <t>RSED National and Regional Fees</t>
  </si>
  <si>
    <t>Oversees all aspects of cluster</t>
  </si>
  <si>
    <t>Regional Vice President</t>
  </si>
  <si>
    <t>Manager, Leadership Development</t>
  </si>
  <si>
    <t>Teacher and Leadership Recruiting and Training</t>
  </si>
  <si>
    <t>Staff, Achievement</t>
  </si>
  <si>
    <t>Leadership Development and Teacher Recruiting</t>
  </si>
  <si>
    <t>Operations Manager</t>
  </si>
  <si>
    <t>Student Recruiting, Tutor Hiring and Teacher Sourcing</t>
  </si>
  <si>
    <t>Staff, Operations</t>
  </si>
  <si>
    <t>Local operations challenges</t>
  </si>
  <si>
    <t>Decrease</t>
  </si>
  <si>
    <t>GPBG</t>
  </si>
  <si>
    <t>K-3</t>
  </si>
  <si>
    <t>4&amp;5</t>
  </si>
  <si>
    <t>CBG</t>
  </si>
  <si>
    <t>Regional Fundraising Needed</t>
  </si>
  <si>
    <t>Regional Expenses</t>
  </si>
  <si>
    <t>Breakeven</t>
  </si>
  <si>
    <t>% of School Revenues</t>
  </si>
  <si>
    <t>Years -1 to 2</t>
  </si>
  <si>
    <t>Years 3+</t>
  </si>
  <si>
    <t>State General Purpose Funding</t>
  </si>
  <si>
    <t>State Categorical Programs</t>
  </si>
  <si>
    <t>Federal Sources</t>
  </si>
  <si>
    <t>Enrollment and ADA Per Year</t>
  </si>
  <si>
    <t>Attendance Rate</t>
  </si>
  <si>
    <t>Enrollment Reduction</t>
  </si>
  <si>
    <t>ADA</t>
  </si>
  <si>
    <t>School Staffing Structure</t>
  </si>
  <si>
    <t>Staffing</t>
  </si>
  <si>
    <t>Administrators</t>
  </si>
  <si>
    <t>Other Staff</t>
  </si>
  <si>
    <t>Total Staff</t>
  </si>
  <si>
    <t>Student:teacher ratio</t>
  </si>
  <si>
    <t>Student:adult ratio</t>
  </si>
  <si>
    <t>Average Teacher Comp</t>
  </si>
  <si>
    <t>CSGF Grant</t>
  </si>
  <si>
    <t>Accumulated Interest</t>
  </si>
  <si>
    <t>Total Grant</t>
  </si>
  <si>
    <t>Year 8+</t>
  </si>
  <si>
    <t>Free and Reduced Lunch (FRL)</t>
  </si>
  <si>
    <t>Federal Poverty Level</t>
  </si>
  <si>
    <t>English Language Learners</t>
  </si>
  <si>
    <t>School Openings by Region</t>
  </si>
  <si>
    <t>Total Schools</t>
  </si>
  <si>
    <t>Regional Openings per Year</t>
  </si>
  <si>
    <t>Management and Facilities Fees</t>
  </si>
  <si>
    <t>Schools 1 - 7</t>
  </si>
  <si>
    <t>Yr 3+</t>
  </si>
  <si>
    <t>RSED and Regional</t>
  </si>
  <si>
    <t>Facilities</t>
  </si>
  <si>
    <t>Schools 8+</t>
  </si>
  <si>
    <t>Sustainability</t>
  </si>
  <si>
    <t>Network</t>
  </si>
  <si>
    <t>Costs Per Student (2010$)</t>
  </si>
  <si>
    <t>School Costs</t>
  </si>
  <si>
    <t>National and Regional Costs</t>
  </si>
  <si>
    <t>Revenue Factors</t>
  </si>
  <si>
    <t>Public Revenues</t>
  </si>
  <si>
    <t>Bay Area Regional Staff</t>
  </si>
  <si>
    <t>Percentage of School Revenues</t>
  </si>
  <si>
    <t>Hybrid School Platform</t>
  </si>
  <si>
    <t>Rocketship Fees</t>
  </si>
  <si>
    <t>Regional Net Income</t>
  </si>
  <si>
    <t>1 per</t>
  </si>
  <si>
    <t>Code</t>
  </si>
  <si>
    <t>Trigger</t>
  </si>
  <si>
    <t>Comments</t>
  </si>
  <si>
    <t>Staff Business - Tech,DM, Finance, Ops</t>
  </si>
  <si>
    <t>Responsible for all LD and Indiv at the regional level</t>
  </si>
  <si>
    <t>Placeholder for Subs</t>
  </si>
  <si>
    <t>Federal Startup Grants</t>
  </si>
  <si>
    <t>RTI and LL Offset</t>
  </si>
  <si>
    <t>Food Service Revenue</t>
  </si>
  <si>
    <t>Total Books, Supplies, Equipment &amp; Food</t>
  </si>
  <si>
    <t>Rocketship Mateo Sheedy</t>
  </si>
  <si>
    <t>SUMMARY FINANCIALS</t>
  </si>
  <si>
    <t>Salary and Benefits</t>
  </si>
  <si>
    <t>Books and Materials</t>
  </si>
  <si>
    <t>Facility Fees</t>
  </si>
  <si>
    <t>Consultants &amp; Professional Materials</t>
  </si>
  <si>
    <t>Interest and Contingency</t>
  </si>
  <si>
    <t>Fund Balance (% of expenses)</t>
  </si>
  <si>
    <t>Fund Balance Incl Contingency</t>
  </si>
  <si>
    <t xml:space="preserve">See RS2 for Detailed Notes </t>
  </si>
  <si>
    <t xml:space="preserve">higher than current rate at school </t>
  </si>
  <si>
    <t>Per ADA</t>
  </si>
  <si>
    <t>Per EIA Disadvantaged Pupils</t>
  </si>
  <si>
    <t>Per K-3 ADA</t>
  </si>
  <si>
    <t>%</t>
  </si>
  <si>
    <t>Per hour</t>
  </si>
  <si>
    <t>Per ADA, max 75% of lease cost</t>
  </si>
  <si>
    <t>Per FRL ADA</t>
  </si>
  <si>
    <t>Other Federal Funding 1</t>
  </si>
  <si>
    <t>Lunch Fees from Students (Per ADA not in Free and Reduced)</t>
  </si>
  <si>
    <t>Loss on School Lunch Program</t>
  </si>
  <si>
    <t>Target Student:Teacher Ratio</t>
  </si>
  <si>
    <t>$80 to 90K</t>
  </si>
  <si>
    <t>Just one line item for teachers now</t>
  </si>
  <si>
    <t>50% TFA annual turnover</t>
  </si>
  <si>
    <t>13 to 15 to 17</t>
  </si>
  <si>
    <t>Recommend adding 0.5 FTE extra</t>
  </si>
  <si>
    <t>$50 to 60K</t>
  </si>
  <si>
    <t xml:space="preserve">Somewhat offset by bonuses but vey conservative assumption and difficult to achieve </t>
  </si>
  <si>
    <t>Ateachers</t>
  </si>
  <si>
    <t>Dean</t>
  </si>
  <si>
    <t>Office Mgr</t>
  </si>
  <si>
    <t>Net of employee contribution</t>
  </si>
  <si>
    <t>FICA plus 4% 403b contribution</t>
  </si>
  <si>
    <t>Does not seem to be used</t>
  </si>
  <si>
    <t>Excludes local fundraising</t>
  </si>
  <si>
    <t>SPED Encroachment Contribution</t>
  </si>
  <si>
    <t>Amount resets every five years</t>
  </si>
  <si>
    <t>Interest Rate on Intra-Company Loan</t>
  </si>
  <si>
    <t>Audited</t>
  </si>
  <si>
    <t>Calc per CDE w/conc. factor</t>
  </si>
  <si>
    <t>Max 75% of PRIOR YEAR lease cost</t>
  </si>
  <si>
    <t>Art and Music</t>
  </si>
  <si>
    <t>Child Nutricion</t>
  </si>
  <si>
    <t>Title V</t>
  </si>
  <si>
    <t>FY 2008: $95,000+ from Philathropic Fund, $300,000 from Reed Hastings</t>
  </si>
  <si>
    <t>Uniform Sales</t>
  </si>
  <si>
    <t>Food Service Sales</t>
  </si>
  <si>
    <t xml:space="preserve">converting to a single line item to account for retention </t>
  </si>
  <si>
    <t>Assumes 10 absences per teacher</t>
  </si>
  <si>
    <t>(not including licensing fees for RSED data management software)</t>
  </si>
  <si>
    <t>**MUST BREAK EVEN WITH REVS - GO BACK AND BUILD REAL PROGRAM BUDGET</t>
  </si>
  <si>
    <t>Security</t>
  </si>
  <si>
    <t xml:space="preserve">Site Improvements </t>
  </si>
  <si>
    <t xml:space="preserve">See RSED </t>
  </si>
  <si>
    <t xml:space="preserve">2008 Actual Payments Reconciled to Audit </t>
  </si>
  <si>
    <t>No additional working capital loans assumed</t>
  </si>
  <si>
    <t>Working Capital Loan/Growth Loan</t>
  </si>
  <si>
    <t>Minimum Cash Required</t>
  </si>
  <si>
    <t>Maximum Line of Credit</t>
  </si>
  <si>
    <t>Cash Before LOC</t>
  </si>
  <si>
    <t>Fixed Assets</t>
  </si>
  <si>
    <t>Rocketship Si Se Puede</t>
  </si>
  <si>
    <t>Fund Balance Including Contingency</t>
  </si>
  <si>
    <t>modified per RDF RSED</t>
  </si>
  <si>
    <t>Loss from Student Lunch Program</t>
  </si>
  <si>
    <t xml:space="preserve">Adjusted per RSED and RDF Agreement </t>
  </si>
  <si>
    <t>Total PCSP Award -- $414,000</t>
  </si>
  <si>
    <t>Donated Property</t>
  </si>
  <si>
    <t xml:space="preserve">Other Local Income </t>
  </si>
  <si>
    <t>Supplies (Office, Health/Safety &amp; Teacher)</t>
  </si>
  <si>
    <t>includes enrichment budget</t>
  </si>
  <si>
    <t>Curriculum, Assessment, Libruary</t>
  </si>
  <si>
    <t>Online Curriculum</t>
  </si>
  <si>
    <t>Teacher Recruitment &amp; Certification  (Reach, Rise, TFA)</t>
  </si>
  <si>
    <t>Sports for Kids and City Year</t>
  </si>
  <si>
    <t>Maintenance, Custodial, Utilities, Security</t>
  </si>
  <si>
    <t>RSED Fee Cuts</t>
  </si>
  <si>
    <t>RS3 Model</t>
  </si>
  <si>
    <t>Reserves (%)</t>
  </si>
  <si>
    <t>Loss from Lunch Program</t>
  </si>
  <si>
    <t>Management Fee</t>
  </si>
  <si>
    <t>Licensing Fee</t>
  </si>
  <si>
    <t>Interest Income</t>
  </si>
  <si>
    <t>(Increase) decrease in A/R &amp; A/P</t>
  </si>
  <si>
    <t>Min Cash Balance</t>
  </si>
  <si>
    <t>Max Working Capital Loan</t>
  </si>
  <si>
    <t>Cash Balance (before LOC)</t>
  </si>
  <si>
    <t>Rocketship FY10 Budget</t>
  </si>
  <si>
    <t>Account</t>
  </si>
  <si>
    <t>RSED National</t>
  </si>
  <si>
    <t>Rocketship</t>
  </si>
  <si>
    <t>Launchpad</t>
  </si>
  <si>
    <t>RMS</t>
  </si>
  <si>
    <t>RS4 &amp; RS5</t>
  </si>
  <si>
    <t>Schools Total</t>
  </si>
  <si>
    <t>Finance &amp; Acct</t>
  </si>
  <si>
    <t>Strategy</t>
  </si>
  <si>
    <t>National Total</t>
  </si>
  <si>
    <t>w/o LP</t>
  </si>
  <si>
    <t>Locust</t>
  </si>
  <si>
    <t>Doburn</t>
  </si>
  <si>
    <t>LLC3</t>
  </si>
  <si>
    <t>LLC4 &amp; LLC5</t>
  </si>
  <si>
    <t>LP</t>
  </si>
  <si>
    <t>LaunchPad Total</t>
  </si>
  <si>
    <t>Consolidated Total</t>
  </si>
  <si>
    <t>Block Grant</t>
  </si>
  <si>
    <t>8096 In-Lieu of Property Taxes</t>
  </si>
  <si>
    <t>8015 General Block Grant</t>
  </si>
  <si>
    <t>8016 Revenue Limit Reduction</t>
  </si>
  <si>
    <t>8019 State Aid - PY Adj</t>
  </si>
  <si>
    <t>8480 Categorical Block Grant</t>
  </si>
  <si>
    <t>8481 Categorical - PY</t>
  </si>
  <si>
    <t>Total General Purpose Block Grant</t>
  </si>
  <si>
    <t>8434 Class Size Reduction, K-3</t>
  </si>
  <si>
    <t>8560 - Lottery Non-Prop 20</t>
  </si>
  <si>
    <t>8561 - Lottery Prop 20</t>
  </si>
  <si>
    <t>8591 Supplimental Hourly Instruction</t>
  </si>
  <si>
    <t>8592 Facilities Reimb (SB 740)</t>
  </si>
  <si>
    <t>8593 Arts &amp; Music Block Grant</t>
  </si>
  <si>
    <t>Total State Revenues</t>
  </si>
  <si>
    <t>Federal Stimulus</t>
  </si>
  <si>
    <t>3011 - ARRA Title I</t>
  </si>
  <si>
    <t>3023 - ARRA Equipment Assitance</t>
  </si>
  <si>
    <t>8182 - SPED Federal ARRA</t>
  </si>
  <si>
    <t>3022 - SFSF</t>
  </si>
  <si>
    <t>Total Federal Stimulus</t>
  </si>
  <si>
    <t>8570 - SPED State AB602</t>
  </si>
  <si>
    <t>8571 - SPED State Mental Health</t>
  </si>
  <si>
    <t>8181 - SPED Revenue - Federal</t>
  </si>
  <si>
    <t>Total Special Education Revenues</t>
  </si>
  <si>
    <t>NCLB</t>
  </si>
  <si>
    <t>8291 - Title I, Part A</t>
  </si>
  <si>
    <t>8292 - Title II, Part A</t>
  </si>
  <si>
    <t>8293 - Title III</t>
  </si>
  <si>
    <t>8294 - Title IV</t>
  </si>
  <si>
    <t>8295 - Title V - PCSGP Start Up Grant</t>
  </si>
  <si>
    <t>Total NCLB</t>
  </si>
  <si>
    <t>Food Service Program</t>
  </si>
  <si>
    <t>8220 - Child Nutricion - Federal</t>
  </si>
  <si>
    <t>8520 - Child Nutricion - State</t>
  </si>
  <si>
    <t>8634 - Food Service Sales</t>
  </si>
  <si>
    <t>Total Food Service Revenues</t>
  </si>
  <si>
    <t>Grants and Fundraising</t>
  </si>
  <si>
    <t>8614 - Fundraising</t>
  </si>
  <si>
    <t>8615 - Private Grants</t>
  </si>
  <si>
    <t>Internal Transfers</t>
  </si>
  <si>
    <t>8693 - Grants to School from National Office</t>
  </si>
  <si>
    <t>8691 - School Management Fee</t>
  </si>
  <si>
    <t>8692 - Facility Fee Income</t>
  </si>
  <si>
    <t>8694 - Licensing Fee</t>
  </si>
  <si>
    <t>Total Internal Transfers</t>
  </si>
  <si>
    <t>Other Income</t>
  </si>
  <si>
    <t>8660 - Interest Income</t>
  </si>
  <si>
    <t>8699 - All Other Local Revenue</t>
  </si>
  <si>
    <t>8616 - Donated Property and Services</t>
  </si>
  <si>
    <t>8637 - Uniform Sales</t>
  </si>
  <si>
    <t>Total Other Income</t>
  </si>
  <si>
    <t>a</t>
  </si>
  <si>
    <t>1110 - Teacher Salaries</t>
  </si>
  <si>
    <t>1115 - Teacher Bonuses</t>
  </si>
  <si>
    <t>1119 - Substitute Teachers</t>
  </si>
  <si>
    <t>1120 - Resource Specialists</t>
  </si>
  <si>
    <t>1125 - Resource Specialists Bonus</t>
  </si>
  <si>
    <t>1201 - Cert Pupil Support Salaries</t>
  </si>
  <si>
    <t>1202 - Cert Pupil Support Bonuses</t>
  </si>
  <si>
    <t>1301 - Cert Supervisor and Admin Salaries</t>
  </si>
  <si>
    <t>1302 - Cert Supervisor and Admin Bonuses</t>
  </si>
  <si>
    <t>2101 - Instructional Aid Salaries</t>
  </si>
  <si>
    <t>2102 - Instructional Aid Bonuses</t>
  </si>
  <si>
    <t>2201 - Classified Support Salaries</t>
  </si>
  <si>
    <t>2202 - Classified Supprot Bonuses</t>
  </si>
  <si>
    <t>2301 - Classified Supervisor Salaries</t>
  </si>
  <si>
    <t>2302 - Classified Supervisor Bonuses</t>
  </si>
  <si>
    <t>2401 - Clerical and Office Staff Salaries</t>
  </si>
  <si>
    <t>2402 - Clerical and Office Staff Bonuses</t>
  </si>
  <si>
    <t>Employee Benefits</t>
  </si>
  <si>
    <t>STRS</t>
  </si>
  <si>
    <t>3101 - STRS, certificated positions</t>
  </si>
  <si>
    <t>3102 - STRS, classified positions</t>
  </si>
  <si>
    <t>Total STRS</t>
  </si>
  <si>
    <t>3300 - Medicare</t>
  </si>
  <si>
    <t>3301 - Medicare, certificated positions</t>
  </si>
  <si>
    <t>3302 - Medicare, classified positions</t>
  </si>
  <si>
    <t>Total Medicare</t>
  </si>
  <si>
    <t>3400 - Medical Benefits</t>
  </si>
  <si>
    <t>3401 - Health &amp; Welfare, certificated</t>
  </si>
  <si>
    <t>3402 - Health &amp; Welfare, classified</t>
  </si>
  <si>
    <t>Total Medical Benefits</t>
  </si>
  <si>
    <t>Unemployment Insurance</t>
  </si>
  <si>
    <t>3501 - State Unemployment Insurance, cert positions</t>
  </si>
  <si>
    <t>3502 - State Unemployment Insurance, class positions</t>
  </si>
  <si>
    <t>Total Unemployment Insurance</t>
  </si>
  <si>
    <t>Worker's Compensation Insurance</t>
  </si>
  <si>
    <t>3601 - Workers' Comp Insur, cert positions</t>
  </si>
  <si>
    <t>3602 - Workers' Comp Insur, class positions</t>
  </si>
  <si>
    <t>Total Workers' Compensation Insurance</t>
  </si>
  <si>
    <t>Retirement Benefits</t>
  </si>
  <si>
    <t>3901 - Retirement Benefits, cert positions</t>
  </si>
  <si>
    <t>3902 - Retirement Benefits, class positions</t>
  </si>
  <si>
    <t>Total Retirement Benefits</t>
  </si>
  <si>
    <t>Total Employee Benefits</t>
  </si>
  <si>
    <t>Books and Supplies</t>
  </si>
  <si>
    <t>4100 - Textbooks and Core Curricula</t>
  </si>
  <si>
    <t>4110 - Assessment Materials</t>
  </si>
  <si>
    <t>4200 - Books and Reference Materials</t>
  </si>
  <si>
    <t>4300 - Materials and Supplies</t>
  </si>
  <si>
    <t>4310 - Safety Materials</t>
  </si>
  <si>
    <t>4320 - Custodial Supplies</t>
  </si>
  <si>
    <t>4340 - Instructional Materials</t>
  </si>
  <si>
    <t>4345 - Student Uniforms</t>
  </si>
  <si>
    <t>4346 Rocketship Merchandise</t>
  </si>
  <si>
    <t>4350 - Office Supplies</t>
  </si>
  <si>
    <t>4380 - Non Instructional Supplies</t>
  </si>
  <si>
    <t>4400 - Non-Capitalized Equipment</t>
  </si>
  <si>
    <t>4410 - Software</t>
  </si>
  <si>
    <t>4411 - Educational Software</t>
  </si>
  <si>
    <t>4415 - Non-Capitalized Computer Equipment</t>
  </si>
  <si>
    <t>4416 - Student Computer Equipment</t>
  </si>
  <si>
    <t>4417 - Staff Computer Equipment</t>
  </si>
  <si>
    <t>4418 - Tech Infrastructure</t>
  </si>
  <si>
    <t>4455 - Furniture</t>
  </si>
  <si>
    <t>4700 - Food</t>
  </si>
  <si>
    <t>4710 - Student Food Service</t>
  </si>
  <si>
    <t>4720 - Other Food</t>
  </si>
  <si>
    <t>Services and Other Operating Expenses</t>
  </si>
  <si>
    <t>5200 - Travel and Conferences</t>
  </si>
  <si>
    <t>5201 - Conferences</t>
  </si>
  <si>
    <t>5202 - Transportation and Lodging</t>
  </si>
  <si>
    <t>5203 - Meals and Entertainment</t>
  </si>
  <si>
    <t>5204 - Mileage</t>
  </si>
  <si>
    <t>5205 - Parking, Tolls and Taxi</t>
  </si>
  <si>
    <t>5300 - Dues and Memberships</t>
  </si>
  <si>
    <t>5400 - Insurance</t>
  </si>
  <si>
    <t>5500 - Operations and Housekeeping</t>
  </si>
  <si>
    <t>5510 - Gas and Electric</t>
  </si>
  <si>
    <t>5515 - Janitorial Services</t>
  </si>
  <si>
    <t>5520 - Security</t>
  </si>
  <si>
    <t>5525 - Waste</t>
  </si>
  <si>
    <t>5503 - Water</t>
  </si>
  <si>
    <t>5502 - Other Utilities</t>
  </si>
  <si>
    <t>5600 - Rentals, Leases, and Repairs</t>
  </si>
  <si>
    <t>5601 - Rent</t>
  </si>
  <si>
    <t>5602 - Facilities Fee</t>
  </si>
  <si>
    <t>5605 - Copier Lease</t>
  </si>
  <si>
    <t>5607 Other Rentals</t>
  </si>
  <si>
    <t>5611 - Building Repairs</t>
  </si>
  <si>
    <t>5800 - Professional and Consulting Services</t>
  </si>
  <si>
    <t>5802 - Educational Consultants</t>
  </si>
  <si>
    <t>5804 - Staff Training and Development</t>
  </si>
  <si>
    <t>5805 - Legal Fees</t>
  </si>
  <si>
    <t xml:space="preserve">   5806 - Relocation Expenses</t>
  </si>
  <si>
    <t>5807 - Consultants - Tech</t>
  </si>
  <si>
    <t>5894 - Audit</t>
  </si>
  <si>
    <t>5808 - Consultants - Sports</t>
  </si>
  <si>
    <t>5840 - Contracted Substitutes</t>
  </si>
  <si>
    <t>5809 - Consultants - Health/Nurse</t>
  </si>
  <si>
    <t>5810 - Consultants - Development and Marketing</t>
  </si>
  <si>
    <t>5811 - Advertising</t>
  </si>
  <si>
    <t>5812 - Teacher Recruiting</t>
  </si>
  <si>
    <t>5814 - SPED Consultants</t>
  </si>
  <si>
    <t>5815 - Evaluation Services</t>
  </si>
  <si>
    <t>5816 - Consultants:  Staff Recruiting</t>
  </si>
  <si>
    <t>5817 - Finance and Accounting Consultants</t>
  </si>
  <si>
    <t>5819 - District Oversight Fee</t>
  </si>
  <si>
    <t>5821 - Teacher Certification</t>
  </si>
  <si>
    <t>5822 - Consultants - Operations</t>
  </si>
  <si>
    <t>5825 - Fingerprinting and TB Testing</t>
  </si>
  <si>
    <t>5826 - Consultants - Facilties</t>
  </si>
  <si>
    <t>5829 - Payroll Expenses</t>
  </si>
  <si>
    <t>5833 - Field Trips</t>
  </si>
  <si>
    <t>5871 CPR Training</t>
  </si>
  <si>
    <t>5871 - Bank Fees</t>
  </si>
  <si>
    <t>5895 - Corporate Oversight Fee</t>
  </si>
  <si>
    <t>5896 - RSED Licensing Fee</t>
  </si>
  <si>
    <t>5898 - City Year</t>
  </si>
  <si>
    <t>5899 - SPED Encroachment</t>
  </si>
  <si>
    <t>5860 - Printing and Reproduction</t>
  </si>
  <si>
    <t>5900 - Communications</t>
  </si>
  <si>
    <t>5901 - Telephone</t>
  </si>
  <si>
    <t>5902 - Fax</t>
  </si>
  <si>
    <t>5903 - Cell Phone</t>
  </si>
  <si>
    <t>5904 - Internet</t>
  </si>
  <si>
    <t>5915 - Postage and Handling</t>
  </si>
  <si>
    <t>5910 - Community Communications</t>
  </si>
  <si>
    <t>Total Services and Other Operating Expenses</t>
  </si>
  <si>
    <t>Capital Outlay</t>
  </si>
  <si>
    <t>6401 - Computer Equipment</t>
  </si>
  <si>
    <t>6402 - Furniture</t>
  </si>
  <si>
    <t>6500 - Capitalized Capital Outlay</t>
  </si>
  <si>
    <t>6900 - Depreciation</t>
  </si>
  <si>
    <t>Total Capital Outlay</t>
  </si>
  <si>
    <t>7370 - Reserve</t>
  </si>
  <si>
    <t>7438 - Loan Interest</t>
  </si>
  <si>
    <t>Total Other Expenses</t>
  </si>
  <si>
    <t>Beginning Fund Balance</t>
  </si>
  <si>
    <t>Reserve Balance (%)</t>
  </si>
  <si>
    <t>Starting Cash Balance</t>
  </si>
  <si>
    <t>Required Reserves</t>
  </si>
  <si>
    <t>Loan Covenants</t>
  </si>
  <si>
    <t>COVENANT 1: Between Raza &amp; RSED/RS1/LLC:</t>
  </si>
  <si>
    <t>Minimum Coverage Ratio</t>
  </si>
  <si>
    <t>EBITDA</t>
  </si>
  <si>
    <t>Rocketship 1</t>
  </si>
  <si>
    <t>Rocketship Education</t>
  </si>
  <si>
    <t>Locust LLC</t>
  </si>
  <si>
    <t>Annual Debt Service</t>
  </si>
  <si>
    <t>Coverage Ratio</t>
  </si>
  <si>
    <t>Covenant Met?</t>
  </si>
  <si>
    <t xml:space="preserve">COVENANT 2: Between Between Raza &amp; Dobern LLC: </t>
  </si>
  <si>
    <t>COVENANT 3:  Between CSGF and RSED National</t>
  </si>
  <si>
    <t>Net Income before Philanthropy</t>
  </si>
  <si>
    <t>Philanthropy</t>
  </si>
  <si>
    <t>Profit &amp; Loss</t>
  </si>
  <si>
    <t>July 2008 - June 2009</t>
  </si>
  <si>
    <t>Consolidated</t>
  </si>
  <si>
    <t>RSED</t>
  </si>
  <si>
    <t>RS1 LLC CET</t>
  </si>
  <si>
    <t>RS2 LLC Dobern</t>
  </si>
  <si>
    <t>TOTAL</t>
  </si>
  <si>
    <t>Income</t>
  </si>
  <si>
    <t xml:space="preserve">   Federal Income</t>
  </si>
  <si>
    <t xml:space="preserve">      8180 SPED Federal Revenue</t>
  </si>
  <si>
    <t xml:space="preserve">         8181 Federal SPED Revenues</t>
  </si>
  <si>
    <t xml:space="preserve">         8182 SPED Federal Pr Yr</t>
  </si>
  <si>
    <t xml:space="preserve">      Total 8180 SPED Federal Revenue</t>
  </si>
  <si>
    <t xml:space="preserve">      8220 Child Nutrition Progs(Fed)</t>
  </si>
  <si>
    <t xml:space="preserve">         8221 Fed NSLP - PY</t>
  </si>
  <si>
    <t xml:space="preserve">      Total 8220 Child Nutrition Progs(Fed)</t>
  </si>
  <si>
    <t xml:space="preserve">      8290 ARRA Revenue</t>
  </si>
  <si>
    <t xml:space="preserve">         3011 ARRA Title I</t>
  </si>
  <si>
    <t xml:space="preserve">         3022-C ARRA Categorical</t>
  </si>
  <si>
    <t xml:space="preserve">         3022-G ARRA General Block Grant</t>
  </si>
  <si>
    <t xml:space="preserve">      Total 8290 ARRA Revenue</t>
  </si>
  <si>
    <t xml:space="preserve">      8298 Other Federal Revenues Prior Year</t>
  </si>
  <si>
    <t xml:space="preserve">      NCLB</t>
  </si>
  <si>
    <t xml:space="preserve">         8291 Title I</t>
  </si>
  <si>
    <t xml:space="preserve">         8292 Title II</t>
  </si>
  <si>
    <t xml:space="preserve">         8295 Title V - PCSGP Start Up Grant</t>
  </si>
  <si>
    <t xml:space="preserve">      Total NCLB</t>
  </si>
  <si>
    <t xml:space="preserve">   Total Federal Income</t>
  </si>
  <si>
    <t xml:space="preserve">   Internal Transfers</t>
  </si>
  <si>
    <t xml:space="preserve">      8691 Corporate School Service Fee Income</t>
  </si>
  <si>
    <t xml:space="preserve">      8692 Facility Fee Income</t>
  </si>
  <si>
    <t xml:space="preserve">   Total Internal Transfers</t>
  </si>
  <si>
    <t xml:space="preserve">   Other Local Revenues</t>
  </si>
  <si>
    <t xml:space="preserve">      8699 All Other Local Revenue</t>
  </si>
  <si>
    <t xml:space="preserve">         8616 Donated Property &amp; Services</t>
  </si>
  <si>
    <t xml:space="preserve">         8634 Food Service Sales(Caf&amp;Vend)</t>
  </si>
  <si>
    <t xml:space="preserve">         8637 Uniform Sales</t>
  </si>
  <si>
    <t xml:space="preserve">         8638 Other Local Fundraising</t>
  </si>
  <si>
    <t xml:space="preserve">         8660 Interest Income</t>
  </si>
  <si>
    <t xml:space="preserve">      Total 8699 All Other Local Revenue</t>
  </si>
  <si>
    <t xml:space="preserve">      Grants and Fundraising</t>
  </si>
  <si>
    <t xml:space="preserve">         8615 Private Grants</t>
  </si>
  <si>
    <t xml:space="preserve">      Total Grants and Fundraising</t>
  </si>
  <si>
    <t xml:space="preserve">   Total Other Local Revenues</t>
  </si>
  <si>
    <t xml:space="preserve">   Other State Revenues</t>
  </si>
  <si>
    <t xml:space="preserve">      8520 Child Nutrition - State</t>
  </si>
  <si>
    <t xml:space="preserve">      8590 All Other State Revenues</t>
  </si>
  <si>
    <t xml:space="preserve">         8319 Oth State Appornmts-Prior Yr</t>
  </si>
  <si>
    <t xml:space="preserve">         8399 Other State Apportionment - Current Year</t>
  </si>
  <si>
    <t xml:space="preserve">         8434 Class Size Reduction, K-3</t>
  </si>
  <si>
    <t xml:space="preserve">         8435 CSR - Pr YR</t>
  </si>
  <si>
    <t xml:space="preserve">         8560 Lottery - Non Prop 20</t>
  </si>
  <si>
    <t xml:space="preserve">         8561 Lottery - Prop 20</t>
  </si>
  <si>
    <t xml:space="preserve">         8562 Lottery - Prior Year</t>
  </si>
  <si>
    <t xml:space="preserve">         8591 Supplimental Hourly Instruction</t>
  </si>
  <si>
    <t xml:space="preserve">         8592 Facilities Reimb (SB 740)</t>
  </si>
  <si>
    <t xml:space="preserve">         8593 Arts &amp; Music</t>
  </si>
  <si>
    <t xml:space="preserve">         8594 State Revenues Released From Restriction</t>
  </si>
  <si>
    <t xml:space="preserve">      Total 8590 All Other State Revenues</t>
  </si>
  <si>
    <t xml:space="preserve">      Categorical Block Grant</t>
  </si>
  <si>
    <t xml:space="preserve">         8480 Categorical Block Grant-Current Year</t>
  </si>
  <si>
    <t xml:space="preserve">         8481 Categorical Block Grant - PY</t>
  </si>
  <si>
    <t xml:space="preserve">      Total Categorical Block Grant</t>
  </si>
  <si>
    <t xml:space="preserve">      SPED State</t>
  </si>
  <si>
    <t xml:space="preserve">         8570 SPED State Revenues</t>
  </si>
  <si>
    <t xml:space="preserve">         8571 SPED - State Mental Health</t>
  </si>
  <si>
    <t xml:space="preserve">         8572 SPED- State Pr Year</t>
  </si>
  <si>
    <t xml:space="preserve">      Total SPED State</t>
  </si>
  <si>
    <t xml:space="preserve">   Total Other State Revenues</t>
  </si>
  <si>
    <t xml:space="preserve">   Revenue Limit Sources</t>
  </si>
  <si>
    <t xml:space="preserve">      8015 General Block Grant</t>
  </si>
  <si>
    <t xml:space="preserve">      8019 Genl Block Grant - Prior Yrs</t>
  </si>
  <si>
    <t xml:space="preserve">      8020 Grade Level Expansion</t>
  </si>
  <si>
    <t xml:space="preserve">      8096 In-Lieu of Property Taxes</t>
  </si>
  <si>
    <t xml:space="preserve">      8097 PY In-Lieu of Property Taxes</t>
  </si>
  <si>
    <t xml:space="preserve">   Total Revenue Limit Sources</t>
  </si>
  <si>
    <t>Total Income</t>
  </si>
  <si>
    <t>Gross Profit</t>
  </si>
  <si>
    <t xml:space="preserve">   1000 Certificated Salaries</t>
  </si>
  <si>
    <t xml:space="preserve">      1100 Teacher Salaries</t>
  </si>
  <si>
    <t xml:space="preserve">         1110 Teachers-  Salaries</t>
  </si>
  <si>
    <t xml:space="preserve">         1115 Teacher Bonuses</t>
  </si>
  <si>
    <t xml:space="preserve">         1119 Substitute Teachers</t>
  </si>
  <si>
    <t xml:space="preserve">         1120 SPED- Resource Specialist</t>
  </si>
  <si>
    <t xml:space="preserve">         1190 Special Education-Other Instr.</t>
  </si>
  <si>
    <t xml:space="preserve">      Total 1100 Teacher Salaries</t>
  </si>
  <si>
    <t xml:space="preserve">      1300 Certificated Sup and Admin</t>
  </si>
  <si>
    <t xml:space="preserve">         1301 Cert Supervisor and Admin Salaries</t>
  </si>
  <si>
    <t xml:space="preserve">         1302 Cert Supervisor and Admin Bonuses</t>
  </si>
  <si>
    <t xml:space="preserve">      Total 1300 Certificated Sup and Admin</t>
  </si>
  <si>
    <t xml:space="preserve">   Total 1000 Certificated Salaries</t>
  </si>
  <si>
    <t xml:space="preserve">   2000 Classified Salaries</t>
  </si>
  <si>
    <t xml:space="preserve">      2100 Instructional Aids</t>
  </si>
  <si>
    <t xml:space="preserve">         2101 Instructional Aide Salaries</t>
  </si>
  <si>
    <t xml:space="preserve">      Total 2100 Instructional Aids</t>
  </si>
  <si>
    <t xml:space="preserve">      2200 Classified Support</t>
  </si>
  <si>
    <t xml:space="preserve">         2201 Classified Support Salaries</t>
  </si>
  <si>
    <t xml:space="preserve">      Total 2200 Classified Support</t>
  </si>
  <si>
    <t xml:space="preserve">      2300 Classified Supervisors</t>
  </si>
  <si>
    <t xml:space="preserve">         2301 Classified Supervisor Salaries</t>
  </si>
  <si>
    <t xml:space="preserve">         2302 Classified Supervisor Bonuses</t>
  </si>
  <si>
    <t xml:space="preserve">      Total 2300 Classified Supervisors</t>
  </si>
  <si>
    <t xml:space="preserve">      2400 Clerical and Office Staff</t>
  </si>
  <si>
    <t xml:space="preserve">         2401 Clerical/Tech/Office Staff Sal</t>
  </si>
  <si>
    <t xml:space="preserve">      Total 2400 Clerical and Office Staff</t>
  </si>
  <si>
    <t xml:space="preserve">      2900 Other Classified Salaries</t>
  </si>
  <si>
    <t xml:space="preserve">         2910 Volunteer Partnerships</t>
  </si>
  <si>
    <t xml:space="preserve">      Total 2900 Other Classified Salaries</t>
  </si>
  <si>
    <t xml:space="preserve">   Total 2000 Classified Salaries</t>
  </si>
  <si>
    <t xml:space="preserve">   3000 Employee Benefits</t>
  </si>
  <si>
    <t xml:space="preserve">      3100 STRS Expenses</t>
  </si>
  <si>
    <t xml:space="preserve">         3101 STRS certificated positions</t>
  </si>
  <si>
    <t xml:space="preserve">      Total 3100 STRS Expenses</t>
  </si>
  <si>
    <t xml:space="preserve">      3300 OASDI/Medicare</t>
  </si>
  <si>
    <t xml:space="preserve">         3301 OASDI/Med/Alt, certificated</t>
  </si>
  <si>
    <t xml:space="preserve">         3302 OASDI/Med/Alt, classified</t>
  </si>
  <si>
    <t xml:space="preserve">      Total 3300 OASDI/Medicare</t>
  </si>
  <si>
    <t xml:space="preserve">      3400 Health &amp; Other Benefits</t>
  </si>
  <si>
    <t xml:space="preserve">         3401 Health &amp; Welf Ben, certificated</t>
  </si>
  <si>
    <t xml:space="preserve">         3402 Health&amp;Welf Ben, classified</t>
  </si>
  <si>
    <t xml:space="preserve">      Total 3400 Health &amp; Other Benefits</t>
  </si>
  <si>
    <t xml:space="preserve">      3500 Unemployment Insurance</t>
  </si>
  <si>
    <t xml:space="preserve">         3501 State Unemp Ins, certificated</t>
  </si>
  <si>
    <t xml:space="preserve">         3502 State Unemp Ins, classified</t>
  </si>
  <si>
    <t xml:space="preserve">      Total 3500 Unemployment Insurance</t>
  </si>
  <si>
    <t xml:space="preserve">      3600 Worker's Compensation Insurance</t>
  </si>
  <si>
    <t xml:space="preserve">         3601 Worker Comp Ins, certificated</t>
  </si>
  <si>
    <t xml:space="preserve">         3602 Worker Comp Ins, classified</t>
  </si>
  <si>
    <t xml:space="preserve">      Total 3600 Worker's Compensation Insurance</t>
  </si>
  <si>
    <t xml:space="preserve">      3900 Other Benefits</t>
  </si>
  <si>
    <t xml:space="preserve">         3901 Other Benefits, certificated</t>
  </si>
  <si>
    <t xml:space="preserve">      Total 3900 Other Benefits</t>
  </si>
  <si>
    <t xml:space="preserve">   Total 3000 Employee Benefits</t>
  </si>
  <si>
    <t xml:space="preserve">   4000 Books and Supplies</t>
  </si>
  <si>
    <t xml:space="preserve">      4100 Textbooks and Core Materials</t>
  </si>
  <si>
    <t xml:space="preserve">         4111 Textbooks</t>
  </si>
  <si>
    <t xml:space="preserve">      Total 4100 Textbooks and Core Materials</t>
  </si>
  <si>
    <t xml:space="preserve">      4200 Books and Reference Materials</t>
  </si>
  <si>
    <t xml:space="preserve">         4210 Books</t>
  </si>
  <si>
    <t xml:space="preserve">      Total 4200 Books and Reference Materials</t>
  </si>
  <si>
    <t xml:space="preserve">      4300 Materials and Supplies</t>
  </si>
  <si>
    <t xml:space="preserve">         4320 Custodial Supplies</t>
  </si>
  <si>
    <t xml:space="preserve">         4340 Instructional Supplies</t>
  </si>
  <si>
    <t xml:space="preserve">         4345 Student Uniforms</t>
  </si>
  <si>
    <t xml:space="preserve">         4350 Office Supplies</t>
  </si>
  <si>
    <t xml:space="preserve">      Total 4300 Materials and Supplies</t>
  </si>
  <si>
    <t xml:space="preserve">      4400 Non-capitalized Equipment</t>
  </si>
  <si>
    <t xml:space="preserve">         4410 Software</t>
  </si>
  <si>
    <t xml:space="preserve">            4411 Software - Curriculum</t>
  </si>
  <si>
    <t xml:space="preserve">            4412 Software - Administrative</t>
  </si>
  <si>
    <t xml:space="preserve">            4413 Software - IT Infrastructure</t>
  </si>
  <si>
    <t xml:space="preserve">         Total 4410 Software</t>
  </si>
  <si>
    <t xml:space="preserve">         4420 Computer Equipment</t>
  </si>
  <si>
    <t xml:space="preserve">            4421 Student Computer Equipment</t>
  </si>
  <si>
    <t xml:space="preserve">            4422 Staff Computers</t>
  </si>
  <si>
    <t xml:space="preserve">         Total 4420 Computer Equipment</t>
  </si>
  <si>
    <t xml:space="preserve">         4430 Furniture</t>
  </si>
  <si>
    <t xml:space="preserve">      Total 4400 Non-capitalized Equipment</t>
  </si>
  <si>
    <t xml:space="preserve">      4700 Food</t>
  </si>
  <si>
    <t xml:space="preserve">         4710 Student Food Services</t>
  </si>
  <si>
    <t xml:space="preserve">         4720 Other Food</t>
  </si>
  <si>
    <t xml:space="preserve">      Total 4700 Food</t>
  </si>
  <si>
    <t xml:space="preserve">   Total 4000 Books and Supplies</t>
  </si>
  <si>
    <t xml:space="preserve">   5000 Services and Other Operating Expenses</t>
  </si>
  <si>
    <t xml:space="preserve">      5200 Travel &amp; Conferences</t>
  </si>
  <si>
    <t xml:space="preserve">         5201 Conference Fees</t>
  </si>
  <si>
    <t xml:space="preserve">         5202 Transportation and Lodging</t>
  </si>
  <si>
    <t xml:space="preserve">         5203 Meals and Entertainment</t>
  </si>
  <si>
    <t xml:space="preserve">         5204 Mileage</t>
  </si>
  <si>
    <t xml:space="preserve">         5205 Parking, Tolls, and Taxi</t>
  </si>
  <si>
    <t xml:space="preserve">      Total 5200 Travel &amp; Conferences</t>
  </si>
  <si>
    <t xml:space="preserve">      5300 Dues and Memberships</t>
  </si>
  <si>
    <t xml:space="preserve">         5302 Subscriptions</t>
  </si>
  <si>
    <t xml:space="preserve">      Total 5300 Dues and Memberships</t>
  </si>
  <si>
    <t xml:space="preserve">      5400 Insurance</t>
  </si>
  <si>
    <t xml:space="preserve">      5500 Operating and Housekeeping</t>
  </si>
  <si>
    <t xml:space="preserve">         5501 Gas &amp; Electric</t>
  </si>
  <si>
    <t xml:space="preserve">         5502 Waste Disposal</t>
  </si>
  <si>
    <t xml:space="preserve">         5530 Other Utilities</t>
  </si>
  <si>
    <t xml:space="preserve">      Total 5500 Operating and Housekeeping</t>
  </si>
  <si>
    <t xml:space="preserve">      5600 Rental, Leases, &amp; Repairs</t>
  </si>
  <si>
    <t xml:space="preserve">         5601 Rent</t>
  </si>
  <si>
    <t xml:space="preserve">         5602 Facility Fee</t>
  </si>
  <si>
    <t xml:space="preserve">         5605 Equipment and Furniture Lease</t>
  </si>
  <si>
    <t xml:space="preserve">         5610 Repairs and Maintenance</t>
  </si>
  <si>
    <t xml:space="preserve">            5611 Building Repairs</t>
  </si>
  <si>
    <t xml:space="preserve">            5613 Equipment Repairs</t>
  </si>
  <si>
    <t xml:space="preserve">         Total 5610 Repairs and Maintenance</t>
  </si>
  <si>
    <t xml:space="preserve">      Total 5600 Rental, Leases, &amp; Repairs</t>
  </si>
  <si>
    <t xml:space="preserve">      5800 Professional Services Cons/Ops</t>
  </si>
  <si>
    <t xml:space="preserve">         5802 Educational Consultants</t>
  </si>
  <si>
    <t xml:space="preserve">            5815 Evaluation Services</t>
  </si>
  <si>
    <t xml:space="preserve">            5821 Certification Expenses</t>
  </si>
  <si>
    <t xml:space="preserve">            5824 Consultants - City Year</t>
  </si>
  <si>
    <t xml:space="preserve">            5840 Contracted Substitutes</t>
  </si>
  <si>
    <t xml:space="preserve">         Total 5802 Educational Consultants</t>
  </si>
  <si>
    <t xml:space="preserve">         5804 Staff Training and Development</t>
  </si>
  <si>
    <t xml:space="preserve">         5805 Legal Fees</t>
  </si>
  <si>
    <t xml:space="preserve">         5806 Facility Contractors</t>
  </si>
  <si>
    <t xml:space="preserve">         5807 Technology Consultants</t>
  </si>
  <si>
    <t xml:space="preserve">         5809 Other Professional Services</t>
  </si>
  <si>
    <t xml:space="preserve">         5810 Marketing Consultants</t>
  </si>
  <si>
    <t xml:space="preserve">            5811 Advertising</t>
  </si>
  <si>
    <t xml:space="preserve">         Total 5810 Marketing Consultants</t>
  </si>
  <si>
    <t xml:space="preserve">         5814 SPED Consultants</t>
  </si>
  <si>
    <t xml:space="preserve">         5817 Finance and Acct Consultants</t>
  </si>
  <si>
    <t xml:space="preserve">            5803 Audit</t>
  </si>
  <si>
    <t xml:space="preserve">            5829 Payroll Expenses</t>
  </si>
  <si>
    <t xml:space="preserve">         Total 5817 Finance and Acct Consultants</t>
  </si>
  <si>
    <t xml:space="preserve">         5819 District Administrative Fee</t>
  </si>
  <si>
    <t xml:space="preserve">         5822 Operational Consultants</t>
  </si>
  <si>
    <t xml:space="preserve">            5818 Custodial Services</t>
  </si>
  <si>
    <t xml:space="preserve">            5820 Printing and Reproduction</t>
  </si>
  <si>
    <t xml:space="preserve">            5828 Security Services</t>
  </si>
  <si>
    <t xml:space="preserve">         Total 5822 Operational Consultants</t>
  </si>
  <si>
    <t xml:space="preserve">         5827 District Admin Fee-SPED</t>
  </si>
  <si>
    <t xml:space="preserve">         5833 Field Trips</t>
  </si>
  <si>
    <t xml:space="preserve">            5860 Student Transportation</t>
  </si>
  <si>
    <t xml:space="preserve">         Total 5833 Field Trips</t>
  </si>
  <si>
    <t xml:space="preserve">         5870 HR Consultants and Services</t>
  </si>
  <si>
    <t xml:space="preserve">            5816 Consultants - Staff Recruiting</t>
  </si>
  <si>
    <t xml:space="preserve">            5872 Fingerprinting/TB Testing</t>
  </si>
  <si>
    <t xml:space="preserve">         Total 5870 HR Consultants and Services</t>
  </si>
  <si>
    <t xml:space="preserve">         5880 RSED Fees</t>
  </si>
  <si>
    <t xml:space="preserve">            5881 Management Fee</t>
  </si>
  <si>
    <t xml:space="preserve">         Total 5880 RSED Fees</t>
  </si>
  <si>
    <t xml:space="preserve">         5888 Donated Consulting Services</t>
  </si>
  <si>
    <t xml:space="preserve">         5890 Financing Expenses</t>
  </si>
  <si>
    <t xml:space="preserve">            5891 Drawdown Expenses</t>
  </si>
  <si>
    <t xml:space="preserve">            5892 Bank Fees/Late Charges</t>
  </si>
  <si>
    <t xml:space="preserve">         Total 5890 Financing Expenses</t>
  </si>
  <si>
    <t xml:space="preserve">      Total 5800 Professional Services Cons/Ops</t>
  </si>
  <si>
    <t xml:space="preserve">      5900 Communications</t>
  </si>
  <si>
    <t xml:space="preserve">         5901 Telephone</t>
  </si>
  <si>
    <t xml:space="preserve">         5915 Postage and Handling</t>
  </si>
  <si>
    <t xml:space="preserve">      Total 5900 Communications</t>
  </si>
  <si>
    <t xml:space="preserve">   Total 5000 Services and Other Operating Expenses</t>
  </si>
  <si>
    <t xml:space="preserve">   6000 Capital Outlay</t>
  </si>
  <si>
    <t xml:space="preserve">      6900 Depreciation</t>
  </si>
  <si>
    <t xml:space="preserve">   Total 6000 Capital Outlay</t>
  </si>
  <si>
    <t xml:space="preserve">   7000 Other Outgo</t>
  </si>
  <si>
    <t xml:space="preserve">      7438 Interest</t>
  </si>
  <si>
    <t xml:space="preserve">   Total 7000 Other Outgo</t>
  </si>
  <si>
    <t>Net Operating Income</t>
  </si>
  <si>
    <t>Sunday, Oct 11, 2009 09:28:09 PM GMT-7 - Accrual Basis</t>
  </si>
</sst>
</file>

<file path=xl/styles.xml><?xml version="1.0" encoding="utf-8"?>
<styleSheet xmlns="http://schemas.openxmlformats.org/spreadsheetml/2006/main" xmlns:x14ac="http://schemas.microsoft.com/office/spreadsheetml/2009/9/ac" xmlns:mc="http://schemas.openxmlformats.org/markup-compatibility/2006">
  <numFmts count="24">
    <numFmt numFmtId="164" formatCode="_(* #,##0.00_);_(* \(#,##0.00\);_(* \-??_);_(@_)"/>
    <numFmt numFmtId="165" formatCode="\$#,##0"/>
    <numFmt numFmtId="166" formatCode="\$#,##0_);[RED]&quot;($&quot;#,##0\)"/>
    <numFmt numFmtId="167" formatCode="_(\$* #,##0_);_(\$* \(#,##0\);_(\$* \-??_);_(@_)"/>
    <numFmt numFmtId="168" formatCode="0.0"/>
    <numFmt numFmtId="169" formatCode="_(* #,##0_);_(* \(#,##0\);_(* \-??_);_(@_)"/>
    <numFmt numFmtId="170" formatCode="[$-409]#,##0_);[RED]\(#,##0\)"/>
    <numFmt numFmtId="171" formatCode="\$#,##0.00_);[RED]&quot;($&quot;#,##0.00\)"/>
    <numFmt numFmtId="172" formatCode="0.0%"/>
    <numFmt numFmtId="173" formatCode="0.0000%"/>
    <numFmt numFmtId="174" formatCode="0.000%"/>
    <numFmt numFmtId="175" formatCode="0_);[RED]\(0\)"/>
    <numFmt numFmtId="176" formatCode="\$#,##0.00"/>
    <numFmt numFmtId="177" formatCode="_(\$* #,##0.00_);_(\$* \(#,##0.00\);_(\$* \-??_);_(@_)"/>
    <numFmt numFmtId="178" formatCode="_(* #,##0.0_);_(* \(#,##0.0\);_(* \-??_);_(@_)"/>
    <numFmt numFmtId="179" formatCode="0.000"/>
    <numFmt numFmtId="180" formatCode="_(* #,##0.000_);_(* \(#,##0.000\);_(* \-??_);_(@_)"/>
    <numFmt numFmtId="181" formatCode="[$-409]#,##0_);\(#,##0\)"/>
    <numFmt numFmtId="182" formatCode="_(\$* #,##0.0_);_(\$* \(#,##0.0\);_(\$* \-??_);_(@_)"/>
    <numFmt numFmtId="183" formatCode="[$-409]#,##0.00_);[RED]\(#,##0.00\)"/>
    <numFmt numFmtId="184" formatCode="0.00000%"/>
    <numFmt numFmtId="185" formatCode="[$-409]#,##0.00_);\(#,##0.00\)"/>
    <numFmt numFmtId="186" formatCode="\$#,##0_);&quot;($&quot;#,##0\)"/>
    <numFmt numFmtId="187" formatCode="_(\$* #,##0.00_);_(\$* \(#,##0.00\);_(\$* \-??_);_(* @_)"/>
  </numFmts>
  <fonts count="40">
    <font>
      <sz val="10.0"/>
      <color rgb="FF000000"/>
      <name val="Arial"/>
      <scheme val="minor"/>
    </font>
    <font>
      <sz val="11.0"/>
      <color rgb="FF000000"/>
      <name val="Calibri"/>
    </font>
    <font>
      <b/>
      <sz val="11.0"/>
      <color rgb="FF000000"/>
      <name val="Calibri"/>
    </font>
    <font>
      <sz val="11.0"/>
      <color rgb="FFDD0806"/>
      <name val="Calibri"/>
    </font>
    <font/>
    <font>
      <sz val="11.0"/>
      <color rgb="FF3366FF"/>
      <name val="Calibri"/>
    </font>
    <font>
      <sz val="11.0"/>
      <color rgb="FFC0C0C0"/>
      <name val="Calibri"/>
    </font>
    <font>
      <b/>
      <sz val="11.0"/>
      <color rgb="FFDD0806"/>
      <name val="Calibri"/>
    </font>
    <font>
      <b/>
      <sz val="12.0"/>
      <color theme="1"/>
      <name val="Arial"/>
    </font>
    <font>
      <b/>
      <sz val="10.0"/>
      <color theme="1"/>
      <name val="Arial"/>
    </font>
    <font>
      <sz val="10.0"/>
      <color theme="1"/>
      <name val="Arial"/>
    </font>
    <font>
      <color theme="1"/>
      <name val="Arial"/>
      <scheme val="minor"/>
    </font>
    <font>
      <sz val="10.0"/>
      <color rgb="FF0000D4"/>
      <name val="Arial"/>
    </font>
    <font>
      <sz val="11.0"/>
      <color rgb="FF0000D4"/>
      <name val="Calibri"/>
    </font>
    <font>
      <b/>
      <sz val="10.0"/>
      <color rgb="FF0000D4"/>
      <name val="Arial"/>
    </font>
    <font>
      <b/>
      <sz val="10.0"/>
      <color rgb="FF3366FF"/>
      <name val="Arial"/>
    </font>
    <font>
      <b/>
      <sz val="16.0"/>
      <color theme="1"/>
      <name val="Arial"/>
    </font>
    <font>
      <sz val="10.0"/>
      <color rgb="FFDD0806"/>
      <name val="Arial"/>
    </font>
    <font>
      <sz val="10.0"/>
      <color rgb="FFFFFFFF"/>
      <name val="Arial"/>
    </font>
    <font>
      <b/>
      <sz val="14.0"/>
      <color theme="1"/>
      <name val="Arial"/>
    </font>
    <font>
      <b/>
      <sz val="8.0"/>
      <color theme="1"/>
      <name val="Arial"/>
    </font>
    <font>
      <b/>
      <sz val="10.0"/>
      <color rgb="FFFFFFFF"/>
      <name val="Arial"/>
    </font>
    <font>
      <sz val="8.0"/>
      <color theme="1"/>
      <name val="Arial"/>
    </font>
    <font>
      <i/>
      <sz val="10.0"/>
      <color theme="1"/>
      <name val="Arial"/>
    </font>
    <font>
      <b/>
      <i/>
      <sz val="10.0"/>
      <color theme="1"/>
      <name val="Arial"/>
    </font>
    <font>
      <b/>
      <sz val="10.0"/>
      <color rgb="FF969696"/>
      <name val="Arial"/>
    </font>
    <font>
      <sz val="10.0"/>
      <color rgb="FF969696"/>
      <name val="Arial"/>
    </font>
    <font>
      <b/>
      <sz val="10.0"/>
      <color rgb="FFDD0806"/>
      <name val="Arial"/>
    </font>
    <font>
      <sz val="10.0"/>
      <color rgb="FFC0C0C0"/>
      <name val="Arial"/>
    </font>
    <font>
      <b/>
      <sz val="8.0"/>
      <color rgb="FFDD0806"/>
      <name val="Arial"/>
    </font>
    <font>
      <i/>
      <sz val="10.0"/>
      <color rgb="FF0000D4"/>
      <name val="Arial"/>
    </font>
    <font>
      <i/>
      <sz val="8.0"/>
      <color rgb="FF969696"/>
      <name val="Arial"/>
    </font>
    <font>
      <sz val="10.0"/>
      <color rgb="FF000000"/>
      <name val="Arial"/>
    </font>
    <font>
      <sz val="8.0"/>
      <color rgb="FFDD0806"/>
      <name val="Arial"/>
    </font>
    <font>
      <b/>
      <sz val="11.0"/>
      <color rgb="FFFFFFFF"/>
      <name val="Calibri"/>
    </font>
    <font>
      <sz val="11.0"/>
      <color rgb="FFFFFFFF"/>
      <name val="Calibri"/>
    </font>
    <font>
      <b/>
      <sz val="9.0"/>
      <color theme="1"/>
      <name val="Arial"/>
    </font>
    <font>
      <b/>
      <i/>
      <sz val="8.0"/>
      <color theme="1"/>
      <name val="Arial"/>
    </font>
    <font>
      <sz val="10.0"/>
      <color rgb="FF00ABEA"/>
      <name val="Arial"/>
    </font>
    <font>
      <sz val="8.0"/>
      <color rgb="FF0000D4"/>
      <name val="Arial"/>
    </font>
  </fonts>
  <fills count="19">
    <fill>
      <patternFill patternType="none"/>
    </fill>
    <fill>
      <patternFill patternType="lightGray"/>
    </fill>
    <fill>
      <patternFill patternType="solid">
        <fgColor rgb="FF969696"/>
        <bgColor rgb="FF969696"/>
      </patternFill>
    </fill>
    <fill>
      <patternFill patternType="solid">
        <fgColor rgb="FFFCF305"/>
        <bgColor rgb="FFFCF305"/>
      </patternFill>
    </fill>
    <fill>
      <patternFill patternType="solid">
        <fgColor rgb="FFC0C0C0"/>
        <bgColor rgb="FFC0C0C0"/>
      </patternFill>
    </fill>
    <fill>
      <patternFill patternType="solid">
        <fgColor rgb="FFFFCC00"/>
        <bgColor rgb="FFFFCC00"/>
      </patternFill>
    </fill>
    <fill>
      <patternFill patternType="solid">
        <fgColor rgb="FF99CCFF"/>
        <bgColor rgb="FF99CCFF"/>
      </patternFill>
    </fill>
    <fill>
      <patternFill patternType="solid">
        <fgColor rgb="FFCCFFCC"/>
        <bgColor rgb="FFCCFFCC"/>
      </patternFill>
    </fill>
    <fill>
      <patternFill patternType="solid">
        <fgColor rgb="FFFFFF99"/>
        <bgColor rgb="FFFFFF99"/>
      </patternFill>
    </fill>
    <fill>
      <patternFill patternType="solid">
        <fgColor rgb="FF003366"/>
        <bgColor rgb="FF003366"/>
      </patternFill>
    </fill>
    <fill>
      <patternFill patternType="solid">
        <fgColor rgb="FF00ABEA"/>
        <bgColor rgb="FF00ABEA"/>
      </patternFill>
    </fill>
    <fill>
      <patternFill patternType="solid">
        <fgColor rgb="FFDD0806"/>
        <bgColor rgb="FFDD0806"/>
      </patternFill>
    </fill>
    <fill>
      <patternFill patternType="solid">
        <fgColor rgb="FFFFCC99"/>
        <bgColor rgb="FFFFCC99"/>
      </patternFill>
    </fill>
    <fill>
      <patternFill patternType="solid">
        <fgColor rgb="FF4EE257"/>
        <bgColor rgb="FF4EE257"/>
      </patternFill>
    </fill>
    <fill>
      <patternFill patternType="solid">
        <fgColor rgb="FF333399"/>
        <bgColor rgb="FF333399"/>
      </patternFill>
    </fill>
    <fill>
      <patternFill patternType="solid">
        <fgColor rgb="FFFF9900"/>
        <bgColor rgb="FFFF9900"/>
      </patternFill>
    </fill>
    <fill>
      <patternFill patternType="solid">
        <fgColor rgb="FFFFFFFF"/>
        <bgColor rgb="FFFFFFFF"/>
      </patternFill>
    </fill>
    <fill>
      <patternFill patternType="solid">
        <fgColor rgb="FF1FB714"/>
        <bgColor rgb="FF1FB714"/>
      </patternFill>
    </fill>
    <fill>
      <patternFill patternType="solid">
        <fgColor rgb="FFCC99FF"/>
        <bgColor rgb="FFCC99FF"/>
      </patternFill>
    </fill>
  </fills>
  <borders count="66">
    <border/>
    <border>
      <left/>
      <right/>
      <top style="medium">
        <color rgb="FF000000"/>
      </top>
      <bottom style="medium">
        <color rgb="FF000000"/>
      </bottom>
    </border>
    <border>
      <left style="medium">
        <color rgb="FF000000"/>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rder>
    <border>
      <top style="medium">
        <color rgb="FF000000"/>
      </top>
    </border>
    <border>
      <right style="medium">
        <color rgb="FF000000"/>
      </right>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bottom style="thin">
        <color rgb="FF000000"/>
      </bottom>
    </border>
    <border>
      <left/>
      <right/>
      <top/>
      <bottom/>
    </border>
    <border>
      <left/>
      <right/>
      <top/>
      <bottom style="thin">
        <color rgb="FF000000"/>
      </bottom>
    </border>
    <border>
      <left style="medium">
        <color rgb="FF000000"/>
      </left>
      <right/>
      <top style="medium">
        <color rgb="FF000000"/>
      </top>
      <bottom/>
    </border>
    <border>
      <left/>
      <right/>
      <top style="medium">
        <color rgb="FF000000"/>
      </top>
      <bottom/>
    </border>
    <border>
      <left style="medium">
        <color rgb="FF000000"/>
      </left>
      <right/>
      <top/>
      <bottom style="medium">
        <color rgb="FF000000"/>
      </bottom>
    </border>
    <border>
      <left/>
      <right/>
      <top/>
      <bottom style="medium">
        <color rgb="FF000000"/>
      </bottom>
    </border>
    <border>
      <left style="medium">
        <color rgb="FF000000"/>
      </left>
      <right/>
      <top style="thin">
        <color rgb="FF000000"/>
      </top>
      <bottom style="thin">
        <color rgb="FF000000"/>
      </bottom>
    </border>
    <border>
      <left/>
      <right/>
      <top style="thin">
        <color rgb="FF000000"/>
      </top>
      <bottom style="thin">
        <color rgb="FF000000"/>
      </bottom>
    </border>
    <border>
      <left style="medium">
        <color rgb="FF000000"/>
      </left>
      <top style="thin">
        <color rgb="FF000000"/>
      </top>
      <bottom style="thin">
        <color rgb="FF000000"/>
      </bottom>
    </border>
    <border>
      <top style="thin">
        <color rgb="FF000000"/>
      </top>
      <bottom style="thin">
        <color rgb="FF000000"/>
      </bottom>
    </border>
    <border>
      <top style="thin">
        <color rgb="FF000000"/>
      </top>
      <bottom style="double">
        <color rgb="FF000000"/>
      </bottom>
    </border>
    <border>
      <top style="thin">
        <color rgb="FF000000"/>
      </top>
      <bottom style="medium">
        <color rgb="FF000000"/>
      </bottom>
    </border>
    <border>
      <top style="thin">
        <color rgb="FF000000"/>
      </top>
    </border>
    <border>
      <left style="medium">
        <color rgb="FF000000"/>
      </left>
      <bottom style="thin">
        <color rgb="FF000000"/>
      </bottom>
    </border>
    <border>
      <left/>
      <right style="medium">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thin">
        <color rgb="FF000000"/>
      </right>
      <top style="medium">
        <color rgb="FF000000"/>
      </top>
      <bottom/>
    </border>
    <border>
      <left/>
      <right style="medium">
        <color rgb="FF000000"/>
      </right>
      <top/>
      <bottom style="medium">
        <color rgb="FF000000"/>
      </bottom>
    </border>
    <border>
      <left style="thin">
        <color rgb="FF000000"/>
      </left>
      <right style="thin">
        <color rgb="FF000000"/>
      </right>
      <top/>
      <bottom style="medium">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style="thin">
        <color rgb="FF000000"/>
      </left>
    </border>
    <border>
      <left style="thin">
        <color rgb="FF000000"/>
      </left>
      <right style="thin">
        <color rgb="FF000000"/>
      </right>
      <top style="medium">
        <color rgb="FF000000"/>
      </top>
    </border>
    <border>
      <left/>
      <right style="thin">
        <color rgb="FF000000"/>
      </right>
      <top style="medium">
        <color rgb="FF000000"/>
      </top>
      <bottom/>
    </border>
    <border>
      <left style="thin">
        <color rgb="FF000000"/>
      </left>
      <right style="thin">
        <color rgb="FF000000"/>
      </right>
      <bottom style="medium">
        <color rgb="FF000000"/>
      </bottom>
    </border>
    <border>
      <top style="medium">
        <color rgb="FF000000"/>
      </top>
      <bottom style="thin">
        <color rgb="FF000000"/>
      </bottom>
    </border>
    <border>
      <left style="thin">
        <color rgb="FF000000"/>
      </left>
      <right/>
      <top/>
      <bottom style="medium">
        <color rgb="FF000000"/>
      </bottom>
    </border>
    <border>
      <left style="thin">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top style="medium">
        <color rgb="FF000000"/>
      </top>
      <bottom style="thin">
        <color rgb="FF000000"/>
      </bottom>
    </border>
    <border>
      <left style="medium">
        <color rgb="FF000000"/>
      </left>
      <right/>
      <top/>
      <bottom/>
    </border>
    <border>
      <left/>
      <right style="medium">
        <color rgb="FF000000"/>
      </right>
      <top/>
      <bottom/>
    </border>
    <border>
      <left/>
      <right style="medium">
        <color rgb="FF000000"/>
      </right>
      <top/>
      <bottom style="thin">
        <color rgb="FF000000"/>
      </bottom>
    </border>
    <border>
      <left/>
      <right/>
      <top style="thin">
        <color rgb="FF000000"/>
      </top>
      <bottom style="double">
        <color rgb="FF000000"/>
      </bottom>
    </border>
    <border>
      <left/>
      <right/>
      <top style="thin">
        <color rgb="FF000000"/>
      </top>
      <bottom style="medium">
        <color rgb="FF000000"/>
      </bottom>
    </border>
    <border>
      <bottom style="double">
        <color rgb="FF000000"/>
      </bottom>
    </border>
    <border>
      <top style="double">
        <color rgb="FF000000"/>
      </top>
      <bottom style="medium">
        <color rgb="FF000000"/>
      </bottom>
    </border>
    <border>
      <left style="medium">
        <color rgb="FF000000"/>
      </left>
      <top style="thin">
        <color rgb="FF000000"/>
      </top>
      <bottom style="double">
        <color rgb="FF000000"/>
      </bottom>
    </border>
    <border>
      <left style="medium">
        <color rgb="FF000000"/>
      </left>
      <top style="thin">
        <color rgb="FF000000"/>
      </top>
    </border>
    <border>
      <left style="medium">
        <color rgb="FF000000"/>
      </left>
      <top style="thin">
        <color rgb="FF000000"/>
      </top>
      <bottom style="medium">
        <color rgb="FF000000"/>
      </bottom>
    </border>
    <border>
      <left style="medium">
        <color rgb="FF000000"/>
      </left>
      <right style="medium">
        <color rgb="FF000000"/>
      </right>
      <top style="medium">
        <color rgb="FF000000"/>
      </top>
      <bottom/>
    </border>
    <border>
      <left style="medium">
        <color rgb="FF000000"/>
      </left>
      <right style="medium">
        <color rgb="FF000000"/>
      </right>
      <top/>
      <bottom style="medium">
        <color rgb="FF000000"/>
      </bottom>
    </border>
    <border>
      <left style="medium">
        <color rgb="FF000000"/>
      </left>
      <right style="medium">
        <color rgb="FF000000"/>
      </right>
      <top style="medium">
        <color rgb="FF000000"/>
      </top>
      <bottom style="medium">
        <color rgb="FF000000"/>
      </bottom>
    </border>
    <border>
      <left/>
      <right/>
      <top style="double">
        <color rgb="FF000000"/>
      </top>
      <bottom style="double">
        <color rgb="FF000000"/>
      </bottom>
    </border>
    <border>
      <left/>
      <right/>
      <top style="double">
        <color rgb="FF000000"/>
      </top>
      <bottom/>
    </border>
    <border>
      <left style="medium">
        <color rgb="FF000000"/>
      </left>
      <right style="medium">
        <color rgb="FF000000"/>
      </right>
      <top style="medium">
        <color rgb="FF000000"/>
      </top>
    </border>
    <border>
      <left style="medium">
        <color rgb="FF000000"/>
      </left>
      <right style="medium">
        <color rgb="FF000000"/>
      </right>
      <bottom style="medium">
        <color rgb="FF000000"/>
      </bottom>
    </border>
  </borders>
  <cellStyleXfs count="1">
    <xf borderId="0" fillId="0" fontId="0" numFmtId="0" applyAlignment="1" applyFont="1"/>
  </cellStyleXfs>
  <cellXfs count="624">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2" numFmtId="0" xfId="0" applyAlignment="1" applyFont="1">
      <alignment shrinkToFit="0" vertical="bottom" wrapText="0"/>
    </xf>
    <xf borderId="0" fillId="0" fontId="1" numFmtId="3" xfId="0" applyAlignment="1" applyFont="1" applyNumberFormat="1">
      <alignment shrinkToFit="0" vertical="bottom" wrapText="0"/>
    </xf>
    <xf borderId="0" fillId="0" fontId="3" numFmtId="3" xfId="0" applyAlignment="1" applyFont="1" applyNumberFormat="1">
      <alignment horizontal="center" shrinkToFit="0" vertical="bottom" wrapText="0"/>
    </xf>
    <xf borderId="0" fillId="0" fontId="3" numFmtId="9" xfId="0" applyAlignment="1" applyFont="1" applyNumberFormat="1">
      <alignment horizontal="center" shrinkToFit="0" vertical="bottom" wrapText="0"/>
    </xf>
    <xf borderId="0" fillId="0" fontId="3" numFmtId="0" xfId="0" applyAlignment="1" applyFont="1">
      <alignment horizontal="center" shrinkToFit="0" vertical="bottom" wrapText="0"/>
    </xf>
    <xf borderId="0" fillId="0" fontId="3" numFmtId="1" xfId="0" applyAlignment="1" applyFont="1" applyNumberFormat="1">
      <alignment horizontal="center" shrinkToFit="0" vertical="bottom" wrapText="0"/>
    </xf>
    <xf borderId="1" fillId="2" fontId="2" numFmtId="0" xfId="0" applyAlignment="1" applyBorder="1" applyFill="1" applyFont="1">
      <alignment horizontal="center" shrinkToFit="0" vertical="bottom" wrapText="0"/>
    </xf>
    <xf borderId="0" fillId="0" fontId="1" numFmtId="3" xfId="0" applyAlignment="1" applyFont="1" applyNumberFormat="1">
      <alignment horizontal="center" shrinkToFit="0" vertical="bottom" wrapText="0"/>
    </xf>
    <xf borderId="0" fillId="0" fontId="1" numFmtId="1" xfId="0" applyAlignment="1" applyFont="1" applyNumberFormat="1">
      <alignment shrinkToFit="0" vertical="bottom" wrapText="0"/>
    </xf>
    <xf borderId="2" fillId="3" fontId="1" numFmtId="0" xfId="0" applyAlignment="1" applyBorder="1" applyFill="1" applyFont="1">
      <alignment shrinkToFit="0" vertical="bottom" wrapText="0"/>
    </xf>
    <xf borderId="1" fillId="3" fontId="3" numFmtId="0" xfId="0" applyAlignment="1" applyBorder="1" applyFont="1">
      <alignment horizontal="center" shrinkToFit="0" vertical="bottom" wrapText="0"/>
    </xf>
    <xf borderId="3" fillId="3" fontId="3" numFmtId="0" xfId="0" applyAlignment="1" applyBorder="1" applyFont="1">
      <alignment horizontal="center" shrinkToFit="0" vertical="bottom" wrapText="0"/>
    </xf>
    <xf borderId="0" fillId="0" fontId="1" numFmtId="0" xfId="0" applyAlignment="1" applyFont="1">
      <alignment horizontal="center" shrinkToFit="0" vertical="bottom" wrapText="0"/>
    </xf>
    <xf borderId="0" fillId="0" fontId="1" numFmtId="9" xfId="0" applyAlignment="1" applyFont="1" applyNumberFormat="1">
      <alignment horizontal="center" shrinkToFit="0" vertical="bottom" wrapText="0"/>
    </xf>
    <xf borderId="0" fillId="0" fontId="2" numFmtId="0" xfId="0" applyAlignment="1" applyFont="1">
      <alignment horizontal="center" shrinkToFit="0" vertical="bottom" wrapText="0"/>
    </xf>
    <xf borderId="4" fillId="4" fontId="2" numFmtId="0" xfId="0" applyAlignment="1" applyBorder="1" applyFill="1" applyFont="1">
      <alignment horizontal="center" shrinkToFit="0" vertical="bottom" wrapText="0"/>
    </xf>
    <xf borderId="5" fillId="0" fontId="4" numFmtId="0" xfId="0" applyBorder="1" applyFont="1"/>
    <xf borderId="6" fillId="0" fontId="4" numFmtId="0" xfId="0" applyBorder="1" applyFont="1"/>
    <xf borderId="7" fillId="0" fontId="2" numFmtId="0" xfId="0" applyAlignment="1" applyBorder="1" applyFont="1">
      <alignment shrinkToFit="0" vertical="bottom" wrapText="0"/>
    </xf>
    <xf borderId="8" fillId="0" fontId="2" numFmtId="0" xfId="0" applyAlignment="1" applyBorder="1" applyFont="1">
      <alignment horizontal="center" shrinkToFit="0" vertical="bottom" wrapText="0"/>
    </xf>
    <xf borderId="8" fillId="0" fontId="2" numFmtId="0" xfId="0" applyAlignment="1" applyBorder="1" applyFont="1">
      <alignment horizontal="left" shrinkToFit="0" vertical="bottom" wrapText="0"/>
    </xf>
    <xf borderId="8" fillId="0" fontId="1" numFmtId="0" xfId="0" applyAlignment="1" applyBorder="1" applyFont="1">
      <alignment shrinkToFit="0" vertical="bottom" wrapText="0"/>
    </xf>
    <xf borderId="8" fillId="0" fontId="2" numFmtId="0" xfId="0" applyAlignment="1" applyBorder="1" applyFont="1">
      <alignment shrinkToFit="0" vertical="bottom" wrapText="0"/>
    </xf>
    <xf borderId="9" fillId="0" fontId="2" numFmtId="0" xfId="0" applyAlignment="1" applyBorder="1" applyFont="1">
      <alignment horizontal="center" shrinkToFit="0" vertical="bottom" wrapText="0"/>
    </xf>
    <xf borderId="10" fillId="0" fontId="2" numFmtId="0" xfId="0" applyAlignment="1" applyBorder="1" applyFont="1">
      <alignment shrinkToFit="0" vertical="bottom" wrapText="0"/>
    </xf>
    <xf borderId="0" fillId="0" fontId="2" numFmtId="0" xfId="0" applyAlignment="1" applyFont="1">
      <alignment horizontal="left" shrinkToFit="0" vertical="bottom" wrapText="0"/>
    </xf>
    <xf borderId="9" fillId="0" fontId="1" numFmtId="0" xfId="0" applyAlignment="1" applyBorder="1" applyFont="1">
      <alignment shrinkToFit="0" vertical="bottom" wrapText="0"/>
    </xf>
    <xf borderId="10" fillId="0" fontId="1" numFmtId="0" xfId="0" applyAlignment="1" applyBorder="1" applyFont="1">
      <alignment horizontal="left" shrinkToFit="0" vertical="bottom" wrapText="0"/>
    </xf>
    <xf borderId="0" fillId="0" fontId="1" numFmtId="0" xfId="0" applyAlignment="1" applyFont="1">
      <alignment horizontal="left" shrinkToFit="0" vertical="bottom" wrapText="0"/>
    </xf>
    <xf borderId="9" fillId="0" fontId="3" numFmtId="0" xfId="0" applyAlignment="1" applyBorder="1" applyFont="1">
      <alignment horizontal="center" shrinkToFit="0" vertical="bottom" wrapText="0"/>
    </xf>
    <xf borderId="0" fillId="0" fontId="3" numFmtId="9" xfId="0" applyAlignment="1" applyFont="1" applyNumberFormat="1">
      <alignment shrinkToFit="0" vertical="bottom" wrapText="0"/>
    </xf>
    <xf borderId="9" fillId="0" fontId="3" numFmtId="9" xfId="0" applyAlignment="1" applyBorder="1" applyFont="1" applyNumberFormat="1">
      <alignment horizontal="center" shrinkToFit="0" vertical="bottom" wrapText="0"/>
    </xf>
    <xf borderId="10" fillId="0" fontId="1" numFmtId="0" xfId="0" applyAlignment="1" applyBorder="1" applyFont="1">
      <alignment shrinkToFit="0" vertical="bottom" wrapText="0"/>
    </xf>
    <xf borderId="11" fillId="0" fontId="1" numFmtId="0" xfId="0" applyAlignment="1" applyBorder="1" applyFont="1">
      <alignment horizontal="left" shrinkToFit="0" vertical="bottom" wrapText="0"/>
    </xf>
    <xf borderId="12" fillId="0" fontId="3" numFmtId="9" xfId="0" applyAlignment="1" applyBorder="1" applyFont="1" applyNumberFormat="1">
      <alignment horizontal="center" shrinkToFit="0" vertical="bottom" wrapText="0"/>
    </xf>
    <xf borderId="12" fillId="0" fontId="1" numFmtId="0" xfId="0" applyAlignment="1" applyBorder="1" applyFont="1">
      <alignment shrinkToFit="0" vertical="bottom" wrapText="0"/>
    </xf>
    <xf borderId="12" fillId="0" fontId="5" numFmtId="1" xfId="0" applyAlignment="1" applyBorder="1" applyFont="1" applyNumberFormat="1">
      <alignment horizontal="center" shrinkToFit="0" vertical="bottom" wrapText="0"/>
    </xf>
    <xf borderId="13" fillId="0" fontId="5" numFmtId="164" xfId="0" applyAlignment="1" applyBorder="1" applyFont="1" applyNumberFormat="1">
      <alignment horizontal="center" shrinkToFit="0" vertical="bottom" wrapText="0"/>
    </xf>
    <xf borderId="0" fillId="0" fontId="2" numFmtId="3" xfId="0" applyAlignment="1" applyFont="1" applyNumberFormat="1">
      <alignment horizontal="center" shrinkToFit="0" vertical="bottom" wrapText="0"/>
    </xf>
    <xf borderId="14" fillId="0" fontId="1" numFmtId="0" xfId="0" applyAlignment="1" applyBorder="1" applyFont="1">
      <alignment horizontal="center" shrinkToFit="0" vertical="bottom" wrapText="0"/>
    </xf>
    <xf borderId="14" fillId="0" fontId="1" numFmtId="3" xfId="0" applyAlignment="1" applyBorder="1" applyFont="1" applyNumberFormat="1">
      <alignment horizontal="center" shrinkToFit="0" vertical="bottom" wrapText="0"/>
    </xf>
    <xf borderId="0" fillId="0" fontId="1" numFmtId="164" xfId="0" applyAlignment="1" applyFont="1" applyNumberFormat="1">
      <alignment shrinkToFit="0" vertical="bottom" wrapText="0"/>
    </xf>
    <xf borderId="14" fillId="0" fontId="1" numFmtId="0" xfId="0" applyAlignment="1" applyBorder="1" applyFont="1">
      <alignment horizontal="left" shrinkToFit="0" vertical="bottom" wrapText="0"/>
    </xf>
    <xf borderId="14" fillId="0" fontId="1" numFmtId="0" xfId="0" applyAlignment="1" applyBorder="1" applyFont="1">
      <alignment shrinkToFit="0" vertical="bottom" wrapText="0"/>
    </xf>
    <xf borderId="0" fillId="0" fontId="2" numFmtId="3" xfId="0" applyAlignment="1" applyFont="1" applyNumberFormat="1">
      <alignment shrinkToFit="0" vertical="bottom" wrapText="0"/>
    </xf>
    <xf borderId="0" fillId="0" fontId="1" numFmtId="9" xfId="0" applyAlignment="1" applyFont="1" applyNumberFormat="1">
      <alignment shrinkToFit="0" vertical="bottom" wrapText="0"/>
    </xf>
    <xf borderId="1" fillId="2" fontId="2" numFmtId="0" xfId="0" applyAlignment="1" applyBorder="1" applyFont="1">
      <alignment shrinkToFit="0" vertical="bottom" wrapText="0"/>
    </xf>
    <xf borderId="0" fillId="0" fontId="6" numFmtId="0" xfId="0" applyAlignment="1" applyFont="1">
      <alignment shrinkToFit="0" vertical="bottom" wrapText="0"/>
    </xf>
    <xf borderId="0" fillId="0" fontId="7" numFmtId="1" xfId="0" applyAlignment="1" applyFont="1" applyNumberFormat="1">
      <alignment shrinkToFit="0" vertical="bottom" wrapText="0"/>
    </xf>
    <xf borderId="15" fillId="3" fontId="2" numFmtId="0" xfId="0" applyAlignment="1" applyBorder="1" applyFont="1">
      <alignment shrinkToFit="0" vertical="bottom" wrapText="0"/>
    </xf>
    <xf borderId="15" fillId="3" fontId="1" numFmtId="0" xfId="0" applyAlignment="1" applyBorder="1" applyFont="1">
      <alignment shrinkToFit="0" vertical="bottom" wrapText="0"/>
    </xf>
    <xf borderId="15" fillId="3" fontId="1" numFmtId="0" xfId="0" applyAlignment="1" applyBorder="1" applyFont="1">
      <alignment horizontal="center" shrinkToFit="0" vertical="bottom" wrapText="0"/>
    </xf>
    <xf borderId="15" fillId="3" fontId="1" numFmtId="3" xfId="0" applyAlignment="1" applyBorder="1" applyFont="1" applyNumberFormat="1">
      <alignment horizontal="center" shrinkToFit="0" vertical="bottom" wrapText="0"/>
    </xf>
    <xf borderId="15" fillId="3" fontId="2" numFmtId="0" xfId="0" applyAlignment="1" applyBorder="1" applyFont="1">
      <alignment horizontal="left" shrinkToFit="0" vertical="bottom" wrapText="0"/>
    </xf>
    <xf borderId="15" fillId="3" fontId="2" numFmtId="0" xfId="0" applyAlignment="1" applyBorder="1" applyFont="1">
      <alignment horizontal="center" shrinkToFit="0" vertical="bottom" wrapText="0"/>
    </xf>
    <xf borderId="0" fillId="0" fontId="7" numFmtId="0" xfId="0" applyAlignment="1" applyFont="1">
      <alignment shrinkToFit="0" vertical="bottom" wrapText="0"/>
    </xf>
    <xf borderId="15" fillId="3" fontId="2" numFmtId="3" xfId="0" applyAlignment="1" applyBorder="1" applyFont="1" applyNumberFormat="1">
      <alignment horizontal="center" shrinkToFit="0" vertical="bottom" wrapText="0"/>
    </xf>
    <xf borderId="16" fillId="3" fontId="1" numFmtId="0" xfId="0" applyAlignment="1" applyBorder="1" applyFont="1">
      <alignment shrinkToFit="0" vertical="bottom" wrapText="0"/>
    </xf>
    <xf borderId="16" fillId="3" fontId="1" numFmtId="0" xfId="0" applyAlignment="1" applyBorder="1" applyFont="1">
      <alignment horizontal="center" shrinkToFit="0" vertical="bottom" wrapText="0"/>
    </xf>
    <xf borderId="16" fillId="3" fontId="1" numFmtId="3" xfId="0" applyAlignment="1" applyBorder="1" applyFont="1" applyNumberFormat="1">
      <alignment horizontal="center" shrinkToFit="0" vertical="bottom" wrapText="0"/>
    </xf>
    <xf borderId="0" fillId="0" fontId="8" numFmtId="0" xfId="0" applyAlignment="1" applyFont="1">
      <alignment shrinkToFit="0" vertical="bottom" wrapText="0"/>
    </xf>
    <xf borderId="0" fillId="0" fontId="9" numFmtId="0" xfId="0" applyAlignment="1" applyFont="1">
      <alignment horizontal="center" shrinkToFit="0" vertical="bottom" wrapText="0"/>
    </xf>
    <xf borderId="0" fillId="0" fontId="10" numFmtId="0" xfId="0" applyAlignment="1" applyFont="1">
      <alignment horizontal="left" shrinkToFit="0" vertical="bottom" wrapText="0"/>
    </xf>
    <xf borderId="0" fillId="0" fontId="10" numFmtId="165" xfId="0" applyAlignment="1" applyFont="1" applyNumberFormat="1">
      <alignment shrinkToFit="0" vertical="bottom" wrapText="0"/>
    </xf>
    <xf borderId="0" fillId="0" fontId="9" numFmtId="0" xfId="0" applyAlignment="1" applyFont="1">
      <alignment horizontal="left" shrinkToFit="0" vertical="bottom" wrapText="0"/>
    </xf>
    <xf borderId="0" fillId="0" fontId="9" numFmtId="0" xfId="0" applyAlignment="1" applyFont="1">
      <alignment shrinkToFit="0" vertical="bottom" wrapText="0"/>
    </xf>
    <xf borderId="0" fillId="0" fontId="11" numFmtId="0" xfId="0" applyFont="1"/>
    <xf borderId="0" fillId="0" fontId="12" numFmtId="166" xfId="0" applyAlignment="1" applyFont="1" applyNumberFormat="1">
      <alignment horizontal="center" shrinkToFit="0" vertical="bottom" wrapText="0"/>
    </xf>
    <xf borderId="0" fillId="0" fontId="13" numFmtId="9" xfId="0" applyAlignment="1" applyFont="1" applyNumberFormat="1">
      <alignment horizontal="center" shrinkToFit="0" vertical="bottom" wrapText="0"/>
    </xf>
    <xf borderId="0" fillId="0" fontId="10" numFmtId="167" xfId="0" applyAlignment="1" applyFont="1" applyNumberFormat="1">
      <alignment horizontal="left" shrinkToFit="0" vertical="bottom" wrapText="0"/>
    </xf>
    <xf borderId="0" fillId="0" fontId="10" numFmtId="0" xfId="0" applyAlignment="1" applyFont="1">
      <alignment horizontal="center" shrinkToFit="0" vertical="bottom" wrapText="0"/>
    </xf>
    <xf borderId="0" fillId="0" fontId="12" numFmtId="3" xfId="0" applyAlignment="1" applyFont="1" applyNumberFormat="1">
      <alignment horizontal="center" shrinkToFit="0" vertical="bottom" wrapText="0"/>
    </xf>
    <xf borderId="0" fillId="0" fontId="13" numFmtId="1" xfId="0" applyAlignment="1" applyFont="1" applyNumberFormat="1">
      <alignment horizontal="center" shrinkToFit="0" vertical="bottom" wrapText="0"/>
    </xf>
    <xf borderId="0" fillId="0" fontId="12" numFmtId="9" xfId="0" applyAlignment="1" applyFont="1" applyNumberFormat="1">
      <alignment horizontal="center" shrinkToFit="0" vertical="bottom" wrapText="0"/>
    </xf>
    <xf borderId="0" fillId="0" fontId="9" numFmtId="165" xfId="0" applyAlignment="1" applyFont="1" applyNumberFormat="1">
      <alignment shrinkToFit="0" vertical="bottom" wrapText="0"/>
    </xf>
    <xf borderId="0" fillId="0" fontId="14" numFmtId="9" xfId="0" applyAlignment="1" applyFont="1" applyNumberFormat="1">
      <alignment horizontal="center" shrinkToFit="0" vertical="bottom" wrapText="0"/>
    </xf>
    <xf borderId="0" fillId="0" fontId="12" numFmtId="165" xfId="0" applyAlignment="1" applyFont="1" applyNumberFormat="1">
      <alignment horizontal="center" shrinkToFit="0" vertical="bottom" wrapText="0"/>
    </xf>
    <xf borderId="0" fillId="0" fontId="9" numFmtId="167" xfId="0" applyAlignment="1" applyFont="1" applyNumberFormat="1">
      <alignment shrinkToFit="0" vertical="bottom" wrapText="0"/>
    </xf>
    <xf borderId="15" fillId="5" fontId="15" numFmtId="0" xfId="0" applyAlignment="1" applyBorder="1" applyFill="1" applyFont="1">
      <alignment horizontal="center" shrinkToFit="0" vertical="bottom" wrapText="0"/>
    </xf>
    <xf borderId="0" fillId="0" fontId="14" numFmtId="168" xfId="0" applyAlignment="1" applyFont="1" applyNumberFormat="1">
      <alignment horizontal="center" shrinkToFit="0" vertical="bottom" wrapText="0"/>
    </xf>
    <xf borderId="0" fillId="0" fontId="12" numFmtId="1" xfId="0" applyAlignment="1" applyFont="1" applyNumberFormat="1">
      <alignment horizontal="center" shrinkToFit="0" vertical="bottom" wrapText="0"/>
    </xf>
    <xf borderId="14" fillId="0" fontId="10" numFmtId="0" xfId="0" applyAlignment="1" applyBorder="1" applyFont="1">
      <alignment horizontal="left" shrinkToFit="0" vertical="bottom" wrapText="0"/>
    </xf>
    <xf borderId="14" fillId="0" fontId="10" numFmtId="0" xfId="0" applyAlignment="1" applyBorder="1" applyFont="1">
      <alignment horizontal="center" shrinkToFit="0" vertical="bottom" wrapText="0"/>
    </xf>
    <xf borderId="14" fillId="0" fontId="12" numFmtId="1" xfId="0" applyAlignment="1" applyBorder="1" applyFont="1" applyNumberFormat="1">
      <alignment horizontal="center" shrinkToFit="0" vertical="bottom" wrapText="0"/>
    </xf>
    <xf borderId="0" fillId="0" fontId="9" numFmtId="1" xfId="0" applyAlignment="1" applyFont="1" applyNumberFormat="1">
      <alignment horizontal="center" shrinkToFit="0" vertical="bottom" wrapText="0"/>
    </xf>
    <xf borderId="14" fillId="0" fontId="10" numFmtId="0" xfId="0" applyAlignment="1" applyBorder="1" applyFont="1">
      <alignment shrinkToFit="0" vertical="bottom" wrapText="0"/>
    </xf>
    <xf borderId="0" fillId="0" fontId="9" numFmtId="169" xfId="0" applyAlignment="1" applyFont="1" applyNumberFormat="1">
      <alignment shrinkToFit="0" vertical="bottom" wrapText="0"/>
    </xf>
    <xf borderId="0" fillId="0" fontId="10" numFmtId="10" xfId="0" applyAlignment="1" applyFont="1" applyNumberFormat="1">
      <alignment shrinkToFit="0" vertical="bottom" wrapText="0"/>
    </xf>
    <xf borderId="0" fillId="0" fontId="10" numFmtId="0" xfId="0" applyAlignment="1" applyFont="1">
      <alignment shrinkToFit="0" vertical="bottom" wrapText="0"/>
    </xf>
    <xf borderId="0" fillId="0" fontId="10" numFmtId="9" xfId="0" applyAlignment="1" applyFont="1" applyNumberFormat="1">
      <alignment horizontal="center" shrinkToFit="0" vertical="bottom" wrapText="0"/>
    </xf>
    <xf borderId="15" fillId="3" fontId="10" numFmtId="9" xfId="0" applyAlignment="1" applyBorder="1" applyFont="1" applyNumberFormat="1">
      <alignment horizontal="center" shrinkToFit="0" vertical="bottom" wrapText="0"/>
    </xf>
    <xf borderId="0" fillId="0" fontId="10" numFmtId="166" xfId="0" applyAlignment="1" applyFont="1" applyNumberFormat="1">
      <alignment horizontal="center" shrinkToFit="0" vertical="bottom" wrapText="0"/>
    </xf>
    <xf borderId="17" fillId="6" fontId="16" numFmtId="0" xfId="0" applyAlignment="1" applyBorder="1" applyFill="1" applyFont="1">
      <alignment shrinkToFit="0" vertical="bottom" wrapText="0"/>
    </xf>
    <xf borderId="18" fillId="6" fontId="10" numFmtId="0" xfId="0" applyAlignment="1" applyBorder="1" applyFont="1">
      <alignment shrinkToFit="0" vertical="bottom" wrapText="0"/>
    </xf>
    <xf borderId="19" fillId="6" fontId="9" numFmtId="0" xfId="0" applyAlignment="1" applyBorder="1" applyFont="1">
      <alignment shrinkToFit="0" vertical="bottom" wrapText="0"/>
    </xf>
    <xf borderId="20" fillId="6" fontId="10" numFmtId="0" xfId="0" applyAlignment="1" applyBorder="1" applyFont="1">
      <alignment shrinkToFit="0" vertical="bottom" wrapText="0"/>
    </xf>
    <xf borderId="20" fillId="6" fontId="8" numFmtId="0" xfId="0" applyAlignment="1" applyBorder="1" applyFont="1">
      <alignment horizontal="center" shrinkToFit="0" vertical="bottom" wrapText="0"/>
    </xf>
    <xf borderId="0" fillId="0" fontId="10" numFmtId="167" xfId="0" applyAlignment="1" applyFont="1" applyNumberFormat="1">
      <alignment shrinkToFit="0" vertical="bottom" wrapText="0"/>
    </xf>
    <xf borderId="0" fillId="0" fontId="11" numFmtId="170" xfId="0" applyFont="1" applyNumberFormat="1"/>
    <xf borderId="0" fillId="0" fontId="10" numFmtId="170" xfId="0" applyAlignment="1" applyFont="1" applyNumberFormat="1">
      <alignment horizontal="center" shrinkToFit="0" vertical="bottom" wrapText="0"/>
    </xf>
    <xf borderId="0" fillId="0" fontId="10" numFmtId="169" xfId="0" applyAlignment="1" applyFont="1" applyNumberFormat="1">
      <alignment shrinkToFit="0" vertical="bottom" wrapText="0"/>
    </xf>
    <xf borderId="0" fillId="0" fontId="10" numFmtId="3" xfId="0" applyAlignment="1" applyFont="1" applyNumberFormat="1">
      <alignment horizontal="center" shrinkToFit="0" vertical="bottom" wrapText="0"/>
    </xf>
    <xf borderId="0" fillId="0" fontId="11" numFmtId="1" xfId="0" applyFont="1" applyNumberFormat="1"/>
    <xf borderId="21" fillId="7" fontId="9" numFmtId="0" xfId="0" applyAlignment="1" applyBorder="1" applyFill="1" applyFont="1">
      <alignment shrinkToFit="0" vertical="bottom" wrapText="0"/>
    </xf>
    <xf borderId="22" fillId="7" fontId="9" numFmtId="0" xfId="0" applyAlignment="1" applyBorder="1" applyFont="1">
      <alignment shrinkToFit="0" vertical="bottom" wrapText="0"/>
    </xf>
    <xf borderId="22" fillId="7" fontId="9" numFmtId="0" xfId="0" applyAlignment="1" applyBorder="1" applyFont="1">
      <alignment horizontal="center" shrinkToFit="0" vertical="bottom" wrapText="0"/>
    </xf>
    <xf borderId="23" fillId="0" fontId="9" numFmtId="0" xfId="0" applyAlignment="1" applyBorder="1" applyFont="1">
      <alignment shrinkToFit="0" vertical="bottom" wrapText="0"/>
    </xf>
    <xf borderId="24" fillId="0" fontId="9" numFmtId="0" xfId="0" applyAlignment="1" applyBorder="1" applyFont="1">
      <alignment shrinkToFit="0" vertical="bottom" wrapText="0"/>
    </xf>
    <xf borderId="24" fillId="0" fontId="9" numFmtId="0" xfId="0" applyAlignment="1" applyBorder="1" applyFont="1">
      <alignment horizontal="center" shrinkToFit="0" vertical="bottom" wrapText="0"/>
    </xf>
    <xf borderId="24" fillId="0" fontId="9" numFmtId="167" xfId="0" applyAlignment="1" applyBorder="1" applyFont="1" applyNumberFormat="1">
      <alignment horizontal="center" shrinkToFit="0" vertical="bottom" wrapText="0"/>
    </xf>
    <xf borderId="24" fillId="0" fontId="9" numFmtId="166" xfId="0" applyAlignment="1" applyBorder="1" applyFont="1" applyNumberFormat="1">
      <alignment horizontal="center" shrinkToFit="0" vertical="bottom" wrapText="0"/>
    </xf>
    <xf borderId="0" fillId="0" fontId="10" numFmtId="166" xfId="0" applyAlignment="1" applyFont="1" applyNumberFormat="1">
      <alignment shrinkToFit="0" vertical="bottom" wrapText="0"/>
    </xf>
    <xf borderId="0" fillId="0" fontId="9" numFmtId="167" xfId="0" applyAlignment="1" applyFont="1" applyNumberFormat="1">
      <alignment horizontal="center" shrinkToFit="0" vertical="bottom" wrapText="0"/>
    </xf>
    <xf borderId="0" fillId="0" fontId="9" numFmtId="166" xfId="0" applyAlignment="1" applyFont="1" applyNumberFormat="1">
      <alignment horizontal="center" shrinkToFit="0" vertical="bottom" wrapText="0"/>
    </xf>
    <xf borderId="0" fillId="0" fontId="17" numFmtId="166" xfId="0" applyAlignment="1" applyFont="1" applyNumberFormat="1">
      <alignment horizontal="center" shrinkToFit="0" vertical="bottom" wrapText="0"/>
    </xf>
    <xf borderId="14" fillId="0" fontId="10" numFmtId="166" xfId="0" applyAlignment="1" applyBorder="1" applyFont="1" applyNumberFormat="1">
      <alignment shrinkToFit="0" vertical="bottom" wrapText="0"/>
    </xf>
    <xf borderId="14" fillId="0" fontId="17" numFmtId="166" xfId="0" applyAlignment="1" applyBorder="1" applyFont="1" applyNumberFormat="1">
      <alignment horizontal="center" shrinkToFit="0" vertical="bottom" wrapText="0"/>
    </xf>
    <xf borderId="14" fillId="0" fontId="10" numFmtId="166" xfId="0" applyAlignment="1" applyBorder="1" applyFont="1" applyNumberFormat="1">
      <alignment horizontal="center" shrinkToFit="0" vertical="bottom" wrapText="0"/>
    </xf>
    <xf borderId="15" fillId="8" fontId="9" numFmtId="0" xfId="0" applyAlignment="1" applyBorder="1" applyFill="1" applyFont="1">
      <alignment shrinkToFit="0" vertical="bottom" wrapText="0"/>
    </xf>
    <xf borderId="15" fillId="8" fontId="9" numFmtId="167" xfId="0" applyAlignment="1" applyBorder="1" applyFont="1" applyNumberFormat="1">
      <alignment shrinkToFit="0" vertical="bottom" wrapText="0"/>
    </xf>
    <xf borderId="15" fillId="8" fontId="9" numFmtId="166" xfId="0" applyAlignment="1" applyBorder="1" applyFont="1" applyNumberFormat="1">
      <alignment shrinkToFit="0" vertical="bottom" wrapText="0"/>
    </xf>
    <xf borderId="0" fillId="0" fontId="10" numFmtId="170" xfId="0" applyAlignment="1" applyFont="1" applyNumberFormat="1">
      <alignment shrinkToFit="0" vertical="bottom" wrapText="0"/>
    </xf>
    <xf borderId="14" fillId="0" fontId="10" numFmtId="170" xfId="0" applyAlignment="1" applyBorder="1" applyFont="1" applyNumberFormat="1">
      <alignment shrinkToFit="0" vertical="bottom" wrapText="0"/>
    </xf>
    <xf borderId="14" fillId="0" fontId="10" numFmtId="167" xfId="0" applyAlignment="1" applyBorder="1" applyFont="1" applyNumberFormat="1">
      <alignment shrinkToFit="0" vertical="bottom" wrapText="0"/>
    </xf>
    <xf borderId="25" fillId="0" fontId="9" numFmtId="0" xfId="0" applyAlignment="1" applyBorder="1" applyFont="1">
      <alignment shrinkToFit="0" vertical="bottom" wrapText="0"/>
    </xf>
    <xf borderId="25" fillId="0" fontId="9" numFmtId="170" xfId="0" applyAlignment="1" applyBorder="1" applyFont="1" applyNumberFormat="1">
      <alignment shrinkToFit="0" vertical="bottom" wrapText="0"/>
    </xf>
    <xf borderId="25" fillId="0" fontId="9" numFmtId="167" xfId="0" applyAlignment="1" applyBorder="1" applyFont="1" applyNumberFormat="1">
      <alignment shrinkToFit="0" vertical="bottom" wrapText="0"/>
    </xf>
    <xf borderId="25" fillId="0" fontId="9" numFmtId="166" xfId="0" applyAlignment="1" applyBorder="1" applyFont="1" applyNumberFormat="1">
      <alignment shrinkToFit="0" vertical="bottom" wrapText="0"/>
    </xf>
    <xf borderId="25" fillId="0" fontId="9" numFmtId="166" xfId="0" applyAlignment="1" applyBorder="1" applyFont="1" applyNumberFormat="1">
      <alignment horizontal="center" shrinkToFit="0" vertical="bottom" wrapText="0"/>
    </xf>
    <xf borderId="26" fillId="0" fontId="9" numFmtId="0" xfId="0" applyAlignment="1" applyBorder="1" applyFont="1">
      <alignment shrinkToFit="0" vertical="bottom" wrapText="0"/>
    </xf>
    <xf borderId="26" fillId="0" fontId="9" numFmtId="170" xfId="0" applyAlignment="1" applyBorder="1" applyFont="1" applyNumberFormat="1">
      <alignment shrinkToFit="0" vertical="bottom" wrapText="0"/>
    </xf>
    <xf borderId="26" fillId="0" fontId="9" numFmtId="166" xfId="0" applyAlignment="1" applyBorder="1" applyFont="1" applyNumberFormat="1">
      <alignment horizontal="center" shrinkToFit="0" vertical="bottom" wrapText="0"/>
    </xf>
    <xf borderId="27" fillId="0" fontId="9" numFmtId="0" xfId="0" applyAlignment="1" applyBorder="1" applyFont="1">
      <alignment shrinkToFit="0" vertical="bottom" wrapText="0"/>
    </xf>
    <xf borderId="27" fillId="0" fontId="9" numFmtId="170" xfId="0" applyAlignment="1" applyBorder="1" applyFont="1" applyNumberFormat="1">
      <alignment shrinkToFit="0" vertical="bottom" wrapText="0"/>
    </xf>
    <xf borderId="27" fillId="0" fontId="9" numFmtId="166" xfId="0" applyAlignment="1" applyBorder="1" applyFont="1" applyNumberFormat="1">
      <alignment horizontal="center" shrinkToFit="0" vertical="bottom" wrapText="0"/>
    </xf>
    <xf borderId="0" fillId="0" fontId="9" numFmtId="170" xfId="0" applyAlignment="1" applyFont="1" applyNumberFormat="1">
      <alignment shrinkToFit="0" vertical="bottom" wrapText="0"/>
    </xf>
    <xf borderId="28" fillId="0" fontId="9" numFmtId="0" xfId="0" applyAlignment="1" applyBorder="1" applyFont="1">
      <alignment shrinkToFit="0" vertical="bottom" wrapText="0"/>
    </xf>
    <xf borderId="14" fillId="0" fontId="9" numFmtId="0" xfId="0" applyAlignment="1" applyBorder="1" applyFont="1">
      <alignment shrinkToFit="0" vertical="bottom" wrapText="0"/>
    </xf>
    <xf borderId="14" fillId="0" fontId="9" numFmtId="0" xfId="0" applyAlignment="1" applyBorder="1" applyFont="1">
      <alignment horizontal="center" shrinkToFit="0" vertical="bottom" wrapText="0"/>
    </xf>
    <xf borderId="14" fillId="0" fontId="9" numFmtId="166" xfId="0" applyAlignment="1" applyBorder="1" applyFont="1" applyNumberFormat="1">
      <alignment horizontal="center" shrinkToFit="0" vertical="bottom" wrapText="0"/>
    </xf>
    <xf borderId="0" fillId="0" fontId="9" numFmtId="166" xfId="0" applyAlignment="1" applyFont="1" applyNumberFormat="1">
      <alignment shrinkToFit="0" vertical="bottom" wrapText="0"/>
    </xf>
    <xf borderId="24" fillId="0" fontId="10" numFmtId="0" xfId="0" applyAlignment="1" applyBorder="1" applyFont="1">
      <alignment shrinkToFit="0" vertical="bottom" wrapText="0"/>
    </xf>
    <xf borderId="24" fillId="0" fontId="10" numFmtId="170" xfId="0" applyAlignment="1" applyBorder="1" applyFont="1" applyNumberFormat="1">
      <alignment shrinkToFit="0" vertical="bottom" wrapText="0"/>
    </xf>
    <xf borderId="24" fillId="0" fontId="10" numFmtId="167" xfId="0" applyAlignment="1" applyBorder="1" applyFont="1" applyNumberFormat="1">
      <alignment shrinkToFit="0" vertical="bottom" wrapText="0"/>
    </xf>
    <xf borderId="24" fillId="0" fontId="10" numFmtId="166" xfId="0" applyAlignment="1" applyBorder="1" applyFont="1" applyNumberFormat="1">
      <alignment horizontal="center" shrinkToFit="0" vertical="bottom" wrapText="0"/>
    </xf>
    <xf borderId="0" fillId="0" fontId="10" numFmtId="167" xfId="0" applyAlignment="1" applyFont="1" applyNumberFormat="1">
      <alignment horizontal="center" shrinkToFit="0" vertical="bottom" wrapText="0"/>
    </xf>
    <xf borderId="27" fillId="0" fontId="10" numFmtId="0" xfId="0" applyAlignment="1" applyBorder="1" applyFont="1">
      <alignment shrinkToFit="0" vertical="bottom" wrapText="0"/>
    </xf>
    <xf borderId="27" fillId="0" fontId="10" numFmtId="170" xfId="0" applyAlignment="1" applyBorder="1" applyFont="1" applyNumberFormat="1">
      <alignment shrinkToFit="0" vertical="bottom" wrapText="0"/>
    </xf>
    <xf borderId="27" fillId="0" fontId="10" numFmtId="167" xfId="0" applyAlignment="1" applyBorder="1" applyFont="1" applyNumberFormat="1">
      <alignment shrinkToFit="0" vertical="bottom" wrapText="0"/>
    </xf>
    <xf borderId="27" fillId="0" fontId="10" numFmtId="166" xfId="0" applyAlignment="1" applyBorder="1" applyFont="1" applyNumberFormat="1">
      <alignment horizontal="center" shrinkToFit="0" vertical="bottom" wrapText="0"/>
    </xf>
    <xf borderId="0" fillId="0" fontId="10" numFmtId="9" xfId="0" applyAlignment="1" applyFont="1" applyNumberFormat="1">
      <alignment shrinkToFit="0" vertical="bottom" wrapText="0"/>
    </xf>
    <xf borderId="0" fillId="0" fontId="18" numFmtId="167" xfId="0" applyAlignment="1" applyFont="1" applyNumberFormat="1">
      <alignment shrinkToFit="0" vertical="bottom" wrapText="0"/>
    </xf>
    <xf borderId="0" fillId="0" fontId="18" numFmtId="166" xfId="0" applyAlignment="1" applyFont="1" applyNumberFormat="1">
      <alignment horizontal="center" shrinkToFit="0" vertical="bottom" wrapText="0"/>
    </xf>
    <xf borderId="0" fillId="0" fontId="10" numFmtId="171" xfId="0" applyAlignment="1" applyFont="1" applyNumberFormat="1">
      <alignment shrinkToFit="0" vertical="bottom" wrapText="0"/>
    </xf>
    <xf borderId="22" fillId="7" fontId="9" numFmtId="166" xfId="0" applyAlignment="1" applyBorder="1" applyFont="1" applyNumberFormat="1">
      <alignment horizontal="center" shrinkToFit="0" vertical="bottom" wrapText="0"/>
    </xf>
    <xf borderId="0" fillId="0" fontId="12" numFmtId="9" xfId="0" applyAlignment="1" applyFont="1" applyNumberFormat="1">
      <alignment shrinkToFit="0" vertical="bottom" wrapText="0"/>
    </xf>
    <xf borderId="17" fillId="6" fontId="19" numFmtId="0" xfId="0" applyAlignment="1" applyBorder="1" applyFont="1">
      <alignment shrinkToFit="0" vertical="bottom" wrapText="0"/>
    </xf>
    <xf borderId="29" fillId="6" fontId="10" numFmtId="0" xfId="0" applyAlignment="1" applyBorder="1" applyFont="1">
      <alignment shrinkToFit="0" vertical="bottom" wrapText="0"/>
    </xf>
    <xf borderId="30" fillId="6" fontId="9" numFmtId="0" xfId="0" applyAlignment="1" applyBorder="1" applyFont="1">
      <alignment horizontal="center" shrinkToFit="0" vertical="bottom" wrapText="0"/>
    </xf>
    <xf borderId="31" fillId="6" fontId="9" numFmtId="0" xfId="0" applyAlignment="1" applyBorder="1" applyFont="1">
      <alignment horizontal="center" shrinkToFit="0" vertical="bottom" wrapText="0"/>
    </xf>
    <xf borderId="32" fillId="6" fontId="9" numFmtId="0" xfId="0" applyAlignment="1" applyBorder="1" applyFont="1">
      <alignment horizontal="center" shrinkToFit="0" vertical="bottom" wrapText="0"/>
    </xf>
    <xf borderId="33" fillId="6" fontId="10" numFmtId="0" xfId="0" applyAlignment="1" applyBorder="1" applyFont="1">
      <alignment shrinkToFit="0" vertical="bottom" wrapText="0"/>
    </xf>
    <xf borderId="34" fillId="6" fontId="20" numFmtId="0" xfId="0" applyAlignment="1" applyBorder="1" applyFont="1">
      <alignment horizontal="center" shrinkToFit="0" vertical="bottom" wrapText="0"/>
    </xf>
    <xf borderId="34" fillId="6" fontId="9" numFmtId="0" xfId="0" applyAlignment="1" applyBorder="1" applyFont="1">
      <alignment horizontal="center" shrinkToFit="0" vertical="bottom" wrapText="0"/>
    </xf>
    <xf borderId="35" fillId="6" fontId="9" numFmtId="0" xfId="0" applyAlignment="1" applyBorder="1" applyFont="1">
      <alignment horizontal="center" shrinkToFit="0" vertical="bottom" wrapText="0"/>
    </xf>
    <xf borderId="36" fillId="6" fontId="9" numFmtId="0" xfId="0" applyAlignment="1" applyBorder="1" applyFont="1">
      <alignment horizontal="center" shrinkToFit="0" vertical="bottom" wrapText="0"/>
    </xf>
    <xf borderId="37" fillId="6" fontId="9" numFmtId="0" xfId="0" applyAlignment="1" applyBorder="1" applyFont="1">
      <alignment horizontal="center" shrinkToFit="0" vertical="bottom" wrapText="0"/>
    </xf>
    <xf borderId="8" fillId="0" fontId="14" numFmtId="0" xfId="0" applyAlignment="1" applyBorder="1" applyFont="1">
      <alignment shrinkToFit="0" vertical="bottom" wrapText="0"/>
    </xf>
    <xf borderId="16" fillId="9" fontId="21" numFmtId="0" xfId="0" applyAlignment="1" applyBorder="1" applyFill="1" applyFont="1">
      <alignment shrinkToFit="0" vertical="bottom" wrapText="0"/>
    </xf>
    <xf borderId="22" fillId="9" fontId="21" numFmtId="0" xfId="0" applyAlignment="1" applyBorder="1" applyFont="1">
      <alignment shrinkToFit="0" vertical="bottom" wrapText="0"/>
    </xf>
    <xf borderId="38" fillId="7" fontId="9" numFmtId="0" xfId="0" applyAlignment="1" applyBorder="1" applyFont="1">
      <alignment shrinkToFit="0" vertical="bottom" wrapText="0"/>
    </xf>
    <xf borderId="39" fillId="7" fontId="9" numFmtId="0" xfId="0" applyAlignment="1" applyBorder="1" applyFont="1">
      <alignment shrinkToFit="0" vertical="bottom" wrapText="0"/>
    </xf>
    <xf borderId="22" fillId="7" fontId="9" numFmtId="169" xfId="0" applyAlignment="1" applyBorder="1" applyFont="1" applyNumberFormat="1">
      <alignment horizontal="center" shrinkToFit="0" vertical="bottom" wrapText="0"/>
    </xf>
    <xf borderId="22" fillId="7" fontId="9" numFmtId="167" xfId="0" applyAlignment="1" applyBorder="1" applyFont="1" applyNumberFormat="1">
      <alignment shrinkToFit="0" vertical="bottom" wrapText="0"/>
    </xf>
    <xf borderId="0" fillId="0" fontId="10" numFmtId="169" xfId="0" applyAlignment="1" applyFont="1" applyNumberFormat="1">
      <alignment horizontal="center" shrinkToFit="0" vertical="bottom" wrapText="0"/>
    </xf>
    <xf borderId="0" fillId="0" fontId="10" numFmtId="165" xfId="0" applyAlignment="1" applyFont="1" applyNumberFormat="1">
      <alignment horizontal="center" shrinkToFit="0" vertical="bottom" wrapText="0"/>
    </xf>
    <xf borderId="0" fillId="0" fontId="10" numFmtId="172" xfId="0" applyAlignment="1" applyFont="1" applyNumberFormat="1">
      <alignment shrinkToFit="0" vertical="bottom" wrapText="0"/>
    </xf>
    <xf borderId="0" fillId="0" fontId="10" numFmtId="172" xfId="0" applyAlignment="1" applyFont="1" applyNumberFormat="1">
      <alignment horizontal="center" shrinkToFit="0" vertical="bottom" wrapText="0"/>
    </xf>
    <xf borderId="0" fillId="0" fontId="10" numFmtId="10" xfId="0" applyAlignment="1" applyFont="1" applyNumberFormat="1">
      <alignment horizontal="center" shrinkToFit="0" vertical="bottom" wrapText="0"/>
    </xf>
    <xf borderId="14" fillId="0" fontId="10" numFmtId="169" xfId="0" applyAlignment="1" applyBorder="1" applyFont="1" applyNumberFormat="1">
      <alignment horizontal="center" shrinkToFit="0" vertical="bottom" wrapText="0"/>
    </xf>
    <xf borderId="14" fillId="0" fontId="10" numFmtId="9" xfId="0" applyAlignment="1" applyBorder="1" applyFont="1" applyNumberFormat="1">
      <alignment horizontal="center" shrinkToFit="0" vertical="bottom" wrapText="0"/>
    </xf>
    <xf borderId="14" fillId="0" fontId="10" numFmtId="172" xfId="0" applyAlignment="1" applyBorder="1" applyFont="1" applyNumberFormat="1">
      <alignment horizontal="center" shrinkToFit="0" vertical="bottom" wrapText="0"/>
    </xf>
    <xf borderId="14" fillId="0" fontId="10" numFmtId="10" xfId="0" applyAlignment="1" applyBorder="1" applyFont="1" applyNumberFormat="1">
      <alignment horizontal="center" shrinkToFit="0" vertical="bottom" wrapText="0"/>
    </xf>
    <xf borderId="0" fillId="0" fontId="9" numFmtId="9" xfId="0" applyAlignment="1" applyFont="1" applyNumberFormat="1">
      <alignment shrinkToFit="0" vertical="bottom" wrapText="0"/>
    </xf>
    <xf borderId="0" fillId="0" fontId="9" numFmtId="169" xfId="0" applyAlignment="1" applyFont="1" applyNumberFormat="1">
      <alignment horizontal="center" shrinkToFit="0" vertical="bottom" wrapText="0"/>
    </xf>
    <xf borderId="0" fillId="0" fontId="9" numFmtId="9" xfId="0" applyAlignment="1" applyFont="1" applyNumberFormat="1">
      <alignment horizontal="center" shrinkToFit="0" vertical="bottom" wrapText="0"/>
    </xf>
    <xf borderId="0" fillId="0" fontId="9" numFmtId="172" xfId="0" applyAlignment="1" applyFont="1" applyNumberFormat="1">
      <alignment horizontal="center" shrinkToFit="0" vertical="bottom" wrapText="0"/>
    </xf>
    <xf borderId="0" fillId="0" fontId="9" numFmtId="10" xfId="0" applyAlignment="1" applyFont="1" applyNumberFormat="1">
      <alignment horizontal="center" shrinkToFit="0" vertical="bottom" wrapText="0"/>
    </xf>
    <xf borderId="0" fillId="0" fontId="9" numFmtId="173" xfId="0" applyAlignment="1" applyFont="1" applyNumberFormat="1">
      <alignment horizontal="center" shrinkToFit="0" vertical="bottom" wrapText="0"/>
    </xf>
    <xf borderId="0" fillId="0" fontId="10" numFmtId="173" xfId="0" applyAlignment="1" applyFont="1" applyNumberFormat="1">
      <alignment horizontal="center" shrinkToFit="0" vertical="bottom" wrapText="0"/>
    </xf>
    <xf borderId="0" fillId="0" fontId="9" numFmtId="164" xfId="0" applyAlignment="1" applyFont="1" applyNumberFormat="1">
      <alignment shrinkToFit="0" vertical="bottom" wrapText="0"/>
    </xf>
    <xf borderId="0" fillId="0" fontId="9" numFmtId="164" xfId="0" applyAlignment="1" applyFont="1" applyNumberFormat="1">
      <alignment horizontal="center" shrinkToFit="0" vertical="bottom" wrapText="0"/>
    </xf>
    <xf borderId="0" fillId="0" fontId="10" numFmtId="174" xfId="0" applyAlignment="1" applyFont="1" applyNumberFormat="1">
      <alignment horizontal="center" shrinkToFit="0" vertical="bottom" wrapText="0"/>
    </xf>
    <xf borderId="0" fillId="0" fontId="22" numFmtId="0" xfId="0" applyAlignment="1" applyFont="1">
      <alignment shrinkToFit="0" vertical="bottom" wrapText="0"/>
    </xf>
    <xf borderId="0" fillId="0" fontId="10" numFmtId="1" xfId="0" applyAlignment="1" applyFont="1" applyNumberFormat="1">
      <alignment horizontal="center" shrinkToFit="0" vertical="bottom" wrapText="0"/>
    </xf>
    <xf borderId="14" fillId="0" fontId="10" numFmtId="1" xfId="0" applyAlignment="1" applyBorder="1" applyFont="1" applyNumberFormat="1">
      <alignment horizontal="center" shrinkToFit="0" vertical="bottom" wrapText="0"/>
    </xf>
    <xf borderId="36" fillId="7" fontId="9" numFmtId="0" xfId="0" applyAlignment="1" applyBorder="1" applyFont="1">
      <alignment shrinkToFit="0" vertical="bottom" wrapText="0"/>
    </xf>
    <xf borderId="22" fillId="7" fontId="9" numFmtId="167" xfId="0" applyAlignment="1" applyBorder="1" applyFont="1" applyNumberFormat="1">
      <alignment horizontal="center" shrinkToFit="0" vertical="bottom" wrapText="0"/>
    </xf>
    <xf borderId="14" fillId="0" fontId="10" numFmtId="165" xfId="0" applyAlignment="1" applyBorder="1" applyFont="1" applyNumberFormat="1">
      <alignment shrinkToFit="0" vertical="bottom" wrapText="0"/>
    </xf>
    <xf borderId="0" fillId="0" fontId="23" numFmtId="0" xfId="0" applyAlignment="1" applyFont="1">
      <alignment shrinkToFit="0" vertical="bottom" wrapText="0"/>
    </xf>
    <xf borderId="14" fillId="0" fontId="9" numFmtId="1" xfId="0" applyAlignment="1" applyBorder="1" applyFont="1" applyNumberFormat="1">
      <alignment horizontal="center" shrinkToFit="0" vertical="bottom" wrapText="0"/>
    </xf>
    <xf borderId="14" fillId="0" fontId="10" numFmtId="169" xfId="0" applyAlignment="1" applyBorder="1" applyFont="1" applyNumberFormat="1">
      <alignment shrinkToFit="0" vertical="bottom" wrapText="0"/>
    </xf>
    <xf borderId="14" fillId="0" fontId="10" numFmtId="165" xfId="0" applyAlignment="1" applyBorder="1" applyFont="1" applyNumberFormat="1">
      <alignment horizontal="center" shrinkToFit="0" vertical="bottom" wrapText="0"/>
    </xf>
    <xf borderId="0" fillId="0" fontId="9" numFmtId="165" xfId="0" applyAlignment="1" applyFont="1" applyNumberFormat="1">
      <alignment horizontal="center" shrinkToFit="0" vertical="bottom" wrapText="0"/>
    </xf>
    <xf borderId="0" fillId="0" fontId="24" numFmtId="0" xfId="0" applyAlignment="1" applyFont="1">
      <alignment shrinkToFit="0" vertical="bottom" wrapText="0"/>
    </xf>
    <xf borderId="0" fillId="0" fontId="24" numFmtId="166" xfId="0" applyAlignment="1" applyFont="1" applyNumberFormat="1">
      <alignment horizontal="center" shrinkToFit="0" vertical="bottom" wrapText="0"/>
    </xf>
    <xf borderId="0" fillId="0" fontId="24" numFmtId="166" xfId="0" applyAlignment="1" applyFont="1" applyNumberFormat="1">
      <alignment shrinkToFit="0" vertical="bottom" wrapText="0"/>
    </xf>
    <xf borderId="0" fillId="0" fontId="24" numFmtId="165" xfId="0" applyAlignment="1" applyFont="1" applyNumberFormat="1">
      <alignment horizontal="center" shrinkToFit="0" vertical="bottom" wrapText="0"/>
    </xf>
    <xf borderId="0" fillId="0" fontId="10" numFmtId="172" xfId="0" applyAlignment="1" applyFont="1" applyNumberFormat="1">
      <alignment horizontal="right" shrinkToFit="0" vertical="bottom" wrapText="0"/>
    </xf>
    <xf borderId="15" fillId="3" fontId="10" numFmtId="170" xfId="0" applyAlignment="1" applyBorder="1" applyFont="1" applyNumberFormat="1">
      <alignment shrinkToFit="0" vertical="bottom" wrapText="0"/>
    </xf>
    <xf borderId="15" fillId="3" fontId="10" numFmtId="170" xfId="0" applyAlignment="1" applyBorder="1" applyFont="1" applyNumberFormat="1">
      <alignment horizontal="center" shrinkToFit="0" vertical="bottom" wrapText="0"/>
    </xf>
    <xf borderId="0" fillId="0" fontId="10" numFmtId="171" xfId="0" applyAlignment="1" applyFont="1" applyNumberFormat="1">
      <alignment horizontal="center" shrinkToFit="0" vertical="bottom" wrapText="0"/>
    </xf>
    <xf borderId="14" fillId="0" fontId="10" numFmtId="0" xfId="0" applyAlignment="1" applyBorder="1" applyFont="1">
      <alignment horizontal="right" shrinkToFit="0" vertical="bottom" wrapText="0"/>
    </xf>
    <xf borderId="24" fillId="0" fontId="9" numFmtId="165" xfId="0" applyAlignment="1" applyBorder="1" applyFont="1" applyNumberFormat="1">
      <alignment shrinkToFit="0" vertical="bottom" wrapText="0"/>
    </xf>
    <xf borderId="24" fillId="0" fontId="9" numFmtId="166" xfId="0" applyAlignment="1" applyBorder="1" applyFont="1" applyNumberFormat="1">
      <alignment shrinkToFit="0" vertical="bottom" wrapText="0"/>
    </xf>
    <xf borderId="0" fillId="0" fontId="14" numFmtId="172" xfId="0" applyAlignment="1" applyFont="1" applyNumberFormat="1">
      <alignment shrinkToFit="0" vertical="bottom" wrapText="0"/>
    </xf>
    <xf borderId="0" fillId="0" fontId="9" numFmtId="172" xfId="0" applyAlignment="1" applyFont="1" applyNumberFormat="1">
      <alignment shrinkToFit="0" vertical="bottom" wrapText="0"/>
    </xf>
    <xf borderId="0" fillId="0" fontId="10" numFmtId="169" xfId="0" applyAlignment="1" applyFont="1" applyNumberFormat="1">
      <alignment horizontal="left" shrinkToFit="0" vertical="bottom" wrapText="0"/>
    </xf>
    <xf borderId="14" fillId="0" fontId="14" numFmtId="172" xfId="0" applyAlignment="1" applyBorder="1" applyFont="1" applyNumberFormat="1">
      <alignment shrinkToFit="0" vertical="bottom" wrapText="0"/>
    </xf>
    <xf borderId="14" fillId="0" fontId="9" numFmtId="172" xfId="0" applyAlignment="1" applyBorder="1" applyFont="1" applyNumberFormat="1">
      <alignment shrinkToFit="0" vertical="bottom" wrapText="0"/>
    </xf>
    <xf borderId="40" fillId="0" fontId="9" numFmtId="167" xfId="0" applyAlignment="1" applyBorder="1" applyFont="1" applyNumberFormat="1">
      <alignment shrinkToFit="0" vertical="bottom" wrapText="0"/>
    </xf>
    <xf borderId="0" fillId="0" fontId="10" numFmtId="164" xfId="0" applyAlignment="1" applyFont="1" applyNumberFormat="1">
      <alignment shrinkToFit="0" vertical="bottom" wrapText="0"/>
    </xf>
    <xf borderId="0" fillId="0" fontId="25" numFmtId="9" xfId="0" applyAlignment="1" applyFont="1" applyNumberFormat="1">
      <alignment shrinkToFit="0" vertical="bottom" wrapText="0"/>
    </xf>
    <xf borderId="15" fillId="7" fontId="17" numFmtId="166" xfId="0" applyAlignment="1" applyBorder="1" applyFont="1" applyNumberFormat="1">
      <alignment shrinkToFit="0" vertical="bottom" wrapText="0"/>
    </xf>
    <xf borderId="15" fillId="7" fontId="17" numFmtId="0" xfId="0" applyAlignment="1" applyBorder="1" applyFont="1">
      <alignment shrinkToFit="0" vertical="bottom" wrapText="0"/>
    </xf>
    <xf borderId="14" fillId="0" fontId="17" numFmtId="166" xfId="0" applyAlignment="1" applyBorder="1" applyFont="1" applyNumberFormat="1">
      <alignment shrinkToFit="0" vertical="bottom" wrapText="0"/>
    </xf>
    <xf borderId="14" fillId="0" fontId="17" numFmtId="0" xfId="0" applyAlignment="1" applyBorder="1" applyFont="1">
      <alignment shrinkToFit="0" vertical="bottom" wrapText="0"/>
    </xf>
    <xf borderId="0" fillId="0" fontId="17" numFmtId="166" xfId="0" applyAlignment="1" applyFont="1" applyNumberFormat="1">
      <alignment shrinkToFit="0" vertical="bottom" wrapText="0"/>
    </xf>
    <xf borderId="0" fillId="0" fontId="17" numFmtId="0" xfId="0" applyAlignment="1" applyFont="1">
      <alignment shrinkToFit="0" vertical="bottom" wrapText="0"/>
    </xf>
    <xf borderId="16" fillId="7" fontId="17" numFmtId="166" xfId="0" applyAlignment="1" applyBorder="1" applyFont="1" applyNumberFormat="1">
      <alignment shrinkToFit="0" vertical="bottom" wrapText="0"/>
    </xf>
    <xf borderId="16" fillId="7" fontId="17" numFmtId="0" xfId="0" applyAlignment="1" applyBorder="1" applyFont="1">
      <alignment shrinkToFit="0" vertical="bottom" wrapText="0"/>
    </xf>
    <xf borderId="0" fillId="0" fontId="26" numFmtId="9" xfId="0" applyAlignment="1" applyFont="1" applyNumberFormat="1">
      <alignment shrinkToFit="0" vertical="bottom" wrapText="0"/>
    </xf>
    <xf borderId="15" fillId="7" fontId="27" numFmtId="166" xfId="0" applyAlignment="1" applyBorder="1" applyFont="1" applyNumberFormat="1">
      <alignment shrinkToFit="0" vertical="bottom" wrapText="0"/>
    </xf>
    <xf borderId="15" fillId="7" fontId="27" numFmtId="0" xfId="0" applyAlignment="1" applyBorder="1" applyFont="1">
      <alignment shrinkToFit="0" vertical="bottom" wrapText="0"/>
    </xf>
    <xf borderId="0" fillId="0" fontId="10" numFmtId="175" xfId="0" applyAlignment="1" applyFont="1" applyNumberFormat="1">
      <alignment horizontal="center" shrinkToFit="0" vertical="bottom" wrapText="0"/>
    </xf>
    <xf borderId="15" fillId="3" fontId="10" numFmtId="0" xfId="0" applyAlignment="1" applyBorder="1" applyFont="1">
      <alignment shrinkToFit="0" vertical="bottom" wrapText="0"/>
    </xf>
    <xf borderId="15" fillId="3" fontId="9" numFmtId="0" xfId="0" applyAlignment="1" applyBorder="1" applyFont="1">
      <alignment shrinkToFit="0" vertical="bottom" wrapText="0"/>
    </xf>
    <xf borderId="15" fillId="3" fontId="28" numFmtId="9" xfId="0" applyAlignment="1" applyBorder="1" applyFont="1" applyNumberFormat="1">
      <alignment shrinkToFit="0" vertical="bottom" wrapText="0"/>
    </xf>
    <xf borderId="16" fillId="3" fontId="10" numFmtId="0" xfId="0" applyAlignment="1" applyBorder="1" applyFont="1">
      <alignment shrinkToFit="0" vertical="bottom" wrapText="0"/>
    </xf>
    <xf borderId="16" fillId="3" fontId="17" numFmtId="166" xfId="0" applyAlignment="1" applyBorder="1" applyFont="1" applyNumberFormat="1">
      <alignment shrinkToFit="0" vertical="bottom" wrapText="0"/>
    </xf>
    <xf borderId="16" fillId="3" fontId="17" numFmtId="0" xfId="0" applyAlignment="1" applyBorder="1" applyFont="1">
      <alignment shrinkToFit="0" vertical="bottom" wrapText="0"/>
    </xf>
    <xf borderId="16" fillId="3" fontId="10" numFmtId="1" xfId="0" applyAlignment="1" applyBorder="1" applyFont="1" applyNumberFormat="1">
      <alignment horizontal="center" shrinkToFit="0" vertical="bottom" wrapText="0"/>
    </xf>
    <xf borderId="16" fillId="3" fontId="10" numFmtId="167" xfId="0" applyAlignment="1" applyBorder="1" applyFont="1" applyNumberFormat="1">
      <alignment shrinkToFit="0" vertical="bottom" wrapText="0"/>
    </xf>
    <xf borderId="16" fillId="3" fontId="10" numFmtId="166" xfId="0" applyAlignment="1" applyBorder="1" applyFont="1" applyNumberFormat="1">
      <alignment horizontal="center" shrinkToFit="0" vertical="bottom" wrapText="0"/>
    </xf>
    <xf borderId="0" fillId="0" fontId="29" numFmtId="9" xfId="0" applyAlignment="1" applyFont="1" applyNumberFormat="1">
      <alignment shrinkToFit="0" vertical="bottom" wrapText="0"/>
    </xf>
    <xf borderId="14" fillId="0" fontId="29" numFmtId="9" xfId="0" applyAlignment="1" applyBorder="1" applyFont="1" applyNumberFormat="1">
      <alignment shrinkToFit="0" vertical="bottom" wrapText="0"/>
    </xf>
    <xf borderId="0" fillId="0" fontId="22" numFmtId="9" xfId="0" applyAlignment="1" applyFont="1" applyNumberFormat="1">
      <alignment shrinkToFit="0" vertical="bottom" wrapText="0"/>
    </xf>
    <xf borderId="0" fillId="0" fontId="27" numFmtId="167" xfId="0" applyAlignment="1" applyFont="1" applyNumberFormat="1">
      <alignment shrinkToFit="0" vertical="bottom" wrapText="0"/>
    </xf>
    <xf borderId="14" fillId="0" fontId="27" numFmtId="167" xfId="0" applyAlignment="1" applyBorder="1" applyFont="1" applyNumberFormat="1">
      <alignment shrinkToFit="0" vertical="bottom" wrapText="0"/>
    </xf>
    <xf borderId="27" fillId="0" fontId="10" numFmtId="167" xfId="0" applyAlignment="1" applyBorder="1" applyFont="1" applyNumberFormat="1">
      <alignment horizontal="center" shrinkToFit="0" vertical="bottom" wrapText="0"/>
    </xf>
    <xf borderId="26" fillId="0" fontId="9" numFmtId="167" xfId="0" applyAlignment="1" applyBorder="1" applyFont="1" applyNumberFormat="1">
      <alignment shrinkToFit="0" vertical="bottom" wrapText="0"/>
    </xf>
    <xf borderId="22" fillId="7" fontId="10" numFmtId="0" xfId="0" applyAlignment="1" applyBorder="1" applyFont="1">
      <alignment shrinkToFit="0" vertical="bottom" wrapText="0"/>
    </xf>
    <xf borderId="0" fillId="0" fontId="12" numFmtId="167" xfId="0" applyAlignment="1" applyFont="1" applyNumberFormat="1">
      <alignment shrinkToFit="0" vertical="bottom" wrapText="0"/>
    </xf>
    <xf borderId="22" fillId="7" fontId="10" numFmtId="166" xfId="0" applyAlignment="1" applyBorder="1" applyFont="1" applyNumberFormat="1">
      <alignment horizontal="center" shrinkToFit="0" vertical="bottom" wrapText="0"/>
    </xf>
    <xf borderId="0" fillId="0" fontId="28" numFmtId="0" xfId="0" applyAlignment="1" applyFont="1">
      <alignment shrinkToFit="0" vertical="bottom" wrapText="0"/>
    </xf>
    <xf borderId="0" fillId="0" fontId="28" numFmtId="9" xfId="0" applyAlignment="1" applyFont="1" applyNumberFormat="1">
      <alignment shrinkToFit="0" vertical="bottom" wrapText="0"/>
    </xf>
    <xf borderId="41" fillId="6" fontId="9" numFmtId="0" xfId="0" applyAlignment="1" applyBorder="1" applyFont="1">
      <alignment horizontal="center" shrinkToFit="0" vertical="bottom" wrapText="1"/>
    </xf>
    <xf borderId="42" fillId="6" fontId="9" numFmtId="0" xfId="0" applyAlignment="1" applyBorder="1" applyFont="1">
      <alignment horizontal="center" shrinkToFit="0" vertical="bottom" wrapText="0"/>
    </xf>
    <xf borderId="43" fillId="0" fontId="4" numFmtId="0" xfId="0" applyBorder="1" applyFont="1"/>
    <xf borderId="44" fillId="0" fontId="14" numFmtId="0" xfId="0" applyAlignment="1" applyBorder="1" applyFont="1">
      <alignment shrinkToFit="0" vertical="bottom" wrapText="0"/>
    </xf>
    <xf borderId="0" fillId="0" fontId="10" numFmtId="0" xfId="0" applyAlignment="1" applyFont="1">
      <alignment horizontal="right" shrinkToFit="0" vertical="bottom" wrapText="0"/>
    </xf>
    <xf borderId="14" fillId="0" fontId="10" numFmtId="3" xfId="0" applyAlignment="1" applyBorder="1" applyFont="1" applyNumberFormat="1">
      <alignment shrinkToFit="0" vertical="bottom" wrapText="0"/>
    </xf>
    <xf borderId="14" fillId="0" fontId="10" numFmtId="3" xfId="0" applyAlignment="1" applyBorder="1" applyFont="1" applyNumberFormat="1">
      <alignment horizontal="right" shrinkToFit="0" vertical="bottom" wrapText="0"/>
    </xf>
    <xf borderId="0" fillId="0" fontId="9" numFmtId="0" xfId="0" applyAlignment="1" applyFont="1">
      <alignment horizontal="right" shrinkToFit="0" vertical="bottom" wrapText="0"/>
    </xf>
    <xf borderId="14" fillId="0" fontId="28" numFmtId="0" xfId="0" applyAlignment="1" applyBorder="1" applyFont="1">
      <alignment horizontal="right" shrinkToFit="0" vertical="bottom" wrapText="0"/>
    </xf>
    <xf borderId="0" fillId="0" fontId="10" numFmtId="176" xfId="0" applyAlignment="1" applyFont="1" applyNumberFormat="1">
      <alignment horizontal="center" shrinkToFit="0" vertical="bottom" wrapText="0"/>
    </xf>
    <xf borderId="0" fillId="0" fontId="10" numFmtId="3" xfId="0" applyAlignment="1" applyFont="1" applyNumberFormat="1">
      <alignment shrinkToFit="0" vertical="bottom" wrapText="0"/>
    </xf>
    <xf borderId="15" fillId="3" fontId="10" numFmtId="166" xfId="0" applyAlignment="1" applyBorder="1" applyFont="1" applyNumberFormat="1">
      <alignment shrinkToFit="0" vertical="bottom" wrapText="0"/>
    </xf>
    <xf borderId="15" fillId="3" fontId="10" numFmtId="3" xfId="0" applyAlignment="1" applyBorder="1" applyFont="1" applyNumberFormat="1">
      <alignment shrinkToFit="0" vertical="bottom" wrapText="0"/>
    </xf>
    <xf borderId="0" fillId="0" fontId="10" numFmtId="175" xfId="0" applyAlignment="1" applyFont="1" applyNumberFormat="1">
      <alignment shrinkToFit="0" vertical="bottom" wrapText="0"/>
    </xf>
    <xf borderId="0" fillId="0" fontId="9" numFmtId="3" xfId="0" applyAlignment="1" applyFont="1" applyNumberFormat="1">
      <alignment shrinkToFit="0" vertical="bottom" wrapText="0"/>
    </xf>
    <xf borderId="11" fillId="0" fontId="10" numFmtId="0" xfId="0" applyAlignment="1" applyBorder="1" applyFont="1">
      <alignment shrinkToFit="0" vertical="bottom" wrapText="0"/>
    </xf>
    <xf borderId="12" fillId="0" fontId="10" numFmtId="0" xfId="0" applyAlignment="1" applyBorder="1" applyFont="1">
      <alignment shrinkToFit="0" vertical="bottom" wrapText="0"/>
    </xf>
    <xf borderId="12" fillId="0" fontId="10" numFmtId="167" xfId="0" applyAlignment="1" applyBorder="1" applyFont="1" applyNumberFormat="1">
      <alignment shrinkToFit="0" vertical="bottom" wrapText="0"/>
    </xf>
    <xf borderId="38" fillId="6" fontId="19" numFmtId="0" xfId="0" applyAlignment="1" applyBorder="1" applyFont="1">
      <alignment shrinkToFit="0" vertical="bottom" wrapText="0"/>
    </xf>
    <xf borderId="39" fillId="6" fontId="10" numFmtId="0" xfId="0" applyAlignment="1" applyBorder="1" applyFont="1">
      <alignment shrinkToFit="0" vertical="bottom" wrapText="0"/>
    </xf>
    <xf borderId="15" fillId="6" fontId="10" numFmtId="0" xfId="0" applyAlignment="1" applyBorder="1" applyFont="1">
      <alignment shrinkToFit="0" vertical="bottom" wrapText="0"/>
    </xf>
    <xf borderId="45" fillId="6" fontId="9" numFmtId="0" xfId="0" applyAlignment="1" applyBorder="1" applyFont="1">
      <alignment shrinkToFit="0" vertical="bottom" wrapText="0"/>
    </xf>
    <xf borderId="46" fillId="6" fontId="9" numFmtId="0" xfId="0" applyAlignment="1" applyBorder="1" applyFont="1">
      <alignment horizontal="center" shrinkToFit="0" vertical="bottom" wrapText="0"/>
    </xf>
    <xf borderId="47" fillId="6" fontId="9" numFmtId="0" xfId="0" applyAlignment="1" applyBorder="1" applyFont="1">
      <alignment horizontal="center" shrinkToFit="0" vertical="bottom" wrapText="0"/>
    </xf>
    <xf borderId="8" fillId="0" fontId="30" numFmtId="0" xfId="0" applyAlignment="1" applyBorder="1" applyFont="1">
      <alignment shrinkToFit="0" vertical="bottom" wrapText="0"/>
    </xf>
    <xf borderId="15" fillId="10" fontId="10" numFmtId="169" xfId="0" applyAlignment="1" applyBorder="1" applyFill="1" applyFont="1" applyNumberFormat="1">
      <alignment shrinkToFit="0" vertical="bottom" wrapText="0"/>
    </xf>
    <xf borderId="15" fillId="3" fontId="10" numFmtId="169" xfId="0" applyAlignment="1" applyBorder="1" applyFont="1" applyNumberFormat="1">
      <alignment shrinkToFit="0" vertical="bottom" wrapText="0"/>
    </xf>
    <xf borderId="27" fillId="0" fontId="10" numFmtId="169" xfId="0" applyAlignment="1" applyBorder="1" applyFont="1" applyNumberFormat="1">
      <alignment shrinkToFit="0" vertical="bottom" wrapText="0"/>
    </xf>
    <xf borderId="27" fillId="0" fontId="10" numFmtId="170" xfId="0" applyAlignment="1" applyBorder="1" applyFont="1" applyNumberFormat="1">
      <alignment horizontal="center" shrinkToFit="0" vertical="bottom" wrapText="0"/>
    </xf>
    <xf borderId="22" fillId="7" fontId="10" numFmtId="1" xfId="0" applyAlignment="1" applyBorder="1" applyFont="1" applyNumberFormat="1">
      <alignment horizontal="center" shrinkToFit="0" vertical="bottom" wrapText="0"/>
    </xf>
    <xf borderId="22" fillId="7" fontId="31" numFmtId="0" xfId="0" applyAlignment="1" applyBorder="1" applyFont="1">
      <alignment horizontal="center" shrinkToFit="0" vertical="bottom" wrapText="0"/>
    </xf>
    <xf borderId="0" fillId="0" fontId="31" numFmtId="0" xfId="0" applyAlignment="1" applyFont="1">
      <alignment horizontal="center" shrinkToFit="0" vertical="bottom" wrapText="0"/>
    </xf>
    <xf borderId="0" fillId="0" fontId="26" numFmtId="10" xfId="0" applyAlignment="1" applyFont="1" applyNumberFormat="1">
      <alignment horizontal="center" shrinkToFit="0" vertical="bottom" wrapText="0"/>
    </xf>
    <xf borderId="0" fillId="0" fontId="26" numFmtId="177" xfId="0" applyAlignment="1" applyFont="1" applyNumberFormat="1">
      <alignment horizontal="center" shrinkToFit="0" vertical="bottom" wrapText="0"/>
    </xf>
    <xf borderId="0" fillId="0" fontId="26" numFmtId="166" xfId="0" applyAlignment="1" applyFont="1" applyNumberFormat="1">
      <alignment horizontal="center" shrinkToFit="0" vertical="bottom" wrapText="0"/>
    </xf>
    <xf borderId="24" fillId="0" fontId="9" numFmtId="167" xfId="0" applyAlignment="1" applyBorder="1" applyFont="1" applyNumberFormat="1">
      <alignment shrinkToFit="0" vertical="bottom" wrapText="0"/>
    </xf>
    <xf borderId="0" fillId="0" fontId="32" numFmtId="0" xfId="0" applyAlignment="1" applyFont="1">
      <alignment shrinkToFit="0" vertical="bottom" wrapText="0"/>
    </xf>
    <xf borderId="0" fillId="0" fontId="32" numFmtId="0" xfId="0" applyAlignment="1" applyFont="1">
      <alignment horizontal="left" shrinkToFit="0" vertical="bottom" wrapText="0"/>
    </xf>
    <xf borderId="0" fillId="0" fontId="32" numFmtId="167" xfId="0" applyAlignment="1" applyFont="1" applyNumberFormat="1">
      <alignment shrinkToFit="0" vertical="bottom" wrapText="0"/>
    </xf>
    <xf borderId="0" fillId="0" fontId="32" numFmtId="166" xfId="0" applyAlignment="1" applyFont="1" applyNumberFormat="1">
      <alignment horizontal="center" shrinkToFit="0" vertical="bottom" wrapText="0"/>
    </xf>
    <xf borderId="25" fillId="0" fontId="10" numFmtId="0" xfId="0" applyAlignment="1" applyBorder="1" applyFont="1">
      <alignment shrinkToFit="0" vertical="bottom" wrapText="0"/>
    </xf>
    <xf borderId="22" fillId="7" fontId="31" numFmtId="166" xfId="0" applyAlignment="1" applyBorder="1" applyFont="1" applyNumberFormat="1">
      <alignment horizontal="center" shrinkToFit="0" vertical="bottom" wrapText="0"/>
    </xf>
    <xf borderId="27" fillId="0" fontId="10" numFmtId="172" xfId="0" applyAlignment="1" applyBorder="1" applyFont="1" applyNumberFormat="1">
      <alignment horizontal="center" shrinkToFit="0" vertical="bottom" wrapText="0"/>
    </xf>
    <xf borderId="0" fillId="0" fontId="10" numFmtId="177" xfId="0" applyAlignment="1" applyFont="1" applyNumberFormat="1">
      <alignment shrinkToFit="0" vertical="bottom" wrapText="0"/>
    </xf>
    <xf borderId="0" fillId="0" fontId="14" numFmtId="9" xfId="0" applyAlignment="1" applyFont="1" applyNumberFormat="1">
      <alignment shrinkToFit="0" vertical="bottom" wrapText="0"/>
    </xf>
    <xf borderId="12" fillId="0" fontId="10" numFmtId="166" xfId="0" applyAlignment="1" applyBorder="1" applyFont="1" applyNumberFormat="1">
      <alignment horizontal="center" shrinkToFit="0" vertical="bottom" wrapText="0"/>
    </xf>
    <xf borderId="0" fillId="0" fontId="9" numFmtId="10" xfId="0" applyAlignment="1" applyFont="1" applyNumberFormat="1">
      <alignment shrinkToFit="0" vertical="bottom" wrapText="0"/>
    </xf>
    <xf borderId="15" fillId="4" fontId="10" numFmtId="10" xfId="0" applyAlignment="1" applyBorder="1" applyFont="1" applyNumberFormat="1">
      <alignment shrinkToFit="0" vertical="bottom" wrapText="0"/>
    </xf>
    <xf borderId="15" fillId="4" fontId="10" numFmtId="169" xfId="0" applyAlignment="1" applyBorder="1" applyFont="1" applyNumberFormat="1">
      <alignment shrinkToFit="0" vertical="bottom" wrapText="0"/>
    </xf>
    <xf borderId="25" fillId="0" fontId="10" numFmtId="169" xfId="0" applyAlignment="1" applyBorder="1" applyFont="1" applyNumberFormat="1">
      <alignment shrinkToFit="0" vertical="bottom" wrapText="0"/>
    </xf>
    <xf borderId="15" fillId="4" fontId="10" numFmtId="167" xfId="0" applyAlignment="1" applyBorder="1" applyFont="1" applyNumberFormat="1">
      <alignment shrinkToFit="0" vertical="bottom" wrapText="0"/>
    </xf>
    <xf borderId="24" fillId="0" fontId="10" numFmtId="169" xfId="0" applyAlignment="1" applyBorder="1" applyFont="1" applyNumberFormat="1">
      <alignment shrinkToFit="0" vertical="bottom" wrapText="0"/>
    </xf>
    <xf borderId="22" fillId="4" fontId="10" numFmtId="167" xfId="0" applyAlignment="1" applyBorder="1" applyFont="1" applyNumberFormat="1">
      <alignment shrinkToFit="0" vertical="bottom" wrapText="0"/>
    </xf>
    <xf borderId="22" fillId="4" fontId="10" numFmtId="169" xfId="0" applyAlignment="1" applyBorder="1" applyFont="1" applyNumberFormat="1">
      <alignment shrinkToFit="0" vertical="bottom" wrapText="0"/>
    </xf>
    <xf borderId="22" fillId="3" fontId="10" numFmtId="169" xfId="0" applyAlignment="1" applyBorder="1" applyFont="1" applyNumberFormat="1">
      <alignment shrinkToFit="0" vertical="bottom" wrapText="0"/>
    </xf>
    <xf borderId="15" fillId="4" fontId="10" numFmtId="0" xfId="0" applyAlignment="1" applyBorder="1" applyFont="1">
      <alignment shrinkToFit="0" vertical="bottom" wrapText="0"/>
    </xf>
    <xf borderId="22" fillId="4" fontId="10" numFmtId="0" xfId="0" applyAlignment="1" applyBorder="1" applyFont="1">
      <alignment shrinkToFit="0" vertical="bottom" wrapText="0"/>
    </xf>
    <xf borderId="15" fillId="4" fontId="10" numFmtId="166" xfId="0" applyAlignment="1" applyBorder="1" applyFont="1" applyNumberFormat="1">
      <alignment horizontal="center" shrinkToFit="0" vertical="bottom" wrapText="0"/>
    </xf>
    <xf borderId="10" fillId="0" fontId="10" numFmtId="0" xfId="0" applyAlignment="1" applyBorder="1" applyFont="1">
      <alignment shrinkToFit="0" vertical="bottom" wrapText="0"/>
    </xf>
    <xf borderId="48" fillId="6" fontId="9" numFmtId="0" xfId="0" applyAlignment="1" applyBorder="1" applyFont="1">
      <alignment horizontal="left" shrinkToFit="0" vertical="bottom" wrapText="0"/>
    </xf>
    <xf borderId="48" fillId="4" fontId="9" numFmtId="0" xfId="0" applyAlignment="1" applyBorder="1" applyFont="1">
      <alignment horizontal="left" shrinkToFit="0" vertical="bottom" wrapText="0"/>
    </xf>
    <xf borderId="34" fillId="11" fontId="21" numFmtId="0" xfId="0" applyAlignment="1" applyBorder="1" applyFill="1" applyFont="1">
      <alignment horizontal="center" shrinkToFit="0" vertical="bottom" wrapText="0"/>
    </xf>
    <xf borderId="34" fillId="4" fontId="9" numFmtId="0" xfId="0" applyAlignment="1" applyBorder="1" applyFont="1">
      <alignment horizontal="center" shrinkToFit="0" vertical="bottom" wrapText="0"/>
    </xf>
    <xf borderId="17" fillId="7" fontId="14" numFmtId="0" xfId="0" applyAlignment="1" applyBorder="1" applyFont="1">
      <alignment shrinkToFit="0" vertical="bottom" wrapText="0"/>
    </xf>
    <xf borderId="18" fillId="7" fontId="10" numFmtId="0" xfId="0" applyAlignment="1" applyBorder="1" applyFont="1">
      <alignment shrinkToFit="0" vertical="bottom" wrapText="0"/>
    </xf>
    <xf borderId="15" fillId="7" fontId="10" numFmtId="0" xfId="0" applyAlignment="1" applyBorder="1" applyFont="1">
      <alignment shrinkToFit="0" vertical="bottom" wrapText="0"/>
    </xf>
    <xf borderId="15" fillId="7" fontId="9" numFmtId="0" xfId="0" applyAlignment="1" applyBorder="1" applyFont="1">
      <alignment horizontal="center" shrinkToFit="0" vertical="bottom" wrapText="0"/>
    </xf>
    <xf borderId="18" fillId="7" fontId="9" numFmtId="0" xfId="0" applyAlignment="1" applyBorder="1" applyFont="1">
      <alignment horizontal="center" shrinkToFit="0" vertical="bottom" wrapText="0"/>
    </xf>
    <xf borderId="29" fillId="7" fontId="9" numFmtId="0" xfId="0" applyAlignment="1" applyBorder="1" applyFont="1">
      <alignment horizontal="center" shrinkToFit="0" vertical="bottom" wrapText="0"/>
    </xf>
    <xf borderId="15" fillId="4" fontId="9" numFmtId="0" xfId="0" applyAlignment="1" applyBorder="1" applyFont="1">
      <alignment horizontal="center" shrinkToFit="0" vertical="bottom" wrapText="0"/>
    </xf>
    <xf borderId="49" fillId="7" fontId="14" numFmtId="0" xfId="0" applyAlignment="1" applyBorder="1" applyFont="1">
      <alignment shrinkToFit="0" vertical="bottom" wrapText="0"/>
    </xf>
    <xf borderId="15" fillId="7" fontId="9" numFmtId="0" xfId="0" applyAlignment="1" applyBorder="1" applyFont="1">
      <alignment shrinkToFit="0" vertical="bottom" wrapText="0"/>
    </xf>
    <xf borderId="15" fillId="7" fontId="9" numFmtId="1" xfId="0" applyAlignment="1" applyBorder="1" applyFont="1" applyNumberFormat="1">
      <alignment horizontal="center" shrinkToFit="0" vertical="bottom" wrapText="0"/>
    </xf>
    <xf borderId="50" fillId="7" fontId="9" numFmtId="1" xfId="0" applyAlignment="1" applyBorder="1" applyFont="1" applyNumberFormat="1">
      <alignment horizontal="center" shrinkToFit="0" vertical="bottom" wrapText="0"/>
    </xf>
    <xf borderId="50" fillId="7" fontId="9" numFmtId="0" xfId="0" applyAlignment="1" applyBorder="1" applyFont="1">
      <alignment horizontal="center" shrinkToFit="0" vertical="bottom" wrapText="0"/>
    </xf>
    <xf borderId="15" fillId="7" fontId="10" numFmtId="0" xfId="0" applyAlignment="1" applyBorder="1" applyFont="1">
      <alignment horizontal="left" shrinkToFit="0" vertical="bottom" wrapText="0"/>
    </xf>
    <xf borderId="15" fillId="7" fontId="10" numFmtId="166" xfId="0" applyAlignment="1" applyBorder="1" applyFont="1" applyNumberFormat="1">
      <alignment horizontal="center" shrinkToFit="0" vertical="bottom" wrapText="0"/>
    </xf>
    <xf borderId="50" fillId="7" fontId="10" numFmtId="166" xfId="0" applyAlignment="1" applyBorder="1" applyFont="1" applyNumberFormat="1">
      <alignment horizontal="center" shrinkToFit="0" vertical="bottom" wrapText="0"/>
    </xf>
    <xf borderId="16" fillId="7" fontId="10" numFmtId="0" xfId="0" applyAlignment="1" applyBorder="1" applyFont="1">
      <alignment horizontal="left" shrinkToFit="0" vertical="bottom" wrapText="0"/>
    </xf>
    <xf borderId="16" fillId="7" fontId="10" numFmtId="0" xfId="0" applyAlignment="1" applyBorder="1" applyFont="1">
      <alignment shrinkToFit="0" vertical="bottom" wrapText="0"/>
    </xf>
    <xf borderId="16" fillId="7" fontId="10" numFmtId="166" xfId="0" applyAlignment="1" applyBorder="1" applyFont="1" applyNumberFormat="1">
      <alignment horizontal="center" shrinkToFit="0" vertical="bottom" wrapText="0"/>
    </xf>
    <xf borderId="51" fillId="7" fontId="10" numFmtId="166" xfId="0" applyAlignment="1" applyBorder="1" applyFont="1" applyNumberFormat="1">
      <alignment horizontal="center" shrinkToFit="0" vertical="bottom" wrapText="0"/>
    </xf>
    <xf borderId="15" fillId="7" fontId="9" numFmtId="166" xfId="0" applyAlignment="1" applyBorder="1" applyFont="1" applyNumberFormat="1">
      <alignment horizontal="center" shrinkToFit="0" vertical="bottom" wrapText="0"/>
    </xf>
    <xf borderId="50" fillId="7" fontId="9" numFmtId="166" xfId="0" applyAlignment="1" applyBorder="1" applyFont="1" applyNumberFormat="1">
      <alignment horizontal="center" shrinkToFit="0" vertical="bottom" wrapText="0"/>
    </xf>
    <xf borderId="15" fillId="7" fontId="9" numFmtId="0" xfId="0" applyAlignment="1" applyBorder="1" applyFont="1">
      <alignment horizontal="left" shrinkToFit="0" vertical="bottom" wrapText="0"/>
    </xf>
    <xf borderId="16" fillId="7" fontId="9" numFmtId="0" xfId="0" applyAlignment="1" applyBorder="1" applyFont="1">
      <alignment shrinkToFit="0" vertical="bottom" wrapText="0"/>
    </xf>
    <xf borderId="15" fillId="7" fontId="9" numFmtId="9" xfId="0" applyAlignment="1" applyBorder="1" applyFont="1" applyNumberFormat="1">
      <alignment horizontal="center" shrinkToFit="0" vertical="bottom" wrapText="0"/>
    </xf>
    <xf borderId="50" fillId="7" fontId="9" numFmtId="9" xfId="0" applyAlignment="1" applyBorder="1" applyFont="1" applyNumberFormat="1">
      <alignment horizontal="center" shrinkToFit="0" vertical="bottom" wrapText="0"/>
    </xf>
    <xf borderId="19" fillId="7" fontId="14" numFmtId="0" xfId="0" applyAlignment="1" applyBorder="1" applyFont="1">
      <alignment shrinkToFit="0" vertical="bottom" wrapText="0"/>
    </xf>
    <xf borderId="20" fillId="7" fontId="10" numFmtId="0" xfId="0" applyAlignment="1" applyBorder="1" applyFont="1">
      <alignment shrinkToFit="0" vertical="bottom" wrapText="0"/>
    </xf>
    <xf borderId="20" fillId="7" fontId="9" numFmtId="0" xfId="0" applyAlignment="1" applyBorder="1" applyFont="1">
      <alignment shrinkToFit="0" vertical="bottom" wrapText="0"/>
    </xf>
    <xf borderId="20" fillId="7" fontId="9" numFmtId="166" xfId="0" applyAlignment="1" applyBorder="1" applyFont="1" applyNumberFormat="1">
      <alignment horizontal="center" shrinkToFit="0" vertical="bottom" wrapText="0"/>
    </xf>
    <xf borderId="33" fillId="7" fontId="9" numFmtId="166" xfId="0" applyAlignment="1" applyBorder="1" applyFont="1" applyNumberFormat="1">
      <alignment horizontal="center" shrinkToFit="0" vertical="bottom" wrapText="0"/>
    </xf>
    <xf borderId="39" fillId="4" fontId="10" numFmtId="169" xfId="0" applyAlignment="1" applyBorder="1" applyFont="1" applyNumberFormat="1">
      <alignment shrinkToFit="0" vertical="bottom" wrapText="0"/>
    </xf>
    <xf borderId="15" fillId="4" fontId="10" numFmtId="9" xfId="0" applyAlignment="1" applyBorder="1" applyFont="1" applyNumberFormat="1">
      <alignment shrinkToFit="0" vertical="bottom" wrapText="0"/>
    </xf>
    <xf borderId="0" fillId="0" fontId="10" numFmtId="1" xfId="0" applyAlignment="1" applyFont="1" applyNumberFormat="1">
      <alignment shrinkToFit="0" vertical="bottom" wrapText="0"/>
    </xf>
    <xf borderId="15" fillId="4" fontId="10" numFmtId="1" xfId="0" applyAlignment="1" applyBorder="1" applyFont="1" applyNumberFormat="1">
      <alignment shrinkToFit="0" vertical="bottom" wrapText="0"/>
    </xf>
    <xf borderId="15" fillId="4" fontId="10" numFmtId="172" xfId="0" applyAlignment="1" applyBorder="1" applyFont="1" applyNumberFormat="1">
      <alignment shrinkToFit="0" vertical="bottom" wrapText="0"/>
    </xf>
    <xf borderId="15" fillId="3" fontId="10" numFmtId="167" xfId="0" applyAlignment="1" applyBorder="1" applyFont="1" applyNumberFormat="1">
      <alignment shrinkToFit="0" vertical="bottom" wrapText="0"/>
    </xf>
    <xf borderId="15" fillId="3" fontId="27" numFmtId="167" xfId="0" applyAlignment="1" applyBorder="1" applyFont="1" applyNumberFormat="1">
      <alignment shrinkToFit="0" vertical="bottom" wrapText="0"/>
    </xf>
    <xf borderId="0" fillId="0" fontId="27" numFmtId="177" xfId="0" applyAlignment="1" applyFont="1" applyNumberFormat="1">
      <alignment shrinkToFit="0" vertical="bottom" wrapText="0"/>
    </xf>
    <xf borderId="15" fillId="4" fontId="10" numFmtId="177" xfId="0" applyAlignment="1" applyBorder="1" applyFont="1" applyNumberFormat="1">
      <alignment shrinkToFit="0" vertical="bottom" wrapText="0"/>
    </xf>
    <xf borderId="15" fillId="4" fontId="10" numFmtId="164" xfId="0" applyAlignment="1" applyBorder="1" applyFont="1" applyNumberFormat="1">
      <alignment shrinkToFit="0" vertical="bottom" wrapText="0"/>
    </xf>
    <xf borderId="15" fillId="4" fontId="22" numFmtId="164" xfId="0" applyAlignment="1" applyBorder="1" applyFont="1" applyNumberFormat="1">
      <alignment shrinkToFit="0" vertical="bottom" wrapText="0"/>
    </xf>
    <xf borderId="27" fillId="0" fontId="10" numFmtId="0" xfId="0" applyAlignment="1" applyBorder="1" applyFont="1">
      <alignment horizontal="left" shrinkToFit="0" vertical="bottom" wrapText="0"/>
    </xf>
    <xf borderId="27" fillId="0" fontId="22" numFmtId="164" xfId="0" applyAlignment="1" applyBorder="1" applyFont="1" applyNumberFormat="1">
      <alignment shrinkToFit="0" vertical="bottom" wrapText="0"/>
    </xf>
    <xf borderId="27" fillId="0" fontId="10" numFmtId="164" xfId="0" applyAlignment="1" applyBorder="1" applyFont="1" applyNumberFormat="1">
      <alignment shrinkToFit="0" vertical="bottom" wrapText="0"/>
    </xf>
    <xf borderId="39" fillId="4" fontId="10" numFmtId="164" xfId="0" applyAlignment="1" applyBorder="1" applyFont="1" applyNumberFormat="1">
      <alignment shrinkToFit="0" vertical="bottom" wrapText="0"/>
    </xf>
    <xf borderId="15" fillId="3" fontId="10" numFmtId="164" xfId="0" applyAlignment="1" applyBorder="1" applyFont="1" applyNumberFormat="1">
      <alignment shrinkToFit="0" vertical="bottom" wrapText="0"/>
    </xf>
    <xf borderId="14" fillId="0" fontId="10" numFmtId="164" xfId="0" applyAlignment="1" applyBorder="1" applyFont="1" applyNumberFormat="1">
      <alignment shrinkToFit="0" vertical="bottom" wrapText="0"/>
    </xf>
    <xf borderId="16" fillId="4" fontId="10" numFmtId="164" xfId="0" applyAlignment="1" applyBorder="1" applyFont="1" applyNumberFormat="1">
      <alignment shrinkToFit="0" vertical="bottom" wrapText="0"/>
    </xf>
    <xf borderId="0" fillId="0" fontId="10" numFmtId="168" xfId="0" applyAlignment="1" applyFont="1" applyNumberFormat="1">
      <alignment shrinkToFit="0" vertical="bottom" wrapText="0"/>
    </xf>
    <xf borderId="15" fillId="4" fontId="10" numFmtId="168" xfId="0" applyAlignment="1" applyBorder="1" applyFont="1" applyNumberFormat="1">
      <alignment shrinkToFit="0" vertical="bottom" wrapText="0"/>
    </xf>
    <xf borderId="0" fillId="0" fontId="20" numFmtId="0" xfId="0" applyAlignment="1" applyFont="1">
      <alignment shrinkToFit="0" vertical="bottom" wrapText="0"/>
    </xf>
    <xf borderId="0" fillId="0" fontId="22" numFmtId="1" xfId="0" applyAlignment="1" applyFont="1" applyNumberFormat="1">
      <alignment shrinkToFit="0" vertical="bottom" wrapText="0"/>
    </xf>
    <xf borderId="0" fillId="0" fontId="10" numFmtId="178" xfId="0" applyAlignment="1" applyFont="1" applyNumberFormat="1">
      <alignment shrinkToFit="0" vertical="bottom" wrapText="0"/>
    </xf>
    <xf borderId="0" fillId="0" fontId="33" numFmtId="0" xfId="0" applyAlignment="1" applyFont="1">
      <alignment shrinkToFit="0" vertical="bottom" wrapText="0"/>
    </xf>
    <xf borderId="27" fillId="0" fontId="10" numFmtId="9" xfId="0" applyAlignment="1" applyBorder="1" applyFont="1" applyNumberFormat="1">
      <alignment shrinkToFit="0" vertical="bottom" wrapText="0"/>
    </xf>
    <xf borderId="39" fillId="4" fontId="10" numFmtId="9" xfId="0" applyAlignment="1" applyBorder="1" applyFont="1" applyNumberFormat="1">
      <alignment shrinkToFit="0" vertical="bottom" wrapText="0"/>
    </xf>
    <xf borderId="16" fillId="4" fontId="10" numFmtId="167" xfId="0" applyAlignment="1" applyBorder="1" applyFont="1" applyNumberFormat="1">
      <alignment shrinkToFit="0" vertical="bottom" wrapText="0"/>
    </xf>
    <xf borderId="15" fillId="4" fontId="9" numFmtId="167" xfId="0" applyAlignment="1" applyBorder="1" applyFont="1" applyNumberFormat="1">
      <alignment shrinkToFit="0" vertical="bottom" wrapText="0"/>
    </xf>
    <xf borderId="27" fillId="0" fontId="9" numFmtId="167" xfId="0" applyAlignment="1" applyBorder="1" applyFont="1" applyNumberFormat="1">
      <alignment shrinkToFit="0" vertical="bottom" wrapText="0"/>
    </xf>
    <xf borderId="39" fillId="4" fontId="9" numFmtId="167" xfId="0" applyAlignment="1" applyBorder="1" applyFont="1" applyNumberFormat="1">
      <alignment shrinkToFit="0" vertical="bottom" wrapText="0"/>
    </xf>
    <xf borderId="22" fillId="4" fontId="9" numFmtId="167" xfId="0" applyAlignment="1" applyBorder="1" applyFont="1" applyNumberFormat="1">
      <alignment shrinkToFit="0" vertical="bottom" wrapText="0"/>
    </xf>
    <xf borderId="15" fillId="4" fontId="10" numFmtId="9" xfId="0" applyAlignment="1" applyBorder="1" applyFont="1" applyNumberFormat="1">
      <alignment horizontal="center" shrinkToFit="0" vertical="bottom" wrapText="0"/>
    </xf>
    <xf borderId="0" fillId="0" fontId="10" numFmtId="179" xfId="0" applyAlignment="1" applyFont="1" applyNumberFormat="1">
      <alignment shrinkToFit="0" vertical="bottom" wrapText="0"/>
    </xf>
    <xf borderId="0" fillId="0" fontId="17" numFmtId="167" xfId="0" applyAlignment="1" applyFont="1" applyNumberFormat="1">
      <alignment shrinkToFit="0" vertical="bottom" wrapText="0"/>
    </xf>
    <xf borderId="0" fillId="0" fontId="23" numFmtId="9" xfId="0" applyAlignment="1" applyFont="1" applyNumberFormat="1">
      <alignment shrinkToFit="0" vertical="bottom" wrapText="0"/>
    </xf>
    <xf borderId="39" fillId="4" fontId="10" numFmtId="167" xfId="0" applyAlignment="1" applyBorder="1" applyFont="1" applyNumberFormat="1">
      <alignment shrinkToFit="0" vertical="bottom" wrapText="0"/>
    </xf>
    <xf borderId="0" fillId="0" fontId="10" numFmtId="180" xfId="0" applyAlignment="1" applyFont="1" applyNumberFormat="1">
      <alignment shrinkToFit="0" vertical="bottom" wrapText="0"/>
    </xf>
    <xf borderId="52" fillId="4" fontId="9" numFmtId="167" xfId="0" applyAlignment="1" applyBorder="1" applyFont="1" applyNumberFormat="1">
      <alignment shrinkToFit="0" vertical="bottom" wrapText="0"/>
    </xf>
    <xf borderId="15" fillId="4" fontId="10" numFmtId="167" xfId="0" applyAlignment="1" applyBorder="1" applyFont="1" applyNumberFormat="1">
      <alignment horizontal="center" shrinkToFit="0" vertical="bottom" wrapText="0"/>
    </xf>
    <xf borderId="39" fillId="4" fontId="10" numFmtId="167" xfId="0" applyAlignment="1" applyBorder="1" applyFont="1" applyNumberFormat="1">
      <alignment horizontal="center" shrinkToFit="0" vertical="bottom" wrapText="0"/>
    </xf>
    <xf borderId="15" fillId="4" fontId="9" numFmtId="167" xfId="0" applyAlignment="1" applyBorder="1" applyFont="1" applyNumberFormat="1">
      <alignment horizontal="center" shrinkToFit="0" vertical="bottom" wrapText="0"/>
    </xf>
    <xf borderId="53" fillId="4" fontId="9" numFmtId="167" xfId="0" applyAlignment="1" applyBorder="1" applyFont="1" applyNumberFormat="1">
      <alignment shrinkToFit="0" vertical="bottom" wrapText="0"/>
    </xf>
    <xf borderId="0" fillId="0" fontId="14" numFmtId="0" xfId="0" applyAlignment="1" applyFont="1">
      <alignment horizontal="center" shrinkToFit="0" vertical="bottom" wrapText="0"/>
    </xf>
    <xf borderId="27" fillId="0" fontId="12" numFmtId="167" xfId="0" applyAlignment="1" applyBorder="1" applyFont="1" applyNumberFormat="1">
      <alignment shrinkToFit="0" vertical="bottom" wrapText="0"/>
    </xf>
    <xf borderId="39" fillId="4" fontId="12" numFmtId="167" xfId="0" applyAlignment="1" applyBorder="1" applyFont="1" applyNumberFormat="1">
      <alignment shrinkToFit="0" vertical="bottom" wrapText="0"/>
    </xf>
    <xf borderId="0" fillId="0" fontId="22" numFmtId="169" xfId="0" applyAlignment="1" applyFont="1" applyNumberFormat="1">
      <alignment shrinkToFit="0" vertical="bottom" wrapText="0"/>
    </xf>
    <xf borderId="0" fillId="0" fontId="10" numFmtId="167" xfId="0" applyAlignment="1" applyFont="1" applyNumberFormat="1">
      <alignment horizontal="right" shrinkToFit="0" vertical="bottom" wrapText="0"/>
    </xf>
    <xf borderId="15" fillId="4" fontId="10" numFmtId="167" xfId="0" applyAlignment="1" applyBorder="1" applyFont="1" applyNumberFormat="1">
      <alignment horizontal="right" shrinkToFit="0" vertical="bottom" wrapText="0"/>
    </xf>
    <xf borderId="0" fillId="0" fontId="10" numFmtId="177" xfId="0" applyAlignment="1" applyFont="1" applyNumberFormat="1">
      <alignment horizontal="center" shrinkToFit="0" vertical="bottom" wrapText="0"/>
    </xf>
    <xf borderId="0" fillId="0" fontId="10" numFmtId="0" xfId="0" applyAlignment="1" applyFont="1">
      <alignment shrinkToFit="0" vertical="bottom" wrapText="1"/>
    </xf>
    <xf borderId="0" fillId="0" fontId="9" numFmtId="169" xfId="0" applyAlignment="1" applyFont="1" applyNumberFormat="1">
      <alignment horizontal="right" shrinkToFit="0" vertical="bottom" wrapText="0"/>
    </xf>
    <xf borderId="0" fillId="0" fontId="18" numFmtId="0" xfId="0" applyAlignment="1" applyFont="1">
      <alignment shrinkToFit="0" vertical="bottom" wrapText="0"/>
    </xf>
    <xf borderId="0" fillId="0" fontId="18" numFmtId="169" xfId="0" applyAlignment="1" applyFont="1" applyNumberFormat="1">
      <alignment shrinkToFit="0" vertical="bottom" wrapText="0"/>
    </xf>
    <xf borderId="0" fillId="0" fontId="21" numFmtId="169" xfId="0" applyAlignment="1" applyFont="1" applyNumberFormat="1">
      <alignment horizontal="left" shrinkToFit="0" vertical="bottom" wrapText="0"/>
    </xf>
    <xf borderId="0" fillId="0" fontId="21" numFmtId="1" xfId="0" applyAlignment="1" applyFont="1" applyNumberFormat="1">
      <alignment horizontal="right" shrinkToFit="0" vertical="bottom" wrapText="0"/>
    </xf>
    <xf borderId="54" fillId="0" fontId="9" numFmtId="169" xfId="0" applyAlignment="1" applyBorder="1" applyFont="1" applyNumberFormat="1">
      <alignment horizontal="right" shrinkToFit="0" vertical="bottom" wrapText="0"/>
    </xf>
    <xf borderId="54" fillId="0" fontId="9" numFmtId="169" xfId="0" applyAlignment="1" applyBorder="1" applyFont="1" applyNumberFormat="1">
      <alignment shrinkToFit="0" vertical="bottom" wrapText="0"/>
    </xf>
    <xf borderId="0" fillId="0" fontId="9" numFmtId="169" xfId="0" applyAlignment="1" applyFont="1" applyNumberFormat="1">
      <alignment horizontal="left" shrinkToFit="0" vertical="bottom" wrapText="0"/>
    </xf>
    <xf borderId="0" fillId="0" fontId="10" numFmtId="3" xfId="0" applyAlignment="1" applyFont="1" applyNumberFormat="1">
      <alignment shrinkToFit="0" vertical="bottom" wrapText="1"/>
    </xf>
    <xf borderId="0" fillId="0" fontId="9" numFmtId="0" xfId="0" applyAlignment="1" applyFont="1">
      <alignment horizontal="center" shrinkToFit="0" vertical="bottom" wrapText="1"/>
    </xf>
    <xf borderId="0" fillId="0" fontId="10" numFmtId="169" xfId="0" applyAlignment="1" applyFont="1" applyNumberFormat="1">
      <alignment horizontal="right" shrinkToFit="0" vertical="bottom" wrapText="0"/>
    </xf>
    <xf borderId="14" fillId="0" fontId="10" numFmtId="178" xfId="0" applyAlignment="1" applyBorder="1" applyFont="1" applyNumberFormat="1">
      <alignment shrinkToFit="0" vertical="bottom" wrapText="0"/>
    </xf>
    <xf borderId="0" fillId="0" fontId="9" numFmtId="178" xfId="0" applyAlignment="1" applyFont="1" applyNumberFormat="1">
      <alignment shrinkToFit="0" vertical="bottom" wrapText="0"/>
    </xf>
    <xf borderId="0" fillId="0" fontId="10" numFmtId="0" xfId="0" applyAlignment="1" applyFont="1">
      <alignment horizontal="center" shrinkToFit="0" vertical="bottom" wrapText="1"/>
    </xf>
    <xf borderId="54" fillId="0" fontId="10" numFmtId="169" xfId="0" applyAlignment="1" applyBorder="1" applyFont="1" applyNumberFormat="1">
      <alignment shrinkToFit="0" vertical="bottom" wrapText="0"/>
    </xf>
    <xf borderId="0" fillId="0" fontId="9" numFmtId="166" xfId="0" applyAlignment="1" applyFont="1" applyNumberFormat="1">
      <alignment horizontal="center" shrinkToFit="0" vertical="bottom" wrapText="1"/>
    </xf>
    <xf borderId="0" fillId="0" fontId="9" numFmtId="10" xfId="0" applyAlignment="1" applyFont="1" applyNumberFormat="1">
      <alignment horizontal="right" shrinkToFit="0" vertical="bottom" wrapText="0"/>
    </xf>
    <xf borderId="0" fillId="0" fontId="23" numFmtId="0" xfId="0" applyAlignment="1" applyFont="1">
      <alignment shrinkToFit="0" vertical="bottom" wrapText="1"/>
    </xf>
    <xf borderId="0" fillId="0" fontId="24" numFmtId="169" xfId="0" applyAlignment="1" applyFont="1" applyNumberFormat="1">
      <alignment shrinkToFit="0" vertical="bottom" wrapText="0"/>
    </xf>
    <xf borderId="0" fillId="0" fontId="23" numFmtId="164" xfId="0" applyAlignment="1" applyFont="1" applyNumberFormat="1">
      <alignment shrinkToFit="0" vertical="bottom" wrapText="0"/>
    </xf>
    <xf borderId="15" fillId="6" fontId="23" numFmtId="0" xfId="0" applyAlignment="1" applyBorder="1" applyFont="1">
      <alignment shrinkToFit="0" vertical="bottom" wrapText="1"/>
    </xf>
    <xf borderId="15" fillId="6" fontId="23" numFmtId="0" xfId="0" applyAlignment="1" applyBorder="1" applyFont="1">
      <alignment shrinkToFit="0" vertical="bottom" wrapText="0"/>
    </xf>
    <xf borderId="15" fillId="6" fontId="24" numFmtId="0" xfId="0" applyAlignment="1" applyBorder="1" applyFont="1">
      <alignment horizontal="center" shrinkToFit="0" vertical="bottom" wrapText="0"/>
    </xf>
    <xf borderId="4" fillId="6" fontId="9" numFmtId="0" xfId="0" applyAlignment="1" applyBorder="1" applyFont="1">
      <alignment horizontal="center" shrinkToFit="0" vertical="bottom" wrapText="0"/>
    </xf>
    <xf borderId="15" fillId="6" fontId="23" numFmtId="9" xfId="0" applyAlignment="1" applyBorder="1" applyFont="1" applyNumberFormat="1">
      <alignment shrinkToFit="0" vertical="bottom" wrapText="0"/>
    </xf>
    <xf borderId="15" fillId="6" fontId="9" numFmtId="0" xfId="0" applyAlignment="1" applyBorder="1" applyFont="1">
      <alignment horizontal="center" shrinkToFit="0" vertical="bottom" wrapText="0"/>
    </xf>
    <xf borderId="15" fillId="6" fontId="9" numFmtId="0" xfId="0" applyAlignment="1" applyBorder="1" applyFont="1">
      <alignment horizontal="center" shrinkToFit="0" vertical="bottom" wrapText="1"/>
    </xf>
    <xf borderId="15" fillId="6" fontId="24" numFmtId="169" xfId="0" applyAlignment="1" applyBorder="1" applyFont="1" applyNumberFormat="1">
      <alignment horizontal="center" shrinkToFit="0" vertical="bottom" wrapText="0"/>
    </xf>
    <xf borderId="15" fillId="6" fontId="9" numFmtId="169" xfId="0" applyAlignment="1" applyBorder="1" applyFont="1" applyNumberFormat="1">
      <alignment horizontal="center" shrinkToFit="0" vertical="bottom" wrapText="0"/>
    </xf>
    <xf borderId="24" fillId="0" fontId="10" numFmtId="0" xfId="0" applyAlignment="1" applyBorder="1" applyFont="1">
      <alignment horizontal="left" shrinkToFit="0" vertical="bottom" wrapText="0"/>
    </xf>
    <xf borderId="24" fillId="0" fontId="27" numFmtId="0" xfId="0" applyAlignment="1" applyBorder="1" applyFont="1">
      <alignment horizontal="left" shrinkToFit="0" vertical="bottom" wrapText="0"/>
    </xf>
    <xf borderId="24" fillId="0" fontId="10" numFmtId="169" xfId="0" applyAlignment="1" applyBorder="1" applyFont="1" applyNumberFormat="1">
      <alignment horizontal="left" shrinkToFit="0" vertical="bottom" wrapText="0"/>
    </xf>
    <xf borderId="24" fillId="0" fontId="27" numFmtId="0" xfId="0" applyAlignment="1" applyBorder="1" applyFont="1">
      <alignment horizontal="center" shrinkToFit="0" vertical="bottom" wrapText="0"/>
    </xf>
    <xf borderId="24" fillId="0" fontId="10" numFmtId="169" xfId="0" applyAlignment="1" applyBorder="1" applyFont="1" applyNumberFormat="1">
      <alignment horizontal="center" shrinkToFit="0" vertical="bottom" wrapText="0"/>
    </xf>
    <xf borderId="24" fillId="0" fontId="10" numFmtId="1" xfId="0" applyAlignment="1" applyBorder="1" applyFont="1" applyNumberFormat="1">
      <alignment horizontal="center" shrinkToFit="0" vertical="bottom" wrapText="0"/>
    </xf>
    <xf borderId="24" fillId="0" fontId="9" numFmtId="0" xfId="0" applyAlignment="1" applyBorder="1" applyFont="1">
      <alignment horizontal="left" shrinkToFit="0" vertical="bottom" wrapText="0"/>
    </xf>
    <xf borderId="24" fillId="0" fontId="27" numFmtId="0" xfId="0" applyAlignment="1" applyBorder="1" applyFont="1">
      <alignment shrinkToFit="0" vertical="bottom" wrapText="0"/>
    </xf>
    <xf borderId="24" fillId="0" fontId="27" numFmtId="1" xfId="0" applyAlignment="1" applyBorder="1" applyFont="1" applyNumberFormat="1">
      <alignment horizontal="center" shrinkToFit="0" vertical="bottom" wrapText="0"/>
    </xf>
    <xf borderId="0" fillId="0" fontId="10" numFmtId="0" xfId="0" applyAlignment="1" applyFont="1">
      <alignment horizontal="left" shrinkToFit="0" vertical="bottom" wrapText="1"/>
    </xf>
    <xf borderId="27" fillId="0" fontId="27" numFmtId="0" xfId="0" applyAlignment="1" applyBorder="1" applyFont="1">
      <alignment shrinkToFit="0" vertical="bottom" wrapText="0"/>
    </xf>
    <xf borderId="27" fillId="0" fontId="10" numFmtId="169" xfId="0" applyAlignment="1" applyBorder="1" applyFont="1" applyNumberFormat="1">
      <alignment horizontal="left" shrinkToFit="0" vertical="bottom" wrapText="0"/>
    </xf>
    <xf borderId="27" fillId="0" fontId="27" numFmtId="0" xfId="0" applyAlignment="1" applyBorder="1" applyFont="1">
      <alignment horizontal="center" shrinkToFit="0" vertical="bottom" wrapText="0"/>
    </xf>
    <xf borderId="27" fillId="0" fontId="10" numFmtId="169" xfId="0" applyAlignment="1" applyBorder="1" applyFont="1" applyNumberFormat="1">
      <alignment horizontal="center" shrinkToFit="0" vertical="bottom" wrapText="0"/>
    </xf>
    <xf borderId="27" fillId="0" fontId="27" numFmtId="1" xfId="0" applyAlignment="1" applyBorder="1" applyFont="1" applyNumberFormat="1">
      <alignment horizontal="center" shrinkToFit="0" vertical="bottom" wrapText="0"/>
    </xf>
    <xf borderId="27" fillId="0" fontId="10" numFmtId="1" xfId="0" applyAlignment="1" applyBorder="1" applyFont="1" applyNumberFormat="1">
      <alignment horizontal="center" shrinkToFit="0" vertical="bottom" wrapText="0"/>
    </xf>
    <xf borderId="14" fillId="0" fontId="27" numFmtId="0" xfId="0" applyAlignment="1" applyBorder="1" applyFont="1">
      <alignment shrinkToFit="0" vertical="bottom" wrapText="0"/>
    </xf>
    <xf borderId="14" fillId="0" fontId="10" numFmtId="169" xfId="0" applyAlignment="1" applyBorder="1" applyFont="1" applyNumberFormat="1">
      <alignment horizontal="left" shrinkToFit="0" vertical="bottom" wrapText="0"/>
    </xf>
    <xf borderId="14" fillId="0" fontId="27" numFmtId="0" xfId="0" applyAlignment="1" applyBorder="1" applyFont="1">
      <alignment horizontal="center" shrinkToFit="0" vertical="bottom" wrapText="0"/>
    </xf>
    <xf borderId="14" fillId="0" fontId="27" numFmtId="1" xfId="0" applyAlignment="1" applyBorder="1" applyFont="1" applyNumberFormat="1">
      <alignment horizontal="center" shrinkToFit="0" vertical="bottom" wrapText="0"/>
    </xf>
    <xf borderId="22" fillId="8" fontId="10" numFmtId="1" xfId="0" applyAlignment="1" applyBorder="1" applyFont="1" applyNumberFormat="1">
      <alignment horizontal="center" shrinkToFit="0" vertical="bottom" wrapText="0"/>
    </xf>
    <xf borderId="24" fillId="0" fontId="10" numFmtId="0" xfId="0" applyAlignment="1" applyBorder="1" applyFont="1">
      <alignment shrinkToFit="0" vertical="bottom" wrapText="1"/>
    </xf>
    <xf borderId="0" fillId="0" fontId="10" numFmtId="166" xfId="0" applyAlignment="1" applyFont="1" applyNumberFormat="1">
      <alignment horizontal="center" shrinkToFit="0" vertical="bottom" wrapText="1"/>
    </xf>
    <xf borderId="15" fillId="11" fontId="34" numFmtId="0" xfId="0" applyAlignment="1" applyBorder="1" applyFont="1">
      <alignment shrinkToFit="0" vertical="bottom" wrapText="0"/>
    </xf>
    <xf borderId="1" fillId="11" fontId="34" numFmtId="0" xfId="0" applyAlignment="1" applyBorder="1" applyFont="1">
      <alignment horizontal="center" shrinkToFit="0" vertical="bottom" wrapText="0"/>
    </xf>
    <xf borderId="0" fillId="0" fontId="35" numFmtId="0" xfId="0" applyAlignment="1" applyFont="1">
      <alignment shrinkToFit="0" vertical="bottom" wrapText="0"/>
    </xf>
    <xf borderId="15" fillId="11" fontId="35" numFmtId="0" xfId="0" applyAlignment="1" applyBorder="1" applyFont="1">
      <alignment horizontal="center" shrinkToFit="0" vertical="bottom" wrapText="0"/>
    </xf>
    <xf borderId="15" fillId="11" fontId="35" numFmtId="0" xfId="0" applyAlignment="1" applyBorder="1" applyFont="1">
      <alignment shrinkToFit="0" vertical="bottom" wrapText="0"/>
    </xf>
    <xf borderId="48" fillId="6" fontId="9" numFmtId="0" xfId="0" applyAlignment="1" applyBorder="1" applyFont="1">
      <alignment shrinkToFit="0" vertical="bottom" wrapText="0"/>
    </xf>
    <xf borderId="48" fillId="6" fontId="9" numFmtId="0" xfId="0" applyAlignment="1" applyBorder="1" applyFont="1">
      <alignment horizontal="center" shrinkToFit="0" vertical="bottom" wrapText="0"/>
    </xf>
    <xf borderId="0" fillId="0" fontId="9" numFmtId="3" xfId="0" applyAlignment="1" applyFont="1" applyNumberFormat="1">
      <alignment horizontal="center" shrinkToFit="0" vertical="bottom" wrapText="0"/>
    </xf>
    <xf borderId="54" fillId="0" fontId="9" numFmtId="0" xfId="0" applyAlignment="1" applyBorder="1" applyFont="1">
      <alignment horizontal="left" shrinkToFit="0" vertical="bottom" wrapText="0"/>
    </xf>
    <xf borderId="54" fillId="0" fontId="9" numFmtId="166" xfId="0" applyAlignment="1" applyBorder="1" applyFont="1" applyNumberFormat="1">
      <alignment shrinkToFit="0" vertical="bottom" wrapText="0"/>
    </xf>
    <xf borderId="54" fillId="0" fontId="9" numFmtId="166" xfId="0" applyAlignment="1" applyBorder="1" applyFont="1" applyNumberFormat="1">
      <alignment horizontal="center" shrinkToFit="0" vertical="bottom" wrapText="0"/>
    </xf>
    <xf borderId="54" fillId="0" fontId="9" numFmtId="0" xfId="0" applyAlignment="1" applyBorder="1" applyFont="1">
      <alignment shrinkToFit="0" vertical="bottom" wrapText="0"/>
    </xf>
    <xf borderId="54" fillId="0" fontId="10" numFmtId="0" xfId="0" applyAlignment="1" applyBorder="1" applyFont="1">
      <alignment shrinkToFit="0" vertical="bottom" wrapText="0"/>
    </xf>
    <xf borderId="54" fillId="0" fontId="10" numFmtId="0" xfId="0" applyAlignment="1" applyBorder="1" applyFont="1">
      <alignment horizontal="center" shrinkToFit="0" vertical="bottom" wrapText="0"/>
    </xf>
    <xf borderId="55" fillId="0" fontId="9" numFmtId="0" xfId="0" applyAlignment="1" applyBorder="1" applyFont="1">
      <alignment shrinkToFit="0" vertical="bottom" wrapText="0"/>
    </xf>
    <xf borderId="55" fillId="0" fontId="9" numFmtId="166" xfId="0" applyAlignment="1" applyBorder="1" applyFont="1" applyNumberFormat="1">
      <alignment shrinkToFit="0" vertical="bottom" wrapText="0"/>
    </xf>
    <xf borderId="55" fillId="0" fontId="9" numFmtId="166" xfId="0" applyAlignment="1" applyBorder="1" applyFont="1" applyNumberFormat="1">
      <alignment horizontal="center" shrinkToFit="0" vertical="bottom" wrapText="0"/>
    </xf>
    <xf borderId="0" fillId="0" fontId="27" numFmtId="0" xfId="0" applyAlignment="1" applyFont="1">
      <alignment horizontal="center" shrinkToFit="0" vertical="bottom" wrapText="0"/>
    </xf>
    <xf borderId="0" fillId="0" fontId="27" numFmtId="3" xfId="0" applyAlignment="1" applyFont="1" applyNumberFormat="1">
      <alignment horizontal="center" shrinkToFit="0" vertical="bottom" wrapText="0"/>
    </xf>
    <xf borderId="14" fillId="0" fontId="10" numFmtId="3" xfId="0" applyAlignment="1" applyBorder="1" applyFont="1" applyNumberFormat="1">
      <alignment horizontal="center" shrinkToFit="0" vertical="bottom" wrapText="0"/>
    </xf>
    <xf borderId="14" fillId="0" fontId="9" numFmtId="0" xfId="0" applyAlignment="1" applyBorder="1" applyFont="1">
      <alignment horizontal="left" shrinkToFit="0" vertical="bottom" wrapText="0"/>
    </xf>
    <xf borderId="0" fillId="0" fontId="27" numFmtId="9" xfId="0" applyAlignment="1" applyFont="1" applyNumberFormat="1">
      <alignment shrinkToFit="0" vertical="bottom" wrapText="0"/>
    </xf>
    <xf borderId="0" fillId="0" fontId="11" numFmtId="3" xfId="0" applyFont="1" applyNumberFormat="1"/>
    <xf borderId="48" fillId="4" fontId="21" numFmtId="0" xfId="0" applyAlignment="1" applyBorder="1" applyFont="1">
      <alignment horizontal="center" shrinkToFit="0" vertical="bottom" wrapText="0"/>
    </xf>
    <xf borderId="0" fillId="0" fontId="8" numFmtId="0" xfId="0" applyAlignment="1" applyFont="1">
      <alignment horizontal="center" shrinkToFit="0" vertical="bottom" wrapText="0"/>
    </xf>
    <xf borderId="0" fillId="0" fontId="11" numFmtId="167" xfId="0" applyFont="1" applyNumberFormat="1"/>
    <xf borderId="0" fillId="0" fontId="11" numFmtId="165" xfId="0" applyFont="1" applyNumberFormat="1"/>
    <xf borderId="0" fillId="0" fontId="10" numFmtId="181" xfId="0" applyAlignment="1" applyFont="1" applyNumberFormat="1">
      <alignment horizontal="center" shrinkToFit="0" vertical="bottom" wrapText="0"/>
    </xf>
    <xf borderId="14" fillId="0" fontId="10" numFmtId="181" xfId="0" applyAlignment="1" applyBorder="1" applyFont="1" applyNumberFormat="1">
      <alignment horizontal="center" shrinkToFit="0" vertical="bottom" wrapText="0"/>
    </xf>
    <xf borderId="0" fillId="0" fontId="9" numFmtId="181" xfId="0" applyAlignment="1" applyFont="1" applyNumberFormat="1">
      <alignment horizontal="center" shrinkToFit="0" vertical="bottom" wrapText="0"/>
    </xf>
    <xf borderId="15" fillId="4" fontId="9" numFmtId="0" xfId="0" applyAlignment="1" applyBorder="1" applyFont="1">
      <alignment shrinkToFit="0" vertical="bottom" wrapText="0"/>
    </xf>
    <xf borderId="15" fillId="4" fontId="9" numFmtId="0" xfId="0" applyAlignment="1" applyBorder="1" applyFont="1">
      <alignment horizontal="left" shrinkToFit="0" vertical="bottom" wrapText="0"/>
    </xf>
    <xf borderId="15" fillId="4" fontId="10" numFmtId="166" xfId="0" applyAlignment="1" applyBorder="1" applyFont="1" applyNumberFormat="1">
      <alignment shrinkToFit="0" vertical="bottom" wrapText="0"/>
    </xf>
    <xf borderId="0" fillId="0" fontId="8" numFmtId="0" xfId="0" applyAlignment="1" applyFont="1">
      <alignment horizontal="right" shrinkToFit="0" vertical="bottom" wrapText="0"/>
    </xf>
    <xf borderId="0" fillId="0" fontId="8" numFmtId="9" xfId="0" applyAlignment="1" applyFont="1" applyNumberFormat="1">
      <alignment horizontal="center" shrinkToFit="0" vertical="bottom" wrapText="0"/>
    </xf>
    <xf borderId="0" fillId="0" fontId="9" numFmtId="178" xfId="0" applyAlignment="1" applyFont="1" applyNumberFormat="1">
      <alignment horizontal="center" shrinkToFit="0" vertical="bottom" wrapText="0"/>
    </xf>
    <xf borderId="15" fillId="6" fontId="23" numFmtId="169" xfId="0" applyAlignment="1" applyBorder="1" applyFont="1" applyNumberFormat="1">
      <alignment shrinkToFit="0" vertical="bottom" wrapText="0"/>
    </xf>
    <xf borderId="2" fillId="6" fontId="9" numFmtId="0" xfId="0" applyAlignment="1" applyBorder="1" applyFont="1">
      <alignment horizontal="center" shrinkToFit="0" vertical="bottom" wrapText="0"/>
    </xf>
    <xf borderId="15" fillId="6" fontId="9" numFmtId="0" xfId="0" applyAlignment="1" applyBorder="1" applyFont="1">
      <alignment horizontal="left" shrinkToFit="0" vertical="bottom" wrapText="0"/>
    </xf>
    <xf borderId="24" fillId="0" fontId="27" numFmtId="1" xfId="0" applyAlignment="1" applyBorder="1" applyFont="1" applyNumberFormat="1">
      <alignment horizontal="center" shrinkToFit="0" vertical="bottom" wrapText="1"/>
    </xf>
    <xf borderId="35" fillId="0" fontId="10" numFmtId="0" xfId="0" applyAlignment="1" applyBorder="1" applyFont="1">
      <alignment shrinkToFit="0" vertical="bottom" wrapText="0"/>
    </xf>
    <xf borderId="22" fillId="3" fontId="27" numFmtId="1" xfId="0" applyAlignment="1" applyBorder="1" applyFont="1" applyNumberFormat="1">
      <alignment horizontal="center" shrinkToFit="0" vertical="bottom" wrapText="0"/>
    </xf>
    <xf borderId="50" fillId="7" fontId="9" numFmtId="169" xfId="0" applyAlignment="1" applyBorder="1" applyFont="1" applyNumberFormat="1">
      <alignment horizontal="center" shrinkToFit="0" vertical="bottom" wrapText="0"/>
    </xf>
    <xf borderId="15" fillId="7" fontId="10" numFmtId="165" xfId="0" applyAlignment="1" applyBorder="1" applyFont="1" applyNumberFormat="1">
      <alignment horizontal="center" shrinkToFit="0" vertical="bottom" wrapText="0"/>
    </xf>
    <xf borderId="50" fillId="7" fontId="10" numFmtId="165" xfId="0" applyAlignment="1" applyBorder="1" applyFont="1" applyNumberFormat="1">
      <alignment horizontal="center" shrinkToFit="0" vertical="bottom" wrapText="0"/>
    </xf>
    <xf borderId="16" fillId="7" fontId="10" numFmtId="165" xfId="0" applyAlignment="1" applyBorder="1" applyFont="1" applyNumberFormat="1">
      <alignment horizontal="center" shrinkToFit="0" vertical="bottom" wrapText="0"/>
    </xf>
    <xf borderId="51" fillId="7" fontId="10" numFmtId="165" xfId="0" applyAlignment="1" applyBorder="1" applyFont="1" applyNumberFormat="1">
      <alignment horizontal="center" shrinkToFit="0" vertical="bottom" wrapText="0"/>
    </xf>
    <xf borderId="15" fillId="7" fontId="9" numFmtId="165" xfId="0" applyAlignment="1" applyBorder="1" applyFont="1" applyNumberFormat="1">
      <alignment horizontal="center" shrinkToFit="0" vertical="bottom" wrapText="0"/>
    </xf>
    <xf borderId="50" fillId="7" fontId="9" numFmtId="165" xfId="0" applyAlignment="1" applyBorder="1" applyFont="1" applyNumberFormat="1">
      <alignment horizontal="center" shrinkToFit="0" vertical="bottom" wrapText="0"/>
    </xf>
    <xf borderId="15" fillId="7" fontId="10" numFmtId="0" xfId="0" applyAlignment="1" applyBorder="1" applyFont="1">
      <alignment horizontal="center" shrinkToFit="0" vertical="bottom" wrapText="0"/>
    </xf>
    <xf borderId="20" fillId="7" fontId="9" numFmtId="165" xfId="0" applyAlignment="1" applyBorder="1" applyFont="1" applyNumberFormat="1">
      <alignment horizontal="center" shrinkToFit="0" vertical="bottom" wrapText="0"/>
    </xf>
    <xf borderId="33" fillId="7" fontId="9" numFmtId="165" xfId="0" applyAlignment="1" applyBorder="1" applyFont="1" applyNumberFormat="1">
      <alignment horizontal="center" shrinkToFit="0" vertical="bottom" wrapText="0"/>
    </xf>
    <xf borderId="0" fillId="0" fontId="15" numFmtId="167" xfId="0" applyAlignment="1" applyFont="1" applyNumberFormat="1">
      <alignment shrinkToFit="0" vertical="bottom" wrapText="0"/>
    </xf>
    <xf borderId="18" fillId="6" fontId="9" numFmtId="0" xfId="0" applyAlignment="1" applyBorder="1" applyFont="1">
      <alignment horizontal="center" shrinkToFit="0" vertical="bottom" wrapText="0"/>
    </xf>
    <xf borderId="30" fillId="6" fontId="36" numFmtId="0" xfId="0" applyAlignment="1" applyBorder="1" applyFont="1">
      <alignment horizontal="center" shrinkToFit="0" vertical="bottom" wrapText="0"/>
    </xf>
    <xf borderId="18" fillId="6" fontId="9" numFmtId="0" xfId="0" applyAlignment="1" applyBorder="1" applyFont="1">
      <alignment shrinkToFit="0" vertical="bottom" wrapText="0"/>
    </xf>
    <xf borderId="20" fillId="6" fontId="9" numFmtId="0" xfId="0" applyAlignment="1" applyBorder="1" applyFont="1">
      <alignment horizontal="center" shrinkToFit="0" vertical="bottom" wrapText="0"/>
    </xf>
    <xf borderId="20" fillId="6" fontId="9" numFmtId="0" xfId="0" applyAlignment="1" applyBorder="1" applyFont="1">
      <alignment shrinkToFit="0" vertical="bottom" wrapText="0"/>
    </xf>
    <xf borderId="10" fillId="0" fontId="14" numFmtId="0" xfId="0" applyAlignment="1" applyBorder="1" applyFont="1">
      <alignment shrinkToFit="0" vertical="bottom" wrapText="0"/>
    </xf>
    <xf borderId="0" fillId="0" fontId="14" numFmtId="0" xfId="0" applyAlignment="1" applyFont="1">
      <alignment shrinkToFit="0" vertical="bottom" wrapText="0"/>
    </xf>
    <xf borderId="0" fillId="0" fontId="9" numFmtId="177" xfId="0" applyAlignment="1" applyFont="1" applyNumberFormat="1">
      <alignment horizontal="center" shrinkToFit="0" vertical="bottom" wrapText="0"/>
    </xf>
    <xf borderId="0" fillId="0" fontId="9" numFmtId="171" xfId="0" applyAlignment="1" applyFont="1" applyNumberFormat="1">
      <alignment horizontal="center" shrinkToFit="0" vertical="bottom" wrapText="0"/>
    </xf>
    <xf borderId="10" fillId="0" fontId="9" numFmtId="0" xfId="0" applyAlignment="1" applyBorder="1" applyFont="1">
      <alignment shrinkToFit="0" vertical="bottom" wrapText="0"/>
    </xf>
    <xf borderId="0" fillId="0" fontId="12" numFmtId="169" xfId="0" applyAlignment="1" applyFont="1" applyNumberFormat="1">
      <alignment shrinkToFit="0" vertical="bottom" wrapText="0"/>
    </xf>
    <xf borderId="0" fillId="0" fontId="12" numFmtId="0" xfId="0" applyAlignment="1" applyFont="1">
      <alignment shrinkToFit="0" vertical="bottom" wrapText="0"/>
    </xf>
    <xf borderId="0" fillId="0" fontId="12" numFmtId="1" xfId="0" applyAlignment="1" applyFont="1" applyNumberFormat="1">
      <alignment shrinkToFit="0" vertical="bottom" wrapText="0"/>
    </xf>
    <xf borderId="14" fillId="0" fontId="12" numFmtId="0" xfId="0" applyAlignment="1" applyBorder="1" applyFont="1">
      <alignment shrinkToFit="0" vertical="bottom" wrapText="0"/>
    </xf>
    <xf borderId="14" fillId="0" fontId="12" numFmtId="1" xfId="0" applyAlignment="1" applyBorder="1" applyFont="1" applyNumberFormat="1">
      <alignment shrinkToFit="0" vertical="bottom" wrapText="0"/>
    </xf>
    <xf borderId="14" fillId="0" fontId="10" numFmtId="1" xfId="0" applyAlignment="1" applyBorder="1" applyFont="1" applyNumberFormat="1">
      <alignment shrinkToFit="0" vertical="bottom" wrapText="0"/>
    </xf>
    <xf borderId="0" fillId="0" fontId="32" numFmtId="1" xfId="0" applyAlignment="1" applyFont="1" applyNumberFormat="1">
      <alignment shrinkToFit="0" vertical="bottom" wrapText="0"/>
    </xf>
    <xf borderId="0" fillId="0" fontId="12" numFmtId="172" xfId="0" applyAlignment="1" applyFont="1" applyNumberFormat="1">
      <alignment shrinkToFit="0" vertical="bottom" wrapText="0"/>
    </xf>
    <xf borderId="0" fillId="0" fontId="12" numFmtId="177" xfId="0" applyAlignment="1" applyFont="1" applyNumberFormat="1">
      <alignment shrinkToFit="0" vertical="bottom" wrapText="0"/>
    </xf>
    <xf borderId="0" fillId="0" fontId="10" numFmtId="182" xfId="0" applyAlignment="1" applyFont="1" applyNumberFormat="1">
      <alignment shrinkToFit="0" vertical="bottom" wrapText="0"/>
    </xf>
    <xf borderId="0" fillId="0" fontId="22" numFmtId="164" xfId="0" applyAlignment="1" applyFont="1" applyNumberFormat="1">
      <alignment shrinkToFit="0" vertical="bottom" wrapText="0"/>
    </xf>
    <xf borderId="0" fillId="0" fontId="12" numFmtId="164" xfId="0" applyAlignment="1" applyFont="1" applyNumberFormat="1">
      <alignment shrinkToFit="0" vertical="bottom" wrapText="0"/>
    </xf>
    <xf borderId="14" fillId="0" fontId="12" numFmtId="164" xfId="0" applyAlignment="1" applyBorder="1" applyFont="1" applyNumberFormat="1">
      <alignment shrinkToFit="0" vertical="bottom" wrapText="0"/>
    </xf>
    <xf borderId="17" fillId="3" fontId="12" numFmtId="164" xfId="0" applyAlignment="1" applyBorder="1" applyFont="1" applyNumberFormat="1">
      <alignment shrinkToFit="0" vertical="bottom" wrapText="0"/>
    </xf>
    <xf borderId="18" fillId="3" fontId="12" numFmtId="164" xfId="0" applyAlignment="1" applyBorder="1" applyFont="1" applyNumberFormat="1">
      <alignment shrinkToFit="0" vertical="bottom" wrapText="0"/>
    </xf>
    <xf borderId="29" fillId="3" fontId="12" numFmtId="164" xfId="0" applyAlignment="1" applyBorder="1" applyFont="1" applyNumberFormat="1">
      <alignment shrinkToFit="0" vertical="bottom" wrapText="0"/>
    </xf>
    <xf borderId="19" fillId="3" fontId="10" numFmtId="164" xfId="0" applyAlignment="1" applyBorder="1" applyFont="1" applyNumberFormat="1">
      <alignment shrinkToFit="0" vertical="bottom" wrapText="0"/>
    </xf>
    <xf borderId="20" fillId="3" fontId="10" numFmtId="164" xfId="0" applyAlignment="1" applyBorder="1" applyFont="1" applyNumberFormat="1">
      <alignment shrinkToFit="0" vertical="bottom" wrapText="0"/>
    </xf>
    <xf borderId="33" fillId="3" fontId="10" numFmtId="164" xfId="0" applyAlignment="1" applyBorder="1" applyFont="1" applyNumberFormat="1">
      <alignment shrinkToFit="0" vertical="bottom" wrapText="0"/>
    </xf>
    <xf borderId="15" fillId="12" fontId="10" numFmtId="183" xfId="0" applyAlignment="1" applyBorder="1" applyFill="1" applyFont="1" applyNumberFormat="1">
      <alignment shrinkToFit="0" vertical="bottom" wrapText="0"/>
    </xf>
    <xf borderId="0" fillId="0" fontId="9" numFmtId="183" xfId="0" applyAlignment="1" applyFont="1" applyNumberFormat="1">
      <alignment shrinkToFit="0" vertical="bottom" wrapText="0"/>
    </xf>
    <xf borderId="0" fillId="0" fontId="10" numFmtId="183" xfId="0" applyAlignment="1" applyFont="1" applyNumberFormat="1">
      <alignment shrinkToFit="0" vertical="bottom" wrapText="0"/>
    </xf>
    <xf borderId="10" fillId="0" fontId="10" numFmtId="1" xfId="0" applyAlignment="1" applyBorder="1" applyFont="1" applyNumberFormat="1">
      <alignment shrinkToFit="0" vertical="bottom" wrapText="0"/>
    </xf>
    <xf borderId="0" fillId="0" fontId="12" numFmtId="10" xfId="0" applyAlignment="1" applyFont="1" applyNumberFormat="1">
      <alignment shrinkToFit="0" vertical="bottom" wrapText="0"/>
    </xf>
    <xf borderId="10" fillId="0" fontId="17" numFmtId="0" xfId="0" applyAlignment="1" applyBorder="1" applyFont="1">
      <alignment shrinkToFit="0" vertical="bottom" wrapText="0"/>
    </xf>
    <xf borderId="27" fillId="0" fontId="12" numFmtId="9" xfId="0" applyAlignment="1" applyBorder="1" applyFont="1" applyNumberFormat="1">
      <alignment shrinkToFit="0" vertical="bottom" wrapText="0"/>
    </xf>
    <xf borderId="22" fillId="7" fontId="37" numFmtId="167" xfId="0" applyAlignment="1" applyBorder="1" applyFont="1" applyNumberFormat="1">
      <alignment horizontal="center" shrinkToFit="0" vertical="bottom" wrapText="0"/>
    </xf>
    <xf borderId="15" fillId="13" fontId="10" numFmtId="167" xfId="0" applyAlignment="1" applyBorder="1" applyFill="1" applyFont="1" applyNumberFormat="1">
      <alignment shrinkToFit="0" vertical="bottom" wrapText="0"/>
    </xf>
    <xf borderId="16" fillId="13" fontId="10" numFmtId="167" xfId="0" applyAlignment="1" applyBorder="1" applyFont="1" applyNumberFormat="1">
      <alignment shrinkToFit="0" vertical="bottom" wrapText="0"/>
    </xf>
    <xf borderId="0" fillId="0" fontId="9" numFmtId="177" xfId="0" applyAlignment="1" applyFont="1" applyNumberFormat="1">
      <alignment shrinkToFit="0" vertical="bottom" wrapText="0"/>
    </xf>
    <xf borderId="15" fillId="13" fontId="9" numFmtId="167" xfId="0" applyAlignment="1" applyBorder="1" applyFont="1" applyNumberFormat="1">
      <alignment shrinkToFit="0" vertical="bottom" wrapText="0"/>
    </xf>
    <xf borderId="15" fillId="14" fontId="10" numFmtId="167" xfId="0" applyAlignment="1" applyBorder="1" applyFill="1" applyFont="1" applyNumberFormat="1">
      <alignment shrinkToFit="0" vertical="bottom" wrapText="0"/>
    </xf>
    <xf borderId="10" fillId="0" fontId="23" numFmtId="9" xfId="0" applyAlignment="1" applyBorder="1" applyFont="1" applyNumberFormat="1">
      <alignment shrinkToFit="0" vertical="bottom" wrapText="0"/>
    </xf>
    <xf borderId="14" fillId="0" fontId="10" numFmtId="9" xfId="0" applyAlignment="1" applyBorder="1" applyFont="1" applyNumberFormat="1">
      <alignment shrinkToFit="0" vertical="bottom" wrapText="0"/>
    </xf>
    <xf borderId="56" fillId="0" fontId="9" numFmtId="0" xfId="0" applyAlignment="1" applyBorder="1" applyFont="1">
      <alignment shrinkToFit="0" vertical="bottom" wrapText="0"/>
    </xf>
    <xf borderId="10" fillId="0" fontId="24" numFmtId="0" xfId="0" applyAlignment="1" applyBorder="1" applyFont="1">
      <alignment shrinkToFit="0" vertical="bottom" wrapText="0"/>
    </xf>
    <xf borderId="15" fillId="11" fontId="10" numFmtId="167" xfId="0" applyAlignment="1" applyBorder="1" applyFont="1" applyNumberFormat="1">
      <alignment horizontal="center" shrinkToFit="0" vertical="bottom" wrapText="0"/>
    </xf>
    <xf borderId="57" fillId="0" fontId="9" numFmtId="0" xfId="0" applyAlignment="1" applyBorder="1" applyFont="1">
      <alignment shrinkToFit="0" vertical="bottom" wrapText="0"/>
    </xf>
    <xf borderId="58" fillId="0" fontId="9" numFmtId="0" xfId="0" applyAlignment="1" applyBorder="1" applyFont="1">
      <alignment shrinkToFit="0" vertical="bottom" wrapText="0"/>
    </xf>
    <xf borderId="10" fillId="0" fontId="14" numFmtId="0" xfId="0" applyAlignment="1" applyBorder="1" applyFont="1">
      <alignment horizontal="center" shrinkToFit="0" vertical="bottom" wrapText="0"/>
    </xf>
    <xf borderId="20" fillId="3" fontId="10" numFmtId="167" xfId="0" applyAlignment="1" applyBorder="1" applyFont="1" applyNumberFormat="1">
      <alignment shrinkToFit="0" vertical="bottom" wrapText="0"/>
    </xf>
    <xf borderId="0" fillId="0" fontId="9" numFmtId="175" xfId="0" applyAlignment="1" applyFont="1" applyNumberFormat="1">
      <alignment horizontal="center" shrinkToFit="0" vertical="bottom" wrapText="0"/>
    </xf>
    <xf borderId="14" fillId="0" fontId="12" numFmtId="169" xfId="0" applyAlignment="1" applyBorder="1" applyFont="1" applyNumberFormat="1">
      <alignment shrinkToFit="0" vertical="bottom" wrapText="0"/>
    </xf>
    <xf borderId="0" fillId="0" fontId="32" numFmtId="169" xfId="0" applyAlignment="1" applyFont="1" applyNumberFormat="1">
      <alignment shrinkToFit="0" vertical="bottom" wrapText="0"/>
    </xf>
    <xf borderId="15" fillId="15" fontId="10" numFmtId="0" xfId="0" applyAlignment="1" applyBorder="1" applyFill="1" applyFont="1">
      <alignment shrinkToFit="0" vertical="bottom" wrapText="0"/>
    </xf>
    <xf borderId="14" fillId="0" fontId="10" numFmtId="167" xfId="0" applyAlignment="1" applyBorder="1" applyFont="1" applyNumberFormat="1">
      <alignment horizontal="center" shrinkToFit="0" vertical="bottom" wrapText="0"/>
    </xf>
    <xf borderId="27" fillId="0" fontId="9" numFmtId="169" xfId="0" applyAlignment="1" applyBorder="1" applyFont="1" applyNumberFormat="1">
      <alignment shrinkToFit="0" vertical="bottom" wrapText="0"/>
    </xf>
    <xf borderId="0" fillId="0" fontId="14" numFmtId="177" xfId="0" applyAlignment="1" applyFont="1" applyNumberFormat="1">
      <alignment shrinkToFit="0" vertical="bottom" wrapText="0"/>
    </xf>
    <xf borderId="0" fillId="0" fontId="38" numFmtId="167" xfId="0" applyAlignment="1" applyFont="1" applyNumberFormat="1">
      <alignment shrinkToFit="0" vertical="bottom" wrapText="0"/>
    </xf>
    <xf borderId="0" fillId="0" fontId="10" numFmtId="184" xfId="0" applyAlignment="1" applyFont="1" applyNumberFormat="1">
      <alignment shrinkToFit="0" vertical="bottom" wrapText="0"/>
    </xf>
    <xf borderId="0" fillId="0" fontId="14" numFmtId="167" xfId="0" applyAlignment="1" applyFont="1" applyNumberFormat="1">
      <alignment shrinkToFit="0" vertical="bottom" wrapText="0"/>
    </xf>
    <xf borderId="0" fillId="0" fontId="14" numFmtId="167" xfId="0" applyAlignment="1" applyFont="1" applyNumberFormat="1">
      <alignment horizontal="center" shrinkToFit="0" vertical="bottom" wrapText="0"/>
    </xf>
    <xf borderId="0" fillId="0" fontId="39" numFmtId="9" xfId="0" applyAlignment="1" applyFont="1" applyNumberFormat="1">
      <alignment shrinkToFit="0" vertical="bottom" wrapText="0"/>
    </xf>
    <xf borderId="15" fillId="16" fontId="10" numFmtId="0" xfId="0" applyAlignment="1" applyBorder="1" applyFill="1" applyFont="1">
      <alignment shrinkToFit="0" vertical="bottom" wrapText="0"/>
    </xf>
    <xf borderId="15" fillId="16" fontId="9" numFmtId="0" xfId="0" applyAlignment="1" applyBorder="1" applyFont="1">
      <alignment horizontal="left" shrinkToFit="0" vertical="bottom" wrapText="0"/>
    </xf>
    <xf borderId="15" fillId="16" fontId="10" numFmtId="0" xfId="0" applyAlignment="1" applyBorder="1" applyFont="1">
      <alignment horizontal="center" shrinkToFit="0" vertical="bottom" wrapText="0"/>
    </xf>
    <xf borderId="15" fillId="16" fontId="9" numFmtId="0" xfId="0" applyAlignment="1" applyBorder="1" applyFont="1">
      <alignment shrinkToFit="0" vertical="bottom" wrapText="0"/>
    </xf>
    <xf borderId="4" fillId="16" fontId="9" numFmtId="0" xfId="0" applyAlignment="1" applyBorder="1" applyFont="1">
      <alignment horizontal="center" shrinkToFit="0" vertical="bottom" wrapText="0"/>
    </xf>
    <xf borderId="59" fillId="16" fontId="9" numFmtId="0" xfId="0" applyAlignment="1" applyBorder="1" applyFont="1">
      <alignment horizontal="center" shrinkToFit="0" vertical="bottom" wrapText="0"/>
    </xf>
    <xf borderId="15" fillId="4" fontId="9" numFmtId="0" xfId="0" applyAlignment="1" applyBorder="1" applyFont="1">
      <alignment horizontal="center" shrinkToFit="0" vertical="bottom" wrapText="1"/>
    </xf>
    <xf borderId="60" fillId="4" fontId="9" numFmtId="0" xfId="0" applyAlignment="1" applyBorder="1" applyFont="1">
      <alignment horizontal="center" shrinkToFit="0" vertical="bottom" wrapText="0"/>
    </xf>
    <xf borderId="61" fillId="4" fontId="9" numFmtId="0" xfId="0" applyAlignment="1" applyBorder="1" applyFont="1">
      <alignment horizontal="center" shrinkToFit="0" vertical="bottom" wrapText="1"/>
    </xf>
    <xf borderId="15" fillId="16" fontId="10" numFmtId="0" xfId="0" applyAlignment="1" applyBorder="1" applyFont="1">
      <alignment horizontal="left" shrinkToFit="0" vertical="bottom" wrapText="0"/>
    </xf>
    <xf borderId="15" fillId="16" fontId="10" numFmtId="166" xfId="0" applyAlignment="1" applyBorder="1" applyFont="1" applyNumberFormat="1">
      <alignment horizontal="center" shrinkToFit="0" vertical="bottom" wrapText="0"/>
    </xf>
    <xf borderId="16" fillId="16" fontId="10" numFmtId="0" xfId="0" applyAlignment="1" applyBorder="1" applyFont="1">
      <alignment horizontal="left" shrinkToFit="0" vertical="bottom" wrapText="0"/>
    </xf>
    <xf borderId="16" fillId="16" fontId="10" numFmtId="166" xfId="0" applyAlignment="1" applyBorder="1" applyFont="1" applyNumberFormat="1">
      <alignment horizontal="center" shrinkToFit="0" vertical="bottom" wrapText="0"/>
    </xf>
    <xf borderId="15" fillId="16" fontId="9" numFmtId="166" xfId="0" applyAlignment="1" applyBorder="1" applyFont="1" applyNumberFormat="1">
      <alignment horizontal="center" shrinkToFit="0" vertical="bottom" wrapText="0"/>
    </xf>
    <xf borderId="15" fillId="16" fontId="10" numFmtId="165" xfId="0" applyAlignment="1" applyBorder="1" applyFont="1" applyNumberFormat="1">
      <alignment horizontal="center" shrinkToFit="0" vertical="bottom" wrapText="0"/>
    </xf>
    <xf borderId="16" fillId="16" fontId="10" numFmtId="165" xfId="0" applyAlignment="1" applyBorder="1" applyFont="1" applyNumberFormat="1">
      <alignment horizontal="center" shrinkToFit="0" vertical="bottom" wrapText="0"/>
    </xf>
    <xf borderId="15" fillId="16" fontId="9" numFmtId="0" xfId="0" applyAlignment="1" applyBorder="1" applyFont="1">
      <alignment horizontal="center" shrinkToFit="0" vertical="bottom" wrapText="0"/>
    </xf>
    <xf borderId="1" fillId="16" fontId="9" numFmtId="0" xfId="0" applyAlignment="1" applyBorder="1" applyFont="1">
      <alignment shrinkToFit="0" vertical="bottom" wrapText="0"/>
    </xf>
    <xf borderId="1" fillId="16" fontId="9" numFmtId="166" xfId="0" applyAlignment="1" applyBorder="1" applyFont="1" applyNumberFormat="1">
      <alignment horizontal="center" shrinkToFit="0" vertical="bottom" wrapText="0"/>
    </xf>
    <xf borderId="15" fillId="16" fontId="9" numFmtId="165" xfId="0" applyAlignment="1" applyBorder="1" applyFont="1" applyNumberFormat="1">
      <alignment horizontal="center" shrinkToFit="0" vertical="bottom" wrapText="0"/>
    </xf>
    <xf borderId="16" fillId="16" fontId="10" numFmtId="0" xfId="0" applyAlignment="1" applyBorder="1" applyFont="1">
      <alignment shrinkToFit="0" vertical="bottom" wrapText="0"/>
    </xf>
    <xf borderId="15" fillId="16" fontId="10" numFmtId="171" xfId="0" applyAlignment="1" applyBorder="1" applyFont="1" applyNumberFormat="1">
      <alignment horizontal="center" shrinkToFit="0" vertical="bottom" wrapText="0"/>
    </xf>
    <xf borderId="15" fillId="17" fontId="10" numFmtId="166" xfId="0" applyAlignment="1" applyBorder="1" applyFill="1" applyFont="1" applyNumberFormat="1">
      <alignment horizontal="center" shrinkToFit="0" vertical="bottom" wrapText="0"/>
    </xf>
    <xf borderId="62" fillId="16" fontId="9" numFmtId="0" xfId="0" applyAlignment="1" applyBorder="1" applyFont="1">
      <alignment shrinkToFit="0" vertical="bottom" wrapText="0"/>
    </xf>
    <xf borderId="62" fillId="16" fontId="9" numFmtId="166" xfId="0" applyAlignment="1" applyBorder="1" applyFont="1" applyNumberFormat="1">
      <alignment horizontal="center" shrinkToFit="0" vertical="bottom" wrapText="0"/>
    </xf>
    <xf borderId="62" fillId="17" fontId="9" numFmtId="166" xfId="0" applyAlignment="1" applyBorder="1" applyFont="1" applyNumberFormat="1">
      <alignment horizontal="center" shrinkToFit="0" vertical="bottom" wrapText="0"/>
    </xf>
    <xf borderId="63" fillId="16" fontId="9" numFmtId="166" xfId="0" applyAlignment="1" applyBorder="1" applyFont="1" applyNumberFormat="1">
      <alignment horizontal="center" shrinkToFit="0" vertical="bottom" wrapText="0"/>
    </xf>
    <xf borderId="15" fillId="16" fontId="9" numFmtId="166" xfId="0" applyAlignment="1" applyBorder="1" applyFont="1" applyNumberFormat="1">
      <alignment shrinkToFit="0" vertical="bottom" wrapText="0"/>
    </xf>
    <xf borderId="15" fillId="16" fontId="9" numFmtId="9" xfId="0" applyAlignment="1" applyBorder="1" applyFont="1" applyNumberFormat="1">
      <alignment horizontal="center" shrinkToFit="0" vertical="bottom" wrapText="0"/>
    </xf>
    <xf borderId="16" fillId="16" fontId="9" numFmtId="166" xfId="0" applyAlignment="1" applyBorder="1" applyFont="1" applyNumberFormat="1">
      <alignment horizontal="center" shrinkToFit="0" vertical="bottom" wrapText="0"/>
    </xf>
    <xf borderId="1" fillId="18" fontId="9" numFmtId="0" xfId="0" applyAlignment="1" applyBorder="1" applyFill="1" applyFont="1">
      <alignment shrinkToFit="0" vertical="bottom" wrapText="0"/>
    </xf>
    <xf borderId="1" fillId="18" fontId="10" numFmtId="0" xfId="0" applyAlignment="1" applyBorder="1" applyFont="1">
      <alignment shrinkToFit="0" vertical="bottom" wrapText="0"/>
    </xf>
    <xf borderId="15" fillId="16" fontId="10" numFmtId="171" xfId="0" applyAlignment="1" applyBorder="1" applyFont="1" applyNumberFormat="1">
      <alignment shrinkToFit="0" vertical="bottom" wrapText="0"/>
    </xf>
    <xf borderId="15" fillId="16" fontId="10" numFmtId="2" xfId="0" applyAlignment="1" applyBorder="1" applyFont="1" applyNumberFormat="1">
      <alignment horizontal="center" shrinkToFit="0" vertical="bottom" wrapText="0"/>
    </xf>
    <xf borderId="0" fillId="0" fontId="19" numFmtId="0" xfId="0" applyAlignment="1" applyFont="1">
      <alignment horizontal="center" shrinkToFit="0" vertical="bottom" wrapText="0"/>
    </xf>
    <xf borderId="4" fillId="0" fontId="9" numFmtId="0" xfId="0" applyAlignment="1" applyBorder="1" applyFont="1">
      <alignment horizontal="center" shrinkToFit="0" vertical="bottom" wrapText="0"/>
    </xf>
    <xf borderId="64" fillId="0" fontId="9" numFmtId="0" xfId="0" applyAlignment="1" applyBorder="1" applyFont="1">
      <alignment shrinkToFit="0" vertical="bottom" wrapText="0"/>
    </xf>
    <xf borderId="14" fillId="0" fontId="36" numFmtId="0" xfId="0" applyAlignment="1" applyBorder="1" applyFont="1">
      <alignment horizontal="center" shrinkToFit="0" vertical="bottom" wrapText="0"/>
    </xf>
    <xf borderId="16" fillId="3" fontId="36" numFmtId="0" xfId="0" applyAlignment="1" applyBorder="1" applyFont="1">
      <alignment horizontal="center" shrinkToFit="0" vertical="bottom" wrapText="0"/>
    </xf>
    <xf borderId="65" fillId="0" fontId="36" numFmtId="0" xfId="0" applyAlignment="1" applyBorder="1" applyFont="1">
      <alignment horizontal="center" shrinkToFit="0" vertical="bottom" wrapText="0"/>
    </xf>
    <xf borderId="0" fillId="0" fontId="20" numFmtId="0" xfId="0" applyAlignment="1" applyFont="1">
      <alignment horizontal="left" shrinkToFit="0" vertical="bottom" wrapText="0"/>
    </xf>
    <xf borderId="0" fillId="0" fontId="22" numFmtId="185" xfId="0" applyAlignment="1" applyFont="1" applyNumberFormat="1">
      <alignment horizontal="left" shrinkToFit="0" vertical="bottom" wrapText="0"/>
    </xf>
    <xf borderId="15" fillId="3" fontId="22" numFmtId="185" xfId="0" applyAlignment="1" applyBorder="1" applyFont="1" applyNumberFormat="1">
      <alignment horizontal="left" shrinkToFit="0" vertical="bottom" wrapText="0"/>
    </xf>
    <xf borderId="0" fillId="0" fontId="20" numFmtId="185" xfId="0" applyAlignment="1" applyFont="1" applyNumberFormat="1">
      <alignment horizontal="left" shrinkToFit="0" vertical="bottom" wrapText="0"/>
    </xf>
    <xf borderId="0" fillId="0" fontId="22" numFmtId="186" xfId="0" applyAlignment="1" applyFont="1" applyNumberFormat="1">
      <alignment horizontal="right" shrinkToFit="0" vertical="bottom" wrapText="0"/>
    </xf>
    <xf borderId="15" fillId="3" fontId="22" numFmtId="186" xfId="0" applyAlignment="1" applyBorder="1" applyFont="1" applyNumberFormat="1">
      <alignment horizontal="right" shrinkToFit="0" vertical="bottom" wrapText="0"/>
    </xf>
    <xf borderId="0" fillId="0" fontId="22" numFmtId="186" xfId="0" applyAlignment="1" applyFont="1" applyNumberFormat="1">
      <alignment horizontal="left" shrinkToFit="0" vertical="bottom" wrapText="0"/>
    </xf>
    <xf borderId="27" fillId="0" fontId="20" numFmtId="186" xfId="0" applyAlignment="1" applyBorder="1" applyFont="1" applyNumberFormat="1">
      <alignment horizontal="right" shrinkToFit="0" vertical="bottom" wrapText="0"/>
    </xf>
    <xf borderId="39" fillId="3" fontId="20" numFmtId="186" xfId="0" applyAlignment="1" applyBorder="1" applyFont="1" applyNumberFormat="1">
      <alignment horizontal="right" shrinkToFit="0" vertical="bottom" wrapText="0"/>
    </xf>
    <xf borderId="0" fillId="0" fontId="20" numFmtId="187" xfId="0" applyAlignment="1" applyFont="1" applyNumberFormat="1">
      <alignment horizontal="left" shrinkToFit="0" vertical="bottom" wrapText="0"/>
    </xf>
    <xf borderId="15" fillId="3" fontId="22" numFmtId="186" xfId="0" applyAlignment="1" applyBorder="1" applyFont="1" applyNumberFormat="1">
      <alignment horizontal="left" shrinkToFit="0" vertical="bottom" wrapText="0"/>
    </xf>
    <xf borderId="25" fillId="0" fontId="20" numFmtId="186" xfId="0" applyAlignment="1" applyBorder="1" applyFont="1" applyNumberFormat="1">
      <alignment horizontal="right" shrinkToFit="0" vertical="bottom" wrapText="0"/>
    </xf>
    <xf borderId="52" fillId="3" fontId="20" numFmtId="186" xfId="0" applyAlignment="1" applyBorder="1" applyFont="1" applyNumberFormat="1">
      <alignment horizontal="right" shrinkToFit="0" vertical="bottom" wrapText="0"/>
    </xf>
    <xf borderId="0" fillId="0" fontId="22" numFmtId="0" xfId="0" applyAlignment="1" applyFont="1">
      <alignment horizontal="center" shrinkToFit="0" vertical="bottom" wrapText="0"/>
    </xf>
    <xf borderId="15" fillId="3" fontId="22" numFmtId="0" xfId="0" applyAlignment="1" applyBorder="1" applyFont="1">
      <alignment horizontal="center" shrinkToFit="0" vertical="bottom" wrapText="0"/>
    </xf>
  </cellXfs>
  <cellStyles count="1">
    <cellStyle xfId="0" name="Normal" builtinId="0"/>
  </cellStyles>
  <dxfs count="2">
    <dxf>
      <font>
        <color rgb="FFFFFFFF"/>
        <name val="Arial"/>
      </font>
      <fill>
        <patternFill patternType="solid">
          <fgColor rgb="FFFCF305"/>
          <bgColor rgb="FFFCF305"/>
        </patternFill>
      </fill>
      <border/>
    </dxf>
    <dxf>
      <font>
        <color rgb="FFFFFFFF"/>
        <name val="Arial"/>
      </font>
      <fill>
        <patternFill patternType="solid">
          <fgColor rgb="FFDD0806"/>
          <bgColor rgb="FFDD0806"/>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000000"/>
                </a:solidFill>
                <a:latin typeface="Arial"/>
              </a:defRPr>
            </a:pPr>
            <a:r>
              <a:rPr b="1" i="0" sz="1600">
                <a:solidFill>
                  <a:srgbClr val="000000"/>
                </a:solidFill>
                <a:latin typeface="Arial"/>
              </a:rPr>
              <a:t>School Startup Grants by Source
Schools 2 - 7</a:t>
            </a:r>
          </a:p>
        </c:rich>
      </c:tx>
      <c:overlay val="0"/>
    </c:title>
    <c:plotArea>
      <c:layout/>
      <c:barChart>
        <c:barDir val="col"/>
        <c:grouping val="stacked"/>
        <c:ser>
          <c:idx val="0"/>
          <c:order val="0"/>
          <c:tx>
            <c:v>Federal Startup Grant (Title Vb)</c:v>
          </c:tx>
          <c:spPr>
            <a:solidFill>
              <a:srgbClr val="63AAFE"/>
            </a:solidFill>
            <a:ln cmpd="sng">
              <a:solidFill>
                <a:srgbClr val="000000"/>
              </a:solidFill>
            </a:ln>
          </c:spPr>
          <c:dPt>
            <c:idx val="0"/>
            <c:spPr>
              <a:solidFill>
                <a:srgbClr val="63AAFE"/>
              </a:solidFill>
              <a:ln cmpd="sng">
                <a:solidFill>
                  <a:srgbClr val="000000"/>
                </a:solidFill>
              </a:ln>
            </c:spPr>
          </c:dPt>
          <c:dPt>
            <c:idx val="2"/>
            <c:spPr>
              <a:solidFill>
                <a:srgbClr val="63AAFE"/>
              </a:solidFill>
              <a:ln cmpd="sng">
                <a:solidFill>
                  <a:srgbClr val="000000"/>
                </a:solidFill>
              </a:ln>
            </c:spPr>
          </c:dPt>
          <c:dLbls>
            <c:dLbl>
              <c:idx val="0"/>
              <c:numFmt formatCode="General" sourceLinked="1"/>
              <c:txPr>
                <a:bodyPr/>
                <a:lstStyle/>
                <a:p>
                  <a:pPr lvl="0">
                    <a:defRPr b="1" i="0" sz="1000">
                      <a:solidFill>
                        <a:srgbClr val="000000"/>
                      </a:solidFill>
                      <a:latin typeface="Arial"/>
                    </a:defRPr>
                  </a:pPr>
                </a:p>
              </c:txPr>
              <c:showLegendKey val="0"/>
              <c:showVal val="1"/>
              <c:showCatName val="0"/>
              <c:showSerName val="0"/>
              <c:showPercent val="0"/>
              <c:showBubbleSize val="0"/>
            </c:dLbl>
            <c:dLbl>
              <c:idx val="2"/>
              <c:numFmt formatCode="General" sourceLinked="1"/>
              <c:txPr>
                <a:bodyPr/>
                <a:lstStyle/>
                <a:p>
                  <a:pPr lvl="0">
                    <a:defRPr b="1" i="0" sz="1000">
                      <a:solidFill>
                        <a:srgbClr val="000000"/>
                      </a:solidFill>
                      <a:latin typeface="Arial"/>
                    </a:defRPr>
                  </a:pPr>
                </a:p>
              </c:txPr>
              <c:showLegendKey val="0"/>
              <c:showVal val="1"/>
              <c:showCatName val="0"/>
              <c:showSerName val="0"/>
              <c:showPercent val="0"/>
              <c:showBubbleSize val="0"/>
            </c:dLbl>
            <c:numFmt formatCode="General" sourceLinked="1"/>
            <c:txPr>
              <a:bodyPr/>
              <a:lstStyle/>
              <a:p>
                <a:pPr lvl="0">
                  <a:defRPr b="1" i="0" sz="1000">
                    <a:solidFill>
                      <a:srgbClr val="000000"/>
                    </a:solidFill>
                    <a:latin typeface="Arial"/>
                  </a:defRPr>
                </a:pPr>
              </a:p>
            </c:txPr>
            <c:showLegendKey val="0"/>
            <c:showVal val="1"/>
            <c:showCatName val="0"/>
            <c:showSerName val="0"/>
            <c:showPercent val="0"/>
            <c:showBubbleSize val="0"/>
          </c:dLbls>
          <c:cat>
            <c:strRef>
              <c:f>'RSGen 1-7'!$G$2:$J$2</c:f>
            </c:strRef>
          </c:cat>
          <c:val>
            <c:numRef>
              <c:f>'RSGen 1-7'!$G$285:$J$285</c:f>
              <c:numCache/>
            </c:numRef>
          </c:val>
        </c:ser>
        <c:ser>
          <c:idx val="1"/>
          <c:order val="1"/>
          <c:tx>
            <c:v>Walton Startup Grant</c:v>
          </c:tx>
          <c:spPr>
            <a:solidFill>
              <a:srgbClr val="DD2D32"/>
            </a:solidFill>
            <a:ln cmpd="sng">
              <a:solidFill>
                <a:srgbClr val="000000"/>
              </a:solidFill>
            </a:ln>
          </c:spPr>
          <c:dPt>
            <c:idx val="0"/>
            <c:spPr>
              <a:solidFill>
                <a:srgbClr val="DD2D32"/>
              </a:solidFill>
              <a:ln cmpd="sng">
                <a:solidFill>
                  <a:srgbClr val="000000"/>
                </a:solidFill>
              </a:ln>
            </c:spPr>
          </c:dPt>
          <c:dPt>
            <c:idx val="1"/>
            <c:spPr>
              <a:solidFill>
                <a:srgbClr val="DD2D32"/>
              </a:solidFill>
              <a:ln cmpd="sng">
                <a:solidFill>
                  <a:srgbClr val="000000"/>
                </a:solidFill>
              </a:ln>
            </c:spPr>
          </c:dPt>
          <c:dPt>
            <c:idx val="3"/>
            <c:spPr>
              <a:solidFill>
                <a:srgbClr val="DD2D32"/>
              </a:solidFill>
              <a:ln cmpd="sng">
                <a:solidFill>
                  <a:srgbClr val="000000"/>
                </a:solidFill>
              </a:ln>
            </c:spPr>
          </c:dPt>
          <c:dLbls>
            <c:dLbl>
              <c:idx val="0"/>
              <c:numFmt formatCode="General" sourceLinked="1"/>
              <c:txPr>
                <a:bodyPr/>
                <a:lstStyle/>
                <a:p>
                  <a:pPr lvl="0">
                    <a:defRPr b="1" i="0" sz="1000">
                      <a:solidFill>
                        <a:srgbClr val="000000"/>
                      </a:solidFill>
                      <a:latin typeface="Arial"/>
                    </a:defRPr>
                  </a:pPr>
                </a:p>
              </c:txPr>
              <c:showLegendKey val="0"/>
              <c:showVal val="1"/>
              <c:showCatName val="0"/>
              <c:showSerName val="0"/>
              <c:showPercent val="0"/>
              <c:showBubbleSize val="0"/>
            </c:dLbl>
            <c:dLbl>
              <c:idx val="1"/>
              <c:numFmt formatCode="General" sourceLinked="1"/>
              <c:txPr>
                <a:bodyPr/>
                <a:lstStyle/>
                <a:p>
                  <a:pPr lvl="0">
                    <a:defRPr b="1" i="0" sz="1000">
                      <a:solidFill>
                        <a:srgbClr val="000000"/>
                      </a:solidFill>
                      <a:latin typeface="Arial"/>
                    </a:defRPr>
                  </a:pPr>
                </a:p>
              </c:txPr>
              <c:showLegendKey val="0"/>
              <c:showVal val="1"/>
              <c:showCatName val="0"/>
              <c:showSerName val="0"/>
              <c:showPercent val="0"/>
              <c:showBubbleSize val="0"/>
            </c:dLbl>
            <c:dLbl>
              <c:idx val="3"/>
              <c:numFmt formatCode="General" sourceLinked="1"/>
              <c:txPr>
                <a:bodyPr/>
                <a:lstStyle/>
                <a:p>
                  <a:pPr lvl="0">
                    <a:defRPr b="1" i="0" sz="1000">
                      <a:solidFill>
                        <a:srgbClr val="000000"/>
                      </a:solidFill>
                      <a:latin typeface="Arial"/>
                    </a:defRPr>
                  </a:pPr>
                </a:p>
              </c:txPr>
              <c:showLegendKey val="0"/>
              <c:showVal val="1"/>
              <c:showCatName val="0"/>
              <c:showSerName val="0"/>
              <c:showPercent val="0"/>
              <c:showBubbleSize val="0"/>
            </c:dLbl>
            <c:numFmt formatCode="General" sourceLinked="1"/>
            <c:txPr>
              <a:bodyPr/>
              <a:lstStyle/>
              <a:p>
                <a:pPr lvl="0">
                  <a:defRPr b="1" i="0" sz="1000">
                    <a:solidFill>
                      <a:srgbClr val="000000"/>
                    </a:solidFill>
                    <a:latin typeface="Arial"/>
                  </a:defRPr>
                </a:pPr>
              </a:p>
            </c:txPr>
            <c:showLegendKey val="0"/>
            <c:showVal val="1"/>
            <c:showCatName val="0"/>
            <c:showSerName val="0"/>
            <c:showPercent val="0"/>
            <c:showBubbleSize val="0"/>
          </c:dLbls>
          <c:cat>
            <c:strRef>
              <c:f>'RSGen 1-7'!$G$2:$J$2</c:f>
            </c:strRef>
          </c:cat>
          <c:val>
            <c:numRef>
              <c:f>'RSGen 1-7'!$G$286:$J$286</c:f>
              <c:numCache/>
            </c:numRef>
          </c:val>
        </c:ser>
        <c:ser>
          <c:idx val="2"/>
          <c:order val="2"/>
          <c:tx>
            <c:v>Startup Fundraising (Hastings)</c:v>
          </c:tx>
          <c:spPr>
            <a:solidFill>
              <a:srgbClr val="FFF58C"/>
            </a:solidFill>
            <a:ln cmpd="sng">
              <a:solidFill>
                <a:srgbClr val="000000"/>
              </a:solidFill>
            </a:ln>
          </c:spPr>
          <c:dPt>
            <c:idx val="1"/>
            <c:spPr>
              <a:solidFill>
                <a:srgbClr val="FFF58C"/>
              </a:solidFill>
              <a:ln cmpd="sng">
                <a:solidFill>
                  <a:srgbClr val="000000"/>
                </a:solidFill>
              </a:ln>
            </c:spPr>
          </c:dPt>
          <c:dPt>
            <c:idx val="3"/>
            <c:spPr>
              <a:solidFill>
                <a:srgbClr val="FFF58C"/>
              </a:solidFill>
              <a:ln cmpd="sng">
                <a:solidFill>
                  <a:srgbClr val="000000"/>
                </a:solidFill>
              </a:ln>
            </c:spPr>
          </c:dPt>
          <c:dLbls>
            <c:dLbl>
              <c:idx val="1"/>
              <c:numFmt formatCode="General" sourceLinked="1"/>
              <c:txPr>
                <a:bodyPr/>
                <a:lstStyle/>
                <a:p>
                  <a:pPr lvl="0">
                    <a:defRPr b="1" i="0" sz="1000">
                      <a:solidFill>
                        <a:srgbClr val="000000"/>
                      </a:solidFill>
                      <a:latin typeface="Arial"/>
                    </a:defRPr>
                  </a:pPr>
                </a:p>
              </c:txPr>
              <c:showLegendKey val="0"/>
              <c:showVal val="1"/>
              <c:showCatName val="0"/>
              <c:showSerName val="0"/>
              <c:showPercent val="0"/>
              <c:showBubbleSize val="0"/>
            </c:dLbl>
            <c:dLbl>
              <c:idx val="3"/>
              <c:numFmt formatCode="General" sourceLinked="1"/>
              <c:txPr>
                <a:bodyPr/>
                <a:lstStyle/>
                <a:p>
                  <a:pPr lvl="0">
                    <a:defRPr b="1" i="0" sz="1000">
                      <a:solidFill>
                        <a:srgbClr val="000000"/>
                      </a:solidFill>
                      <a:latin typeface="Arial"/>
                    </a:defRPr>
                  </a:pPr>
                </a:p>
              </c:txPr>
              <c:showLegendKey val="0"/>
              <c:showVal val="1"/>
              <c:showCatName val="0"/>
              <c:showSerName val="0"/>
              <c:showPercent val="0"/>
              <c:showBubbleSize val="0"/>
            </c:dLbl>
            <c:numFmt formatCode="General" sourceLinked="1"/>
            <c:txPr>
              <a:bodyPr/>
              <a:lstStyle/>
              <a:p>
                <a:pPr lvl="0">
                  <a:defRPr b="1" i="0" sz="1000">
                    <a:solidFill>
                      <a:srgbClr val="000000"/>
                    </a:solidFill>
                    <a:latin typeface="Arial"/>
                  </a:defRPr>
                </a:pPr>
              </a:p>
            </c:txPr>
            <c:showLegendKey val="0"/>
            <c:showVal val="1"/>
            <c:showCatName val="0"/>
            <c:showSerName val="0"/>
            <c:showPercent val="0"/>
            <c:showBubbleSize val="0"/>
          </c:dLbls>
          <c:cat>
            <c:strRef>
              <c:f>'RSGen 1-7'!$G$2:$J$2</c:f>
            </c:strRef>
          </c:cat>
          <c:val>
            <c:numRef>
              <c:f>'RSGen 1-7'!$G$287:$J$287</c:f>
              <c:numCache/>
            </c:numRef>
          </c:val>
        </c:ser>
        <c:overlap val="100"/>
        <c:axId val="1263977826"/>
        <c:axId val="1445377531"/>
      </c:barChart>
      <c:catAx>
        <c:axId val="1263977826"/>
        <c:scaling>
          <c:orientation val="minMax"/>
        </c:scaling>
        <c:delete val="0"/>
        <c:axPos val="b"/>
        <c:title>
          <c:tx>
            <c:rich>
              <a:bodyPr/>
              <a:lstStyle/>
              <a:p>
                <a:pPr lvl="0">
                  <a:defRPr b="1" i="0" sz="1600">
                    <a:solidFill>
                      <a:srgbClr val="000000"/>
                    </a:solidFill>
                    <a:latin typeface="Arial"/>
                  </a:defRPr>
                </a:pPr>
                <a:r>
                  <a:rPr b="1" i="0" sz="1600">
                    <a:solidFill>
                      <a:srgbClr val="000000"/>
                    </a:solidFill>
                    <a:latin typeface="Arial"/>
                  </a:rPr>
                  <a:t>Year of Operation</a:t>
                </a:r>
              </a:p>
            </c:rich>
          </c:tx>
          <c:overlay val="0"/>
        </c:title>
        <c:numFmt formatCode="General" sourceLinked="1"/>
        <c:majorTickMark val="out"/>
        <c:minorTickMark val="none"/>
        <c:spPr/>
        <c:txPr>
          <a:bodyPr/>
          <a:lstStyle/>
          <a:p>
            <a:pPr lvl="0">
              <a:defRPr b="1" i="0" sz="1600">
                <a:solidFill>
                  <a:srgbClr val="000000"/>
                </a:solidFill>
                <a:latin typeface="Arial"/>
              </a:defRPr>
            </a:pPr>
          </a:p>
        </c:txPr>
        <c:crossAx val="1445377531"/>
      </c:catAx>
      <c:valAx>
        <c:axId val="144537753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i="0" sz="1600">
                <a:solidFill>
                  <a:srgbClr val="000000"/>
                </a:solidFill>
                <a:latin typeface="Arial"/>
              </a:defRPr>
            </a:pPr>
          </a:p>
        </c:txPr>
        <c:crossAx val="1263977826"/>
      </c:valAx>
    </c:plotArea>
    <c:legend>
      <c:legendPos val="b"/>
      <c:overlay val="0"/>
      <c:txPr>
        <a:bodyPr/>
        <a:lstStyle/>
        <a:p>
          <a:pPr lvl="0">
            <a:defRPr b="1" i="0" sz="1400">
              <a:solidFill>
                <a:srgbClr val="000000"/>
              </a:solidFill>
              <a:latin typeface="Arial"/>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rgbClr val="757575"/>
                </a:solidFill>
                <a:latin typeface="Arial"/>
              </a:defRPr>
            </a:pPr>
            <a:r>
              <a:rPr b="1" i="0" sz="1800">
                <a:solidFill>
                  <a:srgbClr val="757575"/>
                </a:solidFill>
                <a:latin typeface="Arial"/>
              </a:rPr>
              <a:t>National and Regional Expenses 
(as % of School Revenues)</a:t>
            </a:r>
          </a:p>
        </c:rich>
      </c:tx>
      <c:overlay val="0"/>
    </c:title>
    <c:plotArea>
      <c:layout>
        <c:manualLayout>
          <c:xMode val="edge"/>
          <c:yMode val="edge"/>
          <c:x val="0.0170742089580476"/>
          <c:y val="0.177059174342323"/>
          <c:w val="0.971054249633448"/>
          <c:h val="0.745146113577629"/>
        </c:manualLayout>
      </c:layout>
      <c:barChart>
        <c:barDir val="col"/>
        <c:grouping val="stacked"/>
        <c:ser>
          <c:idx val="0"/>
          <c:order val="0"/>
          <c:cat>
            <c:strRef>
              <c:f>'Graph Data'!$E$3:$N$3</c:f>
            </c:strRef>
          </c:cat>
          <c:val>
            <c:numRef>
              <c:f>'Graph Data'!$E$4:$N$4</c:f>
              <c:numCache/>
            </c:numRef>
          </c:val>
        </c:ser>
        <c:ser>
          <c:idx val="1"/>
          <c:order val="1"/>
          <c:cat>
            <c:strRef>
              <c:f>'Graph Data'!$E$3:$N$3</c:f>
            </c:strRef>
          </c:cat>
          <c:val>
            <c:numRef>
              <c:f>'Graph Data'!$E$5:$N$5</c:f>
              <c:numCache/>
            </c:numRef>
          </c:val>
        </c:ser>
        <c:ser>
          <c:idx val="2"/>
          <c:order val="2"/>
          <c:cat>
            <c:strRef>
              <c:f>'Graph Data'!$E$3:$N$3</c:f>
            </c:strRef>
          </c:cat>
          <c:val>
            <c:numRef>
              <c:f>'Graph Data'!$E$6:$N$6</c:f>
              <c:numCache/>
            </c:numRef>
          </c:val>
        </c:ser>
        <c:overlap val="100"/>
        <c:axId val="1092861689"/>
        <c:axId val="408716086"/>
      </c:barChart>
      <c:catAx>
        <c:axId val="10928616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1" i="0" sz="1600">
                <a:solidFill>
                  <a:srgbClr val="000000"/>
                </a:solidFill>
                <a:latin typeface="Arial"/>
              </a:defRPr>
            </a:pPr>
          </a:p>
        </c:txPr>
        <c:crossAx val="408716086"/>
      </c:catAx>
      <c:valAx>
        <c:axId val="408716086"/>
        <c:scaling>
          <c:orientation val="minMax"/>
        </c:scaling>
        <c:delete val="0"/>
        <c:axPos val="l"/>
        <c:tickLblPos val="nextTo"/>
        <c:spPr>
          <a:ln>
            <a:noFill/>
          </a:ln>
        </c:spPr>
        <c:crossAx val="1092861689"/>
      </c:valAx>
      <c:spPr>
        <a:solidFill>
          <a:srgbClr val="C0C0C0"/>
        </a:solidFill>
      </c:spPr>
    </c:plotArea>
    <c:legend>
      <c:legendPos val="r"/>
      <c:layout>
        <c:manualLayout>
          <c:xMode val="edge"/>
          <c:yMode val="edge"/>
          <c:x val="0.252092891264248"/>
          <c:y val="0.933801603604798"/>
        </c:manualLayout>
      </c:layout>
      <c:overlay val="0"/>
      <c:txPr>
        <a:bodyPr/>
        <a:lstStyle/>
        <a:p>
          <a:pPr lvl="0">
            <a:defRPr b="1" i="0" sz="1600">
              <a:solidFill>
                <a:srgbClr val="000000"/>
              </a:solidFill>
              <a:latin typeface="Arial"/>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000000"/>
                </a:solidFill>
                <a:latin typeface="Arial"/>
              </a:defRPr>
            </a:pPr>
            <a:r>
              <a:rPr b="1" i="0" sz="1600">
                <a:solidFill>
                  <a:srgbClr val="000000"/>
                </a:solidFill>
                <a:latin typeface="Arial"/>
              </a:rPr>
              <a:t>Cost Structure of RSED School</a:t>
            </a:r>
          </a:p>
        </c:rich>
      </c:tx>
      <c:overlay val="0"/>
    </c:title>
    <c:plotArea>
      <c:layout/>
      <c:barChart>
        <c:barDir val="col"/>
        <c:grouping val="stacked"/>
        <c:ser>
          <c:idx val="0"/>
          <c:order val="0"/>
          <c:tx>
            <c:v>Compensation</c:v>
          </c:tx>
          <c:spPr>
            <a:solidFill>
              <a:srgbClr val="63AAFE"/>
            </a:solidFill>
            <a:ln cmpd="sng">
              <a:solidFill>
                <a:srgbClr val="000000"/>
              </a:solidFill>
            </a:ln>
          </c:spPr>
          <c:dLbls>
            <c:numFmt formatCode="General" sourceLinked="1"/>
            <c:txPr>
              <a:bodyPr/>
              <a:lstStyle/>
              <a:p>
                <a:pPr lvl="0">
                  <a:defRPr b="1" i="0" sz="1200">
                    <a:solidFill>
                      <a:srgbClr val="000000"/>
                    </a:solidFill>
                    <a:latin typeface="Arial"/>
                  </a:defRPr>
                </a:pPr>
              </a:p>
            </c:txPr>
            <c:showLegendKey val="0"/>
            <c:showVal val="1"/>
            <c:showCatName val="0"/>
            <c:showSerName val="0"/>
            <c:showPercent val="0"/>
            <c:showBubbleSize val="0"/>
          </c:dLbls>
          <c:val>
            <c:numRef>
              <c:f>'Graph Data'!$E$11</c:f>
              <c:numCache/>
            </c:numRef>
          </c:val>
        </c:ser>
        <c:ser>
          <c:idx val="1"/>
          <c:order val="1"/>
          <c:tx>
            <c:v>RSED National and Regional Fees</c:v>
          </c:tx>
          <c:spPr>
            <a:solidFill>
              <a:srgbClr val="FFF58C"/>
            </a:solidFill>
            <a:ln cmpd="sng">
              <a:solidFill>
                <a:srgbClr val="000000"/>
              </a:solidFill>
            </a:ln>
          </c:spPr>
          <c:dLbls>
            <c:numFmt formatCode="General" sourceLinked="1"/>
            <c:txPr>
              <a:bodyPr/>
              <a:lstStyle/>
              <a:p>
                <a:pPr lvl="0">
                  <a:defRPr b="1" i="0" sz="1200">
                    <a:solidFill>
                      <a:srgbClr val="000000"/>
                    </a:solidFill>
                    <a:latin typeface="Arial"/>
                  </a:defRPr>
                </a:pPr>
              </a:p>
            </c:txPr>
            <c:showLegendKey val="0"/>
            <c:showVal val="1"/>
            <c:showCatName val="0"/>
            <c:showSerName val="0"/>
            <c:showPercent val="0"/>
            <c:showBubbleSize val="0"/>
          </c:dLbls>
          <c:val>
            <c:numRef>
              <c:f>'Graph Data'!$E$12</c:f>
              <c:numCache/>
            </c:numRef>
          </c:val>
        </c:ser>
        <c:ser>
          <c:idx val="2"/>
          <c:order val="2"/>
          <c:tx>
            <c:v>Facilities Fees</c:v>
          </c:tx>
          <c:spPr>
            <a:solidFill>
              <a:srgbClr val="4EE257"/>
            </a:solidFill>
            <a:ln cmpd="sng">
              <a:solidFill>
                <a:srgbClr val="000000"/>
              </a:solidFill>
            </a:ln>
          </c:spPr>
          <c:dPt>
            <c:idx val="0"/>
            <c:spPr>
              <a:solidFill>
                <a:srgbClr val="4EE257"/>
              </a:solidFill>
              <a:ln cmpd="sng">
                <a:solidFill>
                  <a:srgbClr val="000000"/>
                </a:solidFill>
              </a:ln>
            </c:spPr>
          </c:dPt>
          <c:val>
            <c:numRef>
              <c:f>'Graph Data'!$E$13</c:f>
              <c:numCache/>
            </c:numRef>
          </c:val>
        </c:ser>
        <c:ser>
          <c:idx val="3"/>
          <c:order val="3"/>
          <c:tx>
            <c:v>Materials and Supplies</c:v>
          </c:tx>
          <c:spPr>
            <a:solidFill>
              <a:srgbClr val="DD2D32"/>
            </a:solidFill>
            <a:ln cmpd="sng">
              <a:solidFill>
                <a:srgbClr val="000000"/>
              </a:solidFill>
            </a:ln>
          </c:spPr>
          <c:dLbls>
            <c:numFmt formatCode="General" sourceLinked="1"/>
            <c:txPr>
              <a:bodyPr/>
              <a:lstStyle/>
              <a:p>
                <a:pPr lvl="0">
                  <a:defRPr b="1" i="0" sz="1200">
                    <a:solidFill>
                      <a:srgbClr val="000000"/>
                    </a:solidFill>
                    <a:latin typeface="Arial"/>
                  </a:defRPr>
                </a:pPr>
              </a:p>
            </c:txPr>
            <c:showLegendKey val="0"/>
            <c:showVal val="1"/>
            <c:showCatName val="0"/>
            <c:showSerName val="0"/>
            <c:showPercent val="0"/>
            <c:showBubbleSize val="0"/>
          </c:dLbls>
          <c:val>
            <c:numRef>
              <c:f>'Graph Data'!$E$14</c:f>
              <c:numCache/>
            </c:numRef>
          </c:val>
        </c:ser>
        <c:ser>
          <c:idx val="4"/>
          <c:order val="4"/>
          <c:tx>
            <c:v>Other Expenses</c:v>
          </c:tx>
          <c:spPr>
            <a:solidFill>
              <a:srgbClr val="6711FF"/>
            </a:solidFill>
            <a:ln cmpd="sng">
              <a:solidFill>
                <a:srgbClr val="000000"/>
              </a:solidFill>
            </a:ln>
          </c:spPr>
          <c:dPt>
            <c:idx val="0"/>
            <c:spPr>
              <a:solidFill>
                <a:srgbClr val="6711FF"/>
              </a:solidFill>
              <a:ln cmpd="sng">
                <a:solidFill>
                  <a:srgbClr val="000000"/>
                </a:solidFill>
              </a:ln>
            </c:spPr>
          </c:dPt>
          <c:dLbls>
            <c:dLbl>
              <c:idx val="0"/>
              <c:numFmt formatCode="General" sourceLinked="1"/>
              <c:txPr>
                <a:bodyPr/>
                <a:lstStyle/>
                <a:p>
                  <a:pPr lvl="0">
                    <a:defRPr b="1" i="0" sz="1000">
                      <a:solidFill>
                        <a:srgbClr val="FFFFFF"/>
                      </a:solidFill>
                      <a:latin typeface="Arial"/>
                    </a:defRPr>
                  </a:pPr>
                </a:p>
              </c:txPr>
              <c:showLegendKey val="0"/>
              <c:showVal val="1"/>
              <c:showCatName val="0"/>
              <c:showSerName val="0"/>
              <c:showPercent val="0"/>
              <c:showBubbleSize val="0"/>
            </c:dLbl>
            <c:numFmt formatCode="General" sourceLinked="1"/>
            <c:txPr>
              <a:bodyPr/>
              <a:lstStyle/>
              <a:p>
                <a:pPr lvl="0">
                  <a:defRPr b="1" i="0" sz="1000">
                    <a:solidFill>
                      <a:srgbClr val="FFFFFF"/>
                    </a:solidFill>
                    <a:latin typeface="Arial"/>
                  </a:defRPr>
                </a:pPr>
              </a:p>
            </c:txPr>
            <c:showLegendKey val="0"/>
            <c:showVal val="1"/>
            <c:showCatName val="0"/>
            <c:showSerName val="0"/>
            <c:showPercent val="0"/>
            <c:showBubbleSize val="0"/>
          </c:dLbls>
          <c:val>
            <c:numRef>
              <c:f>'Graph Data'!$E$15</c:f>
              <c:numCache/>
            </c:numRef>
          </c:val>
        </c:ser>
        <c:overlap val="100"/>
        <c:axId val="1498233772"/>
        <c:axId val="1335125346"/>
      </c:barChart>
      <c:catAx>
        <c:axId val="14982337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i="0" sz="1000">
                <a:solidFill>
                  <a:srgbClr val="000000"/>
                </a:solidFill>
                <a:latin typeface="Arial"/>
              </a:defRPr>
            </a:pPr>
          </a:p>
        </c:txPr>
        <c:crossAx val="1335125346"/>
      </c:catAx>
      <c:valAx>
        <c:axId val="1335125346"/>
        <c:scaling>
          <c:orientation val="minMax"/>
        </c:scaling>
        <c:delete val="0"/>
        <c:axPos val="l"/>
        <c:majorGridlines>
          <c:spPr>
            <a:ln>
              <a:solidFill>
                <a:srgbClr val="B7B7B7"/>
              </a:solidFill>
            </a:ln>
          </c:spPr>
        </c:majorGridlines>
        <c:title>
          <c:tx>
            <c:rich>
              <a:bodyPr/>
              <a:lstStyle/>
              <a:p>
                <a:pPr lvl="0">
                  <a:defRPr b="1" i="0" sz="1400">
                    <a:solidFill>
                      <a:srgbClr val="000000"/>
                    </a:solidFill>
                    <a:latin typeface="Arial"/>
                  </a:defRPr>
                </a:pPr>
                <a:r>
                  <a:rPr b="1" i="0" sz="1400">
                    <a:solidFill>
                      <a:srgbClr val="000000"/>
                    </a:solidFill>
                    <a:latin typeface="Arial"/>
                  </a:rPr>
                  <a:t>Cost Structure (% of Expenses)</a:t>
                </a:r>
              </a:p>
            </c:rich>
          </c:tx>
          <c:overlay val="0"/>
        </c:title>
        <c:numFmt formatCode="General" sourceLinked="1"/>
        <c:majorTickMark val="out"/>
        <c:minorTickMark val="none"/>
        <c:tickLblPos val="nextTo"/>
        <c:spPr>
          <a:ln/>
        </c:spPr>
        <c:txPr>
          <a:bodyPr/>
          <a:lstStyle/>
          <a:p>
            <a:pPr lvl="0">
              <a:defRPr b="1" i="0" sz="1400">
                <a:solidFill>
                  <a:srgbClr val="000000"/>
                </a:solidFill>
                <a:latin typeface="Arial"/>
              </a:defRPr>
            </a:pPr>
          </a:p>
        </c:txPr>
        <c:crossAx val="1498233772"/>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rgbClr val="000000"/>
                </a:solidFill>
                <a:latin typeface="Arial"/>
              </a:defRPr>
            </a:pPr>
            <a:r>
              <a:rPr b="1" i="0" sz="1800">
                <a:solidFill>
                  <a:srgbClr val="000000"/>
                </a:solidFill>
                <a:latin typeface="Arial"/>
              </a:rPr>
              <a:t>RSED Revenues by  Source</a:t>
            </a:r>
          </a:p>
        </c:rich>
      </c:tx>
      <c:overlay val="0"/>
    </c:title>
    <c:plotArea>
      <c:layout>
        <c:manualLayout>
          <c:xMode val="edge"/>
          <c:yMode val="edge"/>
          <c:x val="0.0170742089580476"/>
          <c:y val="0.135179908554768"/>
          <c:w val="0.971054249633448"/>
          <c:h val="0.792194022927573"/>
        </c:manualLayout>
      </c:layout>
      <c:barChart>
        <c:barDir val="col"/>
        <c:grouping val="stacked"/>
        <c:ser>
          <c:idx val="0"/>
          <c:order val="0"/>
          <c:tx>
            <c:v>Fundraising</c:v>
          </c:tx>
          <c:spPr>
            <a:solidFill>
              <a:srgbClr val="63AAFE"/>
            </a:solidFill>
            <a:ln cmpd="sng">
              <a:solidFill>
                <a:srgbClr val="000000"/>
              </a:solidFill>
            </a:ln>
          </c:spPr>
          <c:dPt>
            <c:idx val="4"/>
            <c:spPr>
              <a:solidFill>
                <a:srgbClr val="63AAFE"/>
              </a:solidFill>
              <a:ln cmpd="sng">
                <a:solidFill>
                  <a:srgbClr val="000000"/>
                </a:solidFill>
              </a:ln>
            </c:spPr>
          </c:dPt>
          <c:dPt>
            <c:idx val="5"/>
            <c:spPr>
              <a:solidFill>
                <a:srgbClr val="63AAFE"/>
              </a:solidFill>
              <a:ln cmpd="sng">
                <a:solidFill>
                  <a:srgbClr val="000000"/>
                </a:solidFill>
              </a:ln>
            </c:spPr>
          </c:dPt>
          <c:dLbls>
            <c:dLbl>
              <c:idx val="4"/>
              <c:numFmt formatCode="General" sourceLinked="1"/>
              <c:txPr>
                <a:bodyPr/>
                <a:lstStyle/>
                <a:p>
                  <a:pPr lvl="0">
                    <a:defRPr b="1" i="0" sz="1400">
                      <a:solidFill>
                        <a:srgbClr val="000000"/>
                      </a:solidFill>
                      <a:latin typeface="Arial"/>
                    </a:defRPr>
                  </a:pPr>
                </a:p>
              </c:txPr>
              <c:showLegendKey val="0"/>
              <c:showVal val="1"/>
              <c:showCatName val="0"/>
              <c:showSerName val="0"/>
              <c:showPercent val="0"/>
              <c:showBubbleSize val="0"/>
            </c:dLbl>
            <c:dLbl>
              <c:idx val="5"/>
              <c:numFmt formatCode="General" sourceLinked="1"/>
              <c:txPr>
                <a:bodyPr/>
                <a:lstStyle/>
                <a:p>
                  <a:pPr lvl="0">
                    <a:defRPr b="1" i="0" sz="1400">
                      <a:solidFill>
                        <a:srgbClr val="000000"/>
                      </a:solidFill>
                      <a:latin typeface="Arial"/>
                    </a:defRPr>
                  </a:pPr>
                </a:p>
              </c:txPr>
              <c:showLegendKey val="0"/>
              <c:showVal val="1"/>
              <c:showCatName val="0"/>
              <c:showSerName val="0"/>
              <c:showPercent val="0"/>
              <c:showBubbleSize val="0"/>
            </c:dLbl>
            <c:numFmt formatCode="General" sourceLinked="1"/>
            <c:txPr>
              <a:bodyPr/>
              <a:lstStyle/>
              <a:p>
                <a:pPr lvl="0">
                  <a:defRPr b="1" i="0" sz="1400">
                    <a:solidFill>
                      <a:srgbClr val="000000"/>
                    </a:solidFill>
                    <a:latin typeface="Arial"/>
                  </a:defRPr>
                </a:pPr>
              </a:p>
            </c:txPr>
            <c:showLegendKey val="0"/>
            <c:showVal val="1"/>
            <c:showCatName val="0"/>
            <c:showSerName val="0"/>
            <c:showPercent val="0"/>
            <c:showBubbleSize val="0"/>
          </c:dLbls>
          <c:cat>
            <c:strRef>
              <c:f>'Graph Data'!$D$80:$I$80</c:f>
            </c:strRef>
          </c:cat>
          <c:val>
            <c:numRef>
              <c:f>'Graph Data'!$D$81:$I$81</c:f>
              <c:numCache/>
            </c:numRef>
          </c:val>
        </c:ser>
        <c:ser>
          <c:idx val="1"/>
          <c:order val="1"/>
          <c:tx>
            <c:v>RSED Fees</c:v>
          </c:tx>
          <c:spPr>
            <a:solidFill>
              <a:srgbClr val="DD2D32"/>
            </a:solidFill>
            <a:ln cmpd="sng">
              <a:solidFill>
                <a:srgbClr val="000000"/>
              </a:solidFill>
            </a:ln>
          </c:spPr>
          <c:dLbls>
            <c:numFmt formatCode="General" sourceLinked="1"/>
            <c:txPr>
              <a:bodyPr/>
              <a:lstStyle/>
              <a:p>
                <a:pPr lvl="0">
                  <a:defRPr b="1" i="0" sz="1400">
                    <a:solidFill>
                      <a:srgbClr val="000000"/>
                    </a:solidFill>
                    <a:latin typeface="Arial"/>
                  </a:defRPr>
                </a:pPr>
              </a:p>
            </c:txPr>
            <c:showLegendKey val="0"/>
            <c:showVal val="1"/>
            <c:showCatName val="0"/>
            <c:showSerName val="0"/>
            <c:showPercent val="0"/>
            <c:showBubbleSize val="0"/>
          </c:dLbls>
          <c:cat>
            <c:strRef>
              <c:f>'Graph Data'!$D$80:$I$80</c:f>
            </c:strRef>
          </c:cat>
          <c:val>
            <c:numRef>
              <c:f>'Graph Data'!$D$82:$I$82</c:f>
              <c:numCache/>
            </c:numRef>
          </c:val>
        </c:ser>
        <c:overlap val="100"/>
        <c:axId val="1217012196"/>
        <c:axId val="935658925"/>
      </c:barChart>
      <c:catAx>
        <c:axId val="12170121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1" i="0" sz="1400">
                <a:solidFill>
                  <a:srgbClr val="000000"/>
                </a:solidFill>
                <a:latin typeface="Arial"/>
              </a:defRPr>
            </a:pPr>
          </a:p>
        </c:txPr>
        <c:crossAx val="935658925"/>
      </c:catAx>
      <c:valAx>
        <c:axId val="935658925"/>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1" i="0" sz="1400">
                <a:solidFill>
                  <a:srgbClr val="000000"/>
                </a:solidFill>
                <a:latin typeface="Arial"/>
              </a:defRPr>
            </a:pPr>
          </a:p>
        </c:txPr>
        <c:crossAx val="1217012196"/>
      </c:valAx>
      <c:spPr>
        <a:solidFill>
          <a:srgbClr val="C0C0C0"/>
        </a:solidFill>
      </c:spPr>
    </c:plotArea>
    <c:legend>
      <c:legendPos val="r"/>
      <c:layout>
        <c:manualLayout>
          <c:xMode val="edge"/>
          <c:yMode val="edge"/>
          <c:x val="0.342146336849075"/>
          <c:y val="0.939036511828242"/>
        </c:manualLayout>
      </c:layout>
      <c:overlay val="0"/>
      <c:txPr>
        <a:bodyPr/>
        <a:lstStyle/>
        <a:p>
          <a:pPr lvl="0">
            <a:defRPr b="1" i="0" sz="1400">
              <a:solidFill>
                <a:srgbClr val="000000"/>
              </a:solidFill>
              <a:latin typeface="Arial"/>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rgbClr val="000000"/>
                </a:solidFill>
                <a:latin typeface="Arial"/>
              </a:defRPr>
            </a:pPr>
            <a:r>
              <a:rPr b="1" i="0" sz="1800">
                <a:solidFill>
                  <a:srgbClr val="000000"/>
                </a:solidFill>
                <a:latin typeface="Arial"/>
              </a:rPr>
              <a:t>Resources Necessary to Support Growth</a:t>
            </a:r>
          </a:p>
        </c:rich>
      </c:tx>
      <c:overlay val="0"/>
    </c:title>
    <c:plotArea>
      <c:layout/>
      <c:barChart>
        <c:barDir val="bar"/>
        <c:ser>
          <c:idx val="0"/>
          <c:order val="0"/>
          <c:cat>
            <c:strRef>
              <c:f>'Graph Data'!$C$100:$C$103</c:f>
            </c:strRef>
          </c:cat>
          <c:val>
            <c:numRef>
              <c:f>'Graph Data'!$D$100:$D$103</c:f>
              <c:numCache/>
            </c:numRef>
          </c:val>
        </c:ser>
        <c:axId val="2141073804"/>
        <c:axId val="299548648"/>
      </c:barChart>
      <c:catAx>
        <c:axId val="214107380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1" i="0" sz="1200">
                <a:solidFill>
                  <a:srgbClr val="000000"/>
                </a:solidFill>
                <a:latin typeface="Arial"/>
              </a:defRPr>
            </a:pPr>
          </a:p>
        </c:txPr>
        <c:crossAx val="299548648"/>
      </c:catAx>
      <c:valAx>
        <c:axId val="299548648"/>
        <c:scaling>
          <c:orientation val="minMax"/>
        </c:scaling>
        <c:delete val="0"/>
        <c:axPos val="b"/>
        <c:tickLblPos val="nextTo"/>
        <c:spPr>
          <a:ln>
            <a:noFill/>
          </a:ln>
        </c:spPr>
        <c:crossAx val="2141073804"/>
        <c:crosses val="max"/>
      </c:valAx>
    </c:plotArea>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757575"/>
                </a:solidFill>
                <a:latin typeface="Arial"/>
              </a:defRPr>
            </a:pPr>
            <a:r>
              <a:rPr b="1" i="0" sz="1600">
                <a:solidFill>
                  <a:srgbClr val="757575"/>
                </a:solidFill>
                <a:latin typeface="Arial"/>
              </a:rPr>
              <a:t>National and Regional Expenses
(as % of School Revenues)</a:t>
            </a:r>
          </a:p>
        </c:rich>
      </c:tx>
      <c:overlay val="0"/>
    </c:title>
    <c:plotArea>
      <c:layout>
        <c:manualLayout>
          <c:xMode val="edge"/>
          <c:yMode val="edge"/>
          <c:x val="0.0170742089580476"/>
          <c:y val="0.158041216619177"/>
          <c:w val="0.971054249633448"/>
          <c:h val="0.774435093764495"/>
        </c:manualLayout>
      </c:layout>
      <c:barChart>
        <c:barDir val="col"/>
        <c:grouping val="stacked"/>
        <c:ser>
          <c:idx val="0"/>
          <c:order val="0"/>
          <c:tx>
            <c:strRef>
              <c:f>'Graph Data'!$C$5:$D$5</c:f>
            </c:strRef>
          </c:tx>
          <c:cat>
            <c:strRef>
              <c:f>'Graph Data'!$E$3:$N$3</c:f>
            </c:strRef>
          </c:cat>
          <c:val>
            <c:numRef>
              <c:f>'Graph Data'!$E$5:$N$5</c:f>
              <c:numCache/>
            </c:numRef>
          </c:val>
        </c:ser>
        <c:ser>
          <c:idx val="1"/>
          <c:order val="1"/>
          <c:tx>
            <c:strRef>
              <c:f>'Graph Data'!$C$6:$D$6</c:f>
            </c:strRef>
          </c:tx>
          <c:cat>
            <c:strRef>
              <c:f>'Graph Data'!$E$3:$N$3</c:f>
            </c:strRef>
          </c:cat>
          <c:val>
            <c:numRef>
              <c:f>'Graph Data'!$E$6:$N$6</c:f>
              <c:numCache/>
            </c:numRef>
          </c:val>
        </c:ser>
        <c:overlap val="100"/>
        <c:axId val="2137455935"/>
        <c:axId val="913795754"/>
      </c:barChart>
      <c:catAx>
        <c:axId val="21374559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1" i="0" sz="1200">
                <a:solidFill>
                  <a:srgbClr val="000000"/>
                </a:solidFill>
                <a:latin typeface="Arial"/>
              </a:defRPr>
            </a:pPr>
          </a:p>
        </c:txPr>
        <c:crossAx val="913795754"/>
      </c:catAx>
      <c:valAx>
        <c:axId val="913795754"/>
        <c:scaling>
          <c:orientation val="minMax"/>
        </c:scaling>
        <c:delete val="0"/>
        <c:axPos val="l"/>
        <c:tickLblPos val="nextTo"/>
        <c:spPr>
          <a:ln>
            <a:noFill/>
          </a:ln>
        </c:spPr>
        <c:crossAx val="2137455935"/>
      </c:valAx>
      <c:spPr>
        <a:solidFill>
          <a:srgbClr val="C0C0C0"/>
        </a:solidFill>
      </c:spPr>
    </c:plotArea>
    <c:legend>
      <c:legendPos val="r"/>
      <c:layout>
        <c:manualLayout>
          <c:xMode val="edge"/>
          <c:yMode val="edge"/>
          <c:x val="0.355531381544719"/>
          <c:y val="0.939036511828242"/>
        </c:manualLayout>
      </c:layout>
      <c:overlay val="0"/>
      <c:txPr>
        <a:bodyPr/>
        <a:lstStyle/>
        <a:p>
          <a:pPr lvl="0">
            <a:defRPr b="1" i="0" sz="1200">
              <a:solidFill>
                <a:srgbClr val="000000"/>
              </a:solidFill>
              <a:latin typeface="Arial"/>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000000"/>
                </a:solidFill>
                <a:latin typeface="Arial"/>
              </a:defRPr>
            </a:pPr>
            <a:r>
              <a:rPr b="1" i="0" sz="1400">
                <a:solidFill>
                  <a:srgbClr val="000000"/>
                </a:solidFill>
                <a:latin typeface="Arial"/>
              </a:rPr>
              <a:t>Rocketship Expenses
(as % of Public Revenues)</a:t>
            </a:r>
          </a:p>
        </c:rich>
      </c:tx>
      <c:overlay val="0"/>
    </c:title>
    <c:plotArea>
      <c:layout>
        <c:manualLayout>
          <c:xMode val="edge"/>
          <c:yMode val="edge"/>
          <c:x val="0.0430402497280424"/>
          <c:y val="0.116427009475847"/>
          <c:w val="0.945324693752069"/>
          <c:h val="0.783049499701809"/>
        </c:manualLayout>
      </c:layout>
      <c:barChart>
        <c:barDir val="col"/>
        <c:grouping val="stacked"/>
        <c:ser>
          <c:idx val="0"/>
          <c:order val="0"/>
          <c:tx>
            <c:strRef>
              <c:f>'Graph Data'!$D$128</c:f>
            </c:strRef>
          </c:tx>
          <c:cat>
            <c:strRef>
              <c:f>'Graph Data'!$E$127:$S$127</c:f>
            </c:strRef>
          </c:cat>
          <c:val>
            <c:numRef>
              <c:f>'Graph Data'!$E$128:$S$128</c:f>
              <c:numCache/>
            </c:numRef>
          </c:val>
        </c:ser>
        <c:ser>
          <c:idx val="1"/>
          <c:order val="1"/>
          <c:tx>
            <c:strRef>
              <c:f>'Graph Data'!$D$129</c:f>
            </c:strRef>
          </c:tx>
          <c:cat>
            <c:strRef>
              <c:f>'Graph Data'!$E$127:$S$127</c:f>
            </c:strRef>
          </c:cat>
          <c:val>
            <c:numRef>
              <c:f>'Graph Data'!$E$129:$S$129</c:f>
              <c:numCache/>
            </c:numRef>
          </c:val>
        </c:ser>
        <c:overlap val="100"/>
        <c:axId val="1935825734"/>
        <c:axId val="701464222"/>
      </c:barChart>
      <c:catAx>
        <c:axId val="1935825734"/>
        <c:scaling>
          <c:orientation val="minMax"/>
        </c:scaling>
        <c:delete val="0"/>
        <c:axPos val="b"/>
        <c:title>
          <c:tx>
            <c:rich>
              <a:bodyPr/>
              <a:lstStyle/>
              <a:p>
                <a:pPr lvl="0">
                  <a:defRPr b="1" i="0" sz="1200">
                    <a:solidFill>
                      <a:srgbClr val="000000"/>
                    </a:solidFill>
                    <a:latin typeface="Arial"/>
                  </a:defRPr>
                </a:pPr>
                <a:r>
                  <a:rPr b="1" i="0" sz="1200">
                    <a:solidFill>
                      <a:srgbClr val="000000"/>
                    </a:solidFill>
                    <a:latin typeface="Arial"/>
                  </a:rPr>
                  <a:t>Year</a:t>
                </a:r>
              </a:p>
            </c:rich>
          </c:tx>
          <c:overlay val="0"/>
        </c:title>
        <c:numFmt formatCode="General" sourceLinked="1"/>
        <c:majorTickMark val="out"/>
        <c:minorTickMark val="none"/>
        <c:spPr/>
        <c:txPr>
          <a:bodyPr/>
          <a:lstStyle/>
          <a:p>
            <a:pPr lvl="0">
              <a:defRPr b="1" i="0" sz="1200">
                <a:solidFill>
                  <a:srgbClr val="000000"/>
                </a:solidFill>
                <a:latin typeface="Arial"/>
              </a:defRPr>
            </a:pPr>
          </a:p>
        </c:txPr>
        <c:crossAx val="701464222"/>
      </c:catAx>
      <c:valAx>
        <c:axId val="701464222"/>
        <c:scaling>
          <c:orientation val="minMax"/>
        </c:scaling>
        <c:delete val="0"/>
        <c:axPos val="l"/>
        <c:tickLblPos val="nextTo"/>
        <c:spPr>
          <a:ln>
            <a:noFill/>
          </a:ln>
        </c:spPr>
        <c:crossAx val="1935825734"/>
      </c:valAx>
      <c:spPr>
        <a:solidFill>
          <a:srgbClr val="C0C0C0"/>
        </a:solidFill>
      </c:spPr>
    </c:plotArea>
    <c:legend>
      <c:legendPos val="r"/>
      <c:layout>
        <c:manualLayout>
          <c:xMode val="edge"/>
          <c:yMode val="edge"/>
          <c:x val="0.288700752021946"/>
          <c:y val="0.937048571996554"/>
        </c:manualLayout>
      </c:layout>
      <c:overlay val="0"/>
      <c:txPr>
        <a:bodyPr/>
        <a:lstStyle/>
        <a:p>
          <a:pPr lvl="0">
            <a:defRPr b="1" i="0" sz="1200">
              <a:solidFill>
                <a:srgbClr val="000000"/>
              </a:solidFill>
              <a:latin typeface="Arial"/>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000000"/>
                </a:solidFill>
                <a:latin typeface="Arial"/>
              </a:defRPr>
            </a:pPr>
            <a:r>
              <a:rPr b="1" i="0" sz="1600">
                <a:solidFill>
                  <a:srgbClr val="000000"/>
                </a:solidFill>
                <a:latin typeface="Arial"/>
              </a:rPr>
              <a:t>RSED Expenses 
(as % of School Revenues)</a:t>
            </a:r>
          </a:p>
        </c:rich>
      </c:tx>
      <c:overlay val="0"/>
    </c:title>
    <c:plotArea>
      <c:layout/>
      <c:barChart>
        <c:barDir val="col"/>
        <c:grouping val="stacked"/>
        <c:ser>
          <c:idx val="0"/>
          <c:order val="0"/>
          <c:tx>
            <c:v>Achievement</c:v>
          </c:tx>
          <c:spPr>
            <a:solidFill>
              <a:srgbClr val="DD2D32"/>
            </a:solidFill>
            <a:ln cmpd="sng">
              <a:solidFill>
                <a:srgbClr val="000000"/>
              </a:solidFill>
            </a:ln>
          </c:spPr>
          <c:dLbls>
            <c:numFmt formatCode="General" sourceLinked="1"/>
            <c:txPr>
              <a:bodyPr/>
              <a:lstStyle/>
              <a:p>
                <a:pPr lvl="0">
                  <a:defRPr b="1" i="0" sz="1000">
                    <a:solidFill>
                      <a:srgbClr val="000000"/>
                    </a:solidFill>
                    <a:latin typeface="Arial"/>
                  </a:defRPr>
                </a:pPr>
              </a:p>
            </c:txPr>
            <c:showLegendKey val="0"/>
            <c:showVal val="1"/>
            <c:showCatName val="0"/>
            <c:showSerName val="0"/>
            <c:showPercent val="0"/>
            <c:showBubbleSize val="0"/>
          </c:dLbls>
          <c:cat>
            <c:strRef>
              <c:f>'Graph Data'!$E$151:$S$151</c:f>
            </c:strRef>
          </c:cat>
          <c:val>
            <c:numRef>
              <c:f>'Graph Data'!$E$152:$S$152</c:f>
              <c:numCache/>
            </c:numRef>
          </c:val>
        </c:ser>
        <c:ser>
          <c:idx val="1"/>
          <c:order val="1"/>
          <c:tx>
            <c:v>Empowerment</c:v>
          </c:tx>
          <c:spPr>
            <a:solidFill>
              <a:srgbClr val="FFF58C"/>
            </a:solidFill>
            <a:ln cmpd="sng">
              <a:solidFill>
                <a:srgbClr val="000000"/>
              </a:solidFill>
            </a:ln>
          </c:spPr>
          <c:dPt>
            <c:idx val="0"/>
            <c:spPr>
              <a:solidFill>
                <a:srgbClr val="FFF58C"/>
              </a:solidFill>
              <a:ln cmpd="sng">
                <a:solidFill>
                  <a:srgbClr val="000000"/>
                </a:solidFill>
              </a:ln>
            </c:spPr>
          </c:dPt>
          <c:dLbls>
            <c:dLbl>
              <c:idx val="0"/>
              <c:numFmt formatCode="General" sourceLinked="1"/>
              <c:txPr>
                <a:bodyPr/>
                <a:lstStyle/>
                <a:p>
                  <a:pPr lvl="0">
                    <a:defRPr b="1" i="0" sz="1000">
                      <a:solidFill>
                        <a:srgbClr val="000000"/>
                      </a:solidFill>
                      <a:latin typeface="Arial"/>
                    </a:defRPr>
                  </a:pPr>
                </a:p>
              </c:txPr>
              <c:showLegendKey val="0"/>
              <c:showVal val="1"/>
              <c:showCatName val="0"/>
              <c:showSerName val="0"/>
              <c:showPercent val="0"/>
              <c:showBubbleSize val="0"/>
            </c:dLbl>
            <c:numFmt formatCode="General" sourceLinked="1"/>
            <c:txPr>
              <a:bodyPr/>
              <a:lstStyle/>
              <a:p>
                <a:pPr lvl="0">
                  <a:defRPr b="1" i="0" sz="1000">
                    <a:solidFill>
                      <a:srgbClr val="000000"/>
                    </a:solidFill>
                    <a:latin typeface="Arial"/>
                  </a:defRPr>
                </a:pPr>
              </a:p>
            </c:txPr>
            <c:showLegendKey val="0"/>
            <c:showVal val="1"/>
            <c:showCatName val="0"/>
            <c:showSerName val="0"/>
            <c:showPercent val="0"/>
            <c:showBubbleSize val="0"/>
          </c:dLbls>
          <c:cat>
            <c:strRef>
              <c:f>'Graph Data'!$E$151:$S$151</c:f>
            </c:strRef>
          </c:cat>
          <c:val>
            <c:numRef>
              <c:f>'Graph Data'!$E$153:$S$153</c:f>
              <c:numCache/>
            </c:numRef>
          </c:val>
        </c:ser>
        <c:ser>
          <c:idx val="2"/>
          <c:order val="2"/>
          <c:cat>
            <c:strRef>
              <c:f>'Graph Data'!$E$151:$S$151</c:f>
            </c:strRef>
          </c:cat>
          <c:val>
            <c:numRef>
              <c:f>'Graph Data'!$E$154:$S$154</c:f>
              <c:numCache/>
            </c:numRef>
          </c:val>
        </c:ser>
        <c:ser>
          <c:idx val="3"/>
          <c:order val="3"/>
          <c:cat>
            <c:strRef>
              <c:f>'Graph Data'!$E$151:$S$151</c:f>
            </c:strRef>
          </c:cat>
          <c:val>
            <c:numRef>
              <c:f>'Graph Data'!$E$155:$S$155</c:f>
              <c:numCache/>
            </c:numRef>
          </c:val>
        </c:ser>
        <c:ser>
          <c:idx val="4"/>
          <c:order val="4"/>
          <c:cat>
            <c:strRef>
              <c:f>'Graph Data'!$E$151:$S$151</c:f>
            </c:strRef>
          </c:cat>
          <c:val>
            <c:numRef>
              <c:f>'Graph Data'!$E$156:$S$156</c:f>
              <c:numCache/>
            </c:numRef>
          </c:val>
        </c:ser>
        <c:overlap val="100"/>
        <c:axId val="2040395850"/>
        <c:axId val="1765981774"/>
      </c:barChart>
      <c:catAx>
        <c:axId val="20403958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1" i="0" sz="1400">
                <a:solidFill>
                  <a:srgbClr val="000000"/>
                </a:solidFill>
                <a:latin typeface="Arial"/>
              </a:defRPr>
            </a:pPr>
          </a:p>
        </c:txPr>
        <c:crossAx val="1765981774"/>
      </c:catAx>
      <c:valAx>
        <c:axId val="1765981774"/>
        <c:scaling>
          <c:orientation val="minMax"/>
        </c:scaling>
        <c:delete val="0"/>
        <c:axPos val="l"/>
        <c:majorGridlines>
          <c:spPr>
            <a:ln>
              <a:solidFill>
                <a:srgbClr val="B7B7B7"/>
              </a:solidFill>
            </a:ln>
          </c:spPr>
        </c:majorGridlines>
        <c:title>
          <c:tx>
            <c:rich>
              <a:bodyPr/>
              <a:lstStyle/>
              <a:p>
                <a:pPr lvl="0">
                  <a:defRPr b="1" i="0" sz="1400">
                    <a:solidFill>
                      <a:srgbClr val="000000"/>
                    </a:solidFill>
                    <a:latin typeface="Arial"/>
                  </a:defRPr>
                </a:pPr>
                <a:r>
                  <a:rPr b="1" i="0" sz="1400">
                    <a:solidFill>
                      <a:srgbClr val="000000"/>
                    </a:solidFill>
                    <a:latin typeface="Arial"/>
                  </a:rPr>
                  <a:t>% of School Revenues</a:t>
                </a:r>
              </a:p>
            </c:rich>
          </c:tx>
          <c:overlay val="0"/>
        </c:title>
        <c:numFmt formatCode="General" sourceLinked="1"/>
        <c:majorTickMark val="out"/>
        <c:minorTickMark val="none"/>
        <c:tickLblPos val="nextTo"/>
        <c:spPr>
          <a:ln/>
        </c:spPr>
        <c:txPr>
          <a:bodyPr/>
          <a:lstStyle/>
          <a:p>
            <a:pPr lvl="0">
              <a:defRPr b="1" i="0" sz="1400">
                <a:solidFill>
                  <a:srgbClr val="000000"/>
                </a:solidFill>
                <a:latin typeface="Arial"/>
              </a:defRPr>
            </a:pPr>
          </a:p>
        </c:txPr>
        <c:crossAx val="2040395850"/>
      </c:valAx>
      <c:spPr>
        <a:solidFill>
          <a:srgbClr val="C0C0C0"/>
        </a:solidFill>
      </c:spPr>
    </c:plotArea>
    <c:legend>
      <c:legendPos val="b"/>
      <c:overlay val="0"/>
      <c:txPr>
        <a:bodyPr/>
        <a:lstStyle/>
        <a:p>
          <a:pPr lvl="0">
            <a:defRPr b="1" i="0" sz="1400">
              <a:solidFill>
                <a:srgbClr val="000000"/>
              </a:solidFill>
              <a:latin typeface="Arial"/>
            </a:defRPr>
          </a:pPr>
        </a:p>
      </c:txPr>
    </c:legend>
    <c:plotVisOnly val="1"/>
  </c:chart>
</c:chartSpace>
</file>

<file path=xl/drawings/_rels/drawing1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1</xdr:row>
      <xdr:rowOff>9525</xdr:rowOff>
    </xdr:from>
    <xdr:ext cx="8181975" cy="5410200"/>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200025</xdr:colOff>
      <xdr:row>8</xdr:row>
      <xdr:rowOff>19050</xdr:rowOff>
    </xdr:from>
    <xdr:ext cx="704850" cy="180975"/>
    <xdr:sp>
      <xdr:nvSpPr>
        <xdr:cNvPr id="3" name="Shape 3"/>
        <xdr:cNvSpPr/>
      </xdr:nvSpPr>
      <xdr:spPr>
        <a:xfrm>
          <a:off x="4998338" y="3694275"/>
          <a:ext cx="695325" cy="171450"/>
        </a:xfrm>
        <a:prstGeom prst="rect">
          <a:avLst/>
        </a:prstGeom>
        <a:noFill/>
        <a:ln>
          <a:noFill/>
        </a:ln>
      </xdr:spPr>
      <xdr:txBody>
        <a:bodyPr anchorCtr="0" anchor="t" bIns="20150" lIns="20150" spcFirstLastPara="1" rIns="20150" wrap="square" tIns="20150">
          <a:noAutofit/>
        </a:bodyPr>
        <a:lstStyle/>
        <a:p>
          <a:pPr indent="0" lvl="0" marL="0" rtl="0" algn="l">
            <a:spcBef>
              <a:spcPts val="0"/>
            </a:spcBef>
            <a:spcAft>
              <a:spcPts val="0"/>
            </a:spcAft>
            <a:buNone/>
          </a:pPr>
          <a:r>
            <a:rPr b="1" lang="en-US" sz="1000" strike="noStrike">
              <a:latin typeface="Arial"/>
              <a:ea typeface="Arial"/>
              <a:cs typeface="Arial"/>
              <a:sym typeface="Arial"/>
            </a:rPr>
            <a:t>$650,000</a:t>
          </a:r>
          <a:endParaRPr b="0" sz="1000" strike="noStrike">
            <a:latin typeface="Times New Roman"/>
            <a:ea typeface="Times New Roman"/>
            <a:cs typeface="Times New Roman"/>
            <a:sym typeface="Times New Roman"/>
          </a:endParaRPr>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1</xdr:row>
      <xdr:rowOff>9525</xdr:rowOff>
    </xdr:from>
    <xdr:ext cx="8181975" cy="5410200"/>
    <xdr:graphicFrame>
      <xdr:nvGraphicFramePr>
        <xdr:cNvPr id="2" name="Chart 2"/>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1</xdr:row>
      <xdr:rowOff>9525</xdr:rowOff>
    </xdr:from>
    <xdr:ext cx="8181975" cy="5410200"/>
    <xdr:graphicFrame>
      <xdr:nvGraphicFramePr>
        <xdr:cNvPr id="3" name="Chart 3"/>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228600</xdr:colOff>
      <xdr:row>8</xdr:row>
      <xdr:rowOff>114300</xdr:rowOff>
    </xdr:from>
    <xdr:ext cx="942975" cy="285750"/>
    <xdr:sp>
      <xdr:nvSpPr>
        <xdr:cNvPr id="4" name="Shape 4"/>
        <xdr:cNvSpPr/>
      </xdr:nvSpPr>
      <xdr:spPr>
        <a:xfrm>
          <a:off x="4879275" y="3641888"/>
          <a:ext cx="933450" cy="276225"/>
        </a:xfrm>
        <a:prstGeom prst="rect">
          <a:avLst/>
        </a:prstGeom>
        <a:noFill/>
        <a:ln>
          <a:noFill/>
        </a:ln>
      </xdr:spPr>
      <xdr:txBody>
        <a:bodyPr anchorCtr="0" anchor="t" bIns="20150" lIns="20150" spcFirstLastPara="1" rIns="20150" wrap="square" tIns="20150">
          <a:noAutofit/>
        </a:bodyPr>
        <a:lstStyle/>
        <a:p>
          <a:pPr indent="0" lvl="0" marL="0" rtl="0" algn="l">
            <a:spcBef>
              <a:spcPts val="0"/>
            </a:spcBef>
            <a:spcAft>
              <a:spcPts val="0"/>
            </a:spcAft>
            <a:buNone/>
          </a:pPr>
          <a:r>
            <a:rPr b="1" lang="en-US" sz="1400" strike="noStrike">
              <a:latin typeface="Arial"/>
              <a:ea typeface="Arial"/>
              <a:cs typeface="Arial"/>
              <a:sym typeface="Arial"/>
            </a:rPr>
            <a:t>$3.4MM</a:t>
          </a:r>
          <a:endParaRPr b="0" sz="1400" strike="noStrike">
            <a:latin typeface="Times New Roman"/>
            <a:ea typeface="Times New Roman"/>
            <a:cs typeface="Times New Roman"/>
            <a:sym typeface="Times New Roman"/>
          </a:endParaRPr>
        </a:p>
      </xdr:txBody>
    </xdr:sp>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1</xdr:row>
      <xdr:rowOff>9525</xdr:rowOff>
    </xdr:from>
    <xdr:ext cx="8181975" cy="5410200"/>
    <xdr:graphicFrame>
      <xdr:nvGraphicFramePr>
        <xdr:cNvPr id="4" name="Chart 4"/>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1</xdr:row>
      <xdr:rowOff>9525</xdr:rowOff>
    </xdr:from>
    <xdr:ext cx="8181975" cy="5410200"/>
    <xdr:graphicFrame>
      <xdr:nvGraphicFramePr>
        <xdr:cNvPr id="5" name="Chart 5"/>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1</xdr:row>
      <xdr:rowOff>9525</xdr:rowOff>
    </xdr:from>
    <xdr:ext cx="8181975" cy="5410200"/>
    <xdr:graphicFrame>
      <xdr:nvGraphicFramePr>
        <xdr:cNvPr id="6" name="Chart 6"/>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1</xdr:row>
      <xdr:rowOff>9525</xdr:rowOff>
    </xdr:from>
    <xdr:ext cx="8181975" cy="5410200"/>
    <xdr:graphicFrame>
      <xdr:nvGraphicFramePr>
        <xdr:cNvPr id="7" name="Chart 7"/>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1</xdr:row>
      <xdr:rowOff>9525</xdr:rowOff>
    </xdr:from>
    <xdr:ext cx="8181975" cy="5410200"/>
    <xdr:graphicFrame>
      <xdr:nvGraphicFramePr>
        <xdr:cNvPr id="8" name="Chart 8"/>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0000EE"/>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24.xml"/><Relationship Id="rId3" Type="http://schemas.openxmlformats.org/officeDocument/2006/relationships/vmlDrawing" Target="../drawings/vmlDrawing6.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6.xml"/><Relationship Id="rId3" Type="http://schemas.openxmlformats.org/officeDocument/2006/relationships/vmlDrawing" Target="../drawings/vmlDrawing7.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7.xml"/><Relationship Id="rId3" Type="http://schemas.openxmlformats.org/officeDocument/2006/relationships/vmlDrawing" Target="../drawings/vmlDrawing8.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8.xml"/><Relationship Id="rId3" Type="http://schemas.openxmlformats.org/officeDocument/2006/relationships/vmlDrawing" Target="../drawings/vmlDrawing9.vml"/></Relationships>
</file>

<file path=xl/worksheets/_rels/sheet29.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29.xml"/><Relationship Id="rId3" Type="http://schemas.openxmlformats.org/officeDocument/2006/relationships/vmlDrawing" Target="../drawings/vmlDrawing10.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pane ySplit="12.0" topLeftCell="A13" activePane="bottomLeft" state="frozen"/>
      <selection activeCell="B14" sqref="B14" pane="bottomLeft"/>
    </sheetView>
  </sheetViews>
  <sheetFormatPr customHeight="1" defaultColWidth="12.63" defaultRowHeight="15.0" outlineLevelCol="1" outlineLevelRow="1"/>
  <cols>
    <col customWidth="1" min="1" max="1" width="4.13" outlineLevel="1"/>
    <col customWidth="1" min="2" max="2" width="14.0"/>
    <col customWidth="1" min="3" max="3" width="13.13"/>
    <col customWidth="1" min="4" max="4" width="3.88"/>
    <col customWidth="1" min="5" max="5" width="18.5"/>
    <col customWidth="1" min="6" max="25" width="9.75"/>
    <col customWidth="1" min="26" max="30" width="9.13"/>
  </cols>
  <sheetData>
    <row r="1">
      <c r="A1" s="1"/>
      <c r="B1" s="2" t="s">
        <v>0</v>
      </c>
      <c r="C1" s="2" t="s">
        <v>1</v>
      </c>
      <c r="D1" s="1"/>
      <c r="E1" s="1"/>
      <c r="F1" s="1"/>
      <c r="G1" s="1"/>
      <c r="H1" s="1"/>
      <c r="I1" s="1"/>
      <c r="J1" s="1"/>
      <c r="K1" s="1"/>
      <c r="L1" s="1"/>
      <c r="M1" s="1"/>
      <c r="N1" s="1"/>
      <c r="O1" s="1"/>
      <c r="P1" s="1"/>
      <c r="Q1" s="1"/>
      <c r="R1" s="1"/>
      <c r="S1" s="1"/>
      <c r="T1" s="1"/>
      <c r="U1" s="1"/>
      <c r="V1" s="1"/>
      <c r="W1" s="1"/>
      <c r="X1" s="1"/>
      <c r="Y1" s="1"/>
      <c r="Z1" s="1"/>
      <c r="AA1" s="1"/>
      <c r="AB1" s="1"/>
      <c r="AC1" s="1"/>
      <c r="AD1" s="1"/>
    </row>
    <row r="2">
      <c r="A2" s="3">
        <f t="shared" ref="A2:A21" si="1">C2</f>
        <v>1</v>
      </c>
      <c r="B2" s="1">
        <v>1.0</v>
      </c>
      <c r="C2" s="4">
        <v>1.0</v>
      </c>
      <c r="D2" s="1"/>
      <c r="E2" s="1" t="s">
        <v>2</v>
      </c>
      <c r="F2" s="1"/>
      <c r="G2" s="5">
        <f>Assumptions!J7</f>
        <v>0.6</v>
      </c>
      <c r="H2" s="1"/>
      <c r="I2" s="1"/>
      <c r="J2" s="1"/>
      <c r="K2" s="1"/>
      <c r="L2" s="1"/>
      <c r="M2" s="1"/>
      <c r="N2" s="1"/>
      <c r="O2" s="1"/>
      <c r="P2" s="1"/>
      <c r="Q2" s="1"/>
      <c r="R2" s="1"/>
      <c r="S2" s="1"/>
      <c r="T2" s="1"/>
      <c r="U2" s="1"/>
      <c r="V2" s="1"/>
      <c r="W2" s="1"/>
      <c r="X2" s="1"/>
      <c r="Y2" s="1"/>
      <c r="Z2" s="1"/>
      <c r="AA2" s="1"/>
      <c r="AB2" s="1"/>
      <c r="AC2" s="1"/>
      <c r="AD2" s="1"/>
    </row>
    <row r="3">
      <c r="A3" s="3">
        <f t="shared" si="1"/>
        <v>1</v>
      </c>
      <c r="B3" s="1">
        <v>2.0</v>
      </c>
      <c r="C3" s="6">
        <v>1.0</v>
      </c>
      <c r="D3" s="1"/>
      <c r="E3" s="1" t="s">
        <v>3</v>
      </c>
      <c r="F3" s="1"/>
      <c r="G3" s="7">
        <f>Assumptions!J8</f>
        <v>200</v>
      </c>
      <c r="H3" s="1"/>
      <c r="I3" s="1"/>
      <c r="J3" s="1"/>
      <c r="K3" s="1"/>
      <c r="L3" s="1"/>
      <c r="M3" s="1"/>
      <c r="N3" s="1"/>
      <c r="O3" s="1"/>
      <c r="P3" s="1"/>
      <c r="Q3" s="1"/>
      <c r="R3" s="1"/>
      <c r="S3" s="1"/>
      <c r="T3" s="1"/>
      <c r="U3" s="1"/>
      <c r="V3" s="1"/>
      <c r="W3" s="1"/>
      <c r="X3" s="1"/>
      <c r="Y3" s="1"/>
      <c r="Z3" s="1"/>
      <c r="AA3" s="1"/>
      <c r="AB3" s="1"/>
      <c r="AC3" s="1"/>
      <c r="AD3" s="1"/>
    </row>
    <row r="4">
      <c r="A4" s="3">
        <f t="shared" si="1"/>
        <v>2</v>
      </c>
      <c r="B4" s="1">
        <v>3.0</v>
      </c>
      <c r="C4" s="6">
        <v>2.0</v>
      </c>
      <c r="D4" s="1"/>
      <c r="E4" s="1"/>
      <c r="F4" s="1"/>
      <c r="G4" s="1"/>
      <c r="H4" s="1"/>
      <c r="I4" s="1"/>
      <c r="J4" s="1"/>
      <c r="K4" s="1"/>
      <c r="L4" s="1"/>
      <c r="M4" s="1"/>
      <c r="N4" s="1"/>
      <c r="O4" s="1"/>
      <c r="P4" s="1"/>
      <c r="Q4" s="1"/>
      <c r="R4" s="1"/>
      <c r="S4" s="1"/>
      <c r="T4" s="1"/>
      <c r="U4" s="1"/>
      <c r="V4" s="1"/>
      <c r="W4" s="1"/>
      <c r="X4" s="1"/>
      <c r="Y4" s="1"/>
      <c r="Z4" s="1"/>
      <c r="AA4" s="1"/>
      <c r="AB4" s="1"/>
      <c r="AC4" s="1"/>
      <c r="AD4" s="1"/>
    </row>
    <row r="5">
      <c r="A5" s="3">
        <f t="shared" si="1"/>
        <v>4</v>
      </c>
      <c r="B5" s="1">
        <v>4.0</v>
      </c>
      <c r="C5" s="6">
        <v>4.0</v>
      </c>
      <c r="D5" s="1"/>
      <c r="E5" s="1"/>
      <c r="F5" s="8" t="s">
        <v>4</v>
      </c>
      <c r="G5" s="8" t="s">
        <v>5</v>
      </c>
      <c r="H5" s="8" t="s">
        <v>6</v>
      </c>
      <c r="I5" s="8" t="s">
        <v>7</v>
      </c>
      <c r="J5" s="8" t="s">
        <v>8</v>
      </c>
      <c r="K5" s="8" t="str">
        <f t="shared" ref="K5:AA5" si="2">RIGHT(J5,4)&amp;"-"&amp;RIGHT(J5,4)+1</f>
        <v>2015-2016</v>
      </c>
      <c r="L5" s="8" t="str">
        <f t="shared" si="2"/>
        <v>2016-2017</v>
      </c>
      <c r="M5" s="8" t="str">
        <f t="shared" si="2"/>
        <v>2017-2018</v>
      </c>
      <c r="N5" s="8" t="str">
        <f t="shared" si="2"/>
        <v>2018-2019</v>
      </c>
      <c r="O5" s="8" t="str">
        <f t="shared" si="2"/>
        <v>2019-2020</v>
      </c>
      <c r="P5" s="8" t="str">
        <f t="shared" si="2"/>
        <v>2020-2021</v>
      </c>
      <c r="Q5" s="8" t="str">
        <f t="shared" si="2"/>
        <v>2021-2022</v>
      </c>
      <c r="R5" s="8" t="str">
        <f t="shared" si="2"/>
        <v>2022-2023</v>
      </c>
      <c r="S5" s="8" t="str">
        <f t="shared" si="2"/>
        <v>2023-2024</v>
      </c>
      <c r="T5" s="8" t="str">
        <f t="shared" si="2"/>
        <v>2024-2025</v>
      </c>
      <c r="U5" s="8" t="str">
        <f t="shared" si="2"/>
        <v>2025-2026</v>
      </c>
      <c r="V5" s="8" t="str">
        <f t="shared" si="2"/>
        <v>2026-2027</v>
      </c>
      <c r="W5" s="8" t="str">
        <f t="shared" si="2"/>
        <v>2027-2028</v>
      </c>
      <c r="X5" s="8" t="str">
        <f t="shared" si="2"/>
        <v>2028-2029</v>
      </c>
      <c r="Y5" s="8" t="str">
        <f t="shared" si="2"/>
        <v>2029-2030</v>
      </c>
      <c r="Z5" s="8" t="str">
        <f t="shared" si="2"/>
        <v>2030-2031</v>
      </c>
      <c r="AA5" s="8" t="str">
        <f t="shared" si="2"/>
        <v>2031-2032</v>
      </c>
      <c r="AB5" s="8"/>
      <c r="AC5" s="8"/>
      <c r="AD5" s="8"/>
    </row>
    <row r="6">
      <c r="A6" s="3">
        <f t="shared" si="1"/>
        <v>8</v>
      </c>
      <c r="B6" s="1">
        <v>5.0</v>
      </c>
      <c r="C6" s="6">
        <v>8.0</v>
      </c>
      <c r="D6" s="1"/>
      <c r="E6" s="1" t="s">
        <v>9</v>
      </c>
      <c r="F6" s="9">
        <v>3.0</v>
      </c>
      <c r="G6" s="9">
        <f t="shared" ref="G6:AA6" si="3">F6+G7</f>
        <v>5</v>
      </c>
      <c r="H6" s="9">
        <f t="shared" si="3"/>
        <v>8</v>
      </c>
      <c r="I6" s="9">
        <f t="shared" si="3"/>
        <v>13</v>
      </c>
      <c r="J6" s="9">
        <f t="shared" si="3"/>
        <v>21</v>
      </c>
      <c r="K6" s="9">
        <f t="shared" si="3"/>
        <v>34</v>
      </c>
      <c r="L6" s="9">
        <f t="shared" si="3"/>
        <v>54</v>
      </c>
      <c r="M6" s="9">
        <f t="shared" si="3"/>
        <v>86</v>
      </c>
      <c r="N6" s="9">
        <f t="shared" si="3"/>
        <v>138</v>
      </c>
      <c r="O6" s="9">
        <f t="shared" si="3"/>
        <v>221</v>
      </c>
      <c r="P6" s="9">
        <f t="shared" si="3"/>
        <v>354</v>
      </c>
      <c r="Q6" s="9">
        <f t="shared" si="3"/>
        <v>554</v>
      </c>
      <c r="R6" s="9">
        <f t="shared" si="3"/>
        <v>754</v>
      </c>
      <c r="S6" s="9">
        <f t="shared" si="3"/>
        <v>954</v>
      </c>
      <c r="T6" s="9">
        <f t="shared" si="3"/>
        <v>1154</v>
      </c>
      <c r="U6" s="9">
        <f t="shared" si="3"/>
        <v>1354</v>
      </c>
      <c r="V6" s="9">
        <f t="shared" si="3"/>
        <v>1554</v>
      </c>
      <c r="W6" s="9">
        <f t="shared" si="3"/>
        <v>1754</v>
      </c>
      <c r="X6" s="9">
        <f t="shared" si="3"/>
        <v>1954</v>
      </c>
      <c r="Y6" s="9">
        <f t="shared" si="3"/>
        <v>2154</v>
      </c>
      <c r="Z6" s="9">
        <f t="shared" si="3"/>
        <v>2354</v>
      </c>
      <c r="AA6" s="9">
        <f t="shared" si="3"/>
        <v>2554</v>
      </c>
      <c r="AB6" s="10"/>
      <c r="AC6" s="10"/>
      <c r="AD6" s="10"/>
    </row>
    <row r="7">
      <c r="A7" s="3">
        <f t="shared" si="1"/>
        <v>13</v>
      </c>
      <c r="B7" s="1">
        <v>6.0</v>
      </c>
      <c r="C7" s="6">
        <v>13.0</v>
      </c>
      <c r="D7" s="1"/>
      <c r="E7" s="1" t="s">
        <v>10</v>
      </c>
      <c r="F7" s="9">
        <v>1.0</v>
      </c>
      <c r="G7" s="9">
        <f t="shared" ref="G7:AA7" si="4">MIN($G$3,ROUND(F6*$G$2,0))</f>
        <v>2</v>
      </c>
      <c r="H7" s="9">
        <f t="shared" si="4"/>
        <v>3</v>
      </c>
      <c r="I7" s="9">
        <f t="shared" si="4"/>
        <v>5</v>
      </c>
      <c r="J7" s="9">
        <f t="shared" si="4"/>
        <v>8</v>
      </c>
      <c r="K7" s="9">
        <f t="shared" si="4"/>
        <v>13</v>
      </c>
      <c r="L7" s="9">
        <f t="shared" si="4"/>
        <v>20</v>
      </c>
      <c r="M7" s="9">
        <f t="shared" si="4"/>
        <v>32</v>
      </c>
      <c r="N7" s="9">
        <f t="shared" si="4"/>
        <v>52</v>
      </c>
      <c r="O7" s="9">
        <f t="shared" si="4"/>
        <v>83</v>
      </c>
      <c r="P7" s="9">
        <f t="shared" si="4"/>
        <v>133</v>
      </c>
      <c r="Q7" s="9">
        <f t="shared" si="4"/>
        <v>200</v>
      </c>
      <c r="R7" s="9">
        <f t="shared" si="4"/>
        <v>200</v>
      </c>
      <c r="S7" s="9">
        <f t="shared" si="4"/>
        <v>200</v>
      </c>
      <c r="T7" s="9">
        <f t="shared" si="4"/>
        <v>200</v>
      </c>
      <c r="U7" s="9">
        <f t="shared" si="4"/>
        <v>200</v>
      </c>
      <c r="V7" s="9">
        <f t="shared" si="4"/>
        <v>200</v>
      </c>
      <c r="W7" s="9">
        <f t="shared" si="4"/>
        <v>200</v>
      </c>
      <c r="X7" s="9">
        <f t="shared" si="4"/>
        <v>200</v>
      </c>
      <c r="Y7" s="9">
        <f t="shared" si="4"/>
        <v>200</v>
      </c>
      <c r="Z7" s="9">
        <f t="shared" si="4"/>
        <v>200</v>
      </c>
      <c r="AA7" s="9">
        <f t="shared" si="4"/>
        <v>200</v>
      </c>
      <c r="AB7" s="10"/>
      <c r="AC7" s="10"/>
      <c r="AD7" s="10"/>
    </row>
    <row r="8">
      <c r="A8" s="3">
        <f t="shared" si="1"/>
        <v>21</v>
      </c>
      <c r="B8" s="1">
        <v>7.0</v>
      </c>
      <c r="C8" s="6">
        <f t="shared" ref="C8:C21" si="6">MIN(100,C7+C6)</f>
        <v>21</v>
      </c>
      <c r="D8" s="1"/>
      <c r="E8" s="1" t="s">
        <v>11</v>
      </c>
      <c r="F8" s="9">
        <f t="shared" ref="F8:AA8" si="5">F130</f>
        <v>3</v>
      </c>
      <c r="G8" s="9">
        <f t="shared" si="5"/>
        <v>5</v>
      </c>
      <c r="H8" s="9">
        <f t="shared" si="5"/>
        <v>8</v>
      </c>
      <c r="I8" s="9">
        <f t="shared" si="5"/>
        <v>13</v>
      </c>
      <c r="J8" s="9">
        <f t="shared" si="5"/>
        <v>21</v>
      </c>
      <c r="K8" s="9">
        <f t="shared" si="5"/>
        <v>34</v>
      </c>
      <c r="L8" s="9">
        <f t="shared" si="5"/>
        <v>56</v>
      </c>
      <c r="M8" s="9">
        <f t="shared" si="5"/>
        <v>90</v>
      </c>
      <c r="N8" s="9">
        <f t="shared" si="5"/>
        <v>135</v>
      </c>
      <c r="O8" s="9">
        <f t="shared" si="5"/>
        <v>180</v>
      </c>
      <c r="P8" s="9">
        <f t="shared" si="5"/>
        <v>246</v>
      </c>
      <c r="Q8" s="9">
        <f t="shared" si="5"/>
        <v>326</v>
      </c>
      <c r="R8" s="9">
        <f t="shared" si="5"/>
        <v>468</v>
      </c>
      <c r="S8" s="9">
        <f t="shared" si="5"/>
        <v>661</v>
      </c>
      <c r="T8" s="9">
        <f t="shared" si="5"/>
        <v>903</v>
      </c>
      <c r="U8" s="9">
        <f t="shared" si="5"/>
        <v>1176</v>
      </c>
      <c r="V8" s="9">
        <f t="shared" si="5"/>
        <v>1500</v>
      </c>
      <c r="W8" s="9">
        <f t="shared" si="5"/>
        <v>1850</v>
      </c>
      <c r="X8" s="9">
        <f t="shared" si="5"/>
        <v>2195</v>
      </c>
      <c r="Y8" s="9">
        <f t="shared" si="5"/>
        <v>2467</v>
      </c>
      <c r="Z8" s="9">
        <f t="shared" si="5"/>
        <v>2500</v>
      </c>
      <c r="AA8" s="9">
        <f t="shared" si="5"/>
        <v>2500</v>
      </c>
      <c r="AB8" s="1"/>
      <c r="AC8" s="1"/>
      <c r="AD8" s="1"/>
    </row>
    <row r="9">
      <c r="A9" s="3">
        <f t="shared" si="1"/>
        <v>34</v>
      </c>
      <c r="B9" s="1">
        <v>8.0</v>
      </c>
      <c r="C9" s="6">
        <f t="shared" si="6"/>
        <v>34</v>
      </c>
      <c r="D9" s="1"/>
      <c r="E9" s="11" t="s">
        <v>12</v>
      </c>
      <c r="F9" s="12">
        <v>0.0</v>
      </c>
      <c r="G9" s="12">
        <v>0.0</v>
      </c>
      <c r="H9" s="12">
        <v>0.0</v>
      </c>
      <c r="I9" s="12">
        <v>1.0</v>
      </c>
      <c r="J9" s="12">
        <v>0.0</v>
      </c>
      <c r="K9" s="12">
        <v>2.0</v>
      </c>
      <c r="L9" s="12">
        <v>3.0</v>
      </c>
      <c r="M9" s="12">
        <v>5.0</v>
      </c>
      <c r="N9" s="12">
        <v>8.0</v>
      </c>
      <c r="O9" s="12">
        <v>13.0</v>
      </c>
      <c r="P9" s="12">
        <v>17.0</v>
      </c>
      <c r="Q9" s="12">
        <v>0.0</v>
      </c>
      <c r="R9" s="12">
        <v>0.0</v>
      </c>
      <c r="S9" s="12">
        <v>0.0</v>
      </c>
      <c r="T9" s="12">
        <v>0.0</v>
      </c>
      <c r="U9" s="12">
        <v>0.0</v>
      </c>
      <c r="V9" s="12">
        <v>0.0</v>
      </c>
      <c r="W9" s="12">
        <v>0.0</v>
      </c>
      <c r="X9" s="12">
        <v>0.0</v>
      </c>
      <c r="Y9" s="12">
        <v>0.0</v>
      </c>
      <c r="Z9" s="12">
        <v>0.0</v>
      </c>
      <c r="AA9" s="13">
        <v>0.0</v>
      </c>
      <c r="AB9" s="1"/>
      <c r="AC9" s="1"/>
      <c r="AD9" s="1"/>
    </row>
    <row r="10">
      <c r="A10" s="3">
        <f t="shared" si="1"/>
        <v>55</v>
      </c>
      <c r="B10" s="1">
        <v>9.0</v>
      </c>
      <c r="C10" s="6">
        <f t="shared" si="6"/>
        <v>55</v>
      </c>
      <c r="D10" s="1"/>
      <c r="E10" s="1" t="s">
        <v>13</v>
      </c>
      <c r="F10" s="14">
        <v>1.0</v>
      </c>
      <c r="G10" s="14">
        <v>1.0</v>
      </c>
      <c r="H10" s="14">
        <f t="shared" ref="H10:AA10" si="7">G10+H9</f>
        <v>1</v>
      </c>
      <c r="I10" s="14">
        <f t="shared" si="7"/>
        <v>2</v>
      </c>
      <c r="J10" s="14">
        <f t="shared" si="7"/>
        <v>2</v>
      </c>
      <c r="K10" s="14">
        <f t="shared" si="7"/>
        <v>4</v>
      </c>
      <c r="L10" s="14">
        <f t="shared" si="7"/>
        <v>7</v>
      </c>
      <c r="M10" s="14">
        <f t="shared" si="7"/>
        <v>12</v>
      </c>
      <c r="N10" s="14">
        <f t="shared" si="7"/>
        <v>20</v>
      </c>
      <c r="O10" s="14">
        <f t="shared" si="7"/>
        <v>33</v>
      </c>
      <c r="P10" s="14">
        <f t="shared" si="7"/>
        <v>50</v>
      </c>
      <c r="Q10" s="14">
        <f t="shared" si="7"/>
        <v>50</v>
      </c>
      <c r="R10" s="14">
        <f t="shared" si="7"/>
        <v>50</v>
      </c>
      <c r="S10" s="14">
        <f t="shared" si="7"/>
        <v>50</v>
      </c>
      <c r="T10" s="14">
        <f t="shared" si="7"/>
        <v>50</v>
      </c>
      <c r="U10" s="14">
        <f t="shared" si="7"/>
        <v>50</v>
      </c>
      <c r="V10" s="14">
        <f t="shared" si="7"/>
        <v>50</v>
      </c>
      <c r="W10" s="14">
        <f t="shared" si="7"/>
        <v>50</v>
      </c>
      <c r="X10" s="14">
        <f t="shared" si="7"/>
        <v>50</v>
      </c>
      <c r="Y10" s="14">
        <f t="shared" si="7"/>
        <v>50</v>
      </c>
      <c r="Z10" s="14">
        <f t="shared" si="7"/>
        <v>50</v>
      </c>
      <c r="AA10" s="14">
        <f t="shared" si="7"/>
        <v>50</v>
      </c>
      <c r="AB10" s="1"/>
      <c r="AC10" s="1"/>
      <c r="AD10" s="1"/>
    </row>
    <row r="11">
      <c r="A11" s="3">
        <f t="shared" si="1"/>
        <v>89</v>
      </c>
      <c r="B11" s="1">
        <v>10.0</v>
      </c>
      <c r="C11" s="6">
        <f t="shared" si="6"/>
        <v>89</v>
      </c>
      <c r="D11" s="1"/>
      <c r="E11" s="1" t="s">
        <v>14</v>
      </c>
      <c r="F11" s="14">
        <f t="shared" ref="F11:AA11" si="8">F184</f>
        <v>1</v>
      </c>
      <c r="G11" s="14">
        <f t="shared" si="8"/>
        <v>1</v>
      </c>
      <c r="H11" s="14">
        <f t="shared" si="8"/>
        <v>1</v>
      </c>
      <c r="I11" s="14">
        <f t="shared" si="8"/>
        <v>3</v>
      </c>
      <c r="J11" s="14">
        <f t="shared" si="8"/>
        <v>3</v>
      </c>
      <c r="K11" s="14">
        <f t="shared" si="8"/>
        <v>6</v>
      </c>
      <c r="L11" s="14">
        <f t="shared" si="8"/>
        <v>11</v>
      </c>
      <c r="M11" s="14">
        <f t="shared" si="8"/>
        <v>18</v>
      </c>
      <c r="N11" s="14">
        <f t="shared" si="8"/>
        <v>30</v>
      </c>
      <c r="O11" s="14">
        <f t="shared" si="8"/>
        <v>44</v>
      </c>
      <c r="P11" s="14">
        <f t="shared" si="8"/>
        <v>63</v>
      </c>
      <c r="Q11" s="14">
        <f t="shared" si="8"/>
        <v>68</v>
      </c>
      <c r="R11" s="14">
        <f t="shared" si="8"/>
        <v>76</v>
      </c>
      <c r="S11" s="14">
        <f t="shared" si="8"/>
        <v>89</v>
      </c>
      <c r="T11" s="14">
        <f t="shared" si="8"/>
        <v>110</v>
      </c>
      <c r="U11" s="14">
        <f t="shared" si="8"/>
        <v>143</v>
      </c>
      <c r="V11" s="14">
        <f t="shared" si="8"/>
        <v>170</v>
      </c>
      <c r="W11" s="14">
        <f t="shared" si="8"/>
        <v>196</v>
      </c>
      <c r="X11" s="14">
        <f t="shared" si="8"/>
        <v>226</v>
      </c>
      <c r="Y11" s="14">
        <f t="shared" si="8"/>
        <v>247</v>
      </c>
      <c r="Z11" s="14">
        <f t="shared" si="8"/>
        <v>250</v>
      </c>
      <c r="AA11" s="14">
        <f t="shared" si="8"/>
        <v>250</v>
      </c>
      <c r="AB11" s="1"/>
      <c r="AC11" s="1"/>
      <c r="AD11" s="1"/>
    </row>
    <row r="12">
      <c r="A12" s="3">
        <f t="shared" si="1"/>
        <v>100</v>
      </c>
      <c r="B12" s="1">
        <v>11.0</v>
      </c>
      <c r="C12" s="6">
        <f t="shared" si="6"/>
        <v>100</v>
      </c>
      <c r="D12" s="1"/>
      <c r="E12" s="1" t="s">
        <v>15</v>
      </c>
      <c r="F12" s="1"/>
      <c r="G12" s="15">
        <f t="shared" ref="G12:AA12" si="9">G8/F8-1</f>
        <v>0.6666666667</v>
      </c>
      <c r="H12" s="15">
        <f t="shared" si="9"/>
        <v>0.6</v>
      </c>
      <c r="I12" s="15">
        <f t="shared" si="9"/>
        <v>0.625</v>
      </c>
      <c r="J12" s="15">
        <f t="shared" si="9"/>
        <v>0.6153846154</v>
      </c>
      <c r="K12" s="15">
        <f t="shared" si="9"/>
        <v>0.619047619</v>
      </c>
      <c r="L12" s="15">
        <f t="shared" si="9"/>
        <v>0.6470588235</v>
      </c>
      <c r="M12" s="15">
        <f t="shared" si="9"/>
        <v>0.6071428571</v>
      </c>
      <c r="N12" s="15">
        <f t="shared" si="9"/>
        <v>0.5</v>
      </c>
      <c r="O12" s="15">
        <f t="shared" si="9"/>
        <v>0.3333333333</v>
      </c>
      <c r="P12" s="15">
        <f t="shared" si="9"/>
        <v>0.3666666667</v>
      </c>
      <c r="Q12" s="15">
        <f t="shared" si="9"/>
        <v>0.325203252</v>
      </c>
      <c r="R12" s="15">
        <f t="shared" si="9"/>
        <v>0.4355828221</v>
      </c>
      <c r="S12" s="15">
        <f t="shared" si="9"/>
        <v>0.4123931624</v>
      </c>
      <c r="T12" s="15">
        <f t="shared" si="9"/>
        <v>0.3661119516</v>
      </c>
      <c r="U12" s="15">
        <f t="shared" si="9"/>
        <v>0.3023255814</v>
      </c>
      <c r="V12" s="15">
        <f t="shared" si="9"/>
        <v>0.2755102041</v>
      </c>
      <c r="W12" s="15">
        <f t="shared" si="9"/>
        <v>0.2333333333</v>
      </c>
      <c r="X12" s="15">
        <f t="shared" si="9"/>
        <v>0.1864864865</v>
      </c>
      <c r="Y12" s="15">
        <f t="shared" si="9"/>
        <v>0.1239179954</v>
      </c>
      <c r="Z12" s="15">
        <f t="shared" si="9"/>
        <v>0.01337657073</v>
      </c>
      <c r="AA12" s="15">
        <f t="shared" si="9"/>
        <v>0</v>
      </c>
      <c r="AB12" s="1"/>
      <c r="AC12" s="1"/>
      <c r="AD12" s="1"/>
    </row>
    <row r="13">
      <c r="A13" s="3">
        <f t="shared" si="1"/>
        <v>100</v>
      </c>
      <c r="B13" s="1">
        <v>12.0</v>
      </c>
      <c r="C13" s="6">
        <f t="shared" si="6"/>
        <v>100</v>
      </c>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c r="A14" s="3">
        <f t="shared" si="1"/>
        <v>100</v>
      </c>
      <c r="B14" s="1">
        <v>13.0</v>
      </c>
      <c r="C14" s="6">
        <f t="shared" si="6"/>
        <v>100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row>
    <row r="15">
      <c r="A15" s="3">
        <f t="shared" si="1"/>
        <v>100</v>
      </c>
      <c r="B15" s="1">
        <v>14.0</v>
      </c>
      <c r="C15" s="6">
        <f t="shared" si="6"/>
        <v>100</v>
      </c>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c r="A16" s="3">
        <f t="shared" si="1"/>
        <v>100</v>
      </c>
      <c r="B16" s="1">
        <v>15.0</v>
      </c>
      <c r="C16" s="6">
        <f t="shared" si="6"/>
        <v>100</v>
      </c>
      <c r="D16" s="1"/>
      <c r="E16" s="1"/>
      <c r="F16" s="1"/>
      <c r="G16" s="1"/>
      <c r="H16" s="1"/>
      <c r="I16" s="1"/>
      <c r="J16" s="1"/>
      <c r="K16" s="1"/>
      <c r="L16" s="1"/>
      <c r="M16" s="1"/>
      <c r="N16" s="1"/>
      <c r="O16" s="1"/>
      <c r="P16" s="1"/>
      <c r="Q16" s="1"/>
      <c r="R16" s="1"/>
      <c r="S16" s="1"/>
      <c r="T16" s="1"/>
      <c r="U16" s="1"/>
      <c r="V16" s="1"/>
      <c r="W16" s="1"/>
      <c r="X16" s="1"/>
      <c r="Y16" s="1"/>
      <c r="Z16" s="1"/>
      <c r="AA16" s="1"/>
      <c r="AB16" s="1"/>
      <c r="AC16" s="1"/>
      <c r="AD16" s="1"/>
    </row>
    <row r="17">
      <c r="A17" s="3">
        <f t="shared" si="1"/>
        <v>100</v>
      </c>
      <c r="B17" s="1">
        <v>16.0</v>
      </c>
      <c r="C17" s="6">
        <f t="shared" si="6"/>
        <v>100</v>
      </c>
      <c r="D17" s="1"/>
      <c r="E17" s="1"/>
      <c r="F17" s="1"/>
      <c r="G17" s="1"/>
      <c r="H17" s="1"/>
      <c r="I17" s="1"/>
      <c r="J17" s="1"/>
      <c r="K17" s="1"/>
      <c r="L17" s="1"/>
      <c r="M17" s="1"/>
      <c r="N17" s="1"/>
      <c r="O17" s="1"/>
      <c r="P17" s="1"/>
      <c r="Q17" s="1"/>
      <c r="R17" s="1"/>
      <c r="S17" s="1"/>
      <c r="T17" s="1"/>
      <c r="U17" s="1"/>
      <c r="V17" s="1"/>
      <c r="W17" s="1"/>
      <c r="X17" s="1"/>
      <c r="Y17" s="1"/>
      <c r="Z17" s="1"/>
      <c r="AA17" s="1"/>
      <c r="AB17" s="1"/>
      <c r="AC17" s="1"/>
      <c r="AD17" s="1"/>
    </row>
    <row r="18">
      <c r="A18" s="3">
        <f t="shared" si="1"/>
        <v>100</v>
      </c>
      <c r="B18" s="1">
        <v>17.0</v>
      </c>
      <c r="C18" s="6">
        <f t="shared" si="6"/>
        <v>100</v>
      </c>
      <c r="D18" s="1"/>
      <c r="E18" s="1"/>
      <c r="F18" s="1"/>
      <c r="G18" s="1"/>
      <c r="H18" s="1"/>
      <c r="I18" s="1"/>
      <c r="J18" s="1"/>
      <c r="K18" s="1"/>
      <c r="L18" s="1"/>
      <c r="M18" s="1"/>
      <c r="N18" s="1"/>
      <c r="O18" s="1"/>
      <c r="P18" s="1"/>
      <c r="Q18" s="1"/>
      <c r="R18" s="1"/>
      <c r="S18" s="1"/>
      <c r="T18" s="1"/>
      <c r="U18" s="1"/>
      <c r="V18" s="1"/>
      <c r="W18" s="1"/>
      <c r="X18" s="1"/>
      <c r="Y18" s="1"/>
      <c r="Z18" s="1"/>
      <c r="AA18" s="1"/>
      <c r="AB18" s="1"/>
      <c r="AC18" s="1"/>
      <c r="AD18" s="1"/>
    </row>
    <row r="19">
      <c r="A19" s="3">
        <f t="shared" si="1"/>
        <v>100</v>
      </c>
      <c r="B19" s="1">
        <v>18.0</v>
      </c>
      <c r="C19" s="6">
        <f t="shared" si="6"/>
        <v>100</v>
      </c>
      <c r="D19" s="1"/>
      <c r="E19" s="1"/>
      <c r="F19" s="1"/>
      <c r="G19" s="1"/>
      <c r="H19" s="1"/>
      <c r="I19" s="1"/>
      <c r="J19" s="1"/>
      <c r="K19" s="1"/>
      <c r="L19" s="1"/>
      <c r="M19" s="1"/>
      <c r="N19" s="1"/>
      <c r="O19" s="1"/>
      <c r="P19" s="1"/>
      <c r="Q19" s="1"/>
      <c r="R19" s="1"/>
      <c r="S19" s="1"/>
      <c r="T19" s="1"/>
      <c r="U19" s="1"/>
      <c r="V19" s="1"/>
      <c r="W19" s="1"/>
      <c r="X19" s="1"/>
      <c r="Y19" s="1"/>
      <c r="Z19" s="1"/>
      <c r="AA19" s="1"/>
      <c r="AB19" s="1"/>
      <c r="AC19" s="1"/>
      <c r="AD19" s="1"/>
    </row>
    <row r="20">
      <c r="A20" s="3">
        <f t="shared" si="1"/>
        <v>100</v>
      </c>
      <c r="B20" s="1">
        <v>19.0</v>
      </c>
      <c r="C20" s="6">
        <f t="shared" si="6"/>
        <v>100</v>
      </c>
      <c r="D20" s="1"/>
      <c r="E20" s="1"/>
      <c r="F20" s="1"/>
      <c r="G20" s="1"/>
      <c r="H20" s="1"/>
      <c r="I20" s="1"/>
      <c r="J20" s="1"/>
      <c r="K20" s="1"/>
      <c r="L20" s="1"/>
      <c r="M20" s="1"/>
      <c r="N20" s="1"/>
      <c r="O20" s="1"/>
      <c r="P20" s="1"/>
      <c r="Q20" s="1"/>
      <c r="R20" s="1"/>
      <c r="S20" s="1"/>
      <c r="T20" s="1"/>
      <c r="U20" s="1"/>
      <c r="V20" s="1"/>
      <c r="W20" s="1"/>
      <c r="X20" s="1"/>
      <c r="Y20" s="1"/>
      <c r="Z20" s="1"/>
      <c r="AA20" s="1"/>
      <c r="AB20" s="1"/>
      <c r="AC20" s="1"/>
      <c r="AD20" s="1"/>
    </row>
    <row r="21" ht="15.75" customHeight="1">
      <c r="A21" s="3">
        <f t="shared" si="1"/>
        <v>100</v>
      </c>
      <c r="B21" s="1">
        <v>20.0</v>
      </c>
      <c r="C21" s="6">
        <f t="shared" si="6"/>
        <v>100</v>
      </c>
      <c r="D21" s="1"/>
      <c r="E21" s="1"/>
      <c r="F21" s="1"/>
      <c r="G21" s="1"/>
      <c r="H21" s="1"/>
      <c r="I21" s="1"/>
      <c r="J21" s="1"/>
      <c r="K21" s="1"/>
      <c r="L21" s="1"/>
      <c r="M21" s="1"/>
      <c r="N21" s="1"/>
      <c r="O21" s="1"/>
      <c r="P21" s="1"/>
      <c r="Q21" s="1"/>
      <c r="R21" s="1"/>
      <c r="S21" s="1"/>
      <c r="T21" s="1"/>
      <c r="U21" s="1"/>
      <c r="V21" s="1"/>
      <c r="W21" s="1"/>
      <c r="X21" s="1"/>
      <c r="Y21" s="1"/>
      <c r="Z21" s="1"/>
      <c r="AA21" s="1"/>
      <c r="AB21" s="1"/>
      <c r="AC21" s="1"/>
      <c r="AD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row>
    <row r="26" ht="15.75" customHeight="1">
      <c r="A26" s="1"/>
      <c r="B26" s="1"/>
      <c r="C26" s="1"/>
      <c r="D26" s="1"/>
      <c r="E26" s="2" t="s">
        <v>0</v>
      </c>
      <c r="F26" s="8" t="s">
        <v>4</v>
      </c>
      <c r="G26" s="8" t="s">
        <v>5</v>
      </c>
      <c r="H26" s="8" t="s">
        <v>6</v>
      </c>
      <c r="I26" s="8" t="s">
        <v>7</v>
      </c>
      <c r="J26" s="8" t="s">
        <v>8</v>
      </c>
      <c r="K26" s="8" t="str">
        <f t="shared" ref="K26:AA26" si="10">RIGHT(J26,4)&amp;"-"&amp;RIGHT(J26,4)+1</f>
        <v>2015-2016</v>
      </c>
      <c r="L26" s="8" t="str">
        <f t="shared" si="10"/>
        <v>2016-2017</v>
      </c>
      <c r="M26" s="8" t="str">
        <f t="shared" si="10"/>
        <v>2017-2018</v>
      </c>
      <c r="N26" s="8" t="str">
        <f t="shared" si="10"/>
        <v>2018-2019</v>
      </c>
      <c r="O26" s="8" t="str">
        <f t="shared" si="10"/>
        <v>2019-2020</v>
      </c>
      <c r="P26" s="8" t="str">
        <f t="shared" si="10"/>
        <v>2020-2021</v>
      </c>
      <c r="Q26" s="8" t="str">
        <f t="shared" si="10"/>
        <v>2021-2022</v>
      </c>
      <c r="R26" s="8" t="str">
        <f t="shared" si="10"/>
        <v>2022-2023</v>
      </c>
      <c r="S26" s="8" t="str">
        <f t="shared" si="10"/>
        <v>2023-2024</v>
      </c>
      <c r="T26" s="8" t="str">
        <f t="shared" si="10"/>
        <v>2024-2025</v>
      </c>
      <c r="U26" s="8" t="str">
        <f t="shared" si="10"/>
        <v>2025-2026</v>
      </c>
      <c r="V26" s="8" t="str">
        <f t="shared" si="10"/>
        <v>2026-2027</v>
      </c>
      <c r="W26" s="8" t="str">
        <f t="shared" si="10"/>
        <v>2027-2028</v>
      </c>
      <c r="X26" s="8" t="str">
        <f t="shared" si="10"/>
        <v>2028-2029</v>
      </c>
      <c r="Y26" s="8" t="str">
        <f t="shared" si="10"/>
        <v>2029-2030</v>
      </c>
      <c r="Z26" s="8" t="str">
        <f t="shared" si="10"/>
        <v>2030-2031</v>
      </c>
      <c r="AA26" s="8" t="str">
        <f t="shared" si="10"/>
        <v>2031-2032</v>
      </c>
      <c r="AB26" s="1"/>
      <c r="AC26" s="1"/>
      <c r="AD26" s="1"/>
    </row>
    <row r="27" ht="15.75" customHeight="1">
      <c r="A27" s="1"/>
      <c r="B27" s="1"/>
      <c r="C27" s="1"/>
      <c r="D27" s="1"/>
      <c r="E27" s="1">
        <v>1.0</v>
      </c>
      <c r="F27" s="1">
        <v>4.0</v>
      </c>
      <c r="G27" s="1">
        <f t="shared" ref="G27:AA27" si="11">MIN(F27+1,20)</f>
        <v>5</v>
      </c>
      <c r="H27" s="1">
        <f t="shared" si="11"/>
        <v>6</v>
      </c>
      <c r="I27" s="1">
        <f t="shared" si="11"/>
        <v>7</v>
      </c>
      <c r="J27" s="1">
        <f t="shared" si="11"/>
        <v>8</v>
      </c>
      <c r="K27" s="1">
        <f t="shared" si="11"/>
        <v>9</v>
      </c>
      <c r="L27" s="1">
        <f t="shared" si="11"/>
        <v>10</v>
      </c>
      <c r="M27" s="1">
        <f t="shared" si="11"/>
        <v>11</v>
      </c>
      <c r="N27" s="1">
        <f t="shared" si="11"/>
        <v>12</v>
      </c>
      <c r="O27" s="1">
        <f t="shared" si="11"/>
        <v>13</v>
      </c>
      <c r="P27" s="1">
        <f t="shared" si="11"/>
        <v>14</v>
      </c>
      <c r="Q27" s="1">
        <f t="shared" si="11"/>
        <v>15</v>
      </c>
      <c r="R27" s="1">
        <f t="shared" si="11"/>
        <v>16</v>
      </c>
      <c r="S27" s="1">
        <f t="shared" si="11"/>
        <v>17</v>
      </c>
      <c r="T27" s="1">
        <f t="shared" si="11"/>
        <v>18</v>
      </c>
      <c r="U27" s="1">
        <f t="shared" si="11"/>
        <v>19</v>
      </c>
      <c r="V27" s="1">
        <f t="shared" si="11"/>
        <v>20</v>
      </c>
      <c r="W27" s="1">
        <f t="shared" si="11"/>
        <v>20</v>
      </c>
      <c r="X27" s="1">
        <f t="shared" si="11"/>
        <v>20</v>
      </c>
      <c r="Y27" s="1">
        <f t="shared" si="11"/>
        <v>20</v>
      </c>
      <c r="Z27" s="1">
        <f t="shared" si="11"/>
        <v>20</v>
      </c>
      <c r="AA27" s="1">
        <f t="shared" si="11"/>
        <v>20</v>
      </c>
      <c r="AB27" s="1"/>
      <c r="AC27" s="1"/>
      <c r="AD27" s="1"/>
    </row>
    <row r="28" ht="15.75" customHeight="1">
      <c r="A28" s="1"/>
      <c r="B28" s="1"/>
      <c r="C28" s="1"/>
      <c r="D28" s="1"/>
      <c r="E28" s="1">
        <v>2.0</v>
      </c>
      <c r="F28" s="1" t="str">
        <f t="shared" ref="F28:AA28" si="12">IF(F$10&lt;$E28,"",IF(E28="",IF($E28&gt;F$10,"",1),1+E28))</f>
        <v/>
      </c>
      <c r="G28" s="1" t="str">
        <f t="shared" si="12"/>
        <v/>
      </c>
      <c r="H28" s="1" t="str">
        <f t="shared" si="12"/>
        <v/>
      </c>
      <c r="I28" s="1">
        <f t="shared" si="12"/>
        <v>1</v>
      </c>
      <c r="J28" s="1">
        <f t="shared" si="12"/>
        <v>2</v>
      </c>
      <c r="K28" s="1">
        <f t="shared" si="12"/>
        <v>3</v>
      </c>
      <c r="L28" s="1">
        <f t="shared" si="12"/>
        <v>4</v>
      </c>
      <c r="M28" s="1">
        <f t="shared" si="12"/>
        <v>5</v>
      </c>
      <c r="N28" s="1">
        <f t="shared" si="12"/>
        <v>6</v>
      </c>
      <c r="O28" s="1">
        <f t="shared" si="12"/>
        <v>7</v>
      </c>
      <c r="P28" s="1">
        <f t="shared" si="12"/>
        <v>8</v>
      </c>
      <c r="Q28" s="1">
        <f t="shared" si="12"/>
        <v>9</v>
      </c>
      <c r="R28" s="1">
        <f t="shared" si="12"/>
        <v>10</v>
      </c>
      <c r="S28" s="1">
        <f t="shared" si="12"/>
        <v>11</v>
      </c>
      <c r="T28" s="1">
        <f t="shared" si="12"/>
        <v>12</v>
      </c>
      <c r="U28" s="1">
        <f t="shared" si="12"/>
        <v>13</v>
      </c>
      <c r="V28" s="1">
        <f t="shared" si="12"/>
        <v>14</v>
      </c>
      <c r="W28" s="1">
        <f t="shared" si="12"/>
        <v>15</v>
      </c>
      <c r="X28" s="1">
        <f t="shared" si="12"/>
        <v>16</v>
      </c>
      <c r="Y28" s="1">
        <f t="shared" si="12"/>
        <v>17</v>
      </c>
      <c r="Z28" s="1">
        <f t="shared" si="12"/>
        <v>18</v>
      </c>
      <c r="AA28" s="1">
        <f t="shared" si="12"/>
        <v>19</v>
      </c>
      <c r="AB28" s="1"/>
      <c r="AC28" s="1"/>
      <c r="AD28" s="1"/>
    </row>
    <row r="29" ht="15.75" customHeight="1">
      <c r="A29" s="1"/>
      <c r="B29" s="1"/>
      <c r="C29" s="1"/>
      <c r="D29" s="1"/>
      <c r="E29" s="1">
        <v>3.0</v>
      </c>
      <c r="F29" s="1" t="str">
        <f t="shared" ref="F29:AA29" si="13">IF(F$10&lt;$E29,"",IF(E29="",IF($E29&gt;F$10,"",1),1+E29))</f>
        <v/>
      </c>
      <c r="G29" s="1" t="str">
        <f t="shared" si="13"/>
        <v/>
      </c>
      <c r="H29" s="1" t="str">
        <f t="shared" si="13"/>
        <v/>
      </c>
      <c r="I29" s="1" t="str">
        <f t="shared" si="13"/>
        <v/>
      </c>
      <c r="J29" s="1" t="str">
        <f t="shared" si="13"/>
        <v/>
      </c>
      <c r="K29" s="1">
        <f t="shared" si="13"/>
        <v>1</v>
      </c>
      <c r="L29" s="1">
        <f t="shared" si="13"/>
        <v>2</v>
      </c>
      <c r="M29" s="1">
        <f t="shared" si="13"/>
        <v>3</v>
      </c>
      <c r="N29" s="1">
        <f t="shared" si="13"/>
        <v>4</v>
      </c>
      <c r="O29" s="1">
        <f t="shared" si="13"/>
        <v>5</v>
      </c>
      <c r="P29" s="1">
        <f t="shared" si="13"/>
        <v>6</v>
      </c>
      <c r="Q29" s="1">
        <f t="shared" si="13"/>
        <v>7</v>
      </c>
      <c r="R29" s="1">
        <f t="shared" si="13"/>
        <v>8</v>
      </c>
      <c r="S29" s="1">
        <f t="shared" si="13"/>
        <v>9</v>
      </c>
      <c r="T29" s="1">
        <f t="shared" si="13"/>
        <v>10</v>
      </c>
      <c r="U29" s="1">
        <f t="shared" si="13"/>
        <v>11</v>
      </c>
      <c r="V29" s="1">
        <f t="shared" si="13"/>
        <v>12</v>
      </c>
      <c r="W29" s="1">
        <f t="shared" si="13"/>
        <v>13</v>
      </c>
      <c r="X29" s="1">
        <f t="shared" si="13"/>
        <v>14</v>
      </c>
      <c r="Y29" s="1">
        <f t="shared" si="13"/>
        <v>15</v>
      </c>
      <c r="Z29" s="1">
        <f t="shared" si="13"/>
        <v>16</v>
      </c>
      <c r="AA29" s="1">
        <f t="shared" si="13"/>
        <v>17</v>
      </c>
      <c r="AB29" s="1"/>
      <c r="AC29" s="1"/>
      <c r="AD29" s="1"/>
    </row>
    <row r="30" ht="15.75" customHeight="1">
      <c r="A30" s="1"/>
      <c r="B30" s="1"/>
      <c r="C30" s="1"/>
      <c r="D30" s="1"/>
      <c r="E30" s="1">
        <v>4.0</v>
      </c>
      <c r="F30" s="1" t="str">
        <f t="shared" ref="F30:AA30" si="14">IF(F$10&lt;$E30,"",IF(E30="",IF($E30&gt;F$10,"",1),1+E30))</f>
        <v/>
      </c>
      <c r="G30" s="1" t="str">
        <f t="shared" si="14"/>
        <v/>
      </c>
      <c r="H30" s="1" t="str">
        <f t="shared" si="14"/>
        <v/>
      </c>
      <c r="I30" s="1" t="str">
        <f t="shared" si="14"/>
        <v/>
      </c>
      <c r="J30" s="1" t="str">
        <f t="shared" si="14"/>
        <v/>
      </c>
      <c r="K30" s="1">
        <f t="shared" si="14"/>
        <v>1</v>
      </c>
      <c r="L30" s="1">
        <f t="shared" si="14"/>
        <v>2</v>
      </c>
      <c r="M30" s="1">
        <f t="shared" si="14"/>
        <v>3</v>
      </c>
      <c r="N30" s="1">
        <f t="shared" si="14"/>
        <v>4</v>
      </c>
      <c r="O30" s="1">
        <f t="shared" si="14"/>
        <v>5</v>
      </c>
      <c r="P30" s="1">
        <f t="shared" si="14"/>
        <v>6</v>
      </c>
      <c r="Q30" s="1">
        <f t="shared" si="14"/>
        <v>7</v>
      </c>
      <c r="R30" s="1">
        <f t="shared" si="14"/>
        <v>8</v>
      </c>
      <c r="S30" s="1">
        <f t="shared" si="14"/>
        <v>9</v>
      </c>
      <c r="T30" s="1">
        <f t="shared" si="14"/>
        <v>10</v>
      </c>
      <c r="U30" s="1">
        <f t="shared" si="14"/>
        <v>11</v>
      </c>
      <c r="V30" s="1">
        <f t="shared" si="14"/>
        <v>12</v>
      </c>
      <c r="W30" s="1">
        <f t="shared" si="14"/>
        <v>13</v>
      </c>
      <c r="X30" s="1">
        <f t="shared" si="14"/>
        <v>14</v>
      </c>
      <c r="Y30" s="1">
        <f t="shared" si="14"/>
        <v>15</v>
      </c>
      <c r="Z30" s="1">
        <f t="shared" si="14"/>
        <v>16</v>
      </c>
      <c r="AA30" s="1">
        <f t="shared" si="14"/>
        <v>17</v>
      </c>
      <c r="AB30" s="1"/>
      <c r="AC30" s="1"/>
      <c r="AD30" s="1"/>
    </row>
    <row r="31" ht="15.75" customHeight="1">
      <c r="A31" s="1"/>
      <c r="B31" s="1"/>
      <c r="C31" s="1"/>
      <c r="D31" s="1"/>
      <c r="E31" s="1">
        <v>5.0</v>
      </c>
      <c r="F31" s="1" t="str">
        <f t="shared" ref="F31:AA31" si="15">IF(F$10&lt;$E31,"",IF(E31="",IF($E31&gt;F$10,"",1),1+E31))</f>
        <v/>
      </c>
      <c r="G31" s="1" t="str">
        <f t="shared" si="15"/>
        <v/>
      </c>
      <c r="H31" s="1" t="str">
        <f t="shared" si="15"/>
        <v/>
      </c>
      <c r="I31" s="1" t="str">
        <f t="shared" si="15"/>
        <v/>
      </c>
      <c r="J31" s="1" t="str">
        <f t="shared" si="15"/>
        <v/>
      </c>
      <c r="K31" s="1" t="str">
        <f t="shared" si="15"/>
        <v/>
      </c>
      <c r="L31" s="1">
        <f t="shared" si="15"/>
        <v>1</v>
      </c>
      <c r="M31" s="1">
        <f t="shared" si="15"/>
        <v>2</v>
      </c>
      <c r="N31" s="1">
        <f t="shared" si="15"/>
        <v>3</v>
      </c>
      <c r="O31" s="1">
        <f t="shared" si="15"/>
        <v>4</v>
      </c>
      <c r="P31" s="1">
        <f t="shared" si="15"/>
        <v>5</v>
      </c>
      <c r="Q31" s="1">
        <f t="shared" si="15"/>
        <v>6</v>
      </c>
      <c r="R31" s="1">
        <f t="shared" si="15"/>
        <v>7</v>
      </c>
      <c r="S31" s="1">
        <f t="shared" si="15"/>
        <v>8</v>
      </c>
      <c r="T31" s="1">
        <f t="shared" si="15"/>
        <v>9</v>
      </c>
      <c r="U31" s="1">
        <f t="shared" si="15"/>
        <v>10</v>
      </c>
      <c r="V31" s="1">
        <f t="shared" si="15"/>
        <v>11</v>
      </c>
      <c r="W31" s="1">
        <f t="shared" si="15"/>
        <v>12</v>
      </c>
      <c r="X31" s="1">
        <f t="shared" si="15"/>
        <v>13</v>
      </c>
      <c r="Y31" s="1">
        <f t="shared" si="15"/>
        <v>14</v>
      </c>
      <c r="Z31" s="1">
        <f t="shared" si="15"/>
        <v>15</v>
      </c>
      <c r="AA31" s="1">
        <f t="shared" si="15"/>
        <v>16</v>
      </c>
      <c r="AB31" s="1"/>
      <c r="AC31" s="1"/>
      <c r="AD31" s="1"/>
    </row>
    <row r="32" ht="15.75" customHeight="1">
      <c r="A32" s="1"/>
      <c r="B32" s="1"/>
      <c r="C32" s="1"/>
      <c r="D32" s="1"/>
      <c r="E32" s="1">
        <v>6.0</v>
      </c>
      <c r="F32" s="1" t="str">
        <f t="shared" ref="F32:AA32" si="16">IF(F$10&lt;$E32,"",IF(E32="",IF($E32&gt;F$10,"",1),1+E32))</f>
        <v/>
      </c>
      <c r="G32" s="1" t="str">
        <f t="shared" si="16"/>
        <v/>
      </c>
      <c r="H32" s="1" t="str">
        <f t="shared" si="16"/>
        <v/>
      </c>
      <c r="I32" s="1" t="str">
        <f t="shared" si="16"/>
        <v/>
      </c>
      <c r="J32" s="1" t="str">
        <f t="shared" si="16"/>
        <v/>
      </c>
      <c r="K32" s="1" t="str">
        <f t="shared" si="16"/>
        <v/>
      </c>
      <c r="L32" s="1">
        <f t="shared" si="16"/>
        <v>1</v>
      </c>
      <c r="M32" s="1">
        <f t="shared" si="16"/>
        <v>2</v>
      </c>
      <c r="N32" s="1">
        <f t="shared" si="16"/>
        <v>3</v>
      </c>
      <c r="O32" s="1">
        <f t="shared" si="16"/>
        <v>4</v>
      </c>
      <c r="P32" s="1">
        <f t="shared" si="16"/>
        <v>5</v>
      </c>
      <c r="Q32" s="1">
        <f t="shared" si="16"/>
        <v>6</v>
      </c>
      <c r="R32" s="1">
        <f t="shared" si="16"/>
        <v>7</v>
      </c>
      <c r="S32" s="1">
        <f t="shared" si="16"/>
        <v>8</v>
      </c>
      <c r="T32" s="1">
        <f t="shared" si="16"/>
        <v>9</v>
      </c>
      <c r="U32" s="1">
        <f t="shared" si="16"/>
        <v>10</v>
      </c>
      <c r="V32" s="1">
        <f t="shared" si="16"/>
        <v>11</v>
      </c>
      <c r="W32" s="1">
        <f t="shared" si="16"/>
        <v>12</v>
      </c>
      <c r="X32" s="1">
        <f t="shared" si="16"/>
        <v>13</v>
      </c>
      <c r="Y32" s="1">
        <f t="shared" si="16"/>
        <v>14</v>
      </c>
      <c r="Z32" s="1">
        <f t="shared" si="16"/>
        <v>15</v>
      </c>
      <c r="AA32" s="1">
        <f t="shared" si="16"/>
        <v>16</v>
      </c>
      <c r="AB32" s="1"/>
      <c r="AC32" s="1"/>
      <c r="AD32" s="1"/>
    </row>
    <row r="33" ht="15.75" customHeight="1">
      <c r="A33" s="1"/>
      <c r="B33" s="1"/>
      <c r="C33" s="1"/>
      <c r="D33" s="1"/>
      <c r="E33" s="1">
        <v>7.0</v>
      </c>
      <c r="F33" s="1" t="str">
        <f t="shared" ref="F33:AA33" si="17">IF(F$10&lt;$E33,"",IF(E33="",IF($E33&gt;F$10,"",1),1+E33))</f>
        <v/>
      </c>
      <c r="G33" s="1" t="str">
        <f t="shared" si="17"/>
        <v/>
      </c>
      <c r="H33" s="1" t="str">
        <f t="shared" si="17"/>
        <v/>
      </c>
      <c r="I33" s="1" t="str">
        <f t="shared" si="17"/>
        <v/>
      </c>
      <c r="J33" s="1" t="str">
        <f t="shared" si="17"/>
        <v/>
      </c>
      <c r="K33" s="1" t="str">
        <f t="shared" si="17"/>
        <v/>
      </c>
      <c r="L33" s="1">
        <f t="shared" si="17"/>
        <v>1</v>
      </c>
      <c r="M33" s="1">
        <f t="shared" si="17"/>
        <v>2</v>
      </c>
      <c r="N33" s="1">
        <f t="shared" si="17"/>
        <v>3</v>
      </c>
      <c r="O33" s="1">
        <f t="shared" si="17"/>
        <v>4</v>
      </c>
      <c r="P33" s="1">
        <f t="shared" si="17"/>
        <v>5</v>
      </c>
      <c r="Q33" s="1">
        <f t="shared" si="17"/>
        <v>6</v>
      </c>
      <c r="R33" s="1">
        <f t="shared" si="17"/>
        <v>7</v>
      </c>
      <c r="S33" s="1">
        <f t="shared" si="17"/>
        <v>8</v>
      </c>
      <c r="T33" s="1">
        <f t="shared" si="17"/>
        <v>9</v>
      </c>
      <c r="U33" s="1">
        <f t="shared" si="17"/>
        <v>10</v>
      </c>
      <c r="V33" s="1">
        <f t="shared" si="17"/>
        <v>11</v>
      </c>
      <c r="W33" s="1">
        <f t="shared" si="17"/>
        <v>12</v>
      </c>
      <c r="X33" s="1">
        <f t="shared" si="17"/>
        <v>13</v>
      </c>
      <c r="Y33" s="1">
        <f t="shared" si="17"/>
        <v>14</v>
      </c>
      <c r="Z33" s="1">
        <f t="shared" si="17"/>
        <v>15</v>
      </c>
      <c r="AA33" s="1">
        <f t="shared" si="17"/>
        <v>16</v>
      </c>
      <c r="AB33" s="1"/>
      <c r="AC33" s="1"/>
      <c r="AD33" s="1"/>
    </row>
    <row r="34" ht="15.75" customHeight="1">
      <c r="A34" s="1"/>
      <c r="B34" s="1"/>
      <c r="C34" s="1"/>
      <c r="D34" s="1"/>
      <c r="E34" s="1">
        <v>8.0</v>
      </c>
      <c r="F34" s="1" t="str">
        <f t="shared" ref="F34:AA34" si="18">IF(F$10&lt;$E34,"",IF(E34="",IF($E34&gt;F$10,"",1),1+E34))</f>
        <v/>
      </c>
      <c r="G34" s="1" t="str">
        <f t="shared" si="18"/>
        <v/>
      </c>
      <c r="H34" s="1" t="str">
        <f t="shared" si="18"/>
        <v/>
      </c>
      <c r="I34" s="1" t="str">
        <f t="shared" si="18"/>
        <v/>
      </c>
      <c r="J34" s="1" t="str">
        <f t="shared" si="18"/>
        <v/>
      </c>
      <c r="K34" s="1" t="str">
        <f t="shared" si="18"/>
        <v/>
      </c>
      <c r="L34" s="1" t="str">
        <f t="shared" si="18"/>
        <v/>
      </c>
      <c r="M34" s="1">
        <f t="shared" si="18"/>
        <v>1</v>
      </c>
      <c r="N34" s="1">
        <f t="shared" si="18"/>
        <v>2</v>
      </c>
      <c r="O34" s="1">
        <f t="shared" si="18"/>
        <v>3</v>
      </c>
      <c r="P34" s="1">
        <f t="shared" si="18"/>
        <v>4</v>
      </c>
      <c r="Q34" s="1">
        <f t="shared" si="18"/>
        <v>5</v>
      </c>
      <c r="R34" s="1">
        <f t="shared" si="18"/>
        <v>6</v>
      </c>
      <c r="S34" s="1">
        <f t="shared" si="18"/>
        <v>7</v>
      </c>
      <c r="T34" s="1">
        <f t="shared" si="18"/>
        <v>8</v>
      </c>
      <c r="U34" s="1">
        <f t="shared" si="18"/>
        <v>9</v>
      </c>
      <c r="V34" s="1">
        <f t="shared" si="18"/>
        <v>10</v>
      </c>
      <c r="W34" s="1">
        <f t="shared" si="18"/>
        <v>11</v>
      </c>
      <c r="X34" s="1">
        <f t="shared" si="18"/>
        <v>12</v>
      </c>
      <c r="Y34" s="1">
        <f t="shared" si="18"/>
        <v>13</v>
      </c>
      <c r="Z34" s="1">
        <f t="shared" si="18"/>
        <v>14</v>
      </c>
      <c r="AA34" s="1">
        <f t="shared" si="18"/>
        <v>15</v>
      </c>
      <c r="AB34" s="1"/>
      <c r="AC34" s="1"/>
      <c r="AD34" s="1"/>
    </row>
    <row r="35" ht="15.75" customHeight="1">
      <c r="A35" s="1"/>
      <c r="B35" s="1"/>
      <c r="C35" s="1"/>
      <c r="D35" s="1"/>
      <c r="E35" s="1">
        <v>9.0</v>
      </c>
      <c r="F35" s="1" t="str">
        <f t="shared" ref="F35:AA35" si="19">IF(F$10&lt;$E35,"",IF(E35="",IF($E35&gt;F$10,"",1),1+E35))</f>
        <v/>
      </c>
      <c r="G35" s="1" t="str">
        <f t="shared" si="19"/>
        <v/>
      </c>
      <c r="H35" s="1" t="str">
        <f t="shared" si="19"/>
        <v/>
      </c>
      <c r="I35" s="1" t="str">
        <f t="shared" si="19"/>
        <v/>
      </c>
      <c r="J35" s="1" t="str">
        <f t="shared" si="19"/>
        <v/>
      </c>
      <c r="K35" s="1" t="str">
        <f t="shared" si="19"/>
        <v/>
      </c>
      <c r="L35" s="1" t="str">
        <f t="shared" si="19"/>
        <v/>
      </c>
      <c r="M35" s="1">
        <f t="shared" si="19"/>
        <v>1</v>
      </c>
      <c r="N35" s="1">
        <f t="shared" si="19"/>
        <v>2</v>
      </c>
      <c r="O35" s="1">
        <f t="shared" si="19"/>
        <v>3</v>
      </c>
      <c r="P35" s="1">
        <f t="shared" si="19"/>
        <v>4</v>
      </c>
      <c r="Q35" s="1">
        <f t="shared" si="19"/>
        <v>5</v>
      </c>
      <c r="R35" s="1">
        <f t="shared" si="19"/>
        <v>6</v>
      </c>
      <c r="S35" s="1">
        <f t="shared" si="19"/>
        <v>7</v>
      </c>
      <c r="T35" s="1">
        <f t="shared" si="19"/>
        <v>8</v>
      </c>
      <c r="U35" s="1">
        <f t="shared" si="19"/>
        <v>9</v>
      </c>
      <c r="V35" s="1">
        <f t="shared" si="19"/>
        <v>10</v>
      </c>
      <c r="W35" s="1">
        <f t="shared" si="19"/>
        <v>11</v>
      </c>
      <c r="X35" s="1">
        <f t="shared" si="19"/>
        <v>12</v>
      </c>
      <c r="Y35" s="1">
        <f t="shared" si="19"/>
        <v>13</v>
      </c>
      <c r="Z35" s="1">
        <f t="shared" si="19"/>
        <v>14</v>
      </c>
      <c r="AA35" s="1">
        <f t="shared" si="19"/>
        <v>15</v>
      </c>
      <c r="AB35" s="1"/>
      <c r="AC35" s="1"/>
      <c r="AD35" s="1"/>
    </row>
    <row r="36" ht="15.75" customHeight="1">
      <c r="A36" s="1"/>
      <c r="B36" s="1"/>
      <c r="C36" s="1"/>
      <c r="D36" s="1"/>
      <c r="E36" s="1">
        <v>10.0</v>
      </c>
      <c r="F36" s="1" t="str">
        <f t="shared" ref="F36:AA36" si="20">IF(F$10&lt;$E36,"",IF(E36="",IF($E36&gt;F$10,"",1),1+E36))</f>
        <v/>
      </c>
      <c r="G36" s="1" t="str">
        <f t="shared" si="20"/>
        <v/>
      </c>
      <c r="H36" s="1" t="str">
        <f t="shared" si="20"/>
        <v/>
      </c>
      <c r="I36" s="1" t="str">
        <f t="shared" si="20"/>
        <v/>
      </c>
      <c r="J36" s="1" t="str">
        <f t="shared" si="20"/>
        <v/>
      </c>
      <c r="K36" s="1" t="str">
        <f t="shared" si="20"/>
        <v/>
      </c>
      <c r="L36" s="1" t="str">
        <f t="shared" si="20"/>
        <v/>
      </c>
      <c r="M36" s="1">
        <f t="shared" si="20"/>
        <v>1</v>
      </c>
      <c r="N36" s="1">
        <f t="shared" si="20"/>
        <v>2</v>
      </c>
      <c r="O36" s="1">
        <f t="shared" si="20"/>
        <v>3</v>
      </c>
      <c r="P36" s="1">
        <f t="shared" si="20"/>
        <v>4</v>
      </c>
      <c r="Q36" s="1">
        <f t="shared" si="20"/>
        <v>5</v>
      </c>
      <c r="R36" s="1">
        <f t="shared" si="20"/>
        <v>6</v>
      </c>
      <c r="S36" s="1">
        <f t="shared" si="20"/>
        <v>7</v>
      </c>
      <c r="T36" s="1">
        <f t="shared" si="20"/>
        <v>8</v>
      </c>
      <c r="U36" s="1">
        <f t="shared" si="20"/>
        <v>9</v>
      </c>
      <c r="V36" s="1">
        <f t="shared" si="20"/>
        <v>10</v>
      </c>
      <c r="W36" s="1">
        <f t="shared" si="20"/>
        <v>11</v>
      </c>
      <c r="X36" s="1">
        <f t="shared" si="20"/>
        <v>12</v>
      </c>
      <c r="Y36" s="1">
        <f t="shared" si="20"/>
        <v>13</v>
      </c>
      <c r="Z36" s="1">
        <f t="shared" si="20"/>
        <v>14</v>
      </c>
      <c r="AA36" s="1">
        <f t="shared" si="20"/>
        <v>15</v>
      </c>
      <c r="AB36" s="1"/>
      <c r="AC36" s="1"/>
      <c r="AD36" s="1"/>
    </row>
    <row r="37" ht="15.75" customHeight="1">
      <c r="A37" s="1"/>
      <c r="B37" s="1"/>
      <c r="C37" s="1"/>
      <c r="D37" s="1"/>
      <c r="E37" s="1">
        <v>11.0</v>
      </c>
      <c r="F37" s="1" t="str">
        <f t="shared" ref="F37:AA37" si="21">IF(F$10&lt;$E37,"",IF(E37="",IF($E37&gt;F$10,"",1),1+E37))</f>
        <v/>
      </c>
      <c r="G37" s="1" t="str">
        <f t="shared" si="21"/>
        <v/>
      </c>
      <c r="H37" s="1" t="str">
        <f t="shared" si="21"/>
        <v/>
      </c>
      <c r="I37" s="1" t="str">
        <f t="shared" si="21"/>
        <v/>
      </c>
      <c r="J37" s="1" t="str">
        <f t="shared" si="21"/>
        <v/>
      </c>
      <c r="K37" s="1" t="str">
        <f t="shared" si="21"/>
        <v/>
      </c>
      <c r="L37" s="1" t="str">
        <f t="shared" si="21"/>
        <v/>
      </c>
      <c r="M37" s="1">
        <f t="shared" si="21"/>
        <v>1</v>
      </c>
      <c r="N37" s="1">
        <f t="shared" si="21"/>
        <v>2</v>
      </c>
      <c r="O37" s="1">
        <f t="shared" si="21"/>
        <v>3</v>
      </c>
      <c r="P37" s="1">
        <f t="shared" si="21"/>
        <v>4</v>
      </c>
      <c r="Q37" s="1">
        <f t="shared" si="21"/>
        <v>5</v>
      </c>
      <c r="R37" s="1">
        <f t="shared" si="21"/>
        <v>6</v>
      </c>
      <c r="S37" s="1">
        <f t="shared" si="21"/>
        <v>7</v>
      </c>
      <c r="T37" s="1">
        <f t="shared" si="21"/>
        <v>8</v>
      </c>
      <c r="U37" s="1">
        <f t="shared" si="21"/>
        <v>9</v>
      </c>
      <c r="V37" s="1">
        <f t="shared" si="21"/>
        <v>10</v>
      </c>
      <c r="W37" s="1">
        <f t="shared" si="21"/>
        <v>11</v>
      </c>
      <c r="X37" s="1">
        <f t="shared" si="21"/>
        <v>12</v>
      </c>
      <c r="Y37" s="1">
        <f t="shared" si="21"/>
        <v>13</v>
      </c>
      <c r="Z37" s="1">
        <f t="shared" si="21"/>
        <v>14</v>
      </c>
      <c r="AA37" s="1">
        <f t="shared" si="21"/>
        <v>15</v>
      </c>
      <c r="AB37" s="1"/>
      <c r="AC37" s="1"/>
      <c r="AD37" s="1"/>
    </row>
    <row r="38" ht="15.75" customHeight="1">
      <c r="A38" s="1"/>
      <c r="B38" s="1"/>
      <c r="C38" s="1"/>
      <c r="D38" s="1"/>
      <c r="E38" s="1">
        <v>12.0</v>
      </c>
      <c r="F38" s="1" t="str">
        <f t="shared" ref="F38:AA38" si="22">IF(F$10&lt;$E38,"",IF(E38="",IF($E38&gt;F$10,"",1),1+E38))</f>
        <v/>
      </c>
      <c r="G38" s="1" t="str">
        <f t="shared" si="22"/>
        <v/>
      </c>
      <c r="H38" s="1" t="str">
        <f t="shared" si="22"/>
        <v/>
      </c>
      <c r="I38" s="1" t="str">
        <f t="shared" si="22"/>
        <v/>
      </c>
      <c r="J38" s="1" t="str">
        <f t="shared" si="22"/>
        <v/>
      </c>
      <c r="K38" s="1" t="str">
        <f t="shared" si="22"/>
        <v/>
      </c>
      <c r="L38" s="1" t="str">
        <f t="shared" si="22"/>
        <v/>
      </c>
      <c r="M38" s="1">
        <f t="shared" si="22"/>
        <v>1</v>
      </c>
      <c r="N38" s="1">
        <f t="shared" si="22"/>
        <v>2</v>
      </c>
      <c r="O38" s="1">
        <f t="shared" si="22"/>
        <v>3</v>
      </c>
      <c r="P38" s="1">
        <f t="shared" si="22"/>
        <v>4</v>
      </c>
      <c r="Q38" s="1">
        <f t="shared" si="22"/>
        <v>5</v>
      </c>
      <c r="R38" s="1">
        <f t="shared" si="22"/>
        <v>6</v>
      </c>
      <c r="S38" s="1">
        <f t="shared" si="22"/>
        <v>7</v>
      </c>
      <c r="T38" s="1">
        <f t="shared" si="22"/>
        <v>8</v>
      </c>
      <c r="U38" s="1">
        <f t="shared" si="22"/>
        <v>9</v>
      </c>
      <c r="V38" s="1">
        <f t="shared" si="22"/>
        <v>10</v>
      </c>
      <c r="W38" s="1">
        <f t="shared" si="22"/>
        <v>11</v>
      </c>
      <c r="X38" s="1">
        <f t="shared" si="22"/>
        <v>12</v>
      </c>
      <c r="Y38" s="1">
        <f t="shared" si="22"/>
        <v>13</v>
      </c>
      <c r="Z38" s="1">
        <f t="shared" si="22"/>
        <v>14</v>
      </c>
      <c r="AA38" s="1">
        <f t="shared" si="22"/>
        <v>15</v>
      </c>
      <c r="AB38" s="1"/>
      <c r="AC38" s="1"/>
      <c r="AD38" s="1"/>
    </row>
    <row r="39" ht="15.75" customHeight="1">
      <c r="A39" s="1"/>
      <c r="B39" s="1"/>
      <c r="C39" s="1"/>
      <c r="D39" s="1"/>
      <c r="E39" s="1">
        <v>13.0</v>
      </c>
      <c r="F39" s="1" t="str">
        <f t="shared" ref="F39:AA39" si="23">IF(F$10&lt;$E39,"",IF(E39="",IF($E39&gt;F$10,"",1),1+E39))</f>
        <v/>
      </c>
      <c r="G39" s="1" t="str">
        <f t="shared" si="23"/>
        <v/>
      </c>
      <c r="H39" s="1" t="str">
        <f t="shared" si="23"/>
        <v/>
      </c>
      <c r="I39" s="1" t="str">
        <f t="shared" si="23"/>
        <v/>
      </c>
      <c r="J39" s="1" t="str">
        <f t="shared" si="23"/>
        <v/>
      </c>
      <c r="K39" s="1" t="str">
        <f t="shared" si="23"/>
        <v/>
      </c>
      <c r="L39" s="1" t="str">
        <f t="shared" si="23"/>
        <v/>
      </c>
      <c r="M39" s="1" t="str">
        <f t="shared" si="23"/>
        <v/>
      </c>
      <c r="N39" s="1">
        <f t="shared" si="23"/>
        <v>1</v>
      </c>
      <c r="O39" s="1">
        <f t="shared" si="23"/>
        <v>2</v>
      </c>
      <c r="P39" s="1">
        <f t="shared" si="23"/>
        <v>3</v>
      </c>
      <c r="Q39" s="1">
        <f t="shared" si="23"/>
        <v>4</v>
      </c>
      <c r="R39" s="1">
        <f t="shared" si="23"/>
        <v>5</v>
      </c>
      <c r="S39" s="1">
        <f t="shared" si="23"/>
        <v>6</v>
      </c>
      <c r="T39" s="1">
        <f t="shared" si="23"/>
        <v>7</v>
      </c>
      <c r="U39" s="1">
        <f t="shared" si="23"/>
        <v>8</v>
      </c>
      <c r="V39" s="1">
        <f t="shared" si="23"/>
        <v>9</v>
      </c>
      <c r="W39" s="1">
        <f t="shared" si="23"/>
        <v>10</v>
      </c>
      <c r="X39" s="1">
        <f t="shared" si="23"/>
        <v>11</v>
      </c>
      <c r="Y39" s="1">
        <f t="shared" si="23"/>
        <v>12</v>
      </c>
      <c r="Z39" s="1">
        <f t="shared" si="23"/>
        <v>13</v>
      </c>
      <c r="AA39" s="1">
        <f t="shared" si="23"/>
        <v>14</v>
      </c>
      <c r="AB39" s="1"/>
      <c r="AC39" s="1"/>
      <c r="AD39" s="1"/>
    </row>
    <row r="40" ht="15.75" customHeight="1">
      <c r="A40" s="1"/>
      <c r="B40" s="1"/>
      <c r="C40" s="1"/>
      <c r="D40" s="1"/>
      <c r="E40" s="1">
        <v>14.0</v>
      </c>
      <c r="F40" s="1" t="str">
        <f t="shared" ref="F40:AA40" si="24">IF(F$10&lt;$E40,"",IF(E40="",IF($E40&gt;F$10,"",1),1+E40))</f>
        <v/>
      </c>
      <c r="G40" s="1" t="str">
        <f t="shared" si="24"/>
        <v/>
      </c>
      <c r="H40" s="1" t="str">
        <f t="shared" si="24"/>
        <v/>
      </c>
      <c r="I40" s="1" t="str">
        <f t="shared" si="24"/>
        <v/>
      </c>
      <c r="J40" s="1" t="str">
        <f t="shared" si="24"/>
        <v/>
      </c>
      <c r="K40" s="1" t="str">
        <f t="shared" si="24"/>
        <v/>
      </c>
      <c r="L40" s="1" t="str">
        <f t="shared" si="24"/>
        <v/>
      </c>
      <c r="M40" s="1" t="str">
        <f t="shared" si="24"/>
        <v/>
      </c>
      <c r="N40" s="1">
        <f t="shared" si="24"/>
        <v>1</v>
      </c>
      <c r="O40" s="1">
        <f t="shared" si="24"/>
        <v>2</v>
      </c>
      <c r="P40" s="1">
        <f t="shared" si="24"/>
        <v>3</v>
      </c>
      <c r="Q40" s="1">
        <f t="shared" si="24"/>
        <v>4</v>
      </c>
      <c r="R40" s="1">
        <f t="shared" si="24"/>
        <v>5</v>
      </c>
      <c r="S40" s="1">
        <f t="shared" si="24"/>
        <v>6</v>
      </c>
      <c r="T40" s="1">
        <f t="shared" si="24"/>
        <v>7</v>
      </c>
      <c r="U40" s="1">
        <f t="shared" si="24"/>
        <v>8</v>
      </c>
      <c r="V40" s="1">
        <f t="shared" si="24"/>
        <v>9</v>
      </c>
      <c r="W40" s="1">
        <f t="shared" si="24"/>
        <v>10</v>
      </c>
      <c r="X40" s="1">
        <f t="shared" si="24"/>
        <v>11</v>
      </c>
      <c r="Y40" s="1">
        <f t="shared" si="24"/>
        <v>12</v>
      </c>
      <c r="Z40" s="1">
        <f t="shared" si="24"/>
        <v>13</v>
      </c>
      <c r="AA40" s="1">
        <f t="shared" si="24"/>
        <v>14</v>
      </c>
      <c r="AB40" s="1"/>
      <c r="AC40" s="1"/>
      <c r="AD40" s="1"/>
    </row>
    <row r="41" ht="15.75" customHeight="1">
      <c r="A41" s="1"/>
      <c r="B41" s="1"/>
      <c r="C41" s="1"/>
      <c r="D41" s="1"/>
      <c r="E41" s="1">
        <v>15.0</v>
      </c>
      <c r="F41" s="1" t="str">
        <f t="shared" ref="F41:AA41" si="25">IF(F$10&lt;$E41,"",IF(E41="",IF($E41&gt;F$10,"",1),1+E41))</f>
        <v/>
      </c>
      <c r="G41" s="1" t="str">
        <f t="shared" si="25"/>
        <v/>
      </c>
      <c r="H41" s="1" t="str">
        <f t="shared" si="25"/>
        <v/>
      </c>
      <c r="I41" s="1" t="str">
        <f t="shared" si="25"/>
        <v/>
      </c>
      <c r="J41" s="1" t="str">
        <f t="shared" si="25"/>
        <v/>
      </c>
      <c r="K41" s="1" t="str">
        <f t="shared" si="25"/>
        <v/>
      </c>
      <c r="L41" s="1" t="str">
        <f t="shared" si="25"/>
        <v/>
      </c>
      <c r="M41" s="1" t="str">
        <f t="shared" si="25"/>
        <v/>
      </c>
      <c r="N41" s="1">
        <f t="shared" si="25"/>
        <v>1</v>
      </c>
      <c r="O41" s="1">
        <f t="shared" si="25"/>
        <v>2</v>
      </c>
      <c r="P41" s="1">
        <f t="shared" si="25"/>
        <v>3</v>
      </c>
      <c r="Q41" s="1">
        <f t="shared" si="25"/>
        <v>4</v>
      </c>
      <c r="R41" s="1">
        <f t="shared" si="25"/>
        <v>5</v>
      </c>
      <c r="S41" s="1">
        <f t="shared" si="25"/>
        <v>6</v>
      </c>
      <c r="T41" s="1">
        <f t="shared" si="25"/>
        <v>7</v>
      </c>
      <c r="U41" s="1">
        <f t="shared" si="25"/>
        <v>8</v>
      </c>
      <c r="V41" s="1">
        <f t="shared" si="25"/>
        <v>9</v>
      </c>
      <c r="W41" s="1">
        <f t="shared" si="25"/>
        <v>10</v>
      </c>
      <c r="X41" s="1">
        <f t="shared" si="25"/>
        <v>11</v>
      </c>
      <c r="Y41" s="1">
        <f t="shared" si="25"/>
        <v>12</v>
      </c>
      <c r="Z41" s="1">
        <f t="shared" si="25"/>
        <v>13</v>
      </c>
      <c r="AA41" s="1">
        <f t="shared" si="25"/>
        <v>14</v>
      </c>
      <c r="AB41" s="1"/>
      <c r="AC41" s="1"/>
      <c r="AD41" s="1"/>
    </row>
    <row r="42" ht="15.75" customHeight="1">
      <c r="A42" s="1"/>
      <c r="B42" s="1"/>
      <c r="C42" s="1"/>
      <c r="D42" s="1"/>
      <c r="E42" s="1">
        <v>16.0</v>
      </c>
      <c r="F42" s="1" t="str">
        <f t="shared" ref="F42:AA42" si="26">IF(F$10&lt;$E42,"",IF(E42="",IF($E42&gt;F$10,"",1),1+E42))</f>
        <v/>
      </c>
      <c r="G42" s="1" t="str">
        <f t="shared" si="26"/>
        <v/>
      </c>
      <c r="H42" s="1" t="str">
        <f t="shared" si="26"/>
        <v/>
      </c>
      <c r="I42" s="1" t="str">
        <f t="shared" si="26"/>
        <v/>
      </c>
      <c r="J42" s="1" t="str">
        <f t="shared" si="26"/>
        <v/>
      </c>
      <c r="K42" s="1" t="str">
        <f t="shared" si="26"/>
        <v/>
      </c>
      <c r="L42" s="1" t="str">
        <f t="shared" si="26"/>
        <v/>
      </c>
      <c r="M42" s="1" t="str">
        <f t="shared" si="26"/>
        <v/>
      </c>
      <c r="N42" s="1">
        <f t="shared" si="26"/>
        <v>1</v>
      </c>
      <c r="O42" s="1">
        <f t="shared" si="26"/>
        <v>2</v>
      </c>
      <c r="P42" s="1">
        <f t="shared" si="26"/>
        <v>3</v>
      </c>
      <c r="Q42" s="1">
        <f t="shared" si="26"/>
        <v>4</v>
      </c>
      <c r="R42" s="1">
        <f t="shared" si="26"/>
        <v>5</v>
      </c>
      <c r="S42" s="1">
        <f t="shared" si="26"/>
        <v>6</v>
      </c>
      <c r="T42" s="1">
        <f t="shared" si="26"/>
        <v>7</v>
      </c>
      <c r="U42" s="1">
        <f t="shared" si="26"/>
        <v>8</v>
      </c>
      <c r="V42" s="1">
        <f t="shared" si="26"/>
        <v>9</v>
      </c>
      <c r="W42" s="1">
        <f t="shared" si="26"/>
        <v>10</v>
      </c>
      <c r="X42" s="1">
        <f t="shared" si="26"/>
        <v>11</v>
      </c>
      <c r="Y42" s="1">
        <f t="shared" si="26"/>
        <v>12</v>
      </c>
      <c r="Z42" s="1">
        <f t="shared" si="26"/>
        <v>13</v>
      </c>
      <c r="AA42" s="1">
        <f t="shared" si="26"/>
        <v>14</v>
      </c>
      <c r="AB42" s="1"/>
      <c r="AC42" s="1"/>
      <c r="AD42" s="1"/>
    </row>
    <row r="43" ht="15.75" customHeight="1">
      <c r="A43" s="1"/>
      <c r="B43" s="1"/>
      <c r="C43" s="1"/>
      <c r="D43" s="1"/>
      <c r="E43" s="1">
        <v>17.0</v>
      </c>
      <c r="F43" s="1" t="str">
        <f t="shared" ref="F43:AA43" si="27">IF(F$10&lt;$E43,"",IF(E43="",IF($E43&gt;F$10,"",1),1+E43))</f>
        <v/>
      </c>
      <c r="G43" s="1" t="str">
        <f t="shared" si="27"/>
        <v/>
      </c>
      <c r="H43" s="1" t="str">
        <f t="shared" si="27"/>
        <v/>
      </c>
      <c r="I43" s="1" t="str">
        <f t="shared" si="27"/>
        <v/>
      </c>
      <c r="J43" s="1" t="str">
        <f t="shared" si="27"/>
        <v/>
      </c>
      <c r="K43" s="1" t="str">
        <f t="shared" si="27"/>
        <v/>
      </c>
      <c r="L43" s="1" t="str">
        <f t="shared" si="27"/>
        <v/>
      </c>
      <c r="M43" s="1" t="str">
        <f t="shared" si="27"/>
        <v/>
      </c>
      <c r="N43" s="1">
        <f t="shared" si="27"/>
        <v>1</v>
      </c>
      <c r="O43" s="1">
        <f t="shared" si="27"/>
        <v>2</v>
      </c>
      <c r="P43" s="1">
        <f t="shared" si="27"/>
        <v>3</v>
      </c>
      <c r="Q43" s="1">
        <f t="shared" si="27"/>
        <v>4</v>
      </c>
      <c r="R43" s="1">
        <f t="shared" si="27"/>
        <v>5</v>
      </c>
      <c r="S43" s="1">
        <f t="shared" si="27"/>
        <v>6</v>
      </c>
      <c r="T43" s="1">
        <f t="shared" si="27"/>
        <v>7</v>
      </c>
      <c r="U43" s="1">
        <f t="shared" si="27"/>
        <v>8</v>
      </c>
      <c r="V43" s="1">
        <f t="shared" si="27"/>
        <v>9</v>
      </c>
      <c r="W43" s="1">
        <f t="shared" si="27"/>
        <v>10</v>
      </c>
      <c r="X43" s="1">
        <f t="shared" si="27"/>
        <v>11</v>
      </c>
      <c r="Y43" s="1">
        <f t="shared" si="27"/>
        <v>12</v>
      </c>
      <c r="Z43" s="1">
        <f t="shared" si="27"/>
        <v>13</v>
      </c>
      <c r="AA43" s="1">
        <f t="shared" si="27"/>
        <v>14</v>
      </c>
      <c r="AB43" s="1"/>
      <c r="AC43" s="1"/>
      <c r="AD43" s="1"/>
    </row>
    <row r="44" ht="15.75" customHeight="1">
      <c r="A44" s="1"/>
      <c r="B44" s="1"/>
      <c r="C44" s="1"/>
      <c r="D44" s="1"/>
      <c r="E44" s="1">
        <v>18.0</v>
      </c>
      <c r="F44" s="1" t="str">
        <f t="shared" ref="F44:AA44" si="28">IF(F$10&lt;$E44,"",IF(E44="",IF($E44&gt;F$10,"",1),1+E44))</f>
        <v/>
      </c>
      <c r="G44" s="1" t="str">
        <f t="shared" si="28"/>
        <v/>
      </c>
      <c r="H44" s="1" t="str">
        <f t="shared" si="28"/>
        <v/>
      </c>
      <c r="I44" s="1" t="str">
        <f t="shared" si="28"/>
        <v/>
      </c>
      <c r="J44" s="1" t="str">
        <f t="shared" si="28"/>
        <v/>
      </c>
      <c r="K44" s="1" t="str">
        <f t="shared" si="28"/>
        <v/>
      </c>
      <c r="L44" s="1" t="str">
        <f t="shared" si="28"/>
        <v/>
      </c>
      <c r="M44" s="1" t="str">
        <f t="shared" si="28"/>
        <v/>
      </c>
      <c r="N44" s="1">
        <f t="shared" si="28"/>
        <v>1</v>
      </c>
      <c r="O44" s="1">
        <f t="shared" si="28"/>
        <v>2</v>
      </c>
      <c r="P44" s="1">
        <f t="shared" si="28"/>
        <v>3</v>
      </c>
      <c r="Q44" s="1">
        <f t="shared" si="28"/>
        <v>4</v>
      </c>
      <c r="R44" s="1">
        <f t="shared" si="28"/>
        <v>5</v>
      </c>
      <c r="S44" s="1">
        <f t="shared" si="28"/>
        <v>6</v>
      </c>
      <c r="T44" s="1">
        <f t="shared" si="28"/>
        <v>7</v>
      </c>
      <c r="U44" s="1">
        <f t="shared" si="28"/>
        <v>8</v>
      </c>
      <c r="V44" s="1">
        <f t="shared" si="28"/>
        <v>9</v>
      </c>
      <c r="W44" s="1">
        <f t="shared" si="28"/>
        <v>10</v>
      </c>
      <c r="X44" s="1">
        <f t="shared" si="28"/>
        <v>11</v>
      </c>
      <c r="Y44" s="1">
        <f t="shared" si="28"/>
        <v>12</v>
      </c>
      <c r="Z44" s="1">
        <f t="shared" si="28"/>
        <v>13</v>
      </c>
      <c r="AA44" s="1">
        <f t="shared" si="28"/>
        <v>14</v>
      </c>
      <c r="AB44" s="1"/>
      <c r="AC44" s="1"/>
      <c r="AD44" s="1"/>
    </row>
    <row r="45" ht="15.75" customHeight="1">
      <c r="A45" s="1"/>
      <c r="B45" s="1"/>
      <c r="C45" s="1"/>
      <c r="D45" s="1"/>
      <c r="E45" s="1">
        <v>19.0</v>
      </c>
      <c r="F45" s="1" t="str">
        <f t="shared" ref="F45:AA45" si="29">IF(F$10&lt;$E45,"",IF(E45="",IF($E45&gt;F$10,"",1),1+E45))</f>
        <v/>
      </c>
      <c r="G45" s="1" t="str">
        <f t="shared" si="29"/>
        <v/>
      </c>
      <c r="H45" s="1" t="str">
        <f t="shared" si="29"/>
        <v/>
      </c>
      <c r="I45" s="1" t="str">
        <f t="shared" si="29"/>
        <v/>
      </c>
      <c r="J45" s="1" t="str">
        <f t="shared" si="29"/>
        <v/>
      </c>
      <c r="K45" s="1" t="str">
        <f t="shared" si="29"/>
        <v/>
      </c>
      <c r="L45" s="1" t="str">
        <f t="shared" si="29"/>
        <v/>
      </c>
      <c r="M45" s="1" t="str">
        <f t="shared" si="29"/>
        <v/>
      </c>
      <c r="N45" s="1">
        <f t="shared" si="29"/>
        <v>1</v>
      </c>
      <c r="O45" s="1">
        <f t="shared" si="29"/>
        <v>2</v>
      </c>
      <c r="P45" s="1">
        <f t="shared" si="29"/>
        <v>3</v>
      </c>
      <c r="Q45" s="1">
        <f t="shared" si="29"/>
        <v>4</v>
      </c>
      <c r="R45" s="1">
        <f t="shared" si="29"/>
        <v>5</v>
      </c>
      <c r="S45" s="1">
        <f t="shared" si="29"/>
        <v>6</v>
      </c>
      <c r="T45" s="1">
        <f t="shared" si="29"/>
        <v>7</v>
      </c>
      <c r="U45" s="1">
        <f t="shared" si="29"/>
        <v>8</v>
      </c>
      <c r="V45" s="1">
        <f t="shared" si="29"/>
        <v>9</v>
      </c>
      <c r="W45" s="1">
        <f t="shared" si="29"/>
        <v>10</v>
      </c>
      <c r="X45" s="1">
        <f t="shared" si="29"/>
        <v>11</v>
      </c>
      <c r="Y45" s="1">
        <f t="shared" si="29"/>
        <v>12</v>
      </c>
      <c r="Z45" s="1">
        <f t="shared" si="29"/>
        <v>13</v>
      </c>
      <c r="AA45" s="1">
        <f t="shared" si="29"/>
        <v>14</v>
      </c>
      <c r="AB45" s="1"/>
      <c r="AC45" s="1"/>
      <c r="AD45" s="1"/>
    </row>
    <row r="46" ht="15.75" customHeight="1">
      <c r="A46" s="1"/>
      <c r="B46" s="1"/>
      <c r="C46" s="1"/>
      <c r="D46" s="1"/>
      <c r="E46" s="1">
        <v>20.0</v>
      </c>
      <c r="F46" s="1" t="str">
        <f t="shared" ref="F46:AA46" si="30">IF(F$10&lt;$E46,"",IF(E46="",IF($E46&gt;F$10,"",1),1+E46))</f>
        <v/>
      </c>
      <c r="G46" s="1" t="str">
        <f t="shared" si="30"/>
        <v/>
      </c>
      <c r="H46" s="1" t="str">
        <f t="shared" si="30"/>
        <v/>
      </c>
      <c r="I46" s="1" t="str">
        <f t="shared" si="30"/>
        <v/>
      </c>
      <c r="J46" s="1" t="str">
        <f t="shared" si="30"/>
        <v/>
      </c>
      <c r="K46" s="1" t="str">
        <f t="shared" si="30"/>
        <v/>
      </c>
      <c r="L46" s="1" t="str">
        <f t="shared" si="30"/>
        <v/>
      </c>
      <c r="M46" s="1" t="str">
        <f t="shared" si="30"/>
        <v/>
      </c>
      <c r="N46" s="1">
        <f t="shared" si="30"/>
        <v>1</v>
      </c>
      <c r="O46" s="1">
        <f t="shared" si="30"/>
        <v>2</v>
      </c>
      <c r="P46" s="1">
        <f t="shared" si="30"/>
        <v>3</v>
      </c>
      <c r="Q46" s="1">
        <f t="shared" si="30"/>
        <v>4</v>
      </c>
      <c r="R46" s="1">
        <f t="shared" si="30"/>
        <v>5</v>
      </c>
      <c r="S46" s="1">
        <f t="shared" si="30"/>
        <v>6</v>
      </c>
      <c r="T46" s="1">
        <f t="shared" si="30"/>
        <v>7</v>
      </c>
      <c r="U46" s="1">
        <f t="shared" si="30"/>
        <v>8</v>
      </c>
      <c r="V46" s="1">
        <f t="shared" si="30"/>
        <v>9</v>
      </c>
      <c r="W46" s="1">
        <f t="shared" si="30"/>
        <v>10</v>
      </c>
      <c r="X46" s="1">
        <f t="shared" si="30"/>
        <v>11</v>
      </c>
      <c r="Y46" s="1">
        <f t="shared" si="30"/>
        <v>12</v>
      </c>
      <c r="Z46" s="1">
        <f t="shared" si="30"/>
        <v>13</v>
      </c>
      <c r="AA46" s="1">
        <f t="shared" si="30"/>
        <v>14</v>
      </c>
      <c r="AB46" s="1"/>
      <c r="AC46" s="1"/>
      <c r="AD46" s="1"/>
    </row>
    <row r="47" ht="15.75" customHeight="1">
      <c r="A47" s="1"/>
      <c r="B47" s="1"/>
      <c r="C47" s="1"/>
      <c r="D47" s="1"/>
      <c r="E47" s="1">
        <v>21.0</v>
      </c>
      <c r="F47" s="1" t="str">
        <f t="shared" ref="F47:AA47" si="31">IF(F$10&lt;$E47,"",IF(E47="",IF($E47&gt;F$10,"",1),1+E47))</f>
        <v/>
      </c>
      <c r="G47" s="1" t="str">
        <f t="shared" si="31"/>
        <v/>
      </c>
      <c r="H47" s="1" t="str">
        <f t="shared" si="31"/>
        <v/>
      </c>
      <c r="I47" s="1" t="str">
        <f t="shared" si="31"/>
        <v/>
      </c>
      <c r="J47" s="1" t="str">
        <f t="shared" si="31"/>
        <v/>
      </c>
      <c r="K47" s="1" t="str">
        <f t="shared" si="31"/>
        <v/>
      </c>
      <c r="L47" s="1" t="str">
        <f t="shared" si="31"/>
        <v/>
      </c>
      <c r="M47" s="1" t="str">
        <f t="shared" si="31"/>
        <v/>
      </c>
      <c r="N47" s="1" t="str">
        <f t="shared" si="31"/>
        <v/>
      </c>
      <c r="O47" s="1">
        <f t="shared" si="31"/>
        <v>1</v>
      </c>
      <c r="P47" s="1">
        <f t="shared" si="31"/>
        <v>2</v>
      </c>
      <c r="Q47" s="1">
        <f t="shared" si="31"/>
        <v>3</v>
      </c>
      <c r="R47" s="1">
        <f t="shared" si="31"/>
        <v>4</v>
      </c>
      <c r="S47" s="1">
        <f t="shared" si="31"/>
        <v>5</v>
      </c>
      <c r="T47" s="1">
        <f t="shared" si="31"/>
        <v>6</v>
      </c>
      <c r="U47" s="1">
        <f t="shared" si="31"/>
        <v>7</v>
      </c>
      <c r="V47" s="1">
        <f t="shared" si="31"/>
        <v>8</v>
      </c>
      <c r="W47" s="1">
        <f t="shared" si="31"/>
        <v>9</v>
      </c>
      <c r="X47" s="1">
        <f t="shared" si="31"/>
        <v>10</v>
      </c>
      <c r="Y47" s="1">
        <f t="shared" si="31"/>
        <v>11</v>
      </c>
      <c r="Z47" s="1">
        <f t="shared" si="31"/>
        <v>12</v>
      </c>
      <c r="AA47" s="1">
        <f t="shared" si="31"/>
        <v>13</v>
      </c>
      <c r="AB47" s="1"/>
      <c r="AC47" s="1"/>
      <c r="AD47" s="1"/>
    </row>
    <row r="48" ht="15.75" customHeight="1">
      <c r="A48" s="1"/>
      <c r="B48" s="1"/>
      <c r="C48" s="1"/>
      <c r="D48" s="1"/>
      <c r="E48" s="1">
        <v>22.0</v>
      </c>
      <c r="F48" s="1" t="str">
        <f t="shared" ref="F48:AA48" si="32">IF(F$10&lt;$E48,"",IF(E48="",IF($E48&gt;F$10,"",1),1+E48))</f>
        <v/>
      </c>
      <c r="G48" s="1" t="str">
        <f t="shared" si="32"/>
        <v/>
      </c>
      <c r="H48" s="1" t="str">
        <f t="shared" si="32"/>
        <v/>
      </c>
      <c r="I48" s="1" t="str">
        <f t="shared" si="32"/>
        <v/>
      </c>
      <c r="J48" s="1" t="str">
        <f t="shared" si="32"/>
        <v/>
      </c>
      <c r="K48" s="1" t="str">
        <f t="shared" si="32"/>
        <v/>
      </c>
      <c r="L48" s="1" t="str">
        <f t="shared" si="32"/>
        <v/>
      </c>
      <c r="M48" s="1" t="str">
        <f t="shared" si="32"/>
        <v/>
      </c>
      <c r="N48" s="1" t="str">
        <f t="shared" si="32"/>
        <v/>
      </c>
      <c r="O48" s="1">
        <f t="shared" si="32"/>
        <v>1</v>
      </c>
      <c r="P48" s="1">
        <f t="shared" si="32"/>
        <v>2</v>
      </c>
      <c r="Q48" s="1">
        <f t="shared" si="32"/>
        <v>3</v>
      </c>
      <c r="R48" s="1">
        <f t="shared" si="32"/>
        <v>4</v>
      </c>
      <c r="S48" s="1">
        <f t="shared" si="32"/>
        <v>5</v>
      </c>
      <c r="T48" s="1">
        <f t="shared" si="32"/>
        <v>6</v>
      </c>
      <c r="U48" s="1">
        <f t="shared" si="32"/>
        <v>7</v>
      </c>
      <c r="V48" s="1">
        <f t="shared" si="32"/>
        <v>8</v>
      </c>
      <c r="W48" s="1">
        <f t="shared" si="32"/>
        <v>9</v>
      </c>
      <c r="X48" s="1">
        <f t="shared" si="32"/>
        <v>10</v>
      </c>
      <c r="Y48" s="1">
        <f t="shared" si="32"/>
        <v>11</v>
      </c>
      <c r="Z48" s="1">
        <f t="shared" si="32"/>
        <v>12</v>
      </c>
      <c r="AA48" s="1">
        <f t="shared" si="32"/>
        <v>13</v>
      </c>
      <c r="AB48" s="1"/>
      <c r="AC48" s="1"/>
      <c r="AD48" s="1"/>
    </row>
    <row r="49" ht="15.75" customHeight="1">
      <c r="A49" s="1"/>
      <c r="B49" s="1"/>
      <c r="C49" s="1"/>
      <c r="D49" s="1"/>
      <c r="E49" s="1">
        <v>23.0</v>
      </c>
      <c r="F49" s="1" t="str">
        <f t="shared" ref="F49:AA49" si="33">IF(F$10&lt;$E49,"",IF(E49="",IF($E49&gt;F$10,"",1),1+E49))</f>
        <v/>
      </c>
      <c r="G49" s="1" t="str">
        <f t="shared" si="33"/>
        <v/>
      </c>
      <c r="H49" s="1" t="str">
        <f t="shared" si="33"/>
        <v/>
      </c>
      <c r="I49" s="1" t="str">
        <f t="shared" si="33"/>
        <v/>
      </c>
      <c r="J49" s="1" t="str">
        <f t="shared" si="33"/>
        <v/>
      </c>
      <c r="K49" s="1" t="str">
        <f t="shared" si="33"/>
        <v/>
      </c>
      <c r="L49" s="1" t="str">
        <f t="shared" si="33"/>
        <v/>
      </c>
      <c r="M49" s="1" t="str">
        <f t="shared" si="33"/>
        <v/>
      </c>
      <c r="N49" s="1" t="str">
        <f t="shared" si="33"/>
        <v/>
      </c>
      <c r="O49" s="1">
        <f t="shared" si="33"/>
        <v>1</v>
      </c>
      <c r="P49" s="1">
        <f t="shared" si="33"/>
        <v>2</v>
      </c>
      <c r="Q49" s="1">
        <f t="shared" si="33"/>
        <v>3</v>
      </c>
      <c r="R49" s="1">
        <f t="shared" si="33"/>
        <v>4</v>
      </c>
      <c r="S49" s="1">
        <f t="shared" si="33"/>
        <v>5</v>
      </c>
      <c r="T49" s="1">
        <f t="shared" si="33"/>
        <v>6</v>
      </c>
      <c r="U49" s="1">
        <f t="shared" si="33"/>
        <v>7</v>
      </c>
      <c r="V49" s="1">
        <f t="shared" si="33"/>
        <v>8</v>
      </c>
      <c r="W49" s="1">
        <f t="shared" si="33"/>
        <v>9</v>
      </c>
      <c r="X49" s="1">
        <f t="shared" si="33"/>
        <v>10</v>
      </c>
      <c r="Y49" s="1">
        <f t="shared" si="33"/>
        <v>11</v>
      </c>
      <c r="Z49" s="1">
        <f t="shared" si="33"/>
        <v>12</v>
      </c>
      <c r="AA49" s="1">
        <f t="shared" si="33"/>
        <v>13</v>
      </c>
      <c r="AB49" s="1"/>
      <c r="AC49" s="1"/>
      <c r="AD49" s="1"/>
    </row>
    <row r="50" ht="15.75" customHeight="1">
      <c r="A50" s="1"/>
      <c r="B50" s="1"/>
      <c r="C50" s="1"/>
      <c r="D50" s="1"/>
      <c r="E50" s="1">
        <v>24.0</v>
      </c>
      <c r="F50" s="1" t="str">
        <f t="shared" ref="F50:AA50" si="34">IF(F$10&lt;$E50,"",IF(E50="",IF($E50&gt;F$10,"",1),1+E50))</f>
        <v/>
      </c>
      <c r="G50" s="1" t="str">
        <f t="shared" si="34"/>
        <v/>
      </c>
      <c r="H50" s="1" t="str">
        <f t="shared" si="34"/>
        <v/>
      </c>
      <c r="I50" s="1" t="str">
        <f t="shared" si="34"/>
        <v/>
      </c>
      <c r="J50" s="1" t="str">
        <f t="shared" si="34"/>
        <v/>
      </c>
      <c r="K50" s="1" t="str">
        <f t="shared" si="34"/>
        <v/>
      </c>
      <c r="L50" s="1" t="str">
        <f t="shared" si="34"/>
        <v/>
      </c>
      <c r="M50" s="1" t="str">
        <f t="shared" si="34"/>
        <v/>
      </c>
      <c r="N50" s="1" t="str">
        <f t="shared" si="34"/>
        <v/>
      </c>
      <c r="O50" s="1">
        <f t="shared" si="34"/>
        <v>1</v>
      </c>
      <c r="P50" s="1">
        <f t="shared" si="34"/>
        <v>2</v>
      </c>
      <c r="Q50" s="1">
        <f t="shared" si="34"/>
        <v>3</v>
      </c>
      <c r="R50" s="1">
        <f t="shared" si="34"/>
        <v>4</v>
      </c>
      <c r="S50" s="1">
        <f t="shared" si="34"/>
        <v>5</v>
      </c>
      <c r="T50" s="1">
        <f t="shared" si="34"/>
        <v>6</v>
      </c>
      <c r="U50" s="1">
        <f t="shared" si="34"/>
        <v>7</v>
      </c>
      <c r="V50" s="1">
        <f t="shared" si="34"/>
        <v>8</v>
      </c>
      <c r="W50" s="1">
        <f t="shared" si="34"/>
        <v>9</v>
      </c>
      <c r="X50" s="1">
        <f t="shared" si="34"/>
        <v>10</v>
      </c>
      <c r="Y50" s="1">
        <f t="shared" si="34"/>
        <v>11</v>
      </c>
      <c r="Z50" s="1">
        <f t="shared" si="34"/>
        <v>12</v>
      </c>
      <c r="AA50" s="1">
        <f t="shared" si="34"/>
        <v>13</v>
      </c>
      <c r="AB50" s="1"/>
      <c r="AC50" s="1"/>
      <c r="AD50" s="1"/>
    </row>
    <row r="51" ht="15.75" customHeight="1">
      <c r="A51" s="1"/>
      <c r="B51" s="1"/>
      <c r="C51" s="1"/>
      <c r="D51" s="1"/>
      <c r="E51" s="1">
        <v>25.0</v>
      </c>
      <c r="F51" s="1" t="str">
        <f t="shared" ref="F51:AA51" si="35">IF(F$10&lt;$E51,"",IF(E51="",IF($E51&gt;F$10,"",1),1+E51))</f>
        <v/>
      </c>
      <c r="G51" s="1" t="str">
        <f t="shared" si="35"/>
        <v/>
      </c>
      <c r="H51" s="1" t="str">
        <f t="shared" si="35"/>
        <v/>
      </c>
      <c r="I51" s="1" t="str">
        <f t="shared" si="35"/>
        <v/>
      </c>
      <c r="J51" s="1" t="str">
        <f t="shared" si="35"/>
        <v/>
      </c>
      <c r="K51" s="1" t="str">
        <f t="shared" si="35"/>
        <v/>
      </c>
      <c r="L51" s="1" t="str">
        <f t="shared" si="35"/>
        <v/>
      </c>
      <c r="M51" s="1" t="str">
        <f t="shared" si="35"/>
        <v/>
      </c>
      <c r="N51" s="1" t="str">
        <f t="shared" si="35"/>
        <v/>
      </c>
      <c r="O51" s="1">
        <f t="shared" si="35"/>
        <v>1</v>
      </c>
      <c r="P51" s="1">
        <f t="shared" si="35"/>
        <v>2</v>
      </c>
      <c r="Q51" s="1">
        <f t="shared" si="35"/>
        <v>3</v>
      </c>
      <c r="R51" s="1">
        <f t="shared" si="35"/>
        <v>4</v>
      </c>
      <c r="S51" s="1">
        <f t="shared" si="35"/>
        <v>5</v>
      </c>
      <c r="T51" s="1">
        <f t="shared" si="35"/>
        <v>6</v>
      </c>
      <c r="U51" s="1">
        <f t="shared" si="35"/>
        <v>7</v>
      </c>
      <c r="V51" s="1">
        <f t="shared" si="35"/>
        <v>8</v>
      </c>
      <c r="W51" s="1">
        <f t="shared" si="35"/>
        <v>9</v>
      </c>
      <c r="X51" s="1">
        <f t="shared" si="35"/>
        <v>10</v>
      </c>
      <c r="Y51" s="1">
        <f t="shared" si="35"/>
        <v>11</v>
      </c>
      <c r="Z51" s="1">
        <f t="shared" si="35"/>
        <v>12</v>
      </c>
      <c r="AA51" s="1">
        <f t="shared" si="35"/>
        <v>13</v>
      </c>
      <c r="AB51" s="1"/>
      <c r="AC51" s="1"/>
      <c r="AD51" s="1"/>
    </row>
    <row r="52" ht="15.75" customHeight="1">
      <c r="A52" s="1"/>
      <c r="B52" s="1"/>
      <c r="C52" s="1"/>
      <c r="D52" s="1"/>
      <c r="E52" s="1">
        <v>26.0</v>
      </c>
      <c r="F52" s="1" t="str">
        <f t="shared" ref="F52:AA52" si="36">IF(F$10&lt;$E52,"",IF(E52="",IF($E52&gt;F$10,"",1),1+E52))</f>
        <v/>
      </c>
      <c r="G52" s="1" t="str">
        <f t="shared" si="36"/>
        <v/>
      </c>
      <c r="H52" s="1" t="str">
        <f t="shared" si="36"/>
        <v/>
      </c>
      <c r="I52" s="1" t="str">
        <f t="shared" si="36"/>
        <v/>
      </c>
      <c r="J52" s="1" t="str">
        <f t="shared" si="36"/>
        <v/>
      </c>
      <c r="K52" s="1" t="str">
        <f t="shared" si="36"/>
        <v/>
      </c>
      <c r="L52" s="1" t="str">
        <f t="shared" si="36"/>
        <v/>
      </c>
      <c r="M52" s="1" t="str">
        <f t="shared" si="36"/>
        <v/>
      </c>
      <c r="N52" s="1" t="str">
        <f t="shared" si="36"/>
        <v/>
      </c>
      <c r="O52" s="1">
        <f t="shared" si="36"/>
        <v>1</v>
      </c>
      <c r="P52" s="1">
        <f t="shared" si="36"/>
        <v>2</v>
      </c>
      <c r="Q52" s="1">
        <f t="shared" si="36"/>
        <v>3</v>
      </c>
      <c r="R52" s="1">
        <f t="shared" si="36"/>
        <v>4</v>
      </c>
      <c r="S52" s="1">
        <f t="shared" si="36"/>
        <v>5</v>
      </c>
      <c r="T52" s="1">
        <f t="shared" si="36"/>
        <v>6</v>
      </c>
      <c r="U52" s="1">
        <f t="shared" si="36"/>
        <v>7</v>
      </c>
      <c r="V52" s="1">
        <f t="shared" si="36"/>
        <v>8</v>
      </c>
      <c r="W52" s="1">
        <f t="shared" si="36"/>
        <v>9</v>
      </c>
      <c r="X52" s="1">
        <f t="shared" si="36"/>
        <v>10</v>
      </c>
      <c r="Y52" s="1">
        <f t="shared" si="36"/>
        <v>11</v>
      </c>
      <c r="Z52" s="1">
        <f t="shared" si="36"/>
        <v>12</v>
      </c>
      <c r="AA52" s="1">
        <f t="shared" si="36"/>
        <v>13</v>
      </c>
      <c r="AB52" s="1"/>
      <c r="AC52" s="1"/>
      <c r="AD52" s="1"/>
    </row>
    <row r="53" ht="15.75" customHeight="1">
      <c r="A53" s="1"/>
      <c r="B53" s="1"/>
      <c r="C53" s="1"/>
      <c r="D53" s="1"/>
      <c r="E53" s="1">
        <v>27.0</v>
      </c>
      <c r="F53" s="1" t="str">
        <f t="shared" ref="F53:AA53" si="37">IF(F$10&lt;$E53,"",IF(E53="",IF($E53&gt;F$10,"",1),1+E53))</f>
        <v/>
      </c>
      <c r="G53" s="1" t="str">
        <f t="shared" si="37"/>
        <v/>
      </c>
      <c r="H53" s="1" t="str">
        <f t="shared" si="37"/>
        <v/>
      </c>
      <c r="I53" s="1" t="str">
        <f t="shared" si="37"/>
        <v/>
      </c>
      <c r="J53" s="1" t="str">
        <f t="shared" si="37"/>
        <v/>
      </c>
      <c r="K53" s="1" t="str">
        <f t="shared" si="37"/>
        <v/>
      </c>
      <c r="L53" s="1" t="str">
        <f t="shared" si="37"/>
        <v/>
      </c>
      <c r="M53" s="1" t="str">
        <f t="shared" si="37"/>
        <v/>
      </c>
      <c r="N53" s="1" t="str">
        <f t="shared" si="37"/>
        <v/>
      </c>
      <c r="O53" s="1">
        <f t="shared" si="37"/>
        <v>1</v>
      </c>
      <c r="P53" s="1">
        <f t="shared" si="37"/>
        <v>2</v>
      </c>
      <c r="Q53" s="1">
        <f t="shared" si="37"/>
        <v>3</v>
      </c>
      <c r="R53" s="1">
        <f t="shared" si="37"/>
        <v>4</v>
      </c>
      <c r="S53" s="1">
        <f t="shared" si="37"/>
        <v>5</v>
      </c>
      <c r="T53" s="1">
        <f t="shared" si="37"/>
        <v>6</v>
      </c>
      <c r="U53" s="1">
        <f t="shared" si="37"/>
        <v>7</v>
      </c>
      <c r="V53" s="1">
        <f t="shared" si="37"/>
        <v>8</v>
      </c>
      <c r="W53" s="1">
        <f t="shared" si="37"/>
        <v>9</v>
      </c>
      <c r="X53" s="1">
        <f t="shared" si="37"/>
        <v>10</v>
      </c>
      <c r="Y53" s="1">
        <f t="shared" si="37"/>
        <v>11</v>
      </c>
      <c r="Z53" s="1">
        <f t="shared" si="37"/>
        <v>12</v>
      </c>
      <c r="AA53" s="1">
        <f t="shared" si="37"/>
        <v>13</v>
      </c>
      <c r="AB53" s="1"/>
      <c r="AC53" s="1"/>
      <c r="AD53" s="1"/>
    </row>
    <row r="54" ht="15.75" customHeight="1">
      <c r="A54" s="1"/>
      <c r="B54" s="1"/>
      <c r="C54" s="1"/>
      <c r="D54" s="1"/>
      <c r="E54" s="1">
        <v>28.0</v>
      </c>
      <c r="F54" s="1" t="str">
        <f t="shared" ref="F54:AA54" si="38">IF(F$10&lt;$E54,"",IF(E54="",IF($E54&gt;F$10,"",1),1+E54))</f>
        <v/>
      </c>
      <c r="G54" s="1" t="str">
        <f t="shared" si="38"/>
        <v/>
      </c>
      <c r="H54" s="1" t="str">
        <f t="shared" si="38"/>
        <v/>
      </c>
      <c r="I54" s="1" t="str">
        <f t="shared" si="38"/>
        <v/>
      </c>
      <c r="J54" s="1" t="str">
        <f t="shared" si="38"/>
        <v/>
      </c>
      <c r="K54" s="1" t="str">
        <f t="shared" si="38"/>
        <v/>
      </c>
      <c r="L54" s="1" t="str">
        <f t="shared" si="38"/>
        <v/>
      </c>
      <c r="M54" s="1" t="str">
        <f t="shared" si="38"/>
        <v/>
      </c>
      <c r="N54" s="1" t="str">
        <f t="shared" si="38"/>
        <v/>
      </c>
      <c r="O54" s="1">
        <f t="shared" si="38"/>
        <v>1</v>
      </c>
      <c r="P54" s="1">
        <f t="shared" si="38"/>
        <v>2</v>
      </c>
      <c r="Q54" s="1">
        <f t="shared" si="38"/>
        <v>3</v>
      </c>
      <c r="R54" s="1">
        <f t="shared" si="38"/>
        <v>4</v>
      </c>
      <c r="S54" s="1">
        <f t="shared" si="38"/>
        <v>5</v>
      </c>
      <c r="T54" s="1">
        <f t="shared" si="38"/>
        <v>6</v>
      </c>
      <c r="U54" s="1">
        <f t="shared" si="38"/>
        <v>7</v>
      </c>
      <c r="V54" s="1">
        <f t="shared" si="38"/>
        <v>8</v>
      </c>
      <c r="W54" s="1">
        <f t="shared" si="38"/>
        <v>9</v>
      </c>
      <c r="X54" s="1">
        <f t="shared" si="38"/>
        <v>10</v>
      </c>
      <c r="Y54" s="1">
        <f t="shared" si="38"/>
        <v>11</v>
      </c>
      <c r="Z54" s="1">
        <f t="shared" si="38"/>
        <v>12</v>
      </c>
      <c r="AA54" s="1">
        <f t="shared" si="38"/>
        <v>13</v>
      </c>
      <c r="AB54" s="1"/>
      <c r="AC54" s="1"/>
      <c r="AD54" s="1"/>
    </row>
    <row r="55" ht="15.75" customHeight="1">
      <c r="A55" s="1"/>
      <c r="B55" s="1"/>
      <c r="C55" s="1"/>
      <c r="D55" s="1"/>
      <c r="E55" s="1">
        <v>29.0</v>
      </c>
      <c r="F55" s="1" t="str">
        <f t="shared" ref="F55:AA55" si="39">IF(F$10&lt;$E55,"",IF(E55="",IF($E55&gt;F$10,"",1),1+E55))</f>
        <v/>
      </c>
      <c r="G55" s="1" t="str">
        <f t="shared" si="39"/>
        <v/>
      </c>
      <c r="H55" s="1" t="str">
        <f t="shared" si="39"/>
        <v/>
      </c>
      <c r="I55" s="1" t="str">
        <f t="shared" si="39"/>
        <v/>
      </c>
      <c r="J55" s="1" t="str">
        <f t="shared" si="39"/>
        <v/>
      </c>
      <c r="K55" s="1" t="str">
        <f t="shared" si="39"/>
        <v/>
      </c>
      <c r="L55" s="1" t="str">
        <f t="shared" si="39"/>
        <v/>
      </c>
      <c r="M55" s="1" t="str">
        <f t="shared" si="39"/>
        <v/>
      </c>
      <c r="N55" s="1" t="str">
        <f t="shared" si="39"/>
        <v/>
      </c>
      <c r="O55" s="1">
        <f t="shared" si="39"/>
        <v>1</v>
      </c>
      <c r="P55" s="1">
        <f t="shared" si="39"/>
        <v>2</v>
      </c>
      <c r="Q55" s="1">
        <f t="shared" si="39"/>
        <v>3</v>
      </c>
      <c r="R55" s="1">
        <f t="shared" si="39"/>
        <v>4</v>
      </c>
      <c r="S55" s="1">
        <f t="shared" si="39"/>
        <v>5</v>
      </c>
      <c r="T55" s="1">
        <f t="shared" si="39"/>
        <v>6</v>
      </c>
      <c r="U55" s="1">
        <f t="shared" si="39"/>
        <v>7</v>
      </c>
      <c r="V55" s="1">
        <f t="shared" si="39"/>
        <v>8</v>
      </c>
      <c r="W55" s="1">
        <f t="shared" si="39"/>
        <v>9</v>
      </c>
      <c r="X55" s="1">
        <f t="shared" si="39"/>
        <v>10</v>
      </c>
      <c r="Y55" s="1">
        <f t="shared" si="39"/>
        <v>11</v>
      </c>
      <c r="Z55" s="1">
        <f t="shared" si="39"/>
        <v>12</v>
      </c>
      <c r="AA55" s="1">
        <f t="shared" si="39"/>
        <v>13</v>
      </c>
      <c r="AB55" s="1"/>
      <c r="AC55" s="1"/>
      <c r="AD55" s="1"/>
    </row>
    <row r="56" ht="15.75" customHeight="1">
      <c r="A56" s="1"/>
      <c r="B56" s="1"/>
      <c r="C56" s="1"/>
      <c r="D56" s="1"/>
      <c r="E56" s="1">
        <v>30.0</v>
      </c>
      <c r="F56" s="1" t="str">
        <f t="shared" ref="F56:AA56" si="40">IF(F$10&lt;$E56,"",IF(E56="",IF($E56&gt;F$10,"",1),1+E56))</f>
        <v/>
      </c>
      <c r="G56" s="1" t="str">
        <f t="shared" si="40"/>
        <v/>
      </c>
      <c r="H56" s="1" t="str">
        <f t="shared" si="40"/>
        <v/>
      </c>
      <c r="I56" s="1" t="str">
        <f t="shared" si="40"/>
        <v/>
      </c>
      <c r="J56" s="1" t="str">
        <f t="shared" si="40"/>
        <v/>
      </c>
      <c r="K56" s="1" t="str">
        <f t="shared" si="40"/>
        <v/>
      </c>
      <c r="L56" s="1" t="str">
        <f t="shared" si="40"/>
        <v/>
      </c>
      <c r="M56" s="1" t="str">
        <f t="shared" si="40"/>
        <v/>
      </c>
      <c r="N56" s="1" t="str">
        <f t="shared" si="40"/>
        <v/>
      </c>
      <c r="O56" s="1">
        <f t="shared" si="40"/>
        <v>1</v>
      </c>
      <c r="P56" s="1">
        <f t="shared" si="40"/>
        <v>2</v>
      </c>
      <c r="Q56" s="1">
        <f t="shared" si="40"/>
        <v>3</v>
      </c>
      <c r="R56" s="1">
        <f t="shared" si="40"/>
        <v>4</v>
      </c>
      <c r="S56" s="1">
        <f t="shared" si="40"/>
        <v>5</v>
      </c>
      <c r="T56" s="1">
        <f t="shared" si="40"/>
        <v>6</v>
      </c>
      <c r="U56" s="1">
        <f t="shared" si="40"/>
        <v>7</v>
      </c>
      <c r="V56" s="1">
        <f t="shared" si="40"/>
        <v>8</v>
      </c>
      <c r="W56" s="1">
        <f t="shared" si="40"/>
        <v>9</v>
      </c>
      <c r="X56" s="1">
        <f t="shared" si="40"/>
        <v>10</v>
      </c>
      <c r="Y56" s="1">
        <f t="shared" si="40"/>
        <v>11</v>
      </c>
      <c r="Z56" s="1">
        <f t="shared" si="40"/>
        <v>12</v>
      </c>
      <c r="AA56" s="1">
        <f t="shared" si="40"/>
        <v>13</v>
      </c>
      <c r="AB56" s="1"/>
      <c r="AC56" s="1"/>
      <c r="AD56" s="1"/>
    </row>
    <row r="57" ht="15.75" customHeight="1">
      <c r="A57" s="1"/>
      <c r="B57" s="1"/>
      <c r="C57" s="1"/>
      <c r="D57" s="1"/>
      <c r="E57" s="1">
        <v>31.0</v>
      </c>
      <c r="F57" s="1" t="str">
        <f t="shared" ref="F57:AA57" si="41">IF(F$10&lt;$E57,"",IF(E57="",IF($E57&gt;F$10,"",1),1+E57))</f>
        <v/>
      </c>
      <c r="G57" s="1" t="str">
        <f t="shared" si="41"/>
        <v/>
      </c>
      <c r="H57" s="1" t="str">
        <f t="shared" si="41"/>
        <v/>
      </c>
      <c r="I57" s="1" t="str">
        <f t="shared" si="41"/>
        <v/>
      </c>
      <c r="J57" s="1" t="str">
        <f t="shared" si="41"/>
        <v/>
      </c>
      <c r="K57" s="1" t="str">
        <f t="shared" si="41"/>
        <v/>
      </c>
      <c r="L57" s="1" t="str">
        <f t="shared" si="41"/>
        <v/>
      </c>
      <c r="M57" s="1" t="str">
        <f t="shared" si="41"/>
        <v/>
      </c>
      <c r="N57" s="1" t="str">
        <f t="shared" si="41"/>
        <v/>
      </c>
      <c r="O57" s="1">
        <f t="shared" si="41"/>
        <v>1</v>
      </c>
      <c r="P57" s="1">
        <f t="shared" si="41"/>
        <v>2</v>
      </c>
      <c r="Q57" s="1">
        <f t="shared" si="41"/>
        <v>3</v>
      </c>
      <c r="R57" s="1">
        <f t="shared" si="41"/>
        <v>4</v>
      </c>
      <c r="S57" s="1">
        <f t="shared" si="41"/>
        <v>5</v>
      </c>
      <c r="T57" s="1">
        <f t="shared" si="41"/>
        <v>6</v>
      </c>
      <c r="U57" s="1">
        <f t="shared" si="41"/>
        <v>7</v>
      </c>
      <c r="V57" s="1">
        <f t="shared" si="41"/>
        <v>8</v>
      </c>
      <c r="W57" s="1">
        <f t="shared" si="41"/>
        <v>9</v>
      </c>
      <c r="X57" s="1">
        <f t="shared" si="41"/>
        <v>10</v>
      </c>
      <c r="Y57" s="1">
        <f t="shared" si="41"/>
        <v>11</v>
      </c>
      <c r="Z57" s="1">
        <f t="shared" si="41"/>
        <v>12</v>
      </c>
      <c r="AA57" s="1">
        <f t="shared" si="41"/>
        <v>13</v>
      </c>
      <c r="AB57" s="1"/>
      <c r="AC57" s="1"/>
      <c r="AD57" s="1"/>
    </row>
    <row r="58" ht="15.75" customHeight="1">
      <c r="A58" s="1"/>
      <c r="B58" s="1"/>
      <c r="C58" s="1"/>
      <c r="D58" s="1"/>
      <c r="E58" s="1">
        <v>32.0</v>
      </c>
      <c r="F58" s="1" t="str">
        <f t="shared" ref="F58:AA58" si="42">IF(F$10&lt;$E58,"",IF(E58="",IF($E58&gt;F$10,"",1),1+E58))</f>
        <v/>
      </c>
      <c r="G58" s="1" t="str">
        <f t="shared" si="42"/>
        <v/>
      </c>
      <c r="H58" s="1" t="str">
        <f t="shared" si="42"/>
        <v/>
      </c>
      <c r="I58" s="1" t="str">
        <f t="shared" si="42"/>
        <v/>
      </c>
      <c r="J58" s="1" t="str">
        <f t="shared" si="42"/>
        <v/>
      </c>
      <c r="K58" s="1" t="str">
        <f t="shared" si="42"/>
        <v/>
      </c>
      <c r="L58" s="1" t="str">
        <f t="shared" si="42"/>
        <v/>
      </c>
      <c r="M58" s="1" t="str">
        <f t="shared" si="42"/>
        <v/>
      </c>
      <c r="N58" s="1" t="str">
        <f t="shared" si="42"/>
        <v/>
      </c>
      <c r="O58" s="1">
        <f t="shared" si="42"/>
        <v>1</v>
      </c>
      <c r="P58" s="1">
        <f t="shared" si="42"/>
        <v>2</v>
      </c>
      <c r="Q58" s="1">
        <f t="shared" si="42"/>
        <v>3</v>
      </c>
      <c r="R58" s="1">
        <f t="shared" si="42"/>
        <v>4</v>
      </c>
      <c r="S58" s="1">
        <f t="shared" si="42"/>
        <v>5</v>
      </c>
      <c r="T58" s="1">
        <f t="shared" si="42"/>
        <v>6</v>
      </c>
      <c r="U58" s="1">
        <f t="shared" si="42"/>
        <v>7</v>
      </c>
      <c r="V58" s="1">
        <f t="shared" si="42"/>
        <v>8</v>
      </c>
      <c r="W58" s="1">
        <f t="shared" si="42"/>
        <v>9</v>
      </c>
      <c r="X58" s="1">
        <f t="shared" si="42"/>
        <v>10</v>
      </c>
      <c r="Y58" s="1">
        <f t="shared" si="42"/>
        <v>11</v>
      </c>
      <c r="Z58" s="1">
        <f t="shared" si="42"/>
        <v>12</v>
      </c>
      <c r="AA58" s="1">
        <f t="shared" si="42"/>
        <v>13</v>
      </c>
      <c r="AB58" s="1"/>
      <c r="AC58" s="1"/>
      <c r="AD58" s="1"/>
    </row>
    <row r="59" ht="15.75" customHeight="1">
      <c r="A59" s="1"/>
      <c r="B59" s="1"/>
      <c r="C59" s="1"/>
      <c r="D59" s="1"/>
      <c r="E59" s="1">
        <v>33.0</v>
      </c>
      <c r="F59" s="1" t="str">
        <f t="shared" ref="F59:AA59" si="43">IF(F$10&lt;$E59,"",IF(E59="",IF($E59&gt;F$10,"",1),1+E59))</f>
        <v/>
      </c>
      <c r="G59" s="1" t="str">
        <f t="shared" si="43"/>
        <v/>
      </c>
      <c r="H59" s="1" t="str">
        <f t="shared" si="43"/>
        <v/>
      </c>
      <c r="I59" s="1" t="str">
        <f t="shared" si="43"/>
        <v/>
      </c>
      <c r="J59" s="1" t="str">
        <f t="shared" si="43"/>
        <v/>
      </c>
      <c r="K59" s="1" t="str">
        <f t="shared" si="43"/>
        <v/>
      </c>
      <c r="L59" s="1" t="str">
        <f t="shared" si="43"/>
        <v/>
      </c>
      <c r="M59" s="1" t="str">
        <f t="shared" si="43"/>
        <v/>
      </c>
      <c r="N59" s="1" t="str">
        <f t="shared" si="43"/>
        <v/>
      </c>
      <c r="O59" s="1">
        <f t="shared" si="43"/>
        <v>1</v>
      </c>
      <c r="P59" s="1">
        <f t="shared" si="43"/>
        <v>2</v>
      </c>
      <c r="Q59" s="1">
        <f t="shared" si="43"/>
        <v>3</v>
      </c>
      <c r="R59" s="1">
        <f t="shared" si="43"/>
        <v>4</v>
      </c>
      <c r="S59" s="1">
        <f t="shared" si="43"/>
        <v>5</v>
      </c>
      <c r="T59" s="1">
        <f t="shared" si="43"/>
        <v>6</v>
      </c>
      <c r="U59" s="1">
        <f t="shared" si="43"/>
        <v>7</v>
      </c>
      <c r="V59" s="1">
        <f t="shared" si="43"/>
        <v>8</v>
      </c>
      <c r="W59" s="1">
        <f t="shared" si="43"/>
        <v>9</v>
      </c>
      <c r="X59" s="1">
        <f t="shared" si="43"/>
        <v>10</v>
      </c>
      <c r="Y59" s="1">
        <f t="shared" si="43"/>
        <v>11</v>
      </c>
      <c r="Z59" s="1">
        <f t="shared" si="43"/>
        <v>12</v>
      </c>
      <c r="AA59" s="1">
        <f t="shared" si="43"/>
        <v>13</v>
      </c>
      <c r="AB59" s="1"/>
      <c r="AC59" s="1"/>
      <c r="AD59" s="1"/>
    </row>
    <row r="60" ht="15.75" customHeight="1">
      <c r="A60" s="1"/>
      <c r="B60" s="1"/>
      <c r="C60" s="1"/>
      <c r="D60" s="1"/>
      <c r="E60" s="1">
        <v>34.0</v>
      </c>
      <c r="F60" s="1" t="str">
        <f t="shared" ref="F60:AA60" si="44">IF(F$10&lt;$E60,"",IF(E60="",IF($E60&gt;F$10,"",1),1+E60))</f>
        <v/>
      </c>
      <c r="G60" s="1" t="str">
        <f t="shared" si="44"/>
        <v/>
      </c>
      <c r="H60" s="1" t="str">
        <f t="shared" si="44"/>
        <v/>
      </c>
      <c r="I60" s="1" t="str">
        <f t="shared" si="44"/>
        <v/>
      </c>
      <c r="J60" s="1" t="str">
        <f t="shared" si="44"/>
        <v/>
      </c>
      <c r="K60" s="1" t="str">
        <f t="shared" si="44"/>
        <v/>
      </c>
      <c r="L60" s="1" t="str">
        <f t="shared" si="44"/>
        <v/>
      </c>
      <c r="M60" s="1" t="str">
        <f t="shared" si="44"/>
        <v/>
      </c>
      <c r="N60" s="1" t="str">
        <f t="shared" si="44"/>
        <v/>
      </c>
      <c r="O60" s="1" t="str">
        <f t="shared" si="44"/>
        <v/>
      </c>
      <c r="P60" s="1">
        <f t="shared" si="44"/>
        <v>1</v>
      </c>
      <c r="Q60" s="1">
        <f t="shared" si="44"/>
        <v>2</v>
      </c>
      <c r="R60" s="1">
        <f t="shared" si="44"/>
        <v>3</v>
      </c>
      <c r="S60" s="1">
        <f t="shared" si="44"/>
        <v>4</v>
      </c>
      <c r="T60" s="1">
        <f t="shared" si="44"/>
        <v>5</v>
      </c>
      <c r="U60" s="1">
        <f t="shared" si="44"/>
        <v>6</v>
      </c>
      <c r="V60" s="1">
        <f t="shared" si="44"/>
        <v>7</v>
      </c>
      <c r="W60" s="1">
        <f t="shared" si="44"/>
        <v>8</v>
      </c>
      <c r="X60" s="1">
        <f t="shared" si="44"/>
        <v>9</v>
      </c>
      <c r="Y60" s="1">
        <f t="shared" si="44"/>
        <v>10</v>
      </c>
      <c r="Z60" s="1">
        <f t="shared" si="44"/>
        <v>11</v>
      </c>
      <c r="AA60" s="1">
        <f t="shared" si="44"/>
        <v>12</v>
      </c>
      <c r="AB60" s="1"/>
      <c r="AC60" s="1"/>
      <c r="AD60" s="1"/>
    </row>
    <row r="61" ht="15.75" customHeight="1">
      <c r="A61" s="1"/>
      <c r="B61" s="1"/>
      <c r="C61" s="1"/>
      <c r="D61" s="1"/>
      <c r="E61" s="1">
        <v>35.0</v>
      </c>
      <c r="F61" s="1" t="str">
        <f t="shared" ref="F61:AA61" si="45">IF(F$10&lt;$E61,"",IF(E61="",IF($E61&gt;F$10,"",1),1+E61))</f>
        <v/>
      </c>
      <c r="G61" s="1" t="str">
        <f t="shared" si="45"/>
        <v/>
      </c>
      <c r="H61" s="1" t="str">
        <f t="shared" si="45"/>
        <v/>
      </c>
      <c r="I61" s="1" t="str">
        <f t="shared" si="45"/>
        <v/>
      </c>
      <c r="J61" s="1" t="str">
        <f t="shared" si="45"/>
        <v/>
      </c>
      <c r="K61" s="1" t="str">
        <f t="shared" si="45"/>
        <v/>
      </c>
      <c r="L61" s="1" t="str">
        <f t="shared" si="45"/>
        <v/>
      </c>
      <c r="M61" s="1" t="str">
        <f t="shared" si="45"/>
        <v/>
      </c>
      <c r="N61" s="1" t="str">
        <f t="shared" si="45"/>
        <v/>
      </c>
      <c r="O61" s="1" t="str">
        <f t="shared" si="45"/>
        <v/>
      </c>
      <c r="P61" s="1">
        <f t="shared" si="45"/>
        <v>1</v>
      </c>
      <c r="Q61" s="1">
        <f t="shared" si="45"/>
        <v>2</v>
      </c>
      <c r="R61" s="1">
        <f t="shared" si="45"/>
        <v>3</v>
      </c>
      <c r="S61" s="1">
        <f t="shared" si="45"/>
        <v>4</v>
      </c>
      <c r="T61" s="1">
        <f t="shared" si="45"/>
        <v>5</v>
      </c>
      <c r="U61" s="1">
        <f t="shared" si="45"/>
        <v>6</v>
      </c>
      <c r="V61" s="1">
        <f t="shared" si="45"/>
        <v>7</v>
      </c>
      <c r="W61" s="1">
        <f t="shared" si="45"/>
        <v>8</v>
      </c>
      <c r="X61" s="1">
        <f t="shared" si="45"/>
        <v>9</v>
      </c>
      <c r="Y61" s="1">
        <f t="shared" si="45"/>
        <v>10</v>
      </c>
      <c r="Z61" s="1">
        <f t="shared" si="45"/>
        <v>11</v>
      </c>
      <c r="AA61" s="1">
        <f t="shared" si="45"/>
        <v>12</v>
      </c>
      <c r="AB61" s="1"/>
      <c r="AC61" s="1"/>
      <c r="AD61" s="1"/>
    </row>
    <row r="62" ht="15.75" customHeight="1">
      <c r="A62" s="1"/>
      <c r="B62" s="1"/>
      <c r="C62" s="1"/>
      <c r="D62" s="1"/>
      <c r="E62" s="1">
        <v>36.0</v>
      </c>
      <c r="F62" s="1" t="str">
        <f t="shared" ref="F62:AA62" si="46">IF(F$10&lt;$E62,"",IF(E62="",IF($E62&gt;F$10,"",1),1+E62))</f>
        <v/>
      </c>
      <c r="G62" s="1" t="str">
        <f t="shared" si="46"/>
        <v/>
      </c>
      <c r="H62" s="1" t="str">
        <f t="shared" si="46"/>
        <v/>
      </c>
      <c r="I62" s="1" t="str">
        <f t="shared" si="46"/>
        <v/>
      </c>
      <c r="J62" s="1" t="str">
        <f t="shared" si="46"/>
        <v/>
      </c>
      <c r="K62" s="1" t="str">
        <f t="shared" si="46"/>
        <v/>
      </c>
      <c r="L62" s="1" t="str">
        <f t="shared" si="46"/>
        <v/>
      </c>
      <c r="M62" s="1" t="str">
        <f t="shared" si="46"/>
        <v/>
      </c>
      <c r="N62" s="1" t="str">
        <f t="shared" si="46"/>
        <v/>
      </c>
      <c r="O62" s="1" t="str">
        <f t="shared" si="46"/>
        <v/>
      </c>
      <c r="P62" s="1">
        <f t="shared" si="46"/>
        <v>1</v>
      </c>
      <c r="Q62" s="1">
        <f t="shared" si="46"/>
        <v>2</v>
      </c>
      <c r="R62" s="1">
        <f t="shared" si="46"/>
        <v>3</v>
      </c>
      <c r="S62" s="1">
        <f t="shared" si="46"/>
        <v>4</v>
      </c>
      <c r="T62" s="1">
        <f t="shared" si="46"/>
        <v>5</v>
      </c>
      <c r="U62" s="1">
        <f t="shared" si="46"/>
        <v>6</v>
      </c>
      <c r="V62" s="1">
        <f t="shared" si="46"/>
        <v>7</v>
      </c>
      <c r="W62" s="1">
        <f t="shared" si="46"/>
        <v>8</v>
      </c>
      <c r="X62" s="1">
        <f t="shared" si="46"/>
        <v>9</v>
      </c>
      <c r="Y62" s="1">
        <f t="shared" si="46"/>
        <v>10</v>
      </c>
      <c r="Z62" s="1">
        <f t="shared" si="46"/>
        <v>11</v>
      </c>
      <c r="AA62" s="1">
        <f t="shared" si="46"/>
        <v>12</v>
      </c>
      <c r="AB62" s="1"/>
      <c r="AC62" s="1"/>
      <c r="AD62" s="1"/>
    </row>
    <row r="63" ht="15.75" customHeight="1">
      <c r="A63" s="1"/>
      <c r="B63" s="1"/>
      <c r="C63" s="1"/>
      <c r="D63" s="1"/>
      <c r="E63" s="1">
        <v>37.0</v>
      </c>
      <c r="F63" s="1" t="str">
        <f t="shared" ref="F63:AA63" si="47">IF(F$10&lt;$E63,"",IF(E63="",IF($E63&gt;F$10,"",1),1+E63))</f>
        <v/>
      </c>
      <c r="G63" s="1" t="str">
        <f t="shared" si="47"/>
        <v/>
      </c>
      <c r="H63" s="1" t="str">
        <f t="shared" si="47"/>
        <v/>
      </c>
      <c r="I63" s="1" t="str">
        <f t="shared" si="47"/>
        <v/>
      </c>
      <c r="J63" s="1" t="str">
        <f t="shared" si="47"/>
        <v/>
      </c>
      <c r="K63" s="1" t="str">
        <f t="shared" si="47"/>
        <v/>
      </c>
      <c r="L63" s="1" t="str">
        <f t="shared" si="47"/>
        <v/>
      </c>
      <c r="M63" s="1" t="str">
        <f t="shared" si="47"/>
        <v/>
      </c>
      <c r="N63" s="1" t="str">
        <f t="shared" si="47"/>
        <v/>
      </c>
      <c r="O63" s="1" t="str">
        <f t="shared" si="47"/>
        <v/>
      </c>
      <c r="P63" s="1">
        <f t="shared" si="47"/>
        <v>1</v>
      </c>
      <c r="Q63" s="1">
        <f t="shared" si="47"/>
        <v>2</v>
      </c>
      <c r="R63" s="1">
        <f t="shared" si="47"/>
        <v>3</v>
      </c>
      <c r="S63" s="1">
        <f t="shared" si="47"/>
        <v>4</v>
      </c>
      <c r="T63" s="1">
        <f t="shared" si="47"/>
        <v>5</v>
      </c>
      <c r="U63" s="1">
        <f t="shared" si="47"/>
        <v>6</v>
      </c>
      <c r="V63" s="1">
        <f t="shared" si="47"/>
        <v>7</v>
      </c>
      <c r="W63" s="1">
        <f t="shared" si="47"/>
        <v>8</v>
      </c>
      <c r="X63" s="1">
        <f t="shared" si="47"/>
        <v>9</v>
      </c>
      <c r="Y63" s="1">
        <f t="shared" si="47"/>
        <v>10</v>
      </c>
      <c r="Z63" s="1">
        <f t="shared" si="47"/>
        <v>11</v>
      </c>
      <c r="AA63" s="1">
        <f t="shared" si="47"/>
        <v>12</v>
      </c>
      <c r="AB63" s="1"/>
      <c r="AC63" s="1"/>
      <c r="AD63" s="1"/>
    </row>
    <row r="64" ht="15.75" customHeight="1">
      <c r="A64" s="1"/>
      <c r="B64" s="1"/>
      <c r="C64" s="1"/>
      <c r="D64" s="1"/>
      <c r="E64" s="1">
        <v>38.0</v>
      </c>
      <c r="F64" s="1" t="str">
        <f t="shared" ref="F64:AA64" si="48">IF(F$10&lt;$E64,"",IF(E64="",IF($E64&gt;F$10,"",1),1+E64))</f>
        <v/>
      </c>
      <c r="G64" s="1" t="str">
        <f t="shared" si="48"/>
        <v/>
      </c>
      <c r="H64" s="1" t="str">
        <f t="shared" si="48"/>
        <v/>
      </c>
      <c r="I64" s="1" t="str">
        <f t="shared" si="48"/>
        <v/>
      </c>
      <c r="J64" s="1" t="str">
        <f t="shared" si="48"/>
        <v/>
      </c>
      <c r="K64" s="1" t="str">
        <f t="shared" si="48"/>
        <v/>
      </c>
      <c r="L64" s="1" t="str">
        <f t="shared" si="48"/>
        <v/>
      </c>
      <c r="M64" s="1" t="str">
        <f t="shared" si="48"/>
        <v/>
      </c>
      <c r="N64" s="1" t="str">
        <f t="shared" si="48"/>
        <v/>
      </c>
      <c r="O64" s="1" t="str">
        <f t="shared" si="48"/>
        <v/>
      </c>
      <c r="P64" s="1">
        <f t="shared" si="48"/>
        <v>1</v>
      </c>
      <c r="Q64" s="1">
        <f t="shared" si="48"/>
        <v>2</v>
      </c>
      <c r="R64" s="1">
        <f t="shared" si="48"/>
        <v>3</v>
      </c>
      <c r="S64" s="1">
        <f t="shared" si="48"/>
        <v>4</v>
      </c>
      <c r="T64" s="1">
        <f t="shared" si="48"/>
        <v>5</v>
      </c>
      <c r="U64" s="1">
        <f t="shared" si="48"/>
        <v>6</v>
      </c>
      <c r="V64" s="1">
        <f t="shared" si="48"/>
        <v>7</v>
      </c>
      <c r="W64" s="1">
        <f t="shared" si="48"/>
        <v>8</v>
      </c>
      <c r="X64" s="1">
        <f t="shared" si="48"/>
        <v>9</v>
      </c>
      <c r="Y64" s="1">
        <f t="shared" si="48"/>
        <v>10</v>
      </c>
      <c r="Z64" s="1">
        <f t="shared" si="48"/>
        <v>11</v>
      </c>
      <c r="AA64" s="1">
        <f t="shared" si="48"/>
        <v>12</v>
      </c>
      <c r="AB64" s="1"/>
      <c r="AC64" s="1"/>
      <c r="AD64" s="1"/>
    </row>
    <row r="65" ht="15.75" customHeight="1">
      <c r="A65" s="1"/>
      <c r="B65" s="1"/>
      <c r="C65" s="1"/>
      <c r="D65" s="1"/>
      <c r="E65" s="1">
        <v>39.0</v>
      </c>
      <c r="F65" s="1" t="str">
        <f t="shared" ref="F65:AA65" si="49">IF(F$10&lt;$E65,"",IF(E65="",IF($E65&gt;F$10,"",1),1+E65))</f>
        <v/>
      </c>
      <c r="G65" s="1" t="str">
        <f t="shared" si="49"/>
        <v/>
      </c>
      <c r="H65" s="1" t="str">
        <f t="shared" si="49"/>
        <v/>
      </c>
      <c r="I65" s="1" t="str">
        <f t="shared" si="49"/>
        <v/>
      </c>
      <c r="J65" s="1" t="str">
        <f t="shared" si="49"/>
        <v/>
      </c>
      <c r="K65" s="1" t="str">
        <f t="shared" si="49"/>
        <v/>
      </c>
      <c r="L65" s="1" t="str">
        <f t="shared" si="49"/>
        <v/>
      </c>
      <c r="M65" s="1" t="str">
        <f t="shared" si="49"/>
        <v/>
      </c>
      <c r="N65" s="1" t="str">
        <f t="shared" si="49"/>
        <v/>
      </c>
      <c r="O65" s="1" t="str">
        <f t="shared" si="49"/>
        <v/>
      </c>
      <c r="P65" s="1">
        <f t="shared" si="49"/>
        <v>1</v>
      </c>
      <c r="Q65" s="1">
        <f t="shared" si="49"/>
        <v>2</v>
      </c>
      <c r="R65" s="1">
        <f t="shared" si="49"/>
        <v>3</v>
      </c>
      <c r="S65" s="1">
        <f t="shared" si="49"/>
        <v>4</v>
      </c>
      <c r="T65" s="1">
        <f t="shared" si="49"/>
        <v>5</v>
      </c>
      <c r="U65" s="1">
        <f t="shared" si="49"/>
        <v>6</v>
      </c>
      <c r="V65" s="1">
        <f t="shared" si="49"/>
        <v>7</v>
      </c>
      <c r="W65" s="1">
        <f t="shared" si="49"/>
        <v>8</v>
      </c>
      <c r="X65" s="1">
        <f t="shared" si="49"/>
        <v>9</v>
      </c>
      <c r="Y65" s="1">
        <f t="shared" si="49"/>
        <v>10</v>
      </c>
      <c r="Z65" s="1">
        <f t="shared" si="49"/>
        <v>11</v>
      </c>
      <c r="AA65" s="1">
        <f t="shared" si="49"/>
        <v>12</v>
      </c>
      <c r="AB65" s="1"/>
      <c r="AC65" s="1"/>
      <c r="AD65" s="1"/>
    </row>
    <row r="66" ht="15.75" customHeight="1">
      <c r="A66" s="1"/>
      <c r="B66" s="1"/>
      <c r="C66" s="1"/>
      <c r="D66" s="1"/>
      <c r="E66" s="1">
        <v>40.0</v>
      </c>
      <c r="F66" s="1" t="str">
        <f t="shared" ref="F66:AA66" si="50">IF(F$10&lt;$E66,"",IF(E66="",IF($E66&gt;F$10,"",1),1+E66))</f>
        <v/>
      </c>
      <c r="G66" s="1" t="str">
        <f t="shared" si="50"/>
        <v/>
      </c>
      <c r="H66" s="1" t="str">
        <f t="shared" si="50"/>
        <v/>
      </c>
      <c r="I66" s="1" t="str">
        <f t="shared" si="50"/>
        <v/>
      </c>
      <c r="J66" s="1" t="str">
        <f t="shared" si="50"/>
        <v/>
      </c>
      <c r="K66" s="1" t="str">
        <f t="shared" si="50"/>
        <v/>
      </c>
      <c r="L66" s="1" t="str">
        <f t="shared" si="50"/>
        <v/>
      </c>
      <c r="M66" s="1" t="str">
        <f t="shared" si="50"/>
        <v/>
      </c>
      <c r="N66" s="1" t="str">
        <f t="shared" si="50"/>
        <v/>
      </c>
      <c r="O66" s="1" t="str">
        <f t="shared" si="50"/>
        <v/>
      </c>
      <c r="P66" s="1">
        <f t="shared" si="50"/>
        <v>1</v>
      </c>
      <c r="Q66" s="1">
        <f t="shared" si="50"/>
        <v>2</v>
      </c>
      <c r="R66" s="1">
        <f t="shared" si="50"/>
        <v>3</v>
      </c>
      <c r="S66" s="1">
        <f t="shared" si="50"/>
        <v>4</v>
      </c>
      <c r="T66" s="1">
        <f t="shared" si="50"/>
        <v>5</v>
      </c>
      <c r="U66" s="1">
        <f t="shared" si="50"/>
        <v>6</v>
      </c>
      <c r="V66" s="1">
        <f t="shared" si="50"/>
        <v>7</v>
      </c>
      <c r="W66" s="1">
        <f t="shared" si="50"/>
        <v>8</v>
      </c>
      <c r="X66" s="1">
        <f t="shared" si="50"/>
        <v>9</v>
      </c>
      <c r="Y66" s="1">
        <f t="shared" si="50"/>
        <v>10</v>
      </c>
      <c r="Z66" s="1">
        <f t="shared" si="50"/>
        <v>11</v>
      </c>
      <c r="AA66" s="1">
        <f t="shared" si="50"/>
        <v>12</v>
      </c>
      <c r="AB66" s="1"/>
      <c r="AC66" s="1"/>
      <c r="AD66" s="1"/>
    </row>
    <row r="67" ht="15.75" customHeight="1">
      <c r="A67" s="1"/>
      <c r="B67" s="1"/>
      <c r="C67" s="1"/>
      <c r="D67" s="1"/>
      <c r="E67" s="1">
        <v>41.0</v>
      </c>
      <c r="F67" s="1" t="str">
        <f t="shared" ref="F67:AA67" si="51">IF(F$10&lt;$E67,"",IF(E67="",IF($E67&gt;F$10,"",1),1+E67))</f>
        <v/>
      </c>
      <c r="G67" s="1" t="str">
        <f t="shared" si="51"/>
        <v/>
      </c>
      <c r="H67" s="1" t="str">
        <f t="shared" si="51"/>
        <v/>
      </c>
      <c r="I67" s="1" t="str">
        <f t="shared" si="51"/>
        <v/>
      </c>
      <c r="J67" s="1" t="str">
        <f t="shared" si="51"/>
        <v/>
      </c>
      <c r="K67" s="1" t="str">
        <f t="shared" si="51"/>
        <v/>
      </c>
      <c r="L67" s="1" t="str">
        <f t="shared" si="51"/>
        <v/>
      </c>
      <c r="M67" s="1" t="str">
        <f t="shared" si="51"/>
        <v/>
      </c>
      <c r="N67" s="1" t="str">
        <f t="shared" si="51"/>
        <v/>
      </c>
      <c r="O67" s="1" t="str">
        <f t="shared" si="51"/>
        <v/>
      </c>
      <c r="P67" s="1">
        <f t="shared" si="51"/>
        <v>1</v>
      </c>
      <c r="Q67" s="1">
        <f t="shared" si="51"/>
        <v>2</v>
      </c>
      <c r="R67" s="1">
        <f t="shared" si="51"/>
        <v>3</v>
      </c>
      <c r="S67" s="1">
        <f t="shared" si="51"/>
        <v>4</v>
      </c>
      <c r="T67" s="1">
        <f t="shared" si="51"/>
        <v>5</v>
      </c>
      <c r="U67" s="1">
        <f t="shared" si="51"/>
        <v>6</v>
      </c>
      <c r="V67" s="1">
        <f t="shared" si="51"/>
        <v>7</v>
      </c>
      <c r="W67" s="1">
        <f t="shared" si="51"/>
        <v>8</v>
      </c>
      <c r="X67" s="1">
        <f t="shared" si="51"/>
        <v>9</v>
      </c>
      <c r="Y67" s="1">
        <f t="shared" si="51"/>
        <v>10</v>
      </c>
      <c r="Z67" s="1">
        <f t="shared" si="51"/>
        <v>11</v>
      </c>
      <c r="AA67" s="1">
        <f t="shared" si="51"/>
        <v>12</v>
      </c>
      <c r="AB67" s="1"/>
      <c r="AC67" s="1"/>
      <c r="AD67" s="1"/>
    </row>
    <row r="68" ht="15.75" customHeight="1">
      <c r="A68" s="1"/>
      <c r="B68" s="1"/>
      <c r="C68" s="1"/>
      <c r="D68" s="1"/>
      <c r="E68" s="1">
        <v>42.0</v>
      </c>
      <c r="F68" s="1" t="str">
        <f t="shared" ref="F68:AA68" si="52">IF(F$10&lt;$E68,"",IF(E68="",IF($E68&gt;F$10,"",1),1+E68))</f>
        <v/>
      </c>
      <c r="G68" s="1" t="str">
        <f t="shared" si="52"/>
        <v/>
      </c>
      <c r="H68" s="1" t="str">
        <f t="shared" si="52"/>
        <v/>
      </c>
      <c r="I68" s="1" t="str">
        <f t="shared" si="52"/>
        <v/>
      </c>
      <c r="J68" s="1" t="str">
        <f t="shared" si="52"/>
        <v/>
      </c>
      <c r="K68" s="1" t="str">
        <f t="shared" si="52"/>
        <v/>
      </c>
      <c r="L68" s="1" t="str">
        <f t="shared" si="52"/>
        <v/>
      </c>
      <c r="M68" s="1" t="str">
        <f t="shared" si="52"/>
        <v/>
      </c>
      <c r="N68" s="1" t="str">
        <f t="shared" si="52"/>
        <v/>
      </c>
      <c r="O68" s="1" t="str">
        <f t="shared" si="52"/>
        <v/>
      </c>
      <c r="P68" s="1">
        <f t="shared" si="52"/>
        <v>1</v>
      </c>
      <c r="Q68" s="1">
        <f t="shared" si="52"/>
        <v>2</v>
      </c>
      <c r="R68" s="1">
        <f t="shared" si="52"/>
        <v>3</v>
      </c>
      <c r="S68" s="1">
        <f t="shared" si="52"/>
        <v>4</v>
      </c>
      <c r="T68" s="1">
        <f t="shared" si="52"/>
        <v>5</v>
      </c>
      <c r="U68" s="1">
        <f t="shared" si="52"/>
        <v>6</v>
      </c>
      <c r="V68" s="1">
        <f t="shared" si="52"/>
        <v>7</v>
      </c>
      <c r="W68" s="1">
        <f t="shared" si="52"/>
        <v>8</v>
      </c>
      <c r="X68" s="1">
        <f t="shared" si="52"/>
        <v>9</v>
      </c>
      <c r="Y68" s="1">
        <f t="shared" si="52"/>
        <v>10</v>
      </c>
      <c r="Z68" s="1">
        <f t="shared" si="52"/>
        <v>11</v>
      </c>
      <c r="AA68" s="1">
        <f t="shared" si="52"/>
        <v>12</v>
      </c>
      <c r="AB68" s="1"/>
      <c r="AC68" s="1"/>
      <c r="AD68" s="1"/>
    </row>
    <row r="69" ht="15.75" customHeight="1">
      <c r="A69" s="1"/>
      <c r="B69" s="1"/>
      <c r="C69" s="1"/>
      <c r="D69" s="1"/>
      <c r="E69" s="1">
        <v>43.0</v>
      </c>
      <c r="F69" s="1" t="str">
        <f t="shared" ref="F69:AA69" si="53">IF(F$10&lt;$E69,"",IF(E69="",IF($E69&gt;F$10,"",1),1+E69))</f>
        <v/>
      </c>
      <c r="G69" s="1" t="str">
        <f t="shared" si="53"/>
        <v/>
      </c>
      <c r="H69" s="1" t="str">
        <f t="shared" si="53"/>
        <v/>
      </c>
      <c r="I69" s="1" t="str">
        <f t="shared" si="53"/>
        <v/>
      </c>
      <c r="J69" s="1" t="str">
        <f t="shared" si="53"/>
        <v/>
      </c>
      <c r="K69" s="1" t="str">
        <f t="shared" si="53"/>
        <v/>
      </c>
      <c r="L69" s="1" t="str">
        <f t="shared" si="53"/>
        <v/>
      </c>
      <c r="M69" s="1" t="str">
        <f t="shared" si="53"/>
        <v/>
      </c>
      <c r="N69" s="1" t="str">
        <f t="shared" si="53"/>
        <v/>
      </c>
      <c r="O69" s="1" t="str">
        <f t="shared" si="53"/>
        <v/>
      </c>
      <c r="P69" s="1">
        <f t="shared" si="53"/>
        <v>1</v>
      </c>
      <c r="Q69" s="1">
        <f t="shared" si="53"/>
        <v>2</v>
      </c>
      <c r="R69" s="1">
        <f t="shared" si="53"/>
        <v>3</v>
      </c>
      <c r="S69" s="1">
        <f t="shared" si="53"/>
        <v>4</v>
      </c>
      <c r="T69" s="1">
        <f t="shared" si="53"/>
        <v>5</v>
      </c>
      <c r="U69" s="1">
        <f t="shared" si="53"/>
        <v>6</v>
      </c>
      <c r="V69" s="1">
        <f t="shared" si="53"/>
        <v>7</v>
      </c>
      <c r="W69" s="1">
        <f t="shared" si="53"/>
        <v>8</v>
      </c>
      <c r="X69" s="1">
        <f t="shared" si="53"/>
        <v>9</v>
      </c>
      <c r="Y69" s="1">
        <f t="shared" si="53"/>
        <v>10</v>
      </c>
      <c r="Z69" s="1">
        <f t="shared" si="53"/>
        <v>11</v>
      </c>
      <c r="AA69" s="1">
        <f t="shared" si="53"/>
        <v>12</v>
      </c>
      <c r="AB69" s="1"/>
      <c r="AC69" s="1"/>
      <c r="AD69" s="1"/>
    </row>
    <row r="70" ht="15.75" customHeight="1">
      <c r="A70" s="1"/>
      <c r="B70" s="1"/>
      <c r="C70" s="1"/>
      <c r="D70" s="1"/>
      <c r="E70" s="1">
        <v>44.0</v>
      </c>
      <c r="F70" s="1" t="str">
        <f t="shared" ref="F70:AA70" si="54">IF(F$10&lt;$E70,"",IF(E70="",IF($E70&gt;F$10,"",1),1+E70))</f>
        <v/>
      </c>
      <c r="G70" s="1" t="str">
        <f t="shared" si="54"/>
        <v/>
      </c>
      <c r="H70" s="1" t="str">
        <f t="shared" si="54"/>
        <v/>
      </c>
      <c r="I70" s="1" t="str">
        <f t="shared" si="54"/>
        <v/>
      </c>
      <c r="J70" s="1" t="str">
        <f t="shared" si="54"/>
        <v/>
      </c>
      <c r="K70" s="1" t="str">
        <f t="shared" si="54"/>
        <v/>
      </c>
      <c r="L70" s="1" t="str">
        <f t="shared" si="54"/>
        <v/>
      </c>
      <c r="M70" s="1" t="str">
        <f t="shared" si="54"/>
        <v/>
      </c>
      <c r="N70" s="1" t="str">
        <f t="shared" si="54"/>
        <v/>
      </c>
      <c r="O70" s="1" t="str">
        <f t="shared" si="54"/>
        <v/>
      </c>
      <c r="P70" s="1">
        <f t="shared" si="54"/>
        <v>1</v>
      </c>
      <c r="Q70" s="1">
        <f t="shared" si="54"/>
        <v>2</v>
      </c>
      <c r="R70" s="1">
        <f t="shared" si="54"/>
        <v>3</v>
      </c>
      <c r="S70" s="1">
        <f t="shared" si="54"/>
        <v>4</v>
      </c>
      <c r="T70" s="1">
        <f t="shared" si="54"/>
        <v>5</v>
      </c>
      <c r="U70" s="1">
        <f t="shared" si="54"/>
        <v>6</v>
      </c>
      <c r="V70" s="1">
        <f t="shared" si="54"/>
        <v>7</v>
      </c>
      <c r="W70" s="1">
        <f t="shared" si="54"/>
        <v>8</v>
      </c>
      <c r="X70" s="1">
        <f t="shared" si="54"/>
        <v>9</v>
      </c>
      <c r="Y70" s="1">
        <f t="shared" si="54"/>
        <v>10</v>
      </c>
      <c r="Z70" s="1">
        <f t="shared" si="54"/>
        <v>11</v>
      </c>
      <c r="AA70" s="1">
        <f t="shared" si="54"/>
        <v>12</v>
      </c>
      <c r="AB70" s="1"/>
      <c r="AC70" s="1"/>
      <c r="AD70" s="1"/>
    </row>
    <row r="71" ht="15.75" customHeight="1">
      <c r="A71" s="1"/>
      <c r="B71" s="1"/>
      <c r="C71" s="1"/>
      <c r="D71" s="1"/>
      <c r="E71" s="1">
        <v>45.0</v>
      </c>
      <c r="F71" s="1" t="str">
        <f t="shared" ref="F71:AA71" si="55">IF(F$10&lt;$E71,"",IF(E71="",IF($E71&gt;F$10,"",1),1+E71))</f>
        <v/>
      </c>
      <c r="G71" s="1" t="str">
        <f t="shared" si="55"/>
        <v/>
      </c>
      <c r="H71" s="1" t="str">
        <f t="shared" si="55"/>
        <v/>
      </c>
      <c r="I71" s="1" t="str">
        <f t="shared" si="55"/>
        <v/>
      </c>
      <c r="J71" s="1" t="str">
        <f t="shared" si="55"/>
        <v/>
      </c>
      <c r="K71" s="1" t="str">
        <f t="shared" si="55"/>
        <v/>
      </c>
      <c r="L71" s="1" t="str">
        <f t="shared" si="55"/>
        <v/>
      </c>
      <c r="M71" s="1" t="str">
        <f t="shared" si="55"/>
        <v/>
      </c>
      <c r="N71" s="1" t="str">
        <f t="shared" si="55"/>
        <v/>
      </c>
      <c r="O71" s="1" t="str">
        <f t="shared" si="55"/>
        <v/>
      </c>
      <c r="P71" s="1">
        <f t="shared" si="55"/>
        <v>1</v>
      </c>
      <c r="Q71" s="1">
        <f t="shared" si="55"/>
        <v>2</v>
      </c>
      <c r="R71" s="1">
        <f t="shared" si="55"/>
        <v>3</v>
      </c>
      <c r="S71" s="1">
        <f t="shared" si="55"/>
        <v>4</v>
      </c>
      <c r="T71" s="1">
        <f t="shared" si="55"/>
        <v>5</v>
      </c>
      <c r="U71" s="1">
        <f t="shared" si="55"/>
        <v>6</v>
      </c>
      <c r="V71" s="1">
        <f t="shared" si="55"/>
        <v>7</v>
      </c>
      <c r="W71" s="1">
        <f t="shared" si="55"/>
        <v>8</v>
      </c>
      <c r="X71" s="1">
        <f t="shared" si="55"/>
        <v>9</v>
      </c>
      <c r="Y71" s="1">
        <f t="shared" si="55"/>
        <v>10</v>
      </c>
      <c r="Z71" s="1">
        <f t="shared" si="55"/>
        <v>11</v>
      </c>
      <c r="AA71" s="1">
        <f t="shared" si="55"/>
        <v>12</v>
      </c>
      <c r="AB71" s="1"/>
      <c r="AC71" s="1"/>
      <c r="AD71" s="1"/>
    </row>
    <row r="72" ht="15.75" customHeight="1">
      <c r="A72" s="1"/>
      <c r="B72" s="1"/>
      <c r="C72" s="1"/>
      <c r="D72" s="1"/>
      <c r="E72" s="1">
        <v>46.0</v>
      </c>
      <c r="F72" s="1" t="str">
        <f t="shared" ref="F72:AA72" si="56">IF(F$10&lt;$E72,"",IF(E72="",IF($E72&gt;F$10,"",1),1+E72))</f>
        <v/>
      </c>
      <c r="G72" s="1" t="str">
        <f t="shared" si="56"/>
        <v/>
      </c>
      <c r="H72" s="1" t="str">
        <f t="shared" si="56"/>
        <v/>
      </c>
      <c r="I72" s="1" t="str">
        <f t="shared" si="56"/>
        <v/>
      </c>
      <c r="J72" s="1" t="str">
        <f t="shared" si="56"/>
        <v/>
      </c>
      <c r="K72" s="1" t="str">
        <f t="shared" si="56"/>
        <v/>
      </c>
      <c r="L72" s="1" t="str">
        <f t="shared" si="56"/>
        <v/>
      </c>
      <c r="M72" s="1" t="str">
        <f t="shared" si="56"/>
        <v/>
      </c>
      <c r="N72" s="1" t="str">
        <f t="shared" si="56"/>
        <v/>
      </c>
      <c r="O72" s="1" t="str">
        <f t="shared" si="56"/>
        <v/>
      </c>
      <c r="P72" s="1">
        <f t="shared" si="56"/>
        <v>1</v>
      </c>
      <c r="Q72" s="1">
        <f t="shared" si="56"/>
        <v>2</v>
      </c>
      <c r="R72" s="1">
        <f t="shared" si="56"/>
        <v>3</v>
      </c>
      <c r="S72" s="1">
        <f t="shared" si="56"/>
        <v>4</v>
      </c>
      <c r="T72" s="1">
        <f t="shared" si="56"/>
        <v>5</v>
      </c>
      <c r="U72" s="1">
        <f t="shared" si="56"/>
        <v>6</v>
      </c>
      <c r="V72" s="1">
        <f t="shared" si="56"/>
        <v>7</v>
      </c>
      <c r="W72" s="1">
        <f t="shared" si="56"/>
        <v>8</v>
      </c>
      <c r="X72" s="1">
        <f t="shared" si="56"/>
        <v>9</v>
      </c>
      <c r="Y72" s="1">
        <f t="shared" si="56"/>
        <v>10</v>
      </c>
      <c r="Z72" s="1">
        <f t="shared" si="56"/>
        <v>11</v>
      </c>
      <c r="AA72" s="1">
        <f t="shared" si="56"/>
        <v>12</v>
      </c>
      <c r="AB72" s="1"/>
      <c r="AC72" s="1"/>
      <c r="AD72" s="1"/>
    </row>
    <row r="73" ht="15.75" customHeight="1">
      <c r="A73" s="1"/>
      <c r="B73" s="1"/>
      <c r="C73" s="1"/>
      <c r="D73" s="1"/>
      <c r="E73" s="1">
        <v>47.0</v>
      </c>
      <c r="F73" s="1" t="str">
        <f t="shared" ref="F73:AA73" si="57">IF(F$10&lt;$E73,"",IF(E73="",IF($E73&gt;F$10,"",1),1+E73))</f>
        <v/>
      </c>
      <c r="G73" s="1" t="str">
        <f t="shared" si="57"/>
        <v/>
      </c>
      <c r="H73" s="1" t="str">
        <f t="shared" si="57"/>
        <v/>
      </c>
      <c r="I73" s="1" t="str">
        <f t="shared" si="57"/>
        <v/>
      </c>
      <c r="J73" s="1" t="str">
        <f t="shared" si="57"/>
        <v/>
      </c>
      <c r="K73" s="1" t="str">
        <f t="shared" si="57"/>
        <v/>
      </c>
      <c r="L73" s="1" t="str">
        <f t="shared" si="57"/>
        <v/>
      </c>
      <c r="M73" s="1" t="str">
        <f t="shared" si="57"/>
        <v/>
      </c>
      <c r="N73" s="1" t="str">
        <f t="shared" si="57"/>
        <v/>
      </c>
      <c r="O73" s="1" t="str">
        <f t="shared" si="57"/>
        <v/>
      </c>
      <c r="P73" s="1">
        <f t="shared" si="57"/>
        <v>1</v>
      </c>
      <c r="Q73" s="1">
        <f t="shared" si="57"/>
        <v>2</v>
      </c>
      <c r="R73" s="1">
        <f t="shared" si="57"/>
        <v>3</v>
      </c>
      <c r="S73" s="1">
        <f t="shared" si="57"/>
        <v>4</v>
      </c>
      <c r="T73" s="1">
        <f t="shared" si="57"/>
        <v>5</v>
      </c>
      <c r="U73" s="1">
        <f t="shared" si="57"/>
        <v>6</v>
      </c>
      <c r="V73" s="1">
        <f t="shared" si="57"/>
        <v>7</v>
      </c>
      <c r="W73" s="1">
        <f t="shared" si="57"/>
        <v>8</v>
      </c>
      <c r="X73" s="1">
        <f t="shared" si="57"/>
        <v>9</v>
      </c>
      <c r="Y73" s="1">
        <f t="shared" si="57"/>
        <v>10</v>
      </c>
      <c r="Z73" s="1">
        <f t="shared" si="57"/>
        <v>11</v>
      </c>
      <c r="AA73" s="1">
        <f t="shared" si="57"/>
        <v>12</v>
      </c>
      <c r="AB73" s="1"/>
      <c r="AC73" s="1"/>
      <c r="AD73" s="1"/>
    </row>
    <row r="74" ht="15.75" customHeight="1">
      <c r="A74" s="1"/>
      <c r="B74" s="1"/>
      <c r="C74" s="1"/>
      <c r="D74" s="1"/>
      <c r="E74" s="1">
        <v>48.0</v>
      </c>
      <c r="F74" s="1" t="str">
        <f t="shared" ref="F74:AA74" si="58">IF(F$10&lt;$E74,"",IF(E74="",IF($E74&gt;F$10,"",1),1+E74))</f>
        <v/>
      </c>
      <c r="G74" s="1" t="str">
        <f t="shared" si="58"/>
        <v/>
      </c>
      <c r="H74" s="1" t="str">
        <f t="shared" si="58"/>
        <v/>
      </c>
      <c r="I74" s="1" t="str">
        <f t="shared" si="58"/>
        <v/>
      </c>
      <c r="J74" s="1" t="str">
        <f t="shared" si="58"/>
        <v/>
      </c>
      <c r="K74" s="1" t="str">
        <f t="shared" si="58"/>
        <v/>
      </c>
      <c r="L74" s="1" t="str">
        <f t="shared" si="58"/>
        <v/>
      </c>
      <c r="M74" s="1" t="str">
        <f t="shared" si="58"/>
        <v/>
      </c>
      <c r="N74" s="1" t="str">
        <f t="shared" si="58"/>
        <v/>
      </c>
      <c r="O74" s="1" t="str">
        <f t="shared" si="58"/>
        <v/>
      </c>
      <c r="P74" s="1">
        <f t="shared" si="58"/>
        <v>1</v>
      </c>
      <c r="Q74" s="1">
        <f t="shared" si="58"/>
        <v>2</v>
      </c>
      <c r="R74" s="1">
        <f t="shared" si="58"/>
        <v>3</v>
      </c>
      <c r="S74" s="1">
        <f t="shared" si="58"/>
        <v>4</v>
      </c>
      <c r="T74" s="1">
        <f t="shared" si="58"/>
        <v>5</v>
      </c>
      <c r="U74" s="1">
        <f t="shared" si="58"/>
        <v>6</v>
      </c>
      <c r="V74" s="1">
        <f t="shared" si="58"/>
        <v>7</v>
      </c>
      <c r="W74" s="1">
        <f t="shared" si="58"/>
        <v>8</v>
      </c>
      <c r="X74" s="1">
        <f t="shared" si="58"/>
        <v>9</v>
      </c>
      <c r="Y74" s="1">
        <f t="shared" si="58"/>
        <v>10</v>
      </c>
      <c r="Z74" s="1">
        <f t="shared" si="58"/>
        <v>11</v>
      </c>
      <c r="AA74" s="1">
        <f t="shared" si="58"/>
        <v>12</v>
      </c>
      <c r="AB74" s="1"/>
      <c r="AC74" s="1"/>
      <c r="AD74" s="1"/>
    </row>
    <row r="75" ht="15.75" customHeight="1">
      <c r="A75" s="1"/>
      <c r="B75" s="1"/>
      <c r="C75" s="1"/>
      <c r="D75" s="1"/>
      <c r="E75" s="1">
        <v>49.0</v>
      </c>
      <c r="F75" s="1" t="str">
        <f t="shared" ref="F75:AA75" si="59">IF(F$10&lt;$E75,"",IF(E75="",IF($E75&gt;F$10,"",1),1+E75))</f>
        <v/>
      </c>
      <c r="G75" s="1" t="str">
        <f t="shared" si="59"/>
        <v/>
      </c>
      <c r="H75" s="1" t="str">
        <f t="shared" si="59"/>
        <v/>
      </c>
      <c r="I75" s="1" t="str">
        <f t="shared" si="59"/>
        <v/>
      </c>
      <c r="J75" s="1" t="str">
        <f t="shared" si="59"/>
        <v/>
      </c>
      <c r="K75" s="1" t="str">
        <f t="shared" si="59"/>
        <v/>
      </c>
      <c r="L75" s="1" t="str">
        <f t="shared" si="59"/>
        <v/>
      </c>
      <c r="M75" s="1" t="str">
        <f t="shared" si="59"/>
        <v/>
      </c>
      <c r="N75" s="1" t="str">
        <f t="shared" si="59"/>
        <v/>
      </c>
      <c r="O75" s="1" t="str">
        <f t="shared" si="59"/>
        <v/>
      </c>
      <c r="P75" s="1">
        <f t="shared" si="59"/>
        <v>1</v>
      </c>
      <c r="Q75" s="1">
        <f t="shared" si="59"/>
        <v>2</v>
      </c>
      <c r="R75" s="1">
        <f t="shared" si="59"/>
        <v>3</v>
      </c>
      <c r="S75" s="1">
        <f t="shared" si="59"/>
        <v>4</v>
      </c>
      <c r="T75" s="1">
        <f t="shared" si="59"/>
        <v>5</v>
      </c>
      <c r="U75" s="1">
        <f t="shared" si="59"/>
        <v>6</v>
      </c>
      <c r="V75" s="1">
        <f t="shared" si="59"/>
        <v>7</v>
      </c>
      <c r="W75" s="1">
        <f t="shared" si="59"/>
        <v>8</v>
      </c>
      <c r="X75" s="1">
        <f t="shared" si="59"/>
        <v>9</v>
      </c>
      <c r="Y75" s="1">
        <f t="shared" si="59"/>
        <v>10</v>
      </c>
      <c r="Z75" s="1">
        <f t="shared" si="59"/>
        <v>11</v>
      </c>
      <c r="AA75" s="1">
        <f t="shared" si="59"/>
        <v>12</v>
      </c>
      <c r="AB75" s="1"/>
      <c r="AC75" s="1"/>
      <c r="AD75" s="1"/>
    </row>
    <row r="76" ht="15.75" customHeight="1">
      <c r="A76" s="1"/>
      <c r="B76" s="1"/>
      <c r="C76" s="1"/>
      <c r="D76" s="1"/>
      <c r="E76" s="1">
        <v>50.0</v>
      </c>
      <c r="F76" s="1" t="str">
        <f t="shared" ref="F76:AA76" si="60">IF(F$10&lt;$E76,"",IF(E76="",IF($E76&gt;F$10,"",1),1+E76))</f>
        <v/>
      </c>
      <c r="G76" s="1" t="str">
        <f t="shared" si="60"/>
        <v/>
      </c>
      <c r="H76" s="1" t="str">
        <f t="shared" si="60"/>
        <v/>
      </c>
      <c r="I76" s="1" t="str">
        <f t="shared" si="60"/>
        <v/>
      </c>
      <c r="J76" s="1" t="str">
        <f t="shared" si="60"/>
        <v/>
      </c>
      <c r="K76" s="1" t="str">
        <f t="shared" si="60"/>
        <v/>
      </c>
      <c r="L76" s="1" t="str">
        <f t="shared" si="60"/>
        <v/>
      </c>
      <c r="M76" s="1" t="str">
        <f t="shared" si="60"/>
        <v/>
      </c>
      <c r="N76" s="1" t="str">
        <f t="shared" si="60"/>
        <v/>
      </c>
      <c r="O76" s="1" t="str">
        <f t="shared" si="60"/>
        <v/>
      </c>
      <c r="P76" s="1">
        <f t="shared" si="60"/>
        <v>1</v>
      </c>
      <c r="Q76" s="1">
        <f t="shared" si="60"/>
        <v>2</v>
      </c>
      <c r="R76" s="1">
        <f t="shared" si="60"/>
        <v>3</v>
      </c>
      <c r="S76" s="1">
        <f t="shared" si="60"/>
        <v>4</v>
      </c>
      <c r="T76" s="1">
        <f t="shared" si="60"/>
        <v>5</v>
      </c>
      <c r="U76" s="1">
        <f t="shared" si="60"/>
        <v>6</v>
      </c>
      <c r="V76" s="1">
        <f t="shared" si="60"/>
        <v>7</v>
      </c>
      <c r="W76" s="1">
        <f t="shared" si="60"/>
        <v>8</v>
      </c>
      <c r="X76" s="1">
        <f t="shared" si="60"/>
        <v>9</v>
      </c>
      <c r="Y76" s="1">
        <f t="shared" si="60"/>
        <v>10</v>
      </c>
      <c r="Z76" s="1">
        <f t="shared" si="60"/>
        <v>11</v>
      </c>
      <c r="AA76" s="1">
        <f t="shared" si="60"/>
        <v>12</v>
      </c>
      <c r="AB76" s="1"/>
      <c r="AC76" s="1"/>
      <c r="AD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row>
    <row r="78" ht="15.75" customHeight="1">
      <c r="A78" s="1"/>
      <c r="B78" s="1"/>
      <c r="C78" s="1"/>
      <c r="D78" s="1"/>
      <c r="E78" s="2" t="s">
        <v>1</v>
      </c>
      <c r="F78" s="1"/>
      <c r="G78" s="1"/>
      <c r="H78" s="1"/>
      <c r="I78" s="1"/>
      <c r="J78" s="1"/>
      <c r="K78" s="1"/>
      <c r="L78" s="1"/>
      <c r="M78" s="1"/>
      <c r="N78" s="1"/>
      <c r="O78" s="1"/>
      <c r="P78" s="1"/>
      <c r="Q78" s="1"/>
      <c r="R78" s="1"/>
      <c r="S78" s="1"/>
      <c r="T78" s="1"/>
      <c r="U78" s="1"/>
      <c r="V78" s="1"/>
      <c r="W78" s="1"/>
      <c r="X78" s="1"/>
      <c r="Y78" s="1"/>
      <c r="Z78" s="1"/>
      <c r="AA78" s="1"/>
      <c r="AB78" s="1"/>
      <c r="AC78" s="1"/>
      <c r="AD78" s="1"/>
    </row>
    <row r="79" ht="15.75" customHeight="1">
      <c r="A79" s="1"/>
      <c r="B79" s="1"/>
      <c r="C79" s="16" t="s">
        <v>16</v>
      </c>
      <c r="D79" s="1"/>
      <c r="E79" s="2" t="s">
        <v>17</v>
      </c>
      <c r="F79" s="8" t="s">
        <v>4</v>
      </c>
      <c r="G79" s="8" t="s">
        <v>5</v>
      </c>
      <c r="H79" s="8" t="s">
        <v>6</v>
      </c>
      <c r="I79" s="8" t="s">
        <v>7</v>
      </c>
      <c r="J79" s="8" t="s">
        <v>8</v>
      </c>
      <c r="K79" s="8" t="str">
        <f t="shared" ref="K79:AA79" si="61">RIGHT(J79,4)&amp;"-"&amp;RIGHT(J79,4)+1</f>
        <v>2015-2016</v>
      </c>
      <c r="L79" s="8" t="str">
        <f t="shared" si="61"/>
        <v>2016-2017</v>
      </c>
      <c r="M79" s="8" t="str">
        <f t="shared" si="61"/>
        <v>2017-2018</v>
      </c>
      <c r="N79" s="8" t="str">
        <f t="shared" si="61"/>
        <v>2018-2019</v>
      </c>
      <c r="O79" s="8" t="str">
        <f t="shared" si="61"/>
        <v>2019-2020</v>
      </c>
      <c r="P79" s="8" t="str">
        <f t="shared" si="61"/>
        <v>2020-2021</v>
      </c>
      <c r="Q79" s="8" t="str">
        <f t="shared" si="61"/>
        <v>2021-2022</v>
      </c>
      <c r="R79" s="8" t="str">
        <f t="shared" si="61"/>
        <v>2022-2023</v>
      </c>
      <c r="S79" s="8" t="str">
        <f t="shared" si="61"/>
        <v>2023-2024</v>
      </c>
      <c r="T79" s="8" t="str">
        <f t="shared" si="61"/>
        <v>2024-2025</v>
      </c>
      <c r="U79" s="8" t="str">
        <f t="shared" si="61"/>
        <v>2025-2026</v>
      </c>
      <c r="V79" s="8" t="str">
        <f t="shared" si="61"/>
        <v>2026-2027</v>
      </c>
      <c r="W79" s="8" t="str">
        <f t="shared" si="61"/>
        <v>2027-2028</v>
      </c>
      <c r="X79" s="8" t="str">
        <f t="shared" si="61"/>
        <v>2028-2029</v>
      </c>
      <c r="Y79" s="8" t="str">
        <f t="shared" si="61"/>
        <v>2029-2030</v>
      </c>
      <c r="Z79" s="8" t="str">
        <f t="shared" si="61"/>
        <v>2030-2031</v>
      </c>
      <c r="AA79" s="8" t="str">
        <f t="shared" si="61"/>
        <v>2031-2032</v>
      </c>
      <c r="AB79" s="1"/>
      <c r="AC79" s="1"/>
      <c r="AD79" s="1"/>
    </row>
    <row r="80" ht="15.75" customHeight="1">
      <c r="A80" s="1"/>
      <c r="B80" s="1"/>
      <c r="C80" s="1">
        <v>100.0</v>
      </c>
      <c r="D80" s="1"/>
      <c r="E80" s="14">
        <v>1.0</v>
      </c>
      <c r="F80" s="1">
        <v>3.0</v>
      </c>
      <c r="G80" s="1">
        <v>5.0</v>
      </c>
      <c r="H80" s="1">
        <v>8.0</v>
      </c>
      <c r="I80" s="1">
        <v>12.0</v>
      </c>
      <c r="J80" s="1">
        <v>20.0</v>
      </c>
      <c r="K80" s="1">
        <v>30.0</v>
      </c>
      <c r="L80" s="1">
        <v>47.0</v>
      </c>
      <c r="M80" s="1">
        <v>70.0</v>
      </c>
      <c r="N80" s="1">
        <v>95.0</v>
      </c>
      <c r="O80" s="1">
        <f t="shared" ref="O80:AA80" si="62">MIN($C$80,ROUNDDOWN(N80*(1+$G$2),0))</f>
        <v>100</v>
      </c>
      <c r="P80" s="1">
        <f t="shared" si="62"/>
        <v>100</v>
      </c>
      <c r="Q80" s="1">
        <f t="shared" si="62"/>
        <v>100</v>
      </c>
      <c r="R80" s="1">
        <f t="shared" si="62"/>
        <v>100</v>
      </c>
      <c r="S80" s="1">
        <f t="shared" si="62"/>
        <v>100</v>
      </c>
      <c r="T80" s="1">
        <f t="shared" si="62"/>
        <v>100</v>
      </c>
      <c r="U80" s="1">
        <f t="shared" si="62"/>
        <v>100</v>
      </c>
      <c r="V80" s="1">
        <f t="shared" si="62"/>
        <v>100</v>
      </c>
      <c r="W80" s="1">
        <f t="shared" si="62"/>
        <v>100</v>
      </c>
      <c r="X80" s="1">
        <f t="shared" si="62"/>
        <v>100</v>
      </c>
      <c r="Y80" s="1">
        <f t="shared" si="62"/>
        <v>100</v>
      </c>
      <c r="Z80" s="1">
        <f t="shared" si="62"/>
        <v>100</v>
      </c>
      <c r="AA80" s="1">
        <f t="shared" si="62"/>
        <v>100</v>
      </c>
      <c r="AB80" s="1"/>
      <c r="AC80" s="1"/>
      <c r="AD80" s="1"/>
    </row>
    <row r="81" ht="15.75" customHeight="1">
      <c r="A81" s="1"/>
      <c r="B81" s="1"/>
      <c r="C81" s="1">
        <v>30.0</v>
      </c>
      <c r="D81" s="1"/>
      <c r="E81" s="14">
        <v>2.0</v>
      </c>
      <c r="F81" s="1"/>
      <c r="G81" s="1" t="str">
        <f t="shared" ref="G81:AA81" si="63">IF(G28="","",MIN($C81,VLOOKUP(G28,$B$2:$C$21,2,0)))</f>
        <v/>
      </c>
      <c r="H81" s="1" t="str">
        <f t="shared" si="63"/>
        <v/>
      </c>
      <c r="I81" s="1">
        <f t="shared" si="63"/>
        <v>1</v>
      </c>
      <c r="J81" s="1">
        <f t="shared" si="63"/>
        <v>1</v>
      </c>
      <c r="K81" s="1">
        <f t="shared" si="63"/>
        <v>2</v>
      </c>
      <c r="L81" s="1">
        <f t="shared" si="63"/>
        <v>4</v>
      </c>
      <c r="M81" s="1">
        <f t="shared" si="63"/>
        <v>8</v>
      </c>
      <c r="N81" s="1">
        <f t="shared" si="63"/>
        <v>13</v>
      </c>
      <c r="O81" s="1">
        <f t="shared" si="63"/>
        <v>21</v>
      </c>
      <c r="P81" s="1">
        <f t="shared" si="63"/>
        <v>30</v>
      </c>
      <c r="Q81" s="1">
        <f t="shared" si="63"/>
        <v>30</v>
      </c>
      <c r="R81" s="1">
        <f t="shared" si="63"/>
        <v>30</v>
      </c>
      <c r="S81" s="1">
        <f t="shared" si="63"/>
        <v>30</v>
      </c>
      <c r="T81" s="1">
        <f t="shared" si="63"/>
        <v>30</v>
      </c>
      <c r="U81" s="1">
        <f t="shared" si="63"/>
        <v>30</v>
      </c>
      <c r="V81" s="1">
        <f t="shared" si="63"/>
        <v>30</v>
      </c>
      <c r="W81" s="1">
        <f t="shared" si="63"/>
        <v>30</v>
      </c>
      <c r="X81" s="1">
        <f t="shared" si="63"/>
        <v>30</v>
      </c>
      <c r="Y81" s="1">
        <f t="shared" si="63"/>
        <v>30</v>
      </c>
      <c r="Z81" s="1">
        <f t="shared" si="63"/>
        <v>30</v>
      </c>
      <c r="AA81" s="1">
        <f t="shared" si="63"/>
        <v>30</v>
      </c>
      <c r="AB81" s="1"/>
      <c r="AC81" s="1"/>
      <c r="AD81" s="1"/>
    </row>
    <row r="82" ht="15.75" customHeight="1">
      <c r="A82" s="1"/>
      <c r="B82" s="1"/>
      <c r="C82" s="1">
        <v>30.0</v>
      </c>
      <c r="D82" s="1"/>
      <c r="E82" s="14">
        <v>3.0</v>
      </c>
      <c r="F82" s="1"/>
      <c r="G82" s="1" t="str">
        <f t="shared" ref="G82:AA82" si="64">IF(G29="","",MIN($C82,VLOOKUP(G29,$B$2:$C$21,2,0)))</f>
        <v/>
      </c>
      <c r="H82" s="1" t="str">
        <f t="shared" si="64"/>
        <v/>
      </c>
      <c r="I82" s="1" t="str">
        <f t="shared" si="64"/>
        <v/>
      </c>
      <c r="J82" s="1" t="str">
        <f t="shared" si="64"/>
        <v/>
      </c>
      <c r="K82" s="1">
        <f t="shared" si="64"/>
        <v>1</v>
      </c>
      <c r="L82" s="1">
        <f t="shared" si="64"/>
        <v>1</v>
      </c>
      <c r="M82" s="1">
        <f t="shared" si="64"/>
        <v>2</v>
      </c>
      <c r="N82" s="1">
        <f t="shared" si="64"/>
        <v>4</v>
      </c>
      <c r="O82" s="1">
        <f t="shared" si="64"/>
        <v>8</v>
      </c>
      <c r="P82" s="1">
        <f t="shared" si="64"/>
        <v>13</v>
      </c>
      <c r="Q82" s="1">
        <f t="shared" si="64"/>
        <v>21</v>
      </c>
      <c r="R82" s="1">
        <f t="shared" si="64"/>
        <v>30</v>
      </c>
      <c r="S82" s="1">
        <f t="shared" si="64"/>
        <v>30</v>
      </c>
      <c r="T82" s="1">
        <f t="shared" si="64"/>
        <v>30</v>
      </c>
      <c r="U82" s="1">
        <f t="shared" si="64"/>
        <v>30</v>
      </c>
      <c r="V82" s="1">
        <f t="shared" si="64"/>
        <v>30</v>
      </c>
      <c r="W82" s="1">
        <f t="shared" si="64"/>
        <v>30</v>
      </c>
      <c r="X82" s="1">
        <f t="shared" si="64"/>
        <v>30</v>
      </c>
      <c r="Y82" s="1">
        <f t="shared" si="64"/>
        <v>30</v>
      </c>
      <c r="Z82" s="1">
        <f t="shared" si="64"/>
        <v>30</v>
      </c>
      <c r="AA82" s="1">
        <f t="shared" si="64"/>
        <v>30</v>
      </c>
      <c r="AB82" s="1"/>
      <c r="AC82" s="1"/>
      <c r="AD82" s="1"/>
    </row>
    <row r="83" ht="15.75" customHeight="1">
      <c r="A83" s="1"/>
      <c r="B83" s="1"/>
      <c r="C83" s="1">
        <v>30.0</v>
      </c>
      <c r="D83" s="1"/>
      <c r="E83" s="14">
        <v>4.0</v>
      </c>
      <c r="F83" s="1"/>
      <c r="G83" s="1" t="str">
        <f t="shared" ref="G83:AA83" si="65">IF(G30="","",MIN($C83,VLOOKUP(G30,$B$2:$C$21,2,0)))</f>
        <v/>
      </c>
      <c r="H83" s="1" t="str">
        <f t="shared" si="65"/>
        <v/>
      </c>
      <c r="I83" s="1" t="str">
        <f t="shared" si="65"/>
        <v/>
      </c>
      <c r="J83" s="1" t="str">
        <f t="shared" si="65"/>
        <v/>
      </c>
      <c r="K83" s="1">
        <f t="shared" si="65"/>
        <v>1</v>
      </c>
      <c r="L83" s="1">
        <f t="shared" si="65"/>
        <v>1</v>
      </c>
      <c r="M83" s="1">
        <f t="shared" si="65"/>
        <v>2</v>
      </c>
      <c r="N83" s="1">
        <f t="shared" si="65"/>
        <v>4</v>
      </c>
      <c r="O83" s="1">
        <f t="shared" si="65"/>
        <v>8</v>
      </c>
      <c r="P83" s="1">
        <f t="shared" si="65"/>
        <v>13</v>
      </c>
      <c r="Q83" s="1">
        <f t="shared" si="65"/>
        <v>21</v>
      </c>
      <c r="R83" s="1">
        <f t="shared" si="65"/>
        <v>30</v>
      </c>
      <c r="S83" s="1">
        <f t="shared" si="65"/>
        <v>30</v>
      </c>
      <c r="T83" s="1">
        <f t="shared" si="65"/>
        <v>30</v>
      </c>
      <c r="U83" s="1">
        <f t="shared" si="65"/>
        <v>30</v>
      </c>
      <c r="V83" s="1">
        <f t="shared" si="65"/>
        <v>30</v>
      </c>
      <c r="W83" s="1">
        <f t="shared" si="65"/>
        <v>30</v>
      </c>
      <c r="X83" s="1">
        <f t="shared" si="65"/>
        <v>30</v>
      </c>
      <c r="Y83" s="1">
        <f t="shared" si="65"/>
        <v>30</v>
      </c>
      <c r="Z83" s="1">
        <f t="shared" si="65"/>
        <v>30</v>
      </c>
      <c r="AA83" s="1">
        <f t="shared" si="65"/>
        <v>30</v>
      </c>
      <c r="AB83" s="1"/>
      <c r="AC83" s="1"/>
      <c r="AD83" s="1"/>
    </row>
    <row r="84" ht="15.75" customHeight="1">
      <c r="A84" s="1"/>
      <c r="B84" s="1"/>
      <c r="C84" s="1">
        <v>30.0</v>
      </c>
      <c r="D84" s="1"/>
      <c r="E84" s="14">
        <v>5.0</v>
      </c>
      <c r="F84" s="1"/>
      <c r="G84" s="1" t="str">
        <f t="shared" ref="G84:AA84" si="66">IF(G31="","",MIN($C84,VLOOKUP(G31,$B$2:$C$21,2,0)))</f>
        <v/>
      </c>
      <c r="H84" s="1" t="str">
        <f t="shared" si="66"/>
        <v/>
      </c>
      <c r="I84" s="1" t="str">
        <f t="shared" si="66"/>
        <v/>
      </c>
      <c r="J84" s="1" t="str">
        <f t="shared" si="66"/>
        <v/>
      </c>
      <c r="K84" s="1" t="str">
        <f t="shared" si="66"/>
        <v/>
      </c>
      <c r="L84" s="1">
        <f t="shared" si="66"/>
        <v>1</v>
      </c>
      <c r="M84" s="1">
        <f t="shared" si="66"/>
        <v>1</v>
      </c>
      <c r="N84" s="1">
        <f t="shared" si="66"/>
        <v>2</v>
      </c>
      <c r="O84" s="1">
        <f t="shared" si="66"/>
        <v>4</v>
      </c>
      <c r="P84" s="1">
        <f t="shared" si="66"/>
        <v>8</v>
      </c>
      <c r="Q84" s="1">
        <f t="shared" si="66"/>
        <v>13</v>
      </c>
      <c r="R84" s="1">
        <f t="shared" si="66"/>
        <v>21</v>
      </c>
      <c r="S84" s="1">
        <f t="shared" si="66"/>
        <v>30</v>
      </c>
      <c r="T84" s="1">
        <f t="shared" si="66"/>
        <v>30</v>
      </c>
      <c r="U84" s="1">
        <f t="shared" si="66"/>
        <v>30</v>
      </c>
      <c r="V84" s="1">
        <f t="shared" si="66"/>
        <v>30</v>
      </c>
      <c r="W84" s="1">
        <f t="shared" si="66"/>
        <v>30</v>
      </c>
      <c r="X84" s="1">
        <f t="shared" si="66"/>
        <v>30</v>
      </c>
      <c r="Y84" s="1">
        <f t="shared" si="66"/>
        <v>30</v>
      </c>
      <c r="Z84" s="1">
        <f t="shared" si="66"/>
        <v>30</v>
      </c>
      <c r="AA84" s="1">
        <f t="shared" si="66"/>
        <v>30</v>
      </c>
      <c r="AB84" s="1"/>
      <c r="AC84" s="1"/>
      <c r="AD84" s="1"/>
    </row>
    <row r="85" ht="15.75" customHeight="1">
      <c r="A85" s="1"/>
      <c r="B85" s="1"/>
      <c r="C85" s="1">
        <v>30.0</v>
      </c>
      <c r="D85" s="1"/>
      <c r="E85" s="14">
        <v>6.0</v>
      </c>
      <c r="F85" s="1"/>
      <c r="G85" s="1" t="str">
        <f t="shared" ref="G85:AA85" si="67">IF(G32="","",MIN($C85,VLOOKUP(G32,$B$2:$C$21,2,0)))</f>
        <v/>
      </c>
      <c r="H85" s="1" t="str">
        <f t="shared" si="67"/>
        <v/>
      </c>
      <c r="I85" s="1" t="str">
        <f t="shared" si="67"/>
        <v/>
      </c>
      <c r="J85" s="1" t="str">
        <f t="shared" si="67"/>
        <v/>
      </c>
      <c r="K85" s="1" t="str">
        <f t="shared" si="67"/>
        <v/>
      </c>
      <c r="L85" s="1">
        <f t="shared" si="67"/>
        <v>1</v>
      </c>
      <c r="M85" s="1">
        <f t="shared" si="67"/>
        <v>1</v>
      </c>
      <c r="N85" s="1">
        <f t="shared" si="67"/>
        <v>2</v>
      </c>
      <c r="O85" s="1">
        <f t="shared" si="67"/>
        <v>4</v>
      </c>
      <c r="P85" s="1">
        <f t="shared" si="67"/>
        <v>8</v>
      </c>
      <c r="Q85" s="1">
        <f t="shared" si="67"/>
        <v>13</v>
      </c>
      <c r="R85" s="1">
        <f t="shared" si="67"/>
        <v>21</v>
      </c>
      <c r="S85" s="1">
        <f t="shared" si="67"/>
        <v>30</v>
      </c>
      <c r="T85" s="1">
        <f t="shared" si="67"/>
        <v>30</v>
      </c>
      <c r="U85" s="1">
        <f t="shared" si="67"/>
        <v>30</v>
      </c>
      <c r="V85" s="1">
        <f t="shared" si="67"/>
        <v>30</v>
      </c>
      <c r="W85" s="1">
        <f t="shared" si="67"/>
        <v>30</v>
      </c>
      <c r="X85" s="1">
        <f t="shared" si="67"/>
        <v>30</v>
      </c>
      <c r="Y85" s="1">
        <f t="shared" si="67"/>
        <v>30</v>
      </c>
      <c r="Z85" s="1">
        <f t="shared" si="67"/>
        <v>30</v>
      </c>
      <c r="AA85" s="1">
        <f t="shared" si="67"/>
        <v>30</v>
      </c>
      <c r="AB85" s="1"/>
      <c r="AC85" s="1"/>
      <c r="AD85" s="1"/>
    </row>
    <row r="86" ht="15.75" customHeight="1">
      <c r="A86" s="1"/>
      <c r="B86" s="1"/>
      <c r="C86" s="1">
        <v>30.0</v>
      </c>
      <c r="D86" s="1"/>
      <c r="E86" s="14">
        <v>7.0</v>
      </c>
      <c r="F86" s="1"/>
      <c r="G86" s="1" t="str">
        <f t="shared" ref="G86:AA86" si="68">IF(G33="","",MIN($C86,VLOOKUP(G33,$B$2:$C$21,2,0)))</f>
        <v/>
      </c>
      <c r="H86" s="1" t="str">
        <f t="shared" si="68"/>
        <v/>
      </c>
      <c r="I86" s="1" t="str">
        <f t="shared" si="68"/>
        <v/>
      </c>
      <c r="J86" s="1" t="str">
        <f t="shared" si="68"/>
        <v/>
      </c>
      <c r="K86" s="1" t="str">
        <f t="shared" si="68"/>
        <v/>
      </c>
      <c r="L86" s="1">
        <f t="shared" si="68"/>
        <v>1</v>
      </c>
      <c r="M86" s="1">
        <f t="shared" si="68"/>
        <v>1</v>
      </c>
      <c r="N86" s="1">
        <f t="shared" si="68"/>
        <v>2</v>
      </c>
      <c r="O86" s="1">
        <f t="shared" si="68"/>
        <v>4</v>
      </c>
      <c r="P86" s="1">
        <f t="shared" si="68"/>
        <v>8</v>
      </c>
      <c r="Q86" s="1">
        <f t="shared" si="68"/>
        <v>13</v>
      </c>
      <c r="R86" s="1">
        <f t="shared" si="68"/>
        <v>21</v>
      </c>
      <c r="S86" s="1">
        <f t="shared" si="68"/>
        <v>30</v>
      </c>
      <c r="T86" s="1">
        <f t="shared" si="68"/>
        <v>30</v>
      </c>
      <c r="U86" s="1">
        <f t="shared" si="68"/>
        <v>30</v>
      </c>
      <c r="V86" s="1">
        <f t="shared" si="68"/>
        <v>30</v>
      </c>
      <c r="W86" s="1">
        <f t="shared" si="68"/>
        <v>30</v>
      </c>
      <c r="X86" s="1">
        <f t="shared" si="68"/>
        <v>30</v>
      </c>
      <c r="Y86" s="1">
        <f t="shared" si="68"/>
        <v>30</v>
      </c>
      <c r="Z86" s="1">
        <f t="shared" si="68"/>
        <v>30</v>
      </c>
      <c r="AA86" s="1">
        <f t="shared" si="68"/>
        <v>30</v>
      </c>
      <c r="AB86" s="1"/>
      <c r="AC86" s="1"/>
      <c r="AD86" s="1"/>
    </row>
    <row r="87" ht="15.75" customHeight="1">
      <c r="A87" s="1"/>
      <c r="B87" s="1"/>
      <c r="C87" s="1">
        <v>30.0</v>
      </c>
      <c r="D87" s="1"/>
      <c r="E87" s="14">
        <v>8.0</v>
      </c>
      <c r="F87" s="1"/>
      <c r="G87" s="1" t="str">
        <f t="shared" ref="G87:AA87" si="69">IF(G34="","",MIN($C87,VLOOKUP(G34,$B$2:$C$21,2,0)))</f>
        <v/>
      </c>
      <c r="H87" s="1" t="str">
        <f t="shared" si="69"/>
        <v/>
      </c>
      <c r="I87" s="1" t="str">
        <f t="shared" si="69"/>
        <v/>
      </c>
      <c r="J87" s="1" t="str">
        <f t="shared" si="69"/>
        <v/>
      </c>
      <c r="K87" s="1" t="str">
        <f t="shared" si="69"/>
        <v/>
      </c>
      <c r="L87" s="1" t="str">
        <f t="shared" si="69"/>
        <v/>
      </c>
      <c r="M87" s="1">
        <f t="shared" si="69"/>
        <v>1</v>
      </c>
      <c r="N87" s="1">
        <f t="shared" si="69"/>
        <v>1</v>
      </c>
      <c r="O87" s="1">
        <f t="shared" si="69"/>
        <v>2</v>
      </c>
      <c r="P87" s="1">
        <f t="shared" si="69"/>
        <v>4</v>
      </c>
      <c r="Q87" s="1">
        <f t="shared" si="69"/>
        <v>8</v>
      </c>
      <c r="R87" s="1">
        <f t="shared" si="69"/>
        <v>13</v>
      </c>
      <c r="S87" s="1">
        <f t="shared" si="69"/>
        <v>21</v>
      </c>
      <c r="T87" s="1">
        <f t="shared" si="69"/>
        <v>30</v>
      </c>
      <c r="U87" s="1">
        <f t="shared" si="69"/>
        <v>30</v>
      </c>
      <c r="V87" s="1">
        <f t="shared" si="69"/>
        <v>30</v>
      </c>
      <c r="W87" s="1">
        <f t="shared" si="69"/>
        <v>30</v>
      </c>
      <c r="X87" s="1">
        <f t="shared" si="69"/>
        <v>30</v>
      </c>
      <c r="Y87" s="1">
        <f t="shared" si="69"/>
        <v>30</v>
      </c>
      <c r="Z87" s="1">
        <f t="shared" si="69"/>
        <v>30</v>
      </c>
      <c r="AA87" s="1">
        <f t="shared" si="69"/>
        <v>30</v>
      </c>
      <c r="AB87" s="1"/>
      <c r="AC87" s="1"/>
      <c r="AD87" s="1"/>
    </row>
    <row r="88" ht="15.75" customHeight="1">
      <c r="A88" s="1"/>
      <c r="B88" s="1"/>
      <c r="C88" s="1">
        <v>30.0</v>
      </c>
      <c r="D88" s="1"/>
      <c r="E88" s="14">
        <v>9.0</v>
      </c>
      <c r="F88" s="1"/>
      <c r="G88" s="1" t="str">
        <f t="shared" ref="G88:AA88" si="70">IF(G35="","",MIN($C88,VLOOKUP(G35,$B$2:$C$21,2,0)))</f>
        <v/>
      </c>
      <c r="H88" s="1" t="str">
        <f t="shared" si="70"/>
        <v/>
      </c>
      <c r="I88" s="1" t="str">
        <f t="shared" si="70"/>
        <v/>
      </c>
      <c r="J88" s="1" t="str">
        <f t="shared" si="70"/>
        <v/>
      </c>
      <c r="K88" s="1" t="str">
        <f t="shared" si="70"/>
        <v/>
      </c>
      <c r="L88" s="1" t="str">
        <f t="shared" si="70"/>
        <v/>
      </c>
      <c r="M88" s="1">
        <f t="shared" si="70"/>
        <v>1</v>
      </c>
      <c r="N88" s="1">
        <f t="shared" si="70"/>
        <v>1</v>
      </c>
      <c r="O88" s="1">
        <f t="shared" si="70"/>
        <v>2</v>
      </c>
      <c r="P88" s="1">
        <f t="shared" si="70"/>
        <v>4</v>
      </c>
      <c r="Q88" s="1">
        <f t="shared" si="70"/>
        <v>8</v>
      </c>
      <c r="R88" s="1">
        <f t="shared" si="70"/>
        <v>13</v>
      </c>
      <c r="S88" s="1">
        <f t="shared" si="70"/>
        <v>21</v>
      </c>
      <c r="T88" s="1">
        <f t="shared" si="70"/>
        <v>30</v>
      </c>
      <c r="U88" s="1">
        <f t="shared" si="70"/>
        <v>30</v>
      </c>
      <c r="V88" s="1">
        <f t="shared" si="70"/>
        <v>30</v>
      </c>
      <c r="W88" s="1">
        <f t="shared" si="70"/>
        <v>30</v>
      </c>
      <c r="X88" s="1">
        <f t="shared" si="70"/>
        <v>30</v>
      </c>
      <c r="Y88" s="1">
        <f t="shared" si="70"/>
        <v>30</v>
      </c>
      <c r="Z88" s="1">
        <f t="shared" si="70"/>
        <v>30</v>
      </c>
      <c r="AA88" s="1">
        <f t="shared" si="70"/>
        <v>30</v>
      </c>
      <c r="AB88" s="1"/>
      <c r="AC88" s="1"/>
      <c r="AD88" s="1"/>
    </row>
    <row r="89" ht="15.75" customHeight="1">
      <c r="A89" s="1"/>
      <c r="B89" s="1"/>
      <c r="C89" s="1">
        <v>30.0</v>
      </c>
      <c r="D89" s="1"/>
      <c r="E89" s="14">
        <v>10.0</v>
      </c>
      <c r="F89" s="1"/>
      <c r="G89" s="1" t="str">
        <f t="shared" ref="G89:AA89" si="71">IF(G36="","",MIN($C89,VLOOKUP(G36,$B$2:$C$21,2,0)))</f>
        <v/>
      </c>
      <c r="H89" s="1" t="str">
        <f t="shared" si="71"/>
        <v/>
      </c>
      <c r="I89" s="1" t="str">
        <f t="shared" si="71"/>
        <v/>
      </c>
      <c r="J89" s="1" t="str">
        <f t="shared" si="71"/>
        <v/>
      </c>
      <c r="K89" s="1" t="str">
        <f t="shared" si="71"/>
        <v/>
      </c>
      <c r="L89" s="1" t="str">
        <f t="shared" si="71"/>
        <v/>
      </c>
      <c r="M89" s="1">
        <f t="shared" si="71"/>
        <v>1</v>
      </c>
      <c r="N89" s="1">
        <f t="shared" si="71"/>
        <v>1</v>
      </c>
      <c r="O89" s="1">
        <f t="shared" si="71"/>
        <v>2</v>
      </c>
      <c r="P89" s="1">
        <f t="shared" si="71"/>
        <v>4</v>
      </c>
      <c r="Q89" s="1">
        <f t="shared" si="71"/>
        <v>8</v>
      </c>
      <c r="R89" s="1">
        <f t="shared" si="71"/>
        <v>13</v>
      </c>
      <c r="S89" s="1">
        <f t="shared" si="71"/>
        <v>21</v>
      </c>
      <c r="T89" s="1">
        <f t="shared" si="71"/>
        <v>30</v>
      </c>
      <c r="U89" s="1">
        <f t="shared" si="71"/>
        <v>30</v>
      </c>
      <c r="V89" s="1">
        <f t="shared" si="71"/>
        <v>30</v>
      </c>
      <c r="W89" s="1">
        <f t="shared" si="71"/>
        <v>30</v>
      </c>
      <c r="X89" s="1">
        <f t="shared" si="71"/>
        <v>30</v>
      </c>
      <c r="Y89" s="1">
        <f t="shared" si="71"/>
        <v>30</v>
      </c>
      <c r="Z89" s="1">
        <f t="shared" si="71"/>
        <v>30</v>
      </c>
      <c r="AA89" s="1">
        <f t="shared" si="71"/>
        <v>30</v>
      </c>
      <c r="AB89" s="1"/>
      <c r="AC89" s="1"/>
      <c r="AD89" s="1"/>
    </row>
    <row r="90" ht="15.75" customHeight="1">
      <c r="A90" s="1"/>
      <c r="B90" s="1"/>
      <c r="C90" s="1">
        <v>30.0</v>
      </c>
      <c r="D90" s="1"/>
      <c r="E90" s="14">
        <v>11.0</v>
      </c>
      <c r="F90" s="1"/>
      <c r="G90" s="1" t="str">
        <f t="shared" ref="G90:AA90" si="72">IF(G37="","",MIN($C90,VLOOKUP(G37,$B$2:$C$21,2,0)))</f>
        <v/>
      </c>
      <c r="H90" s="1" t="str">
        <f t="shared" si="72"/>
        <v/>
      </c>
      <c r="I90" s="1" t="str">
        <f t="shared" si="72"/>
        <v/>
      </c>
      <c r="J90" s="1" t="str">
        <f t="shared" si="72"/>
        <v/>
      </c>
      <c r="K90" s="1" t="str">
        <f t="shared" si="72"/>
        <v/>
      </c>
      <c r="L90" s="1" t="str">
        <f t="shared" si="72"/>
        <v/>
      </c>
      <c r="M90" s="1">
        <f t="shared" si="72"/>
        <v>1</v>
      </c>
      <c r="N90" s="1">
        <f t="shared" si="72"/>
        <v>1</v>
      </c>
      <c r="O90" s="1">
        <f t="shared" si="72"/>
        <v>2</v>
      </c>
      <c r="P90" s="1">
        <f t="shared" si="72"/>
        <v>4</v>
      </c>
      <c r="Q90" s="1">
        <f t="shared" si="72"/>
        <v>8</v>
      </c>
      <c r="R90" s="1">
        <f t="shared" si="72"/>
        <v>13</v>
      </c>
      <c r="S90" s="1">
        <f t="shared" si="72"/>
        <v>21</v>
      </c>
      <c r="T90" s="1">
        <f t="shared" si="72"/>
        <v>30</v>
      </c>
      <c r="U90" s="1">
        <f t="shared" si="72"/>
        <v>30</v>
      </c>
      <c r="V90" s="1">
        <f t="shared" si="72"/>
        <v>30</v>
      </c>
      <c r="W90" s="1">
        <f t="shared" si="72"/>
        <v>30</v>
      </c>
      <c r="X90" s="1">
        <f t="shared" si="72"/>
        <v>30</v>
      </c>
      <c r="Y90" s="1">
        <f t="shared" si="72"/>
        <v>30</v>
      </c>
      <c r="Z90" s="1">
        <f t="shared" si="72"/>
        <v>30</v>
      </c>
      <c r="AA90" s="1">
        <f t="shared" si="72"/>
        <v>30</v>
      </c>
      <c r="AB90" s="1"/>
      <c r="AC90" s="1"/>
      <c r="AD90" s="1"/>
    </row>
    <row r="91" ht="15.75" customHeight="1">
      <c r="A91" s="1"/>
      <c r="B91" s="1"/>
      <c r="C91" s="1">
        <v>30.0</v>
      </c>
      <c r="D91" s="1"/>
      <c r="E91" s="14">
        <v>12.0</v>
      </c>
      <c r="F91" s="1"/>
      <c r="G91" s="1" t="str">
        <f t="shared" ref="G91:AA91" si="73">IF(G38="","",MIN($C91,VLOOKUP(G38,$B$2:$C$21,2,0)))</f>
        <v/>
      </c>
      <c r="H91" s="1" t="str">
        <f t="shared" si="73"/>
        <v/>
      </c>
      <c r="I91" s="1" t="str">
        <f t="shared" si="73"/>
        <v/>
      </c>
      <c r="J91" s="1" t="str">
        <f t="shared" si="73"/>
        <v/>
      </c>
      <c r="K91" s="1" t="str">
        <f t="shared" si="73"/>
        <v/>
      </c>
      <c r="L91" s="1" t="str">
        <f t="shared" si="73"/>
        <v/>
      </c>
      <c r="M91" s="1">
        <f t="shared" si="73"/>
        <v>1</v>
      </c>
      <c r="N91" s="1">
        <f t="shared" si="73"/>
        <v>1</v>
      </c>
      <c r="O91" s="1">
        <f t="shared" si="73"/>
        <v>2</v>
      </c>
      <c r="P91" s="1">
        <f t="shared" si="73"/>
        <v>4</v>
      </c>
      <c r="Q91" s="1">
        <f t="shared" si="73"/>
        <v>8</v>
      </c>
      <c r="R91" s="1">
        <f t="shared" si="73"/>
        <v>13</v>
      </c>
      <c r="S91" s="1">
        <f t="shared" si="73"/>
        <v>21</v>
      </c>
      <c r="T91" s="1">
        <f t="shared" si="73"/>
        <v>30</v>
      </c>
      <c r="U91" s="1">
        <f t="shared" si="73"/>
        <v>30</v>
      </c>
      <c r="V91" s="1">
        <f t="shared" si="73"/>
        <v>30</v>
      </c>
      <c r="W91" s="1">
        <f t="shared" si="73"/>
        <v>30</v>
      </c>
      <c r="X91" s="1">
        <f t="shared" si="73"/>
        <v>30</v>
      </c>
      <c r="Y91" s="1">
        <f t="shared" si="73"/>
        <v>30</v>
      </c>
      <c r="Z91" s="1">
        <f t="shared" si="73"/>
        <v>30</v>
      </c>
      <c r="AA91" s="1">
        <f t="shared" si="73"/>
        <v>30</v>
      </c>
      <c r="AB91" s="1"/>
      <c r="AC91" s="1"/>
      <c r="AD91" s="1"/>
    </row>
    <row r="92" ht="15.75" customHeight="1">
      <c r="A92" s="1"/>
      <c r="B92" s="1"/>
      <c r="C92" s="1">
        <v>30.0</v>
      </c>
      <c r="D92" s="1"/>
      <c r="E92" s="14">
        <v>13.0</v>
      </c>
      <c r="F92" s="1"/>
      <c r="G92" s="1" t="str">
        <f t="shared" ref="G92:AA92" si="74">IF(G39="","",MIN($C92,VLOOKUP(G39,$B$2:$C$21,2,0)))</f>
        <v/>
      </c>
      <c r="H92" s="1" t="str">
        <f t="shared" si="74"/>
        <v/>
      </c>
      <c r="I92" s="1" t="str">
        <f t="shared" si="74"/>
        <v/>
      </c>
      <c r="J92" s="1" t="str">
        <f t="shared" si="74"/>
        <v/>
      </c>
      <c r="K92" s="1" t="str">
        <f t="shared" si="74"/>
        <v/>
      </c>
      <c r="L92" s="1" t="str">
        <f t="shared" si="74"/>
        <v/>
      </c>
      <c r="M92" s="1" t="str">
        <f t="shared" si="74"/>
        <v/>
      </c>
      <c r="N92" s="1">
        <f t="shared" si="74"/>
        <v>1</v>
      </c>
      <c r="O92" s="1">
        <f t="shared" si="74"/>
        <v>1</v>
      </c>
      <c r="P92" s="1">
        <f t="shared" si="74"/>
        <v>2</v>
      </c>
      <c r="Q92" s="1">
        <f t="shared" si="74"/>
        <v>4</v>
      </c>
      <c r="R92" s="1">
        <f t="shared" si="74"/>
        <v>8</v>
      </c>
      <c r="S92" s="1">
        <f t="shared" si="74"/>
        <v>13</v>
      </c>
      <c r="T92" s="1">
        <f t="shared" si="74"/>
        <v>21</v>
      </c>
      <c r="U92" s="1">
        <f t="shared" si="74"/>
        <v>30</v>
      </c>
      <c r="V92" s="1">
        <f t="shared" si="74"/>
        <v>30</v>
      </c>
      <c r="W92" s="1">
        <f t="shared" si="74"/>
        <v>30</v>
      </c>
      <c r="X92" s="1">
        <f t="shared" si="74"/>
        <v>30</v>
      </c>
      <c r="Y92" s="1">
        <f t="shared" si="74"/>
        <v>30</v>
      </c>
      <c r="Z92" s="1">
        <f t="shared" si="74"/>
        <v>30</v>
      </c>
      <c r="AA92" s="1">
        <f t="shared" si="74"/>
        <v>30</v>
      </c>
      <c r="AB92" s="1"/>
      <c r="AC92" s="1"/>
      <c r="AD92" s="1"/>
    </row>
    <row r="93" ht="15.75" customHeight="1">
      <c r="A93" s="1"/>
      <c r="B93" s="1"/>
      <c r="C93" s="1">
        <v>60.0</v>
      </c>
      <c r="D93" s="1"/>
      <c r="E93" s="14">
        <v>14.0</v>
      </c>
      <c r="F93" s="1"/>
      <c r="G93" s="1" t="str">
        <f t="shared" ref="G93:AA93" si="75">IF(G40="","",MIN($C93,VLOOKUP(G40,$B$2:$C$21,2,0)))</f>
        <v/>
      </c>
      <c r="H93" s="1" t="str">
        <f t="shared" si="75"/>
        <v/>
      </c>
      <c r="I93" s="1" t="str">
        <f t="shared" si="75"/>
        <v/>
      </c>
      <c r="J93" s="1" t="str">
        <f t="shared" si="75"/>
        <v/>
      </c>
      <c r="K93" s="1" t="str">
        <f t="shared" si="75"/>
        <v/>
      </c>
      <c r="L93" s="1" t="str">
        <f t="shared" si="75"/>
        <v/>
      </c>
      <c r="M93" s="1" t="str">
        <f t="shared" si="75"/>
        <v/>
      </c>
      <c r="N93" s="1">
        <f t="shared" si="75"/>
        <v>1</v>
      </c>
      <c r="O93" s="1">
        <f t="shared" si="75"/>
        <v>1</v>
      </c>
      <c r="P93" s="1">
        <f t="shared" si="75"/>
        <v>2</v>
      </c>
      <c r="Q93" s="1">
        <f t="shared" si="75"/>
        <v>4</v>
      </c>
      <c r="R93" s="1">
        <f t="shared" si="75"/>
        <v>8</v>
      </c>
      <c r="S93" s="1">
        <f t="shared" si="75"/>
        <v>13</v>
      </c>
      <c r="T93" s="1">
        <f t="shared" si="75"/>
        <v>21</v>
      </c>
      <c r="U93" s="1">
        <f t="shared" si="75"/>
        <v>34</v>
      </c>
      <c r="V93" s="1">
        <f t="shared" si="75"/>
        <v>55</v>
      </c>
      <c r="W93" s="1">
        <f t="shared" si="75"/>
        <v>60</v>
      </c>
      <c r="X93" s="1">
        <f t="shared" si="75"/>
        <v>60</v>
      </c>
      <c r="Y93" s="1">
        <f t="shared" si="75"/>
        <v>60</v>
      </c>
      <c r="Z93" s="1">
        <f t="shared" si="75"/>
        <v>60</v>
      </c>
      <c r="AA93" s="1">
        <f t="shared" si="75"/>
        <v>60</v>
      </c>
      <c r="AB93" s="1"/>
      <c r="AC93" s="1"/>
      <c r="AD93" s="1"/>
    </row>
    <row r="94" ht="15.75" customHeight="1">
      <c r="A94" s="1"/>
      <c r="B94" s="1"/>
      <c r="C94" s="1">
        <v>30.0</v>
      </c>
      <c r="D94" s="1"/>
      <c r="E94" s="14">
        <v>15.0</v>
      </c>
      <c r="F94" s="1"/>
      <c r="G94" s="1" t="str">
        <f t="shared" ref="G94:AA94" si="76">IF(G41="","",MIN($C94,VLOOKUP(G41,$B$2:$C$21,2,0)))</f>
        <v/>
      </c>
      <c r="H94" s="1" t="str">
        <f t="shared" si="76"/>
        <v/>
      </c>
      <c r="I94" s="1" t="str">
        <f t="shared" si="76"/>
        <v/>
      </c>
      <c r="J94" s="1" t="str">
        <f t="shared" si="76"/>
        <v/>
      </c>
      <c r="K94" s="1" t="str">
        <f t="shared" si="76"/>
        <v/>
      </c>
      <c r="L94" s="1" t="str">
        <f t="shared" si="76"/>
        <v/>
      </c>
      <c r="M94" s="1" t="str">
        <f t="shared" si="76"/>
        <v/>
      </c>
      <c r="N94" s="1">
        <f t="shared" si="76"/>
        <v>1</v>
      </c>
      <c r="O94" s="1">
        <f t="shared" si="76"/>
        <v>1</v>
      </c>
      <c r="P94" s="1">
        <f t="shared" si="76"/>
        <v>2</v>
      </c>
      <c r="Q94" s="1">
        <f t="shared" si="76"/>
        <v>4</v>
      </c>
      <c r="R94" s="1">
        <f t="shared" si="76"/>
        <v>8</v>
      </c>
      <c r="S94" s="1">
        <f t="shared" si="76"/>
        <v>13</v>
      </c>
      <c r="T94" s="1">
        <f t="shared" si="76"/>
        <v>21</v>
      </c>
      <c r="U94" s="1">
        <f t="shared" si="76"/>
        <v>30</v>
      </c>
      <c r="V94" s="1">
        <f t="shared" si="76"/>
        <v>30</v>
      </c>
      <c r="W94" s="1">
        <f t="shared" si="76"/>
        <v>30</v>
      </c>
      <c r="X94" s="1">
        <f t="shared" si="76"/>
        <v>30</v>
      </c>
      <c r="Y94" s="1">
        <f t="shared" si="76"/>
        <v>30</v>
      </c>
      <c r="Z94" s="1">
        <f t="shared" si="76"/>
        <v>30</v>
      </c>
      <c r="AA94" s="1">
        <f t="shared" si="76"/>
        <v>30</v>
      </c>
      <c r="AB94" s="1"/>
      <c r="AC94" s="1"/>
      <c r="AD94" s="1"/>
    </row>
    <row r="95" ht="15.75" customHeight="1">
      <c r="A95" s="1"/>
      <c r="B95" s="1"/>
      <c r="C95" s="1">
        <v>30.0</v>
      </c>
      <c r="D95" s="1"/>
      <c r="E95" s="14">
        <v>16.0</v>
      </c>
      <c r="F95" s="1"/>
      <c r="G95" s="1" t="str">
        <f t="shared" ref="G95:AA95" si="77">IF(G42="","",MIN($C95,VLOOKUP(G42,$B$2:$C$21,2,0)))</f>
        <v/>
      </c>
      <c r="H95" s="1" t="str">
        <f t="shared" si="77"/>
        <v/>
      </c>
      <c r="I95" s="1" t="str">
        <f t="shared" si="77"/>
        <v/>
      </c>
      <c r="J95" s="1" t="str">
        <f t="shared" si="77"/>
        <v/>
      </c>
      <c r="K95" s="1" t="str">
        <f t="shared" si="77"/>
        <v/>
      </c>
      <c r="L95" s="1" t="str">
        <f t="shared" si="77"/>
        <v/>
      </c>
      <c r="M95" s="1" t="str">
        <f t="shared" si="77"/>
        <v/>
      </c>
      <c r="N95" s="1">
        <f t="shared" si="77"/>
        <v>1</v>
      </c>
      <c r="O95" s="1">
        <f t="shared" si="77"/>
        <v>1</v>
      </c>
      <c r="P95" s="1">
        <f t="shared" si="77"/>
        <v>2</v>
      </c>
      <c r="Q95" s="1">
        <f t="shared" si="77"/>
        <v>4</v>
      </c>
      <c r="R95" s="1">
        <f t="shared" si="77"/>
        <v>8</v>
      </c>
      <c r="S95" s="1">
        <f t="shared" si="77"/>
        <v>13</v>
      </c>
      <c r="T95" s="1">
        <f t="shared" si="77"/>
        <v>21</v>
      </c>
      <c r="U95" s="1">
        <f t="shared" si="77"/>
        <v>30</v>
      </c>
      <c r="V95" s="1">
        <f t="shared" si="77"/>
        <v>30</v>
      </c>
      <c r="W95" s="1">
        <f t="shared" si="77"/>
        <v>30</v>
      </c>
      <c r="X95" s="1">
        <f t="shared" si="77"/>
        <v>30</v>
      </c>
      <c r="Y95" s="1">
        <f t="shared" si="77"/>
        <v>30</v>
      </c>
      <c r="Z95" s="1">
        <f t="shared" si="77"/>
        <v>30</v>
      </c>
      <c r="AA95" s="1">
        <f t="shared" si="77"/>
        <v>30</v>
      </c>
      <c r="AB95" s="1"/>
      <c r="AC95" s="1"/>
      <c r="AD95" s="1"/>
    </row>
    <row r="96" ht="15.75" customHeight="1">
      <c r="A96" s="1"/>
      <c r="B96" s="1"/>
      <c r="C96" s="1">
        <v>30.0</v>
      </c>
      <c r="D96" s="1"/>
      <c r="E96" s="14">
        <v>17.0</v>
      </c>
      <c r="F96" s="1"/>
      <c r="G96" s="1" t="str">
        <f t="shared" ref="G96:AA96" si="78">IF(G43="","",MIN($C96,VLOOKUP(G43,$B$2:$C$21,2,0)))</f>
        <v/>
      </c>
      <c r="H96" s="1" t="str">
        <f t="shared" si="78"/>
        <v/>
      </c>
      <c r="I96" s="1" t="str">
        <f t="shared" si="78"/>
        <v/>
      </c>
      <c r="J96" s="1" t="str">
        <f t="shared" si="78"/>
        <v/>
      </c>
      <c r="K96" s="1" t="str">
        <f t="shared" si="78"/>
        <v/>
      </c>
      <c r="L96" s="1" t="str">
        <f t="shared" si="78"/>
        <v/>
      </c>
      <c r="M96" s="1" t="str">
        <f t="shared" si="78"/>
        <v/>
      </c>
      <c r="N96" s="1">
        <f t="shared" si="78"/>
        <v>1</v>
      </c>
      <c r="O96" s="1">
        <f t="shared" si="78"/>
        <v>1</v>
      </c>
      <c r="P96" s="1">
        <f t="shared" si="78"/>
        <v>2</v>
      </c>
      <c r="Q96" s="1">
        <f t="shared" si="78"/>
        <v>4</v>
      </c>
      <c r="R96" s="1">
        <f t="shared" si="78"/>
        <v>8</v>
      </c>
      <c r="S96" s="1">
        <f t="shared" si="78"/>
        <v>13</v>
      </c>
      <c r="T96" s="1">
        <f t="shared" si="78"/>
        <v>21</v>
      </c>
      <c r="U96" s="1">
        <f t="shared" si="78"/>
        <v>30</v>
      </c>
      <c r="V96" s="1">
        <f t="shared" si="78"/>
        <v>30</v>
      </c>
      <c r="W96" s="1">
        <f t="shared" si="78"/>
        <v>30</v>
      </c>
      <c r="X96" s="1">
        <f t="shared" si="78"/>
        <v>30</v>
      </c>
      <c r="Y96" s="1">
        <f t="shared" si="78"/>
        <v>30</v>
      </c>
      <c r="Z96" s="1">
        <f t="shared" si="78"/>
        <v>30</v>
      </c>
      <c r="AA96" s="1">
        <f t="shared" si="78"/>
        <v>30</v>
      </c>
      <c r="AB96" s="1"/>
      <c r="AC96" s="1"/>
      <c r="AD96" s="1"/>
    </row>
    <row r="97" ht="15.75" customHeight="1">
      <c r="A97" s="1"/>
      <c r="B97" s="1"/>
      <c r="C97" s="1">
        <v>30.0</v>
      </c>
      <c r="D97" s="1"/>
      <c r="E97" s="14">
        <v>18.0</v>
      </c>
      <c r="F97" s="1"/>
      <c r="G97" s="1" t="str">
        <f t="shared" ref="G97:AA97" si="79">IF(G44="","",MIN($C97,VLOOKUP(G44,$B$2:$C$21,2,0)))</f>
        <v/>
      </c>
      <c r="H97" s="1" t="str">
        <f t="shared" si="79"/>
        <v/>
      </c>
      <c r="I97" s="1" t="str">
        <f t="shared" si="79"/>
        <v/>
      </c>
      <c r="J97" s="1" t="str">
        <f t="shared" si="79"/>
        <v/>
      </c>
      <c r="K97" s="1" t="str">
        <f t="shared" si="79"/>
        <v/>
      </c>
      <c r="L97" s="1" t="str">
        <f t="shared" si="79"/>
        <v/>
      </c>
      <c r="M97" s="1" t="str">
        <f t="shared" si="79"/>
        <v/>
      </c>
      <c r="N97" s="1">
        <f t="shared" si="79"/>
        <v>1</v>
      </c>
      <c r="O97" s="1">
        <f t="shared" si="79"/>
        <v>1</v>
      </c>
      <c r="P97" s="1">
        <f t="shared" si="79"/>
        <v>2</v>
      </c>
      <c r="Q97" s="1">
        <f t="shared" si="79"/>
        <v>4</v>
      </c>
      <c r="R97" s="1">
        <f t="shared" si="79"/>
        <v>8</v>
      </c>
      <c r="S97" s="1">
        <f t="shared" si="79"/>
        <v>13</v>
      </c>
      <c r="T97" s="1">
        <f t="shared" si="79"/>
        <v>21</v>
      </c>
      <c r="U97" s="1">
        <f t="shared" si="79"/>
        <v>30</v>
      </c>
      <c r="V97" s="1">
        <f t="shared" si="79"/>
        <v>30</v>
      </c>
      <c r="W97" s="1">
        <f t="shared" si="79"/>
        <v>30</v>
      </c>
      <c r="X97" s="1">
        <f t="shared" si="79"/>
        <v>30</v>
      </c>
      <c r="Y97" s="1">
        <f t="shared" si="79"/>
        <v>30</v>
      </c>
      <c r="Z97" s="1">
        <f t="shared" si="79"/>
        <v>30</v>
      </c>
      <c r="AA97" s="1">
        <f t="shared" si="79"/>
        <v>30</v>
      </c>
      <c r="AB97" s="1"/>
      <c r="AC97" s="1"/>
      <c r="AD97" s="1"/>
    </row>
    <row r="98" ht="15.75" customHeight="1">
      <c r="A98" s="1"/>
      <c r="B98" s="1"/>
      <c r="C98" s="1">
        <v>40.0</v>
      </c>
      <c r="D98" s="1"/>
      <c r="E98" s="14">
        <v>19.0</v>
      </c>
      <c r="F98" s="1"/>
      <c r="G98" s="1" t="str">
        <f t="shared" ref="G98:AA98" si="80">IF(G45="","",MIN($C98,VLOOKUP(G45,$B$2:$C$21,2,0)))</f>
        <v/>
      </c>
      <c r="H98" s="1" t="str">
        <f t="shared" si="80"/>
        <v/>
      </c>
      <c r="I98" s="1" t="str">
        <f t="shared" si="80"/>
        <v/>
      </c>
      <c r="J98" s="1" t="str">
        <f t="shared" si="80"/>
        <v/>
      </c>
      <c r="K98" s="1" t="str">
        <f t="shared" si="80"/>
        <v/>
      </c>
      <c r="L98" s="1" t="str">
        <f t="shared" si="80"/>
        <v/>
      </c>
      <c r="M98" s="1" t="str">
        <f t="shared" si="80"/>
        <v/>
      </c>
      <c r="N98" s="1">
        <f t="shared" si="80"/>
        <v>1</v>
      </c>
      <c r="O98" s="1">
        <f t="shared" si="80"/>
        <v>1</v>
      </c>
      <c r="P98" s="1">
        <f t="shared" si="80"/>
        <v>2</v>
      </c>
      <c r="Q98" s="1">
        <f t="shared" si="80"/>
        <v>4</v>
      </c>
      <c r="R98" s="1">
        <f t="shared" si="80"/>
        <v>8</v>
      </c>
      <c r="S98" s="1">
        <f t="shared" si="80"/>
        <v>13</v>
      </c>
      <c r="T98" s="1">
        <f t="shared" si="80"/>
        <v>21</v>
      </c>
      <c r="U98" s="1">
        <f t="shared" si="80"/>
        <v>34</v>
      </c>
      <c r="V98" s="1">
        <f t="shared" si="80"/>
        <v>40</v>
      </c>
      <c r="W98" s="1">
        <f t="shared" si="80"/>
        <v>40</v>
      </c>
      <c r="X98" s="1">
        <f t="shared" si="80"/>
        <v>40</v>
      </c>
      <c r="Y98" s="1">
        <f t="shared" si="80"/>
        <v>40</v>
      </c>
      <c r="Z98" s="1">
        <f t="shared" si="80"/>
        <v>40</v>
      </c>
      <c r="AA98" s="1">
        <f t="shared" si="80"/>
        <v>40</v>
      </c>
      <c r="AB98" s="1"/>
      <c r="AC98" s="1"/>
      <c r="AD98" s="1"/>
    </row>
    <row r="99" ht="15.75" customHeight="1">
      <c r="A99" s="1"/>
      <c r="B99" s="1"/>
      <c r="C99" s="1">
        <v>50.0</v>
      </c>
      <c r="D99" s="1"/>
      <c r="E99" s="14">
        <v>20.0</v>
      </c>
      <c r="F99" s="1"/>
      <c r="G99" s="1" t="str">
        <f t="shared" ref="G99:AA99" si="81">IF(G46="","",MIN($C99,VLOOKUP(G46,$B$2:$C$21,2,0)))</f>
        <v/>
      </c>
      <c r="H99" s="1" t="str">
        <f t="shared" si="81"/>
        <v/>
      </c>
      <c r="I99" s="1" t="str">
        <f t="shared" si="81"/>
        <v/>
      </c>
      <c r="J99" s="1" t="str">
        <f t="shared" si="81"/>
        <v/>
      </c>
      <c r="K99" s="1" t="str">
        <f t="shared" si="81"/>
        <v/>
      </c>
      <c r="L99" s="1" t="str">
        <f t="shared" si="81"/>
        <v/>
      </c>
      <c r="M99" s="1" t="str">
        <f t="shared" si="81"/>
        <v/>
      </c>
      <c r="N99" s="1">
        <f t="shared" si="81"/>
        <v>1</v>
      </c>
      <c r="O99" s="1">
        <f t="shared" si="81"/>
        <v>1</v>
      </c>
      <c r="P99" s="1">
        <f t="shared" si="81"/>
        <v>2</v>
      </c>
      <c r="Q99" s="1">
        <f t="shared" si="81"/>
        <v>4</v>
      </c>
      <c r="R99" s="1">
        <f t="shared" si="81"/>
        <v>8</v>
      </c>
      <c r="S99" s="1">
        <f t="shared" si="81"/>
        <v>13</v>
      </c>
      <c r="T99" s="1">
        <f t="shared" si="81"/>
        <v>21</v>
      </c>
      <c r="U99" s="1">
        <f t="shared" si="81"/>
        <v>34</v>
      </c>
      <c r="V99" s="1">
        <f t="shared" si="81"/>
        <v>50</v>
      </c>
      <c r="W99" s="1">
        <f t="shared" si="81"/>
        <v>50</v>
      </c>
      <c r="X99" s="1">
        <f t="shared" si="81"/>
        <v>50</v>
      </c>
      <c r="Y99" s="1">
        <f t="shared" si="81"/>
        <v>50</v>
      </c>
      <c r="Z99" s="1">
        <f t="shared" si="81"/>
        <v>50</v>
      </c>
      <c r="AA99" s="1">
        <f t="shared" si="81"/>
        <v>50</v>
      </c>
      <c r="AB99" s="1"/>
      <c r="AC99" s="1"/>
      <c r="AD99" s="1"/>
    </row>
    <row r="100" ht="15.75" customHeight="1">
      <c r="A100" s="1"/>
      <c r="B100" s="1"/>
      <c r="C100" s="1">
        <v>60.0</v>
      </c>
      <c r="D100" s="1"/>
      <c r="E100" s="14">
        <v>21.0</v>
      </c>
      <c r="F100" s="1"/>
      <c r="G100" s="1" t="str">
        <f t="shared" ref="G100:AA100" si="82">IF(G47="","",MIN($C100,VLOOKUP(G47,$B$2:$C$21,2,0)))</f>
        <v/>
      </c>
      <c r="H100" s="1" t="str">
        <f t="shared" si="82"/>
        <v/>
      </c>
      <c r="I100" s="1" t="str">
        <f t="shared" si="82"/>
        <v/>
      </c>
      <c r="J100" s="1" t="str">
        <f t="shared" si="82"/>
        <v/>
      </c>
      <c r="K100" s="1" t="str">
        <f t="shared" si="82"/>
        <v/>
      </c>
      <c r="L100" s="1" t="str">
        <f t="shared" si="82"/>
        <v/>
      </c>
      <c r="M100" s="1" t="str">
        <f t="shared" si="82"/>
        <v/>
      </c>
      <c r="N100" s="1" t="str">
        <f t="shared" si="82"/>
        <v/>
      </c>
      <c r="O100" s="1">
        <f t="shared" si="82"/>
        <v>1</v>
      </c>
      <c r="P100" s="1">
        <f t="shared" si="82"/>
        <v>1</v>
      </c>
      <c r="Q100" s="1">
        <f t="shared" si="82"/>
        <v>2</v>
      </c>
      <c r="R100" s="1">
        <f t="shared" si="82"/>
        <v>4</v>
      </c>
      <c r="S100" s="1">
        <f t="shared" si="82"/>
        <v>8</v>
      </c>
      <c r="T100" s="1">
        <f t="shared" si="82"/>
        <v>13</v>
      </c>
      <c r="U100" s="1">
        <f t="shared" si="82"/>
        <v>21</v>
      </c>
      <c r="V100" s="1">
        <f t="shared" si="82"/>
        <v>34</v>
      </c>
      <c r="W100" s="1">
        <f t="shared" si="82"/>
        <v>55</v>
      </c>
      <c r="X100" s="1">
        <f t="shared" si="82"/>
        <v>60</v>
      </c>
      <c r="Y100" s="1">
        <f t="shared" si="82"/>
        <v>60</v>
      </c>
      <c r="Z100" s="1">
        <f t="shared" si="82"/>
        <v>60</v>
      </c>
      <c r="AA100" s="1">
        <f t="shared" si="82"/>
        <v>60</v>
      </c>
      <c r="AB100" s="1"/>
      <c r="AC100" s="1"/>
      <c r="AD100" s="1"/>
    </row>
    <row r="101" ht="15.75" customHeight="1">
      <c r="A101" s="1"/>
      <c r="B101" s="1"/>
      <c r="C101" s="1">
        <v>50.0</v>
      </c>
      <c r="D101" s="1"/>
      <c r="E101" s="14">
        <v>22.0</v>
      </c>
      <c r="F101" s="1"/>
      <c r="G101" s="1" t="str">
        <f t="shared" ref="G101:AA101" si="83">IF(G48="","",MIN($C101,VLOOKUP(G48,$B$2:$C$21,2,0)))</f>
        <v/>
      </c>
      <c r="H101" s="1" t="str">
        <f t="shared" si="83"/>
        <v/>
      </c>
      <c r="I101" s="1" t="str">
        <f t="shared" si="83"/>
        <v/>
      </c>
      <c r="J101" s="1" t="str">
        <f t="shared" si="83"/>
        <v/>
      </c>
      <c r="K101" s="1" t="str">
        <f t="shared" si="83"/>
        <v/>
      </c>
      <c r="L101" s="1" t="str">
        <f t="shared" si="83"/>
        <v/>
      </c>
      <c r="M101" s="1" t="str">
        <f t="shared" si="83"/>
        <v/>
      </c>
      <c r="N101" s="1" t="str">
        <f t="shared" si="83"/>
        <v/>
      </c>
      <c r="O101" s="1">
        <f t="shared" si="83"/>
        <v>1</v>
      </c>
      <c r="P101" s="1">
        <f t="shared" si="83"/>
        <v>1</v>
      </c>
      <c r="Q101" s="1">
        <f t="shared" si="83"/>
        <v>2</v>
      </c>
      <c r="R101" s="1">
        <f t="shared" si="83"/>
        <v>4</v>
      </c>
      <c r="S101" s="1">
        <f t="shared" si="83"/>
        <v>8</v>
      </c>
      <c r="T101" s="1">
        <f t="shared" si="83"/>
        <v>13</v>
      </c>
      <c r="U101" s="1">
        <f t="shared" si="83"/>
        <v>21</v>
      </c>
      <c r="V101" s="1">
        <f t="shared" si="83"/>
        <v>34</v>
      </c>
      <c r="W101" s="1">
        <f t="shared" si="83"/>
        <v>50</v>
      </c>
      <c r="X101" s="1">
        <f t="shared" si="83"/>
        <v>50</v>
      </c>
      <c r="Y101" s="1">
        <f t="shared" si="83"/>
        <v>50</v>
      </c>
      <c r="Z101" s="1">
        <f t="shared" si="83"/>
        <v>50</v>
      </c>
      <c r="AA101" s="1">
        <f t="shared" si="83"/>
        <v>50</v>
      </c>
      <c r="AB101" s="1"/>
      <c r="AC101" s="1"/>
      <c r="AD101" s="1"/>
    </row>
    <row r="102" ht="15.75" customHeight="1">
      <c r="A102" s="1"/>
      <c r="B102" s="1"/>
      <c r="C102" s="1">
        <v>50.0</v>
      </c>
      <c r="D102" s="1"/>
      <c r="E102" s="14">
        <v>23.0</v>
      </c>
      <c r="F102" s="1"/>
      <c r="G102" s="1" t="str">
        <f t="shared" ref="G102:AA102" si="84">IF(G49="","",MIN($C102,VLOOKUP(G49,$B$2:$C$21,2,0)))</f>
        <v/>
      </c>
      <c r="H102" s="1" t="str">
        <f t="shared" si="84"/>
        <v/>
      </c>
      <c r="I102" s="1" t="str">
        <f t="shared" si="84"/>
        <v/>
      </c>
      <c r="J102" s="1" t="str">
        <f t="shared" si="84"/>
        <v/>
      </c>
      <c r="K102" s="1" t="str">
        <f t="shared" si="84"/>
        <v/>
      </c>
      <c r="L102" s="1" t="str">
        <f t="shared" si="84"/>
        <v/>
      </c>
      <c r="M102" s="1" t="str">
        <f t="shared" si="84"/>
        <v/>
      </c>
      <c r="N102" s="1" t="str">
        <f t="shared" si="84"/>
        <v/>
      </c>
      <c r="O102" s="1">
        <f t="shared" si="84"/>
        <v>1</v>
      </c>
      <c r="P102" s="1">
        <f t="shared" si="84"/>
        <v>1</v>
      </c>
      <c r="Q102" s="1">
        <f t="shared" si="84"/>
        <v>2</v>
      </c>
      <c r="R102" s="1">
        <f t="shared" si="84"/>
        <v>4</v>
      </c>
      <c r="S102" s="1">
        <f t="shared" si="84"/>
        <v>8</v>
      </c>
      <c r="T102" s="1">
        <f t="shared" si="84"/>
        <v>13</v>
      </c>
      <c r="U102" s="1">
        <f t="shared" si="84"/>
        <v>21</v>
      </c>
      <c r="V102" s="1">
        <f t="shared" si="84"/>
        <v>34</v>
      </c>
      <c r="W102" s="1">
        <f t="shared" si="84"/>
        <v>50</v>
      </c>
      <c r="X102" s="1">
        <f t="shared" si="84"/>
        <v>50</v>
      </c>
      <c r="Y102" s="1">
        <f t="shared" si="84"/>
        <v>50</v>
      </c>
      <c r="Z102" s="1">
        <f t="shared" si="84"/>
        <v>50</v>
      </c>
      <c r="AA102" s="1">
        <f t="shared" si="84"/>
        <v>50</v>
      </c>
      <c r="AB102" s="1"/>
      <c r="AC102" s="1"/>
      <c r="AD102" s="1"/>
    </row>
    <row r="103" ht="15.75" customHeight="1">
      <c r="A103" s="1"/>
      <c r="B103" s="1"/>
      <c r="C103" s="1">
        <v>50.0</v>
      </c>
      <c r="D103" s="1"/>
      <c r="E103" s="14">
        <v>24.0</v>
      </c>
      <c r="F103" s="1"/>
      <c r="G103" s="1" t="str">
        <f t="shared" ref="G103:AA103" si="85">IF(G50="","",MIN($C103,VLOOKUP(G50,$B$2:$C$21,2,0)))</f>
        <v/>
      </c>
      <c r="H103" s="1" t="str">
        <f t="shared" si="85"/>
        <v/>
      </c>
      <c r="I103" s="1" t="str">
        <f t="shared" si="85"/>
        <v/>
      </c>
      <c r="J103" s="1" t="str">
        <f t="shared" si="85"/>
        <v/>
      </c>
      <c r="K103" s="1" t="str">
        <f t="shared" si="85"/>
        <v/>
      </c>
      <c r="L103" s="1" t="str">
        <f t="shared" si="85"/>
        <v/>
      </c>
      <c r="M103" s="1" t="str">
        <f t="shared" si="85"/>
        <v/>
      </c>
      <c r="N103" s="1" t="str">
        <f t="shared" si="85"/>
        <v/>
      </c>
      <c r="O103" s="1">
        <f t="shared" si="85"/>
        <v>1</v>
      </c>
      <c r="P103" s="1">
        <f t="shared" si="85"/>
        <v>1</v>
      </c>
      <c r="Q103" s="1">
        <f t="shared" si="85"/>
        <v>2</v>
      </c>
      <c r="R103" s="1">
        <f t="shared" si="85"/>
        <v>4</v>
      </c>
      <c r="S103" s="1">
        <f t="shared" si="85"/>
        <v>8</v>
      </c>
      <c r="T103" s="1">
        <f t="shared" si="85"/>
        <v>13</v>
      </c>
      <c r="U103" s="1">
        <f t="shared" si="85"/>
        <v>21</v>
      </c>
      <c r="V103" s="1">
        <f t="shared" si="85"/>
        <v>34</v>
      </c>
      <c r="W103" s="1">
        <f t="shared" si="85"/>
        <v>50</v>
      </c>
      <c r="X103" s="1">
        <f t="shared" si="85"/>
        <v>50</v>
      </c>
      <c r="Y103" s="1">
        <f t="shared" si="85"/>
        <v>50</v>
      </c>
      <c r="Z103" s="1">
        <f t="shared" si="85"/>
        <v>50</v>
      </c>
      <c r="AA103" s="1">
        <f t="shared" si="85"/>
        <v>50</v>
      </c>
      <c r="AB103" s="1"/>
      <c r="AC103" s="1"/>
      <c r="AD103" s="1"/>
    </row>
    <row r="104" ht="15.75" customHeight="1">
      <c r="A104" s="1"/>
      <c r="B104" s="1"/>
      <c r="C104" s="1">
        <v>30.0</v>
      </c>
      <c r="D104" s="1"/>
      <c r="E104" s="14">
        <v>25.0</v>
      </c>
      <c r="F104" s="1"/>
      <c r="G104" s="1" t="str">
        <f t="shared" ref="G104:AA104" si="86">IF(G51="","",MIN($C104,VLOOKUP(G51,$B$2:$C$21,2,0)))</f>
        <v/>
      </c>
      <c r="H104" s="1" t="str">
        <f t="shared" si="86"/>
        <v/>
      </c>
      <c r="I104" s="1" t="str">
        <f t="shared" si="86"/>
        <v/>
      </c>
      <c r="J104" s="1" t="str">
        <f t="shared" si="86"/>
        <v/>
      </c>
      <c r="K104" s="1" t="str">
        <f t="shared" si="86"/>
        <v/>
      </c>
      <c r="L104" s="1" t="str">
        <f t="shared" si="86"/>
        <v/>
      </c>
      <c r="M104" s="1" t="str">
        <f t="shared" si="86"/>
        <v/>
      </c>
      <c r="N104" s="1" t="str">
        <f t="shared" si="86"/>
        <v/>
      </c>
      <c r="O104" s="1">
        <f t="shared" si="86"/>
        <v>1</v>
      </c>
      <c r="P104" s="1">
        <f t="shared" si="86"/>
        <v>1</v>
      </c>
      <c r="Q104" s="1">
        <f t="shared" si="86"/>
        <v>2</v>
      </c>
      <c r="R104" s="1">
        <f t="shared" si="86"/>
        <v>4</v>
      </c>
      <c r="S104" s="1">
        <f t="shared" si="86"/>
        <v>8</v>
      </c>
      <c r="T104" s="1">
        <f t="shared" si="86"/>
        <v>13</v>
      </c>
      <c r="U104" s="1">
        <f t="shared" si="86"/>
        <v>21</v>
      </c>
      <c r="V104" s="1">
        <f t="shared" si="86"/>
        <v>30</v>
      </c>
      <c r="W104" s="1">
        <f t="shared" si="86"/>
        <v>30</v>
      </c>
      <c r="X104" s="1">
        <f t="shared" si="86"/>
        <v>30</v>
      </c>
      <c r="Y104" s="1">
        <f t="shared" si="86"/>
        <v>30</v>
      </c>
      <c r="Z104" s="1">
        <f t="shared" si="86"/>
        <v>30</v>
      </c>
      <c r="AA104" s="1">
        <f t="shared" si="86"/>
        <v>30</v>
      </c>
      <c r="AB104" s="1"/>
      <c r="AC104" s="1"/>
      <c r="AD104" s="1"/>
    </row>
    <row r="105" ht="15.75" customHeight="1">
      <c r="A105" s="1"/>
      <c r="B105" s="1"/>
      <c r="C105" s="1">
        <v>30.0</v>
      </c>
      <c r="D105" s="1"/>
      <c r="E105" s="14">
        <v>26.0</v>
      </c>
      <c r="F105" s="1"/>
      <c r="G105" s="1" t="str">
        <f t="shared" ref="G105:AA105" si="87">IF(G52="","",MIN($C105,VLOOKUP(G52,$B$2:$C$21,2,0)))</f>
        <v/>
      </c>
      <c r="H105" s="1" t="str">
        <f t="shared" si="87"/>
        <v/>
      </c>
      <c r="I105" s="1" t="str">
        <f t="shared" si="87"/>
        <v/>
      </c>
      <c r="J105" s="1" t="str">
        <f t="shared" si="87"/>
        <v/>
      </c>
      <c r="K105" s="1" t="str">
        <f t="shared" si="87"/>
        <v/>
      </c>
      <c r="L105" s="1" t="str">
        <f t="shared" si="87"/>
        <v/>
      </c>
      <c r="M105" s="1" t="str">
        <f t="shared" si="87"/>
        <v/>
      </c>
      <c r="N105" s="1" t="str">
        <f t="shared" si="87"/>
        <v/>
      </c>
      <c r="O105" s="1">
        <f t="shared" si="87"/>
        <v>1</v>
      </c>
      <c r="P105" s="1">
        <f t="shared" si="87"/>
        <v>1</v>
      </c>
      <c r="Q105" s="1">
        <f t="shared" si="87"/>
        <v>2</v>
      </c>
      <c r="R105" s="1">
        <f t="shared" si="87"/>
        <v>4</v>
      </c>
      <c r="S105" s="1">
        <f t="shared" si="87"/>
        <v>8</v>
      </c>
      <c r="T105" s="1">
        <f t="shared" si="87"/>
        <v>13</v>
      </c>
      <c r="U105" s="1">
        <f t="shared" si="87"/>
        <v>21</v>
      </c>
      <c r="V105" s="1">
        <f t="shared" si="87"/>
        <v>30</v>
      </c>
      <c r="W105" s="1">
        <f t="shared" si="87"/>
        <v>30</v>
      </c>
      <c r="X105" s="1">
        <f t="shared" si="87"/>
        <v>30</v>
      </c>
      <c r="Y105" s="1">
        <f t="shared" si="87"/>
        <v>30</v>
      </c>
      <c r="Z105" s="1">
        <f t="shared" si="87"/>
        <v>30</v>
      </c>
      <c r="AA105" s="1">
        <f t="shared" si="87"/>
        <v>30</v>
      </c>
      <c r="AB105" s="1"/>
      <c r="AC105" s="1"/>
      <c r="AD105" s="1"/>
    </row>
    <row r="106" ht="15.75" customHeight="1">
      <c r="A106" s="1"/>
      <c r="B106" s="1"/>
      <c r="C106" s="1">
        <v>30.0</v>
      </c>
      <c r="D106" s="1"/>
      <c r="E106" s="14">
        <v>27.0</v>
      </c>
      <c r="F106" s="1"/>
      <c r="G106" s="1" t="str">
        <f t="shared" ref="G106:AA106" si="88">IF(G53="","",MIN($C106,VLOOKUP(G53,$B$2:$C$21,2,0)))</f>
        <v/>
      </c>
      <c r="H106" s="1" t="str">
        <f t="shared" si="88"/>
        <v/>
      </c>
      <c r="I106" s="1" t="str">
        <f t="shared" si="88"/>
        <v/>
      </c>
      <c r="J106" s="1" t="str">
        <f t="shared" si="88"/>
        <v/>
      </c>
      <c r="K106" s="1" t="str">
        <f t="shared" si="88"/>
        <v/>
      </c>
      <c r="L106" s="1" t="str">
        <f t="shared" si="88"/>
        <v/>
      </c>
      <c r="M106" s="1" t="str">
        <f t="shared" si="88"/>
        <v/>
      </c>
      <c r="N106" s="1" t="str">
        <f t="shared" si="88"/>
        <v/>
      </c>
      <c r="O106" s="1">
        <f t="shared" si="88"/>
        <v>1</v>
      </c>
      <c r="P106" s="1">
        <f t="shared" si="88"/>
        <v>1</v>
      </c>
      <c r="Q106" s="1">
        <f t="shared" si="88"/>
        <v>2</v>
      </c>
      <c r="R106" s="1">
        <f t="shared" si="88"/>
        <v>4</v>
      </c>
      <c r="S106" s="1">
        <f t="shared" si="88"/>
        <v>8</v>
      </c>
      <c r="T106" s="1">
        <f t="shared" si="88"/>
        <v>13</v>
      </c>
      <c r="U106" s="1">
        <f t="shared" si="88"/>
        <v>21</v>
      </c>
      <c r="V106" s="1">
        <f t="shared" si="88"/>
        <v>30</v>
      </c>
      <c r="W106" s="1">
        <f t="shared" si="88"/>
        <v>30</v>
      </c>
      <c r="X106" s="1">
        <f t="shared" si="88"/>
        <v>30</v>
      </c>
      <c r="Y106" s="1">
        <f t="shared" si="88"/>
        <v>30</v>
      </c>
      <c r="Z106" s="1">
        <f t="shared" si="88"/>
        <v>30</v>
      </c>
      <c r="AA106" s="1">
        <f t="shared" si="88"/>
        <v>30</v>
      </c>
      <c r="AB106" s="1"/>
      <c r="AC106" s="1"/>
      <c r="AD106" s="1"/>
    </row>
    <row r="107" ht="15.75" customHeight="1">
      <c r="A107" s="1"/>
      <c r="B107" s="1"/>
      <c r="C107" s="1">
        <v>60.0</v>
      </c>
      <c r="D107" s="1"/>
      <c r="E107" s="14">
        <v>28.0</v>
      </c>
      <c r="F107" s="1"/>
      <c r="G107" s="1" t="str">
        <f t="shared" ref="G107:AA107" si="89">IF(G54="","",MIN($C107,VLOOKUP(G54,$B$2:$C$21,2,0)))</f>
        <v/>
      </c>
      <c r="H107" s="1" t="str">
        <f t="shared" si="89"/>
        <v/>
      </c>
      <c r="I107" s="1" t="str">
        <f t="shared" si="89"/>
        <v/>
      </c>
      <c r="J107" s="1" t="str">
        <f t="shared" si="89"/>
        <v/>
      </c>
      <c r="K107" s="1" t="str">
        <f t="shared" si="89"/>
        <v/>
      </c>
      <c r="L107" s="1" t="str">
        <f t="shared" si="89"/>
        <v/>
      </c>
      <c r="M107" s="1" t="str">
        <f t="shared" si="89"/>
        <v/>
      </c>
      <c r="N107" s="1" t="str">
        <f t="shared" si="89"/>
        <v/>
      </c>
      <c r="O107" s="1">
        <f t="shared" si="89"/>
        <v>1</v>
      </c>
      <c r="P107" s="1">
        <f t="shared" si="89"/>
        <v>1</v>
      </c>
      <c r="Q107" s="1">
        <f t="shared" si="89"/>
        <v>2</v>
      </c>
      <c r="R107" s="1">
        <f t="shared" si="89"/>
        <v>4</v>
      </c>
      <c r="S107" s="1">
        <f t="shared" si="89"/>
        <v>8</v>
      </c>
      <c r="T107" s="1">
        <f t="shared" si="89"/>
        <v>13</v>
      </c>
      <c r="U107" s="1">
        <f t="shared" si="89"/>
        <v>21</v>
      </c>
      <c r="V107" s="1">
        <f t="shared" si="89"/>
        <v>34</v>
      </c>
      <c r="W107" s="1">
        <f t="shared" si="89"/>
        <v>55</v>
      </c>
      <c r="X107" s="1">
        <f t="shared" si="89"/>
        <v>60</v>
      </c>
      <c r="Y107" s="1">
        <f t="shared" si="89"/>
        <v>60</v>
      </c>
      <c r="Z107" s="1">
        <f t="shared" si="89"/>
        <v>60</v>
      </c>
      <c r="AA107" s="1">
        <f t="shared" si="89"/>
        <v>60</v>
      </c>
      <c r="AB107" s="1"/>
      <c r="AC107" s="1"/>
      <c r="AD107" s="1"/>
    </row>
    <row r="108" ht="15.75" customHeight="1">
      <c r="A108" s="1"/>
      <c r="B108" s="1"/>
      <c r="C108" s="1">
        <v>30.0</v>
      </c>
      <c r="D108" s="1"/>
      <c r="E108" s="14">
        <v>29.0</v>
      </c>
      <c r="F108" s="1"/>
      <c r="G108" s="1" t="str">
        <f t="shared" ref="G108:AA108" si="90">IF(G55="","",MIN($C108,VLOOKUP(G55,$B$2:$C$21,2,0)))</f>
        <v/>
      </c>
      <c r="H108" s="1" t="str">
        <f t="shared" si="90"/>
        <v/>
      </c>
      <c r="I108" s="1" t="str">
        <f t="shared" si="90"/>
        <v/>
      </c>
      <c r="J108" s="1" t="str">
        <f t="shared" si="90"/>
        <v/>
      </c>
      <c r="K108" s="1" t="str">
        <f t="shared" si="90"/>
        <v/>
      </c>
      <c r="L108" s="1" t="str">
        <f t="shared" si="90"/>
        <v/>
      </c>
      <c r="M108" s="1" t="str">
        <f t="shared" si="90"/>
        <v/>
      </c>
      <c r="N108" s="1" t="str">
        <f t="shared" si="90"/>
        <v/>
      </c>
      <c r="O108" s="1">
        <f t="shared" si="90"/>
        <v>1</v>
      </c>
      <c r="P108" s="1">
        <f t="shared" si="90"/>
        <v>1</v>
      </c>
      <c r="Q108" s="1">
        <f t="shared" si="90"/>
        <v>2</v>
      </c>
      <c r="R108" s="1">
        <f t="shared" si="90"/>
        <v>4</v>
      </c>
      <c r="S108" s="1">
        <f t="shared" si="90"/>
        <v>8</v>
      </c>
      <c r="T108" s="1">
        <f t="shared" si="90"/>
        <v>13</v>
      </c>
      <c r="U108" s="1">
        <f t="shared" si="90"/>
        <v>21</v>
      </c>
      <c r="V108" s="1">
        <f t="shared" si="90"/>
        <v>30</v>
      </c>
      <c r="W108" s="1">
        <f t="shared" si="90"/>
        <v>30</v>
      </c>
      <c r="X108" s="1">
        <f t="shared" si="90"/>
        <v>30</v>
      </c>
      <c r="Y108" s="1">
        <f t="shared" si="90"/>
        <v>30</v>
      </c>
      <c r="Z108" s="1">
        <f t="shared" si="90"/>
        <v>30</v>
      </c>
      <c r="AA108" s="1">
        <f t="shared" si="90"/>
        <v>30</v>
      </c>
      <c r="AB108" s="1"/>
      <c r="AC108" s="1"/>
      <c r="AD108" s="1"/>
    </row>
    <row r="109" ht="15.75" customHeight="1">
      <c r="A109" s="1"/>
      <c r="B109" s="1"/>
      <c r="C109" s="1">
        <v>80.0</v>
      </c>
      <c r="D109" s="1"/>
      <c r="E109" s="14">
        <v>30.0</v>
      </c>
      <c r="F109" s="1"/>
      <c r="G109" s="1" t="str">
        <f t="shared" ref="G109:AA109" si="91">IF(G56="","",MIN($C109,VLOOKUP(G56,$B$2:$C$21,2,0)))</f>
        <v/>
      </c>
      <c r="H109" s="1" t="str">
        <f t="shared" si="91"/>
        <v/>
      </c>
      <c r="I109" s="1" t="str">
        <f t="shared" si="91"/>
        <v/>
      </c>
      <c r="J109" s="1" t="str">
        <f t="shared" si="91"/>
        <v/>
      </c>
      <c r="K109" s="1" t="str">
        <f t="shared" si="91"/>
        <v/>
      </c>
      <c r="L109" s="1" t="str">
        <f t="shared" si="91"/>
        <v/>
      </c>
      <c r="M109" s="1" t="str">
        <f t="shared" si="91"/>
        <v/>
      </c>
      <c r="N109" s="1" t="str">
        <f t="shared" si="91"/>
        <v/>
      </c>
      <c r="O109" s="1">
        <f t="shared" si="91"/>
        <v>1</v>
      </c>
      <c r="P109" s="1">
        <f t="shared" si="91"/>
        <v>1</v>
      </c>
      <c r="Q109" s="1">
        <f t="shared" si="91"/>
        <v>2</v>
      </c>
      <c r="R109" s="1">
        <f t="shared" si="91"/>
        <v>4</v>
      </c>
      <c r="S109" s="1">
        <f t="shared" si="91"/>
        <v>8</v>
      </c>
      <c r="T109" s="1">
        <f t="shared" si="91"/>
        <v>13</v>
      </c>
      <c r="U109" s="1">
        <f t="shared" si="91"/>
        <v>21</v>
      </c>
      <c r="V109" s="1">
        <f t="shared" si="91"/>
        <v>34</v>
      </c>
      <c r="W109" s="1">
        <f t="shared" si="91"/>
        <v>55</v>
      </c>
      <c r="X109" s="1">
        <f t="shared" si="91"/>
        <v>80</v>
      </c>
      <c r="Y109" s="1">
        <f t="shared" si="91"/>
        <v>80</v>
      </c>
      <c r="Z109" s="1">
        <f t="shared" si="91"/>
        <v>80</v>
      </c>
      <c r="AA109" s="1">
        <f t="shared" si="91"/>
        <v>80</v>
      </c>
      <c r="AB109" s="1"/>
      <c r="AC109" s="1"/>
      <c r="AD109" s="1"/>
    </row>
    <row r="110" ht="15.75" customHeight="1">
      <c r="A110" s="1"/>
      <c r="B110" s="1"/>
      <c r="C110" s="1">
        <v>30.0</v>
      </c>
      <c r="D110" s="1"/>
      <c r="E110" s="14">
        <v>31.0</v>
      </c>
      <c r="F110" s="1"/>
      <c r="G110" s="1" t="str">
        <f t="shared" ref="G110:AA110" si="92">IF(G57="","",MIN($C110,VLOOKUP(G57,$B$2:$C$21,2,0)))</f>
        <v/>
      </c>
      <c r="H110" s="1" t="str">
        <f t="shared" si="92"/>
        <v/>
      </c>
      <c r="I110" s="1" t="str">
        <f t="shared" si="92"/>
        <v/>
      </c>
      <c r="J110" s="1" t="str">
        <f t="shared" si="92"/>
        <v/>
      </c>
      <c r="K110" s="1" t="str">
        <f t="shared" si="92"/>
        <v/>
      </c>
      <c r="L110" s="1" t="str">
        <f t="shared" si="92"/>
        <v/>
      </c>
      <c r="M110" s="1" t="str">
        <f t="shared" si="92"/>
        <v/>
      </c>
      <c r="N110" s="1" t="str">
        <f t="shared" si="92"/>
        <v/>
      </c>
      <c r="O110" s="1">
        <f t="shared" si="92"/>
        <v>1</v>
      </c>
      <c r="P110" s="1">
        <f t="shared" si="92"/>
        <v>1</v>
      </c>
      <c r="Q110" s="1">
        <f t="shared" si="92"/>
        <v>2</v>
      </c>
      <c r="R110" s="1">
        <f t="shared" si="92"/>
        <v>4</v>
      </c>
      <c r="S110" s="1">
        <f t="shared" si="92"/>
        <v>8</v>
      </c>
      <c r="T110" s="1">
        <f t="shared" si="92"/>
        <v>13</v>
      </c>
      <c r="U110" s="1">
        <f t="shared" si="92"/>
        <v>21</v>
      </c>
      <c r="V110" s="1">
        <f t="shared" si="92"/>
        <v>30</v>
      </c>
      <c r="W110" s="1">
        <f t="shared" si="92"/>
        <v>30</v>
      </c>
      <c r="X110" s="1">
        <f t="shared" si="92"/>
        <v>30</v>
      </c>
      <c r="Y110" s="1">
        <f t="shared" si="92"/>
        <v>30</v>
      </c>
      <c r="Z110" s="1">
        <f t="shared" si="92"/>
        <v>30</v>
      </c>
      <c r="AA110" s="1">
        <f t="shared" si="92"/>
        <v>30</v>
      </c>
      <c r="AB110" s="1"/>
      <c r="AC110" s="1"/>
      <c r="AD110" s="1"/>
    </row>
    <row r="111" ht="15.75" customHeight="1">
      <c r="A111" s="1"/>
      <c r="B111" s="1"/>
      <c r="C111" s="1">
        <v>80.0</v>
      </c>
      <c r="D111" s="1"/>
      <c r="E111" s="14">
        <v>32.0</v>
      </c>
      <c r="F111" s="1"/>
      <c r="G111" s="1" t="str">
        <f t="shared" ref="G111:AA111" si="93">IF(G58="","",MIN($C111,VLOOKUP(G58,$B$2:$C$21,2,0)))</f>
        <v/>
      </c>
      <c r="H111" s="1" t="str">
        <f t="shared" si="93"/>
        <v/>
      </c>
      <c r="I111" s="1" t="str">
        <f t="shared" si="93"/>
        <v/>
      </c>
      <c r="J111" s="1" t="str">
        <f t="shared" si="93"/>
        <v/>
      </c>
      <c r="K111" s="1" t="str">
        <f t="shared" si="93"/>
        <v/>
      </c>
      <c r="L111" s="1" t="str">
        <f t="shared" si="93"/>
        <v/>
      </c>
      <c r="M111" s="1" t="str">
        <f t="shared" si="93"/>
        <v/>
      </c>
      <c r="N111" s="1" t="str">
        <f t="shared" si="93"/>
        <v/>
      </c>
      <c r="O111" s="1">
        <f t="shared" si="93"/>
        <v>1</v>
      </c>
      <c r="P111" s="1">
        <f t="shared" si="93"/>
        <v>1</v>
      </c>
      <c r="Q111" s="1">
        <f t="shared" si="93"/>
        <v>2</v>
      </c>
      <c r="R111" s="1">
        <f t="shared" si="93"/>
        <v>4</v>
      </c>
      <c r="S111" s="1">
        <f t="shared" si="93"/>
        <v>8</v>
      </c>
      <c r="T111" s="1">
        <f t="shared" si="93"/>
        <v>13</v>
      </c>
      <c r="U111" s="1">
        <f t="shared" si="93"/>
        <v>21</v>
      </c>
      <c r="V111" s="1">
        <f t="shared" si="93"/>
        <v>34</v>
      </c>
      <c r="W111" s="1">
        <f t="shared" si="93"/>
        <v>55</v>
      </c>
      <c r="X111" s="1">
        <f t="shared" si="93"/>
        <v>80</v>
      </c>
      <c r="Y111" s="1">
        <f t="shared" si="93"/>
        <v>80</v>
      </c>
      <c r="Z111" s="1">
        <f t="shared" si="93"/>
        <v>80</v>
      </c>
      <c r="AA111" s="1">
        <f t="shared" si="93"/>
        <v>80</v>
      </c>
      <c r="AB111" s="1"/>
      <c r="AC111" s="1"/>
      <c r="AD111" s="1"/>
    </row>
    <row r="112" ht="15.75" customHeight="1">
      <c r="A112" s="1"/>
      <c r="B112" s="1"/>
      <c r="C112" s="1">
        <v>30.0</v>
      </c>
      <c r="D112" s="1"/>
      <c r="E112" s="14">
        <v>33.0</v>
      </c>
      <c r="F112" s="1"/>
      <c r="G112" s="1" t="str">
        <f t="shared" ref="G112:AA112" si="94">IF(G59="","",MIN($C112,VLOOKUP(G59,$B$2:$C$21,2,0)))</f>
        <v/>
      </c>
      <c r="H112" s="1" t="str">
        <f t="shared" si="94"/>
        <v/>
      </c>
      <c r="I112" s="1" t="str">
        <f t="shared" si="94"/>
        <v/>
      </c>
      <c r="J112" s="1" t="str">
        <f t="shared" si="94"/>
        <v/>
      </c>
      <c r="K112" s="1" t="str">
        <f t="shared" si="94"/>
        <v/>
      </c>
      <c r="L112" s="1" t="str">
        <f t="shared" si="94"/>
        <v/>
      </c>
      <c r="M112" s="1" t="str">
        <f t="shared" si="94"/>
        <v/>
      </c>
      <c r="N112" s="1" t="str">
        <f t="shared" si="94"/>
        <v/>
      </c>
      <c r="O112" s="1">
        <f t="shared" si="94"/>
        <v>1</v>
      </c>
      <c r="P112" s="1">
        <f t="shared" si="94"/>
        <v>1</v>
      </c>
      <c r="Q112" s="1">
        <f t="shared" si="94"/>
        <v>2</v>
      </c>
      <c r="R112" s="1">
        <f t="shared" si="94"/>
        <v>4</v>
      </c>
      <c r="S112" s="1">
        <f t="shared" si="94"/>
        <v>8</v>
      </c>
      <c r="T112" s="1">
        <f t="shared" si="94"/>
        <v>13</v>
      </c>
      <c r="U112" s="1">
        <f t="shared" si="94"/>
        <v>21</v>
      </c>
      <c r="V112" s="1">
        <f t="shared" si="94"/>
        <v>30</v>
      </c>
      <c r="W112" s="1">
        <f t="shared" si="94"/>
        <v>30</v>
      </c>
      <c r="X112" s="1">
        <f t="shared" si="94"/>
        <v>30</v>
      </c>
      <c r="Y112" s="1">
        <f t="shared" si="94"/>
        <v>30</v>
      </c>
      <c r="Z112" s="1">
        <f t="shared" si="94"/>
        <v>30</v>
      </c>
      <c r="AA112" s="1">
        <f t="shared" si="94"/>
        <v>30</v>
      </c>
      <c r="AB112" s="1"/>
      <c r="AC112" s="1"/>
      <c r="AD112" s="1"/>
    </row>
    <row r="113" ht="15.75" customHeight="1">
      <c r="A113" s="1"/>
      <c r="B113" s="1"/>
      <c r="C113" s="1">
        <v>60.0</v>
      </c>
      <c r="D113" s="1"/>
      <c r="E113" s="14">
        <v>34.0</v>
      </c>
      <c r="F113" s="1"/>
      <c r="G113" s="1" t="str">
        <f t="shared" ref="G113:AA113" si="95">IF(G60="","",MIN($C113,VLOOKUP(G60,$B$2:$C$21,2,0)))</f>
        <v/>
      </c>
      <c r="H113" s="1" t="str">
        <f t="shared" si="95"/>
        <v/>
      </c>
      <c r="I113" s="1" t="str">
        <f t="shared" si="95"/>
        <v/>
      </c>
      <c r="J113" s="1" t="str">
        <f t="shared" si="95"/>
        <v/>
      </c>
      <c r="K113" s="1" t="str">
        <f t="shared" si="95"/>
        <v/>
      </c>
      <c r="L113" s="1" t="str">
        <f t="shared" si="95"/>
        <v/>
      </c>
      <c r="M113" s="1" t="str">
        <f t="shared" si="95"/>
        <v/>
      </c>
      <c r="N113" s="1" t="str">
        <f t="shared" si="95"/>
        <v/>
      </c>
      <c r="O113" s="1" t="str">
        <f t="shared" si="95"/>
        <v/>
      </c>
      <c r="P113" s="1">
        <f t="shared" si="95"/>
        <v>1</v>
      </c>
      <c r="Q113" s="1">
        <f t="shared" si="95"/>
        <v>1</v>
      </c>
      <c r="R113" s="1">
        <f t="shared" si="95"/>
        <v>2</v>
      </c>
      <c r="S113" s="1">
        <f t="shared" si="95"/>
        <v>4</v>
      </c>
      <c r="T113" s="1">
        <f t="shared" si="95"/>
        <v>8</v>
      </c>
      <c r="U113" s="1">
        <f t="shared" si="95"/>
        <v>13</v>
      </c>
      <c r="V113" s="1">
        <f t="shared" si="95"/>
        <v>21</v>
      </c>
      <c r="W113" s="1">
        <f t="shared" si="95"/>
        <v>34</v>
      </c>
      <c r="X113" s="1">
        <f t="shared" si="95"/>
        <v>55</v>
      </c>
      <c r="Y113" s="1">
        <f t="shared" si="95"/>
        <v>60</v>
      </c>
      <c r="Z113" s="1">
        <f t="shared" si="95"/>
        <v>60</v>
      </c>
      <c r="AA113" s="1">
        <f t="shared" si="95"/>
        <v>60</v>
      </c>
      <c r="AB113" s="1"/>
      <c r="AC113" s="1"/>
      <c r="AD113" s="1"/>
    </row>
    <row r="114" ht="15.75" customHeight="1">
      <c r="A114" s="1"/>
      <c r="B114" s="1"/>
      <c r="C114" s="1">
        <v>40.0</v>
      </c>
      <c r="D114" s="1"/>
      <c r="E114" s="14">
        <v>35.0</v>
      </c>
      <c r="F114" s="1"/>
      <c r="G114" s="1" t="str">
        <f t="shared" ref="G114:AA114" si="96">IF(G61="","",MIN($C114,VLOOKUP(G61,$B$2:$C$21,2,0)))</f>
        <v/>
      </c>
      <c r="H114" s="1" t="str">
        <f t="shared" si="96"/>
        <v/>
      </c>
      <c r="I114" s="1" t="str">
        <f t="shared" si="96"/>
        <v/>
      </c>
      <c r="J114" s="1" t="str">
        <f t="shared" si="96"/>
        <v/>
      </c>
      <c r="K114" s="1" t="str">
        <f t="shared" si="96"/>
        <v/>
      </c>
      <c r="L114" s="1" t="str">
        <f t="shared" si="96"/>
        <v/>
      </c>
      <c r="M114" s="1" t="str">
        <f t="shared" si="96"/>
        <v/>
      </c>
      <c r="N114" s="1" t="str">
        <f t="shared" si="96"/>
        <v/>
      </c>
      <c r="O114" s="1" t="str">
        <f t="shared" si="96"/>
        <v/>
      </c>
      <c r="P114" s="1">
        <f t="shared" si="96"/>
        <v>1</v>
      </c>
      <c r="Q114" s="1">
        <f t="shared" si="96"/>
        <v>1</v>
      </c>
      <c r="R114" s="1">
        <f t="shared" si="96"/>
        <v>2</v>
      </c>
      <c r="S114" s="1">
        <f t="shared" si="96"/>
        <v>4</v>
      </c>
      <c r="T114" s="1">
        <f t="shared" si="96"/>
        <v>8</v>
      </c>
      <c r="U114" s="1">
        <f t="shared" si="96"/>
        <v>13</v>
      </c>
      <c r="V114" s="1">
        <f t="shared" si="96"/>
        <v>21</v>
      </c>
      <c r="W114" s="1">
        <f t="shared" si="96"/>
        <v>34</v>
      </c>
      <c r="X114" s="1">
        <f t="shared" si="96"/>
        <v>40</v>
      </c>
      <c r="Y114" s="1">
        <f t="shared" si="96"/>
        <v>40</v>
      </c>
      <c r="Z114" s="1">
        <f t="shared" si="96"/>
        <v>40</v>
      </c>
      <c r="AA114" s="1">
        <f t="shared" si="96"/>
        <v>40</v>
      </c>
      <c r="AB114" s="1"/>
      <c r="AC114" s="1"/>
      <c r="AD114" s="1"/>
    </row>
    <row r="115" ht="15.75" customHeight="1">
      <c r="A115" s="1"/>
      <c r="B115" s="1"/>
      <c r="C115" s="1">
        <v>60.0</v>
      </c>
      <c r="D115" s="1"/>
      <c r="E115" s="14">
        <v>36.0</v>
      </c>
      <c r="F115" s="1"/>
      <c r="G115" s="1" t="str">
        <f t="shared" ref="G115:AA115" si="97">IF(G62="","",MIN($C115,VLOOKUP(G62,$B$2:$C$21,2,0)))</f>
        <v/>
      </c>
      <c r="H115" s="1" t="str">
        <f t="shared" si="97"/>
        <v/>
      </c>
      <c r="I115" s="1" t="str">
        <f t="shared" si="97"/>
        <v/>
      </c>
      <c r="J115" s="1" t="str">
        <f t="shared" si="97"/>
        <v/>
      </c>
      <c r="K115" s="1" t="str">
        <f t="shared" si="97"/>
        <v/>
      </c>
      <c r="L115" s="1" t="str">
        <f t="shared" si="97"/>
        <v/>
      </c>
      <c r="M115" s="1" t="str">
        <f t="shared" si="97"/>
        <v/>
      </c>
      <c r="N115" s="1" t="str">
        <f t="shared" si="97"/>
        <v/>
      </c>
      <c r="O115" s="1" t="str">
        <f t="shared" si="97"/>
        <v/>
      </c>
      <c r="P115" s="1">
        <f t="shared" si="97"/>
        <v>1</v>
      </c>
      <c r="Q115" s="1">
        <f t="shared" si="97"/>
        <v>1</v>
      </c>
      <c r="R115" s="1">
        <f t="shared" si="97"/>
        <v>2</v>
      </c>
      <c r="S115" s="1">
        <f t="shared" si="97"/>
        <v>4</v>
      </c>
      <c r="T115" s="1">
        <f t="shared" si="97"/>
        <v>8</v>
      </c>
      <c r="U115" s="1">
        <f t="shared" si="97"/>
        <v>13</v>
      </c>
      <c r="V115" s="1">
        <f t="shared" si="97"/>
        <v>21</v>
      </c>
      <c r="W115" s="1">
        <f t="shared" si="97"/>
        <v>34</v>
      </c>
      <c r="X115" s="1">
        <f t="shared" si="97"/>
        <v>55</v>
      </c>
      <c r="Y115" s="1">
        <f t="shared" si="97"/>
        <v>60</v>
      </c>
      <c r="Z115" s="1">
        <f t="shared" si="97"/>
        <v>60</v>
      </c>
      <c r="AA115" s="1">
        <f t="shared" si="97"/>
        <v>60</v>
      </c>
      <c r="AB115" s="1"/>
      <c r="AC115" s="1"/>
      <c r="AD115" s="1"/>
    </row>
    <row r="116" ht="15.75" customHeight="1">
      <c r="A116" s="1"/>
      <c r="B116" s="1"/>
      <c r="C116" s="1">
        <v>60.0</v>
      </c>
      <c r="D116" s="1"/>
      <c r="E116" s="14">
        <v>37.0</v>
      </c>
      <c r="F116" s="1"/>
      <c r="G116" s="1" t="str">
        <f t="shared" ref="G116:AA116" si="98">IF(G63="","",MIN($C116,VLOOKUP(G63,$B$2:$C$21,2,0)))</f>
        <v/>
      </c>
      <c r="H116" s="1" t="str">
        <f t="shared" si="98"/>
        <v/>
      </c>
      <c r="I116" s="1" t="str">
        <f t="shared" si="98"/>
        <v/>
      </c>
      <c r="J116" s="1" t="str">
        <f t="shared" si="98"/>
        <v/>
      </c>
      <c r="K116" s="1" t="str">
        <f t="shared" si="98"/>
        <v/>
      </c>
      <c r="L116" s="1" t="str">
        <f t="shared" si="98"/>
        <v/>
      </c>
      <c r="M116" s="1" t="str">
        <f t="shared" si="98"/>
        <v/>
      </c>
      <c r="N116" s="1" t="str">
        <f t="shared" si="98"/>
        <v/>
      </c>
      <c r="O116" s="1" t="str">
        <f t="shared" si="98"/>
        <v/>
      </c>
      <c r="P116" s="1">
        <f t="shared" si="98"/>
        <v>1</v>
      </c>
      <c r="Q116" s="1">
        <f t="shared" si="98"/>
        <v>1</v>
      </c>
      <c r="R116" s="1">
        <f t="shared" si="98"/>
        <v>2</v>
      </c>
      <c r="S116" s="1">
        <f t="shared" si="98"/>
        <v>4</v>
      </c>
      <c r="T116" s="1">
        <f t="shared" si="98"/>
        <v>8</v>
      </c>
      <c r="U116" s="1">
        <f t="shared" si="98"/>
        <v>13</v>
      </c>
      <c r="V116" s="1">
        <f t="shared" si="98"/>
        <v>21</v>
      </c>
      <c r="W116" s="1">
        <f t="shared" si="98"/>
        <v>34</v>
      </c>
      <c r="X116" s="1">
        <f t="shared" si="98"/>
        <v>55</v>
      </c>
      <c r="Y116" s="1">
        <f t="shared" si="98"/>
        <v>60</v>
      </c>
      <c r="Z116" s="1">
        <f t="shared" si="98"/>
        <v>60</v>
      </c>
      <c r="AA116" s="1">
        <f t="shared" si="98"/>
        <v>60</v>
      </c>
      <c r="AB116" s="1"/>
      <c r="AC116" s="1"/>
      <c r="AD116" s="1"/>
    </row>
    <row r="117" ht="15.75" customHeight="1">
      <c r="A117" s="1"/>
      <c r="B117" s="1"/>
      <c r="C117" s="1">
        <v>30.0</v>
      </c>
      <c r="D117" s="1"/>
      <c r="E117" s="14">
        <v>38.0</v>
      </c>
      <c r="F117" s="1"/>
      <c r="G117" s="1" t="str">
        <f t="shared" ref="G117:AA117" si="99">IF(G64="","",MIN($C117,VLOOKUP(G64,$B$2:$C$21,2,0)))</f>
        <v/>
      </c>
      <c r="H117" s="1" t="str">
        <f t="shared" si="99"/>
        <v/>
      </c>
      <c r="I117" s="1" t="str">
        <f t="shared" si="99"/>
        <v/>
      </c>
      <c r="J117" s="1" t="str">
        <f t="shared" si="99"/>
        <v/>
      </c>
      <c r="K117" s="1" t="str">
        <f t="shared" si="99"/>
        <v/>
      </c>
      <c r="L117" s="1" t="str">
        <f t="shared" si="99"/>
        <v/>
      </c>
      <c r="M117" s="1" t="str">
        <f t="shared" si="99"/>
        <v/>
      </c>
      <c r="N117" s="1" t="str">
        <f t="shared" si="99"/>
        <v/>
      </c>
      <c r="O117" s="1" t="str">
        <f t="shared" si="99"/>
        <v/>
      </c>
      <c r="P117" s="1">
        <f t="shared" si="99"/>
        <v>1</v>
      </c>
      <c r="Q117" s="1">
        <f t="shared" si="99"/>
        <v>1</v>
      </c>
      <c r="R117" s="1">
        <f t="shared" si="99"/>
        <v>2</v>
      </c>
      <c r="S117" s="1">
        <f t="shared" si="99"/>
        <v>4</v>
      </c>
      <c r="T117" s="1">
        <f t="shared" si="99"/>
        <v>8</v>
      </c>
      <c r="U117" s="1">
        <f t="shared" si="99"/>
        <v>13</v>
      </c>
      <c r="V117" s="1">
        <f t="shared" si="99"/>
        <v>21</v>
      </c>
      <c r="W117" s="1">
        <f t="shared" si="99"/>
        <v>30</v>
      </c>
      <c r="X117" s="1">
        <f t="shared" si="99"/>
        <v>30</v>
      </c>
      <c r="Y117" s="1">
        <f t="shared" si="99"/>
        <v>30</v>
      </c>
      <c r="Z117" s="1">
        <f t="shared" si="99"/>
        <v>30</v>
      </c>
      <c r="AA117" s="1">
        <f t="shared" si="99"/>
        <v>30</v>
      </c>
      <c r="AB117" s="1"/>
      <c r="AC117" s="1"/>
      <c r="AD117" s="1"/>
    </row>
    <row r="118" ht="15.75" customHeight="1">
      <c r="A118" s="1"/>
      <c r="B118" s="1"/>
      <c r="C118" s="1">
        <v>40.0</v>
      </c>
      <c r="D118" s="1"/>
      <c r="E118" s="14">
        <v>39.0</v>
      </c>
      <c r="F118" s="1"/>
      <c r="G118" s="1" t="str">
        <f t="shared" ref="G118:AA118" si="100">IF(G65="","",MIN($C118,VLOOKUP(G65,$B$2:$C$21,2,0)))</f>
        <v/>
      </c>
      <c r="H118" s="1" t="str">
        <f t="shared" si="100"/>
        <v/>
      </c>
      <c r="I118" s="1" t="str">
        <f t="shared" si="100"/>
        <v/>
      </c>
      <c r="J118" s="1" t="str">
        <f t="shared" si="100"/>
        <v/>
      </c>
      <c r="K118" s="1" t="str">
        <f t="shared" si="100"/>
        <v/>
      </c>
      <c r="L118" s="1" t="str">
        <f t="shared" si="100"/>
        <v/>
      </c>
      <c r="M118" s="1" t="str">
        <f t="shared" si="100"/>
        <v/>
      </c>
      <c r="N118" s="1" t="str">
        <f t="shared" si="100"/>
        <v/>
      </c>
      <c r="O118" s="1" t="str">
        <f t="shared" si="100"/>
        <v/>
      </c>
      <c r="P118" s="1">
        <f t="shared" si="100"/>
        <v>1</v>
      </c>
      <c r="Q118" s="1">
        <f t="shared" si="100"/>
        <v>1</v>
      </c>
      <c r="R118" s="1">
        <f t="shared" si="100"/>
        <v>2</v>
      </c>
      <c r="S118" s="1">
        <f t="shared" si="100"/>
        <v>4</v>
      </c>
      <c r="T118" s="1">
        <f t="shared" si="100"/>
        <v>8</v>
      </c>
      <c r="U118" s="1">
        <f t="shared" si="100"/>
        <v>13</v>
      </c>
      <c r="V118" s="1">
        <f t="shared" si="100"/>
        <v>21</v>
      </c>
      <c r="W118" s="1">
        <f t="shared" si="100"/>
        <v>34</v>
      </c>
      <c r="X118" s="1">
        <f t="shared" si="100"/>
        <v>40</v>
      </c>
      <c r="Y118" s="1">
        <f t="shared" si="100"/>
        <v>40</v>
      </c>
      <c r="Z118" s="1">
        <f t="shared" si="100"/>
        <v>40</v>
      </c>
      <c r="AA118" s="1">
        <f t="shared" si="100"/>
        <v>40</v>
      </c>
      <c r="AB118" s="1"/>
      <c r="AC118" s="1"/>
      <c r="AD118" s="1"/>
    </row>
    <row r="119" ht="15.75" customHeight="1">
      <c r="A119" s="1"/>
      <c r="B119" s="1"/>
      <c r="C119" s="1">
        <v>100.0</v>
      </c>
      <c r="D119" s="1"/>
      <c r="E119" s="14">
        <v>40.0</v>
      </c>
      <c r="F119" s="1"/>
      <c r="G119" s="1" t="str">
        <f t="shared" ref="G119:AA119" si="101">IF(G66="","",MIN($C119,VLOOKUP(G66,$B$2:$C$21,2,0)))</f>
        <v/>
      </c>
      <c r="H119" s="1" t="str">
        <f t="shared" si="101"/>
        <v/>
      </c>
      <c r="I119" s="1" t="str">
        <f t="shared" si="101"/>
        <v/>
      </c>
      <c r="J119" s="1" t="str">
        <f t="shared" si="101"/>
        <v/>
      </c>
      <c r="K119" s="1" t="str">
        <f t="shared" si="101"/>
        <v/>
      </c>
      <c r="L119" s="1" t="str">
        <f t="shared" si="101"/>
        <v/>
      </c>
      <c r="M119" s="1" t="str">
        <f t="shared" si="101"/>
        <v/>
      </c>
      <c r="N119" s="1" t="str">
        <f t="shared" si="101"/>
        <v/>
      </c>
      <c r="O119" s="1" t="str">
        <f t="shared" si="101"/>
        <v/>
      </c>
      <c r="P119" s="1">
        <f t="shared" si="101"/>
        <v>1</v>
      </c>
      <c r="Q119" s="1">
        <f t="shared" si="101"/>
        <v>1</v>
      </c>
      <c r="R119" s="1">
        <f t="shared" si="101"/>
        <v>2</v>
      </c>
      <c r="S119" s="1">
        <f t="shared" si="101"/>
        <v>4</v>
      </c>
      <c r="T119" s="1">
        <f t="shared" si="101"/>
        <v>8</v>
      </c>
      <c r="U119" s="1">
        <f t="shared" si="101"/>
        <v>13</v>
      </c>
      <c r="V119" s="1">
        <f t="shared" si="101"/>
        <v>21</v>
      </c>
      <c r="W119" s="1">
        <f t="shared" si="101"/>
        <v>34</v>
      </c>
      <c r="X119" s="1">
        <f t="shared" si="101"/>
        <v>55</v>
      </c>
      <c r="Y119" s="1">
        <f t="shared" si="101"/>
        <v>89</v>
      </c>
      <c r="Z119" s="1">
        <f t="shared" si="101"/>
        <v>100</v>
      </c>
      <c r="AA119" s="1">
        <f t="shared" si="101"/>
        <v>100</v>
      </c>
      <c r="AB119" s="1"/>
      <c r="AC119" s="1"/>
      <c r="AD119" s="1"/>
    </row>
    <row r="120" ht="15.75" customHeight="1">
      <c r="A120" s="1"/>
      <c r="B120" s="1"/>
      <c r="C120" s="1">
        <v>80.0</v>
      </c>
      <c r="D120" s="1"/>
      <c r="E120" s="14">
        <v>41.0</v>
      </c>
      <c r="F120" s="1"/>
      <c r="G120" s="1" t="str">
        <f t="shared" ref="G120:AA120" si="102">IF(G67="","",MIN($C120,VLOOKUP(G67,$B$2:$C$21,2,0)))</f>
        <v/>
      </c>
      <c r="H120" s="1" t="str">
        <f t="shared" si="102"/>
        <v/>
      </c>
      <c r="I120" s="1" t="str">
        <f t="shared" si="102"/>
        <v/>
      </c>
      <c r="J120" s="1" t="str">
        <f t="shared" si="102"/>
        <v/>
      </c>
      <c r="K120" s="1" t="str">
        <f t="shared" si="102"/>
        <v/>
      </c>
      <c r="L120" s="1" t="str">
        <f t="shared" si="102"/>
        <v/>
      </c>
      <c r="M120" s="1" t="str">
        <f t="shared" si="102"/>
        <v/>
      </c>
      <c r="N120" s="1" t="str">
        <f t="shared" si="102"/>
        <v/>
      </c>
      <c r="O120" s="1" t="str">
        <f t="shared" si="102"/>
        <v/>
      </c>
      <c r="P120" s="1">
        <f t="shared" si="102"/>
        <v>1</v>
      </c>
      <c r="Q120" s="1">
        <f t="shared" si="102"/>
        <v>1</v>
      </c>
      <c r="R120" s="1">
        <f t="shared" si="102"/>
        <v>2</v>
      </c>
      <c r="S120" s="1">
        <f t="shared" si="102"/>
        <v>4</v>
      </c>
      <c r="T120" s="1">
        <f t="shared" si="102"/>
        <v>8</v>
      </c>
      <c r="U120" s="1">
        <f t="shared" si="102"/>
        <v>13</v>
      </c>
      <c r="V120" s="1">
        <f t="shared" si="102"/>
        <v>21</v>
      </c>
      <c r="W120" s="1">
        <f t="shared" si="102"/>
        <v>34</v>
      </c>
      <c r="X120" s="1">
        <f t="shared" si="102"/>
        <v>55</v>
      </c>
      <c r="Y120" s="1">
        <f t="shared" si="102"/>
        <v>80</v>
      </c>
      <c r="Z120" s="1">
        <f t="shared" si="102"/>
        <v>80</v>
      </c>
      <c r="AA120" s="1">
        <f t="shared" si="102"/>
        <v>80</v>
      </c>
      <c r="AB120" s="1"/>
      <c r="AC120" s="1"/>
      <c r="AD120" s="1"/>
    </row>
    <row r="121" ht="15.75" customHeight="1">
      <c r="A121" s="1"/>
      <c r="B121" s="1"/>
      <c r="C121" s="1">
        <v>30.0</v>
      </c>
      <c r="D121" s="1"/>
      <c r="E121" s="14">
        <v>42.0</v>
      </c>
      <c r="F121" s="1"/>
      <c r="G121" s="1" t="str">
        <f t="shared" ref="G121:AA121" si="103">IF(G68="","",MIN($C121,VLOOKUP(G68,$B$2:$C$21,2,0)))</f>
        <v/>
      </c>
      <c r="H121" s="1" t="str">
        <f t="shared" si="103"/>
        <v/>
      </c>
      <c r="I121" s="1" t="str">
        <f t="shared" si="103"/>
        <v/>
      </c>
      <c r="J121" s="1" t="str">
        <f t="shared" si="103"/>
        <v/>
      </c>
      <c r="K121" s="1" t="str">
        <f t="shared" si="103"/>
        <v/>
      </c>
      <c r="L121" s="1" t="str">
        <f t="shared" si="103"/>
        <v/>
      </c>
      <c r="M121" s="1" t="str">
        <f t="shared" si="103"/>
        <v/>
      </c>
      <c r="N121" s="1" t="str">
        <f t="shared" si="103"/>
        <v/>
      </c>
      <c r="O121" s="1" t="str">
        <f t="shared" si="103"/>
        <v/>
      </c>
      <c r="P121" s="1">
        <f t="shared" si="103"/>
        <v>1</v>
      </c>
      <c r="Q121" s="1">
        <f t="shared" si="103"/>
        <v>1</v>
      </c>
      <c r="R121" s="1">
        <f t="shared" si="103"/>
        <v>2</v>
      </c>
      <c r="S121" s="1">
        <f t="shared" si="103"/>
        <v>4</v>
      </c>
      <c r="T121" s="1">
        <f t="shared" si="103"/>
        <v>8</v>
      </c>
      <c r="U121" s="1">
        <f t="shared" si="103"/>
        <v>13</v>
      </c>
      <c r="V121" s="1">
        <f t="shared" si="103"/>
        <v>21</v>
      </c>
      <c r="W121" s="1">
        <f t="shared" si="103"/>
        <v>30</v>
      </c>
      <c r="X121" s="1">
        <f t="shared" si="103"/>
        <v>30</v>
      </c>
      <c r="Y121" s="1">
        <f t="shared" si="103"/>
        <v>30</v>
      </c>
      <c r="Z121" s="1">
        <f t="shared" si="103"/>
        <v>30</v>
      </c>
      <c r="AA121" s="1">
        <f t="shared" si="103"/>
        <v>30</v>
      </c>
      <c r="AB121" s="1"/>
      <c r="AC121" s="1"/>
      <c r="AD121" s="1"/>
    </row>
    <row r="122" ht="15.75" customHeight="1">
      <c r="A122" s="1"/>
      <c r="B122" s="1"/>
      <c r="C122" s="1">
        <v>80.0</v>
      </c>
      <c r="D122" s="1"/>
      <c r="E122" s="14">
        <v>43.0</v>
      </c>
      <c r="F122" s="1"/>
      <c r="G122" s="1" t="str">
        <f t="shared" ref="G122:AA122" si="104">IF(G69="","",MIN($C122,VLOOKUP(G69,$B$2:$C$21,2,0)))</f>
        <v/>
      </c>
      <c r="H122" s="1" t="str">
        <f t="shared" si="104"/>
        <v/>
      </c>
      <c r="I122" s="1" t="str">
        <f t="shared" si="104"/>
        <v/>
      </c>
      <c r="J122" s="1" t="str">
        <f t="shared" si="104"/>
        <v/>
      </c>
      <c r="K122" s="1" t="str">
        <f t="shared" si="104"/>
        <v/>
      </c>
      <c r="L122" s="1" t="str">
        <f t="shared" si="104"/>
        <v/>
      </c>
      <c r="M122" s="1" t="str">
        <f t="shared" si="104"/>
        <v/>
      </c>
      <c r="N122" s="1" t="str">
        <f t="shared" si="104"/>
        <v/>
      </c>
      <c r="O122" s="1" t="str">
        <f t="shared" si="104"/>
        <v/>
      </c>
      <c r="P122" s="1">
        <f t="shared" si="104"/>
        <v>1</v>
      </c>
      <c r="Q122" s="1">
        <f t="shared" si="104"/>
        <v>1</v>
      </c>
      <c r="R122" s="1">
        <f t="shared" si="104"/>
        <v>2</v>
      </c>
      <c r="S122" s="1">
        <f t="shared" si="104"/>
        <v>4</v>
      </c>
      <c r="T122" s="1">
        <f t="shared" si="104"/>
        <v>8</v>
      </c>
      <c r="U122" s="1">
        <f t="shared" si="104"/>
        <v>13</v>
      </c>
      <c r="V122" s="1">
        <f t="shared" si="104"/>
        <v>21</v>
      </c>
      <c r="W122" s="1">
        <f t="shared" si="104"/>
        <v>34</v>
      </c>
      <c r="X122" s="1">
        <f t="shared" si="104"/>
        <v>55</v>
      </c>
      <c r="Y122" s="1">
        <f t="shared" si="104"/>
        <v>80</v>
      </c>
      <c r="Z122" s="1">
        <f t="shared" si="104"/>
        <v>80</v>
      </c>
      <c r="AA122" s="1">
        <f t="shared" si="104"/>
        <v>80</v>
      </c>
      <c r="AB122" s="1"/>
      <c r="AC122" s="1"/>
      <c r="AD122" s="1"/>
    </row>
    <row r="123" ht="15.75" customHeight="1">
      <c r="A123" s="1"/>
      <c r="B123" s="1"/>
      <c r="C123" s="1">
        <v>100.0</v>
      </c>
      <c r="D123" s="1"/>
      <c r="E123" s="14">
        <v>44.0</v>
      </c>
      <c r="F123" s="1"/>
      <c r="G123" s="1" t="str">
        <f t="shared" ref="G123:AA123" si="105">IF(G70="","",MIN($C123,VLOOKUP(G70,$B$2:$C$21,2,0)))</f>
        <v/>
      </c>
      <c r="H123" s="1" t="str">
        <f t="shared" si="105"/>
        <v/>
      </c>
      <c r="I123" s="1" t="str">
        <f t="shared" si="105"/>
        <v/>
      </c>
      <c r="J123" s="1" t="str">
        <f t="shared" si="105"/>
        <v/>
      </c>
      <c r="K123" s="1" t="str">
        <f t="shared" si="105"/>
        <v/>
      </c>
      <c r="L123" s="1" t="str">
        <f t="shared" si="105"/>
        <v/>
      </c>
      <c r="M123" s="1" t="str">
        <f t="shared" si="105"/>
        <v/>
      </c>
      <c r="N123" s="1" t="str">
        <f t="shared" si="105"/>
        <v/>
      </c>
      <c r="O123" s="1" t="str">
        <f t="shared" si="105"/>
        <v/>
      </c>
      <c r="P123" s="1">
        <f t="shared" si="105"/>
        <v>1</v>
      </c>
      <c r="Q123" s="1">
        <f t="shared" si="105"/>
        <v>1</v>
      </c>
      <c r="R123" s="1">
        <f t="shared" si="105"/>
        <v>2</v>
      </c>
      <c r="S123" s="1">
        <f t="shared" si="105"/>
        <v>4</v>
      </c>
      <c r="T123" s="1">
        <f t="shared" si="105"/>
        <v>8</v>
      </c>
      <c r="U123" s="1">
        <f t="shared" si="105"/>
        <v>13</v>
      </c>
      <c r="V123" s="1">
        <f t="shared" si="105"/>
        <v>21</v>
      </c>
      <c r="W123" s="1">
        <f t="shared" si="105"/>
        <v>34</v>
      </c>
      <c r="X123" s="1">
        <f t="shared" si="105"/>
        <v>55</v>
      </c>
      <c r="Y123" s="1">
        <f t="shared" si="105"/>
        <v>89</v>
      </c>
      <c r="Z123" s="1">
        <f t="shared" si="105"/>
        <v>100</v>
      </c>
      <c r="AA123" s="1">
        <f t="shared" si="105"/>
        <v>100</v>
      </c>
      <c r="AB123" s="1"/>
      <c r="AC123" s="1"/>
      <c r="AD123" s="1"/>
    </row>
    <row r="124" ht="15.75" customHeight="1">
      <c r="A124" s="1"/>
      <c r="B124" s="1"/>
      <c r="C124" s="1">
        <v>80.0</v>
      </c>
      <c r="D124" s="1"/>
      <c r="E124" s="14">
        <v>45.0</v>
      </c>
      <c r="F124" s="1"/>
      <c r="G124" s="1" t="str">
        <f t="shared" ref="G124:AA124" si="106">IF(G71="","",MIN($C124,VLOOKUP(G71,$B$2:$C$21,2,0)))</f>
        <v/>
      </c>
      <c r="H124" s="1" t="str">
        <f t="shared" si="106"/>
        <v/>
      </c>
      <c r="I124" s="1" t="str">
        <f t="shared" si="106"/>
        <v/>
      </c>
      <c r="J124" s="1" t="str">
        <f t="shared" si="106"/>
        <v/>
      </c>
      <c r="K124" s="1" t="str">
        <f t="shared" si="106"/>
        <v/>
      </c>
      <c r="L124" s="1" t="str">
        <f t="shared" si="106"/>
        <v/>
      </c>
      <c r="M124" s="1" t="str">
        <f t="shared" si="106"/>
        <v/>
      </c>
      <c r="N124" s="1" t="str">
        <f t="shared" si="106"/>
        <v/>
      </c>
      <c r="O124" s="1" t="str">
        <f t="shared" si="106"/>
        <v/>
      </c>
      <c r="P124" s="1">
        <f t="shared" si="106"/>
        <v>1</v>
      </c>
      <c r="Q124" s="1">
        <f t="shared" si="106"/>
        <v>1</v>
      </c>
      <c r="R124" s="1">
        <f t="shared" si="106"/>
        <v>2</v>
      </c>
      <c r="S124" s="1">
        <f t="shared" si="106"/>
        <v>4</v>
      </c>
      <c r="T124" s="1">
        <f t="shared" si="106"/>
        <v>8</v>
      </c>
      <c r="U124" s="1">
        <f t="shared" si="106"/>
        <v>13</v>
      </c>
      <c r="V124" s="1">
        <f t="shared" si="106"/>
        <v>21</v>
      </c>
      <c r="W124" s="1">
        <f t="shared" si="106"/>
        <v>34</v>
      </c>
      <c r="X124" s="1">
        <f t="shared" si="106"/>
        <v>55</v>
      </c>
      <c r="Y124" s="1">
        <f t="shared" si="106"/>
        <v>80</v>
      </c>
      <c r="Z124" s="1">
        <f t="shared" si="106"/>
        <v>80</v>
      </c>
      <c r="AA124" s="1">
        <f t="shared" si="106"/>
        <v>80</v>
      </c>
      <c r="AB124" s="1"/>
      <c r="AC124" s="1"/>
      <c r="AD124" s="1"/>
    </row>
    <row r="125" ht="15.75" customHeight="1">
      <c r="A125" s="1"/>
      <c r="B125" s="1"/>
      <c r="C125" s="1">
        <v>60.0</v>
      </c>
      <c r="D125" s="1"/>
      <c r="E125" s="14">
        <v>46.0</v>
      </c>
      <c r="F125" s="1"/>
      <c r="G125" s="1" t="str">
        <f t="shared" ref="G125:AA125" si="107">IF(G72="","",MIN($C125,VLOOKUP(G72,$B$2:$C$21,2,0)))</f>
        <v/>
      </c>
      <c r="H125" s="1" t="str">
        <f t="shared" si="107"/>
        <v/>
      </c>
      <c r="I125" s="1" t="str">
        <f t="shared" si="107"/>
        <v/>
      </c>
      <c r="J125" s="1" t="str">
        <f t="shared" si="107"/>
        <v/>
      </c>
      <c r="K125" s="1" t="str">
        <f t="shared" si="107"/>
        <v/>
      </c>
      <c r="L125" s="1" t="str">
        <f t="shared" si="107"/>
        <v/>
      </c>
      <c r="M125" s="1" t="str">
        <f t="shared" si="107"/>
        <v/>
      </c>
      <c r="N125" s="1" t="str">
        <f t="shared" si="107"/>
        <v/>
      </c>
      <c r="O125" s="1" t="str">
        <f t="shared" si="107"/>
        <v/>
      </c>
      <c r="P125" s="1">
        <f t="shared" si="107"/>
        <v>1</v>
      </c>
      <c r="Q125" s="1">
        <f t="shared" si="107"/>
        <v>1</v>
      </c>
      <c r="R125" s="1">
        <f t="shared" si="107"/>
        <v>2</v>
      </c>
      <c r="S125" s="1">
        <f t="shared" si="107"/>
        <v>4</v>
      </c>
      <c r="T125" s="1">
        <f t="shared" si="107"/>
        <v>8</v>
      </c>
      <c r="U125" s="1">
        <f t="shared" si="107"/>
        <v>13</v>
      </c>
      <c r="V125" s="1">
        <f t="shared" si="107"/>
        <v>21</v>
      </c>
      <c r="W125" s="1">
        <f t="shared" si="107"/>
        <v>34</v>
      </c>
      <c r="X125" s="1">
        <f t="shared" si="107"/>
        <v>55</v>
      </c>
      <c r="Y125" s="1">
        <f t="shared" si="107"/>
        <v>60</v>
      </c>
      <c r="Z125" s="1">
        <f t="shared" si="107"/>
        <v>60</v>
      </c>
      <c r="AA125" s="1">
        <f t="shared" si="107"/>
        <v>60</v>
      </c>
      <c r="AB125" s="1"/>
      <c r="AC125" s="1"/>
      <c r="AD125" s="1"/>
    </row>
    <row r="126" ht="15.75" customHeight="1">
      <c r="A126" s="1"/>
      <c r="B126" s="1"/>
      <c r="C126" s="1">
        <v>80.0</v>
      </c>
      <c r="D126" s="1"/>
      <c r="E126" s="14">
        <v>47.0</v>
      </c>
      <c r="F126" s="1"/>
      <c r="G126" s="1" t="str">
        <f t="shared" ref="G126:AA126" si="108">IF(G73="","",MIN($C126,VLOOKUP(G73,$B$2:$C$21,2,0)))</f>
        <v/>
      </c>
      <c r="H126" s="1" t="str">
        <f t="shared" si="108"/>
        <v/>
      </c>
      <c r="I126" s="1" t="str">
        <f t="shared" si="108"/>
        <v/>
      </c>
      <c r="J126" s="1" t="str">
        <f t="shared" si="108"/>
        <v/>
      </c>
      <c r="K126" s="1" t="str">
        <f t="shared" si="108"/>
        <v/>
      </c>
      <c r="L126" s="1" t="str">
        <f t="shared" si="108"/>
        <v/>
      </c>
      <c r="M126" s="1" t="str">
        <f t="shared" si="108"/>
        <v/>
      </c>
      <c r="N126" s="1" t="str">
        <f t="shared" si="108"/>
        <v/>
      </c>
      <c r="O126" s="1" t="str">
        <f t="shared" si="108"/>
        <v/>
      </c>
      <c r="P126" s="1">
        <f t="shared" si="108"/>
        <v>1</v>
      </c>
      <c r="Q126" s="1">
        <f t="shared" si="108"/>
        <v>1</v>
      </c>
      <c r="R126" s="1">
        <f t="shared" si="108"/>
        <v>2</v>
      </c>
      <c r="S126" s="1">
        <f t="shared" si="108"/>
        <v>4</v>
      </c>
      <c r="T126" s="1">
        <f t="shared" si="108"/>
        <v>8</v>
      </c>
      <c r="U126" s="1">
        <f t="shared" si="108"/>
        <v>13</v>
      </c>
      <c r="V126" s="1">
        <f t="shared" si="108"/>
        <v>21</v>
      </c>
      <c r="W126" s="1">
        <f t="shared" si="108"/>
        <v>34</v>
      </c>
      <c r="X126" s="1">
        <f t="shared" si="108"/>
        <v>55</v>
      </c>
      <c r="Y126" s="1">
        <f t="shared" si="108"/>
        <v>80</v>
      </c>
      <c r="Z126" s="1">
        <f t="shared" si="108"/>
        <v>80</v>
      </c>
      <c r="AA126" s="1">
        <f t="shared" si="108"/>
        <v>80</v>
      </c>
      <c r="AB126" s="1"/>
      <c r="AC126" s="1"/>
      <c r="AD126" s="1"/>
    </row>
    <row r="127" ht="15.75" customHeight="1">
      <c r="A127" s="1"/>
      <c r="B127" s="1"/>
      <c r="C127" s="1">
        <v>100.0</v>
      </c>
      <c r="D127" s="1"/>
      <c r="E127" s="14">
        <v>48.0</v>
      </c>
      <c r="F127" s="1"/>
      <c r="G127" s="1" t="str">
        <f t="shared" ref="G127:AA127" si="109">IF(G74="","",MIN($C127,VLOOKUP(G74,$B$2:$C$21,2,0)))</f>
        <v/>
      </c>
      <c r="H127" s="1" t="str">
        <f t="shared" si="109"/>
        <v/>
      </c>
      <c r="I127" s="1" t="str">
        <f t="shared" si="109"/>
        <v/>
      </c>
      <c r="J127" s="1" t="str">
        <f t="shared" si="109"/>
        <v/>
      </c>
      <c r="K127" s="1" t="str">
        <f t="shared" si="109"/>
        <v/>
      </c>
      <c r="L127" s="1" t="str">
        <f t="shared" si="109"/>
        <v/>
      </c>
      <c r="M127" s="1" t="str">
        <f t="shared" si="109"/>
        <v/>
      </c>
      <c r="N127" s="1" t="str">
        <f t="shared" si="109"/>
        <v/>
      </c>
      <c r="O127" s="1" t="str">
        <f t="shared" si="109"/>
        <v/>
      </c>
      <c r="P127" s="1">
        <f t="shared" si="109"/>
        <v>1</v>
      </c>
      <c r="Q127" s="1">
        <f t="shared" si="109"/>
        <v>1</v>
      </c>
      <c r="R127" s="1">
        <f t="shared" si="109"/>
        <v>2</v>
      </c>
      <c r="S127" s="1">
        <f t="shared" si="109"/>
        <v>4</v>
      </c>
      <c r="T127" s="1">
        <f t="shared" si="109"/>
        <v>8</v>
      </c>
      <c r="U127" s="1">
        <f t="shared" si="109"/>
        <v>13</v>
      </c>
      <c r="V127" s="1">
        <f t="shared" si="109"/>
        <v>21</v>
      </c>
      <c r="W127" s="1">
        <f t="shared" si="109"/>
        <v>34</v>
      </c>
      <c r="X127" s="1">
        <f t="shared" si="109"/>
        <v>55</v>
      </c>
      <c r="Y127" s="1">
        <f t="shared" si="109"/>
        <v>89</v>
      </c>
      <c r="Z127" s="1">
        <f t="shared" si="109"/>
        <v>100</v>
      </c>
      <c r="AA127" s="1">
        <f t="shared" si="109"/>
        <v>100</v>
      </c>
      <c r="AB127" s="1"/>
      <c r="AC127" s="1"/>
      <c r="AD127" s="1"/>
    </row>
    <row r="128" ht="15.75" customHeight="1">
      <c r="A128" s="1"/>
      <c r="B128" s="1"/>
      <c r="C128" s="1">
        <v>80.0</v>
      </c>
      <c r="D128" s="1"/>
      <c r="E128" s="14">
        <v>49.0</v>
      </c>
      <c r="F128" s="1"/>
      <c r="G128" s="1" t="str">
        <f t="shared" ref="G128:AA128" si="110">IF(G75="","",MIN($C128,VLOOKUP(G75,$B$2:$C$21,2,0)))</f>
        <v/>
      </c>
      <c r="H128" s="1" t="str">
        <f t="shared" si="110"/>
        <v/>
      </c>
      <c r="I128" s="1" t="str">
        <f t="shared" si="110"/>
        <v/>
      </c>
      <c r="J128" s="1" t="str">
        <f t="shared" si="110"/>
        <v/>
      </c>
      <c r="K128" s="1" t="str">
        <f t="shared" si="110"/>
        <v/>
      </c>
      <c r="L128" s="1" t="str">
        <f t="shared" si="110"/>
        <v/>
      </c>
      <c r="M128" s="1" t="str">
        <f t="shared" si="110"/>
        <v/>
      </c>
      <c r="N128" s="1" t="str">
        <f t="shared" si="110"/>
        <v/>
      </c>
      <c r="O128" s="1" t="str">
        <f t="shared" si="110"/>
        <v/>
      </c>
      <c r="P128" s="1">
        <f t="shared" si="110"/>
        <v>1</v>
      </c>
      <c r="Q128" s="1">
        <f t="shared" si="110"/>
        <v>1</v>
      </c>
      <c r="R128" s="1">
        <f t="shared" si="110"/>
        <v>2</v>
      </c>
      <c r="S128" s="1">
        <f t="shared" si="110"/>
        <v>4</v>
      </c>
      <c r="T128" s="1">
        <f t="shared" si="110"/>
        <v>8</v>
      </c>
      <c r="U128" s="1">
        <f t="shared" si="110"/>
        <v>13</v>
      </c>
      <c r="V128" s="1">
        <f t="shared" si="110"/>
        <v>21</v>
      </c>
      <c r="W128" s="1">
        <f t="shared" si="110"/>
        <v>34</v>
      </c>
      <c r="X128" s="1">
        <f t="shared" si="110"/>
        <v>55</v>
      </c>
      <c r="Y128" s="1">
        <f t="shared" si="110"/>
        <v>80</v>
      </c>
      <c r="Z128" s="1">
        <f t="shared" si="110"/>
        <v>80</v>
      </c>
      <c r="AA128" s="1">
        <f t="shared" si="110"/>
        <v>80</v>
      </c>
      <c r="AB128" s="1"/>
      <c r="AC128" s="1"/>
      <c r="AD128" s="1"/>
    </row>
    <row r="129" ht="15.75" customHeight="1">
      <c r="A129" s="1"/>
      <c r="B129" s="1"/>
      <c r="C129" s="1">
        <v>80.0</v>
      </c>
      <c r="D129" s="1"/>
      <c r="E129" s="14">
        <v>50.0</v>
      </c>
      <c r="F129" s="1"/>
      <c r="G129" s="1" t="str">
        <f t="shared" ref="G129:AA129" si="111">IF(G76="","",MIN($C129,VLOOKUP(G76,$B$2:$C$21,2,0)))</f>
        <v/>
      </c>
      <c r="H129" s="1" t="str">
        <f t="shared" si="111"/>
        <v/>
      </c>
      <c r="I129" s="1" t="str">
        <f t="shared" si="111"/>
        <v/>
      </c>
      <c r="J129" s="1" t="str">
        <f t="shared" si="111"/>
        <v/>
      </c>
      <c r="K129" s="1" t="str">
        <f t="shared" si="111"/>
        <v/>
      </c>
      <c r="L129" s="1" t="str">
        <f t="shared" si="111"/>
        <v/>
      </c>
      <c r="M129" s="1" t="str">
        <f t="shared" si="111"/>
        <v/>
      </c>
      <c r="N129" s="1" t="str">
        <f t="shared" si="111"/>
        <v/>
      </c>
      <c r="O129" s="1" t="str">
        <f t="shared" si="111"/>
        <v/>
      </c>
      <c r="P129" s="1">
        <f t="shared" si="111"/>
        <v>1</v>
      </c>
      <c r="Q129" s="1">
        <f t="shared" si="111"/>
        <v>1</v>
      </c>
      <c r="R129" s="1">
        <f t="shared" si="111"/>
        <v>2</v>
      </c>
      <c r="S129" s="1">
        <f t="shared" si="111"/>
        <v>4</v>
      </c>
      <c r="T129" s="1">
        <f t="shared" si="111"/>
        <v>8</v>
      </c>
      <c r="U129" s="1">
        <f t="shared" si="111"/>
        <v>13</v>
      </c>
      <c r="V129" s="1">
        <f t="shared" si="111"/>
        <v>21</v>
      </c>
      <c r="W129" s="1">
        <f t="shared" si="111"/>
        <v>34</v>
      </c>
      <c r="X129" s="1">
        <f t="shared" si="111"/>
        <v>55</v>
      </c>
      <c r="Y129" s="1">
        <f t="shared" si="111"/>
        <v>80</v>
      </c>
      <c r="Z129" s="1">
        <f t="shared" si="111"/>
        <v>80</v>
      </c>
      <c r="AA129" s="1">
        <f t="shared" si="111"/>
        <v>80</v>
      </c>
      <c r="AB129" s="1"/>
      <c r="AC129" s="1"/>
      <c r="AD129" s="1"/>
    </row>
    <row r="130" ht="15.75" customHeight="1">
      <c r="A130" s="1"/>
      <c r="B130" s="1"/>
      <c r="C130" s="1"/>
      <c r="D130" s="1"/>
      <c r="E130" s="2" t="s">
        <v>18</v>
      </c>
      <c r="F130" s="2">
        <f t="shared" ref="F130:AA130" si="112">SUM(F80:F129)</f>
        <v>3</v>
      </c>
      <c r="G130" s="2">
        <f t="shared" si="112"/>
        <v>5</v>
      </c>
      <c r="H130" s="2">
        <f t="shared" si="112"/>
        <v>8</v>
      </c>
      <c r="I130" s="2">
        <f t="shared" si="112"/>
        <v>13</v>
      </c>
      <c r="J130" s="2">
        <f t="shared" si="112"/>
        <v>21</v>
      </c>
      <c r="K130" s="2">
        <f t="shared" si="112"/>
        <v>34</v>
      </c>
      <c r="L130" s="2">
        <f t="shared" si="112"/>
        <v>56</v>
      </c>
      <c r="M130" s="2">
        <f t="shared" si="112"/>
        <v>90</v>
      </c>
      <c r="N130" s="2">
        <f t="shared" si="112"/>
        <v>135</v>
      </c>
      <c r="O130" s="2">
        <f t="shared" si="112"/>
        <v>180</v>
      </c>
      <c r="P130" s="2">
        <f t="shared" si="112"/>
        <v>246</v>
      </c>
      <c r="Q130" s="2">
        <f t="shared" si="112"/>
        <v>326</v>
      </c>
      <c r="R130" s="2">
        <f t="shared" si="112"/>
        <v>468</v>
      </c>
      <c r="S130" s="2">
        <f t="shared" si="112"/>
        <v>661</v>
      </c>
      <c r="T130" s="2">
        <f t="shared" si="112"/>
        <v>903</v>
      </c>
      <c r="U130" s="2">
        <f t="shared" si="112"/>
        <v>1176</v>
      </c>
      <c r="V130" s="2">
        <f t="shared" si="112"/>
        <v>1500</v>
      </c>
      <c r="W130" s="2">
        <f t="shared" si="112"/>
        <v>1850</v>
      </c>
      <c r="X130" s="2">
        <f t="shared" si="112"/>
        <v>2195</v>
      </c>
      <c r="Y130" s="2">
        <f t="shared" si="112"/>
        <v>2467</v>
      </c>
      <c r="Z130" s="2">
        <f t="shared" si="112"/>
        <v>2500</v>
      </c>
      <c r="AA130" s="2">
        <f t="shared" si="112"/>
        <v>2500</v>
      </c>
      <c r="AB130" s="1"/>
      <c r="AC130" s="1"/>
      <c r="AD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ht="15.75" customHeight="1">
      <c r="A132" s="1"/>
      <c r="B132" s="1"/>
      <c r="C132" s="1"/>
      <c r="D132" s="1"/>
      <c r="E132" s="2" t="s">
        <v>14</v>
      </c>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ht="15.75" customHeight="1" outlineLevel="1">
      <c r="A133" s="1"/>
      <c r="B133" s="1"/>
      <c r="C133" s="16" t="s">
        <v>16</v>
      </c>
      <c r="D133" s="1"/>
      <c r="E133" s="2" t="s">
        <v>17</v>
      </c>
      <c r="F133" s="8" t="s">
        <v>4</v>
      </c>
      <c r="G133" s="8" t="s">
        <v>5</v>
      </c>
      <c r="H133" s="8" t="s">
        <v>6</v>
      </c>
      <c r="I133" s="8" t="s">
        <v>7</v>
      </c>
      <c r="J133" s="8" t="s">
        <v>8</v>
      </c>
      <c r="K133" s="8" t="str">
        <f t="shared" ref="K133:AA133" si="113">RIGHT(J133,4)&amp;"-"&amp;RIGHT(J133,4)+1</f>
        <v>2015-2016</v>
      </c>
      <c r="L133" s="8" t="str">
        <f t="shared" si="113"/>
        <v>2016-2017</v>
      </c>
      <c r="M133" s="8" t="str">
        <f t="shared" si="113"/>
        <v>2017-2018</v>
      </c>
      <c r="N133" s="8" t="str">
        <f t="shared" si="113"/>
        <v>2018-2019</v>
      </c>
      <c r="O133" s="8" t="str">
        <f t="shared" si="113"/>
        <v>2019-2020</v>
      </c>
      <c r="P133" s="8" t="str">
        <f t="shared" si="113"/>
        <v>2020-2021</v>
      </c>
      <c r="Q133" s="8" t="str">
        <f t="shared" si="113"/>
        <v>2021-2022</v>
      </c>
      <c r="R133" s="8" t="str">
        <f t="shared" si="113"/>
        <v>2022-2023</v>
      </c>
      <c r="S133" s="8" t="str">
        <f t="shared" si="113"/>
        <v>2023-2024</v>
      </c>
      <c r="T133" s="8" t="str">
        <f t="shared" si="113"/>
        <v>2024-2025</v>
      </c>
      <c r="U133" s="8" t="str">
        <f t="shared" si="113"/>
        <v>2025-2026</v>
      </c>
      <c r="V133" s="8" t="str">
        <f t="shared" si="113"/>
        <v>2026-2027</v>
      </c>
      <c r="W133" s="8" t="str">
        <f t="shared" si="113"/>
        <v>2027-2028</v>
      </c>
      <c r="X133" s="8" t="str">
        <f t="shared" si="113"/>
        <v>2028-2029</v>
      </c>
      <c r="Y133" s="8" t="str">
        <f t="shared" si="113"/>
        <v>2029-2030</v>
      </c>
      <c r="Z133" s="8" t="str">
        <f t="shared" si="113"/>
        <v>2030-2031</v>
      </c>
      <c r="AA133" s="8" t="str">
        <f t="shared" si="113"/>
        <v>2031-2032</v>
      </c>
      <c r="AB133" s="1"/>
      <c r="AC133" s="1"/>
      <c r="AD133" s="1"/>
    </row>
    <row r="134" ht="15.75" customHeight="1" outlineLevel="1">
      <c r="A134" s="1"/>
      <c r="B134" s="1"/>
      <c r="C134" s="1">
        <v>100.0</v>
      </c>
      <c r="D134" s="1"/>
      <c r="E134" s="14">
        <v>1.0</v>
      </c>
      <c r="F134" s="1">
        <f t="shared" ref="F134:AA134" si="114">IF(F80="","",ROUNDUP(F80/10,0))</f>
        <v>1</v>
      </c>
      <c r="G134" s="1">
        <f t="shared" si="114"/>
        <v>1</v>
      </c>
      <c r="H134" s="1">
        <f t="shared" si="114"/>
        <v>1</v>
      </c>
      <c r="I134" s="1">
        <f t="shared" si="114"/>
        <v>2</v>
      </c>
      <c r="J134" s="1">
        <f t="shared" si="114"/>
        <v>2</v>
      </c>
      <c r="K134" s="1">
        <f t="shared" si="114"/>
        <v>3</v>
      </c>
      <c r="L134" s="1">
        <f t="shared" si="114"/>
        <v>5</v>
      </c>
      <c r="M134" s="1">
        <f t="shared" si="114"/>
        <v>7</v>
      </c>
      <c r="N134" s="1">
        <f t="shared" si="114"/>
        <v>10</v>
      </c>
      <c r="O134" s="1">
        <f t="shared" si="114"/>
        <v>10</v>
      </c>
      <c r="P134" s="1">
        <f t="shared" si="114"/>
        <v>10</v>
      </c>
      <c r="Q134" s="1">
        <f t="shared" si="114"/>
        <v>10</v>
      </c>
      <c r="R134" s="1">
        <f t="shared" si="114"/>
        <v>10</v>
      </c>
      <c r="S134" s="1">
        <f t="shared" si="114"/>
        <v>10</v>
      </c>
      <c r="T134" s="1">
        <f t="shared" si="114"/>
        <v>10</v>
      </c>
      <c r="U134" s="1">
        <f t="shared" si="114"/>
        <v>10</v>
      </c>
      <c r="V134" s="1">
        <f t="shared" si="114"/>
        <v>10</v>
      </c>
      <c r="W134" s="1">
        <f t="shared" si="114"/>
        <v>10</v>
      </c>
      <c r="X134" s="1">
        <f t="shared" si="114"/>
        <v>10</v>
      </c>
      <c r="Y134" s="1">
        <f t="shared" si="114"/>
        <v>10</v>
      </c>
      <c r="Z134" s="1">
        <f t="shared" si="114"/>
        <v>10</v>
      </c>
      <c r="AA134" s="1">
        <f t="shared" si="114"/>
        <v>10</v>
      </c>
      <c r="AB134" s="1"/>
      <c r="AC134" s="1"/>
      <c r="AD134" s="1"/>
    </row>
    <row r="135" ht="15.75" customHeight="1" outlineLevel="1">
      <c r="A135" s="1"/>
      <c r="B135" s="1"/>
      <c r="C135" s="1">
        <v>30.0</v>
      </c>
      <c r="D135" s="1"/>
      <c r="E135" s="14">
        <v>2.0</v>
      </c>
      <c r="F135" s="1" t="str">
        <f t="shared" ref="F135:AA135" si="115">IF(F81="","",ROUNDUP(F81/10,0))</f>
        <v/>
      </c>
      <c r="G135" s="1" t="str">
        <f t="shared" si="115"/>
        <v/>
      </c>
      <c r="H135" s="1" t="str">
        <f t="shared" si="115"/>
        <v/>
      </c>
      <c r="I135" s="1">
        <f t="shared" si="115"/>
        <v>1</v>
      </c>
      <c r="J135" s="1">
        <f t="shared" si="115"/>
        <v>1</v>
      </c>
      <c r="K135" s="1">
        <f t="shared" si="115"/>
        <v>1</v>
      </c>
      <c r="L135" s="1">
        <f t="shared" si="115"/>
        <v>1</v>
      </c>
      <c r="M135" s="1">
        <f t="shared" si="115"/>
        <v>1</v>
      </c>
      <c r="N135" s="1">
        <f t="shared" si="115"/>
        <v>2</v>
      </c>
      <c r="O135" s="1">
        <f t="shared" si="115"/>
        <v>3</v>
      </c>
      <c r="P135" s="1">
        <f t="shared" si="115"/>
        <v>3</v>
      </c>
      <c r="Q135" s="1">
        <f t="shared" si="115"/>
        <v>3</v>
      </c>
      <c r="R135" s="1">
        <f t="shared" si="115"/>
        <v>3</v>
      </c>
      <c r="S135" s="1">
        <f t="shared" si="115"/>
        <v>3</v>
      </c>
      <c r="T135" s="1">
        <f t="shared" si="115"/>
        <v>3</v>
      </c>
      <c r="U135" s="1">
        <f t="shared" si="115"/>
        <v>3</v>
      </c>
      <c r="V135" s="1">
        <f t="shared" si="115"/>
        <v>3</v>
      </c>
      <c r="W135" s="1">
        <f t="shared" si="115"/>
        <v>3</v>
      </c>
      <c r="X135" s="1">
        <f t="shared" si="115"/>
        <v>3</v>
      </c>
      <c r="Y135" s="1">
        <f t="shared" si="115"/>
        <v>3</v>
      </c>
      <c r="Z135" s="1">
        <f t="shared" si="115"/>
        <v>3</v>
      </c>
      <c r="AA135" s="1">
        <f t="shared" si="115"/>
        <v>3</v>
      </c>
      <c r="AB135" s="1"/>
      <c r="AC135" s="1"/>
      <c r="AD135" s="1"/>
    </row>
    <row r="136" ht="15.75" customHeight="1" outlineLevel="1">
      <c r="A136" s="1"/>
      <c r="B136" s="1"/>
      <c r="C136" s="1">
        <v>30.0</v>
      </c>
      <c r="D136" s="1"/>
      <c r="E136" s="14">
        <v>3.0</v>
      </c>
      <c r="F136" s="1" t="str">
        <f t="shared" ref="F136:AA136" si="116">IF(F82="","",ROUNDUP(F82/10,0))</f>
        <v/>
      </c>
      <c r="G136" s="1" t="str">
        <f t="shared" si="116"/>
        <v/>
      </c>
      <c r="H136" s="1" t="str">
        <f t="shared" si="116"/>
        <v/>
      </c>
      <c r="I136" s="1" t="str">
        <f t="shared" si="116"/>
        <v/>
      </c>
      <c r="J136" s="1" t="str">
        <f t="shared" si="116"/>
        <v/>
      </c>
      <c r="K136" s="1">
        <f t="shared" si="116"/>
        <v>1</v>
      </c>
      <c r="L136" s="1">
        <f t="shared" si="116"/>
        <v>1</v>
      </c>
      <c r="M136" s="1">
        <f t="shared" si="116"/>
        <v>1</v>
      </c>
      <c r="N136" s="1">
        <f t="shared" si="116"/>
        <v>1</v>
      </c>
      <c r="O136" s="1">
        <f t="shared" si="116"/>
        <v>1</v>
      </c>
      <c r="P136" s="1">
        <f t="shared" si="116"/>
        <v>2</v>
      </c>
      <c r="Q136" s="1">
        <f t="shared" si="116"/>
        <v>3</v>
      </c>
      <c r="R136" s="1">
        <f t="shared" si="116"/>
        <v>3</v>
      </c>
      <c r="S136" s="1">
        <f t="shared" si="116"/>
        <v>3</v>
      </c>
      <c r="T136" s="1">
        <f t="shared" si="116"/>
        <v>3</v>
      </c>
      <c r="U136" s="1">
        <f t="shared" si="116"/>
        <v>3</v>
      </c>
      <c r="V136" s="1">
        <f t="shared" si="116"/>
        <v>3</v>
      </c>
      <c r="W136" s="1">
        <f t="shared" si="116"/>
        <v>3</v>
      </c>
      <c r="X136" s="1">
        <f t="shared" si="116"/>
        <v>3</v>
      </c>
      <c r="Y136" s="1">
        <f t="shared" si="116"/>
        <v>3</v>
      </c>
      <c r="Z136" s="1">
        <f t="shared" si="116"/>
        <v>3</v>
      </c>
      <c r="AA136" s="1">
        <f t="shared" si="116"/>
        <v>3</v>
      </c>
      <c r="AB136" s="1"/>
      <c r="AC136" s="1"/>
      <c r="AD136" s="1"/>
    </row>
    <row r="137" ht="15.75" customHeight="1" outlineLevel="1">
      <c r="A137" s="1"/>
      <c r="B137" s="1"/>
      <c r="C137" s="1">
        <v>30.0</v>
      </c>
      <c r="D137" s="1"/>
      <c r="E137" s="14">
        <v>4.0</v>
      </c>
      <c r="F137" s="1" t="str">
        <f t="shared" ref="F137:AA137" si="117">IF(F83="","",ROUNDUP(F83/10,0))</f>
        <v/>
      </c>
      <c r="G137" s="1" t="str">
        <f t="shared" si="117"/>
        <v/>
      </c>
      <c r="H137" s="1" t="str">
        <f t="shared" si="117"/>
        <v/>
      </c>
      <c r="I137" s="1" t="str">
        <f t="shared" si="117"/>
        <v/>
      </c>
      <c r="J137" s="1" t="str">
        <f t="shared" si="117"/>
        <v/>
      </c>
      <c r="K137" s="1">
        <f t="shared" si="117"/>
        <v>1</v>
      </c>
      <c r="L137" s="1">
        <f t="shared" si="117"/>
        <v>1</v>
      </c>
      <c r="M137" s="1">
        <f t="shared" si="117"/>
        <v>1</v>
      </c>
      <c r="N137" s="1">
        <f t="shared" si="117"/>
        <v>1</v>
      </c>
      <c r="O137" s="1">
        <f t="shared" si="117"/>
        <v>1</v>
      </c>
      <c r="P137" s="1">
        <f t="shared" si="117"/>
        <v>2</v>
      </c>
      <c r="Q137" s="1">
        <f t="shared" si="117"/>
        <v>3</v>
      </c>
      <c r="R137" s="1">
        <f t="shared" si="117"/>
        <v>3</v>
      </c>
      <c r="S137" s="1">
        <f t="shared" si="117"/>
        <v>3</v>
      </c>
      <c r="T137" s="1">
        <f t="shared" si="117"/>
        <v>3</v>
      </c>
      <c r="U137" s="1">
        <f t="shared" si="117"/>
        <v>3</v>
      </c>
      <c r="V137" s="1">
        <f t="shared" si="117"/>
        <v>3</v>
      </c>
      <c r="W137" s="1">
        <f t="shared" si="117"/>
        <v>3</v>
      </c>
      <c r="X137" s="1">
        <f t="shared" si="117"/>
        <v>3</v>
      </c>
      <c r="Y137" s="1">
        <f t="shared" si="117"/>
        <v>3</v>
      </c>
      <c r="Z137" s="1">
        <f t="shared" si="117"/>
        <v>3</v>
      </c>
      <c r="AA137" s="1">
        <f t="shared" si="117"/>
        <v>3</v>
      </c>
      <c r="AB137" s="1"/>
      <c r="AC137" s="1"/>
      <c r="AD137" s="1"/>
    </row>
    <row r="138" ht="15.75" customHeight="1" outlineLevel="1">
      <c r="A138" s="1"/>
      <c r="B138" s="1"/>
      <c r="C138" s="1">
        <v>30.0</v>
      </c>
      <c r="D138" s="1"/>
      <c r="E138" s="14">
        <v>5.0</v>
      </c>
      <c r="F138" s="1" t="str">
        <f t="shared" ref="F138:AA138" si="118">IF(F84="","",ROUNDUP(F84/10,0))</f>
        <v/>
      </c>
      <c r="G138" s="1" t="str">
        <f t="shared" si="118"/>
        <v/>
      </c>
      <c r="H138" s="1" t="str">
        <f t="shared" si="118"/>
        <v/>
      </c>
      <c r="I138" s="1" t="str">
        <f t="shared" si="118"/>
        <v/>
      </c>
      <c r="J138" s="1" t="str">
        <f t="shared" si="118"/>
        <v/>
      </c>
      <c r="K138" s="1" t="str">
        <f t="shared" si="118"/>
        <v/>
      </c>
      <c r="L138" s="1">
        <f t="shared" si="118"/>
        <v>1</v>
      </c>
      <c r="M138" s="1">
        <f t="shared" si="118"/>
        <v>1</v>
      </c>
      <c r="N138" s="1">
        <f t="shared" si="118"/>
        <v>1</v>
      </c>
      <c r="O138" s="1">
        <f t="shared" si="118"/>
        <v>1</v>
      </c>
      <c r="P138" s="1">
        <f t="shared" si="118"/>
        <v>1</v>
      </c>
      <c r="Q138" s="1">
        <f t="shared" si="118"/>
        <v>2</v>
      </c>
      <c r="R138" s="1">
        <f t="shared" si="118"/>
        <v>3</v>
      </c>
      <c r="S138" s="1">
        <f t="shared" si="118"/>
        <v>3</v>
      </c>
      <c r="T138" s="1">
        <f t="shared" si="118"/>
        <v>3</v>
      </c>
      <c r="U138" s="1">
        <f t="shared" si="118"/>
        <v>3</v>
      </c>
      <c r="V138" s="1">
        <f t="shared" si="118"/>
        <v>3</v>
      </c>
      <c r="W138" s="1">
        <f t="shared" si="118"/>
        <v>3</v>
      </c>
      <c r="X138" s="1">
        <f t="shared" si="118"/>
        <v>3</v>
      </c>
      <c r="Y138" s="1">
        <f t="shared" si="118"/>
        <v>3</v>
      </c>
      <c r="Z138" s="1">
        <f t="shared" si="118"/>
        <v>3</v>
      </c>
      <c r="AA138" s="1">
        <f t="shared" si="118"/>
        <v>3</v>
      </c>
      <c r="AB138" s="1"/>
      <c r="AC138" s="1"/>
      <c r="AD138" s="1"/>
    </row>
    <row r="139" ht="15.75" customHeight="1" outlineLevel="1">
      <c r="A139" s="1"/>
      <c r="B139" s="1"/>
      <c r="C139" s="1">
        <v>30.0</v>
      </c>
      <c r="D139" s="1"/>
      <c r="E139" s="14">
        <v>6.0</v>
      </c>
      <c r="F139" s="1" t="str">
        <f t="shared" ref="F139:AA139" si="119">IF(F85="","",ROUNDUP(F85/10,0))</f>
        <v/>
      </c>
      <c r="G139" s="1" t="str">
        <f t="shared" si="119"/>
        <v/>
      </c>
      <c r="H139" s="1" t="str">
        <f t="shared" si="119"/>
        <v/>
      </c>
      <c r="I139" s="1" t="str">
        <f t="shared" si="119"/>
        <v/>
      </c>
      <c r="J139" s="1" t="str">
        <f t="shared" si="119"/>
        <v/>
      </c>
      <c r="K139" s="1" t="str">
        <f t="shared" si="119"/>
        <v/>
      </c>
      <c r="L139" s="1">
        <f t="shared" si="119"/>
        <v>1</v>
      </c>
      <c r="M139" s="1">
        <f t="shared" si="119"/>
        <v>1</v>
      </c>
      <c r="N139" s="1">
        <f t="shared" si="119"/>
        <v>1</v>
      </c>
      <c r="O139" s="1">
        <f t="shared" si="119"/>
        <v>1</v>
      </c>
      <c r="P139" s="1">
        <f t="shared" si="119"/>
        <v>1</v>
      </c>
      <c r="Q139" s="1">
        <f t="shared" si="119"/>
        <v>2</v>
      </c>
      <c r="R139" s="1">
        <f t="shared" si="119"/>
        <v>3</v>
      </c>
      <c r="S139" s="1">
        <f t="shared" si="119"/>
        <v>3</v>
      </c>
      <c r="T139" s="1">
        <f t="shared" si="119"/>
        <v>3</v>
      </c>
      <c r="U139" s="1">
        <f t="shared" si="119"/>
        <v>3</v>
      </c>
      <c r="V139" s="1">
        <f t="shared" si="119"/>
        <v>3</v>
      </c>
      <c r="W139" s="1">
        <f t="shared" si="119"/>
        <v>3</v>
      </c>
      <c r="X139" s="1">
        <f t="shared" si="119"/>
        <v>3</v>
      </c>
      <c r="Y139" s="1">
        <f t="shared" si="119"/>
        <v>3</v>
      </c>
      <c r="Z139" s="1">
        <f t="shared" si="119"/>
        <v>3</v>
      </c>
      <c r="AA139" s="1">
        <f t="shared" si="119"/>
        <v>3</v>
      </c>
      <c r="AB139" s="1"/>
      <c r="AC139" s="1"/>
      <c r="AD139" s="1"/>
    </row>
    <row r="140" ht="15.75" customHeight="1" outlineLevel="1">
      <c r="A140" s="1"/>
      <c r="B140" s="1"/>
      <c r="C140" s="1">
        <v>30.0</v>
      </c>
      <c r="D140" s="1"/>
      <c r="E140" s="14">
        <v>7.0</v>
      </c>
      <c r="F140" s="1" t="str">
        <f t="shared" ref="F140:AA140" si="120">IF(F86="","",ROUNDUP(F86/10,0))</f>
        <v/>
      </c>
      <c r="G140" s="1" t="str">
        <f t="shared" si="120"/>
        <v/>
      </c>
      <c r="H140" s="1" t="str">
        <f t="shared" si="120"/>
        <v/>
      </c>
      <c r="I140" s="1" t="str">
        <f t="shared" si="120"/>
        <v/>
      </c>
      <c r="J140" s="1" t="str">
        <f t="shared" si="120"/>
        <v/>
      </c>
      <c r="K140" s="1" t="str">
        <f t="shared" si="120"/>
        <v/>
      </c>
      <c r="L140" s="1">
        <f t="shared" si="120"/>
        <v>1</v>
      </c>
      <c r="M140" s="1">
        <f t="shared" si="120"/>
        <v>1</v>
      </c>
      <c r="N140" s="1">
        <f t="shared" si="120"/>
        <v>1</v>
      </c>
      <c r="O140" s="1">
        <f t="shared" si="120"/>
        <v>1</v>
      </c>
      <c r="P140" s="1">
        <f t="shared" si="120"/>
        <v>1</v>
      </c>
      <c r="Q140" s="1">
        <f t="shared" si="120"/>
        <v>2</v>
      </c>
      <c r="R140" s="1">
        <f t="shared" si="120"/>
        <v>3</v>
      </c>
      <c r="S140" s="1">
        <f t="shared" si="120"/>
        <v>3</v>
      </c>
      <c r="T140" s="1">
        <f t="shared" si="120"/>
        <v>3</v>
      </c>
      <c r="U140" s="1">
        <f t="shared" si="120"/>
        <v>3</v>
      </c>
      <c r="V140" s="1">
        <f t="shared" si="120"/>
        <v>3</v>
      </c>
      <c r="W140" s="1">
        <f t="shared" si="120"/>
        <v>3</v>
      </c>
      <c r="X140" s="1">
        <f t="shared" si="120"/>
        <v>3</v>
      </c>
      <c r="Y140" s="1">
        <f t="shared" si="120"/>
        <v>3</v>
      </c>
      <c r="Z140" s="1">
        <f t="shared" si="120"/>
        <v>3</v>
      </c>
      <c r="AA140" s="1">
        <f t="shared" si="120"/>
        <v>3</v>
      </c>
      <c r="AB140" s="1"/>
      <c r="AC140" s="1"/>
      <c r="AD140" s="1"/>
    </row>
    <row r="141" ht="15.75" customHeight="1" outlineLevel="1">
      <c r="A141" s="1"/>
      <c r="B141" s="1"/>
      <c r="C141" s="1">
        <v>30.0</v>
      </c>
      <c r="D141" s="1"/>
      <c r="E141" s="14">
        <v>8.0</v>
      </c>
      <c r="F141" s="1" t="str">
        <f t="shared" ref="F141:AA141" si="121">IF(F87="","",ROUNDUP(F87/10,0))</f>
        <v/>
      </c>
      <c r="G141" s="1" t="str">
        <f t="shared" si="121"/>
        <v/>
      </c>
      <c r="H141" s="1" t="str">
        <f t="shared" si="121"/>
        <v/>
      </c>
      <c r="I141" s="1" t="str">
        <f t="shared" si="121"/>
        <v/>
      </c>
      <c r="J141" s="1" t="str">
        <f t="shared" si="121"/>
        <v/>
      </c>
      <c r="K141" s="1" t="str">
        <f t="shared" si="121"/>
        <v/>
      </c>
      <c r="L141" s="1" t="str">
        <f t="shared" si="121"/>
        <v/>
      </c>
      <c r="M141" s="1">
        <f t="shared" si="121"/>
        <v>1</v>
      </c>
      <c r="N141" s="1">
        <f t="shared" si="121"/>
        <v>1</v>
      </c>
      <c r="O141" s="1">
        <f t="shared" si="121"/>
        <v>1</v>
      </c>
      <c r="P141" s="1">
        <f t="shared" si="121"/>
        <v>1</v>
      </c>
      <c r="Q141" s="1">
        <f t="shared" si="121"/>
        <v>1</v>
      </c>
      <c r="R141" s="1">
        <f t="shared" si="121"/>
        <v>2</v>
      </c>
      <c r="S141" s="1">
        <f t="shared" si="121"/>
        <v>3</v>
      </c>
      <c r="T141" s="1">
        <f t="shared" si="121"/>
        <v>3</v>
      </c>
      <c r="U141" s="1">
        <f t="shared" si="121"/>
        <v>3</v>
      </c>
      <c r="V141" s="1">
        <f t="shared" si="121"/>
        <v>3</v>
      </c>
      <c r="W141" s="1">
        <f t="shared" si="121"/>
        <v>3</v>
      </c>
      <c r="X141" s="1">
        <f t="shared" si="121"/>
        <v>3</v>
      </c>
      <c r="Y141" s="1">
        <f t="shared" si="121"/>
        <v>3</v>
      </c>
      <c r="Z141" s="1">
        <f t="shared" si="121"/>
        <v>3</v>
      </c>
      <c r="AA141" s="1">
        <f t="shared" si="121"/>
        <v>3</v>
      </c>
      <c r="AB141" s="1"/>
      <c r="AC141" s="1"/>
      <c r="AD141" s="1"/>
    </row>
    <row r="142" ht="15.75" customHeight="1" outlineLevel="1">
      <c r="A142" s="1"/>
      <c r="B142" s="1"/>
      <c r="C142" s="1">
        <v>30.0</v>
      </c>
      <c r="D142" s="1"/>
      <c r="E142" s="14">
        <v>9.0</v>
      </c>
      <c r="F142" s="1" t="str">
        <f t="shared" ref="F142:AA142" si="122">IF(F88="","",ROUNDUP(F88/10,0))</f>
        <v/>
      </c>
      <c r="G142" s="1" t="str">
        <f t="shared" si="122"/>
        <v/>
      </c>
      <c r="H142" s="1" t="str">
        <f t="shared" si="122"/>
        <v/>
      </c>
      <c r="I142" s="1" t="str">
        <f t="shared" si="122"/>
        <v/>
      </c>
      <c r="J142" s="1" t="str">
        <f t="shared" si="122"/>
        <v/>
      </c>
      <c r="K142" s="1" t="str">
        <f t="shared" si="122"/>
        <v/>
      </c>
      <c r="L142" s="1" t="str">
        <f t="shared" si="122"/>
        <v/>
      </c>
      <c r="M142" s="1">
        <f t="shared" si="122"/>
        <v>1</v>
      </c>
      <c r="N142" s="1">
        <f t="shared" si="122"/>
        <v>1</v>
      </c>
      <c r="O142" s="1">
        <f t="shared" si="122"/>
        <v>1</v>
      </c>
      <c r="P142" s="1">
        <f t="shared" si="122"/>
        <v>1</v>
      </c>
      <c r="Q142" s="1">
        <f t="shared" si="122"/>
        <v>1</v>
      </c>
      <c r="R142" s="1">
        <f t="shared" si="122"/>
        <v>2</v>
      </c>
      <c r="S142" s="1">
        <f t="shared" si="122"/>
        <v>3</v>
      </c>
      <c r="T142" s="1">
        <f t="shared" si="122"/>
        <v>3</v>
      </c>
      <c r="U142" s="1">
        <f t="shared" si="122"/>
        <v>3</v>
      </c>
      <c r="V142" s="1">
        <f t="shared" si="122"/>
        <v>3</v>
      </c>
      <c r="W142" s="1">
        <f t="shared" si="122"/>
        <v>3</v>
      </c>
      <c r="X142" s="1">
        <f t="shared" si="122"/>
        <v>3</v>
      </c>
      <c r="Y142" s="1">
        <f t="shared" si="122"/>
        <v>3</v>
      </c>
      <c r="Z142" s="1">
        <f t="shared" si="122"/>
        <v>3</v>
      </c>
      <c r="AA142" s="1">
        <f t="shared" si="122"/>
        <v>3</v>
      </c>
      <c r="AB142" s="1"/>
      <c r="AC142" s="1"/>
      <c r="AD142" s="1"/>
    </row>
    <row r="143" ht="15.75" customHeight="1" outlineLevel="1">
      <c r="A143" s="1"/>
      <c r="B143" s="1"/>
      <c r="C143" s="1">
        <v>30.0</v>
      </c>
      <c r="D143" s="1"/>
      <c r="E143" s="14">
        <v>10.0</v>
      </c>
      <c r="F143" s="1" t="str">
        <f t="shared" ref="F143:AA143" si="123">IF(F89="","",ROUNDUP(F89/10,0))</f>
        <v/>
      </c>
      <c r="G143" s="1" t="str">
        <f t="shared" si="123"/>
        <v/>
      </c>
      <c r="H143" s="1" t="str">
        <f t="shared" si="123"/>
        <v/>
      </c>
      <c r="I143" s="1" t="str">
        <f t="shared" si="123"/>
        <v/>
      </c>
      <c r="J143" s="1" t="str">
        <f t="shared" si="123"/>
        <v/>
      </c>
      <c r="K143" s="1" t="str">
        <f t="shared" si="123"/>
        <v/>
      </c>
      <c r="L143" s="1" t="str">
        <f t="shared" si="123"/>
        <v/>
      </c>
      <c r="M143" s="1">
        <f t="shared" si="123"/>
        <v>1</v>
      </c>
      <c r="N143" s="1">
        <f t="shared" si="123"/>
        <v>1</v>
      </c>
      <c r="O143" s="1">
        <f t="shared" si="123"/>
        <v>1</v>
      </c>
      <c r="P143" s="1">
        <f t="shared" si="123"/>
        <v>1</v>
      </c>
      <c r="Q143" s="1">
        <f t="shared" si="123"/>
        <v>1</v>
      </c>
      <c r="R143" s="1">
        <f t="shared" si="123"/>
        <v>2</v>
      </c>
      <c r="S143" s="1">
        <f t="shared" si="123"/>
        <v>3</v>
      </c>
      <c r="T143" s="1">
        <f t="shared" si="123"/>
        <v>3</v>
      </c>
      <c r="U143" s="1">
        <f t="shared" si="123"/>
        <v>3</v>
      </c>
      <c r="V143" s="1">
        <f t="shared" si="123"/>
        <v>3</v>
      </c>
      <c r="W143" s="1">
        <f t="shared" si="123"/>
        <v>3</v>
      </c>
      <c r="X143" s="1">
        <f t="shared" si="123"/>
        <v>3</v>
      </c>
      <c r="Y143" s="1">
        <f t="shared" si="123"/>
        <v>3</v>
      </c>
      <c r="Z143" s="1">
        <f t="shared" si="123"/>
        <v>3</v>
      </c>
      <c r="AA143" s="1">
        <f t="shared" si="123"/>
        <v>3</v>
      </c>
      <c r="AB143" s="1"/>
      <c r="AC143" s="1"/>
      <c r="AD143" s="1"/>
    </row>
    <row r="144" ht="15.75" customHeight="1" outlineLevel="1">
      <c r="A144" s="1"/>
      <c r="B144" s="1"/>
      <c r="C144" s="1">
        <v>30.0</v>
      </c>
      <c r="D144" s="1"/>
      <c r="E144" s="14">
        <v>11.0</v>
      </c>
      <c r="F144" s="1" t="str">
        <f t="shared" ref="F144:AA144" si="124">IF(F90="","",ROUNDUP(F90/10,0))</f>
        <v/>
      </c>
      <c r="G144" s="1" t="str">
        <f t="shared" si="124"/>
        <v/>
      </c>
      <c r="H144" s="1" t="str">
        <f t="shared" si="124"/>
        <v/>
      </c>
      <c r="I144" s="1" t="str">
        <f t="shared" si="124"/>
        <v/>
      </c>
      <c r="J144" s="1" t="str">
        <f t="shared" si="124"/>
        <v/>
      </c>
      <c r="K144" s="1" t="str">
        <f t="shared" si="124"/>
        <v/>
      </c>
      <c r="L144" s="1" t="str">
        <f t="shared" si="124"/>
        <v/>
      </c>
      <c r="M144" s="1">
        <f t="shared" si="124"/>
        <v>1</v>
      </c>
      <c r="N144" s="1">
        <f t="shared" si="124"/>
        <v>1</v>
      </c>
      <c r="O144" s="1">
        <f t="shared" si="124"/>
        <v>1</v>
      </c>
      <c r="P144" s="1">
        <f t="shared" si="124"/>
        <v>1</v>
      </c>
      <c r="Q144" s="1">
        <f t="shared" si="124"/>
        <v>1</v>
      </c>
      <c r="R144" s="1">
        <f t="shared" si="124"/>
        <v>2</v>
      </c>
      <c r="S144" s="1">
        <f t="shared" si="124"/>
        <v>3</v>
      </c>
      <c r="T144" s="1">
        <f t="shared" si="124"/>
        <v>3</v>
      </c>
      <c r="U144" s="1">
        <f t="shared" si="124"/>
        <v>3</v>
      </c>
      <c r="V144" s="1">
        <f t="shared" si="124"/>
        <v>3</v>
      </c>
      <c r="W144" s="1">
        <f t="shared" si="124"/>
        <v>3</v>
      </c>
      <c r="X144" s="1">
        <f t="shared" si="124"/>
        <v>3</v>
      </c>
      <c r="Y144" s="1">
        <f t="shared" si="124"/>
        <v>3</v>
      </c>
      <c r="Z144" s="1">
        <f t="shared" si="124"/>
        <v>3</v>
      </c>
      <c r="AA144" s="1">
        <f t="shared" si="124"/>
        <v>3</v>
      </c>
      <c r="AB144" s="1"/>
      <c r="AC144" s="1"/>
      <c r="AD144" s="1"/>
    </row>
    <row r="145" ht="15.75" customHeight="1" outlineLevel="1">
      <c r="A145" s="1"/>
      <c r="B145" s="1"/>
      <c r="C145" s="1">
        <v>30.0</v>
      </c>
      <c r="D145" s="1"/>
      <c r="E145" s="14">
        <v>12.0</v>
      </c>
      <c r="F145" s="1" t="str">
        <f t="shared" ref="F145:AA145" si="125">IF(F91="","",ROUNDUP(F91/10,0))</f>
        <v/>
      </c>
      <c r="G145" s="1" t="str">
        <f t="shared" si="125"/>
        <v/>
      </c>
      <c r="H145" s="1" t="str">
        <f t="shared" si="125"/>
        <v/>
      </c>
      <c r="I145" s="1" t="str">
        <f t="shared" si="125"/>
        <v/>
      </c>
      <c r="J145" s="1" t="str">
        <f t="shared" si="125"/>
        <v/>
      </c>
      <c r="K145" s="1" t="str">
        <f t="shared" si="125"/>
        <v/>
      </c>
      <c r="L145" s="1" t="str">
        <f t="shared" si="125"/>
        <v/>
      </c>
      <c r="M145" s="1">
        <f t="shared" si="125"/>
        <v>1</v>
      </c>
      <c r="N145" s="1">
        <f t="shared" si="125"/>
        <v>1</v>
      </c>
      <c r="O145" s="1">
        <f t="shared" si="125"/>
        <v>1</v>
      </c>
      <c r="P145" s="1">
        <f t="shared" si="125"/>
        <v>1</v>
      </c>
      <c r="Q145" s="1">
        <f t="shared" si="125"/>
        <v>1</v>
      </c>
      <c r="R145" s="1">
        <f t="shared" si="125"/>
        <v>2</v>
      </c>
      <c r="S145" s="1">
        <f t="shared" si="125"/>
        <v>3</v>
      </c>
      <c r="T145" s="1">
        <f t="shared" si="125"/>
        <v>3</v>
      </c>
      <c r="U145" s="1">
        <f t="shared" si="125"/>
        <v>3</v>
      </c>
      <c r="V145" s="1">
        <f t="shared" si="125"/>
        <v>3</v>
      </c>
      <c r="W145" s="1">
        <f t="shared" si="125"/>
        <v>3</v>
      </c>
      <c r="X145" s="1">
        <f t="shared" si="125"/>
        <v>3</v>
      </c>
      <c r="Y145" s="1">
        <f t="shared" si="125"/>
        <v>3</v>
      </c>
      <c r="Z145" s="1">
        <f t="shared" si="125"/>
        <v>3</v>
      </c>
      <c r="AA145" s="1">
        <f t="shared" si="125"/>
        <v>3</v>
      </c>
      <c r="AB145" s="1"/>
      <c r="AC145" s="1"/>
      <c r="AD145" s="1"/>
    </row>
    <row r="146" ht="15.75" customHeight="1" outlineLevel="1">
      <c r="A146" s="1"/>
      <c r="B146" s="1"/>
      <c r="C146" s="1">
        <v>30.0</v>
      </c>
      <c r="D146" s="1"/>
      <c r="E146" s="14">
        <v>13.0</v>
      </c>
      <c r="F146" s="1" t="str">
        <f t="shared" ref="F146:AA146" si="126">IF(F92="","",ROUNDUP(F92/10,0))</f>
        <v/>
      </c>
      <c r="G146" s="1" t="str">
        <f t="shared" si="126"/>
        <v/>
      </c>
      <c r="H146" s="1" t="str">
        <f t="shared" si="126"/>
        <v/>
      </c>
      <c r="I146" s="1" t="str">
        <f t="shared" si="126"/>
        <v/>
      </c>
      <c r="J146" s="1" t="str">
        <f t="shared" si="126"/>
        <v/>
      </c>
      <c r="K146" s="1" t="str">
        <f t="shared" si="126"/>
        <v/>
      </c>
      <c r="L146" s="1" t="str">
        <f t="shared" si="126"/>
        <v/>
      </c>
      <c r="M146" s="1" t="str">
        <f t="shared" si="126"/>
        <v/>
      </c>
      <c r="N146" s="1">
        <f t="shared" si="126"/>
        <v>1</v>
      </c>
      <c r="O146" s="1">
        <f t="shared" si="126"/>
        <v>1</v>
      </c>
      <c r="P146" s="1">
        <f t="shared" si="126"/>
        <v>1</v>
      </c>
      <c r="Q146" s="1">
        <f t="shared" si="126"/>
        <v>1</v>
      </c>
      <c r="R146" s="1">
        <f t="shared" si="126"/>
        <v>1</v>
      </c>
      <c r="S146" s="1">
        <f t="shared" si="126"/>
        <v>2</v>
      </c>
      <c r="T146" s="1">
        <f t="shared" si="126"/>
        <v>3</v>
      </c>
      <c r="U146" s="1">
        <f t="shared" si="126"/>
        <v>3</v>
      </c>
      <c r="V146" s="1">
        <f t="shared" si="126"/>
        <v>3</v>
      </c>
      <c r="W146" s="1">
        <f t="shared" si="126"/>
        <v>3</v>
      </c>
      <c r="X146" s="1">
        <f t="shared" si="126"/>
        <v>3</v>
      </c>
      <c r="Y146" s="1">
        <f t="shared" si="126"/>
        <v>3</v>
      </c>
      <c r="Z146" s="1">
        <f t="shared" si="126"/>
        <v>3</v>
      </c>
      <c r="AA146" s="1">
        <f t="shared" si="126"/>
        <v>3</v>
      </c>
      <c r="AB146" s="1"/>
      <c r="AC146" s="1"/>
      <c r="AD146" s="1"/>
    </row>
    <row r="147" ht="15.75" customHeight="1" outlineLevel="1">
      <c r="A147" s="1"/>
      <c r="B147" s="1"/>
      <c r="C147" s="1">
        <v>60.0</v>
      </c>
      <c r="D147" s="1"/>
      <c r="E147" s="14">
        <v>14.0</v>
      </c>
      <c r="F147" s="1" t="str">
        <f t="shared" ref="F147:AA147" si="127">IF(F93="","",ROUNDUP(F93/10,0))</f>
        <v/>
      </c>
      <c r="G147" s="1" t="str">
        <f t="shared" si="127"/>
        <v/>
      </c>
      <c r="H147" s="1" t="str">
        <f t="shared" si="127"/>
        <v/>
      </c>
      <c r="I147" s="1" t="str">
        <f t="shared" si="127"/>
        <v/>
      </c>
      <c r="J147" s="1" t="str">
        <f t="shared" si="127"/>
        <v/>
      </c>
      <c r="K147" s="1" t="str">
        <f t="shared" si="127"/>
        <v/>
      </c>
      <c r="L147" s="1" t="str">
        <f t="shared" si="127"/>
        <v/>
      </c>
      <c r="M147" s="1" t="str">
        <f t="shared" si="127"/>
        <v/>
      </c>
      <c r="N147" s="1">
        <f t="shared" si="127"/>
        <v>1</v>
      </c>
      <c r="O147" s="1">
        <f t="shared" si="127"/>
        <v>1</v>
      </c>
      <c r="P147" s="1">
        <f t="shared" si="127"/>
        <v>1</v>
      </c>
      <c r="Q147" s="1">
        <f t="shared" si="127"/>
        <v>1</v>
      </c>
      <c r="R147" s="1">
        <f t="shared" si="127"/>
        <v>1</v>
      </c>
      <c r="S147" s="1">
        <f t="shared" si="127"/>
        <v>2</v>
      </c>
      <c r="T147" s="1">
        <f t="shared" si="127"/>
        <v>3</v>
      </c>
      <c r="U147" s="1">
        <f t="shared" si="127"/>
        <v>4</v>
      </c>
      <c r="V147" s="1">
        <f t="shared" si="127"/>
        <v>6</v>
      </c>
      <c r="W147" s="1">
        <f t="shared" si="127"/>
        <v>6</v>
      </c>
      <c r="X147" s="1">
        <f t="shared" si="127"/>
        <v>6</v>
      </c>
      <c r="Y147" s="1">
        <f t="shared" si="127"/>
        <v>6</v>
      </c>
      <c r="Z147" s="1">
        <f t="shared" si="127"/>
        <v>6</v>
      </c>
      <c r="AA147" s="1">
        <f t="shared" si="127"/>
        <v>6</v>
      </c>
      <c r="AB147" s="1"/>
      <c r="AC147" s="1"/>
      <c r="AD147" s="1"/>
    </row>
    <row r="148" ht="15.75" customHeight="1" outlineLevel="1">
      <c r="A148" s="1"/>
      <c r="B148" s="1"/>
      <c r="C148" s="1">
        <v>30.0</v>
      </c>
      <c r="D148" s="1"/>
      <c r="E148" s="14">
        <v>15.0</v>
      </c>
      <c r="F148" s="1" t="str">
        <f t="shared" ref="F148:AA148" si="128">IF(F94="","",ROUNDUP(F94/10,0))</f>
        <v/>
      </c>
      <c r="G148" s="1" t="str">
        <f t="shared" si="128"/>
        <v/>
      </c>
      <c r="H148" s="1" t="str">
        <f t="shared" si="128"/>
        <v/>
      </c>
      <c r="I148" s="1" t="str">
        <f t="shared" si="128"/>
        <v/>
      </c>
      <c r="J148" s="1" t="str">
        <f t="shared" si="128"/>
        <v/>
      </c>
      <c r="K148" s="1" t="str">
        <f t="shared" si="128"/>
        <v/>
      </c>
      <c r="L148" s="1" t="str">
        <f t="shared" si="128"/>
        <v/>
      </c>
      <c r="M148" s="1" t="str">
        <f t="shared" si="128"/>
        <v/>
      </c>
      <c r="N148" s="1">
        <f t="shared" si="128"/>
        <v>1</v>
      </c>
      <c r="O148" s="1">
        <f t="shared" si="128"/>
        <v>1</v>
      </c>
      <c r="P148" s="1">
        <f t="shared" si="128"/>
        <v>1</v>
      </c>
      <c r="Q148" s="1">
        <f t="shared" si="128"/>
        <v>1</v>
      </c>
      <c r="R148" s="1">
        <f t="shared" si="128"/>
        <v>1</v>
      </c>
      <c r="S148" s="1">
        <f t="shared" si="128"/>
        <v>2</v>
      </c>
      <c r="T148" s="1">
        <f t="shared" si="128"/>
        <v>3</v>
      </c>
      <c r="U148" s="1">
        <f t="shared" si="128"/>
        <v>3</v>
      </c>
      <c r="V148" s="1">
        <f t="shared" si="128"/>
        <v>3</v>
      </c>
      <c r="W148" s="1">
        <f t="shared" si="128"/>
        <v>3</v>
      </c>
      <c r="X148" s="1">
        <f t="shared" si="128"/>
        <v>3</v>
      </c>
      <c r="Y148" s="1">
        <f t="shared" si="128"/>
        <v>3</v>
      </c>
      <c r="Z148" s="1">
        <f t="shared" si="128"/>
        <v>3</v>
      </c>
      <c r="AA148" s="1">
        <f t="shared" si="128"/>
        <v>3</v>
      </c>
      <c r="AB148" s="1"/>
      <c r="AC148" s="1"/>
      <c r="AD148" s="1"/>
    </row>
    <row r="149" ht="15.75" customHeight="1" outlineLevel="1">
      <c r="A149" s="1"/>
      <c r="B149" s="1"/>
      <c r="C149" s="1">
        <v>30.0</v>
      </c>
      <c r="D149" s="1"/>
      <c r="E149" s="14">
        <v>16.0</v>
      </c>
      <c r="F149" s="1" t="str">
        <f t="shared" ref="F149:AA149" si="129">IF(F95="","",ROUNDUP(F95/10,0))</f>
        <v/>
      </c>
      <c r="G149" s="1" t="str">
        <f t="shared" si="129"/>
        <v/>
      </c>
      <c r="H149" s="1" t="str">
        <f t="shared" si="129"/>
        <v/>
      </c>
      <c r="I149" s="1" t="str">
        <f t="shared" si="129"/>
        <v/>
      </c>
      <c r="J149" s="1" t="str">
        <f t="shared" si="129"/>
        <v/>
      </c>
      <c r="K149" s="1" t="str">
        <f t="shared" si="129"/>
        <v/>
      </c>
      <c r="L149" s="1" t="str">
        <f t="shared" si="129"/>
        <v/>
      </c>
      <c r="M149" s="1" t="str">
        <f t="shared" si="129"/>
        <v/>
      </c>
      <c r="N149" s="1">
        <f t="shared" si="129"/>
        <v>1</v>
      </c>
      <c r="O149" s="1">
        <f t="shared" si="129"/>
        <v>1</v>
      </c>
      <c r="P149" s="1">
        <f t="shared" si="129"/>
        <v>1</v>
      </c>
      <c r="Q149" s="1">
        <f t="shared" si="129"/>
        <v>1</v>
      </c>
      <c r="R149" s="1">
        <f t="shared" si="129"/>
        <v>1</v>
      </c>
      <c r="S149" s="1">
        <f t="shared" si="129"/>
        <v>2</v>
      </c>
      <c r="T149" s="1">
        <f t="shared" si="129"/>
        <v>3</v>
      </c>
      <c r="U149" s="1">
        <f t="shared" si="129"/>
        <v>3</v>
      </c>
      <c r="V149" s="1">
        <f t="shared" si="129"/>
        <v>3</v>
      </c>
      <c r="W149" s="1">
        <f t="shared" si="129"/>
        <v>3</v>
      </c>
      <c r="X149" s="1">
        <f t="shared" si="129"/>
        <v>3</v>
      </c>
      <c r="Y149" s="1">
        <f t="shared" si="129"/>
        <v>3</v>
      </c>
      <c r="Z149" s="1">
        <f t="shared" si="129"/>
        <v>3</v>
      </c>
      <c r="AA149" s="1">
        <f t="shared" si="129"/>
        <v>3</v>
      </c>
      <c r="AB149" s="1"/>
      <c r="AC149" s="1"/>
      <c r="AD149" s="1"/>
    </row>
    <row r="150" ht="15.75" customHeight="1" outlineLevel="1">
      <c r="A150" s="1"/>
      <c r="B150" s="1"/>
      <c r="C150" s="1">
        <v>30.0</v>
      </c>
      <c r="D150" s="1"/>
      <c r="E150" s="14">
        <v>17.0</v>
      </c>
      <c r="F150" s="1" t="str">
        <f t="shared" ref="F150:AA150" si="130">IF(F96="","",ROUNDUP(F96/10,0))</f>
        <v/>
      </c>
      <c r="G150" s="1" t="str">
        <f t="shared" si="130"/>
        <v/>
      </c>
      <c r="H150" s="1" t="str">
        <f t="shared" si="130"/>
        <v/>
      </c>
      <c r="I150" s="1" t="str">
        <f t="shared" si="130"/>
        <v/>
      </c>
      <c r="J150" s="1" t="str">
        <f t="shared" si="130"/>
        <v/>
      </c>
      <c r="K150" s="1" t="str">
        <f t="shared" si="130"/>
        <v/>
      </c>
      <c r="L150" s="1" t="str">
        <f t="shared" si="130"/>
        <v/>
      </c>
      <c r="M150" s="1" t="str">
        <f t="shared" si="130"/>
        <v/>
      </c>
      <c r="N150" s="1">
        <f t="shared" si="130"/>
        <v>1</v>
      </c>
      <c r="O150" s="1">
        <f t="shared" si="130"/>
        <v>1</v>
      </c>
      <c r="P150" s="1">
        <f t="shared" si="130"/>
        <v>1</v>
      </c>
      <c r="Q150" s="1">
        <f t="shared" si="130"/>
        <v>1</v>
      </c>
      <c r="R150" s="1">
        <f t="shared" si="130"/>
        <v>1</v>
      </c>
      <c r="S150" s="1">
        <f t="shared" si="130"/>
        <v>2</v>
      </c>
      <c r="T150" s="1">
        <f t="shared" si="130"/>
        <v>3</v>
      </c>
      <c r="U150" s="1">
        <f t="shared" si="130"/>
        <v>3</v>
      </c>
      <c r="V150" s="1">
        <f t="shared" si="130"/>
        <v>3</v>
      </c>
      <c r="W150" s="1">
        <f t="shared" si="130"/>
        <v>3</v>
      </c>
      <c r="X150" s="1">
        <f t="shared" si="130"/>
        <v>3</v>
      </c>
      <c r="Y150" s="1">
        <f t="shared" si="130"/>
        <v>3</v>
      </c>
      <c r="Z150" s="1">
        <f t="shared" si="130"/>
        <v>3</v>
      </c>
      <c r="AA150" s="1">
        <f t="shared" si="130"/>
        <v>3</v>
      </c>
      <c r="AB150" s="1"/>
      <c r="AC150" s="1"/>
      <c r="AD150" s="1"/>
    </row>
    <row r="151" ht="15.75" customHeight="1" outlineLevel="1">
      <c r="A151" s="1"/>
      <c r="B151" s="1"/>
      <c r="C151" s="1">
        <v>30.0</v>
      </c>
      <c r="D151" s="1"/>
      <c r="E151" s="14">
        <v>18.0</v>
      </c>
      <c r="F151" s="1" t="str">
        <f t="shared" ref="F151:AA151" si="131">IF(F97="","",ROUNDUP(F97/10,0))</f>
        <v/>
      </c>
      <c r="G151" s="1" t="str">
        <f t="shared" si="131"/>
        <v/>
      </c>
      <c r="H151" s="1" t="str">
        <f t="shared" si="131"/>
        <v/>
      </c>
      <c r="I151" s="1" t="str">
        <f t="shared" si="131"/>
        <v/>
      </c>
      <c r="J151" s="1" t="str">
        <f t="shared" si="131"/>
        <v/>
      </c>
      <c r="K151" s="1" t="str">
        <f t="shared" si="131"/>
        <v/>
      </c>
      <c r="L151" s="1" t="str">
        <f t="shared" si="131"/>
        <v/>
      </c>
      <c r="M151" s="1" t="str">
        <f t="shared" si="131"/>
        <v/>
      </c>
      <c r="N151" s="1">
        <f t="shared" si="131"/>
        <v>1</v>
      </c>
      <c r="O151" s="1">
        <f t="shared" si="131"/>
        <v>1</v>
      </c>
      <c r="P151" s="1">
        <f t="shared" si="131"/>
        <v>1</v>
      </c>
      <c r="Q151" s="1">
        <f t="shared" si="131"/>
        <v>1</v>
      </c>
      <c r="R151" s="1">
        <f t="shared" si="131"/>
        <v>1</v>
      </c>
      <c r="S151" s="1">
        <f t="shared" si="131"/>
        <v>2</v>
      </c>
      <c r="T151" s="1">
        <f t="shared" si="131"/>
        <v>3</v>
      </c>
      <c r="U151" s="1">
        <f t="shared" si="131"/>
        <v>3</v>
      </c>
      <c r="V151" s="1">
        <f t="shared" si="131"/>
        <v>3</v>
      </c>
      <c r="W151" s="1">
        <f t="shared" si="131"/>
        <v>3</v>
      </c>
      <c r="X151" s="1">
        <f t="shared" si="131"/>
        <v>3</v>
      </c>
      <c r="Y151" s="1">
        <f t="shared" si="131"/>
        <v>3</v>
      </c>
      <c r="Z151" s="1">
        <f t="shared" si="131"/>
        <v>3</v>
      </c>
      <c r="AA151" s="1">
        <f t="shared" si="131"/>
        <v>3</v>
      </c>
      <c r="AB151" s="1"/>
      <c r="AC151" s="1"/>
      <c r="AD151" s="1"/>
    </row>
    <row r="152" ht="15.75" customHeight="1" outlineLevel="1">
      <c r="A152" s="1"/>
      <c r="B152" s="1"/>
      <c r="C152" s="1">
        <v>40.0</v>
      </c>
      <c r="D152" s="1"/>
      <c r="E152" s="14">
        <v>19.0</v>
      </c>
      <c r="F152" s="1" t="str">
        <f t="shared" ref="F152:AA152" si="132">IF(F98="","",ROUNDUP(F98/10,0))</f>
        <v/>
      </c>
      <c r="G152" s="1" t="str">
        <f t="shared" si="132"/>
        <v/>
      </c>
      <c r="H152" s="1" t="str">
        <f t="shared" si="132"/>
        <v/>
      </c>
      <c r="I152" s="1" t="str">
        <f t="shared" si="132"/>
        <v/>
      </c>
      <c r="J152" s="1" t="str">
        <f t="shared" si="132"/>
        <v/>
      </c>
      <c r="K152" s="1" t="str">
        <f t="shared" si="132"/>
        <v/>
      </c>
      <c r="L152" s="1" t="str">
        <f t="shared" si="132"/>
        <v/>
      </c>
      <c r="M152" s="1" t="str">
        <f t="shared" si="132"/>
        <v/>
      </c>
      <c r="N152" s="1">
        <f t="shared" si="132"/>
        <v>1</v>
      </c>
      <c r="O152" s="1">
        <f t="shared" si="132"/>
        <v>1</v>
      </c>
      <c r="P152" s="1">
        <f t="shared" si="132"/>
        <v>1</v>
      </c>
      <c r="Q152" s="1">
        <f t="shared" si="132"/>
        <v>1</v>
      </c>
      <c r="R152" s="1">
        <f t="shared" si="132"/>
        <v>1</v>
      </c>
      <c r="S152" s="1">
        <f t="shared" si="132"/>
        <v>2</v>
      </c>
      <c r="T152" s="1">
        <f t="shared" si="132"/>
        <v>3</v>
      </c>
      <c r="U152" s="1">
        <f t="shared" si="132"/>
        <v>4</v>
      </c>
      <c r="V152" s="1">
        <f t="shared" si="132"/>
        <v>4</v>
      </c>
      <c r="W152" s="1">
        <f t="shared" si="132"/>
        <v>4</v>
      </c>
      <c r="X152" s="1">
        <f t="shared" si="132"/>
        <v>4</v>
      </c>
      <c r="Y152" s="1">
        <f t="shared" si="132"/>
        <v>4</v>
      </c>
      <c r="Z152" s="1">
        <f t="shared" si="132"/>
        <v>4</v>
      </c>
      <c r="AA152" s="1">
        <f t="shared" si="132"/>
        <v>4</v>
      </c>
      <c r="AB152" s="1"/>
      <c r="AC152" s="1"/>
      <c r="AD152" s="1"/>
    </row>
    <row r="153" ht="15.75" customHeight="1" outlineLevel="1">
      <c r="A153" s="1"/>
      <c r="B153" s="1"/>
      <c r="C153" s="1">
        <v>50.0</v>
      </c>
      <c r="D153" s="1"/>
      <c r="E153" s="14">
        <v>20.0</v>
      </c>
      <c r="F153" s="1" t="str">
        <f t="shared" ref="F153:AA153" si="133">IF(F99="","",ROUNDUP(F99/10,0))</f>
        <v/>
      </c>
      <c r="G153" s="1" t="str">
        <f t="shared" si="133"/>
        <v/>
      </c>
      <c r="H153" s="1" t="str">
        <f t="shared" si="133"/>
        <v/>
      </c>
      <c r="I153" s="1" t="str">
        <f t="shared" si="133"/>
        <v/>
      </c>
      <c r="J153" s="1" t="str">
        <f t="shared" si="133"/>
        <v/>
      </c>
      <c r="K153" s="1" t="str">
        <f t="shared" si="133"/>
        <v/>
      </c>
      <c r="L153" s="1" t="str">
        <f t="shared" si="133"/>
        <v/>
      </c>
      <c r="M153" s="1" t="str">
        <f t="shared" si="133"/>
        <v/>
      </c>
      <c r="N153" s="1">
        <f t="shared" si="133"/>
        <v>1</v>
      </c>
      <c r="O153" s="1">
        <f t="shared" si="133"/>
        <v>1</v>
      </c>
      <c r="P153" s="1">
        <f t="shared" si="133"/>
        <v>1</v>
      </c>
      <c r="Q153" s="1">
        <f t="shared" si="133"/>
        <v>1</v>
      </c>
      <c r="R153" s="1">
        <f t="shared" si="133"/>
        <v>1</v>
      </c>
      <c r="S153" s="1">
        <f t="shared" si="133"/>
        <v>2</v>
      </c>
      <c r="T153" s="1">
        <f t="shared" si="133"/>
        <v>3</v>
      </c>
      <c r="U153" s="1">
        <f t="shared" si="133"/>
        <v>4</v>
      </c>
      <c r="V153" s="1">
        <f t="shared" si="133"/>
        <v>5</v>
      </c>
      <c r="W153" s="1">
        <f t="shared" si="133"/>
        <v>5</v>
      </c>
      <c r="X153" s="1">
        <f t="shared" si="133"/>
        <v>5</v>
      </c>
      <c r="Y153" s="1">
        <f t="shared" si="133"/>
        <v>5</v>
      </c>
      <c r="Z153" s="1">
        <f t="shared" si="133"/>
        <v>5</v>
      </c>
      <c r="AA153" s="1">
        <f t="shared" si="133"/>
        <v>5</v>
      </c>
      <c r="AB153" s="1"/>
      <c r="AC153" s="1"/>
      <c r="AD153" s="1"/>
    </row>
    <row r="154" ht="15.75" customHeight="1" outlineLevel="1">
      <c r="A154" s="1"/>
      <c r="B154" s="1"/>
      <c r="C154" s="1">
        <v>60.0</v>
      </c>
      <c r="D154" s="1"/>
      <c r="E154" s="14">
        <v>21.0</v>
      </c>
      <c r="F154" s="1" t="str">
        <f t="shared" ref="F154:AA154" si="134">IF(F100="","",ROUNDUP(F100/10,0))</f>
        <v/>
      </c>
      <c r="G154" s="1" t="str">
        <f t="shared" si="134"/>
        <v/>
      </c>
      <c r="H154" s="1" t="str">
        <f t="shared" si="134"/>
        <v/>
      </c>
      <c r="I154" s="1" t="str">
        <f t="shared" si="134"/>
        <v/>
      </c>
      <c r="J154" s="1" t="str">
        <f t="shared" si="134"/>
        <v/>
      </c>
      <c r="K154" s="1" t="str">
        <f t="shared" si="134"/>
        <v/>
      </c>
      <c r="L154" s="1" t="str">
        <f t="shared" si="134"/>
        <v/>
      </c>
      <c r="M154" s="1" t="str">
        <f t="shared" si="134"/>
        <v/>
      </c>
      <c r="N154" s="1" t="str">
        <f t="shared" si="134"/>
        <v/>
      </c>
      <c r="O154" s="1">
        <f t="shared" si="134"/>
        <v>1</v>
      </c>
      <c r="P154" s="1">
        <f t="shared" si="134"/>
        <v>1</v>
      </c>
      <c r="Q154" s="1">
        <f t="shared" si="134"/>
        <v>1</v>
      </c>
      <c r="R154" s="1">
        <f t="shared" si="134"/>
        <v>1</v>
      </c>
      <c r="S154" s="1">
        <f t="shared" si="134"/>
        <v>1</v>
      </c>
      <c r="T154" s="1">
        <f t="shared" si="134"/>
        <v>2</v>
      </c>
      <c r="U154" s="1">
        <f t="shared" si="134"/>
        <v>3</v>
      </c>
      <c r="V154" s="1">
        <f t="shared" si="134"/>
        <v>4</v>
      </c>
      <c r="W154" s="1">
        <f t="shared" si="134"/>
        <v>6</v>
      </c>
      <c r="X154" s="1">
        <f t="shared" si="134"/>
        <v>6</v>
      </c>
      <c r="Y154" s="1">
        <f t="shared" si="134"/>
        <v>6</v>
      </c>
      <c r="Z154" s="1">
        <f t="shared" si="134"/>
        <v>6</v>
      </c>
      <c r="AA154" s="1">
        <f t="shared" si="134"/>
        <v>6</v>
      </c>
      <c r="AB154" s="1"/>
      <c r="AC154" s="1"/>
      <c r="AD154" s="1"/>
    </row>
    <row r="155" ht="15.75" customHeight="1" outlineLevel="1">
      <c r="A155" s="1"/>
      <c r="B155" s="1"/>
      <c r="C155" s="1">
        <v>50.0</v>
      </c>
      <c r="D155" s="1"/>
      <c r="E155" s="14">
        <v>22.0</v>
      </c>
      <c r="F155" s="1" t="str">
        <f t="shared" ref="F155:AA155" si="135">IF(F101="","",ROUNDUP(F101/10,0))</f>
        <v/>
      </c>
      <c r="G155" s="1" t="str">
        <f t="shared" si="135"/>
        <v/>
      </c>
      <c r="H155" s="1" t="str">
        <f t="shared" si="135"/>
        <v/>
      </c>
      <c r="I155" s="1" t="str">
        <f t="shared" si="135"/>
        <v/>
      </c>
      <c r="J155" s="1" t="str">
        <f t="shared" si="135"/>
        <v/>
      </c>
      <c r="K155" s="1" t="str">
        <f t="shared" si="135"/>
        <v/>
      </c>
      <c r="L155" s="1" t="str">
        <f t="shared" si="135"/>
        <v/>
      </c>
      <c r="M155" s="1" t="str">
        <f t="shared" si="135"/>
        <v/>
      </c>
      <c r="N155" s="1" t="str">
        <f t="shared" si="135"/>
        <v/>
      </c>
      <c r="O155" s="1">
        <f t="shared" si="135"/>
        <v>1</v>
      </c>
      <c r="P155" s="1">
        <f t="shared" si="135"/>
        <v>1</v>
      </c>
      <c r="Q155" s="1">
        <f t="shared" si="135"/>
        <v>1</v>
      </c>
      <c r="R155" s="1">
        <f t="shared" si="135"/>
        <v>1</v>
      </c>
      <c r="S155" s="1">
        <f t="shared" si="135"/>
        <v>1</v>
      </c>
      <c r="T155" s="1">
        <f t="shared" si="135"/>
        <v>2</v>
      </c>
      <c r="U155" s="1">
        <f t="shared" si="135"/>
        <v>3</v>
      </c>
      <c r="V155" s="1">
        <f t="shared" si="135"/>
        <v>4</v>
      </c>
      <c r="W155" s="1">
        <f t="shared" si="135"/>
        <v>5</v>
      </c>
      <c r="X155" s="1">
        <f t="shared" si="135"/>
        <v>5</v>
      </c>
      <c r="Y155" s="1">
        <f t="shared" si="135"/>
        <v>5</v>
      </c>
      <c r="Z155" s="1">
        <f t="shared" si="135"/>
        <v>5</v>
      </c>
      <c r="AA155" s="1">
        <f t="shared" si="135"/>
        <v>5</v>
      </c>
      <c r="AB155" s="1"/>
      <c r="AC155" s="1"/>
      <c r="AD155" s="1"/>
    </row>
    <row r="156" ht="15.75" customHeight="1" outlineLevel="1">
      <c r="A156" s="1"/>
      <c r="B156" s="1"/>
      <c r="C156" s="1">
        <v>50.0</v>
      </c>
      <c r="D156" s="1"/>
      <c r="E156" s="14">
        <v>23.0</v>
      </c>
      <c r="F156" s="1" t="str">
        <f t="shared" ref="F156:AA156" si="136">IF(F102="","",ROUNDUP(F102/10,0))</f>
        <v/>
      </c>
      <c r="G156" s="1" t="str">
        <f t="shared" si="136"/>
        <v/>
      </c>
      <c r="H156" s="1" t="str">
        <f t="shared" si="136"/>
        <v/>
      </c>
      <c r="I156" s="1" t="str">
        <f t="shared" si="136"/>
        <v/>
      </c>
      <c r="J156" s="1" t="str">
        <f t="shared" si="136"/>
        <v/>
      </c>
      <c r="K156" s="1" t="str">
        <f t="shared" si="136"/>
        <v/>
      </c>
      <c r="L156" s="1" t="str">
        <f t="shared" si="136"/>
        <v/>
      </c>
      <c r="M156" s="1" t="str">
        <f t="shared" si="136"/>
        <v/>
      </c>
      <c r="N156" s="1" t="str">
        <f t="shared" si="136"/>
        <v/>
      </c>
      <c r="O156" s="1">
        <f t="shared" si="136"/>
        <v>1</v>
      </c>
      <c r="P156" s="1">
        <f t="shared" si="136"/>
        <v>1</v>
      </c>
      <c r="Q156" s="1">
        <f t="shared" si="136"/>
        <v>1</v>
      </c>
      <c r="R156" s="1">
        <f t="shared" si="136"/>
        <v>1</v>
      </c>
      <c r="S156" s="1">
        <f t="shared" si="136"/>
        <v>1</v>
      </c>
      <c r="T156" s="1">
        <f t="shared" si="136"/>
        <v>2</v>
      </c>
      <c r="U156" s="1">
        <f t="shared" si="136"/>
        <v>3</v>
      </c>
      <c r="V156" s="1">
        <f t="shared" si="136"/>
        <v>4</v>
      </c>
      <c r="W156" s="1">
        <f t="shared" si="136"/>
        <v>5</v>
      </c>
      <c r="X156" s="1">
        <f t="shared" si="136"/>
        <v>5</v>
      </c>
      <c r="Y156" s="1">
        <f t="shared" si="136"/>
        <v>5</v>
      </c>
      <c r="Z156" s="1">
        <f t="shared" si="136"/>
        <v>5</v>
      </c>
      <c r="AA156" s="1">
        <f t="shared" si="136"/>
        <v>5</v>
      </c>
      <c r="AB156" s="1"/>
      <c r="AC156" s="1"/>
      <c r="AD156" s="1"/>
    </row>
    <row r="157" ht="15.75" customHeight="1" outlineLevel="1">
      <c r="A157" s="1"/>
      <c r="B157" s="1"/>
      <c r="C157" s="1">
        <v>50.0</v>
      </c>
      <c r="D157" s="1"/>
      <c r="E157" s="14">
        <v>24.0</v>
      </c>
      <c r="F157" s="1" t="str">
        <f t="shared" ref="F157:AA157" si="137">IF(F103="","",ROUNDUP(F103/10,0))</f>
        <v/>
      </c>
      <c r="G157" s="1" t="str">
        <f t="shared" si="137"/>
        <v/>
      </c>
      <c r="H157" s="1" t="str">
        <f t="shared" si="137"/>
        <v/>
      </c>
      <c r="I157" s="1" t="str">
        <f t="shared" si="137"/>
        <v/>
      </c>
      <c r="J157" s="1" t="str">
        <f t="shared" si="137"/>
        <v/>
      </c>
      <c r="K157" s="1" t="str">
        <f t="shared" si="137"/>
        <v/>
      </c>
      <c r="L157" s="1" t="str">
        <f t="shared" si="137"/>
        <v/>
      </c>
      <c r="M157" s="1" t="str">
        <f t="shared" si="137"/>
        <v/>
      </c>
      <c r="N157" s="1" t="str">
        <f t="shared" si="137"/>
        <v/>
      </c>
      <c r="O157" s="1">
        <f t="shared" si="137"/>
        <v>1</v>
      </c>
      <c r="P157" s="1">
        <f t="shared" si="137"/>
        <v>1</v>
      </c>
      <c r="Q157" s="1">
        <f t="shared" si="137"/>
        <v>1</v>
      </c>
      <c r="R157" s="1">
        <f t="shared" si="137"/>
        <v>1</v>
      </c>
      <c r="S157" s="1">
        <f t="shared" si="137"/>
        <v>1</v>
      </c>
      <c r="T157" s="1">
        <f t="shared" si="137"/>
        <v>2</v>
      </c>
      <c r="U157" s="1">
        <f t="shared" si="137"/>
        <v>3</v>
      </c>
      <c r="V157" s="1">
        <f t="shared" si="137"/>
        <v>4</v>
      </c>
      <c r="W157" s="1">
        <f t="shared" si="137"/>
        <v>5</v>
      </c>
      <c r="X157" s="1">
        <f t="shared" si="137"/>
        <v>5</v>
      </c>
      <c r="Y157" s="1">
        <f t="shared" si="137"/>
        <v>5</v>
      </c>
      <c r="Z157" s="1">
        <f t="shared" si="137"/>
        <v>5</v>
      </c>
      <c r="AA157" s="1">
        <f t="shared" si="137"/>
        <v>5</v>
      </c>
      <c r="AB157" s="1"/>
      <c r="AC157" s="1"/>
      <c r="AD157" s="1"/>
    </row>
    <row r="158" ht="15.75" customHeight="1" outlineLevel="1">
      <c r="A158" s="1"/>
      <c r="B158" s="1"/>
      <c r="C158" s="1">
        <v>30.0</v>
      </c>
      <c r="D158" s="1"/>
      <c r="E158" s="14">
        <v>25.0</v>
      </c>
      <c r="F158" s="1" t="str">
        <f t="shared" ref="F158:AA158" si="138">IF(F104="","",ROUNDUP(F104/10,0))</f>
        <v/>
      </c>
      <c r="G158" s="1" t="str">
        <f t="shared" si="138"/>
        <v/>
      </c>
      <c r="H158" s="1" t="str">
        <f t="shared" si="138"/>
        <v/>
      </c>
      <c r="I158" s="1" t="str">
        <f t="shared" si="138"/>
        <v/>
      </c>
      <c r="J158" s="1" t="str">
        <f t="shared" si="138"/>
        <v/>
      </c>
      <c r="K158" s="1" t="str">
        <f t="shared" si="138"/>
        <v/>
      </c>
      <c r="L158" s="1" t="str">
        <f t="shared" si="138"/>
        <v/>
      </c>
      <c r="M158" s="1" t="str">
        <f t="shared" si="138"/>
        <v/>
      </c>
      <c r="N158" s="1" t="str">
        <f t="shared" si="138"/>
        <v/>
      </c>
      <c r="O158" s="1">
        <f t="shared" si="138"/>
        <v>1</v>
      </c>
      <c r="P158" s="1">
        <f t="shared" si="138"/>
        <v>1</v>
      </c>
      <c r="Q158" s="1">
        <f t="shared" si="138"/>
        <v>1</v>
      </c>
      <c r="R158" s="1">
        <f t="shared" si="138"/>
        <v>1</v>
      </c>
      <c r="S158" s="1">
        <f t="shared" si="138"/>
        <v>1</v>
      </c>
      <c r="T158" s="1">
        <f t="shared" si="138"/>
        <v>2</v>
      </c>
      <c r="U158" s="1">
        <f t="shared" si="138"/>
        <v>3</v>
      </c>
      <c r="V158" s="1">
        <f t="shared" si="138"/>
        <v>3</v>
      </c>
      <c r="W158" s="1">
        <f t="shared" si="138"/>
        <v>3</v>
      </c>
      <c r="X158" s="1">
        <f t="shared" si="138"/>
        <v>3</v>
      </c>
      <c r="Y158" s="1">
        <f t="shared" si="138"/>
        <v>3</v>
      </c>
      <c r="Z158" s="1">
        <f t="shared" si="138"/>
        <v>3</v>
      </c>
      <c r="AA158" s="1">
        <f t="shared" si="138"/>
        <v>3</v>
      </c>
      <c r="AB158" s="1"/>
      <c r="AC158" s="1"/>
      <c r="AD158" s="1"/>
    </row>
    <row r="159" ht="15.75" customHeight="1" outlineLevel="1">
      <c r="A159" s="1"/>
      <c r="B159" s="1"/>
      <c r="C159" s="1">
        <v>30.0</v>
      </c>
      <c r="D159" s="1"/>
      <c r="E159" s="14">
        <v>26.0</v>
      </c>
      <c r="F159" s="1" t="str">
        <f t="shared" ref="F159:AA159" si="139">IF(F105="","",ROUNDUP(F105/10,0))</f>
        <v/>
      </c>
      <c r="G159" s="1" t="str">
        <f t="shared" si="139"/>
        <v/>
      </c>
      <c r="H159" s="1" t="str">
        <f t="shared" si="139"/>
        <v/>
      </c>
      <c r="I159" s="1" t="str">
        <f t="shared" si="139"/>
        <v/>
      </c>
      <c r="J159" s="1" t="str">
        <f t="shared" si="139"/>
        <v/>
      </c>
      <c r="K159" s="1" t="str">
        <f t="shared" si="139"/>
        <v/>
      </c>
      <c r="L159" s="1" t="str">
        <f t="shared" si="139"/>
        <v/>
      </c>
      <c r="M159" s="1" t="str">
        <f t="shared" si="139"/>
        <v/>
      </c>
      <c r="N159" s="1" t="str">
        <f t="shared" si="139"/>
        <v/>
      </c>
      <c r="O159" s="1">
        <f t="shared" si="139"/>
        <v>1</v>
      </c>
      <c r="P159" s="1">
        <f t="shared" si="139"/>
        <v>1</v>
      </c>
      <c r="Q159" s="1">
        <f t="shared" si="139"/>
        <v>1</v>
      </c>
      <c r="R159" s="1">
        <f t="shared" si="139"/>
        <v>1</v>
      </c>
      <c r="S159" s="1">
        <f t="shared" si="139"/>
        <v>1</v>
      </c>
      <c r="T159" s="1">
        <f t="shared" si="139"/>
        <v>2</v>
      </c>
      <c r="U159" s="1">
        <f t="shared" si="139"/>
        <v>3</v>
      </c>
      <c r="V159" s="1">
        <f t="shared" si="139"/>
        <v>3</v>
      </c>
      <c r="W159" s="1">
        <f t="shared" si="139"/>
        <v>3</v>
      </c>
      <c r="X159" s="1">
        <f t="shared" si="139"/>
        <v>3</v>
      </c>
      <c r="Y159" s="1">
        <f t="shared" si="139"/>
        <v>3</v>
      </c>
      <c r="Z159" s="1">
        <f t="shared" si="139"/>
        <v>3</v>
      </c>
      <c r="AA159" s="1">
        <f t="shared" si="139"/>
        <v>3</v>
      </c>
      <c r="AB159" s="1"/>
      <c r="AC159" s="1"/>
      <c r="AD159" s="1"/>
    </row>
    <row r="160" ht="15.75" customHeight="1" outlineLevel="1">
      <c r="A160" s="1"/>
      <c r="B160" s="1"/>
      <c r="C160" s="1">
        <v>30.0</v>
      </c>
      <c r="D160" s="1"/>
      <c r="E160" s="14">
        <v>27.0</v>
      </c>
      <c r="F160" s="1" t="str">
        <f t="shared" ref="F160:AA160" si="140">IF(F106="","",ROUNDUP(F106/10,0))</f>
        <v/>
      </c>
      <c r="G160" s="1" t="str">
        <f t="shared" si="140"/>
        <v/>
      </c>
      <c r="H160" s="1" t="str">
        <f t="shared" si="140"/>
        <v/>
      </c>
      <c r="I160" s="1" t="str">
        <f t="shared" si="140"/>
        <v/>
      </c>
      <c r="J160" s="1" t="str">
        <f t="shared" si="140"/>
        <v/>
      </c>
      <c r="K160" s="1" t="str">
        <f t="shared" si="140"/>
        <v/>
      </c>
      <c r="L160" s="1" t="str">
        <f t="shared" si="140"/>
        <v/>
      </c>
      <c r="M160" s="1" t="str">
        <f t="shared" si="140"/>
        <v/>
      </c>
      <c r="N160" s="1" t="str">
        <f t="shared" si="140"/>
        <v/>
      </c>
      <c r="O160" s="1">
        <f t="shared" si="140"/>
        <v>1</v>
      </c>
      <c r="P160" s="1">
        <f t="shared" si="140"/>
        <v>1</v>
      </c>
      <c r="Q160" s="1">
        <f t="shared" si="140"/>
        <v>1</v>
      </c>
      <c r="R160" s="1">
        <f t="shared" si="140"/>
        <v>1</v>
      </c>
      <c r="S160" s="1">
        <f t="shared" si="140"/>
        <v>1</v>
      </c>
      <c r="T160" s="1">
        <f t="shared" si="140"/>
        <v>2</v>
      </c>
      <c r="U160" s="1">
        <f t="shared" si="140"/>
        <v>3</v>
      </c>
      <c r="V160" s="1">
        <f t="shared" si="140"/>
        <v>3</v>
      </c>
      <c r="W160" s="1">
        <f t="shared" si="140"/>
        <v>3</v>
      </c>
      <c r="X160" s="1">
        <f t="shared" si="140"/>
        <v>3</v>
      </c>
      <c r="Y160" s="1">
        <f t="shared" si="140"/>
        <v>3</v>
      </c>
      <c r="Z160" s="1">
        <f t="shared" si="140"/>
        <v>3</v>
      </c>
      <c r="AA160" s="1">
        <f t="shared" si="140"/>
        <v>3</v>
      </c>
      <c r="AB160" s="1"/>
      <c r="AC160" s="1"/>
      <c r="AD160" s="1"/>
    </row>
    <row r="161" ht="15.75" customHeight="1" outlineLevel="1">
      <c r="A161" s="1"/>
      <c r="B161" s="1"/>
      <c r="C161" s="1">
        <v>60.0</v>
      </c>
      <c r="D161" s="1"/>
      <c r="E161" s="14">
        <v>28.0</v>
      </c>
      <c r="F161" s="1" t="str">
        <f t="shared" ref="F161:AA161" si="141">IF(F107="","",ROUNDUP(F107/10,0))</f>
        <v/>
      </c>
      <c r="G161" s="1" t="str">
        <f t="shared" si="141"/>
        <v/>
      </c>
      <c r="H161" s="1" t="str">
        <f t="shared" si="141"/>
        <v/>
      </c>
      <c r="I161" s="1" t="str">
        <f t="shared" si="141"/>
        <v/>
      </c>
      <c r="J161" s="1" t="str">
        <f t="shared" si="141"/>
        <v/>
      </c>
      <c r="K161" s="1" t="str">
        <f t="shared" si="141"/>
        <v/>
      </c>
      <c r="L161" s="1" t="str">
        <f t="shared" si="141"/>
        <v/>
      </c>
      <c r="M161" s="1" t="str">
        <f t="shared" si="141"/>
        <v/>
      </c>
      <c r="N161" s="1" t="str">
        <f t="shared" si="141"/>
        <v/>
      </c>
      <c r="O161" s="1">
        <f t="shared" si="141"/>
        <v>1</v>
      </c>
      <c r="P161" s="1">
        <f t="shared" si="141"/>
        <v>1</v>
      </c>
      <c r="Q161" s="1">
        <f t="shared" si="141"/>
        <v>1</v>
      </c>
      <c r="R161" s="1">
        <f t="shared" si="141"/>
        <v>1</v>
      </c>
      <c r="S161" s="1">
        <f t="shared" si="141"/>
        <v>1</v>
      </c>
      <c r="T161" s="1">
        <f t="shared" si="141"/>
        <v>2</v>
      </c>
      <c r="U161" s="1">
        <f t="shared" si="141"/>
        <v>3</v>
      </c>
      <c r="V161" s="1">
        <f t="shared" si="141"/>
        <v>4</v>
      </c>
      <c r="W161" s="1">
        <f t="shared" si="141"/>
        <v>6</v>
      </c>
      <c r="X161" s="1">
        <f t="shared" si="141"/>
        <v>6</v>
      </c>
      <c r="Y161" s="1">
        <f t="shared" si="141"/>
        <v>6</v>
      </c>
      <c r="Z161" s="1">
        <f t="shared" si="141"/>
        <v>6</v>
      </c>
      <c r="AA161" s="1">
        <f t="shared" si="141"/>
        <v>6</v>
      </c>
      <c r="AB161" s="1"/>
      <c r="AC161" s="1"/>
      <c r="AD161" s="1"/>
    </row>
    <row r="162" ht="15.75" customHeight="1" outlineLevel="1">
      <c r="A162" s="1"/>
      <c r="B162" s="1"/>
      <c r="C162" s="1">
        <v>30.0</v>
      </c>
      <c r="D162" s="1"/>
      <c r="E162" s="14">
        <v>29.0</v>
      </c>
      <c r="F162" s="1" t="str">
        <f t="shared" ref="F162:AA162" si="142">IF(F108="","",ROUNDUP(F108/10,0))</f>
        <v/>
      </c>
      <c r="G162" s="1" t="str">
        <f t="shared" si="142"/>
        <v/>
      </c>
      <c r="H162" s="1" t="str">
        <f t="shared" si="142"/>
        <v/>
      </c>
      <c r="I162" s="1" t="str">
        <f t="shared" si="142"/>
        <v/>
      </c>
      <c r="J162" s="1" t="str">
        <f t="shared" si="142"/>
        <v/>
      </c>
      <c r="K162" s="1" t="str">
        <f t="shared" si="142"/>
        <v/>
      </c>
      <c r="L162" s="1" t="str">
        <f t="shared" si="142"/>
        <v/>
      </c>
      <c r="M162" s="1" t="str">
        <f t="shared" si="142"/>
        <v/>
      </c>
      <c r="N162" s="1" t="str">
        <f t="shared" si="142"/>
        <v/>
      </c>
      <c r="O162" s="1">
        <f t="shared" si="142"/>
        <v>1</v>
      </c>
      <c r="P162" s="1">
        <f t="shared" si="142"/>
        <v>1</v>
      </c>
      <c r="Q162" s="1">
        <f t="shared" si="142"/>
        <v>1</v>
      </c>
      <c r="R162" s="1">
        <f t="shared" si="142"/>
        <v>1</v>
      </c>
      <c r="S162" s="1">
        <f t="shared" si="142"/>
        <v>1</v>
      </c>
      <c r="T162" s="1">
        <f t="shared" si="142"/>
        <v>2</v>
      </c>
      <c r="U162" s="1">
        <f t="shared" si="142"/>
        <v>3</v>
      </c>
      <c r="V162" s="1">
        <f t="shared" si="142"/>
        <v>3</v>
      </c>
      <c r="W162" s="1">
        <f t="shared" si="142"/>
        <v>3</v>
      </c>
      <c r="X162" s="1">
        <f t="shared" si="142"/>
        <v>3</v>
      </c>
      <c r="Y162" s="1">
        <f t="shared" si="142"/>
        <v>3</v>
      </c>
      <c r="Z162" s="1">
        <f t="shared" si="142"/>
        <v>3</v>
      </c>
      <c r="AA162" s="1">
        <f t="shared" si="142"/>
        <v>3</v>
      </c>
      <c r="AB162" s="1"/>
      <c r="AC162" s="1"/>
      <c r="AD162" s="1"/>
    </row>
    <row r="163" ht="15.75" customHeight="1" outlineLevel="1">
      <c r="A163" s="1"/>
      <c r="B163" s="1"/>
      <c r="C163" s="1">
        <v>80.0</v>
      </c>
      <c r="D163" s="1"/>
      <c r="E163" s="14">
        <v>30.0</v>
      </c>
      <c r="F163" s="1" t="str">
        <f t="shared" ref="F163:AA163" si="143">IF(F109="","",ROUNDUP(F109/10,0))</f>
        <v/>
      </c>
      <c r="G163" s="1" t="str">
        <f t="shared" si="143"/>
        <v/>
      </c>
      <c r="H163" s="1" t="str">
        <f t="shared" si="143"/>
        <v/>
      </c>
      <c r="I163" s="1" t="str">
        <f t="shared" si="143"/>
        <v/>
      </c>
      <c r="J163" s="1" t="str">
        <f t="shared" si="143"/>
        <v/>
      </c>
      <c r="K163" s="1" t="str">
        <f t="shared" si="143"/>
        <v/>
      </c>
      <c r="L163" s="1" t="str">
        <f t="shared" si="143"/>
        <v/>
      </c>
      <c r="M163" s="1" t="str">
        <f t="shared" si="143"/>
        <v/>
      </c>
      <c r="N163" s="1" t="str">
        <f t="shared" si="143"/>
        <v/>
      </c>
      <c r="O163" s="1">
        <f t="shared" si="143"/>
        <v>1</v>
      </c>
      <c r="P163" s="1">
        <f t="shared" si="143"/>
        <v>1</v>
      </c>
      <c r="Q163" s="1">
        <f t="shared" si="143"/>
        <v>1</v>
      </c>
      <c r="R163" s="1">
        <f t="shared" si="143"/>
        <v>1</v>
      </c>
      <c r="S163" s="1">
        <f t="shared" si="143"/>
        <v>1</v>
      </c>
      <c r="T163" s="1">
        <f t="shared" si="143"/>
        <v>2</v>
      </c>
      <c r="U163" s="1">
        <f t="shared" si="143"/>
        <v>3</v>
      </c>
      <c r="V163" s="1">
        <f t="shared" si="143"/>
        <v>4</v>
      </c>
      <c r="W163" s="1">
        <f t="shared" si="143"/>
        <v>6</v>
      </c>
      <c r="X163" s="1">
        <f t="shared" si="143"/>
        <v>8</v>
      </c>
      <c r="Y163" s="1">
        <f t="shared" si="143"/>
        <v>8</v>
      </c>
      <c r="Z163" s="1">
        <f t="shared" si="143"/>
        <v>8</v>
      </c>
      <c r="AA163" s="1">
        <f t="shared" si="143"/>
        <v>8</v>
      </c>
      <c r="AB163" s="1"/>
      <c r="AC163" s="1"/>
      <c r="AD163" s="1"/>
    </row>
    <row r="164" ht="15.75" customHeight="1" outlineLevel="1">
      <c r="A164" s="1"/>
      <c r="B164" s="1"/>
      <c r="C164" s="1">
        <v>30.0</v>
      </c>
      <c r="D164" s="1"/>
      <c r="E164" s="14">
        <v>31.0</v>
      </c>
      <c r="F164" s="1" t="str">
        <f t="shared" ref="F164:AA164" si="144">IF(F110="","",ROUNDUP(F110/10,0))</f>
        <v/>
      </c>
      <c r="G164" s="1" t="str">
        <f t="shared" si="144"/>
        <v/>
      </c>
      <c r="H164" s="1" t="str">
        <f t="shared" si="144"/>
        <v/>
      </c>
      <c r="I164" s="1" t="str">
        <f t="shared" si="144"/>
        <v/>
      </c>
      <c r="J164" s="1" t="str">
        <f t="shared" si="144"/>
        <v/>
      </c>
      <c r="K164" s="1" t="str">
        <f t="shared" si="144"/>
        <v/>
      </c>
      <c r="L164" s="1" t="str">
        <f t="shared" si="144"/>
        <v/>
      </c>
      <c r="M164" s="1" t="str">
        <f t="shared" si="144"/>
        <v/>
      </c>
      <c r="N164" s="1" t="str">
        <f t="shared" si="144"/>
        <v/>
      </c>
      <c r="O164" s="1">
        <f t="shared" si="144"/>
        <v>1</v>
      </c>
      <c r="P164" s="1">
        <f t="shared" si="144"/>
        <v>1</v>
      </c>
      <c r="Q164" s="1">
        <f t="shared" si="144"/>
        <v>1</v>
      </c>
      <c r="R164" s="1">
        <f t="shared" si="144"/>
        <v>1</v>
      </c>
      <c r="S164" s="1">
        <f t="shared" si="144"/>
        <v>1</v>
      </c>
      <c r="T164" s="1">
        <f t="shared" si="144"/>
        <v>2</v>
      </c>
      <c r="U164" s="1">
        <f t="shared" si="144"/>
        <v>3</v>
      </c>
      <c r="V164" s="1">
        <f t="shared" si="144"/>
        <v>3</v>
      </c>
      <c r="W164" s="1">
        <f t="shared" si="144"/>
        <v>3</v>
      </c>
      <c r="X164" s="1">
        <f t="shared" si="144"/>
        <v>3</v>
      </c>
      <c r="Y164" s="1">
        <f t="shared" si="144"/>
        <v>3</v>
      </c>
      <c r="Z164" s="1">
        <f t="shared" si="144"/>
        <v>3</v>
      </c>
      <c r="AA164" s="1">
        <f t="shared" si="144"/>
        <v>3</v>
      </c>
      <c r="AB164" s="1"/>
      <c r="AC164" s="1"/>
      <c r="AD164" s="1"/>
    </row>
    <row r="165" ht="15.75" customHeight="1" outlineLevel="1">
      <c r="A165" s="1"/>
      <c r="B165" s="1"/>
      <c r="C165" s="1">
        <v>80.0</v>
      </c>
      <c r="D165" s="1"/>
      <c r="E165" s="14">
        <v>32.0</v>
      </c>
      <c r="F165" s="1" t="str">
        <f t="shared" ref="F165:AA165" si="145">IF(F111="","",ROUNDUP(F111/10,0))</f>
        <v/>
      </c>
      <c r="G165" s="1" t="str">
        <f t="shared" si="145"/>
        <v/>
      </c>
      <c r="H165" s="1" t="str">
        <f t="shared" si="145"/>
        <v/>
      </c>
      <c r="I165" s="1" t="str">
        <f t="shared" si="145"/>
        <v/>
      </c>
      <c r="J165" s="1" t="str">
        <f t="shared" si="145"/>
        <v/>
      </c>
      <c r="K165" s="1" t="str">
        <f t="shared" si="145"/>
        <v/>
      </c>
      <c r="L165" s="1" t="str">
        <f t="shared" si="145"/>
        <v/>
      </c>
      <c r="M165" s="1" t="str">
        <f t="shared" si="145"/>
        <v/>
      </c>
      <c r="N165" s="1" t="str">
        <f t="shared" si="145"/>
        <v/>
      </c>
      <c r="O165" s="1">
        <f t="shared" si="145"/>
        <v>1</v>
      </c>
      <c r="P165" s="1">
        <f t="shared" si="145"/>
        <v>1</v>
      </c>
      <c r="Q165" s="1">
        <f t="shared" si="145"/>
        <v>1</v>
      </c>
      <c r="R165" s="1">
        <f t="shared" si="145"/>
        <v>1</v>
      </c>
      <c r="S165" s="1">
        <f t="shared" si="145"/>
        <v>1</v>
      </c>
      <c r="T165" s="1">
        <f t="shared" si="145"/>
        <v>2</v>
      </c>
      <c r="U165" s="1">
        <f t="shared" si="145"/>
        <v>3</v>
      </c>
      <c r="V165" s="1">
        <f t="shared" si="145"/>
        <v>4</v>
      </c>
      <c r="W165" s="1">
        <f t="shared" si="145"/>
        <v>6</v>
      </c>
      <c r="X165" s="1">
        <f t="shared" si="145"/>
        <v>8</v>
      </c>
      <c r="Y165" s="1">
        <f t="shared" si="145"/>
        <v>8</v>
      </c>
      <c r="Z165" s="1">
        <f t="shared" si="145"/>
        <v>8</v>
      </c>
      <c r="AA165" s="1">
        <f t="shared" si="145"/>
        <v>8</v>
      </c>
      <c r="AB165" s="1"/>
      <c r="AC165" s="1"/>
      <c r="AD165" s="1"/>
    </row>
    <row r="166" ht="15.75" customHeight="1" outlineLevel="1">
      <c r="A166" s="1"/>
      <c r="B166" s="1"/>
      <c r="C166" s="1">
        <v>30.0</v>
      </c>
      <c r="D166" s="1"/>
      <c r="E166" s="14">
        <v>33.0</v>
      </c>
      <c r="F166" s="1" t="str">
        <f t="shared" ref="F166:AA166" si="146">IF(F112="","",ROUNDUP(F112/10,0))</f>
        <v/>
      </c>
      <c r="G166" s="1" t="str">
        <f t="shared" si="146"/>
        <v/>
      </c>
      <c r="H166" s="1" t="str">
        <f t="shared" si="146"/>
        <v/>
      </c>
      <c r="I166" s="1" t="str">
        <f t="shared" si="146"/>
        <v/>
      </c>
      <c r="J166" s="1" t="str">
        <f t="shared" si="146"/>
        <v/>
      </c>
      <c r="K166" s="1" t="str">
        <f t="shared" si="146"/>
        <v/>
      </c>
      <c r="L166" s="1" t="str">
        <f t="shared" si="146"/>
        <v/>
      </c>
      <c r="M166" s="1" t="str">
        <f t="shared" si="146"/>
        <v/>
      </c>
      <c r="N166" s="1" t="str">
        <f t="shared" si="146"/>
        <v/>
      </c>
      <c r="O166" s="1">
        <f t="shared" si="146"/>
        <v>1</v>
      </c>
      <c r="P166" s="1">
        <f t="shared" si="146"/>
        <v>1</v>
      </c>
      <c r="Q166" s="1">
        <f t="shared" si="146"/>
        <v>1</v>
      </c>
      <c r="R166" s="1">
        <f t="shared" si="146"/>
        <v>1</v>
      </c>
      <c r="S166" s="1">
        <f t="shared" si="146"/>
        <v>1</v>
      </c>
      <c r="T166" s="1">
        <f t="shared" si="146"/>
        <v>2</v>
      </c>
      <c r="U166" s="1">
        <f t="shared" si="146"/>
        <v>3</v>
      </c>
      <c r="V166" s="1">
        <f t="shared" si="146"/>
        <v>3</v>
      </c>
      <c r="W166" s="1">
        <f t="shared" si="146"/>
        <v>3</v>
      </c>
      <c r="X166" s="1">
        <f t="shared" si="146"/>
        <v>3</v>
      </c>
      <c r="Y166" s="1">
        <f t="shared" si="146"/>
        <v>3</v>
      </c>
      <c r="Z166" s="1">
        <f t="shared" si="146"/>
        <v>3</v>
      </c>
      <c r="AA166" s="1">
        <f t="shared" si="146"/>
        <v>3</v>
      </c>
      <c r="AB166" s="1"/>
      <c r="AC166" s="1"/>
      <c r="AD166" s="1"/>
    </row>
    <row r="167" ht="15.75" customHeight="1" outlineLevel="1">
      <c r="A167" s="1"/>
      <c r="B167" s="1"/>
      <c r="C167" s="1">
        <v>60.0</v>
      </c>
      <c r="D167" s="1"/>
      <c r="E167" s="14">
        <v>34.0</v>
      </c>
      <c r="F167" s="1" t="str">
        <f t="shared" ref="F167:AA167" si="147">IF(F113="","",ROUNDUP(F113/10,0))</f>
        <v/>
      </c>
      <c r="G167" s="1" t="str">
        <f t="shared" si="147"/>
        <v/>
      </c>
      <c r="H167" s="1" t="str">
        <f t="shared" si="147"/>
        <v/>
      </c>
      <c r="I167" s="1" t="str">
        <f t="shared" si="147"/>
        <v/>
      </c>
      <c r="J167" s="1" t="str">
        <f t="shared" si="147"/>
        <v/>
      </c>
      <c r="K167" s="1" t="str">
        <f t="shared" si="147"/>
        <v/>
      </c>
      <c r="L167" s="1" t="str">
        <f t="shared" si="147"/>
        <v/>
      </c>
      <c r="M167" s="1" t="str">
        <f t="shared" si="147"/>
        <v/>
      </c>
      <c r="N167" s="1" t="str">
        <f t="shared" si="147"/>
        <v/>
      </c>
      <c r="O167" s="1" t="str">
        <f t="shared" si="147"/>
        <v/>
      </c>
      <c r="P167" s="1">
        <f t="shared" si="147"/>
        <v>1</v>
      </c>
      <c r="Q167" s="1">
        <f t="shared" si="147"/>
        <v>1</v>
      </c>
      <c r="R167" s="1">
        <f t="shared" si="147"/>
        <v>1</v>
      </c>
      <c r="S167" s="1">
        <f t="shared" si="147"/>
        <v>1</v>
      </c>
      <c r="T167" s="1">
        <f t="shared" si="147"/>
        <v>1</v>
      </c>
      <c r="U167" s="1">
        <f t="shared" si="147"/>
        <v>2</v>
      </c>
      <c r="V167" s="1">
        <f t="shared" si="147"/>
        <v>3</v>
      </c>
      <c r="W167" s="1">
        <f t="shared" si="147"/>
        <v>4</v>
      </c>
      <c r="X167" s="1">
        <f t="shared" si="147"/>
        <v>6</v>
      </c>
      <c r="Y167" s="1">
        <f t="shared" si="147"/>
        <v>6</v>
      </c>
      <c r="Z167" s="1">
        <f t="shared" si="147"/>
        <v>6</v>
      </c>
      <c r="AA167" s="1">
        <f t="shared" si="147"/>
        <v>6</v>
      </c>
      <c r="AB167" s="1"/>
      <c r="AC167" s="1"/>
      <c r="AD167" s="1"/>
    </row>
    <row r="168" ht="15.75" customHeight="1" outlineLevel="1">
      <c r="A168" s="1"/>
      <c r="B168" s="1"/>
      <c r="C168" s="1">
        <v>40.0</v>
      </c>
      <c r="D168" s="1"/>
      <c r="E168" s="14">
        <v>35.0</v>
      </c>
      <c r="F168" s="1" t="str">
        <f t="shared" ref="F168:AA168" si="148">IF(F114="","",ROUNDUP(F114/10,0))</f>
        <v/>
      </c>
      <c r="G168" s="1" t="str">
        <f t="shared" si="148"/>
        <v/>
      </c>
      <c r="H168" s="1" t="str">
        <f t="shared" si="148"/>
        <v/>
      </c>
      <c r="I168" s="1" t="str">
        <f t="shared" si="148"/>
        <v/>
      </c>
      <c r="J168" s="1" t="str">
        <f t="shared" si="148"/>
        <v/>
      </c>
      <c r="K168" s="1" t="str">
        <f t="shared" si="148"/>
        <v/>
      </c>
      <c r="L168" s="1" t="str">
        <f t="shared" si="148"/>
        <v/>
      </c>
      <c r="M168" s="1" t="str">
        <f t="shared" si="148"/>
        <v/>
      </c>
      <c r="N168" s="1" t="str">
        <f t="shared" si="148"/>
        <v/>
      </c>
      <c r="O168" s="1" t="str">
        <f t="shared" si="148"/>
        <v/>
      </c>
      <c r="P168" s="1">
        <f t="shared" si="148"/>
        <v>1</v>
      </c>
      <c r="Q168" s="1">
        <f t="shared" si="148"/>
        <v>1</v>
      </c>
      <c r="R168" s="1">
        <f t="shared" si="148"/>
        <v>1</v>
      </c>
      <c r="S168" s="1">
        <f t="shared" si="148"/>
        <v>1</v>
      </c>
      <c r="T168" s="1">
        <f t="shared" si="148"/>
        <v>1</v>
      </c>
      <c r="U168" s="1">
        <f t="shared" si="148"/>
        <v>2</v>
      </c>
      <c r="V168" s="1">
        <f t="shared" si="148"/>
        <v>3</v>
      </c>
      <c r="W168" s="1">
        <f t="shared" si="148"/>
        <v>4</v>
      </c>
      <c r="X168" s="1">
        <f t="shared" si="148"/>
        <v>4</v>
      </c>
      <c r="Y168" s="1">
        <f t="shared" si="148"/>
        <v>4</v>
      </c>
      <c r="Z168" s="1">
        <f t="shared" si="148"/>
        <v>4</v>
      </c>
      <c r="AA168" s="1">
        <f t="shared" si="148"/>
        <v>4</v>
      </c>
      <c r="AB168" s="1"/>
      <c r="AC168" s="1"/>
      <c r="AD168" s="1"/>
    </row>
    <row r="169" ht="15.75" customHeight="1" outlineLevel="1">
      <c r="A169" s="1"/>
      <c r="B169" s="1"/>
      <c r="C169" s="1">
        <v>60.0</v>
      </c>
      <c r="D169" s="1"/>
      <c r="E169" s="14">
        <v>36.0</v>
      </c>
      <c r="F169" s="1" t="str">
        <f t="shared" ref="F169:AA169" si="149">IF(F115="","",ROUNDUP(F115/10,0))</f>
        <v/>
      </c>
      <c r="G169" s="1" t="str">
        <f t="shared" si="149"/>
        <v/>
      </c>
      <c r="H169" s="1" t="str">
        <f t="shared" si="149"/>
        <v/>
      </c>
      <c r="I169" s="1" t="str">
        <f t="shared" si="149"/>
        <v/>
      </c>
      <c r="J169" s="1" t="str">
        <f t="shared" si="149"/>
        <v/>
      </c>
      <c r="K169" s="1" t="str">
        <f t="shared" si="149"/>
        <v/>
      </c>
      <c r="L169" s="1" t="str">
        <f t="shared" si="149"/>
        <v/>
      </c>
      <c r="M169" s="1" t="str">
        <f t="shared" si="149"/>
        <v/>
      </c>
      <c r="N169" s="1" t="str">
        <f t="shared" si="149"/>
        <v/>
      </c>
      <c r="O169" s="1" t="str">
        <f t="shared" si="149"/>
        <v/>
      </c>
      <c r="P169" s="1">
        <f t="shared" si="149"/>
        <v>1</v>
      </c>
      <c r="Q169" s="1">
        <f t="shared" si="149"/>
        <v>1</v>
      </c>
      <c r="R169" s="1">
        <f t="shared" si="149"/>
        <v>1</v>
      </c>
      <c r="S169" s="1">
        <f t="shared" si="149"/>
        <v>1</v>
      </c>
      <c r="T169" s="1">
        <f t="shared" si="149"/>
        <v>1</v>
      </c>
      <c r="U169" s="1">
        <f t="shared" si="149"/>
        <v>2</v>
      </c>
      <c r="V169" s="1">
        <f t="shared" si="149"/>
        <v>3</v>
      </c>
      <c r="W169" s="1">
        <f t="shared" si="149"/>
        <v>4</v>
      </c>
      <c r="X169" s="1">
        <f t="shared" si="149"/>
        <v>6</v>
      </c>
      <c r="Y169" s="1">
        <f t="shared" si="149"/>
        <v>6</v>
      </c>
      <c r="Z169" s="1">
        <f t="shared" si="149"/>
        <v>6</v>
      </c>
      <c r="AA169" s="1">
        <f t="shared" si="149"/>
        <v>6</v>
      </c>
      <c r="AB169" s="1"/>
      <c r="AC169" s="1"/>
      <c r="AD169" s="1"/>
    </row>
    <row r="170" ht="15.75" customHeight="1" outlineLevel="1">
      <c r="A170" s="1"/>
      <c r="B170" s="1"/>
      <c r="C170" s="1">
        <v>60.0</v>
      </c>
      <c r="D170" s="1"/>
      <c r="E170" s="14">
        <v>37.0</v>
      </c>
      <c r="F170" s="1" t="str">
        <f t="shared" ref="F170:AA170" si="150">IF(F116="","",ROUNDUP(F116/10,0))</f>
        <v/>
      </c>
      <c r="G170" s="1" t="str">
        <f t="shared" si="150"/>
        <v/>
      </c>
      <c r="H170" s="1" t="str">
        <f t="shared" si="150"/>
        <v/>
      </c>
      <c r="I170" s="1" t="str">
        <f t="shared" si="150"/>
        <v/>
      </c>
      <c r="J170" s="1" t="str">
        <f t="shared" si="150"/>
        <v/>
      </c>
      <c r="K170" s="1" t="str">
        <f t="shared" si="150"/>
        <v/>
      </c>
      <c r="L170" s="1" t="str">
        <f t="shared" si="150"/>
        <v/>
      </c>
      <c r="M170" s="1" t="str">
        <f t="shared" si="150"/>
        <v/>
      </c>
      <c r="N170" s="1" t="str">
        <f t="shared" si="150"/>
        <v/>
      </c>
      <c r="O170" s="1" t="str">
        <f t="shared" si="150"/>
        <v/>
      </c>
      <c r="P170" s="1">
        <f t="shared" si="150"/>
        <v>1</v>
      </c>
      <c r="Q170" s="1">
        <f t="shared" si="150"/>
        <v>1</v>
      </c>
      <c r="R170" s="1">
        <f t="shared" si="150"/>
        <v>1</v>
      </c>
      <c r="S170" s="1">
        <f t="shared" si="150"/>
        <v>1</v>
      </c>
      <c r="T170" s="1">
        <f t="shared" si="150"/>
        <v>1</v>
      </c>
      <c r="U170" s="1">
        <f t="shared" si="150"/>
        <v>2</v>
      </c>
      <c r="V170" s="1">
        <f t="shared" si="150"/>
        <v>3</v>
      </c>
      <c r="W170" s="1">
        <f t="shared" si="150"/>
        <v>4</v>
      </c>
      <c r="X170" s="1">
        <f t="shared" si="150"/>
        <v>6</v>
      </c>
      <c r="Y170" s="1">
        <f t="shared" si="150"/>
        <v>6</v>
      </c>
      <c r="Z170" s="1">
        <f t="shared" si="150"/>
        <v>6</v>
      </c>
      <c r="AA170" s="1">
        <f t="shared" si="150"/>
        <v>6</v>
      </c>
      <c r="AB170" s="1"/>
      <c r="AC170" s="1"/>
      <c r="AD170" s="1"/>
    </row>
    <row r="171" ht="15.75" customHeight="1" outlineLevel="1">
      <c r="A171" s="1"/>
      <c r="B171" s="1"/>
      <c r="C171" s="1">
        <v>30.0</v>
      </c>
      <c r="D171" s="1"/>
      <c r="E171" s="14">
        <v>38.0</v>
      </c>
      <c r="F171" s="1" t="str">
        <f t="shared" ref="F171:AA171" si="151">IF(F117="","",ROUNDUP(F117/10,0))</f>
        <v/>
      </c>
      <c r="G171" s="1" t="str">
        <f t="shared" si="151"/>
        <v/>
      </c>
      <c r="H171" s="1" t="str">
        <f t="shared" si="151"/>
        <v/>
      </c>
      <c r="I171" s="1" t="str">
        <f t="shared" si="151"/>
        <v/>
      </c>
      <c r="J171" s="1" t="str">
        <f t="shared" si="151"/>
        <v/>
      </c>
      <c r="K171" s="1" t="str">
        <f t="shared" si="151"/>
        <v/>
      </c>
      <c r="L171" s="1" t="str">
        <f t="shared" si="151"/>
        <v/>
      </c>
      <c r="M171" s="1" t="str">
        <f t="shared" si="151"/>
        <v/>
      </c>
      <c r="N171" s="1" t="str">
        <f t="shared" si="151"/>
        <v/>
      </c>
      <c r="O171" s="1" t="str">
        <f t="shared" si="151"/>
        <v/>
      </c>
      <c r="P171" s="1">
        <f t="shared" si="151"/>
        <v>1</v>
      </c>
      <c r="Q171" s="1">
        <f t="shared" si="151"/>
        <v>1</v>
      </c>
      <c r="R171" s="1">
        <f t="shared" si="151"/>
        <v>1</v>
      </c>
      <c r="S171" s="1">
        <f t="shared" si="151"/>
        <v>1</v>
      </c>
      <c r="T171" s="1">
        <f t="shared" si="151"/>
        <v>1</v>
      </c>
      <c r="U171" s="1">
        <f t="shared" si="151"/>
        <v>2</v>
      </c>
      <c r="V171" s="1">
        <f t="shared" si="151"/>
        <v>3</v>
      </c>
      <c r="W171" s="1">
        <f t="shared" si="151"/>
        <v>3</v>
      </c>
      <c r="X171" s="1">
        <f t="shared" si="151"/>
        <v>3</v>
      </c>
      <c r="Y171" s="1">
        <f t="shared" si="151"/>
        <v>3</v>
      </c>
      <c r="Z171" s="1">
        <f t="shared" si="151"/>
        <v>3</v>
      </c>
      <c r="AA171" s="1">
        <f t="shared" si="151"/>
        <v>3</v>
      </c>
      <c r="AB171" s="1"/>
      <c r="AC171" s="1"/>
      <c r="AD171" s="1"/>
    </row>
    <row r="172" ht="15.75" customHeight="1" outlineLevel="1">
      <c r="A172" s="1"/>
      <c r="B172" s="1"/>
      <c r="C172" s="1">
        <v>40.0</v>
      </c>
      <c r="D172" s="1"/>
      <c r="E172" s="14">
        <v>39.0</v>
      </c>
      <c r="F172" s="1" t="str">
        <f t="shared" ref="F172:AA172" si="152">IF(F118="","",ROUNDUP(F118/10,0))</f>
        <v/>
      </c>
      <c r="G172" s="1" t="str">
        <f t="shared" si="152"/>
        <v/>
      </c>
      <c r="H172" s="1" t="str">
        <f t="shared" si="152"/>
        <v/>
      </c>
      <c r="I172" s="1" t="str">
        <f t="shared" si="152"/>
        <v/>
      </c>
      <c r="J172" s="1" t="str">
        <f t="shared" si="152"/>
        <v/>
      </c>
      <c r="K172" s="1" t="str">
        <f t="shared" si="152"/>
        <v/>
      </c>
      <c r="L172" s="1" t="str">
        <f t="shared" si="152"/>
        <v/>
      </c>
      <c r="M172" s="1" t="str">
        <f t="shared" si="152"/>
        <v/>
      </c>
      <c r="N172" s="1" t="str">
        <f t="shared" si="152"/>
        <v/>
      </c>
      <c r="O172" s="1" t="str">
        <f t="shared" si="152"/>
        <v/>
      </c>
      <c r="P172" s="1">
        <f t="shared" si="152"/>
        <v>1</v>
      </c>
      <c r="Q172" s="1">
        <f t="shared" si="152"/>
        <v>1</v>
      </c>
      <c r="R172" s="1">
        <f t="shared" si="152"/>
        <v>1</v>
      </c>
      <c r="S172" s="1">
        <f t="shared" si="152"/>
        <v>1</v>
      </c>
      <c r="T172" s="1">
        <f t="shared" si="152"/>
        <v>1</v>
      </c>
      <c r="U172" s="1">
        <f t="shared" si="152"/>
        <v>2</v>
      </c>
      <c r="V172" s="1">
        <f t="shared" si="152"/>
        <v>3</v>
      </c>
      <c r="W172" s="1">
        <f t="shared" si="152"/>
        <v>4</v>
      </c>
      <c r="X172" s="1">
        <f t="shared" si="152"/>
        <v>4</v>
      </c>
      <c r="Y172" s="1">
        <f t="shared" si="152"/>
        <v>4</v>
      </c>
      <c r="Z172" s="1">
        <f t="shared" si="152"/>
        <v>4</v>
      </c>
      <c r="AA172" s="1">
        <f t="shared" si="152"/>
        <v>4</v>
      </c>
      <c r="AB172" s="1"/>
      <c r="AC172" s="1"/>
      <c r="AD172" s="1"/>
    </row>
    <row r="173" ht="15.75" customHeight="1" outlineLevel="1">
      <c r="A173" s="1"/>
      <c r="B173" s="1"/>
      <c r="C173" s="1">
        <v>100.0</v>
      </c>
      <c r="D173" s="1"/>
      <c r="E173" s="14">
        <v>40.0</v>
      </c>
      <c r="F173" s="1" t="str">
        <f t="shared" ref="F173:AA173" si="153">IF(F119="","",ROUNDUP(F119/10,0))</f>
        <v/>
      </c>
      <c r="G173" s="1" t="str">
        <f t="shared" si="153"/>
        <v/>
      </c>
      <c r="H173" s="1" t="str">
        <f t="shared" si="153"/>
        <v/>
      </c>
      <c r="I173" s="1" t="str">
        <f t="shared" si="153"/>
        <v/>
      </c>
      <c r="J173" s="1" t="str">
        <f t="shared" si="153"/>
        <v/>
      </c>
      <c r="K173" s="1" t="str">
        <f t="shared" si="153"/>
        <v/>
      </c>
      <c r="L173" s="1" t="str">
        <f t="shared" si="153"/>
        <v/>
      </c>
      <c r="M173" s="1" t="str">
        <f t="shared" si="153"/>
        <v/>
      </c>
      <c r="N173" s="1" t="str">
        <f t="shared" si="153"/>
        <v/>
      </c>
      <c r="O173" s="1" t="str">
        <f t="shared" si="153"/>
        <v/>
      </c>
      <c r="P173" s="1">
        <f t="shared" si="153"/>
        <v>1</v>
      </c>
      <c r="Q173" s="1">
        <f t="shared" si="153"/>
        <v>1</v>
      </c>
      <c r="R173" s="1">
        <f t="shared" si="153"/>
        <v>1</v>
      </c>
      <c r="S173" s="1">
        <f t="shared" si="153"/>
        <v>1</v>
      </c>
      <c r="T173" s="1">
        <f t="shared" si="153"/>
        <v>1</v>
      </c>
      <c r="U173" s="1">
        <f t="shared" si="153"/>
        <v>2</v>
      </c>
      <c r="V173" s="1">
        <f t="shared" si="153"/>
        <v>3</v>
      </c>
      <c r="W173" s="1">
        <f t="shared" si="153"/>
        <v>4</v>
      </c>
      <c r="X173" s="1">
        <f t="shared" si="153"/>
        <v>6</v>
      </c>
      <c r="Y173" s="1">
        <f t="shared" si="153"/>
        <v>9</v>
      </c>
      <c r="Z173" s="1">
        <f t="shared" si="153"/>
        <v>10</v>
      </c>
      <c r="AA173" s="1">
        <f t="shared" si="153"/>
        <v>10</v>
      </c>
      <c r="AB173" s="1"/>
      <c r="AC173" s="1"/>
      <c r="AD173" s="1"/>
    </row>
    <row r="174" ht="15.75" customHeight="1" outlineLevel="1">
      <c r="A174" s="1"/>
      <c r="B174" s="1"/>
      <c r="C174" s="1">
        <v>80.0</v>
      </c>
      <c r="D174" s="1"/>
      <c r="E174" s="14">
        <v>41.0</v>
      </c>
      <c r="F174" s="1" t="str">
        <f t="shared" ref="F174:AA174" si="154">IF(F120="","",ROUNDUP(F120/10,0))</f>
        <v/>
      </c>
      <c r="G174" s="1" t="str">
        <f t="shared" si="154"/>
        <v/>
      </c>
      <c r="H174" s="1" t="str">
        <f t="shared" si="154"/>
        <v/>
      </c>
      <c r="I174" s="1" t="str">
        <f t="shared" si="154"/>
        <v/>
      </c>
      <c r="J174" s="1" t="str">
        <f t="shared" si="154"/>
        <v/>
      </c>
      <c r="K174" s="1" t="str">
        <f t="shared" si="154"/>
        <v/>
      </c>
      <c r="L174" s="1" t="str">
        <f t="shared" si="154"/>
        <v/>
      </c>
      <c r="M174" s="1" t="str">
        <f t="shared" si="154"/>
        <v/>
      </c>
      <c r="N174" s="1" t="str">
        <f t="shared" si="154"/>
        <v/>
      </c>
      <c r="O174" s="1" t="str">
        <f t="shared" si="154"/>
        <v/>
      </c>
      <c r="P174" s="1">
        <f t="shared" si="154"/>
        <v>1</v>
      </c>
      <c r="Q174" s="1">
        <f t="shared" si="154"/>
        <v>1</v>
      </c>
      <c r="R174" s="1">
        <f t="shared" si="154"/>
        <v>1</v>
      </c>
      <c r="S174" s="1">
        <f t="shared" si="154"/>
        <v>1</v>
      </c>
      <c r="T174" s="1">
        <f t="shared" si="154"/>
        <v>1</v>
      </c>
      <c r="U174" s="1">
        <f t="shared" si="154"/>
        <v>2</v>
      </c>
      <c r="V174" s="1">
        <f t="shared" si="154"/>
        <v>3</v>
      </c>
      <c r="W174" s="1">
        <f t="shared" si="154"/>
        <v>4</v>
      </c>
      <c r="X174" s="1">
        <f t="shared" si="154"/>
        <v>6</v>
      </c>
      <c r="Y174" s="1">
        <f t="shared" si="154"/>
        <v>8</v>
      </c>
      <c r="Z174" s="1">
        <f t="shared" si="154"/>
        <v>8</v>
      </c>
      <c r="AA174" s="1">
        <f t="shared" si="154"/>
        <v>8</v>
      </c>
      <c r="AB174" s="1"/>
      <c r="AC174" s="1"/>
      <c r="AD174" s="1"/>
    </row>
    <row r="175" ht="15.75" customHeight="1" outlineLevel="1">
      <c r="A175" s="1"/>
      <c r="B175" s="1"/>
      <c r="C175" s="1">
        <v>30.0</v>
      </c>
      <c r="D175" s="1"/>
      <c r="E175" s="14">
        <v>42.0</v>
      </c>
      <c r="F175" s="1" t="str">
        <f t="shared" ref="F175:AA175" si="155">IF(F121="","",ROUNDUP(F121/10,0))</f>
        <v/>
      </c>
      <c r="G175" s="1" t="str">
        <f t="shared" si="155"/>
        <v/>
      </c>
      <c r="H175" s="1" t="str">
        <f t="shared" si="155"/>
        <v/>
      </c>
      <c r="I175" s="1" t="str">
        <f t="shared" si="155"/>
        <v/>
      </c>
      <c r="J175" s="1" t="str">
        <f t="shared" si="155"/>
        <v/>
      </c>
      <c r="K175" s="1" t="str">
        <f t="shared" si="155"/>
        <v/>
      </c>
      <c r="L175" s="1" t="str">
        <f t="shared" si="155"/>
        <v/>
      </c>
      <c r="M175" s="1" t="str">
        <f t="shared" si="155"/>
        <v/>
      </c>
      <c r="N175" s="1" t="str">
        <f t="shared" si="155"/>
        <v/>
      </c>
      <c r="O175" s="1" t="str">
        <f t="shared" si="155"/>
        <v/>
      </c>
      <c r="P175" s="1">
        <f t="shared" si="155"/>
        <v>1</v>
      </c>
      <c r="Q175" s="1">
        <f t="shared" si="155"/>
        <v>1</v>
      </c>
      <c r="R175" s="1">
        <f t="shared" si="155"/>
        <v>1</v>
      </c>
      <c r="S175" s="1">
        <f t="shared" si="155"/>
        <v>1</v>
      </c>
      <c r="T175" s="1">
        <f t="shared" si="155"/>
        <v>1</v>
      </c>
      <c r="U175" s="1">
        <f t="shared" si="155"/>
        <v>2</v>
      </c>
      <c r="V175" s="1">
        <f t="shared" si="155"/>
        <v>3</v>
      </c>
      <c r="W175" s="1">
        <f t="shared" si="155"/>
        <v>3</v>
      </c>
      <c r="X175" s="1">
        <f t="shared" si="155"/>
        <v>3</v>
      </c>
      <c r="Y175" s="1">
        <f t="shared" si="155"/>
        <v>3</v>
      </c>
      <c r="Z175" s="1">
        <f t="shared" si="155"/>
        <v>3</v>
      </c>
      <c r="AA175" s="1">
        <f t="shared" si="155"/>
        <v>3</v>
      </c>
      <c r="AB175" s="1"/>
      <c r="AC175" s="1"/>
      <c r="AD175" s="1"/>
    </row>
    <row r="176" ht="15.75" customHeight="1" outlineLevel="1">
      <c r="A176" s="1"/>
      <c r="B176" s="1"/>
      <c r="C176" s="1">
        <v>80.0</v>
      </c>
      <c r="D176" s="1"/>
      <c r="E176" s="14">
        <v>43.0</v>
      </c>
      <c r="F176" s="1" t="str">
        <f t="shared" ref="F176:AA176" si="156">IF(F122="","",ROUNDUP(F122/10,0))</f>
        <v/>
      </c>
      <c r="G176" s="1" t="str">
        <f t="shared" si="156"/>
        <v/>
      </c>
      <c r="H176" s="1" t="str">
        <f t="shared" si="156"/>
        <v/>
      </c>
      <c r="I176" s="1" t="str">
        <f t="shared" si="156"/>
        <v/>
      </c>
      <c r="J176" s="1" t="str">
        <f t="shared" si="156"/>
        <v/>
      </c>
      <c r="K176" s="1" t="str">
        <f t="shared" si="156"/>
        <v/>
      </c>
      <c r="L176" s="1" t="str">
        <f t="shared" si="156"/>
        <v/>
      </c>
      <c r="M176" s="1" t="str">
        <f t="shared" si="156"/>
        <v/>
      </c>
      <c r="N176" s="1" t="str">
        <f t="shared" si="156"/>
        <v/>
      </c>
      <c r="O176" s="1" t="str">
        <f t="shared" si="156"/>
        <v/>
      </c>
      <c r="P176" s="1">
        <f t="shared" si="156"/>
        <v>1</v>
      </c>
      <c r="Q176" s="1">
        <f t="shared" si="156"/>
        <v>1</v>
      </c>
      <c r="R176" s="1">
        <f t="shared" si="156"/>
        <v>1</v>
      </c>
      <c r="S176" s="1">
        <f t="shared" si="156"/>
        <v>1</v>
      </c>
      <c r="T176" s="1">
        <f t="shared" si="156"/>
        <v>1</v>
      </c>
      <c r="U176" s="1">
        <f t="shared" si="156"/>
        <v>2</v>
      </c>
      <c r="V176" s="1">
        <f t="shared" si="156"/>
        <v>3</v>
      </c>
      <c r="W176" s="1">
        <f t="shared" si="156"/>
        <v>4</v>
      </c>
      <c r="X176" s="1">
        <f t="shared" si="156"/>
        <v>6</v>
      </c>
      <c r="Y176" s="1">
        <f t="shared" si="156"/>
        <v>8</v>
      </c>
      <c r="Z176" s="1">
        <f t="shared" si="156"/>
        <v>8</v>
      </c>
      <c r="AA176" s="1">
        <f t="shared" si="156"/>
        <v>8</v>
      </c>
      <c r="AB176" s="1"/>
      <c r="AC176" s="1"/>
      <c r="AD176" s="1"/>
    </row>
    <row r="177" ht="15.75" customHeight="1" outlineLevel="1">
      <c r="A177" s="1"/>
      <c r="B177" s="1"/>
      <c r="C177" s="1">
        <v>100.0</v>
      </c>
      <c r="D177" s="1"/>
      <c r="E177" s="14">
        <v>44.0</v>
      </c>
      <c r="F177" s="1" t="str">
        <f t="shared" ref="F177:AA177" si="157">IF(F123="","",ROUNDUP(F123/10,0))</f>
        <v/>
      </c>
      <c r="G177" s="1" t="str">
        <f t="shared" si="157"/>
        <v/>
      </c>
      <c r="H177" s="1" t="str">
        <f t="shared" si="157"/>
        <v/>
      </c>
      <c r="I177" s="1" t="str">
        <f t="shared" si="157"/>
        <v/>
      </c>
      <c r="J177" s="1" t="str">
        <f t="shared" si="157"/>
        <v/>
      </c>
      <c r="K177" s="1" t="str">
        <f t="shared" si="157"/>
        <v/>
      </c>
      <c r="L177" s="1" t="str">
        <f t="shared" si="157"/>
        <v/>
      </c>
      <c r="M177" s="1" t="str">
        <f t="shared" si="157"/>
        <v/>
      </c>
      <c r="N177" s="1" t="str">
        <f t="shared" si="157"/>
        <v/>
      </c>
      <c r="O177" s="1" t="str">
        <f t="shared" si="157"/>
        <v/>
      </c>
      <c r="P177" s="1">
        <f t="shared" si="157"/>
        <v>1</v>
      </c>
      <c r="Q177" s="1">
        <f t="shared" si="157"/>
        <v>1</v>
      </c>
      <c r="R177" s="1">
        <f t="shared" si="157"/>
        <v>1</v>
      </c>
      <c r="S177" s="1">
        <f t="shared" si="157"/>
        <v>1</v>
      </c>
      <c r="T177" s="1">
        <f t="shared" si="157"/>
        <v>1</v>
      </c>
      <c r="U177" s="1">
        <f t="shared" si="157"/>
        <v>2</v>
      </c>
      <c r="V177" s="1">
        <f t="shared" si="157"/>
        <v>3</v>
      </c>
      <c r="W177" s="1">
        <f t="shared" si="157"/>
        <v>4</v>
      </c>
      <c r="X177" s="1">
        <f t="shared" si="157"/>
        <v>6</v>
      </c>
      <c r="Y177" s="1">
        <f t="shared" si="157"/>
        <v>9</v>
      </c>
      <c r="Z177" s="1">
        <f t="shared" si="157"/>
        <v>10</v>
      </c>
      <c r="AA177" s="1">
        <f t="shared" si="157"/>
        <v>10</v>
      </c>
      <c r="AB177" s="1"/>
      <c r="AC177" s="1"/>
      <c r="AD177" s="1"/>
    </row>
    <row r="178" ht="15.75" customHeight="1" outlineLevel="1">
      <c r="A178" s="1"/>
      <c r="B178" s="1"/>
      <c r="C178" s="1">
        <v>80.0</v>
      </c>
      <c r="D178" s="1"/>
      <c r="E178" s="14">
        <v>45.0</v>
      </c>
      <c r="F178" s="1" t="str">
        <f t="shared" ref="F178:AA178" si="158">IF(F124="","",ROUNDUP(F124/10,0))</f>
        <v/>
      </c>
      <c r="G178" s="1" t="str">
        <f t="shared" si="158"/>
        <v/>
      </c>
      <c r="H178" s="1" t="str">
        <f t="shared" si="158"/>
        <v/>
      </c>
      <c r="I178" s="1" t="str">
        <f t="shared" si="158"/>
        <v/>
      </c>
      <c r="J178" s="1" t="str">
        <f t="shared" si="158"/>
        <v/>
      </c>
      <c r="K178" s="1" t="str">
        <f t="shared" si="158"/>
        <v/>
      </c>
      <c r="L178" s="1" t="str">
        <f t="shared" si="158"/>
        <v/>
      </c>
      <c r="M178" s="1" t="str">
        <f t="shared" si="158"/>
        <v/>
      </c>
      <c r="N178" s="1" t="str">
        <f t="shared" si="158"/>
        <v/>
      </c>
      <c r="O178" s="1" t="str">
        <f t="shared" si="158"/>
        <v/>
      </c>
      <c r="P178" s="1">
        <f t="shared" si="158"/>
        <v>1</v>
      </c>
      <c r="Q178" s="1">
        <f t="shared" si="158"/>
        <v>1</v>
      </c>
      <c r="R178" s="1">
        <f t="shared" si="158"/>
        <v>1</v>
      </c>
      <c r="S178" s="1">
        <f t="shared" si="158"/>
        <v>1</v>
      </c>
      <c r="T178" s="1">
        <f t="shared" si="158"/>
        <v>1</v>
      </c>
      <c r="U178" s="1">
        <f t="shared" si="158"/>
        <v>2</v>
      </c>
      <c r="V178" s="1">
        <f t="shared" si="158"/>
        <v>3</v>
      </c>
      <c r="W178" s="1">
        <f t="shared" si="158"/>
        <v>4</v>
      </c>
      <c r="X178" s="1">
        <f t="shared" si="158"/>
        <v>6</v>
      </c>
      <c r="Y178" s="1">
        <f t="shared" si="158"/>
        <v>8</v>
      </c>
      <c r="Z178" s="1">
        <f t="shared" si="158"/>
        <v>8</v>
      </c>
      <c r="AA178" s="1">
        <f t="shared" si="158"/>
        <v>8</v>
      </c>
      <c r="AB178" s="1"/>
      <c r="AC178" s="1"/>
      <c r="AD178" s="1"/>
    </row>
    <row r="179" ht="15.75" customHeight="1" outlineLevel="1">
      <c r="A179" s="1"/>
      <c r="B179" s="1"/>
      <c r="C179" s="1">
        <v>60.0</v>
      </c>
      <c r="D179" s="1"/>
      <c r="E179" s="14">
        <v>46.0</v>
      </c>
      <c r="F179" s="1" t="str">
        <f t="shared" ref="F179:AA179" si="159">IF(F125="","",ROUNDUP(F125/10,0))</f>
        <v/>
      </c>
      <c r="G179" s="1" t="str">
        <f t="shared" si="159"/>
        <v/>
      </c>
      <c r="H179" s="1" t="str">
        <f t="shared" si="159"/>
        <v/>
      </c>
      <c r="I179" s="1" t="str">
        <f t="shared" si="159"/>
        <v/>
      </c>
      <c r="J179" s="1" t="str">
        <f t="shared" si="159"/>
        <v/>
      </c>
      <c r="K179" s="1" t="str">
        <f t="shared" si="159"/>
        <v/>
      </c>
      <c r="L179" s="1" t="str">
        <f t="shared" si="159"/>
        <v/>
      </c>
      <c r="M179" s="1" t="str">
        <f t="shared" si="159"/>
        <v/>
      </c>
      <c r="N179" s="1" t="str">
        <f t="shared" si="159"/>
        <v/>
      </c>
      <c r="O179" s="1" t="str">
        <f t="shared" si="159"/>
        <v/>
      </c>
      <c r="P179" s="1">
        <f t="shared" si="159"/>
        <v>1</v>
      </c>
      <c r="Q179" s="1">
        <f t="shared" si="159"/>
        <v>1</v>
      </c>
      <c r="R179" s="1">
        <f t="shared" si="159"/>
        <v>1</v>
      </c>
      <c r="S179" s="1">
        <f t="shared" si="159"/>
        <v>1</v>
      </c>
      <c r="T179" s="1">
        <f t="shared" si="159"/>
        <v>1</v>
      </c>
      <c r="U179" s="1">
        <f t="shared" si="159"/>
        <v>2</v>
      </c>
      <c r="V179" s="1">
        <f t="shared" si="159"/>
        <v>3</v>
      </c>
      <c r="W179" s="1">
        <f t="shared" si="159"/>
        <v>4</v>
      </c>
      <c r="X179" s="1">
        <f t="shared" si="159"/>
        <v>6</v>
      </c>
      <c r="Y179" s="1">
        <f t="shared" si="159"/>
        <v>6</v>
      </c>
      <c r="Z179" s="1">
        <f t="shared" si="159"/>
        <v>6</v>
      </c>
      <c r="AA179" s="1">
        <f t="shared" si="159"/>
        <v>6</v>
      </c>
      <c r="AB179" s="1"/>
      <c r="AC179" s="1"/>
      <c r="AD179" s="1"/>
    </row>
    <row r="180" ht="15.75" customHeight="1" outlineLevel="1">
      <c r="A180" s="1"/>
      <c r="B180" s="1"/>
      <c r="C180" s="1">
        <v>80.0</v>
      </c>
      <c r="D180" s="1"/>
      <c r="E180" s="14">
        <v>47.0</v>
      </c>
      <c r="F180" s="1" t="str">
        <f t="shared" ref="F180:AA180" si="160">IF(F126="","",ROUNDUP(F126/10,0))</f>
        <v/>
      </c>
      <c r="G180" s="1" t="str">
        <f t="shared" si="160"/>
        <v/>
      </c>
      <c r="H180" s="1" t="str">
        <f t="shared" si="160"/>
        <v/>
      </c>
      <c r="I180" s="1" t="str">
        <f t="shared" si="160"/>
        <v/>
      </c>
      <c r="J180" s="1" t="str">
        <f t="shared" si="160"/>
        <v/>
      </c>
      <c r="K180" s="1" t="str">
        <f t="shared" si="160"/>
        <v/>
      </c>
      <c r="L180" s="1" t="str">
        <f t="shared" si="160"/>
        <v/>
      </c>
      <c r="M180" s="1" t="str">
        <f t="shared" si="160"/>
        <v/>
      </c>
      <c r="N180" s="1" t="str">
        <f t="shared" si="160"/>
        <v/>
      </c>
      <c r="O180" s="1" t="str">
        <f t="shared" si="160"/>
        <v/>
      </c>
      <c r="P180" s="1">
        <f t="shared" si="160"/>
        <v>1</v>
      </c>
      <c r="Q180" s="1">
        <f t="shared" si="160"/>
        <v>1</v>
      </c>
      <c r="R180" s="1">
        <f t="shared" si="160"/>
        <v>1</v>
      </c>
      <c r="S180" s="1">
        <f t="shared" si="160"/>
        <v>1</v>
      </c>
      <c r="T180" s="1">
        <f t="shared" si="160"/>
        <v>1</v>
      </c>
      <c r="U180" s="1">
        <f t="shared" si="160"/>
        <v>2</v>
      </c>
      <c r="V180" s="1">
        <f t="shared" si="160"/>
        <v>3</v>
      </c>
      <c r="W180" s="1">
        <f t="shared" si="160"/>
        <v>4</v>
      </c>
      <c r="X180" s="1">
        <f t="shared" si="160"/>
        <v>6</v>
      </c>
      <c r="Y180" s="1">
        <f t="shared" si="160"/>
        <v>8</v>
      </c>
      <c r="Z180" s="1">
        <f t="shared" si="160"/>
        <v>8</v>
      </c>
      <c r="AA180" s="1">
        <f t="shared" si="160"/>
        <v>8</v>
      </c>
      <c r="AB180" s="1"/>
      <c r="AC180" s="1"/>
      <c r="AD180" s="1"/>
    </row>
    <row r="181" ht="15.75" customHeight="1" outlineLevel="1">
      <c r="A181" s="1"/>
      <c r="B181" s="1"/>
      <c r="C181" s="1">
        <v>100.0</v>
      </c>
      <c r="D181" s="1"/>
      <c r="E181" s="14">
        <v>48.0</v>
      </c>
      <c r="F181" s="1" t="str">
        <f t="shared" ref="F181:AA181" si="161">IF(F127="","",ROUNDUP(F127/10,0))</f>
        <v/>
      </c>
      <c r="G181" s="1" t="str">
        <f t="shared" si="161"/>
        <v/>
      </c>
      <c r="H181" s="1" t="str">
        <f t="shared" si="161"/>
        <v/>
      </c>
      <c r="I181" s="1" t="str">
        <f t="shared" si="161"/>
        <v/>
      </c>
      <c r="J181" s="1" t="str">
        <f t="shared" si="161"/>
        <v/>
      </c>
      <c r="K181" s="1" t="str">
        <f t="shared" si="161"/>
        <v/>
      </c>
      <c r="L181" s="1" t="str">
        <f t="shared" si="161"/>
        <v/>
      </c>
      <c r="M181" s="1" t="str">
        <f t="shared" si="161"/>
        <v/>
      </c>
      <c r="N181" s="1" t="str">
        <f t="shared" si="161"/>
        <v/>
      </c>
      <c r="O181" s="1" t="str">
        <f t="shared" si="161"/>
        <v/>
      </c>
      <c r="P181" s="1">
        <f t="shared" si="161"/>
        <v>1</v>
      </c>
      <c r="Q181" s="1">
        <f t="shared" si="161"/>
        <v>1</v>
      </c>
      <c r="R181" s="1">
        <f t="shared" si="161"/>
        <v>1</v>
      </c>
      <c r="S181" s="1">
        <f t="shared" si="161"/>
        <v>1</v>
      </c>
      <c r="T181" s="1">
        <f t="shared" si="161"/>
        <v>1</v>
      </c>
      <c r="U181" s="1">
        <f t="shared" si="161"/>
        <v>2</v>
      </c>
      <c r="V181" s="1">
        <f t="shared" si="161"/>
        <v>3</v>
      </c>
      <c r="W181" s="1">
        <f t="shared" si="161"/>
        <v>4</v>
      </c>
      <c r="X181" s="1">
        <f t="shared" si="161"/>
        <v>6</v>
      </c>
      <c r="Y181" s="1">
        <f t="shared" si="161"/>
        <v>9</v>
      </c>
      <c r="Z181" s="1">
        <f t="shared" si="161"/>
        <v>10</v>
      </c>
      <c r="AA181" s="1">
        <f t="shared" si="161"/>
        <v>10</v>
      </c>
      <c r="AB181" s="1"/>
      <c r="AC181" s="1"/>
      <c r="AD181" s="1"/>
    </row>
    <row r="182" ht="15.75" customHeight="1" outlineLevel="1">
      <c r="A182" s="1"/>
      <c r="B182" s="1"/>
      <c r="C182" s="1">
        <v>80.0</v>
      </c>
      <c r="D182" s="1"/>
      <c r="E182" s="14">
        <v>49.0</v>
      </c>
      <c r="F182" s="1" t="str">
        <f t="shared" ref="F182:AA182" si="162">IF(F128="","",ROUNDUP(F128/10,0))</f>
        <v/>
      </c>
      <c r="G182" s="1" t="str">
        <f t="shared" si="162"/>
        <v/>
      </c>
      <c r="H182" s="1" t="str">
        <f t="shared" si="162"/>
        <v/>
      </c>
      <c r="I182" s="1" t="str">
        <f t="shared" si="162"/>
        <v/>
      </c>
      <c r="J182" s="1" t="str">
        <f t="shared" si="162"/>
        <v/>
      </c>
      <c r="K182" s="1" t="str">
        <f t="shared" si="162"/>
        <v/>
      </c>
      <c r="L182" s="1" t="str">
        <f t="shared" si="162"/>
        <v/>
      </c>
      <c r="M182" s="1" t="str">
        <f t="shared" si="162"/>
        <v/>
      </c>
      <c r="N182" s="1" t="str">
        <f t="shared" si="162"/>
        <v/>
      </c>
      <c r="O182" s="1" t="str">
        <f t="shared" si="162"/>
        <v/>
      </c>
      <c r="P182" s="1">
        <f t="shared" si="162"/>
        <v>1</v>
      </c>
      <c r="Q182" s="1">
        <f t="shared" si="162"/>
        <v>1</v>
      </c>
      <c r="R182" s="1">
        <f t="shared" si="162"/>
        <v>1</v>
      </c>
      <c r="S182" s="1">
        <f t="shared" si="162"/>
        <v>1</v>
      </c>
      <c r="T182" s="1">
        <f t="shared" si="162"/>
        <v>1</v>
      </c>
      <c r="U182" s="1">
        <f t="shared" si="162"/>
        <v>2</v>
      </c>
      <c r="V182" s="1">
        <f t="shared" si="162"/>
        <v>3</v>
      </c>
      <c r="W182" s="1">
        <f t="shared" si="162"/>
        <v>4</v>
      </c>
      <c r="X182" s="1">
        <f t="shared" si="162"/>
        <v>6</v>
      </c>
      <c r="Y182" s="1">
        <f t="shared" si="162"/>
        <v>8</v>
      </c>
      <c r="Z182" s="1">
        <f t="shared" si="162"/>
        <v>8</v>
      </c>
      <c r="AA182" s="1">
        <f t="shared" si="162"/>
        <v>8</v>
      </c>
      <c r="AB182" s="1"/>
      <c r="AC182" s="1"/>
      <c r="AD182" s="1"/>
    </row>
    <row r="183" ht="15.75" customHeight="1" outlineLevel="1">
      <c r="A183" s="1"/>
      <c r="B183" s="1"/>
      <c r="C183" s="1">
        <v>80.0</v>
      </c>
      <c r="D183" s="1"/>
      <c r="E183" s="14">
        <v>50.0</v>
      </c>
      <c r="F183" s="1" t="str">
        <f t="shared" ref="F183:AA183" si="163">IF(F129="","",ROUNDUP(F129/10,0))</f>
        <v/>
      </c>
      <c r="G183" s="1" t="str">
        <f t="shared" si="163"/>
        <v/>
      </c>
      <c r="H183" s="1" t="str">
        <f t="shared" si="163"/>
        <v/>
      </c>
      <c r="I183" s="1" t="str">
        <f t="shared" si="163"/>
        <v/>
      </c>
      <c r="J183" s="1" t="str">
        <f t="shared" si="163"/>
        <v/>
      </c>
      <c r="K183" s="1" t="str">
        <f t="shared" si="163"/>
        <v/>
      </c>
      <c r="L183" s="1" t="str">
        <f t="shared" si="163"/>
        <v/>
      </c>
      <c r="M183" s="1" t="str">
        <f t="shared" si="163"/>
        <v/>
      </c>
      <c r="N183" s="1" t="str">
        <f t="shared" si="163"/>
        <v/>
      </c>
      <c r="O183" s="1" t="str">
        <f t="shared" si="163"/>
        <v/>
      </c>
      <c r="P183" s="1">
        <f t="shared" si="163"/>
        <v>1</v>
      </c>
      <c r="Q183" s="1">
        <f t="shared" si="163"/>
        <v>1</v>
      </c>
      <c r="R183" s="1">
        <f t="shared" si="163"/>
        <v>1</v>
      </c>
      <c r="S183" s="1">
        <f t="shared" si="163"/>
        <v>1</v>
      </c>
      <c r="T183" s="1">
        <f t="shared" si="163"/>
        <v>1</v>
      </c>
      <c r="U183" s="1">
        <f t="shared" si="163"/>
        <v>2</v>
      </c>
      <c r="V183" s="1">
        <f t="shared" si="163"/>
        <v>3</v>
      </c>
      <c r="W183" s="1">
        <f t="shared" si="163"/>
        <v>4</v>
      </c>
      <c r="X183" s="1">
        <f t="shared" si="163"/>
        <v>6</v>
      </c>
      <c r="Y183" s="1">
        <f t="shared" si="163"/>
        <v>8</v>
      </c>
      <c r="Z183" s="1">
        <f t="shared" si="163"/>
        <v>8</v>
      </c>
      <c r="AA183" s="1">
        <f t="shared" si="163"/>
        <v>8</v>
      </c>
      <c r="AB183" s="1"/>
      <c r="AC183" s="1"/>
      <c r="AD183" s="1"/>
    </row>
    <row r="184" ht="15.75" customHeight="1" outlineLevel="1">
      <c r="A184" s="1"/>
      <c r="B184" s="1"/>
      <c r="C184" s="1"/>
      <c r="D184" s="1"/>
      <c r="E184" s="2" t="s">
        <v>19</v>
      </c>
      <c r="F184" s="2">
        <f t="shared" ref="F184:AA184" si="164">SUM(F134:F183)</f>
        <v>1</v>
      </c>
      <c r="G184" s="2">
        <f t="shared" si="164"/>
        <v>1</v>
      </c>
      <c r="H184" s="2">
        <f t="shared" si="164"/>
        <v>1</v>
      </c>
      <c r="I184" s="2">
        <f t="shared" si="164"/>
        <v>3</v>
      </c>
      <c r="J184" s="2">
        <f t="shared" si="164"/>
        <v>3</v>
      </c>
      <c r="K184" s="2">
        <f t="shared" si="164"/>
        <v>6</v>
      </c>
      <c r="L184" s="2">
        <f t="shared" si="164"/>
        <v>11</v>
      </c>
      <c r="M184" s="2">
        <f t="shared" si="164"/>
        <v>18</v>
      </c>
      <c r="N184" s="2">
        <f t="shared" si="164"/>
        <v>30</v>
      </c>
      <c r="O184" s="2">
        <f t="shared" si="164"/>
        <v>44</v>
      </c>
      <c r="P184" s="2">
        <f t="shared" si="164"/>
        <v>63</v>
      </c>
      <c r="Q184" s="2">
        <f t="shared" si="164"/>
        <v>68</v>
      </c>
      <c r="R184" s="2">
        <f t="shared" si="164"/>
        <v>76</v>
      </c>
      <c r="S184" s="2">
        <f t="shared" si="164"/>
        <v>89</v>
      </c>
      <c r="T184" s="2">
        <f t="shared" si="164"/>
        <v>110</v>
      </c>
      <c r="U184" s="2">
        <f t="shared" si="164"/>
        <v>143</v>
      </c>
      <c r="V184" s="2">
        <f t="shared" si="164"/>
        <v>170</v>
      </c>
      <c r="W184" s="2">
        <f t="shared" si="164"/>
        <v>196</v>
      </c>
      <c r="X184" s="2">
        <f t="shared" si="164"/>
        <v>226</v>
      </c>
      <c r="Y184" s="2">
        <f t="shared" si="164"/>
        <v>247</v>
      </c>
      <c r="Z184" s="2">
        <f t="shared" si="164"/>
        <v>250</v>
      </c>
      <c r="AA184" s="2">
        <f t="shared" si="164"/>
        <v>250</v>
      </c>
      <c r="AB184" s="1"/>
      <c r="AC184" s="1"/>
      <c r="AD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ht="15.75" customHeight="1">
      <c r="A186" s="1"/>
      <c r="B186" s="1"/>
      <c r="C186" s="1"/>
      <c r="D186" s="1"/>
      <c r="E186" s="2" t="s">
        <v>20</v>
      </c>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ht="15.75" customHeight="1">
      <c r="A187" s="1"/>
      <c r="B187" s="1"/>
      <c r="C187" s="1"/>
      <c r="D187" s="1" t="s">
        <v>21</v>
      </c>
      <c r="E187" s="1"/>
      <c r="F187" s="8" t="s">
        <v>4</v>
      </c>
      <c r="G187" s="8" t="s">
        <v>5</v>
      </c>
      <c r="H187" s="8" t="s">
        <v>6</v>
      </c>
      <c r="I187" s="8" t="s">
        <v>7</v>
      </c>
      <c r="J187" s="8" t="s">
        <v>8</v>
      </c>
      <c r="K187" s="8" t="str">
        <f t="shared" ref="K187:AA187" si="165">RIGHT(J187,4)&amp;"-"&amp;RIGHT(J187,4)+1</f>
        <v>2015-2016</v>
      </c>
      <c r="L187" s="8" t="str">
        <f t="shared" si="165"/>
        <v>2016-2017</v>
      </c>
      <c r="M187" s="8" t="str">
        <f t="shared" si="165"/>
        <v>2017-2018</v>
      </c>
      <c r="N187" s="8" t="str">
        <f t="shared" si="165"/>
        <v>2018-2019</v>
      </c>
      <c r="O187" s="8" t="str">
        <f t="shared" si="165"/>
        <v>2019-2020</v>
      </c>
      <c r="P187" s="8" t="str">
        <f t="shared" si="165"/>
        <v>2020-2021</v>
      </c>
      <c r="Q187" s="8" t="str">
        <f t="shared" si="165"/>
        <v>2021-2022</v>
      </c>
      <c r="R187" s="8" t="str">
        <f t="shared" si="165"/>
        <v>2022-2023</v>
      </c>
      <c r="S187" s="8" t="str">
        <f t="shared" si="165"/>
        <v>2023-2024</v>
      </c>
      <c r="T187" s="8" t="str">
        <f t="shared" si="165"/>
        <v>2024-2025</v>
      </c>
      <c r="U187" s="8" t="str">
        <f t="shared" si="165"/>
        <v>2025-2026</v>
      </c>
      <c r="V187" s="8" t="str">
        <f t="shared" si="165"/>
        <v>2026-2027</v>
      </c>
      <c r="W187" s="8" t="str">
        <f t="shared" si="165"/>
        <v>2027-2028</v>
      </c>
      <c r="X187" s="8" t="str">
        <f t="shared" si="165"/>
        <v>2028-2029</v>
      </c>
      <c r="Y187" s="8" t="str">
        <f t="shared" si="165"/>
        <v>2029-2030</v>
      </c>
      <c r="Z187" s="8" t="str">
        <f t="shared" si="165"/>
        <v>2030-2031</v>
      </c>
      <c r="AA187" s="8" t="str">
        <f t="shared" si="165"/>
        <v>2031-2032</v>
      </c>
      <c r="AB187" s="1"/>
      <c r="AC187" s="1"/>
      <c r="AD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ht="15.75" customHeight="1">
      <c r="A189" s="1"/>
      <c r="B189" s="1"/>
      <c r="C189" s="1"/>
      <c r="D189" s="1">
        <f t="shared" ref="D189:D237" si="167">C81</f>
        <v>30</v>
      </c>
      <c r="E189" s="1">
        <v>2.0</v>
      </c>
      <c r="F189" s="1" t="str">
        <f t="shared" ref="F189:AA189" si="166">IF(F28="","",IF(F81=$C81,E189,F28))</f>
        <v/>
      </c>
      <c r="G189" s="1" t="str">
        <f t="shared" si="166"/>
        <v/>
      </c>
      <c r="H189" s="1" t="str">
        <f t="shared" si="166"/>
        <v/>
      </c>
      <c r="I189" s="1">
        <f t="shared" si="166"/>
        <v>1</v>
      </c>
      <c r="J189" s="1">
        <f t="shared" si="166"/>
        <v>2</v>
      </c>
      <c r="K189" s="1">
        <f t="shared" si="166"/>
        <v>3</v>
      </c>
      <c r="L189" s="1">
        <f t="shared" si="166"/>
        <v>4</v>
      </c>
      <c r="M189" s="1">
        <f t="shared" si="166"/>
        <v>5</v>
      </c>
      <c r="N189" s="1">
        <f t="shared" si="166"/>
        <v>6</v>
      </c>
      <c r="O189" s="1">
        <f t="shared" si="166"/>
        <v>7</v>
      </c>
      <c r="P189" s="1">
        <f t="shared" si="166"/>
        <v>7</v>
      </c>
      <c r="Q189" s="1">
        <f t="shared" si="166"/>
        <v>7</v>
      </c>
      <c r="R189" s="1">
        <f t="shared" si="166"/>
        <v>7</v>
      </c>
      <c r="S189" s="1">
        <f t="shared" si="166"/>
        <v>7</v>
      </c>
      <c r="T189" s="1">
        <f t="shared" si="166"/>
        <v>7</v>
      </c>
      <c r="U189" s="1">
        <f t="shared" si="166"/>
        <v>7</v>
      </c>
      <c r="V189" s="1">
        <f t="shared" si="166"/>
        <v>7</v>
      </c>
      <c r="W189" s="1">
        <f t="shared" si="166"/>
        <v>7</v>
      </c>
      <c r="X189" s="1">
        <f t="shared" si="166"/>
        <v>7</v>
      </c>
      <c r="Y189" s="1">
        <f t="shared" si="166"/>
        <v>7</v>
      </c>
      <c r="Z189" s="1">
        <f t="shared" si="166"/>
        <v>7</v>
      </c>
      <c r="AA189" s="1">
        <f t="shared" si="166"/>
        <v>7</v>
      </c>
      <c r="AB189" s="1"/>
      <c r="AC189" s="1"/>
      <c r="AD189" s="1"/>
    </row>
    <row r="190" ht="15.75" customHeight="1">
      <c r="A190" s="1"/>
      <c r="B190" s="1"/>
      <c r="C190" s="1"/>
      <c r="D190" s="1">
        <f t="shared" si="167"/>
        <v>30</v>
      </c>
      <c r="E190" s="1">
        <v>3.0</v>
      </c>
      <c r="F190" s="1" t="str">
        <f t="shared" ref="F190:AA190" si="168">IF(F29="","",IF(F82=$C82,E190,F29))</f>
        <v/>
      </c>
      <c r="G190" s="1" t="str">
        <f t="shared" si="168"/>
        <v/>
      </c>
      <c r="H190" s="1" t="str">
        <f t="shared" si="168"/>
        <v/>
      </c>
      <c r="I190" s="1" t="str">
        <f t="shared" si="168"/>
        <v/>
      </c>
      <c r="J190" s="1" t="str">
        <f t="shared" si="168"/>
        <v/>
      </c>
      <c r="K190" s="1">
        <f t="shared" si="168"/>
        <v>1</v>
      </c>
      <c r="L190" s="1">
        <f t="shared" si="168"/>
        <v>2</v>
      </c>
      <c r="M190" s="1">
        <f t="shared" si="168"/>
        <v>3</v>
      </c>
      <c r="N190" s="1">
        <f t="shared" si="168"/>
        <v>4</v>
      </c>
      <c r="O190" s="1">
        <f t="shared" si="168"/>
        <v>5</v>
      </c>
      <c r="P190" s="1">
        <f t="shared" si="168"/>
        <v>6</v>
      </c>
      <c r="Q190" s="1">
        <f t="shared" si="168"/>
        <v>7</v>
      </c>
      <c r="R190" s="1">
        <f t="shared" si="168"/>
        <v>7</v>
      </c>
      <c r="S190" s="1">
        <f t="shared" si="168"/>
        <v>7</v>
      </c>
      <c r="T190" s="1">
        <f t="shared" si="168"/>
        <v>7</v>
      </c>
      <c r="U190" s="1">
        <f t="shared" si="168"/>
        <v>7</v>
      </c>
      <c r="V190" s="1">
        <f t="shared" si="168"/>
        <v>7</v>
      </c>
      <c r="W190" s="1">
        <f t="shared" si="168"/>
        <v>7</v>
      </c>
      <c r="X190" s="1">
        <f t="shared" si="168"/>
        <v>7</v>
      </c>
      <c r="Y190" s="1">
        <f t="shared" si="168"/>
        <v>7</v>
      </c>
      <c r="Z190" s="1">
        <f t="shared" si="168"/>
        <v>7</v>
      </c>
      <c r="AA190" s="1">
        <f t="shared" si="168"/>
        <v>7</v>
      </c>
      <c r="AB190" s="1"/>
      <c r="AC190" s="1"/>
      <c r="AD190" s="1"/>
    </row>
    <row r="191" ht="15.75" customHeight="1">
      <c r="A191" s="1"/>
      <c r="B191" s="1"/>
      <c r="C191" s="1"/>
      <c r="D191" s="1">
        <f t="shared" si="167"/>
        <v>30</v>
      </c>
      <c r="E191" s="1">
        <v>4.0</v>
      </c>
      <c r="F191" s="1" t="str">
        <f t="shared" ref="F191:AA191" si="169">IF(F30="","",IF(F83=$C83,E191,F30))</f>
        <v/>
      </c>
      <c r="G191" s="1" t="str">
        <f t="shared" si="169"/>
        <v/>
      </c>
      <c r="H191" s="1" t="str">
        <f t="shared" si="169"/>
        <v/>
      </c>
      <c r="I191" s="1" t="str">
        <f t="shared" si="169"/>
        <v/>
      </c>
      <c r="J191" s="1" t="str">
        <f t="shared" si="169"/>
        <v/>
      </c>
      <c r="K191" s="1">
        <f t="shared" si="169"/>
        <v>1</v>
      </c>
      <c r="L191" s="1">
        <f t="shared" si="169"/>
        <v>2</v>
      </c>
      <c r="M191" s="1">
        <f t="shared" si="169"/>
        <v>3</v>
      </c>
      <c r="N191" s="1">
        <f t="shared" si="169"/>
        <v>4</v>
      </c>
      <c r="O191" s="1">
        <f t="shared" si="169"/>
        <v>5</v>
      </c>
      <c r="P191" s="1">
        <f t="shared" si="169"/>
        <v>6</v>
      </c>
      <c r="Q191" s="1">
        <f t="shared" si="169"/>
        <v>7</v>
      </c>
      <c r="R191" s="1">
        <f t="shared" si="169"/>
        <v>7</v>
      </c>
      <c r="S191" s="1">
        <f t="shared" si="169"/>
        <v>7</v>
      </c>
      <c r="T191" s="1">
        <f t="shared" si="169"/>
        <v>7</v>
      </c>
      <c r="U191" s="1">
        <f t="shared" si="169"/>
        <v>7</v>
      </c>
      <c r="V191" s="1">
        <f t="shared" si="169"/>
        <v>7</v>
      </c>
      <c r="W191" s="1">
        <f t="shared" si="169"/>
        <v>7</v>
      </c>
      <c r="X191" s="1">
        <f t="shared" si="169"/>
        <v>7</v>
      </c>
      <c r="Y191" s="1">
        <f t="shared" si="169"/>
        <v>7</v>
      </c>
      <c r="Z191" s="1">
        <f t="shared" si="169"/>
        <v>7</v>
      </c>
      <c r="AA191" s="1">
        <f t="shared" si="169"/>
        <v>7</v>
      </c>
      <c r="AB191" s="1"/>
      <c r="AC191" s="1"/>
      <c r="AD191" s="1"/>
    </row>
    <row r="192" ht="15.75" customHeight="1">
      <c r="A192" s="1"/>
      <c r="B192" s="1"/>
      <c r="C192" s="1"/>
      <c r="D192" s="1">
        <f t="shared" si="167"/>
        <v>30</v>
      </c>
      <c r="E192" s="1">
        <v>5.0</v>
      </c>
      <c r="F192" s="1" t="str">
        <f t="shared" ref="F192:AA192" si="170">IF(F31="","",IF(F84=$C84,E192,F31))</f>
        <v/>
      </c>
      <c r="G192" s="1" t="str">
        <f t="shared" si="170"/>
        <v/>
      </c>
      <c r="H192" s="1" t="str">
        <f t="shared" si="170"/>
        <v/>
      </c>
      <c r="I192" s="1" t="str">
        <f t="shared" si="170"/>
        <v/>
      </c>
      <c r="J192" s="1" t="str">
        <f t="shared" si="170"/>
        <v/>
      </c>
      <c r="K192" s="1" t="str">
        <f t="shared" si="170"/>
        <v/>
      </c>
      <c r="L192" s="1">
        <f t="shared" si="170"/>
        <v>1</v>
      </c>
      <c r="M192" s="1">
        <f t="shared" si="170"/>
        <v>2</v>
      </c>
      <c r="N192" s="1">
        <f t="shared" si="170"/>
        <v>3</v>
      </c>
      <c r="O192" s="1">
        <f t="shared" si="170"/>
        <v>4</v>
      </c>
      <c r="P192" s="1">
        <f t="shared" si="170"/>
        <v>5</v>
      </c>
      <c r="Q192" s="1">
        <f t="shared" si="170"/>
        <v>6</v>
      </c>
      <c r="R192" s="1">
        <f t="shared" si="170"/>
        <v>7</v>
      </c>
      <c r="S192" s="1">
        <f t="shared" si="170"/>
        <v>7</v>
      </c>
      <c r="T192" s="1">
        <f t="shared" si="170"/>
        <v>7</v>
      </c>
      <c r="U192" s="1">
        <f t="shared" si="170"/>
        <v>7</v>
      </c>
      <c r="V192" s="1">
        <f t="shared" si="170"/>
        <v>7</v>
      </c>
      <c r="W192" s="1">
        <f t="shared" si="170"/>
        <v>7</v>
      </c>
      <c r="X192" s="1">
        <f t="shared" si="170"/>
        <v>7</v>
      </c>
      <c r="Y192" s="1">
        <f t="shared" si="170"/>
        <v>7</v>
      </c>
      <c r="Z192" s="1">
        <f t="shared" si="170"/>
        <v>7</v>
      </c>
      <c r="AA192" s="1">
        <f t="shared" si="170"/>
        <v>7</v>
      </c>
      <c r="AB192" s="1"/>
      <c r="AC192" s="1"/>
      <c r="AD192" s="1"/>
    </row>
    <row r="193" ht="15.75" customHeight="1">
      <c r="A193" s="1"/>
      <c r="B193" s="1"/>
      <c r="C193" s="1"/>
      <c r="D193" s="1">
        <f t="shared" si="167"/>
        <v>30</v>
      </c>
      <c r="E193" s="1">
        <v>6.0</v>
      </c>
      <c r="F193" s="1" t="str">
        <f t="shared" ref="F193:AA193" si="171">IF(F32="","",IF(F85=$C85,E193,F32))</f>
        <v/>
      </c>
      <c r="G193" s="1" t="str">
        <f t="shared" si="171"/>
        <v/>
      </c>
      <c r="H193" s="1" t="str">
        <f t="shared" si="171"/>
        <v/>
      </c>
      <c r="I193" s="1" t="str">
        <f t="shared" si="171"/>
        <v/>
      </c>
      <c r="J193" s="1" t="str">
        <f t="shared" si="171"/>
        <v/>
      </c>
      <c r="K193" s="1" t="str">
        <f t="shared" si="171"/>
        <v/>
      </c>
      <c r="L193" s="1">
        <f t="shared" si="171"/>
        <v>1</v>
      </c>
      <c r="M193" s="1">
        <f t="shared" si="171"/>
        <v>2</v>
      </c>
      <c r="N193" s="1">
        <f t="shared" si="171"/>
        <v>3</v>
      </c>
      <c r="O193" s="1">
        <f t="shared" si="171"/>
        <v>4</v>
      </c>
      <c r="P193" s="1">
        <f t="shared" si="171"/>
        <v>5</v>
      </c>
      <c r="Q193" s="1">
        <f t="shared" si="171"/>
        <v>6</v>
      </c>
      <c r="R193" s="1">
        <f t="shared" si="171"/>
        <v>7</v>
      </c>
      <c r="S193" s="1">
        <f t="shared" si="171"/>
        <v>7</v>
      </c>
      <c r="T193" s="1">
        <f t="shared" si="171"/>
        <v>7</v>
      </c>
      <c r="U193" s="1">
        <f t="shared" si="171"/>
        <v>7</v>
      </c>
      <c r="V193" s="1">
        <f t="shared" si="171"/>
        <v>7</v>
      </c>
      <c r="W193" s="1">
        <f t="shared" si="171"/>
        <v>7</v>
      </c>
      <c r="X193" s="1">
        <f t="shared" si="171"/>
        <v>7</v>
      </c>
      <c r="Y193" s="1">
        <f t="shared" si="171"/>
        <v>7</v>
      </c>
      <c r="Z193" s="1">
        <f t="shared" si="171"/>
        <v>7</v>
      </c>
      <c r="AA193" s="1">
        <f t="shared" si="171"/>
        <v>7</v>
      </c>
      <c r="AB193" s="1"/>
      <c r="AC193" s="1"/>
      <c r="AD193" s="1"/>
    </row>
    <row r="194" ht="15.75" customHeight="1">
      <c r="A194" s="1"/>
      <c r="B194" s="1"/>
      <c r="C194" s="1"/>
      <c r="D194" s="1">
        <f t="shared" si="167"/>
        <v>30</v>
      </c>
      <c r="E194" s="1">
        <v>7.0</v>
      </c>
      <c r="F194" s="1" t="str">
        <f t="shared" ref="F194:AA194" si="172">IF(F33="","",IF(F86=$C86,E194,F33))</f>
        <v/>
      </c>
      <c r="G194" s="1" t="str">
        <f t="shared" si="172"/>
        <v/>
      </c>
      <c r="H194" s="1" t="str">
        <f t="shared" si="172"/>
        <v/>
      </c>
      <c r="I194" s="1" t="str">
        <f t="shared" si="172"/>
        <v/>
      </c>
      <c r="J194" s="1" t="str">
        <f t="shared" si="172"/>
        <v/>
      </c>
      <c r="K194" s="1" t="str">
        <f t="shared" si="172"/>
        <v/>
      </c>
      <c r="L194" s="1">
        <f t="shared" si="172"/>
        <v>1</v>
      </c>
      <c r="M194" s="1">
        <f t="shared" si="172"/>
        <v>2</v>
      </c>
      <c r="N194" s="1">
        <f t="shared" si="172"/>
        <v>3</v>
      </c>
      <c r="O194" s="1">
        <f t="shared" si="172"/>
        <v>4</v>
      </c>
      <c r="P194" s="1">
        <f t="shared" si="172"/>
        <v>5</v>
      </c>
      <c r="Q194" s="1">
        <f t="shared" si="172"/>
        <v>6</v>
      </c>
      <c r="R194" s="1">
        <f t="shared" si="172"/>
        <v>7</v>
      </c>
      <c r="S194" s="1">
        <f t="shared" si="172"/>
        <v>7</v>
      </c>
      <c r="T194" s="1">
        <f t="shared" si="172"/>
        <v>7</v>
      </c>
      <c r="U194" s="1">
        <f t="shared" si="172"/>
        <v>7</v>
      </c>
      <c r="V194" s="1">
        <f t="shared" si="172"/>
        <v>7</v>
      </c>
      <c r="W194" s="1">
        <f t="shared" si="172"/>
        <v>7</v>
      </c>
      <c r="X194" s="1">
        <f t="shared" si="172"/>
        <v>7</v>
      </c>
      <c r="Y194" s="1">
        <f t="shared" si="172"/>
        <v>7</v>
      </c>
      <c r="Z194" s="1">
        <f t="shared" si="172"/>
        <v>7</v>
      </c>
      <c r="AA194" s="1">
        <f t="shared" si="172"/>
        <v>7</v>
      </c>
      <c r="AB194" s="1"/>
      <c r="AC194" s="1"/>
      <c r="AD194" s="1"/>
    </row>
    <row r="195" ht="15.75" customHeight="1">
      <c r="A195" s="1"/>
      <c r="B195" s="1"/>
      <c r="C195" s="1"/>
      <c r="D195" s="1">
        <f t="shared" si="167"/>
        <v>30</v>
      </c>
      <c r="E195" s="1">
        <v>8.0</v>
      </c>
      <c r="F195" s="1" t="str">
        <f t="shared" ref="F195:AA195" si="173">IF(F34="","",IF(F87=$C87,E195,F34))</f>
        <v/>
      </c>
      <c r="G195" s="1" t="str">
        <f t="shared" si="173"/>
        <v/>
      </c>
      <c r="H195" s="1" t="str">
        <f t="shared" si="173"/>
        <v/>
      </c>
      <c r="I195" s="1" t="str">
        <f t="shared" si="173"/>
        <v/>
      </c>
      <c r="J195" s="1" t="str">
        <f t="shared" si="173"/>
        <v/>
      </c>
      <c r="K195" s="1" t="str">
        <f t="shared" si="173"/>
        <v/>
      </c>
      <c r="L195" s="1" t="str">
        <f t="shared" si="173"/>
        <v/>
      </c>
      <c r="M195" s="1">
        <f t="shared" si="173"/>
        <v>1</v>
      </c>
      <c r="N195" s="1">
        <f t="shared" si="173"/>
        <v>2</v>
      </c>
      <c r="O195" s="1">
        <f t="shared" si="173"/>
        <v>3</v>
      </c>
      <c r="P195" s="1">
        <f t="shared" si="173"/>
        <v>4</v>
      </c>
      <c r="Q195" s="1">
        <f t="shared" si="173"/>
        <v>5</v>
      </c>
      <c r="R195" s="1">
        <f t="shared" si="173"/>
        <v>6</v>
      </c>
      <c r="S195" s="1">
        <f t="shared" si="173"/>
        <v>7</v>
      </c>
      <c r="T195" s="1">
        <f t="shared" si="173"/>
        <v>7</v>
      </c>
      <c r="U195" s="1">
        <f t="shared" si="173"/>
        <v>7</v>
      </c>
      <c r="V195" s="1">
        <f t="shared" si="173"/>
        <v>7</v>
      </c>
      <c r="W195" s="1">
        <f t="shared" si="173"/>
        <v>7</v>
      </c>
      <c r="X195" s="1">
        <f t="shared" si="173"/>
        <v>7</v>
      </c>
      <c r="Y195" s="1">
        <f t="shared" si="173"/>
        <v>7</v>
      </c>
      <c r="Z195" s="1">
        <f t="shared" si="173"/>
        <v>7</v>
      </c>
      <c r="AA195" s="1">
        <f t="shared" si="173"/>
        <v>7</v>
      </c>
      <c r="AB195" s="1"/>
      <c r="AC195" s="1"/>
      <c r="AD195" s="1"/>
    </row>
    <row r="196" ht="15.75" customHeight="1">
      <c r="A196" s="1"/>
      <c r="B196" s="1"/>
      <c r="C196" s="1"/>
      <c r="D196" s="1">
        <f t="shared" si="167"/>
        <v>30</v>
      </c>
      <c r="E196" s="1">
        <v>9.0</v>
      </c>
      <c r="F196" s="1" t="str">
        <f t="shared" ref="F196:AA196" si="174">IF(F35="","",IF(F88=$C88,E196,F35))</f>
        <v/>
      </c>
      <c r="G196" s="1" t="str">
        <f t="shared" si="174"/>
        <v/>
      </c>
      <c r="H196" s="1" t="str">
        <f t="shared" si="174"/>
        <v/>
      </c>
      <c r="I196" s="1" t="str">
        <f t="shared" si="174"/>
        <v/>
      </c>
      <c r="J196" s="1" t="str">
        <f t="shared" si="174"/>
        <v/>
      </c>
      <c r="K196" s="1" t="str">
        <f t="shared" si="174"/>
        <v/>
      </c>
      <c r="L196" s="1" t="str">
        <f t="shared" si="174"/>
        <v/>
      </c>
      <c r="M196" s="1">
        <f t="shared" si="174"/>
        <v>1</v>
      </c>
      <c r="N196" s="1">
        <f t="shared" si="174"/>
        <v>2</v>
      </c>
      <c r="O196" s="1">
        <f t="shared" si="174"/>
        <v>3</v>
      </c>
      <c r="P196" s="1">
        <f t="shared" si="174"/>
        <v>4</v>
      </c>
      <c r="Q196" s="1">
        <f t="shared" si="174"/>
        <v>5</v>
      </c>
      <c r="R196" s="1">
        <f t="shared" si="174"/>
        <v>6</v>
      </c>
      <c r="S196" s="1">
        <f t="shared" si="174"/>
        <v>7</v>
      </c>
      <c r="T196" s="1">
        <f t="shared" si="174"/>
        <v>7</v>
      </c>
      <c r="U196" s="1">
        <f t="shared" si="174"/>
        <v>7</v>
      </c>
      <c r="V196" s="1">
        <f t="shared" si="174"/>
        <v>7</v>
      </c>
      <c r="W196" s="1">
        <f t="shared" si="174"/>
        <v>7</v>
      </c>
      <c r="X196" s="1">
        <f t="shared" si="174"/>
        <v>7</v>
      </c>
      <c r="Y196" s="1">
        <f t="shared" si="174"/>
        <v>7</v>
      </c>
      <c r="Z196" s="1">
        <f t="shared" si="174"/>
        <v>7</v>
      </c>
      <c r="AA196" s="1">
        <f t="shared" si="174"/>
        <v>7</v>
      </c>
      <c r="AB196" s="1"/>
      <c r="AC196" s="1"/>
      <c r="AD196" s="1"/>
    </row>
    <row r="197" ht="15.75" customHeight="1">
      <c r="A197" s="1"/>
      <c r="B197" s="1"/>
      <c r="C197" s="1"/>
      <c r="D197" s="1">
        <f t="shared" si="167"/>
        <v>30</v>
      </c>
      <c r="E197" s="1">
        <v>10.0</v>
      </c>
      <c r="F197" s="1" t="str">
        <f t="shared" ref="F197:AA197" si="175">IF(F36="","",IF(F89=$C89,E197,F36))</f>
        <v/>
      </c>
      <c r="G197" s="1" t="str">
        <f t="shared" si="175"/>
        <v/>
      </c>
      <c r="H197" s="1" t="str">
        <f t="shared" si="175"/>
        <v/>
      </c>
      <c r="I197" s="1" t="str">
        <f t="shared" si="175"/>
        <v/>
      </c>
      <c r="J197" s="1" t="str">
        <f t="shared" si="175"/>
        <v/>
      </c>
      <c r="K197" s="1" t="str">
        <f t="shared" si="175"/>
        <v/>
      </c>
      <c r="L197" s="1" t="str">
        <f t="shared" si="175"/>
        <v/>
      </c>
      <c r="M197" s="1">
        <f t="shared" si="175"/>
        <v>1</v>
      </c>
      <c r="N197" s="1">
        <f t="shared" si="175"/>
        <v>2</v>
      </c>
      <c r="O197" s="1">
        <f t="shared" si="175"/>
        <v>3</v>
      </c>
      <c r="P197" s="1">
        <f t="shared" si="175"/>
        <v>4</v>
      </c>
      <c r="Q197" s="1">
        <f t="shared" si="175"/>
        <v>5</v>
      </c>
      <c r="R197" s="1">
        <f t="shared" si="175"/>
        <v>6</v>
      </c>
      <c r="S197" s="1">
        <f t="shared" si="175"/>
        <v>7</v>
      </c>
      <c r="T197" s="1">
        <f t="shared" si="175"/>
        <v>7</v>
      </c>
      <c r="U197" s="1">
        <f t="shared" si="175"/>
        <v>7</v>
      </c>
      <c r="V197" s="1">
        <f t="shared" si="175"/>
        <v>7</v>
      </c>
      <c r="W197" s="1">
        <f t="shared" si="175"/>
        <v>7</v>
      </c>
      <c r="X197" s="1">
        <f t="shared" si="175"/>
        <v>7</v>
      </c>
      <c r="Y197" s="1">
        <f t="shared" si="175"/>
        <v>7</v>
      </c>
      <c r="Z197" s="1">
        <f t="shared" si="175"/>
        <v>7</v>
      </c>
      <c r="AA197" s="1">
        <f t="shared" si="175"/>
        <v>7</v>
      </c>
      <c r="AB197" s="1"/>
      <c r="AC197" s="1"/>
      <c r="AD197" s="1"/>
    </row>
    <row r="198" ht="15.75" customHeight="1">
      <c r="A198" s="1"/>
      <c r="B198" s="1"/>
      <c r="C198" s="1"/>
      <c r="D198" s="1">
        <f t="shared" si="167"/>
        <v>30</v>
      </c>
      <c r="E198" s="1">
        <v>11.0</v>
      </c>
      <c r="F198" s="1" t="str">
        <f t="shared" ref="F198:AA198" si="176">IF(F37="","",IF(F90=$C90,E198,F37))</f>
        <v/>
      </c>
      <c r="G198" s="1" t="str">
        <f t="shared" si="176"/>
        <v/>
      </c>
      <c r="H198" s="1" t="str">
        <f t="shared" si="176"/>
        <v/>
      </c>
      <c r="I198" s="1" t="str">
        <f t="shared" si="176"/>
        <v/>
      </c>
      <c r="J198" s="1" t="str">
        <f t="shared" si="176"/>
        <v/>
      </c>
      <c r="K198" s="1" t="str">
        <f t="shared" si="176"/>
        <v/>
      </c>
      <c r="L198" s="1" t="str">
        <f t="shared" si="176"/>
        <v/>
      </c>
      <c r="M198" s="1">
        <f t="shared" si="176"/>
        <v>1</v>
      </c>
      <c r="N198" s="1">
        <f t="shared" si="176"/>
        <v>2</v>
      </c>
      <c r="O198" s="1">
        <f t="shared" si="176"/>
        <v>3</v>
      </c>
      <c r="P198" s="1">
        <f t="shared" si="176"/>
        <v>4</v>
      </c>
      <c r="Q198" s="1">
        <f t="shared" si="176"/>
        <v>5</v>
      </c>
      <c r="R198" s="1">
        <f t="shared" si="176"/>
        <v>6</v>
      </c>
      <c r="S198" s="1">
        <f t="shared" si="176"/>
        <v>7</v>
      </c>
      <c r="T198" s="1">
        <f t="shared" si="176"/>
        <v>7</v>
      </c>
      <c r="U198" s="1">
        <f t="shared" si="176"/>
        <v>7</v>
      </c>
      <c r="V198" s="1">
        <f t="shared" si="176"/>
        <v>7</v>
      </c>
      <c r="W198" s="1">
        <f t="shared" si="176"/>
        <v>7</v>
      </c>
      <c r="X198" s="1">
        <f t="shared" si="176"/>
        <v>7</v>
      </c>
      <c r="Y198" s="1">
        <f t="shared" si="176"/>
        <v>7</v>
      </c>
      <c r="Z198" s="1">
        <f t="shared" si="176"/>
        <v>7</v>
      </c>
      <c r="AA198" s="1">
        <f t="shared" si="176"/>
        <v>7</v>
      </c>
      <c r="AB198" s="1"/>
      <c r="AC198" s="1"/>
      <c r="AD198" s="1"/>
    </row>
    <row r="199" ht="15.75" customHeight="1">
      <c r="A199" s="1"/>
      <c r="B199" s="1"/>
      <c r="C199" s="1"/>
      <c r="D199" s="1">
        <f t="shared" si="167"/>
        <v>30</v>
      </c>
      <c r="E199" s="1">
        <v>12.0</v>
      </c>
      <c r="F199" s="1" t="str">
        <f t="shared" ref="F199:AA199" si="177">IF(F38="","",IF(F91=$C91,E199,F38))</f>
        <v/>
      </c>
      <c r="G199" s="1" t="str">
        <f t="shared" si="177"/>
        <v/>
      </c>
      <c r="H199" s="1" t="str">
        <f t="shared" si="177"/>
        <v/>
      </c>
      <c r="I199" s="1" t="str">
        <f t="shared" si="177"/>
        <v/>
      </c>
      <c r="J199" s="1" t="str">
        <f t="shared" si="177"/>
        <v/>
      </c>
      <c r="K199" s="1" t="str">
        <f t="shared" si="177"/>
        <v/>
      </c>
      <c r="L199" s="1" t="str">
        <f t="shared" si="177"/>
        <v/>
      </c>
      <c r="M199" s="1">
        <f t="shared" si="177"/>
        <v>1</v>
      </c>
      <c r="N199" s="1">
        <f t="shared" si="177"/>
        <v>2</v>
      </c>
      <c r="O199" s="1">
        <f t="shared" si="177"/>
        <v>3</v>
      </c>
      <c r="P199" s="1">
        <f t="shared" si="177"/>
        <v>4</v>
      </c>
      <c r="Q199" s="1">
        <f t="shared" si="177"/>
        <v>5</v>
      </c>
      <c r="R199" s="1">
        <f t="shared" si="177"/>
        <v>6</v>
      </c>
      <c r="S199" s="1">
        <f t="shared" si="177"/>
        <v>7</v>
      </c>
      <c r="T199" s="1">
        <f t="shared" si="177"/>
        <v>7</v>
      </c>
      <c r="U199" s="1">
        <f t="shared" si="177"/>
        <v>7</v>
      </c>
      <c r="V199" s="1">
        <f t="shared" si="177"/>
        <v>7</v>
      </c>
      <c r="W199" s="1">
        <f t="shared" si="177"/>
        <v>7</v>
      </c>
      <c r="X199" s="1">
        <f t="shared" si="177"/>
        <v>7</v>
      </c>
      <c r="Y199" s="1">
        <f t="shared" si="177"/>
        <v>7</v>
      </c>
      <c r="Z199" s="1">
        <f t="shared" si="177"/>
        <v>7</v>
      </c>
      <c r="AA199" s="1">
        <f t="shared" si="177"/>
        <v>7</v>
      </c>
      <c r="AB199" s="1"/>
      <c r="AC199" s="1"/>
      <c r="AD199" s="1"/>
    </row>
    <row r="200" ht="15.75" customHeight="1">
      <c r="A200" s="1"/>
      <c r="B200" s="1"/>
      <c r="C200" s="1"/>
      <c r="D200" s="1">
        <f t="shared" si="167"/>
        <v>30</v>
      </c>
      <c r="E200" s="1">
        <v>13.0</v>
      </c>
      <c r="F200" s="1" t="str">
        <f t="shared" ref="F200:AA200" si="178">IF(F39="","",IF(F92=$C92,E200,F39))</f>
        <v/>
      </c>
      <c r="G200" s="1" t="str">
        <f t="shared" si="178"/>
        <v/>
      </c>
      <c r="H200" s="1" t="str">
        <f t="shared" si="178"/>
        <v/>
      </c>
      <c r="I200" s="1" t="str">
        <f t="shared" si="178"/>
        <v/>
      </c>
      <c r="J200" s="1" t="str">
        <f t="shared" si="178"/>
        <v/>
      </c>
      <c r="K200" s="1" t="str">
        <f t="shared" si="178"/>
        <v/>
      </c>
      <c r="L200" s="1" t="str">
        <f t="shared" si="178"/>
        <v/>
      </c>
      <c r="M200" s="1" t="str">
        <f t="shared" si="178"/>
        <v/>
      </c>
      <c r="N200" s="1">
        <f t="shared" si="178"/>
        <v>1</v>
      </c>
      <c r="O200" s="1">
        <f t="shared" si="178"/>
        <v>2</v>
      </c>
      <c r="P200" s="1">
        <f t="shared" si="178"/>
        <v>3</v>
      </c>
      <c r="Q200" s="1">
        <f t="shared" si="178"/>
        <v>4</v>
      </c>
      <c r="R200" s="1">
        <f t="shared" si="178"/>
        <v>5</v>
      </c>
      <c r="S200" s="1">
        <f t="shared" si="178"/>
        <v>6</v>
      </c>
      <c r="T200" s="1">
        <f t="shared" si="178"/>
        <v>7</v>
      </c>
      <c r="U200" s="1">
        <f t="shared" si="178"/>
        <v>7</v>
      </c>
      <c r="V200" s="1">
        <f t="shared" si="178"/>
        <v>7</v>
      </c>
      <c r="W200" s="1">
        <f t="shared" si="178"/>
        <v>7</v>
      </c>
      <c r="X200" s="1">
        <f t="shared" si="178"/>
        <v>7</v>
      </c>
      <c r="Y200" s="1">
        <f t="shared" si="178"/>
        <v>7</v>
      </c>
      <c r="Z200" s="1">
        <f t="shared" si="178"/>
        <v>7</v>
      </c>
      <c r="AA200" s="1">
        <f t="shared" si="178"/>
        <v>7</v>
      </c>
      <c r="AB200" s="1"/>
      <c r="AC200" s="1"/>
      <c r="AD200" s="1"/>
    </row>
    <row r="201" ht="15.75" customHeight="1">
      <c r="A201" s="1"/>
      <c r="B201" s="1"/>
      <c r="C201" s="1"/>
      <c r="D201" s="1">
        <f t="shared" si="167"/>
        <v>60</v>
      </c>
      <c r="E201" s="1">
        <v>14.0</v>
      </c>
      <c r="F201" s="1" t="str">
        <f t="shared" ref="F201:AA201" si="179">IF(F40="","",IF(F93=$C93,E201,F40))</f>
        <v/>
      </c>
      <c r="G201" s="1" t="str">
        <f t="shared" si="179"/>
        <v/>
      </c>
      <c r="H201" s="1" t="str">
        <f t="shared" si="179"/>
        <v/>
      </c>
      <c r="I201" s="1" t="str">
        <f t="shared" si="179"/>
        <v/>
      </c>
      <c r="J201" s="1" t="str">
        <f t="shared" si="179"/>
        <v/>
      </c>
      <c r="K201" s="1" t="str">
        <f t="shared" si="179"/>
        <v/>
      </c>
      <c r="L201" s="1" t="str">
        <f t="shared" si="179"/>
        <v/>
      </c>
      <c r="M201" s="1" t="str">
        <f t="shared" si="179"/>
        <v/>
      </c>
      <c r="N201" s="1">
        <f t="shared" si="179"/>
        <v>1</v>
      </c>
      <c r="O201" s="1">
        <f t="shared" si="179"/>
        <v>2</v>
      </c>
      <c r="P201" s="1">
        <f t="shared" si="179"/>
        <v>3</v>
      </c>
      <c r="Q201" s="1">
        <f t="shared" si="179"/>
        <v>4</v>
      </c>
      <c r="R201" s="1">
        <f t="shared" si="179"/>
        <v>5</v>
      </c>
      <c r="S201" s="1">
        <f t="shared" si="179"/>
        <v>6</v>
      </c>
      <c r="T201" s="1">
        <f t="shared" si="179"/>
        <v>7</v>
      </c>
      <c r="U201" s="1">
        <f t="shared" si="179"/>
        <v>8</v>
      </c>
      <c r="V201" s="1">
        <f t="shared" si="179"/>
        <v>9</v>
      </c>
      <c r="W201" s="1">
        <f t="shared" si="179"/>
        <v>9</v>
      </c>
      <c r="X201" s="1">
        <f t="shared" si="179"/>
        <v>9</v>
      </c>
      <c r="Y201" s="1">
        <f t="shared" si="179"/>
        <v>9</v>
      </c>
      <c r="Z201" s="1">
        <f t="shared" si="179"/>
        <v>9</v>
      </c>
      <c r="AA201" s="1">
        <f t="shared" si="179"/>
        <v>9</v>
      </c>
      <c r="AB201" s="1"/>
      <c r="AC201" s="1"/>
      <c r="AD201" s="1"/>
    </row>
    <row r="202" ht="15.75" customHeight="1">
      <c r="A202" s="1"/>
      <c r="B202" s="1"/>
      <c r="C202" s="1"/>
      <c r="D202" s="1">
        <f t="shared" si="167"/>
        <v>30</v>
      </c>
      <c r="E202" s="1">
        <v>15.0</v>
      </c>
      <c r="F202" s="1" t="str">
        <f t="shared" ref="F202:AA202" si="180">IF(F41="","",IF(F94=$C94,E202,F41))</f>
        <v/>
      </c>
      <c r="G202" s="1" t="str">
        <f t="shared" si="180"/>
        <v/>
      </c>
      <c r="H202" s="1" t="str">
        <f t="shared" si="180"/>
        <v/>
      </c>
      <c r="I202" s="1" t="str">
        <f t="shared" si="180"/>
        <v/>
      </c>
      <c r="J202" s="1" t="str">
        <f t="shared" si="180"/>
        <v/>
      </c>
      <c r="K202" s="1" t="str">
        <f t="shared" si="180"/>
        <v/>
      </c>
      <c r="L202" s="1" t="str">
        <f t="shared" si="180"/>
        <v/>
      </c>
      <c r="M202" s="1" t="str">
        <f t="shared" si="180"/>
        <v/>
      </c>
      <c r="N202" s="1">
        <f t="shared" si="180"/>
        <v>1</v>
      </c>
      <c r="O202" s="1">
        <f t="shared" si="180"/>
        <v>2</v>
      </c>
      <c r="P202" s="1">
        <f t="shared" si="180"/>
        <v>3</v>
      </c>
      <c r="Q202" s="1">
        <f t="shared" si="180"/>
        <v>4</v>
      </c>
      <c r="R202" s="1">
        <f t="shared" si="180"/>
        <v>5</v>
      </c>
      <c r="S202" s="1">
        <f t="shared" si="180"/>
        <v>6</v>
      </c>
      <c r="T202" s="1">
        <f t="shared" si="180"/>
        <v>7</v>
      </c>
      <c r="U202" s="1">
        <f t="shared" si="180"/>
        <v>7</v>
      </c>
      <c r="V202" s="1">
        <f t="shared" si="180"/>
        <v>7</v>
      </c>
      <c r="W202" s="1">
        <f t="shared" si="180"/>
        <v>7</v>
      </c>
      <c r="X202" s="1">
        <f t="shared" si="180"/>
        <v>7</v>
      </c>
      <c r="Y202" s="1">
        <f t="shared" si="180"/>
        <v>7</v>
      </c>
      <c r="Z202" s="1">
        <f t="shared" si="180"/>
        <v>7</v>
      </c>
      <c r="AA202" s="1">
        <f t="shared" si="180"/>
        <v>7</v>
      </c>
      <c r="AB202" s="1"/>
      <c r="AC202" s="1"/>
      <c r="AD202" s="1"/>
    </row>
    <row r="203" ht="15.75" customHeight="1">
      <c r="A203" s="1"/>
      <c r="B203" s="1"/>
      <c r="C203" s="1"/>
      <c r="D203" s="1">
        <f t="shared" si="167"/>
        <v>30</v>
      </c>
      <c r="E203" s="1">
        <v>16.0</v>
      </c>
      <c r="F203" s="1" t="str">
        <f t="shared" ref="F203:AA203" si="181">IF(F42="","",IF(F95=$C95,E203,F42))</f>
        <v/>
      </c>
      <c r="G203" s="1" t="str">
        <f t="shared" si="181"/>
        <v/>
      </c>
      <c r="H203" s="1" t="str">
        <f t="shared" si="181"/>
        <v/>
      </c>
      <c r="I203" s="1" t="str">
        <f t="shared" si="181"/>
        <v/>
      </c>
      <c r="J203" s="1" t="str">
        <f t="shared" si="181"/>
        <v/>
      </c>
      <c r="K203" s="1" t="str">
        <f t="shared" si="181"/>
        <v/>
      </c>
      <c r="L203" s="1" t="str">
        <f t="shared" si="181"/>
        <v/>
      </c>
      <c r="M203" s="1" t="str">
        <f t="shared" si="181"/>
        <v/>
      </c>
      <c r="N203" s="1">
        <f t="shared" si="181"/>
        <v>1</v>
      </c>
      <c r="O203" s="1">
        <f t="shared" si="181"/>
        <v>2</v>
      </c>
      <c r="P203" s="1">
        <f t="shared" si="181"/>
        <v>3</v>
      </c>
      <c r="Q203" s="1">
        <f t="shared" si="181"/>
        <v>4</v>
      </c>
      <c r="R203" s="1">
        <f t="shared" si="181"/>
        <v>5</v>
      </c>
      <c r="S203" s="1">
        <f t="shared" si="181"/>
        <v>6</v>
      </c>
      <c r="T203" s="1">
        <f t="shared" si="181"/>
        <v>7</v>
      </c>
      <c r="U203" s="1">
        <f t="shared" si="181"/>
        <v>7</v>
      </c>
      <c r="V203" s="1">
        <f t="shared" si="181"/>
        <v>7</v>
      </c>
      <c r="W203" s="1">
        <f t="shared" si="181"/>
        <v>7</v>
      </c>
      <c r="X203" s="1">
        <f t="shared" si="181"/>
        <v>7</v>
      </c>
      <c r="Y203" s="1">
        <f t="shared" si="181"/>
        <v>7</v>
      </c>
      <c r="Z203" s="1">
        <f t="shared" si="181"/>
        <v>7</v>
      </c>
      <c r="AA203" s="1">
        <f t="shared" si="181"/>
        <v>7</v>
      </c>
      <c r="AB203" s="1"/>
      <c r="AC203" s="1"/>
      <c r="AD203" s="1"/>
    </row>
    <row r="204" ht="15.75" customHeight="1">
      <c r="A204" s="1"/>
      <c r="B204" s="1"/>
      <c r="C204" s="1"/>
      <c r="D204" s="1">
        <f t="shared" si="167"/>
        <v>30</v>
      </c>
      <c r="E204" s="1">
        <v>17.0</v>
      </c>
      <c r="F204" s="1" t="str">
        <f t="shared" ref="F204:AA204" si="182">IF(F43="","",IF(F96=$C96,E204,F43))</f>
        <v/>
      </c>
      <c r="G204" s="1" t="str">
        <f t="shared" si="182"/>
        <v/>
      </c>
      <c r="H204" s="1" t="str">
        <f t="shared" si="182"/>
        <v/>
      </c>
      <c r="I204" s="1" t="str">
        <f t="shared" si="182"/>
        <v/>
      </c>
      <c r="J204" s="1" t="str">
        <f t="shared" si="182"/>
        <v/>
      </c>
      <c r="K204" s="1" t="str">
        <f t="shared" si="182"/>
        <v/>
      </c>
      <c r="L204" s="1" t="str">
        <f t="shared" si="182"/>
        <v/>
      </c>
      <c r="M204" s="1" t="str">
        <f t="shared" si="182"/>
        <v/>
      </c>
      <c r="N204" s="1">
        <f t="shared" si="182"/>
        <v>1</v>
      </c>
      <c r="O204" s="1">
        <f t="shared" si="182"/>
        <v>2</v>
      </c>
      <c r="P204" s="1">
        <f t="shared" si="182"/>
        <v>3</v>
      </c>
      <c r="Q204" s="1">
        <f t="shared" si="182"/>
        <v>4</v>
      </c>
      <c r="R204" s="1">
        <f t="shared" si="182"/>
        <v>5</v>
      </c>
      <c r="S204" s="1">
        <f t="shared" si="182"/>
        <v>6</v>
      </c>
      <c r="T204" s="1">
        <f t="shared" si="182"/>
        <v>7</v>
      </c>
      <c r="U204" s="1">
        <f t="shared" si="182"/>
        <v>7</v>
      </c>
      <c r="V204" s="1">
        <f t="shared" si="182"/>
        <v>7</v>
      </c>
      <c r="W204" s="1">
        <f t="shared" si="182"/>
        <v>7</v>
      </c>
      <c r="X204" s="1">
        <f t="shared" si="182"/>
        <v>7</v>
      </c>
      <c r="Y204" s="1">
        <f t="shared" si="182"/>
        <v>7</v>
      </c>
      <c r="Z204" s="1">
        <f t="shared" si="182"/>
        <v>7</v>
      </c>
      <c r="AA204" s="1">
        <f t="shared" si="182"/>
        <v>7</v>
      </c>
      <c r="AB204" s="1"/>
      <c r="AC204" s="1"/>
      <c r="AD204" s="1"/>
    </row>
    <row r="205" ht="15.75" customHeight="1">
      <c r="A205" s="1"/>
      <c r="B205" s="1"/>
      <c r="C205" s="1"/>
      <c r="D205" s="1">
        <f t="shared" si="167"/>
        <v>30</v>
      </c>
      <c r="E205" s="1">
        <v>18.0</v>
      </c>
      <c r="F205" s="1" t="str">
        <f t="shared" ref="F205:AA205" si="183">IF(F44="","",IF(F97=$C97,E205,F44))</f>
        <v/>
      </c>
      <c r="G205" s="1" t="str">
        <f t="shared" si="183"/>
        <v/>
      </c>
      <c r="H205" s="1" t="str">
        <f t="shared" si="183"/>
        <v/>
      </c>
      <c r="I205" s="1" t="str">
        <f t="shared" si="183"/>
        <v/>
      </c>
      <c r="J205" s="1" t="str">
        <f t="shared" si="183"/>
        <v/>
      </c>
      <c r="K205" s="1" t="str">
        <f t="shared" si="183"/>
        <v/>
      </c>
      <c r="L205" s="1" t="str">
        <f t="shared" si="183"/>
        <v/>
      </c>
      <c r="M205" s="1" t="str">
        <f t="shared" si="183"/>
        <v/>
      </c>
      <c r="N205" s="1">
        <f t="shared" si="183"/>
        <v>1</v>
      </c>
      <c r="O205" s="1">
        <f t="shared" si="183"/>
        <v>2</v>
      </c>
      <c r="P205" s="1">
        <f t="shared" si="183"/>
        <v>3</v>
      </c>
      <c r="Q205" s="1">
        <f t="shared" si="183"/>
        <v>4</v>
      </c>
      <c r="R205" s="1">
        <f t="shared" si="183"/>
        <v>5</v>
      </c>
      <c r="S205" s="1">
        <f t="shared" si="183"/>
        <v>6</v>
      </c>
      <c r="T205" s="1">
        <f t="shared" si="183"/>
        <v>7</v>
      </c>
      <c r="U205" s="1">
        <f t="shared" si="183"/>
        <v>7</v>
      </c>
      <c r="V205" s="1">
        <f t="shared" si="183"/>
        <v>7</v>
      </c>
      <c r="W205" s="1">
        <f t="shared" si="183"/>
        <v>7</v>
      </c>
      <c r="X205" s="1">
        <f t="shared" si="183"/>
        <v>7</v>
      </c>
      <c r="Y205" s="1">
        <f t="shared" si="183"/>
        <v>7</v>
      </c>
      <c r="Z205" s="1">
        <f t="shared" si="183"/>
        <v>7</v>
      </c>
      <c r="AA205" s="1">
        <f t="shared" si="183"/>
        <v>7</v>
      </c>
      <c r="AB205" s="1"/>
      <c r="AC205" s="1"/>
      <c r="AD205" s="1"/>
    </row>
    <row r="206" ht="15.75" customHeight="1">
      <c r="A206" s="1"/>
      <c r="B206" s="1"/>
      <c r="C206" s="1"/>
      <c r="D206" s="1">
        <f t="shared" si="167"/>
        <v>40</v>
      </c>
      <c r="E206" s="1">
        <v>19.0</v>
      </c>
      <c r="F206" s="1" t="str">
        <f t="shared" ref="F206:AA206" si="184">IF(F45="","",IF(F98=$C98,E206,F45))</f>
        <v/>
      </c>
      <c r="G206" s="1" t="str">
        <f t="shared" si="184"/>
        <v/>
      </c>
      <c r="H206" s="1" t="str">
        <f t="shared" si="184"/>
        <v/>
      </c>
      <c r="I206" s="1" t="str">
        <f t="shared" si="184"/>
        <v/>
      </c>
      <c r="J206" s="1" t="str">
        <f t="shared" si="184"/>
        <v/>
      </c>
      <c r="K206" s="1" t="str">
        <f t="shared" si="184"/>
        <v/>
      </c>
      <c r="L206" s="1" t="str">
        <f t="shared" si="184"/>
        <v/>
      </c>
      <c r="M206" s="1" t="str">
        <f t="shared" si="184"/>
        <v/>
      </c>
      <c r="N206" s="1">
        <f t="shared" si="184"/>
        <v>1</v>
      </c>
      <c r="O206" s="1">
        <f t="shared" si="184"/>
        <v>2</v>
      </c>
      <c r="P206" s="1">
        <f t="shared" si="184"/>
        <v>3</v>
      </c>
      <c r="Q206" s="1">
        <f t="shared" si="184"/>
        <v>4</v>
      </c>
      <c r="R206" s="1">
        <f t="shared" si="184"/>
        <v>5</v>
      </c>
      <c r="S206" s="1">
        <f t="shared" si="184"/>
        <v>6</v>
      </c>
      <c r="T206" s="1">
        <f t="shared" si="184"/>
        <v>7</v>
      </c>
      <c r="U206" s="1">
        <f t="shared" si="184"/>
        <v>8</v>
      </c>
      <c r="V206" s="1">
        <f t="shared" si="184"/>
        <v>8</v>
      </c>
      <c r="W206" s="1">
        <f t="shared" si="184"/>
        <v>8</v>
      </c>
      <c r="X206" s="1">
        <f t="shared" si="184"/>
        <v>8</v>
      </c>
      <c r="Y206" s="1">
        <f t="shared" si="184"/>
        <v>8</v>
      </c>
      <c r="Z206" s="1">
        <f t="shared" si="184"/>
        <v>8</v>
      </c>
      <c r="AA206" s="1">
        <f t="shared" si="184"/>
        <v>8</v>
      </c>
      <c r="AB206" s="1"/>
      <c r="AC206" s="1"/>
      <c r="AD206" s="1"/>
    </row>
    <row r="207" ht="15.75" customHeight="1">
      <c r="A207" s="1"/>
      <c r="B207" s="1"/>
      <c r="C207" s="1"/>
      <c r="D207" s="1">
        <f t="shared" si="167"/>
        <v>50</v>
      </c>
      <c r="E207" s="1">
        <v>20.0</v>
      </c>
      <c r="F207" s="1" t="str">
        <f t="shared" ref="F207:AA207" si="185">IF(F46="","",IF(F99=$C99,E207,F46))</f>
        <v/>
      </c>
      <c r="G207" s="1" t="str">
        <f t="shared" si="185"/>
        <v/>
      </c>
      <c r="H207" s="1" t="str">
        <f t="shared" si="185"/>
        <v/>
      </c>
      <c r="I207" s="1" t="str">
        <f t="shared" si="185"/>
        <v/>
      </c>
      <c r="J207" s="1" t="str">
        <f t="shared" si="185"/>
        <v/>
      </c>
      <c r="K207" s="1" t="str">
        <f t="shared" si="185"/>
        <v/>
      </c>
      <c r="L207" s="1" t="str">
        <f t="shared" si="185"/>
        <v/>
      </c>
      <c r="M207" s="1" t="str">
        <f t="shared" si="185"/>
        <v/>
      </c>
      <c r="N207" s="1">
        <f t="shared" si="185"/>
        <v>1</v>
      </c>
      <c r="O207" s="1">
        <f t="shared" si="185"/>
        <v>2</v>
      </c>
      <c r="P207" s="1">
        <f t="shared" si="185"/>
        <v>3</v>
      </c>
      <c r="Q207" s="1">
        <f t="shared" si="185"/>
        <v>4</v>
      </c>
      <c r="R207" s="1">
        <f t="shared" si="185"/>
        <v>5</v>
      </c>
      <c r="S207" s="1">
        <f t="shared" si="185"/>
        <v>6</v>
      </c>
      <c r="T207" s="1">
        <f t="shared" si="185"/>
        <v>7</v>
      </c>
      <c r="U207" s="1">
        <f t="shared" si="185"/>
        <v>8</v>
      </c>
      <c r="V207" s="1">
        <f t="shared" si="185"/>
        <v>8</v>
      </c>
      <c r="W207" s="1">
        <f t="shared" si="185"/>
        <v>8</v>
      </c>
      <c r="X207" s="1">
        <f t="shared" si="185"/>
        <v>8</v>
      </c>
      <c r="Y207" s="1">
        <f t="shared" si="185"/>
        <v>8</v>
      </c>
      <c r="Z207" s="1">
        <f t="shared" si="185"/>
        <v>8</v>
      </c>
      <c r="AA207" s="1">
        <f t="shared" si="185"/>
        <v>8</v>
      </c>
      <c r="AB207" s="1"/>
      <c r="AC207" s="1"/>
      <c r="AD207" s="1"/>
    </row>
    <row r="208" ht="15.75" customHeight="1">
      <c r="A208" s="1"/>
      <c r="B208" s="1"/>
      <c r="C208" s="1"/>
      <c r="D208" s="1">
        <f t="shared" si="167"/>
        <v>60</v>
      </c>
      <c r="E208" s="1">
        <v>21.0</v>
      </c>
      <c r="F208" s="1" t="str">
        <f t="shared" ref="F208:AA208" si="186">IF(F47="","",IF(F100=$C100,E208,F47))</f>
        <v/>
      </c>
      <c r="G208" s="1" t="str">
        <f t="shared" si="186"/>
        <v/>
      </c>
      <c r="H208" s="1" t="str">
        <f t="shared" si="186"/>
        <v/>
      </c>
      <c r="I208" s="1" t="str">
        <f t="shared" si="186"/>
        <v/>
      </c>
      <c r="J208" s="1" t="str">
        <f t="shared" si="186"/>
        <v/>
      </c>
      <c r="K208" s="1" t="str">
        <f t="shared" si="186"/>
        <v/>
      </c>
      <c r="L208" s="1" t="str">
        <f t="shared" si="186"/>
        <v/>
      </c>
      <c r="M208" s="1" t="str">
        <f t="shared" si="186"/>
        <v/>
      </c>
      <c r="N208" s="1" t="str">
        <f t="shared" si="186"/>
        <v/>
      </c>
      <c r="O208" s="1">
        <f t="shared" si="186"/>
        <v>1</v>
      </c>
      <c r="P208" s="1">
        <f t="shared" si="186"/>
        <v>2</v>
      </c>
      <c r="Q208" s="1">
        <f t="shared" si="186"/>
        <v>3</v>
      </c>
      <c r="R208" s="1">
        <f t="shared" si="186"/>
        <v>4</v>
      </c>
      <c r="S208" s="1">
        <f t="shared" si="186"/>
        <v>5</v>
      </c>
      <c r="T208" s="1">
        <f t="shared" si="186"/>
        <v>6</v>
      </c>
      <c r="U208" s="1">
        <f t="shared" si="186"/>
        <v>7</v>
      </c>
      <c r="V208" s="1">
        <f t="shared" si="186"/>
        <v>8</v>
      </c>
      <c r="W208" s="1">
        <f t="shared" si="186"/>
        <v>9</v>
      </c>
      <c r="X208" s="1">
        <f t="shared" si="186"/>
        <v>9</v>
      </c>
      <c r="Y208" s="1">
        <f t="shared" si="186"/>
        <v>9</v>
      </c>
      <c r="Z208" s="1">
        <f t="shared" si="186"/>
        <v>9</v>
      </c>
      <c r="AA208" s="1">
        <f t="shared" si="186"/>
        <v>9</v>
      </c>
      <c r="AB208" s="1"/>
      <c r="AC208" s="1"/>
      <c r="AD208" s="1"/>
    </row>
    <row r="209" ht="15.75" customHeight="1">
      <c r="A209" s="1"/>
      <c r="B209" s="1"/>
      <c r="C209" s="1"/>
      <c r="D209" s="1">
        <f t="shared" si="167"/>
        <v>50</v>
      </c>
      <c r="E209" s="1">
        <v>22.0</v>
      </c>
      <c r="F209" s="1" t="str">
        <f t="shared" ref="F209:AA209" si="187">IF(F48="","",IF(F101=$C101,E209,F48))</f>
        <v/>
      </c>
      <c r="G209" s="1" t="str">
        <f t="shared" si="187"/>
        <v/>
      </c>
      <c r="H209" s="1" t="str">
        <f t="shared" si="187"/>
        <v/>
      </c>
      <c r="I209" s="1" t="str">
        <f t="shared" si="187"/>
        <v/>
      </c>
      <c r="J209" s="1" t="str">
        <f t="shared" si="187"/>
        <v/>
      </c>
      <c r="K209" s="1" t="str">
        <f t="shared" si="187"/>
        <v/>
      </c>
      <c r="L209" s="1" t="str">
        <f t="shared" si="187"/>
        <v/>
      </c>
      <c r="M209" s="1" t="str">
        <f t="shared" si="187"/>
        <v/>
      </c>
      <c r="N209" s="1" t="str">
        <f t="shared" si="187"/>
        <v/>
      </c>
      <c r="O209" s="1">
        <f t="shared" si="187"/>
        <v>1</v>
      </c>
      <c r="P209" s="1">
        <f t="shared" si="187"/>
        <v>2</v>
      </c>
      <c r="Q209" s="1">
        <f t="shared" si="187"/>
        <v>3</v>
      </c>
      <c r="R209" s="1">
        <f t="shared" si="187"/>
        <v>4</v>
      </c>
      <c r="S209" s="1">
        <f t="shared" si="187"/>
        <v>5</v>
      </c>
      <c r="T209" s="1">
        <f t="shared" si="187"/>
        <v>6</v>
      </c>
      <c r="U209" s="1">
        <f t="shared" si="187"/>
        <v>7</v>
      </c>
      <c r="V209" s="1">
        <f t="shared" si="187"/>
        <v>8</v>
      </c>
      <c r="W209" s="1">
        <f t="shared" si="187"/>
        <v>8</v>
      </c>
      <c r="X209" s="1">
        <f t="shared" si="187"/>
        <v>8</v>
      </c>
      <c r="Y209" s="1">
        <f t="shared" si="187"/>
        <v>8</v>
      </c>
      <c r="Z209" s="1">
        <f t="shared" si="187"/>
        <v>8</v>
      </c>
      <c r="AA209" s="1">
        <f t="shared" si="187"/>
        <v>8</v>
      </c>
      <c r="AB209" s="1"/>
      <c r="AC209" s="1"/>
      <c r="AD209" s="1"/>
    </row>
    <row r="210" ht="15.75" customHeight="1">
      <c r="A210" s="1"/>
      <c r="B210" s="1"/>
      <c r="C210" s="1"/>
      <c r="D210" s="1">
        <f t="shared" si="167"/>
        <v>50</v>
      </c>
      <c r="E210" s="1">
        <v>23.0</v>
      </c>
      <c r="F210" s="1" t="str">
        <f t="shared" ref="F210:AA210" si="188">IF(F49="","",IF(F102=$C102,E210,F49))</f>
        <v/>
      </c>
      <c r="G210" s="1" t="str">
        <f t="shared" si="188"/>
        <v/>
      </c>
      <c r="H210" s="1" t="str">
        <f t="shared" si="188"/>
        <v/>
      </c>
      <c r="I210" s="1" t="str">
        <f t="shared" si="188"/>
        <v/>
      </c>
      <c r="J210" s="1" t="str">
        <f t="shared" si="188"/>
        <v/>
      </c>
      <c r="K210" s="1" t="str">
        <f t="shared" si="188"/>
        <v/>
      </c>
      <c r="L210" s="1" t="str">
        <f t="shared" si="188"/>
        <v/>
      </c>
      <c r="M210" s="1" t="str">
        <f t="shared" si="188"/>
        <v/>
      </c>
      <c r="N210" s="1" t="str">
        <f t="shared" si="188"/>
        <v/>
      </c>
      <c r="O210" s="1">
        <f t="shared" si="188"/>
        <v>1</v>
      </c>
      <c r="P210" s="1">
        <f t="shared" si="188"/>
        <v>2</v>
      </c>
      <c r="Q210" s="1">
        <f t="shared" si="188"/>
        <v>3</v>
      </c>
      <c r="R210" s="1">
        <f t="shared" si="188"/>
        <v>4</v>
      </c>
      <c r="S210" s="1">
        <f t="shared" si="188"/>
        <v>5</v>
      </c>
      <c r="T210" s="1">
        <f t="shared" si="188"/>
        <v>6</v>
      </c>
      <c r="U210" s="1">
        <f t="shared" si="188"/>
        <v>7</v>
      </c>
      <c r="V210" s="1">
        <f t="shared" si="188"/>
        <v>8</v>
      </c>
      <c r="W210" s="1">
        <f t="shared" si="188"/>
        <v>8</v>
      </c>
      <c r="X210" s="1">
        <f t="shared" si="188"/>
        <v>8</v>
      </c>
      <c r="Y210" s="1">
        <f t="shared" si="188"/>
        <v>8</v>
      </c>
      <c r="Z210" s="1">
        <f t="shared" si="188"/>
        <v>8</v>
      </c>
      <c r="AA210" s="1">
        <f t="shared" si="188"/>
        <v>8</v>
      </c>
      <c r="AB210" s="1"/>
      <c r="AC210" s="1"/>
      <c r="AD210" s="1"/>
    </row>
    <row r="211" ht="15.75" customHeight="1">
      <c r="A211" s="1"/>
      <c r="B211" s="1"/>
      <c r="C211" s="1"/>
      <c r="D211" s="1">
        <f t="shared" si="167"/>
        <v>50</v>
      </c>
      <c r="E211" s="1">
        <v>24.0</v>
      </c>
      <c r="F211" s="1" t="str">
        <f t="shared" ref="F211:AA211" si="189">IF(F50="","",IF(F103=$C103,E211,F50))</f>
        <v/>
      </c>
      <c r="G211" s="1" t="str">
        <f t="shared" si="189"/>
        <v/>
      </c>
      <c r="H211" s="1" t="str">
        <f t="shared" si="189"/>
        <v/>
      </c>
      <c r="I211" s="1" t="str">
        <f t="shared" si="189"/>
        <v/>
      </c>
      <c r="J211" s="1" t="str">
        <f t="shared" si="189"/>
        <v/>
      </c>
      <c r="K211" s="1" t="str">
        <f t="shared" si="189"/>
        <v/>
      </c>
      <c r="L211" s="1" t="str">
        <f t="shared" si="189"/>
        <v/>
      </c>
      <c r="M211" s="1" t="str">
        <f t="shared" si="189"/>
        <v/>
      </c>
      <c r="N211" s="1" t="str">
        <f t="shared" si="189"/>
        <v/>
      </c>
      <c r="O211" s="1">
        <f t="shared" si="189"/>
        <v>1</v>
      </c>
      <c r="P211" s="1">
        <f t="shared" si="189"/>
        <v>2</v>
      </c>
      <c r="Q211" s="1">
        <f t="shared" si="189"/>
        <v>3</v>
      </c>
      <c r="R211" s="1">
        <f t="shared" si="189"/>
        <v>4</v>
      </c>
      <c r="S211" s="1">
        <f t="shared" si="189"/>
        <v>5</v>
      </c>
      <c r="T211" s="1">
        <f t="shared" si="189"/>
        <v>6</v>
      </c>
      <c r="U211" s="1">
        <f t="shared" si="189"/>
        <v>7</v>
      </c>
      <c r="V211" s="1">
        <f t="shared" si="189"/>
        <v>8</v>
      </c>
      <c r="W211" s="1">
        <f t="shared" si="189"/>
        <v>8</v>
      </c>
      <c r="X211" s="1">
        <f t="shared" si="189"/>
        <v>8</v>
      </c>
      <c r="Y211" s="1">
        <f t="shared" si="189"/>
        <v>8</v>
      </c>
      <c r="Z211" s="1">
        <f t="shared" si="189"/>
        <v>8</v>
      </c>
      <c r="AA211" s="1">
        <f t="shared" si="189"/>
        <v>8</v>
      </c>
      <c r="AB211" s="1"/>
      <c r="AC211" s="1"/>
      <c r="AD211" s="1"/>
    </row>
    <row r="212" ht="15.75" customHeight="1">
      <c r="A212" s="1"/>
      <c r="B212" s="1"/>
      <c r="C212" s="1"/>
      <c r="D212" s="1">
        <f t="shared" si="167"/>
        <v>30</v>
      </c>
      <c r="E212" s="1">
        <v>25.0</v>
      </c>
      <c r="F212" s="1" t="str">
        <f t="shared" ref="F212:AA212" si="190">IF(F51="","",IF(F104=$C104,E212,F51))</f>
        <v/>
      </c>
      <c r="G212" s="1" t="str">
        <f t="shared" si="190"/>
        <v/>
      </c>
      <c r="H212" s="1" t="str">
        <f t="shared" si="190"/>
        <v/>
      </c>
      <c r="I212" s="1" t="str">
        <f t="shared" si="190"/>
        <v/>
      </c>
      <c r="J212" s="1" t="str">
        <f t="shared" si="190"/>
        <v/>
      </c>
      <c r="K212" s="1" t="str">
        <f t="shared" si="190"/>
        <v/>
      </c>
      <c r="L212" s="1" t="str">
        <f t="shared" si="190"/>
        <v/>
      </c>
      <c r="M212" s="1" t="str">
        <f t="shared" si="190"/>
        <v/>
      </c>
      <c r="N212" s="1" t="str">
        <f t="shared" si="190"/>
        <v/>
      </c>
      <c r="O212" s="1">
        <f t="shared" si="190"/>
        <v>1</v>
      </c>
      <c r="P212" s="1">
        <f t="shared" si="190"/>
        <v>2</v>
      </c>
      <c r="Q212" s="1">
        <f t="shared" si="190"/>
        <v>3</v>
      </c>
      <c r="R212" s="1">
        <f t="shared" si="190"/>
        <v>4</v>
      </c>
      <c r="S212" s="1">
        <f t="shared" si="190"/>
        <v>5</v>
      </c>
      <c r="T212" s="1">
        <f t="shared" si="190"/>
        <v>6</v>
      </c>
      <c r="U212" s="1">
        <f t="shared" si="190"/>
        <v>7</v>
      </c>
      <c r="V212" s="1">
        <f t="shared" si="190"/>
        <v>7</v>
      </c>
      <c r="W212" s="1">
        <f t="shared" si="190"/>
        <v>7</v>
      </c>
      <c r="X212" s="1">
        <f t="shared" si="190"/>
        <v>7</v>
      </c>
      <c r="Y212" s="1">
        <f t="shared" si="190"/>
        <v>7</v>
      </c>
      <c r="Z212" s="1">
        <f t="shared" si="190"/>
        <v>7</v>
      </c>
      <c r="AA212" s="1">
        <f t="shared" si="190"/>
        <v>7</v>
      </c>
      <c r="AB212" s="1"/>
      <c r="AC212" s="1"/>
      <c r="AD212" s="1"/>
    </row>
    <row r="213" ht="15.75" customHeight="1">
      <c r="A213" s="1"/>
      <c r="B213" s="1"/>
      <c r="C213" s="1"/>
      <c r="D213" s="1">
        <f t="shared" si="167"/>
        <v>30</v>
      </c>
      <c r="E213" s="1">
        <v>26.0</v>
      </c>
      <c r="F213" s="1" t="str">
        <f t="shared" ref="F213:AA213" si="191">IF(F52="","",IF(F105=$C105,E213,F52))</f>
        <v/>
      </c>
      <c r="G213" s="1" t="str">
        <f t="shared" si="191"/>
        <v/>
      </c>
      <c r="H213" s="1" t="str">
        <f t="shared" si="191"/>
        <v/>
      </c>
      <c r="I213" s="1" t="str">
        <f t="shared" si="191"/>
        <v/>
      </c>
      <c r="J213" s="1" t="str">
        <f t="shared" si="191"/>
        <v/>
      </c>
      <c r="K213" s="1" t="str">
        <f t="shared" si="191"/>
        <v/>
      </c>
      <c r="L213" s="1" t="str">
        <f t="shared" si="191"/>
        <v/>
      </c>
      <c r="M213" s="1" t="str">
        <f t="shared" si="191"/>
        <v/>
      </c>
      <c r="N213" s="1" t="str">
        <f t="shared" si="191"/>
        <v/>
      </c>
      <c r="O213" s="1">
        <f t="shared" si="191"/>
        <v>1</v>
      </c>
      <c r="P213" s="1">
        <f t="shared" si="191"/>
        <v>2</v>
      </c>
      <c r="Q213" s="1">
        <f t="shared" si="191"/>
        <v>3</v>
      </c>
      <c r="R213" s="1">
        <f t="shared" si="191"/>
        <v>4</v>
      </c>
      <c r="S213" s="1">
        <f t="shared" si="191"/>
        <v>5</v>
      </c>
      <c r="T213" s="1">
        <f t="shared" si="191"/>
        <v>6</v>
      </c>
      <c r="U213" s="1">
        <f t="shared" si="191"/>
        <v>7</v>
      </c>
      <c r="V213" s="1">
        <f t="shared" si="191"/>
        <v>7</v>
      </c>
      <c r="W213" s="1">
        <f t="shared" si="191"/>
        <v>7</v>
      </c>
      <c r="X213" s="1">
        <f t="shared" si="191"/>
        <v>7</v>
      </c>
      <c r="Y213" s="1">
        <f t="shared" si="191"/>
        <v>7</v>
      </c>
      <c r="Z213" s="1">
        <f t="shared" si="191"/>
        <v>7</v>
      </c>
      <c r="AA213" s="1">
        <f t="shared" si="191"/>
        <v>7</v>
      </c>
      <c r="AB213" s="1"/>
      <c r="AC213" s="1"/>
      <c r="AD213" s="1"/>
    </row>
    <row r="214" ht="15.75" customHeight="1">
      <c r="A214" s="1"/>
      <c r="B214" s="1"/>
      <c r="C214" s="1"/>
      <c r="D214" s="1">
        <f t="shared" si="167"/>
        <v>30</v>
      </c>
      <c r="E214" s="1">
        <v>27.0</v>
      </c>
      <c r="F214" s="1" t="str">
        <f t="shared" ref="F214:AA214" si="192">IF(F53="","",IF(F106=$C106,E214,F53))</f>
        <v/>
      </c>
      <c r="G214" s="1" t="str">
        <f t="shared" si="192"/>
        <v/>
      </c>
      <c r="H214" s="1" t="str">
        <f t="shared" si="192"/>
        <v/>
      </c>
      <c r="I214" s="1" t="str">
        <f t="shared" si="192"/>
        <v/>
      </c>
      <c r="J214" s="1" t="str">
        <f t="shared" si="192"/>
        <v/>
      </c>
      <c r="K214" s="1" t="str">
        <f t="shared" si="192"/>
        <v/>
      </c>
      <c r="L214" s="1" t="str">
        <f t="shared" si="192"/>
        <v/>
      </c>
      <c r="M214" s="1" t="str">
        <f t="shared" si="192"/>
        <v/>
      </c>
      <c r="N214" s="1" t="str">
        <f t="shared" si="192"/>
        <v/>
      </c>
      <c r="O214" s="1">
        <f t="shared" si="192"/>
        <v>1</v>
      </c>
      <c r="P214" s="1">
        <f t="shared" si="192"/>
        <v>2</v>
      </c>
      <c r="Q214" s="1">
        <f t="shared" si="192"/>
        <v>3</v>
      </c>
      <c r="R214" s="1">
        <f t="shared" si="192"/>
        <v>4</v>
      </c>
      <c r="S214" s="1">
        <f t="shared" si="192"/>
        <v>5</v>
      </c>
      <c r="T214" s="1">
        <f t="shared" si="192"/>
        <v>6</v>
      </c>
      <c r="U214" s="1">
        <f t="shared" si="192"/>
        <v>7</v>
      </c>
      <c r="V214" s="1">
        <f t="shared" si="192"/>
        <v>7</v>
      </c>
      <c r="W214" s="1">
        <f t="shared" si="192"/>
        <v>7</v>
      </c>
      <c r="X214" s="1">
        <f t="shared" si="192"/>
        <v>7</v>
      </c>
      <c r="Y214" s="1">
        <f t="shared" si="192"/>
        <v>7</v>
      </c>
      <c r="Z214" s="1">
        <f t="shared" si="192"/>
        <v>7</v>
      </c>
      <c r="AA214" s="1">
        <f t="shared" si="192"/>
        <v>7</v>
      </c>
      <c r="AB214" s="1"/>
      <c r="AC214" s="1"/>
      <c r="AD214" s="1"/>
    </row>
    <row r="215" ht="15.75" customHeight="1">
      <c r="A215" s="1"/>
      <c r="B215" s="1"/>
      <c r="C215" s="1"/>
      <c r="D215" s="1">
        <f t="shared" si="167"/>
        <v>60</v>
      </c>
      <c r="E215" s="1">
        <v>28.0</v>
      </c>
      <c r="F215" s="1" t="str">
        <f t="shared" ref="F215:AA215" si="193">IF(F54="","",IF(F107=$C107,E215,F54))</f>
        <v/>
      </c>
      <c r="G215" s="1" t="str">
        <f t="shared" si="193"/>
        <v/>
      </c>
      <c r="H215" s="1" t="str">
        <f t="shared" si="193"/>
        <v/>
      </c>
      <c r="I215" s="1" t="str">
        <f t="shared" si="193"/>
        <v/>
      </c>
      <c r="J215" s="1" t="str">
        <f t="shared" si="193"/>
        <v/>
      </c>
      <c r="K215" s="1" t="str">
        <f t="shared" si="193"/>
        <v/>
      </c>
      <c r="L215" s="1" t="str">
        <f t="shared" si="193"/>
        <v/>
      </c>
      <c r="M215" s="1" t="str">
        <f t="shared" si="193"/>
        <v/>
      </c>
      <c r="N215" s="1" t="str">
        <f t="shared" si="193"/>
        <v/>
      </c>
      <c r="O215" s="1">
        <f t="shared" si="193"/>
        <v>1</v>
      </c>
      <c r="P215" s="1">
        <f t="shared" si="193"/>
        <v>2</v>
      </c>
      <c r="Q215" s="1">
        <f t="shared" si="193"/>
        <v>3</v>
      </c>
      <c r="R215" s="1">
        <f t="shared" si="193"/>
        <v>4</v>
      </c>
      <c r="S215" s="1">
        <f t="shared" si="193"/>
        <v>5</v>
      </c>
      <c r="T215" s="1">
        <f t="shared" si="193"/>
        <v>6</v>
      </c>
      <c r="U215" s="1">
        <f t="shared" si="193"/>
        <v>7</v>
      </c>
      <c r="V215" s="1">
        <f t="shared" si="193"/>
        <v>8</v>
      </c>
      <c r="W215" s="1">
        <f t="shared" si="193"/>
        <v>9</v>
      </c>
      <c r="X215" s="1">
        <f t="shared" si="193"/>
        <v>9</v>
      </c>
      <c r="Y215" s="1">
        <f t="shared" si="193"/>
        <v>9</v>
      </c>
      <c r="Z215" s="1">
        <f t="shared" si="193"/>
        <v>9</v>
      </c>
      <c r="AA215" s="1">
        <f t="shared" si="193"/>
        <v>9</v>
      </c>
      <c r="AB215" s="1"/>
      <c r="AC215" s="1"/>
      <c r="AD215" s="1"/>
    </row>
    <row r="216" ht="15.75" customHeight="1">
      <c r="A216" s="1"/>
      <c r="B216" s="1"/>
      <c r="C216" s="1"/>
      <c r="D216" s="1">
        <f t="shared" si="167"/>
        <v>30</v>
      </c>
      <c r="E216" s="1">
        <v>29.0</v>
      </c>
      <c r="F216" s="1" t="str">
        <f t="shared" ref="F216:AA216" si="194">IF(F55="","",IF(F108=$C108,E216,F55))</f>
        <v/>
      </c>
      <c r="G216" s="1" t="str">
        <f t="shared" si="194"/>
        <v/>
      </c>
      <c r="H216" s="1" t="str">
        <f t="shared" si="194"/>
        <v/>
      </c>
      <c r="I216" s="1" t="str">
        <f t="shared" si="194"/>
        <v/>
      </c>
      <c r="J216" s="1" t="str">
        <f t="shared" si="194"/>
        <v/>
      </c>
      <c r="K216" s="1" t="str">
        <f t="shared" si="194"/>
        <v/>
      </c>
      <c r="L216" s="1" t="str">
        <f t="shared" si="194"/>
        <v/>
      </c>
      <c r="M216" s="1" t="str">
        <f t="shared" si="194"/>
        <v/>
      </c>
      <c r="N216" s="1" t="str">
        <f t="shared" si="194"/>
        <v/>
      </c>
      <c r="O216" s="1">
        <f t="shared" si="194"/>
        <v>1</v>
      </c>
      <c r="P216" s="1">
        <f t="shared" si="194"/>
        <v>2</v>
      </c>
      <c r="Q216" s="1">
        <f t="shared" si="194"/>
        <v>3</v>
      </c>
      <c r="R216" s="1">
        <f t="shared" si="194"/>
        <v>4</v>
      </c>
      <c r="S216" s="1">
        <f t="shared" si="194"/>
        <v>5</v>
      </c>
      <c r="T216" s="1">
        <f t="shared" si="194"/>
        <v>6</v>
      </c>
      <c r="U216" s="1">
        <f t="shared" si="194"/>
        <v>7</v>
      </c>
      <c r="V216" s="1">
        <f t="shared" si="194"/>
        <v>7</v>
      </c>
      <c r="W216" s="1">
        <f t="shared" si="194"/>
        <v>7</v>
      </c>
      <c r="X216" s="1">
        <f t="shared" si="194"/>
        <v>7</v>
      </c>
      <c r="Y216" s="1">
        <f t="shared" si="194"/>
        <v>7</v>
      </c>
      <c r="Z216" s="1">
        <f t="shared" si="194"/>
        <v>7</v>
      </c>
      <c r="AA216" s="1">
        <f t="shared" si="194"/>
        <v>7</v>
      </c>
      <c r="AB216" s="1"/>
      <c r="AC216" s="1"/>
      <c r="AD216" s="1"/>
    </row>
    <row r="217" ht="15.75" customHeight="1">
      <c r="A217" s="1"/>
      <c r="B217" s="1"/>
      <c r="C217" s="1"/>
      <c r="D217" s="1">
        <f t="shared" si="167"/>
        <v>80</v>
      </c>
      <c r="E217" s="1">
        <v>30.0</v>
      </c>
      <c r="F217" s="1" t="str">
        <f t="shared" ref="F217:AA217" si="195">IF(F56="","",IF(F109=$C109,E217,F56))</f>
        <v/>
      </c>
      <c r="G217" s="1" t="str">
        <f t="shared" si="195"/>
        <v/>
      </c>
      <c r="H217" s="1" t="str">
        <f t="shared" si="195"/>
        <v/>
      </c>
      <c r="I217" s="1" t="str">
        <f t="shared" si="195"/>
        <v/>
      </c>
      <c r="J217" s="1" t="str">
        <f t="shared" si="195"/>
        <v/>
      </c>
      <c r="K217" s="1" t="str">
        <f t="shared" si="195"/>
        <v/>
      </c>
      <c r="L217" s="1" t="str">
        <f t="shared" si="195"/>
        <v/>
      </c>
      <c r="M217" s="1" t="str">
        <f t="shared" si="195"/>
        <v/>
      </c>
      <c r="N217" s="1" t="str">
        <f t="shared" si="195"/>
        <v/>
      </c>
      <c r="O217" s="1">
        <f t="shared" si="195"/>
        <v>1</v>
      </c>
      <c r="P217" s="1">
        <f t="shared" si="195"/>
        <v>2</v>
      </c>
      <c r="Q217" s="1">
        <f t="shared" si="195"/>
        <v>3</v>
      </c>
      <c r="R217" s="1">
        <f t="shared" si="195"/>
        <v>4</v>
      </c>
      <c r="S217" s="1">
        <f t="shared" si="195"/>
        <v>5</v>
      </c>
      <c r="T217" s="1">
        <f t="shared" si="195"/>
        <v>6</v>
      </c>
      <c r="U217" s="1">
        <f t="shared" si="195"/>
        <v>7</v>
      </c>
      <c r="V217" s="1">
        <f t="shared" si="195"/>
        <v>8</v>
      </c>
      <c r="W217" s="1">
        <f t="shared" si="195"/>
        <v>9</v>
      </c>
      <c r="X217" s="1">
        <f t="shared" si="195"/>
        <v>9</v>
      </c>
      <c r="Y217" s="1">
        <f t="shared" si="195"/>
        <v>9</v>
      </c>
      <c r="Z217" s="1">
        <f t="shared" si="195"/>
        <v>9</v>
      </c>
      <c r="AA217" s="1">
        <f t="shared" si="195"/>
        <v>9</v>
      </c>
      <c r="AB217" s="1"/>
      <c r="AC217" s="1"/>
      <c r="AD217" s="1"/>
    </row>
    <row r="218" ht="15.75" customHeight="1">
      <c r="A218" s="1"/>
      <c r="B218" s="1"/>
      <c r="C218" s="1"/>
      <c r="D218" s="1">
        <f t="shared" si="167"/>
        <v>30</v>
      </c>
      <c r="E218" s="1">
        <v>31.0</v>
      </c>
      <c r="F218" s="1" t="str">
        <f t="shared" ref="F218:AA218" si="196">IF(F57="","",IF(F110=$C110,E218,F57))</f>
        <v/>
      </c>
      <c r="G218" s="1" t="str">
        <f t="shared" si="196"/>
        <v/>
      </c>
      <c r="H218" s="1" t="str">
        <f t="shared" si="196"/>
        <v/>
      </c>
      <c r="I218" s="1" t="str">
        <f t="shared" si="196"/>
        <v/>
      </c>
      <c r="J218" s="1" t="str">
        <f t="shared" si="196"/>
        <v/>
      </c>
      <c r="K218" s="1" t="str">
        <f t="shared" si="196"/>
        <v/>
      </c>
      <c r="L218" s="1" t="str">
        <f t="shared" si="196"/>
        <v/>
      </c>
      <c r="M218" s="1" t="str">
        <f t="shared" si="196"/>
        <v/>
      </c>
      <c r="N218" s="1" t="str">
        <f t="shared" si="196"/>
        <v/>
      </c>
      <c r="O218" s="1">
        <f t="shared" si="196"/>
        <v>1</v>
      </c>
      <c r="P218" s="1">
        <f t="shared" si="196"/>
        <v>2</v>
      </c>
      <c r="Q218" s="1">
        <f t="shared" si="196"/>
        <v>3</v>
      </c>
      <c r="R218" s="1">
        <f t="shared" si="196"/>
        <v>4</v>
      </c>
      <c r="S218" s="1">
        <f t="shared" si="196"/>
        <v>5</v>
      </c>
      <c r="T218" s="1">
        <f t="shared" si="196"/>
        <v>6</v>
      </c>
      <c r="U218" s="1">
        <f t="shared" si="196"/>
        <v>7</v>
      </c>
      <c r="V218" s="1">
        <f t="shared" si="196"/>
        <v>7</v>
      </c>
      <c r="W218" s="1">
        <f t="shared" si="196"/>
        <v>7</v>
      </c>
      <c r="X218" s="1">
        <f t="shared" si="196"/>
        <v>7</v>
      </c>
      <c r="Y218" s="1">
        <f t="shared" si="196"/>
        <v>7</v>
      </c>
      <c r="Z218" s="1">
        <f t="shared" si="196"/>
        <v>7</v>
      </c>
      <c r="AA218" s="1">
        <f t="shared" si="196"/>
        <v>7</v>
      </c>
      <c r="AB218" s="1"/>
      <c r="AC218" s="1"/>
      <c r="AD218" s="1"/>
    </row>
    <row r="219" ht="15.75" customHeight="1">
      <c r="A219" s="1"/>
      <c r="B219" s="1"/>
      <c r="C219" s="1"/>
      <c r="D219" s="1">
        <f t="shared" si="167"/>
        <v>80</v>
      </c>
      <c r="E219" s="1">
        <v>32.0</v>
      </c>
      <c r="F219" s="1" t="str">
        <f t="shared" ref="F219:AA219" si="197">IF(F58="","",IF(F111=$C111,E219,F58))</f>
        <v/>
      </c>
      <c r="G219" s="1" t="str">
        <f t="shared" si="197"/>
        <v/>
      </c>
      <c r="H219" s="1" t="str">
        <f t="shared" si="197"/>
        <v/>
      </c>
      <c r="I219" s="1" t="str">
        <f t="shared" si="197"/>
        <v/>
      </c>
      <c r="J219" s="1" t="str">
        <f t="shared" si="197"/>
        <v/>
      </c>
      <c r="K219" s="1" t="str">
        <f t="shared" si="197"/>
        <v/>
      </c>
      <c r="L219" s="1" t="str">
        <f t="shared" si="197"/>
        <v/>
      </c>
      <c r="M219" s="1" t="str">
        <f t="shared" si="197"/>
        <v/>
      </c>
      <c r="N219" s="1" t="str">
        <f t="shared" si="197"/>
        <v/>
      </c>
      <c r="O219" s="1">
        <f t="shared" si="197"/>
        <v>1</v>
      </c>
      <c r="P219" s="1">
        <f t="shared" si="197"/>
        <v>2</v>
      </c>
      <c r="Q219" s="1">
        <f t="shared" si="197"/>
        <v>3</v>
      </c>
      <c r="R219" s="1">
        <f t="shared" si="197"/>
        <v>4</v>
      </c>
      <c r="S219" s="1">
        <f t="shared" si="197"/>
        <v>5</v>
      </c>
      <c r="T219" s="1">
        <f t="shared" si="197"/>
        <v>6</v>
      </c>
      <c r="U219" s="1">
        <f t="shared" si="197"/>
        <v>7</v>
      </c>
      <c r="V219" s="1">
        <f t="shared" si="197"/>
        <v>8</v>
      </c>
      <c r="W219" s="1">
        <f t="shared" si="197"/>
        <v>9</v>
      </c>
      <c r="X219" s="1">
        <f t="shared" si="197"/>
        <v>9</v>
      </c>
      <c r="Y219" s="1">
        <f t="shared" si="197"/>
        <v>9</v>
      </c>
      <c r="Z219" s="1">
        <f t="shared" si="197"/>
        <v>9</v>
      </c>
      <c r="AA219" s="1">
        <f t="shared" si="197"/>
        <v>9</v>
      </c>
      <c r="AB219" s="1"/>
      <c r="AC219" s="1"/>
      <c r="AD219" s="1"/>
    </row>
    <row r="220" ht="15.75" customHeight="1">
      <c r="A220" s="1"/>
      <c r="B220" s="1"/>
      <c r="C220" s="1"/>
      <c r="D220" s="1">
        <f t="shared" si="167"/>
        <v>30</v>
      </c>
      <c r="E220" s="1">
        <v>33.0</v>
      </c>
      <c r="F220" s="1" t="str">
        <f t="shared" ref="F220:AA220" si="198">IF(F59="","",IF(F112=$C112,E220,F59))</f>
        <v/>
      </c>
      <c r="G220" s="1" t="str">
        <f t="shared" si="198"/>
        <v/>
      </c>
      <c r="H220" s="1" t="str">
        <f t="shared" si="198"/>
        <v/>
      </c>
      <c r="I220" s="1" t="str">
        <f t="shared" si="198"/>
        <v/>
      </c>
      <c r="J220" s="1" t="str">
        <f t="shared" si="198"/>
        <v/>
      </c>
      <c r="K220" s="1" t="str">
        <f t="shared" si="198"/>
        <v/>
      </c>
      <c r="L220" s="1" t="str">
        <f t="shared" si="198"/>
        <v/>
      </c>
      <c r="M220" s="1" t="str">
        <f t="shared" si="198"/>
        <v/>
      </c>
      <c r="N220" s="1" t="str">
        <f t="shared" si="198"/>
        <v/>
      </c>
      <c r="O220" s="1">
        <f t="shared" si="198"/>
        <v>1</v>
      </c>
      <c r="P220" s="1">
        <f t="shared" si="198"/>
        <v>2</v>
      </c>
      <c r="Q220" s="1">
        <f t="shared" si="198"/>
        <v>3</v>
      </c>
      <c r="R220" s="1">
        <f t="shared" si="198"/>
        <v>4</v>
      </c>
      <c r="S220" s="1">
        <f t="shared" si="198"/>
        <v>5</v>
      </c>
      <c r="T220" s="1">
        <f t="shared" si="198"/>
        <v>6</v>
      </c>
      <c r="U220" s="1">
        <f t="shared" si="198"/>
        <v>7</v>
      </c>
      <c r="V220" s="1">
        <f t="shared" si="198"/>
        <v>7</v>
      </c>
      <c r="W220" s="1">
        <f t="shared" si="198"/>
        <v>7</v>
      </c>
      <c r="X220" s="1">
        <f t="shared" si="198"/>
        <v>7</v>
      </c>
      <c r="Y220" s="1">
        <f t="shared" si="198"/>
        <v>7</v>
      </c>
      <c r="Z220" s="1">
        <f t="shared" si="198"/>
        <v>7</v>
      </c>
      <c r="AA220" s="1">
        <f t="shared" si="198"/>
        <v>7</v>
      </c>
      <c r="AB220" s="1"/>
      <c r="AC220" s="1"/>
      <c r="AD220" s="1"/>
    </row>
    <row r="221" ht="15.75" customHeight="1">
      <c r="A221" s="1"/>
      <c r="B221" s="1"/>
      <c r="C221" s="1"/>
      <c r="D221" s="1">
        <f t="shared" si="167"/>
        <v>60</v>
      </c>
      <c r="E221" s="1">
        <v>34.0</v>
      </c>
      <c r="F221" s="1" t="str">
        <f t="shared" ref="F221:AA221" si="199">IF(F60="","",IF(F113=$C113,E221,F60))</f>
        <v/>
      </c>
      <c r="G221" s="1" t="str">
        <f t="shared" si="199"/>
        <v/>
      </c>
      <c r="H221" s="1" t="str">
        <f t="shared" si="199"/>
        <v/>
      </c>
      <c r="I221" s="1" t="str">
        <f t="shared" si="199"/>
        <v/>
      </c>
      <c r="J221" s="1" t="str">
        <f t="shared" si="199"/>
        <v/>
      </c>
      <c r="K221" s="1" t="str">
        <f t="shared" si="199"/>
        <v/>
      </c>
      <c r="L221" s="1" t="str">
        <f t="shared" si="199"/>
        <v/>
      </c>
      <c r="M221" s="1" t="str">
        <f t="shared" si="199"/>
        <v/>
      </c>
      <c r="N221" s="1" t="str">
        <f t="shared" si="199"/>
        <v/>
      </c>
      <c r="O221" s="1" t="str">
        <f t="shared" si="199"/>
        <v/>
      </c>
      <c r="P221" s="1">
        <f t="shared" si="199"/>
        <v>1</v>
      </c>
      <c r="Q221" s="1">
        <f t="shared" si="199"/>
        <v>2</v>
      </c>
      <c r="R221" s="1">
        <f t="shared" si="199"/>
        <v>3</v>
      </c>
      <c r="S221" s="1">
        <f t="shared" si="199"/>
        <v>4</v>
      </c>
      <c r="T221" s="1">
        <f t="shared" si="199"/>
        <v>5</v>
      </c>
      <c r="U221" s="1">
        <f t="shared" si="199"/>
        <v>6</v>
      </c>
      <c r="V221" s="1">
        <f t="shared" si="199"/>
        <v>7</v>
      </c>
      <c r="W221" s="1">
        <f t="shared" si="199"/>
        <v>8</v>
      </c>
      <c r="X221" s="1">
        <f t="shared" si="199"/>
        <v>9</v>
      </c>
      <c r="Y221" s="1">
        <f t="shared" si="199"/>
        <v>9</v>
      </c>
      <c r="Z221" s="1">
        <f t="shared" si="199"/>
        <v>9</v>
      </c>
      <c r="AA221" s="1">
        <f t="shared" si="199"/>
        <v>9</v>
      </c>
      <c r="AB221" s="1"/>
      <c r="AC221" s="1"/>
      <c r="AD221" s="1"/>
    </row>
    <row r="222" ht="15.75" customHeight="1">
      <c r="A222" s="1"/>
      <c r="B222" s="1"/>
      <c r="C222" s="1"/>
      <c r="D222" s="1">
        <f t="shared" si="167"/>
        <v>40</v>
      </c>
      <c r="E222" s="1">
        <v>35.0</v>
      </c>
      <c r="F222" s="1" t="str">
        <f t="shared" ref="F222:AA222" si="200">IF(F61="","",IF(F114=$C114,E222,F61))</f>
        <v/>
      </c>
      <c r="G222" s="1" t="str">
        <f t="shared" si="200"/>
        <v/>
      </c>
      <c r="H222" s="1" t="str">
        <f t="shared" si="200"/>
        <v/>
      </c>
      <c r="I222" s="1" t="str">
        <f t="shared" si="200"/>
        <v/>
      </c>
      <c r="J222" s="1" t="str">
        <f t="shared" si="200"/>
        <v/>
      </c>
      <c r="K222" s="1" t="str">
        <f t="shared" si="200"/>
        <v/>
      </c>
      <c r="L222" s="1" t="str">
        <f t="shared" si="200"/>
        <v/>
      </c>
      <c r="M222" s="1" t="str">
        <f t="shared" si="200"/>
        <v/>
      </c>
      <c r="N222" s="1" t="str">
        <f t="shared" si="200"/>
        <v/>
      </c>
      <c r="O222" s="1" t="str">
        <f t="shared" si="200"/>
        <v/>
      </c>
      <c r="P222" s="1">
        <f t="shared" si="200"/>
        <v>1</v>
      </c>
      <c r="Q222" s="1">
        <f t="shared" si="200"/>
        <v>2</v>
      </c>
      <c r="R222" s="1">
        <f t="shared" si="200"/>
        <v>3</v>
      </c>
      <c r="S222" s="1">
        <f t="shared" si="200"/>
        <v>4</v>
      </c>
      <c r="T222" s="1">
        <f t="shared" si="200"/>
        <v>5</v>
      </c>
      <c r="U222" s="1">
        <f t="shared" si="200"/>
        <v>6</v>
      </c>
      <c r="V222" s="1">
        <f t="shared" si="200"/>
        <v>7</v>
      </c>
      <c r="W222" s="1">
        <f t="shared" si="200"/>
        <v>8</v>
      </c>
      <c r="X222" s="1">
        <f t="shared" si="200"/>
        <v>8</v>
      </c>
      <c r="Y222" s="1">
        <f t="shared" si="200"/>
        <v>8</v>
      </c>
      <c r="Z222" s="1">
        <f t="shared" si="200"/>
        <v>8</v>
      </c>
      <c r="AA222" s="1">
        <f t="shared" si="200"/>
        <v>8</v>
      </c>
      <c r="AB222" s="1"/>
      <c r="AC222" s="1"/>
      <c r="AD222" s="1"/>
    </row>
    <row r="223" ht="15.75" customHeight="1">
      <c r="A223" s="1"/>
      <c r="B223" s="1"/>
      <c r="C223" s="1"/>
      <c r="D223" s="1">
        <f t="shared" si="167"/>
        <v>60</v>
      </c>
      <c r="E223" s="1">
        <v>36.0</v>
      </c>
      <c r="F223" s="1" t="str">
        <f t="shared" ref="F223:AA223" si="201">IF(F62="","",IF(F115=$C115,E223,F62))</f>
        <v/>
      </c>
      <c r="G223" s="1" t="str">
        <f t="shared" si="201"/>
        <v/>
      </c>
      <c r="H223" s="1" t="str">
        <f t="shared" si="201"/>
        <v/>
      </c>
      <c r="I223" s="1" t="str">
        <f t="shared" si="201"/>
        <v/>
      </c>
      <c r="J223" s="1" t="str">
        <f t="shared" si="201"/>
        <v/>
      </c>
      <c r="K223" s="1" t="str">
        <f t="shared" si="201"/>
        <v/>
      </c>
      <c r="L223" s="1" t="str">
        <f t="shared" si="201"/>
        <v/>
      </c>
      <c r="M223" s="1" t="str">
        <f t="shared" si="201"/>
        <v/>
      </c>
      <c r="N223" s="1" t="str">
        <f t="shared" si="201"/>
        <v/>
      </c>
      <c r="O223" s="1" t="str">
        <f t="shared" si="201"/>
        <v/>
      </c>
      <c r="P223" s="1">
        <f t="shared" si="201"/>
        <v>1</v>
      </c>
      <c r="Q223" s="1">
        <f t="shared" si="201"/>
        <v>2</v>
      </c>
      <c r="R223" s="1">
        <f t="shared" si="201"/>
        <v>3</v>
      </c>
      <c r="S223" s="1">
        <f t="shared" si="201"/>
        <v>4</v>
      </c>
      <c r="T223" s="1">
        <f t="shared" si="201"/>
        <v>5</v>
      </c>
      <c r="U223" s="1">
        <f t="shared" si="201"/>
        <v>6</v>
      </c>
      <c r="V223" s="1">
        <f t="shared" si="201"/>
        <v>7</v>
      </c>
      <c r="W223" s="1">
        <f t="shared" si="201"/>
        <v>8</v>
      </c>
      <c r="X223" s="1">
        <f t="shared" si="201"/>
        <v>9</v>
      </c>
      <c r="Y223" s="1">
        <f t="shared" si="201"/>
        <v>9</v>
      </c>
      <c r="Z223" s="1">
        <f t="shared" si="201"/>
        <v>9</v>
      </c>
      <c r="AA223" s="1">
        <f t="shared" si="201"/>
        <v>9</v>
      </c>
      <c r="AB223" s="1"/>
      <c r="AC223" s="1"/>
      <c r="AD223" s="1"/>
    </row>
    <row r="224" ht="15.75" customHeight="1">
      <c r="A224" s="1"/>
      <c r="B224" s="1"/>
      <c r="C224" s="1"/>
      <c r="D224" s="1">
        <f t="shared" si="167"/>
        <v>60</v>
      </c>
      <c r="E224" s="1">
        <v>37.0</v>
      </c>
      <c r="F224" s="1" t="str">
        <f t="shared" ref="F224:AA224" si="202">IF(F63="","",IF(F116=$C116,E224,F63))</f>
        <v/>
      </c>
      <c r="G224" s="1" t="str">
        <f t="shared" si="202"/>
        <v/>
      </c>
      <c r="H224" s="1" t="str">
        <f t="shared" si="202"/>
        <v/>
      </c>
      <c r="I224" s="1" t="str">
        <f t="shared" si="202"/>
        <v/>
      </c>
      <c r="J224" s="1" t="str">
        <f t="shared" si="202"/>
        <v/>
      </c>
      <c r="K224" s="1" t="str">
        <f t="shared" si="202"/>
        <v/>
      </c>
      <c r="L224" s="1" t="str">
        <f t="shared" si="202"/>
        <v/>
      </c>
      <c r="M224" s="1" t="str">
        <f t="shared" si="202"/>
        <v/>
      </c>
      <c r="N224" s="1" t="str">
        <f t="shared" si="202"/>
        <v/>
      </c>
      <c r="O224" s="1" t="str">
        <f t="shared" si="202"/>
        <v/>
      </c>
      <c r="P224" s="1">
        <f t="shared" si="202"/>
        <v>1</v>
      </c>
      <c r="Q224" s="1">
        <f t="shared" si="202"/>
        <v>2</v>
      </c>
      <c r="R224" s="1">
        <f t="shared" si="202"/>
        <v>3</v>
      </c>
      <c r="S224" s="1">
        <f t="shared" si="202"/>
        <v>4</v>
      </c>
      <c r="T224" s="1">
        <f t="shared" si="202"/>
        <v>5</v>
      </c>
      <c r="U224" s="1">
        <f t="shared" si="202"/>
        <v>6</v>
      </c>
      <c r="V224" s="1">
        <f t="shared" si="202"/>
        <v>7</v>
      </c>
      <c r="W224" s="1">
        <f t="shared" si="202"/>
        <v>8</v>
      </c>
      <c r="X224" s="1">
        <f t="shared" si="202"/>
        <v>9</v>
      </c>
      <c r="Y224" s="1">
        <f t="shared" si="202"/>
        <v>9</v>
      </c>
      <c r="Z224" s="1">
        <f t="shared" si="202"/>
        <v>9</v>
      </c>
      <c r="AA224" s="1">
        <f t="shared" si="202"/>
        <v>9</v>
      </c>
      <c r="AB224" s="1"/>
      <c r="AC224" s="1"/>
      <c r="AD224" s="1"/>
    </row>
    <row r="225" ht="15.75" customHeight="1">
      <c r="A225" s="1"/>
      <c r="B225" s="1"/>
      <c r="C225" s="1"/>
      <c r="D225" s="1">
        <f t="shared" si="167"/>
        <v>30</v>
      </c>
      <c r="E225" s="1">
        <v>38.0</v>
      </c>
      <c r="F225" s="1" t="str">
        <f t="shared" ref="F225:AA225" si="203">IF(F64="","",IF(F117=$C117,E225,F64))</f>
        <v/>
      </c>
      <c r="G225" s="1" t="str">
        <f t="shared" si="203"/>
        <v/>
      </c>
      <c r="H225" s="1" t="str">
        <f t="shared" si="203"/>
        <v/>
      </c>
      <c r="I225" s="1" t="str">
        <f t="shared" si="203"/>
        <v/>
      </c>
      <c r="J225" s="1" t="str">
        <f t="shared" si="203"/>
        <v/>
      </c>
      <c r="K225" s="1" t="str">
        <f t="shared" si="203"/>
        <v/>
      </c>
      <c r="L225" s="1" t="str">
        <f t="shared" si="203"/>
        <v/>
      </c>
      <c r="M225" s="1" t="str">
        <f t="shared" si="203"/>
        <v/>
      </c>
      <c r="N225" s="1" t="str">
        <f t="shared" si="203"/>
        <v/>
      </c>
      <c r="O225" s="1" t="str">
        <f t="shared" si="203"/>
        <v/>
      </c>
      <c r="P225" s="1">
        <f t="shared" si="203"/>
        <v>1</v>
      </c>
      <c r="Q225" s="1">
        <f t="shared" si="203"/>
        <v>2</v>
      </c>
      <c r="R225" s="1">
        <f t="shared" si="203"/>
        <v>3</v>
      </c>
      <c r="S225" s="1">
        <f t="shared" si="203"/>
        <v>4</v>
      </c>
      <c r="T225" s="1">
        <f t="shared" si="203"/>
        <v>5</v>
      </c>
      <c r="U225" s="1">
        <f t="shared" si="203"/>
        <v>6</v>
      </c>
      <c r="V225" s="1">
        <f t="shared" si="203"/>
        <v>7</v>
      </c>
      <c r="W225" s="1">
        <f t="shared" si="203"/>
        <v>7</v>
      </c>
      <c r="X225" s="1">
        <f t="shared" si="203"/>
        <v>7</v>
      </c>
      <c r="Y225" s="1">
        <f t="shared" si="203"/>
        <v>7</v>
      </c>
      <c r="Z225" s="1">
        <f t="shared" si="203"/>
        <v>7</v>
      </c>
      <c r="AA225" s="1">
        <f t="shared" si="203"/>
        <v>7</v>
      </c>
      <c r="AB225" s="1"/>
      <c r="AC225" s="1"/>
      <c r="AD225" s="1"/>
    </row>
    <row r="226" ht="15.75" customHeight="1">
      <c r="A226" s="1"/>
      <c r="B226" s="1"/>
      <c r="C226" s="1"/>
      <c r="D226" s="1">
        <f t="shared" si="167"/>
        <v>40</v>
      </c>
      <c r="E226" s="1">
        <v>39.0</v>
      </c>
      <c r="F226" s="1" t="str">
        <f t="shared" ref="F226:AA226" si="204">IF(F65="","",IF(F118=$C118,E226,F65))</f>
        <v/>
      </c>
      <c r="G226" s="1" t="str">
        <f t="shared" si="204"/>
        <v/>
      </c>
      <c r="H226" s="1" t="str">
        <f t="shared" si="204"/>
        <v/>
      </c>
      <c r="I226" s="1" t="str">
        <f t="shared" si="204"/>
        <v/>
      </c>
      <c r="J226" s="1" t="str">
        <f t="shared" si="204"/>
        <v/>
      </c>
      <c r="K226" s="1" t="str">
        <f t="shared" si="204"/>
        <v/>
      </c>
      <c r="L226" s="1" t="str">
        <f t="shared" si="204"/>
        <v/>
      </c>
      <c r="M226" s="1" t="str">
        <f t="shared" si="204"/>
        <v/>
      </c>
      <c r="N226" s="1" t="str">
        <f t="shared" si="204"/>
        <v/>
      </c>
      <c r="O226" s="1" t="str">
        <f t="shared" si="204"/>
        <v/>
      </c>
      <c r="P226" s="1">
        <f t="shared" si="204"/>
        <v>1</v>
      </c>
      <c r="Q226" s="1">
        <f t="shared" si="204"/>
        <v>2</v>
      </c>
      <c r="R226" s="1">
        <f t="shared" si="204"/>
        <v>3</v>
      </c>
      <c r="S226" s="1">
        <f t="shared" si="204"/>
        <v>4</v>
      </c>
      <c r="T226" s="1">
        <f t="shared" si="204"/>
        <v>5</v>
      </c>
      <c r="U226" s="1">
        <f t="shared" si="204"/>
        <v>6</v>
      </c>
      <c r="V226" s="1">
        <f t="shared" si="204"/>
        <v>7</v>
      </c>
      <c r="W226" s="1">
        <f t="shared" si="204"/>
        <v>8</v>
      </c>
      <c r="X226" s="1">
        <f t="shared" si="204"/>
        <v>8</v>
      </c>
      <c r="Y226" s="1">
        <f t="shared" si="204"/>
        <v>8</v>
      </c>
      <c r="Z226" s="1">
        <f t="shared" si="204"/>
        <v>8</v>
      </c>
      <c r="AA226" s="1">
        <f t="shared" si="204"/>
        <v>8</v>
      </c>
      <c r="AB226" s="1"/>
      <c r="AC226" s="1"/>
      <c r="AD226" s="1"/>
    </row>
    <row r="227" ht="15.75" customHeight="1">
      <c r="A227" s="1"/>
      <c r="B227" s="1"/>
      <c r="C227" s="1"/>
      <c r="D227" s="1">
        <f t="shared" si="167"/>
        <v>100</v>
      </c>
      <c r="E227" s="1">
        <v>40.0</v>
      </c>
      <c r="F227" s="1" t="str">
        <f t="shared" ref="F227:AA227" si="205">IF(F66="","",IF(F119=$C119,E227,F66))</f>
        <v/>
      </c>
      <c r="G227" s="1" t="str">
        <f t="shared" si="205"/>
        <v/>
      </c>
      <c r="H227" s="1" t="str">
        <f t="shared" si="205"/>
        <v/>
      </c>
      <c r="I227" s="1" t="str">
        <f t="shared" si="205"/>
        <v/>
      </c>
      <c r="J227" s="1" t="str">
        <f t="shared" si="205"/>
        <v/>
      </c>
      <c r="K227" s="1" t="str">
        <f t="shared" si="205"/>
        <v/>
      </c>
      <c r="L227" s="1" t="str">
        <f t="shared" si="205"/>
        <v/>
      </c>
      <c r="M227" s="1" t="str">
        <f t="shared" si="205"/>
        <v/>
      </c>
      <c r="N227" s="1" t="str">
        <f t="shared" si="205"/>
        <v/>
      </c>
      <c r="O227" s="1" t="str">
        <f t="shared" si="205"/>
        <v/>
      </c>
      <c r="P227" s="1">
        <f t="shared" si="205"/>
        <v>1</v>
      </c>
      <c r="Q227" s="1">
        <f t="shared" si="205"/>
        <v>2</v>
      </c>
      <c r="R227" s="1">
        <f t="shared" si="205"/>
        <v>3</v>
      </c>
      <c r="S227" s="1">
        <f t="shared" si="205"/>
        <v>4</v>
      </c>
      <c r="T227" s="1">
        <f t="shared" si="205"/>
        <v>5</v>
      </c>
      <c r="U227" s="1">
        <f t="shared" si="205"/>
        <v>6</v>
      </c>
      <c r="V227" s="1">
        <f t="shared" si="205"/>
        <v>7</v>
      </c>
      <c r="W227" s="1">
        <f t="shared" si="205"/>
        <v>8</v>
      </c>
      <c r="X227" s="1">
        <f t="shared" si="205"/>
        <v>9</v>
      </c>
      <c r="Y227" s="1">
        <f t="shared" si="205"/>
        <v>10</v>
      </c>
      <c r="Z227" s="1">
        <f t="shared" si="205"/>
        <v>10</v>
      </c>
      <c r="AA227" s="1">
        <f t="shared" si="205"/>
        <v>10</v>
      </c>
      <c r="AB227" s="1"/>
      <c r="AC227" s="1"/>
      <c r="AD227" s="1"/>
    </row>
    <row r="228" ht="15.75" customHeight="1">
      <c r="A228" s="1"/>
      <c r="B228" s="1"/>
      <c r="C228" s="1"/>
      <c r="D228" s="1">
        <f t="shared" si="167"/>
        <v>80</v>
      </c>
      <c r="E228" s="1">
        <v>41.0</v>
      </c>
      <c r="F228" s="1" t="str">
        <f t="shared" ref="F228:AA228" si="206">IF(F67="","",IF(F120=$C120,E228,F67))</f>
        <v/>
      </c>
      <c r="G228" s="1" t="str">
        <f t="shared" si="206"/>
        <v/>
      </c>
      <c r="H228" s="1" t="str">
        <f t="shared" si="206"/>
        <v/>
      </c>
      <c r="I228" s="1" t="str">
        <f t="shared" si="206"/>
        <v/>
      </c>
      <c r="J228" s="1" t="str">
        <f t="shared" si="206"/>
        <v/>
      </c>
      <c r="K228" s="1" t="str">
        <f t="shared" si="206"/>
        <v/>
      </c>
      <c r="L228" s="1" t="str">
        <f t="shared" si="206"/>
        <v/>
      </c>
      <c r="M228" s="1" t="str">
        <f t="shared" si="206"/>
        <v/>
      </c>
      <c r="N228" s="1" t="str">
        <f t="shared" si="206"/>
        <v/>
      </c>
      <c r="O228" s="1" t="str">
        <f t="shared" si="206"/>
        <v/>
      </c>
      <c r="P228" s="1">
        <f t="shared" si="206"/>
        <v>1</v>
      </c>
      <c r="Q228" s="1">
        <f t="shared" si="206"/>
        <v>2</v>
      </c>
      <c r="R228" s="1">
        <f t="shared" si="206"/>
        <v>3</v>
      </c>
      <c r="S228" s="1">
        <f t="shared" si="206"/>
        <v>4</v>
      </c>
      <c r="T228" s="1">
        <f t="shared" si="206"/>
        <v>5</v>
      </c>
      <c r="U228" s="1">
        <f t="shared" si="206"/>
        <v>6</v>
      </c>
      <c r="V228" s="1">
        <f t="shared" si="206"/>
        <v>7</v>
      </c>
      <c r="W228" s="1">
        <f t="shared" si="206"/>
        <v>8</v>
      </c>
      <c r="X228" s="1">
        <f t="shared" si="206"/>
        <v>9</v>
      </c>
      <c r="Y228" s="1">
        <f t="shared" si="206"/>
        <v>9</v>
      </c>
      <c r="Z228" s="1">
        <f t="shared" si="206"/>
        <v>9</v>
      </c>
      <c r="AA228" s="1">
        <f t="shared" si="206"/>
        <v>9</v>
      </c>
      <c r="AB228" s="1"/>
      <c r="AC228" s="1"/>
      <c r="AD228" s="1"/>
    </row>
    <row r="229" ht="15.75" customHeight="1">
      <c r="A229" s="1"/>
      <c r="B229" s="1"/>
      <c r="C229" s="1"/>
      <c r="D229" s="1">
        <f t="shared" si="167"/>
        <v>30</v>
      </c>
      <c r="E229" s="1">
        <v>42.0</v>
      </c>
      <c r="F229" s="1" t="str">
        <f t="shared" ref="F229:AA229" si="207">IF(F68="","",IF(F121=$C121,E229,F68))</f>
        <v/>
      </c>
      <c r="G229" s="1" t="str">
        <f t="shared" si="207"/>
        <v/>
      </c>
      <c r="H229" s="1" t="str">
        <f t="shared" si="207"/>
        <v/>
      </c>
      <c r="I229" s="1" t="str">
        <f t="shared" si="207"/>
        <v/>
      </c>
      <c r="J229" s="1" t="str">
        <f t="shared" si="207"/>
        <v/>
      </c>
      <c r="K229" s="1" t="str">
        <f t="shared" si="207"/>
        <v/>
      </c>
      <c r="L229" s="1" t="str">
        <f t="shared" si="207"/>
        <v/>
      </c>
      <c r="M229" s="1" t="str">
        <f t="shared" si="207"/>
        <v/>
      </c>
      <c r="N229" s="1" t="str">
        <f t="shared" si="207"/>
        <v/>
      </c>
      <c r="O229" s="1" t="str">
        <f t="shared" si="207"/>
        <v/>
      </c>
      <c r="P229" s="1">
        <f t="shared" si="207"/>
        <v>1</v>
      </c>
      <c r="Q229" s="1">
        <f t="shared" si="207"/>
        <v>2</v>
      </c>
      <c r="R229" s="1">
        <f t="shared" si="207"/>
        <v>3</v>
      </c>
      <c r="S229" s="1">
        <f t="shared" si="207"/>
        <v>4</v>
      </c>
      <c r="T229" s="1">
        <f t="shared" si="207"/>
        <v>5</v>
      </c>
      <c r="U229" s="1">
        <f t="shared" si="207"/>
        <v>6</v>
      </c>
      <c r="V229" s="1">
        <f t="shared" si="207"/>
        <v>7</v>
      </c>
      <c r="W229" s="1">
        <f t="shared" si="207"/>
        <v>7</v>
      </c>
      <c r="X229" s="1">
        <f t="shared" si="207"/>
        <v>7</v>
      </c>
      <c r="Y229" s="1">
        <f t="shared" si="207"/>
        <v>7</v>
      </c>
      <c r="Z229" s="1">
        <f t="shared" si="207"/>
        <v>7</v>
      </c>
      <c r="AA229" s="1">
        <f t="shared" si="207"/>
        <v>7</v>
      </c>
      <c r="AB229" s="1"/>
      <c r="AC229" s="1"/>
      <c r="AD229" s="1"/>
    </row>
    <row r="230" ht="15.75" customHeight="1">
      <c r="A230" s="1"/>
      <c r="B230" s="1"/>
      <c r="C230" s="1"/>
      <c r="D230" s="1">
        <f t="shared" si="167"/>
        <v>80</v>
      </c>
      <c r="E230" s="1">
        <v>43.0</v>
      </c>
      <c r="F230" s="1" t="str">
        <f t="shared" ref="F230:AA230" si="208">IF(F69="","",IF(F122=$C122,E230,F69))</f>
        <v/>
      </c>
      <c r="G230" s="1" t="str">
        <f t="shared" si="208"/>
        <v/>
      </c>
      <c r="H230" s="1" t="str">
        <f t="shared" si="208"/>
        <v/>
      </c>
      <c r="I230" s="1" t="str">
        <f t="shared" si="208"/>
        <v/>
      </c>
      <c r="J230" s="1" t="str">
        <f t="shared" si="208"/>
        <v/>
      </c>
      <c r="K230" s="1" t="str">
        <f t="shared" si="208"/>
        <v/>
      </c>
      <c r="L230" s="1" t="str">
        <f t="shared" si="208"/>
        <v/>
      </c>
      <c r="M230" s="1" t="str">
        <f t="shared" si="208"/>
        <v/>
      </c>
      <c r="N230" s="1" t="str">
        <f t="shared" si="208"/>
        <v/>
      </c>
      <c r="O230" s="1" t="str">
        <f t="shared" si="208"/>
        <v/>
      </c>
      <c r="P230" s="1">
        <f t="shared" si="208"/>
        <v>1</v>
      </c>
      <c r="Q230" s="1">
        <f t="shared" si="208"/>
        <v>2</v>
      </c>
      <c r="R230" s="1">
        <f t="shared" si="208"/>
        <v>3</v>
      </c>
      <c r="S230" s="1">
        <f t="shared" si="208"/>
        <v>4</v>
      </c>
      <c r="T230" s="1">
        <f t="shared" si="208"/>
        <v>5</v>
      </c>
      <c r="U230" s="1">
        <f t="shared" si="208"/>
        <v>6</v>
      </c>
      <c r="V230" s="1">
        <f t="shared" si="208"/>
        <v>7</v>
      </c>
      <c r="W230" s="1">
        <f t="shared" si="208"/>
        <v>8</v>
      </c>
      <c r="X230" s="1">
        <f t="shared" si="208"/>
        <v>9</v>
      </c>
      <c r="Y230" s="1">
        <f t="shared" si="208"/>
        <v>9</v>
      </c>
      <c r="Z230" s="1">
        <f t="shared" si="208"/>
        <v>9</v>
      </c>
      <c r="AA230" s="1">
        <f t="shared" si="208"/>
        <v>9</v>
      </c>
      <c r="AB230" s="1"/>
      <c r="AC230" s="1"/>
      <c r="AD230" s="1"/>
    </row>
    <row r="231" ht="15.75" customHeight="1">
      <c r="A231" s="1"/>
      <c r="B231" s="1"/>
      <c r="C231" s="1"/>
      <c r="D231" s="1">
        <f t="shared" si="167"/>
        <v>100</v>
      </c>
      <c r="E231" s="1">
        <v>44.0</v>
      </c>
      <c r="F231" s="1" t="str">
        <f t="shared" ref="F231:AA231" si="209">IF(F70="","",IF(F123=$C123,E231,F70))</f>
        <v/>
      </c>
      <c r="G231" s="1" t="str">
        <f t="shared" si="209"/>
        <v/>
      </c>
      <c r="H231" s="1" t="str">
        <f t="shared" si="209"/>
        <v/>
      </c>
      <c r="I231" s="1" t="str">
        <f t="shared" si="209"/>
        <v/>
      </c>
      <c r="J231" s="1" t="str">
        <f t="shared" si="209"/>
        <v/>
      </c>
      <c r="K231" s="1" t="str">
        <f t="shared" si="209"/>
        <v/>
      </c>
      <c r="L231" s="1" t="str">
        <f t="shared" si="209"/>
        <v/>
      </c>
      <c r="M231" s="1" t="str">
        <f t="shared" si="209"/>
        <v/>
      </c>
      <c r="N231" s="1" t="str">
        <f t="shared" si="209"/>
        <v/>
      </c>
      <c r="O231" s="1" t="str">
        <f t="shared" si="209"/>
        <v/>
      </c>
      <c r="P231" s="1">
        <f t="shared" si="209"/>
        <v>1</v>
      </c>
      <c r="Q231" s="1">
        <f t="shared" si="209"/>
        <v>2</v>
      </c>
      <c r="R231" s="1">
        <f t="shared" si="209"/>
        <v>3</v>
      </c>
      <c r="S231" s="1">
        <f t="shared" si="209"/>
        <v>4</v>
      </c>
      <c r="T231" s="1">
        <f t="shared" si="209"/>
        <v>5</v>
      </c>
      <c r="U231" s="1">
        <f t="shared" si="209"/>
        <v>6</v>
      </c>
      <c r="V231" s="1">
        <f t="shared" si="209"/>
        <v>7</v>
      </c>
      <c r="W231" s="1">
        <f t="shared" si="209"/>
        <v>8</v>
      </c>
      <c r="X231" s="1">
        <f t="shared" si="209"/>
        <v>9</v>
      </c>
      <c r="Y231" s="1">
        <f t="shared" si="209"/>
        <v>10</v>
      </c>
      <c r="Z231" s="1">
        <f t="shared" si="209"/>
        <v>10</v>
      </c>
      <c r="AA231" s="1">
        <f t="shared" si="209"/>
        <v>10</v>
      </c>
      <c r="AB231" s="1"/>
      <c r="AC231" s="1"/>
      <c r="AD231" s="1"/>
    </row>
    <row r="232" ht="15.75" customHeight="1">
      <c r="A232" s="1"/>
      <c r="B232" s="1"/>
      <c r="C232" s="1"/>
      <c r="D232" s="1">
        <f t="shared" si="167"/>
        <v>80</v>
      </c>
      <c r="E232" s="1">
        <v>45.0</v>
      </c>
      <c r="F232" s="1" t="str">
        <f t="shared" ref="F232:AA232" si="210">IF(F71="","",IF(F124=$C124,E232,F71))</f>
        <v/>
      </c>
      <c r="G232" s="1" t="str">
        <f t="shared" si="210"/>
        <v/>
      </c>
      <c r="H232" s="1" t="str">
        <f t="shared" si="210"/>
        <v/>
      </c>
      <c r="I232" s="1" t="str">
        <f t="shared" si="210"/>
        <v/>
      </c>
      <c r="J232" s="1" t="str">
        <f t="shared" si="210"/>
        <v/>
      </c>
      <c r="K232" s="1" t="str">
        <f t="shared" si="210"/>
        <v/>
      </c>
      <c r="L232" s="1" t="str">
        <f t="shared" si="210"/>
        <v/>
      </c>
      <c r="M232" s="1" t="str">
        <f t="shared" si="210"/>
        <v/>
      </c>
      <c r="N232" s="1" t="str">
        <f t="shared" si="210"/>
        <v/>
      </c>
      <c r="O232" s="1" t="str">
        <f t="shared" si="210"/>
        <v/>
      </c>
      <c r="P232" s="1">
        <f t="shared" si="210"/>
        <v>1</v>
      </c>
      <c r="Q232" s="1">
        <f t="shared" si="210"/>
        <v>2</v>
      </c>
      <c r="R232" s="1">
        <f t="shared" si="210"/>
        <v>3</v>
      </c>
      <c r="S232" s="1">
        <f t="shared" si="210"/>
        <v>4</v>
      </c>
      <c r="T232" s="1">
        <f t="shared" si="210"/>
        <v>5</v>
      </c>
      <c r="U232" s="1">
        <f t="shared" si="210"/>
        <v>6</v>
      </c>
      <c r="V232" s="1">
        <f t="shared" si="210"/>
        <v>7</v>
      </c>
      <c r="W232" s="1">
        <f t="shared" si="210"/>
        <v>8</v>
      </c>
      <c r="X232" s="1">
        <f t="shared" si="210"/>
        <v>9</v>
      </c>
      <c r="Y232" s="1">
        <f t="shared" si="210"/>
        <v>9</v>
      </c>
      <c r="Z232" s="1">
        <f t="shared" si="210"/>
        <v>9</v>
      </c>
      <c r="AA232" s="1">
        <f t="shared" si="210"/>
        <v>9</v>
      </c>
      <c r="AB232" s="1"/>
      <c r="AC232" s="1"/>
      <c r="AD232" s="1"/>
    </row>
    <row r="233" ht="15.75" customHeight="1">
      <c r="A233" s="1"/>
      <c r="B233" s="1"/>
      <c r="C233" s="1"/>
      <c r="D233" s="1">
        <f t="shared" si="167"/>
        <v>60</v>
      </c>
      <c r="E233" s="1">
        <v>46.0</v>
      </c>
      <c r="F233" s="1" t="str">
        <f t="shared" ref="F233:AA233" si="211">IF(F72="","",IF(F125=$C125,E233,F72))</f>
        <v/>
      </c>
      <c r="G233" s="1" t="str">
        <f t="shared" si="211"/>
        <v/>
      </c>
      <c r="H233" s="1" t="str">
        <f t="shared" si="211"/>
        <v/>
      </c>
      <c r="I233" s="1" t="str">
        <f t="shared" si="211"/>
        <v/>
      </c>
      <c r="J233" s="1" t="str">
        <f t="shared" si="211"/>
        <v/>
      </c>
      <c r="K233" s="1" t="str">
        <f t="shared" si="211"/>
        <v/>
      </c>
      <c r="L233" s="1" t="str">
        <f t="shared" si="211"/>
        <v/>
      </c>
      <c r="M233" s="1" t="str">
        <f t="shared" si="211"/>
        <v/>
      </c>
      <c r="N233" s="1" t="str">
        <f t="shared" si="211"/>
        <v/>
      </c>
      <c r="O233" s="1" t="str">
        <f t="shared" si="211"/>
        <v/>
      </c>
      <c r="P233" s="1">
        <f t="shared" si="211"/>
        <v>1</v>
      </c>
      <c r="Q233" s="1">
        <f t="shared" si="211"/>
        <v>2</v>
      </c>
      <c r="R233" s="1">
        <f t="shared" si="211"/>
        <v>3</v>
      </c>
      <c r="S233" s="1">
        <f t="shared" si="211"/>
        <v>4</v>
      </c>
      <c r="T233" s="1">
        <f t="shared" si="211"/>
        <v>5</v>
      </c>
      <c r="U233" s="1">
        <f t="shared" si="211"/>
        <v>6</v>
      </c>
      <c r="V233" s="1">
        <f t="shared" si="211"/>
        <v>7</v>
      </c>
      <c r="W233" s="1">
        <f t="shared" si="211"/>
        <v>8</v>
      </c>
      <c r="X233" s="1">
        <f t="shared" si="211"/>
        <v>9</v>
      </c>
      <c r="Y233" s="1">
        <f t="shared" si="211"/>
        <v>9</v>
      </c>
      <c r="Z233" s="1">
        <f t="shared" si="211"/>
        <v>9</v>
      </c>
      <c r="AA233" s="1">
        <f t="shared" si="211"/>
        <v>9</v>
      </c>
      <c r="AB233" s="1"/>
      <c r="AC233" s="1"/>
      <c r="AD233" s="1"/>
    </row>
    <row r="234" ht="15.75" customHeight="1">
      <c r="A234" s="1"/>
      <c r="B234" s="1"/>
      <c r="C234" s="1"/>
      <c r="D234" s="1">
        <f t="shared" si="167"/>
        <v>80</v>
      </c>
      <c r="E234" s="1">
        <v>47.0</v>
      </c>
      <c r="F234" s="1" t="str">
        <f t="shared" ref="F234:AA234" si="212">IF(F73="","",IF(F126=$C126,E234,F73))</f>
        <v/>
      </c>
      <c r="G234" s="1" t="str">
        <f t="shared" si="212"/>
        <v/>
      </c>
      <c r="H234" s="1" t="str">
        <f t="shared" si="212"/>
        <v/>
      </c>
      <c r="I234" s="1" t="str">
        <f t="shared" si="212"/>
        <v/>
      </c>
      <c r="J234" s="1" t="str">
        <f t="shared" si="212"/>
        <v/>
      </c>
      <c r="K234" s="1" t="str">
        <f t="shared" si="212"/>
        <v/>
      </c>
      <c r="L234" s="1" t="str">
        <f t="shared" si="212"/>
        <v/>
      </c>
      <c r="M234" s="1" t="str">
        <f t="shared" si="212"/>
        <v/>
      </c>
      <c r="N234" s="1" t="str">
        <f t="shared" si="212"/>
        <v/>
      </c>
      <c r="O234" s="1" t="str">
        <f t="shared" si="212"/>
        <v/>
      </c>
      <c r="P234" s="1">
        <f t="shared" si="212"/>
        <v>1</v>
      </c>
      <c r="Q234" s="1">
        <f t="shared" si="212"/>
        <v>2</v>
      </c>
      <c r="R234" s="1">
        <f t="shared" si="212"/>
        <v>3</v>
      </c>
      <c r="S234" s="1">
        <f t="shared" si="212"/>
        <v>4</v>
      </c>
      <c r="T234" s="1">
        <f t="shared" si="212"/>
        <v>5</v>
      </c>
      <c r="U234" s="1">
        <f t="shared" si="212"/>
        <v>6</v>
      </c>
      <c r="V234" s="1">
        <f t="shared" si="212"/>
        <v>7</v>
      </c>
      <c r="W234" s="1">
        <f t="shared" si="212"/>
        <v>8</v>
      </c>
      <c r="X234" s="1">
        <f t="shared" si="212"/>
        <v>9</v>
      </c>
      <c r="Y234" s="1">
        <f t="shared" si="212"/>
        <v>9</v>
      </c>
      <c r="Z234" s="1">
        <f t="shared" si="212"/>
        <v>9</v>
      </c>
      <c r="AA234" s="1">
        <f t="shared" si="212"/>
        <v>9</v>
      </c>
      <c r="AB234" s="1"/>
      <c r="AC234" s="1"/>
      <c r="AD234" s="1"/>
    </row>
    <row r="235" ht="15.75" customHeight="1">
      <c r="A235" s="1"/>
      <c r="B235" s="1"/>
      <c r="C235" s="1"/>
      <c r="D235" s="1">
        <f t="shared" si="167"/>
        <v>100</v>
      </c>
      <c r="E235" s="1">
        <v>48.0</v>
      </c>
      <c r="F235" s="1" t="str">
        <f t="shared" ref="F235:AA235" si="213">IF(F74="","",IF(F127=$C127,E235,F74))</f>
        <v/>
      </c>
      <c r="G235" s="1" t="str">
        <f t="shared" si="213"/>
        <v/>
      </c>
      <c r="H235" s="1" t="str">
        <f t="shared" si="213"/>
        <v/>
      </c>
      <c r="I235" s="1" t="str">
        <f t="shared" si="213"/>
        <v/>
      </c>
      <c r="J235" s="1" t="str">
        <f t="shared" si="213"/>
        <v/>
      </c>
      <c r="K235" s="1" t="str">
        <f t="shared" si="213"/>
        <v/>
      </c>
      <c r="L235" s="1" t="str">
        <f t="shared" si="213"/>
        <v/>
      </c>
      <c r="M235" s="1" t="str">
        <f t="shared" si="213"/>
        <v/>
      </c>
      <c r="N235" s="1" t="str">
        <f t="shared" si="213"/>
        <v/>
      </c>
      <c r="O235" s="1" t="str">
        <f t="shared" si="213"/>
        <v/>
      </c>
      <c r="P235" s="1">
        <f t="shared" si="213"/>
        <v>1</v>
      </c>
      <c r="Q235" s="1">
        <f t="shared" si="213"/>
        <v>2</v>
      </c>
      <c r="R235" s="1">
        <f t="shared" si="213"/>
        <v>3</v>
      </c>
      <c r="S235" s="1">
        <f t="shared" si="213"/>
        <v>4</v>
      </c>
      <c r="T235" s="1">
        <f t="shared" si="213"/>
        <v>5</v>
      </c>
      <c r="U235" s="1">
        <f t="shared" si="213"/>
        <v>6</v>
      </c>
      <c r="V235" s="1">
        <f t="shared" si="213"/>
        <v>7</v>
      </c>
      <c r="W235" s="1">
        <f t="shared" si="213"/>
        <v>8</v>
      </c>
      <c r="X235" s="1">
        <f t="shared" si="213"/>
        <v>9</v>
      </c>
      <c r="Y235" s="1">
        <f t="shared" si="213"/>
        <v>10</v>
      </c>
      <c r="Z235" s="1">
        <f t="shared" si="213"/>
        <v>10</v>
      </c>
      <c r="AA235" s="1">
        <f t="shared" si="213"/>
        <v>10</v>
      </c>
      <c r="AB235" s="1"/>
      <c r="AC235" s="1"/>
      <c r="AD235" s="1"/>
    </row>
    <row r="236" ht="15.75" customHeight="1">
      <c r="A236" s="1"/>
      <c r="B236" s="1"/>
      <c r="C236" s="1"/>
      <c r="D236" s="1">
        <f t="shared" si="167"/>
        <v>80</v>
      </c>
      <c r="E236" s="1">
        <v>49.0</v>
      </c>
      <c r="F236" s="1" t="str">
        <f t="shared" ref="F236:AA236" si="214">IF(F75="","",IF(F128=$C128,E236,F75))</f>
        <v/>
      </c>
      <c r="G236" s="1" t="str">
        <f t="shared" si="214"/>
        <v/>
      </c>
      <c r="H236" s="1" t="str">
        <f t="shared" si="214"/>
        <v/>
      </c>
      <c r="I236" s="1" t="str">
        <f t="shared" si="214"/>
        <v/>
      </c>
      <c r="J236" s="1" t="str">
        <f t="shared" si="214"/>
        <v/>
      </c>
      <c r="K236" s="1" t="str">
        <f t="shared" si="214"/>
        <v/>
      </c>
      <c r="L236" s="1" t="str">
        <f t="shared" si="214"/>
        <v/>
      </c>
      <c r="M236" s="1" t="str">
        <f t="shared" si="214"/>
        <v/>
      </c>
      <c r="N236" s="1" t="str">
        <f t="shared" si="214"/>
        <v/>
      </c>
      <c r="O236" s="1" t="str">
        <f t="shared" si="214"/>
        <v/>
      </c>
      <c r="P236" s="1">
        <f t="shared" si="214"/>
        <v>1</v>
      </c>
      <c r="Q236" s="1">
        <f t="shared" si="214"/>
        <v>2</v>
      </c>
      <c r="R236" s="1">
        <f t="shared" si="214"/>
        <v>3</v>
      </c>
      <c r="S236" s="1">
        <f t="shared" si="214"/>
        <v>4</v>
      </c>
      <c r="T236" s="1">
        <f t="shared" si="214"/>
        <v>5</v>
      </c>
      <c r="U236" s="1">
        <f t="shared" si="214"/>
        <v>6</v>
      </c>
      <c r="V236" s="1">
        <f t="shared" si="214"/>
        <v>7</v>
      </c>
      <c r="W236" s="1">
        <f t="shared" si="214"/>
        <v>8</v>
      </c>
      <c r="X236" s="1">
        <f t="shared" si="214"/>
        <v>9</v>
      </c>
      <c r="Y236" s="1">
        <f t="shared" si="214"/>
        <v>9</v>
      </c>
      <c r="Z236" s="1">
        <f t="shared" si="214"/>
        <v>9</v>
      </c>
      <c r="AA236" s="1">
        <f t="shared" si="214"/>
        <v>9</v>
      </c>
      <c r="AB236" s="1"/>
      <c r="AC236" s="1"/>
      <c r="AD236" s="1"/>
    </row>
    <row r="237" ht="15.75" customHeight="1">
      <c r="A237" s="1"/>
      <c r="B237" s="1"/>
      <c r="C237" s="1"/>
      <c r="D237" s="1">
        <f t="shared" si="167"/>
        <v>80</v>
      </c>
      <c r="E237" s="1">
        <v>50.0</v>
      </c>
      <c r="F237" s="1" t="str">
        <f t="shared" ref="F237:AA237" si="215">IF(F76="","",IF(F129=$C129,E237,F76))</f>
        <v/>
      </c>
      <c r="G237" s="1" t="str">
        <f t="shared" si="215"/>
        <v/>
      </c>
      <c r="H237" s="1" t="str">
        <f t="shared" si="215"/>
        <v/>
      </c>
      <c r="I237" s="1" t="str">
        <f t="shared" si="215"/>
        <v/>
      </c>
      <c r="J237" s="1" t="str">
        <f t="shared" si="215"/>
        <v/>
      </c>
      <c r="K237" s="1" t="str">
        <f t="shared" si="215"/>
        <v/>
      </c>
      <c r="L237" s="1" t="str">
        <f t="shared" si="215"/>
        <v/>
      </c>
      <c r="M237" s="1" t="str">
        <f t="shared" si="215"/>
        <v/>
      </c>
      <c r="N237" s="1" t="str">
        <f t="shared" si="215"/>
        <v/>
      </c>
      <c r="O237" s="1" t="str">
        <f t="shared" si="215"/>
        <v/>
      </c>
      <c r="P237" s="1">
        <f t="shared" si="215"/>
        <v>1</v>
      </c>
      <c r="Q237" s="1">
        <f t="shared" si="215"/>
        <v>2</v>
      </c>
      <c r="R237" s="1">
        <f t="shared" si="215"/>
        <v>3</v>
      </c>
      <c r="S237" s="1">
        <f t="shared" si="215"/>
        <v>4</v>
      </c>
      <c r="T237" s="1">
        <f t="shared" si="215"/>
        <v>5</v>
      </c>
      <c r="U237" s="1">
        <f t="shared" si="215"/>
        <v>6</v>
      </c>
      <c r="V237" s="1">
        <f t="shared" si="215"/>
        <v>7</v>
      </c>
      <c r="W237" s="1">
        <f t="shared" si="215"/>
        <v>8</v>
      </c>
      <c r="X237" s="1">
        <f t="shared" si="215"/>
        <v>9</v>
      </c>
      <c r="Y237" s="1">
        <f t="shared" si="215"/>
        <v>9</v>
      </c>
      <c r="Z237" s="1">
        <f t="shared" si="215"/>
        <v>9</v>
      </c>
      <c r="AA237" s="1">
        <f t="shared" si="215"/>
        <v>9</v>
      </c>
      <c r="AB237" s="1"/>
      <c r="AC237" s="1"/>
      <c r="AD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row>
  </sheetData>
  <printOptions/>
  <pageMargins bottom="0.984027777777778" footer="0.0" header="0.0" left="0.747916666666667" right="0.747916666666667" top="0.984027777777778"/>
  <pageSetup orientation="portrait"/>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pane xSplit="3.0" ySplit="19.0" topLeftCell="D20" activePane="bottomRight" state="frozen"/>
      <selection activeCell="D1" sqref="D1" pane="topRight"/>
      <selection activeCell="A20" sqref="A20" pane="bottomLeft"/>
      <selection activeCell="D20" sqref="D20" pane="bottomRight"/>
    </sheetView>
  </sheetViews>
  <sheetFormatPr customHeight="1" defaultColWidth="12.63" defaultRowHeight="15.0"/>
  <cols>
    <col customWidth="1" min="1" max="1" width="3.38"/>
    <col customWidth="1" min="2" max="2" width="4.75"/>
    <col customWidth="1" min="3" max="3" width="34.75"/>
    <col customWidth="1" min="4" max="5" width="10.5"/>
    <col customWidth="1" min="6" max="6" width="9.88"/>
    <col customWidth="1" min="7" max="7" width="13.75"/>
    <col customWidth="1" min="8" max="15" width="9.88"/>
    <col customWidth="1" min="16" max="26" width="9.1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7" t="s">
        <v>22</v>
      </c>
      <c r="D2" s="18"/>
      <c r="E2" s="18"/>
      <c r="F2" s="18"/>
      <c r="G2" s="18"/>
      <c r="H2" s="18"/>
      <c r="I2" s="18"/>
      <c r="J2" s="18"/>
      <c r="K2" s="19"/>
      <c r="L2" s="1"/>
      <c r="M2" s="1"/>
      <c r="N2" s="1"/>
      <c r="O2" s="1"/>
      <c r="P2" s="1"/>
      <c r="Q2" s="1"/>
      <c r="R2" s="1"/>
      <c r="S2" s="1"/>
      <c r="T2" s="1"/>
      <c r="U2" s="1"/>
      <c r="V2" s="1"/>
      <c r="W2" s="1"/>
      <c r="X2" s="1"/>
      <c r="Y2" s="1"/>
      <c r="Z2" s="1"/>
    </row>
    <row r="3">
      <c r="A3" s="1"/>
      <c r="B3" s="1"/>
      <c r="C3" s="20"/>
      <c r="D3" s="16" t="s">
        <v>23</v>
      </c>
      <c r="E3" s="21" t="s">
        <v>24</v>
      </c>
      <c r="F3" s="16" t="s">
        <v>25</v>
      </c>
      <c r="G3" s="22"/>
      <c r="H3" s="23"/>
      <c r="I3" s="24" t="s">
        <v>23</v>
      </c>
      <c r="J3" s="2" t="s">
        <v>24</v>
      </c>
      <c r="K3" s="25" t="s">
        <v>25</v>
      </c>
      <c r="L3" s="1"/>
      <c r="M3" s="1"/>
      <c r="N3" s="1"/>
      <c r="O3" s="1"/>
      <c r="P3" s="1"/>
      <c r="Q3" s="1"/>
      <c r="R3" s="1"/>
      <c r="S3" s="1"/>
      <c r="T3" s="1"/>
      <c r="U3" s="1"/>
      <c r="V3" s="1"/>
      <c r="W3" s="1"/>
      <c r="X3" s="1"/>
      <c r="Y3" s="1"/>
      <c r="Z3" s="1"/>
    </row>
    <row r="4">
      <c r="A4" s="1"/>
      <c r="B4" s="1"/>
      <c r="C4" s="26" t="s">
        <v>26</v>
      </c>
      <c r="D4" s="1"/>
      <c r="E4" s="1"/>
      <c r="F4" s="1"/>
      <c r="G4" s="27" t="s">
        <v>27</v>
      </c>
      <c r="H4" s="1"/>
      <c r="I4" s="1"/>
      <c r="J4" s="1"/>
      <c r="K4" s="28"/>
      <c r="L4" s="1"/>
      <c r="M4" s="1"/>
      <c r="N4" s="1"/>
      <c r="O4" s="1"/>
      <c r="P4" s="1"/>
      <c r="Q4" s="1"/>
      <c r="R4" s="1"/>
      <c r="S4" s="1"/>
      <c r="T4" s="1"/>
      <c r="U4" s="1"/>
      <c r="V4" s="1"/>
      <c r="W4" s="1"/>
      <c r="X4" s="1"/>
      <c r="Y4" s="1"/>
      <c r="Z4" s="1"/>
    </row>
    <row r="5">
      <c r="A5" s="1"/>
      <c r="B5" s="1"/>
      <c r="C5" s="29" t="s">
        <v>28</v>
      </c>
      <c r="D5" s="5">
        <v>0.8</v>
      </c>
      <c r="E5" s="5">
        <v>0.7</v>
      </c>
      <c r="F5" s="5">
        <v>0.65</v>
      </c>
      <c r="G5" s="30" t="s">
        <v>29</v>
      </c>
      <c r="H5" s="1"/>
      <c r="I5" s="1"/>
      <c r="J5" s="1"/>
      <c r="K5" s="31">
        <v>5.0</v>
      </c>
      <c r="L5" s="1"/>
      <c r="M5" s="1"/>
      <c r="N5" s="1"/>
      <c r="O5" s="1"/>
      <c r="P5" s="1"/>
      <c r="Q5" s="1"/>
      <c r="R5" s="1"/>
      <c r="S5" s="1"/>
      <c r="T5" s="1"/>
      <c r="U5" s="1"/>
      <c r="V5" s="1"/>
      <c r="W5" s="1"/>
      <c r="X5" s="1"/>
      <c r="Y5" s="1"/>
      <c r="Z5" s="1"/>
    </row>
    <row r="6">
      <c r="A6" s="1"/>
      <c r="B6" s="1"/>
      <c r="C6" s="29" t="s">
        <v>30</v>
      </c>
      <c r="D6" s="5">
        <v>0.1</v>
      </c>
      <c r="E6" s="5">
        <v>0.15</v>
      </c>
      <c r="F6" s="5">
        <v>0.25</v>
      </c>
      <c r="G6" s="30" t="s">
        <v>31</v>
      </c>
      <c r="H6" s="1"/>
      <c r="I6" s="32">
        <v>0.0</v>
      </c>
      <c r="J6" s="32">
        <v>0.05</v>
      </c>
      <c r="K6" s="33">
        <v>0.0</v>
      </c>
      <c r="L6" s="1"/>
      <c r="M6" s="1"/>
      <c r="N6" s="1"/>
      <c r="O6" s="1"/>
      <c r="P6" s="1"/>
      <c r="Q6" s="1"/>
      <c r="R6" s="1"/>
      <c r="S6" s="1"/>
      <c r="T6" s="1"/>
      <c r="U6" s="1"/>
      <c r="V6" s="1"/>
      <c r="W6" s="1"/>
      <c r="X6" s="1"/>
      <c r="Y6" s="1"/>
      <c r="Z6" s="1"/>
    </row>
    <row r="7">
      <c r="A7" s="1"/>
      <c r="B7" s="1"/>
      <c r="C7" s="34"/>
      <c r="D7" s="1"/>
      <c r="E7" s="1"/>
      <c r="F7" s="14"/>
      <c r="G7" s="30" t="s">
        <v>32</v>
      </c>
      <c r="H7" s="1"/>
      <c r="I7" s="32">
        <v>1.0</v>
      </c>
      <c r="J7" s="32">
        <v>0.9</v>
      </c>
      <c r="K7" s="33">
        <v>0.9</v>
      </c>
      <c r="L7" s="1"/>
      <c r="M7" s="1"/>
      <c r="N7" s="1"/>
      <c r="O7" s="1"/>
      <c r="P7" s="1"/>
      <c r="Q7" s="1"/>
      <c r="R7" s="1"/>
      <c r="S7" s="1"/>
      <c r="T7" s="1"/>
      <c r="U7" s="1"/>
      <c r="V7" s="1"/>
      <c r="W7" s="1"/>
      <c r="X7" s="1"/>
      <c r="Y7" s="1"/>
      <c r="Z7" s="1"/>
    </row>
    <row r="8">
      <c r="A8" s="1"/>
      <c r="B8" s="1"/>
      <c r="C8" s="26" t="s">
        <v>33</v>
      </c>
      <c r="D8" s="1"/>
      <c r="E8" s="1"/>
      <c r="F8" s="14"/>
      <c r="G8" s="30" t="s">
        <v>34</v>
      </c>
      <c r="H8" s="1"/>
      <c r="I8" s="32">
        <v>0.1</v>
      </c>
      <c r="J8" s="32">
        <v>0.2</v>
      </c>
      <c r="K8" s="33">
        <v>0.25</v>
      </c>
      <c r="L8" s="1"/>
      <c r="M8" s="1"/>
      <c r="N8" s="1"/>
      <c r="O8" s="1"/>
      <c r="P8" s="1"/>
      <c r="Q8" s="1"/>
      <c r="R8" s="1"/>
      <c r="S8" s="1"/>
      <c r="T8" s="1"/>
      <c r="U8" s="1"/>
      <c r="V8" s="1"/>
      <c r="W8" s="1"/>
      <c r="X8" s="1"/>
      <c r="Y8" s="1"/>
      <c r="Z8" s="1"/>
    </row>
    <row r="9">
      <c r="A9" s="1"/>
      <c r="B9" s="1"/>
      <c r="C9" s="29" t="s">
        <v>35</v>
      </c>
      <c r="D9" s="1"/>
      <c r="E9" s="1"/>
      <c r="F9" s="6">
        <v>3.0</v>
      </c>
      <c r="G9" s="30" t="s">
        <v>36</v>
      </c>
      <c r="H9" s="1"/>
      <c r="I9" s="32">
        <v>0.8</v>
      </c>
      <c r="J9" s="32">
        <v>0.7</v>
      </c>
      <c r="K9" s="33">
        <v>0.65</v>
      </c>
      <c r="L9" s="1"/>
      <c r="M9" s="1"/>
      <c r="N9" s="1"/>
      <c r="O9" s="1"/>
      <c r="P9" s="1"/>
      <c r="Q9" s="1"/>
      <c r="R9" s="1"/>
      <c r="S9" s="1"/>
      <c r="T9" s="1"/>
      <c r="U9" s="1"/>
      <c r="V9" s="1"/>
      <c r="W9" s="1"/>
      <c r="X9" s="1"/>
      <c r="Y9" s="1"/>
      <c r="Z9" s="1"/>
    </row>
    <row r="10">
      <c r="A10" s="1"/>
      <c r="B10" s="1"/>
      <c r="C10" s="29" t="s">
        <v>37</v>
      </c>
      <c r="D10" s="1"/>
      <c r="E10" s="1"/>
      <c r="F10" s="6">
        <v>6.0</v>
      </c>
      <c r="G10" s="1"/>
      <c r="H10" s="1"/>
      <c r="I10" s="1"/>
      <c r="J10" s="1"/>
      <c r="K10" s="28"/>
      <c r="L10" s="1"/>
      <c r="M10" s="1"/>
      <c r="N10" s="1"/>
      <c r="O10" s="1"/>
      <c r="P10" s="1"/>
      <c r="Q10" s="1"/>
      <c r="R10" s="1"/>
      <c r="S10" s="1"/>
      <c r="T10" s="1"/>
      <c r="U10" s="1"/>
      <c r="V10" s="1"/>
      <c r="W10" s="1"/>
      <c r="X10" s="1"/>
      <c r="Y10" s="1"/>
      <c r="Z10" s="1"/>
    </row>
    <row r="11">
      <c r="A11" s="1"/>
      <c r="B11" s="1"/>
      <c r="C11" s="29" t="s">
        <v>38</v>
      </c>
      <c r="D11" s="1"/>
      <c r="E11" s="1"/>
      <c r="F11" s="5">
        <v>0.5</v>
      </c>
      <c r="G11" s="2" t="s">
        <v>39</v>
      </c>
      <c r="H11" s="1"/>
      <c r="I11" s="1"/>
      <c r="J11" s="1"/>
      <c r="K11" s="28"/>
      <c r="L11" s="1"/>
      <c r="M11" s="1"/>
      <c r="N11" s="1"/>
      <c r="O11" s="1"/>
      <c r="P11" s="1"/>
      <c r="Q11" s="1"/>
      <c r="R11" s="1"/>
      <c r="S11" s="1"/>
      <c r="T11" s="1"/>
      <c r="U11" s="1"/>
      <c r="V11" s="1"/>
      <c r="W11" s="1"/>
      <c r="X11" s="1"/>
      <c r="Y11" s="1"/>
      <c r="Z11" s="1"/>
    </row>
    <row r="12">
      <c r="A12" s="1"/>
      <c r="B12" s="1"/>
      <c r="C12" s="29" t="s">
        <v>40</v>
      </c>
      <c r="D12" s="1"/>
      <c r="E12" s="1"/>
      <c r="F12" s="5">
        <v>0.5</v>
      </c>
      <c r="G12" s="30" t="s">
        <v>41</v>
      </c>
      <c r="H12" s="1"/>
      <c r="I12" s="1" t="s">
        <v>42</v>
      </c>
      <c r="J12" s="7">
        <f>'Region Staffing'!F12</f>
        <v>6</v>
      </c>
      <c r="K12" s="28"/>
      <c r="L12" s="1"/>
      <c r="M12" s="1"/>
      <c r="N12" s="1"/>
      <c r="O12" s="1"/>
      <c r="P12" s="1"/>
      <c r="Q12" s="1"/>
      <c r="R12" s="1"/>
      <c r="S12" s="1"/>
      <c r="T12" s="1"/>
      <c r="U12" s="1"/>
      <c r="V12" s="1"/>
      <c r="W12" s="1"/>
      <c r="X12" s="1"/>
      <c r="Y12" s="1"/>
      <c r="Z12" s="1"/>
    </row>
    <row r="13">
      <c r="A13" s="1"/>
      <c r="B13" s="1"/>
      <c r="C13" s="29" t="s">
        <v>43</v>
      </c>
      <c r="D13" s="5">
        <v>1.0</v>
      </c>
      <c r="E13" s="5">
        <v>1.0</v>
      </c>
      <c r="F13" s="5">
        <v>0.9</v>
      </c>
      <c r="G13" s="30" t="s">
        <v>44</v>
      </c>
      <c r="H13" s="1"/>
      <c r="I13" s="1" t="s">
        <v>42</v>
      </c>
      <c r="J13" s="7">
        <f>'Region Staffing'!F13</f>
        <v>1</v>
      </c>
      <c r="K13" s="28"/>
      <c r="L13" s="1"/>
      <c r="M13" s="1"/>
      <c r="N13" s="1"/>
      <c r="O13" s="1"/>
      <c r="P13" s="1"/>
      <c r="Q13" s="1"/>
      <c r="R13" s="1"/>
      <c r="S13" s="1"/>
      <c r="T13" s="1"/>
      <c r="U13" s="1"/>
      <c r="V13" s="1"/>
      <c r="W13" s="1"/>
      <c r="X13" s="1"/>
      <c r="Y13" s="1"/>
      <c r="Z13" s="1"/>
    </row>
    <row r="14">
      <c r="A14" s="1"/>
      <c r="B14" s="1"/>
      <c r="C14" s="29" t="s">
        <v>45</v>
      </c>
      <c r="D14" s="5"/>
      <c r="E14" s="5">
        <v>0.1</v>
      </c>
      <c r="F14" s="5">
        <v>0.25</v>
      </c>
      <c r="G14" s="1"/>
      <c r="H14" s="1"/>
      <c r="I14" s="1"/>
      <c r="J14" s="1"/>
      <c r="K14" s="28"/>
      <c r="L14" s="1"/>
      <c r="M14" s="1"/>
      <c r="N14" s="1"/>
      <c r="O14" s="1"/>
      <c r="P14" s="1"/>
      <c r="Q14" s="1"/>
      <c r="R14" s="1"/>
      <c r="S14" s="1"/>
      <c r="T14" s="1"/>
      <c r="U14" s="1"/>
      <c r="V14" s="1"/>
      <c r="W14" s="1"/>
      <c r="X14" s="1"/>
      <c r="Y14" s="1"/>
      <c r="Z14" s="1"/>
    </row>
    <row r="15">
      <c r="A15" s="1"/>
      <c r="B15" s="1"/>
      <c r="C15" s="35" t="s">
        <v>46</v>
      </c>
      <c r="D15" s="36">
        <v>1.0</v>
      </c>
      <c r="E15" s="36">
        <v>0.9</v>
      </c>
      <c r="F15" s="36">
        <v>0.65</v>
      </c>
      <c r="G15" s="37" t="s">
        <v>47</v>
      </c>
      <c r="H15" s="37"/>
      <c r="I15" s="38">
        <f>RSGen_Walton!I148</f>
        <v>9</v>
      </c>
      <c r="J15" s="38">
        <f>RSGen_Walton!J148</f>
        <v>9</v>
      </c>
      <c r="K15" s="39">
        <f>RSGen_Walton!K148</f>
        <v>10</v>
      </c>
      <c r="L15" s="1"/>
      <c r="M15" s="1"/>
      <c r="N15" s="1"/>
      <c r="O15" s="1"/>
      <c r="P15" s="1"/>
      <c r="Q15" s="1"/>
      <c r="R15" s="1"/>
      <c r="S15" s="1"/>
      <c r="T15" s="1"/>
      <c r="U15" s="1"/>
      <c r="V15" s="1"/>
      <c r="W15" s="1"/>
      <c r="X15" s="1"/>
      <c r="Y15" s="1"/>
      <c r="Z15" s="1"/>
    </row>
    <row r="16">
      <c r="A16" s="1"/>
      <c r="B16" s="1"/>
      <c r="C16" s="30"/>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8" t="s">
        <v>4</v>
      </c>
      <c r="E17" s="8" t="s">
        <v>5</v>
      </c>
      <c r="F17" s="8" t="s">
        <v>6</v>
      </c>
      <c r="G17" s="8" t="s">
        <v>7</v>
      </c>
      <c r="H17" s="8" t="s">
        <v>8</v>
      </c>
      <c r="I17" s="8" t="str">
        <f t="shared" ref="I17:W17" si="1">RIGHT(H17,4)&amp;"-"&amp;RIGHT(H17,4)+1</f>
        <v>2015-2016</v>
      </c>
      <c r="J17" s="8" t="str">
        <f t="shared" si="1"/>
        <v>2016-2017</v>
      </c>
      <c r="K17" s="8" t="str">
        <f t="shared" si="1"/>
        <v>2017-2018</v>
      </c>
      <c r="L17" s="8" t="str">
        <f t="shared" si="1"/>
        <v>2018-2019</v>
      </c>
      <c r="M17" s="8" t="str">
        <f t="shared" si="1"/>
        <v>2019-2020</v>
      </c>
      <c r="N17" s="8" t="str">
        <f t="shared" si="1"/>
        <v>2020-2021</v>
      </c>
      <c r="O17" s="8" t="str">
        <f t="shared" si="1"/>
        <v>2021-2022</v>
      </c>
      <c r="P17" s="8" t="str">
        <f t="shared" si="1"/>
        <v>2022-2023</v>
      </c>
      <c r="Q17" s="8" t="str">
        <f t="shared" si="1"/>
        <v>2023-2024</v>
      </c>
      <c r="R17" s="8" t="str">
        <f t="shared" si="1"/>
        <v>2024-2025</v>
      </c>
      <c r="S17" s="8" t="str">
        <f t="shared" si="1"/>
        <v>2025-2026</v>
      </c>
      <c r="T17" s="8" t="str">
        <f t="shared" si="1"/>
        <v>2026-2027</v>
      </c>
      <c r="U17" s="8" t="str">
        <f t="shared" si="1"/>
        <v>2027-2028</v>
      </c>
      <c r="V17" s="8" t="str">
        <f t="shared" si="1"/>
        <v>2028-2029</v>
      </c>
      <c r="W17" s="8" t="str">
        <f t="shared" si="1"/>
        <v>2029-2030</v>
      </c>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2" t="s">
        <v>48</v>
      </c>
      <c r="D19" s="9">
        <f>'LD Analysis'!G4</f>
        <v>3</v>
      </c>
      <c r="E19" s="9">
        <f>'LD Analysis'!H4</f>
        <v>5</v>
      </c>
      <c r="F19" s="9">
        <f>'LD Analysis'!I4</f>
        <v>8</v>
      </c>
      <c r="G19" s="9">
        <f>'LD Analysis'!J4</f>
        <v>13</v>
      </c>
      <c r="H19" s="9">
        <f>'LD Analysis'!K4</f>
        <v>21</v>
      </c>
      <c r="I19" s="9">
        <f>'LD Analysis'!L4</f>
        <v>34</v>
      </c>
      <c r="J19" s="9">
        <f>'LD Analysis'!M4</f>
        <v>56</v>
      </c>
      <c r="K19" s="9">
        <f>'LD Analysis'!N4</f>
        <v>90</v>
      </c>
      <c r="L19" s="9">
        <f>'LD Analysis'!O4</f>
        <v>135</v>
      </c>
      <c r="M19" s="9">
        <f>'LD Analysis'!P4</f>
        <v>180</v>
      </c>
      <c r="N19" s="9">
        <f>'LD Analysis'!Q4</f>
        <v>246</v>
      </c>
      <c r="O19" s="9">
        <f>'LD Analysis'!R4</f>
        <v>326</v>
      </c>
      <c r="P19" s="9">
        <f>'LD Analysis'!S4</f>
        <v>468</v>
      </c>
      <c r="Q19" s="9">
        <f>'LD Analysis'!T4</f>
        <v>661</v>
      </c>
      <c r="R19" s="9">
        <f>'LD Analysis'!U4</f>
        <v>903</v>
      </c>
      <c r="S19" s="9">
        <f>'LD Analysis'!V4</f>
        <v>1176</v>
      </c>
      <c r="T19" s="9">
        <f>'LD Analysis'!W4</f>
        <v>1500</v>
      </c>
      <c r="U19" s="9">
        <f>'LD Analysis'!X4</f>
        <v>1850</v>
      </c>
      <c r="V19" s="9">
        <f>'LD Analysis'!Y4</f>
        <v>2195</v>
      </c>
      <c r="W19" s="9">
        <f>'LD Analysis'!Z4</f>
        <v>2467</v>
      </c>
      <c r="X19" s="1"/>
      <c r="Y19" s="1"/>
      <c r="Z19" s="1"/>
    </row>
    <row r="20" ht="8.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2" t="s">
        <v>49</v>
      </c>
      <c r="D21" s="9">
        <f>'LD Analysis'!G14</f>
        <v>1</v>
      </c>
      <c r="E21" s="9">
        <f>'LD Analysis'!H14</f>
        <v>2</v>
      </c>
      <c r="F21" s="9">
        <f>'LD Analysis'!I14</f>
        <v>3</v>
      </c>
      <c r="G21" s="9">
        <f>'LD Analysis'!J14</f>
        <v>5</v>
      </c>
      <c r="H21" s="9">
        <f>'LD Analysis'!K14</f>
        <v>8</v>
      </c>
      <c r="I21" s="9">
        <f>'LD Analysis'!L14</f>
        <v>13</v>
      </c>
      <c r="J21" s="9">
        <f>'LD Analysis'!M14</f>
        <v>22</v>
      </c>
      <c r="K21" s="9">
        <f>'LD Analysis'!N14</f>
        <v>34</v>
      </c>
      <c r="L21" s="9">
        <f>'LD Analysis'!O14</f>
        <v>45</v>
      </c>
      <c r="M21" s="9">
        <f>'LD Analysis'!P14</f>
        <v>45</v>
      </c>
      <c r="N21" s="9">
        <f>'LD Analysis'!Q14</f>
        <v>66</v>
      </c>
      <c r="O21" s="9">
        <f>'LD Analysis'!R14</f>
        <v>80</v>
      </c>
      <c r="P21" s="9">
        <f>'LD Analysis'!S14</f>
        <v>142</v>
      </c>
      <c r="Q21" s="9">
        <f>'LD Analysis'!T14</f>
        <v>193</v>
      </c>
      <c r="R21" s="9">
        <f>'LD Analysis'!U14</f>
        <v>242</v>
      </c>
      <c r="S21" s="9">
        <f>'LD Analysis'!V14</f>
        <v>273</v>
      </c>
      <c r="T21" s="9">
        <f>'LD Analysis'!W14</f>
        <v>324</v>
      </c>
      <c r="U21" s="9">
        <f>'LD Analysis'!X14</f>
        <v>350</v>
      </c>
      <c r="V21" s="9">
        <f>'LD Analysis'!Y14</f>
        <v>345</v>
      </c>
      <c r="W21" s="9">
        <f>'LD Analysis'!Z14</f>
        <v>272</v>
      </c>
      <c r="X21" s="1"/>
      <c r="Y21" s="1"/>
      <c r="Z21" s="1"/>
    </row>
    <row r="22" ht="15.75" customHeight="1">
      <c r="A22" s="1"/>
      <c r="B22" s="1"/>
      <c r="C22" s="2" t="s">
        <v>50</v>
      </c>
      <c r="D22" s="9">
        <f>'LD Analysis'!G15</f>
        <v>2</v>
      </c>
      <c r="E22" s="9">
        <f>'LD Analysis'!H15</f>
        <v>3</v>
      </c>
      <c r="F22" s="9">
        <f>'LD Analysis'!I15</f>
        <v>5</v>
      </c>
      <c r="G22" s="9">
        <f>'LD Analysis'!J15</f>
        <v>8</v>
      </c>
      <c r="H22" s="9">
        <f>'LD Analysis'!K15</f>
        <v>13</v>
      </c>
      <c r="I22" s="9">
        <f>'LD Analysis'!L15</f>
        <v>22</v>
      </c>
      <c r="J22" s="9">
        <f>'LD Analysis'!M15</f>
        <v>34</v>
      </c>
      <c r="K22" s="9">
        <f>'LD Analysis'!N15</f>
        <v>45</v>
      </c>
      <c r="L22" s="9">
        <f>'LD Analysis'!O15</f>
        <v>45</v>
      </c>
      <c r="M22" s="9">
        <f>'LD Analysis'!P15</f>
        <v>66</v>
      </c>
      <c r="N22" s="9">
        <f>'LD Analysis'!Q15</f>
        <v>80</v>
      </c>
      <c r="O22" s="9">
        <f>'LD Analysis'!R15</f>
        <v>142</v>
      </c>
      <c r="P22" s="9">
        <f>'LD Analysis'!S15</f>
        <v>193</v>
      </c>
      <c r="Q22" s="9">
        <f>'LD Analysis'!T15</f>
        <v>242</v>
      </c>
      <c r="R22" s="9">
        <f>'LD Analysis'!U15</f>
        <v>273</v>
      </c>
      <c r="S22" s="9">
        <f>'LD Analysis'!V15</f>
        <v>324</v>
      </c>
      <c r="T22" s="9">
        <f>'LD Analysis'!W15</f>
        <v>350</v>
      </c>
      <c r="U22" s="9">
        <f>'LD Analysis'!X15</f>
        <v>345</v>
      </c>
      <c r="V22" s="9">
        <f>'LD Analysis'!Y15</f>
        <v>272</v>
      </c>
      <c r="W22" s="9">
        <f>'LD Analysis'!Z15</f>
        <v>33</v>
      </c>
      <c r="X22" s="1"/>
      <c r="Y22" s="1"/>
      <c r="Z22" s="1"/>
    </row>
    <row r="23" ht="15.75" customHeight="1">
      <c r="A23" s="1"/>
      <c r="B23" s="1"/>
      <c r="C23" s="2" t="s">
        <v>51</v>
      </c>
      <c r="D23" s="14">
        <f>'LD Analysis'!G18</f>
        <v>4</v>
      </c>
      <c r="E23" s="14">
        <f>'LD Analysis'!H18</f>
        <v>6</v>
      </c>
      <c r="F23" s="14">
        <f>'LD Analysis'!I18</f>
        <v>10</v>
      </c>
      <c r="G23" s="14">
        <f>'LD Analysis'!J18</f>
        <v>17</v>
      </c>
      <c r="H23" s="14">
        <f>'LD Analysis'!K18</f>
        <v>28</v>
      </c>
      <c r="I23" s="14">
        <f>'LD Analysis'!L18</f>
        <v>44</v>
      </c>
      <c r="J23" s="14">
        <f>'LD Analysis'!M18</f>
        <v>56</v>
      </c>
      <c r="K23" s="14">
        <f>'LD Analysis'!N18</f>
        <v>52</v>
      </c>
      <c r="L23" s="14">
        <f>'LD Analysis'!O18</f>
        <v>85</v>
      </c>
      <c r="M23" s="14">
        <f>'LD Analysis'!P18</f>
        <v>97</v>
      </c>
      <c r="N23" s="14">
        <f>'LD Analysis'!Q18</f>
        <v>187</v>
      </c>
      <c r="O23" s="14">
        <f>'LD Analysis'!R18</f>
        <v>242</v>
      </c>
      <c r="P23" s="14">
        <f>'LD Analysis'!S18</f>
        <v>298</v>
      </c>
      <c r="Q23" s="14">
        <f>'LD Analysis'!T18</f>
        <v>327</v>
      </c>
      <c r="R23" s="14">
        <f>'LD Analysis'!U18</f>
        <v>393</v>
      </c>
      <c r="S23" s="14">
        <f>'LD Analysis'!V18</f>
        <v>413</v>
      </c>
      <c r="T23" s="14">
        <f>'LD Analysis'!W18</f>
        <v>396</v>
      </c>
      <c r="U23" s="14">
        <f>'LD Analysis'!X18</f>
        <v>285</v>
      </c>
      <c r="V23" s="14">
        <f>'LD Analysis'!Y18</f>
        <v>-54</v>
      </c>
      <c r="W23" s="14">
        <f>'LD Analysis'!Z18</f>
        <v>-13</v>
      </c>
      <c r="X23" s="1"/>
      <c r="Y23" s="1"/>
      <c r="Z23" s="1"/>
    </row>
    <row r="24" ht="8.25" customHeight="1">
      <c r="A24" s="1"/>
      <c r="B24" s="1"/>
      <c r="C24" s="2"/>
      <c r="D24" s="14"/>
      <c r="E24" s="14"/>
      <c r="F24" s="14"/>
      <c r="G24" s="14"/>
      <c r="H24" s="14"/>
      <c r="I24" s="14"/>
      <c r="J24" s="14"/>
      <c r="K24" s="14"/>
      <c r="L24" s="14"/>
      <c r="M24" s="14"/>
      <c r="N24" s="14"/>
      <c r="O24" s="14"/>
      <c r="P24" s="14"/>
      <c r="Q24" s="14"/>
      <c r="R24" s="14"/>
      <c r="S24" s="14"/>
      <c r="T24" s="14"/>
      <c r="U24" s="14"/>
      <c r="V24" s="14"/>
      <c r="W24" s="14"/>
      <c r="X24" s="1"/>
      <c r="Y24" s="1"/>
      <c r="Z24" s="1"/>
    </row>
    <row r="25" ht="15.75" customHeight="1">
      <c r="A25" s="1"/>
      <c r="B25" s="1"/>
      <c r="C25" s="2" t="s">
        <v>52</v>
      </c>
      <c r="D25" s="14">
        <f>'LD Analysis'!G27</f>
        <v>0</v>
      </c>
      <c r="E25" s="14">
        <f>'LD Analysis'!H27</f>
        <v>3</v>
      </c>
      <c r="F25" s="14">
        <f>'LD Analysis'!I27</f>
        <v>0</v>
      </c>
      <c r="G25" s="9">
        <f>'LD Analysis'!J27</f>
        <v>4</v>
      </c>
      <c r="H25" s="9">
        <f>'LD Analysis'!K27</f>
        <v>7</v>
      </c>
      <c r="I25" s="9">
        <f>'LD Analysis'!L27</f>
        <v>11</v>
      </c>
      <c r="J25" s="9">
        <f>'LD Analysis'!M27</f>
        <v>17</v>
      </c>
      <c r="K25" s="9">
        <f>'LD Analysis'!N27</f>
        <v>25</v>
      </c>
      <c r="L25" s="9">
        <f>'LD Analysis'!O27</f>
        <v>33</v>
      </c>
      <c r="M25" s="9">
        <f>'LD Analysis'!P27</f>
        <v>31</v>
      </c>
      <c r="N25" s="9">
        <f>'LD Analysis'!Q27</f>
        <v>51</v>
      </c>
      <c r="O25" s="9">
        <f>'LD Analysis'!R27</f>
        <v>72</v>
      </c>
      <c r="P25" s="9">
        <f>'LD Analysis'!S27</f>
        <v>88</v>
      </c>
      <c r="Q25" s="9">
        <f>'LD Analysis'!T27</f>
        <v>132</v>
      </c>
      <c r="R25" s="9">
        <f>'LD Analysis'!U27</f>
        <v>153</v>
      </c>
      <c r="S25" s="9">
        <f>'LD Analysis'!V27</f>
        <v>216</v>
      </c>
      <c r="T25" s="9">
        <f>'LD Analysis'!W27</f>
        <v>274</v>
      </c>
      <c r="U25" s="9">
        <f>'LD Analysis'!X27</f>
        <v>335</v>
      </c>
      <c r="V25" s="9">
        <f>'LD Analysis'!Y27</f>
        <v>364</v>
      </c>
      <c r="W25" s="9">
        <f>'LD Analysis'!Z27</f>
        <v>456</v>
      </c>
      <c r="X25" s="1"/>
      <c r="Y25" s="1"/>
      <c r="Z25" s="1"/>
    </row>
    <row r="26" ht="15.75" customHeight="1">
      <c r="A26" s="1"/>
      <c r="B26" s="1"/>
      <c r="C26" s="2" t="s">
        <v>53</v>
      </c>
      <c r="D26" s="14">
        <f>'LD Analysis'!G30</f>
        <v>2</v>
      </c>
      <c r="E26" s="14">
        <f>'LD Analysis'!H30</f>
        <v>0</v>
      </c>
      <c r="F26" s="14">
        <f>'LD Analysis'!I30</f>
        <v>3</v>
      </c>
      <c r="G26" s="14">
        <f>'LD Analysis'!J30</f>
        <v>4</v>
      </c>
      <c r="H26" s="14">
        <f>'LD Analysis'!K30</f>
        <v>7</v>
      </c>
      <c r="I26" s="14">
        <f>'LD Analysis'!L30</f>
        <v>10</v>
      </c>
      <c r="J26" s="14">
        <f>'LD Analysis'!M30</f>
        <v>14</v>
      </c>
      <c r="K26" s="14">
        <f>'LD Analysis'!N30</f>
        <v>19</v>
      </c>
      <c r="L26" s="14">
        <f>'LD Analysis'!O30</f>
        <v>18</v>
      </c>
      <c r="M26" s="14">
        <f>'LD Analysis'!P30</f>
        <v>29</v>
      </c>
      <c r="N26" s="14">
        <f>'LD Analysis'!Q30</f>
        <v>40</v>
      </c>
      <c r="O26" s="14">
        <f>'LD Analysis'!R30</f>
        <v>49</v>
      </c>
      <c r="P26" s="14">
        <f>'LD Analysis'!S30</f>
        <v>74</v>
      </c>
      <c r="Q26" s="14">
        <f>'LD Analysis'!T30</f>
        <v>85</v>
      </c>
      <c r="R26" s="14">
        <f>'LD Analysis'!U30</f>
        <v>120</v>
      </c>
      <c r="S26" s="14">
        <f>'LD Analysis'!V30</f>
        <v>153</v>
      </c>
      <c r="T26" s="14">
        <f>'LD Analysis'!W30</f>
        <v>187</v>
      </c>
      <c r="U26" s="14">
        <f>'LD Analysis'!X30</f>
        <v>203</v>
      </c>
      <c r="V26" s="14">
        <f>'LD Analysis'!Y30</f>
        <v>254</v>
      </c>
      <c r="W26" s="14">
        <f>'LD Analysis'!Z30</f>
        <v>280</v>
      </c>
      <c r="X26" s="1"/>
      <c r="Y26" s="1"/>
      <c r="Z26" s="1"/>
    </row>
    <row r="27" ht="15.75" customHeight="1">
      <c r="A27" s="1"/>
      <c r="B27" s="1"/>
      <c r="C27" s="2" t="s">
        <v>54</v>
      </c>
      <c r="D27" s="14">
        <f>'LD Analysis'!G32</f>
        <v>1</v>
      </c>
      <c r="E27" s="14">
        <f>'LD Analysis'!H32</f>
        <v>0</v>
      </c>
      <c r="F27" s="9">
        <f>'LD Analysis'!I32</f>
        <v>1</v>
      </c>
      <c r="G27" s="9">
        <f>'LD Analysis'!J32</f>
        <v>3</v>
      </c>
      <c r="H27" s="9">
        <f>'LD Analysis'!K32</f>
        <v>4</v>
      </c>
      <c r="I27" s="9">
        <f>'LD Analysis'!L32</f>
        <v>8</v>
      </c>
      <c r="J27" s="9">
        <f>'LD Analysis'!M32</f>
        <v>12</v>
      </c>
      <c r="K27" s="9">
        <f>'LD Analysis'!N32</f>
        <v>16</v>
      </c>
      <c r="L27" s="9">
        <f>'LD Analysis'!O32</f>
        <v>15</v>
      </c>
      <c r="M27" s="9">
        <f>'LD Analysis'!P32</f>
        <v>25</v>
      </c>
      <c r="N27" s="9">
        <f>'LD Analysis'!Q32</f>
        <v>36</v>
      </c>
      <c r="O27" s="9">
        <f>'LD Analysis'!R32</f>
        <v>44</v>
      </c>
      <c r="P27" s="9">
        <f>'LD Analysis'!S32</f>
        <v>65</v>
      </c>
      <c r="Q27" s="9">
        <f>'LD Analysis'!T32</f>
        <v>76</v>
      </c>
      <c r="R27" s="9">
        <f>'LD Analysis'!U32</f>
        <v>108</v>
      </c>
      <c r="S27" s="9">
        <f>'LD Analysis'!V32</f>
        <v>136</v>
      </c>
      <c r="T27" s="9">
        <f>'LD Analysis'!W32</f>
        <v>167</v>
      </c>
      <c r="U27" s="9">
        <f>'LD Analysis'!X32</f>
        <v>181</v>
      </c>
      <c r="V27" s="9">
        <f>'LD Analysis'!Y32</f>
        <v>227</v>
      </c>
      <c r="W27" s="9">
        <f>'LD Analysis'!Z32</f>
        <v>251</v>
      </c>
      <c r="X27" s="1"/>
      <c r="Y27" s="1"/>
      <c r="Z27" s="1"/>
    </row>
    <row r="28" ht="15.75" customHeight="1">
      <c r="A28" s="1"/>
      <c r="B28" s="1"/>
      <c r="C28" s="2" t="s">
        <v>55</v>
      </c>
      <c r="D28" s="14">
        <f>'LD Analysis'!G36</f>
        <v>0</v>
      </c>
      <c r="E28" s="14">
        <f>'LD Analysis'!H36</f>
        <v>3</v>
      </c>
      <c r="F28" s="14">
        <f>'LD Analysis'!I36</f>
        <v>5</v>
      </c>
      <c r="G28" s="14">
        <f>'LD Analysis'!J36</f>
        <v>7</v>
      </c>
      <c r="H28" s="14">
        <f>'LD Analysis'!K36</f>
        <v>11</v>
      </c>
      <c r="I28" s="14">
        <f>'LD Analysis'!L36</f>
        <v>19</v>
      </c>
      <c r="J28" s="14">
        <f>'LD Analysis'!M36</f>
        <v>25</v>
      </c>
      <c r="K28" s="14">
        <f>'LD Analysis'!N36</f>
        <v>22</v>
      </c>
      <c r="L28" s="14">
        <f>'LD Analysis'!O36</f>
        <v>39</v>
      </c>
      <c r="M28" s="14">
        <f>'LD Analysis'!P36</f>
        <v>52</v>
      </c>
      <c r="N28" s="14">
        <f>'LD Analysis'!Q36</f>
        <v>63</v>
      </c>
      <c r="O28" s="14">
        <f>'LD Analysis'!R36</f>
        <v>98</v>
      </c>
      <c r="P28" s="14">
        <f>'LD Analysis'!S36</f>
        <v>106</v>
      </c>
      <c r="Q28" s="14">
        <f>'LD Analysis'!T36</f>
        <v>158</v>
      </c>
      <c r="R28" s="14">
        <f>'LD Analysis'!U36</f>
        <v>196</v>
      </c>
      <c r="S28" s="14">
        <f>'LD Analysis'!V36</f>
        <v>239</v>
      </c>
      <c r="T28" s="14">
        <f>'LD Analysis'!W36</f>
        <v>253</v>
      </c>
      <c r="U28" s="14">
        <f>'LD Analysis'!X36</f>
        <v>328</v>
      </c>
      <c r="V28" s="14">
        <f>'LD Analysis'!Y36</f>
        <v>349</v>
      </c>
      <c r="W28" s="14">
        <f>'LD Analysis'!Z36</f>
        <v>393</v>
      </c>
      <c r="X28" s="1"/>
      <c r="Y28" s="1"/>
      <c r="Z28" s="1"/>
    </row>
    <row r="29" ht="8.25" customHeight="1">
      <c r="A29" s="1"/>
      <c r="B29" s="1"/>
      <c r="C29" s="2"/>
      <c r="D29" s="14"/>
      <c r="E29" s="14"/>
      <c r="F29" s="14"/>
      <c r="G29" s="14"/>
      <c r="H29" s="14"/>
      <c r="I29" s="14"/>
      <c r="J29" s="14"/>
      <c r="K29" s="14"/>
      <c r="L29" s="14"/>
      <c r="M29" s="14"/>
      <c r="N29" s="14"/>
      <c r="O29" s="14"/>
      <c r="P29" s="14"/>
      <c r="Q29" s="14"/>
      <c r="R29" s="14"/>
      <c r="S29" s="14"/>
      <c r="T29" s="14"/>
      <c r="U29" s="14"/>
      <c r="V29" s="14"/>
      <c r="W29" s="14"/>
      <c r="X29" s="1"/>
      <c r="Y29" s="1"/>
      <c r="Z29" s="1"/>
    </row>
    <row r="30" ht="15.75" customHeight="1">
      <c r="A30" s="1"/>
      <c r="B30" s="1"/>
      <c r="C30" s="2" t="s">
        <v>56</v>
      </c>
      <c r="D30" s="9">
        <f>'LD Analysis'!G45</f>
        <v>1</v>
      </c>
      <c r="E30" s="9">
        <f>'LD Analysis'!H45</f>
        <v>3</v>
      </c>
      <c r="F30" s="9">
        <f>'LD Analysis'!I45</f>
        <v>3</v>
      </c>
      <c r="G30" s="9">
        <f>'LD Analysis'!J45</f>
        <v>6</v>
      </c>
      <c r="H30" s="9">
        <f>'LD Analysis'!K45</f>
        <v>13</v>
      </c>
      <c r="I30" s="9">
        <f>'LD Analysis'!L45</f>
        <v>18</v>
      </c>
      <c r="J30" s="9">
        <f>'LD Analysis'!M45</f>
        <v>33</v>
      </c>
      <c r="K30" s="9">
        <f>'LD Analysis'!N45</f>
        <v>49</v>
      </c>
      <c r="L30" s="9">
        <f>'LD Analysis'!O45</f>
        <v>67</v>
      </c>
      <c r="M30" s="9">
        <f>'LD Analysis'!P45</f>
        <v>73</v>
      </c>
      <c r="N30" s="9">
        <f>'LD Analysis'!Q45</f>
        <v>109</v>
      </c>
      <c r="O30" s="9">
        <f>'LD Analysis'!R45</f>
        <v>149</v>
      </c>
      <c r="P30" s="9">
        <f>'LD Analysis'!S45</f>
        <v>235</v>
      </c>
      <c r="Q30" s="9">
        <f>'LD Analysis'!T45</f>
        <v>325</v>
      </c>
      <c r="R30" s="9">
        <f>'LD Analysis'!U45</f>
        <v>391</v>
      </c>
      <c r="S30" s="9">
        <f>'LD Analysis'!V45</f>
        <v>490</v>
      </c>
      <c r="T30" s="9">
        <f>'LD Analysis'!W45</f>
        <v>609</v>
      </c>
      <c r="U30" s="9">
        <f>'LD Analysis'!X45</f>
        <v>752</v>
      </c>
      <c r="V30" s="9">
        <f>'LD Analysis'!Y45</f>
        <v>851</v>
      </c>
      <c r="W30" s="9">
        <f>'LD Analysis'!Z45</f>
        <v>890</v>
      </c>
      <c r="X30" s="1"/>
      <c r="Y30" s="1"/>
      <c r="Z30" s="1"/>
    </row>
    <row r="31" ht="15.75" customHeight="1">
      <c r="A31" s="1"/>
      <c r="B31" s="1"/>
      <c r="C31" s="2" t="s">
        <v>57</v>
      </c>
      <c r="D31" s="14">
        <f>'LD Analysis'!G49</f>
        <v>3</v>
      </c>
      <c r="E31" s="14">
        <f>'LD Analysis'!H49</f>
        <v>3</v>
      </c>
      <c r="F31" s="14">
        <f>'LD Analysis'!I49</f>
        <v>7</v>
      </c>
      <c r="G31" s="14">
        <f>'LD Analysis'!J49</f>
        <v>14</v>
      </c>
      <c r="H31" s="14">
        <f>'LD Analysis'!K49</f>
        <v>19</v>
      </c>
      <c r="I31" s="14">
        <f>'LD Analysis'!L49</f>
        <v>37</v>
      </c>
      <c r="J31" s="14">
        <f>'LD Analysis'!M49</f>
        <v>54</v>
      </c>
      <c r="K31" s="14">
        <f>'LD Analysis'!N49</f>
        <v>74</v>
      </c>
      <c r="L31" s="14">
        <f>'LD Analysis'!O49</f>
        <v>81</v>
      </c>
      <c r="M31" s="14">
        <f>'LD Analysis'!P49</f>
        <v>121</v>
      </c>
      <c r="N31" s="14">
        <f>'LD Analysis'!Q49</f>
        <v>166</v>
      </c>
      <c r="O31" s="14">
        <f>'LD Analysis'!R49</f>
        <v>261</v>
      </c>
      <c r="P31" s="14">
        <f>'LD Analysis'!S49</f>
        <v>361</v>
      </c>
      <c r="Q31" s="14">
        <f>'LD Analysis'!T49</f>
        <v>434</v>
      </c>
      <c r="R31" s="14">
        <f>'LD Analysis'!U49</f>
        <v>544</v>
      </c>
      <c r="S31" s="14">
        <f>'LD Analysis'!V49</f>
        <v>677</v>
      </c>
      <c r="T31" s="14">
        <f>'LD Analysis'!W49</f>
        <v>836</v>
      </c>
      <c r="U31" s="14">
        <f>'LD Analysis'!X49</f>
        <v>946</v>
      </c>
      <c r="V31" s="14">
        <f>'LD Analysis'!Y49</f>
        <v>989</v>
      </c>
      <c r="W31" s="14">
        <f>'LD Analysis'!Z49</f>
        <v>860</v>
      </c>
      <c r="X31" s="1"/>
      <c r="Y31" s="1"/>
      <c r="Z31" s="1"/>
    </row>
    <row r="32" ht="15.75" customHeight="1">
      <c r="A32" s="1"/>
      <c r="B32" s="1"/>
      <c r="C32" s="2" t="s">
        <v>58</v>
      </c>
      <c r="D32" s="14">
        <f>'LD Analysis'!G54</f>
        <v>4</v>
      </c>
      <c r="E32" s="14">
        <f>'LD Analysis'!H54</f>
        <v>9</v>
      </c>
      <c r="F32" s="14">
        <f>'LD Analysis'!I54</f>
        <v>18</v>
      </c>
      <c r="G32" s="14">
        <f>'LD Analysis'!J54</f>
        <v>23</v>
      </c>
      <c r="H32" s="14">
        <f>'LD Analysis'!K54</f>
        <v>48</v>
      </c>
      <c r="I32" s="14">
        <f>'LD Analysis'!L54</f>
        <v>70</v>
      </c>
      <c r="J32" s="14">
        <f>'LD Analysis'!M54</f>
        <v>93</v>
      </c>
      <c r="K32" s="14">
        <f>'LD Analysis'!N54</f>
        <v>96</v>
      </c>
      <c r="L32" s="14">
        <f>'LD Analysis'!O54</f>
        <v>155</v>
      </c>
      <c r="M32" s="14">
        <f>'LD Analysis'!P54</f>
        <v>208</v>
      </c>
      <c r="N32" s="14">
        <f>'LD Analysis'!Q54</f>
        <v>338</v>
      </c>
      <c r="O32" s="14">
        <f>'LD Analysis'!R54</f>
        <v>454</v>
      </c>
      <c r="P32" s="14">
        <f>'LD Analysis'!S54</f>
        <v>529</v>
      </c>
      <c r="Q32" s="14">
        <f>'LD Analysis'!T54</f>
        <v>670</v>
      </c>
      <c r="R32" s="14">
        <f>'LD Analysis'!U54</f>
        <v>833</v>
      </c>
      <c r="S32" s="14">
        <f>'LD Analysis'!V54</f>
        <v>1025</v>
      </c>
      <c r="T32" s="14">
        <f>'LD Analysis'!W54</f>
        <v>1133</v>
      </c>
      <c r="U32" s="14">
        <f>'LD Analysis'!X54</f>
        <v>1158</v>
      </c>
      <c r="V32" s="14">
        <f>'LD Analysis'!Y54</f>
        <v>942</v>
      </c>
      <c r="W32" s="14">
        <f>'LD Analysis'!Z54</f>
        <v>1189</v>
      </c>
      <c r="X32" s="1"/>
      <c r="Y32" s="1"/>
      <c r="Z32" s="1"/>
    </row>
    <row r="33" ht="8.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2" t="s">
        <v>59</v>
      </c>
      <c r="D34" s="40">
        <f>'RS1'!L146+'RS2'!L146+'RS3'!L135</f>
        <v>43</v>
      </c>
      <c r="E34" s="40">
        <f>'RS1'!M146+'RS2'!M146+'RS3'!M135+(E19-D19)*'RS3'!L135</f>
        <v>71</v>
      </c>
      <c r="F34" s="40">
        <f>'RS1'!N146+'RS2'!N146+'RS3'!N135+(F19-E19)*'RS3'!M135</f>
        <v>91</v>
      </c>
      <c r="G34" s="40">
        <f t="shared" ref="G34:W34" si="2">F34+($K$15-$J$15)*(E19-D19)+($J$15-$I$15)*(F19-E19)+$I$15*(G19-F19)</f>
        <v>138</v>
      </c>
      <c r="H34" s="40">
        <f t="shared" si="2"/>
        <v>213</v>
      </c>
      <c r="I34" s="40">
        <f t="shared" si="2"/>
        <v>335</v>
      </c>
      <c r="J34" s="40">
        <f t="shared" si="2"/>
        <v>541</v>
      </c>
      <c r="K34" s="40">
        <f t="shared" si="2"/>
        <v>860</v>
      </c>
      <c r="L34" s="40">
        <f t="shared" si="2"/>
        <v>1287</v>
      </c>
      <c r="M34" s="40">
        <f t="shared" si="2"/>
        <v>1726</v>
      </c>
      <c r="N34" s="40">
        <f t="shared" si="2"/>
        <v>2365</v>
      </c>
      <c r="O34" s="40">
        <f t="shared" si="2"/>
        <v>3130</v>
      </c>
      <c r="P34" s="40">
        <f t="shared" si="2"/>
        <v>4474</v>
      </c>
      <c r="Q34" s="40">
        <f t="shared" si="2"/>
        <v>6291</v>
      </c>
      <c r="R34" s="40">
        <f t="shared" si="2"/>
        <v>8611</v>
      </c>
      <c r="S34" s="40">
        <f t="shared" si="2"/>
        <v>11261</v>
      </c>
      <c r="T34" s="40">
        <f t="shared" si="2"/>
        <v>14419</v>
      </c>
      <c r="U34" s="40">
        <f t="shared" si="2"/>
        <v>17842</v>
      </c>
      <c r="V34" s="40">
        <f t="shared" si="2"/>
        <v>21271</v>
      </c>
      <c r="W34" s="40">
        <f t="shared" si="2"/>
        <v>24069</v>
      </c>
      <c r="X34" s="1"/>
      <c r="Y34" s="1"/>
      <c r="Z34" s="1"/>
    </row>
    <row r="35" ht="15.75" customHeight="1">
      <c r="A35" s="1"/>
      <c r="B35" s="1"/>
      <c r="C35" s="27" t="s">
        <v>60</v>
      </c>
      <c r="D35" s="14"/>
      <c r="E35" s="9">
        <f t="shared" ref="E35:W35" si="3">E22</f>
        <v>3</v>
      </c>
      <c r="F35" s="9">
        <f t="shared" si="3"/>
        <v>5</v>
      </c>
      <c r="G35" s="9">
        <f t="shared" si="3"/>
        <v>8</v>
      </c>
      <c r="H35" s="9">
        <f t="shared" si="3"/>
        <v>13</v>
      </c>
      <c r="I35" s="9">
        <f t="shared" si="3"/>
        <v>22</v>
      </c>
      <c r="J35" s="9">
        <f t="shared" si="3"/>
        <v>34</v>
      </c>
      <c r="K35" s="9">
        <f t="shared" si="3"/>
        <v>45</v>
      </c>
      <c r="L35" s="9">
        <f t="shared" si="3"/>
        <v>45</v>
      </c>
      <c r="M35" s="9">
        <f t="shared" si="3"/>
        <v>66</v>
      </c>
      <c r="N35" s="9">
        <f t="shared" si="3"/>
        <v>80</v>
      </c>
      <c r="O35" s="9">
        <f t="shared" si="3"/>
        <v>142</v>
      </c>
      <c r="P35" s="9">
        <f t="shared" si="3"/>
        <v>193</v>
      </c>
      <c r="Q35" s="9">
        <f t="shared" si="3"/>
        <v>242</v>
      </c>
      <c r="R35" s="9">
        <f t="shared" si="3"/>
        <v>273</v>
      </c>
      <c r="S35" s="9">
        <f t="shared" si="3"/>
        <v>324</v>
      </c>
      <c r="T35" s="9">
        <f t="shared" si="3"/>
        <v>350</v>
      </c>
      <c r="U35" s="9">
        <f t="shared" si="3"/>
        <v>345</v>
      </c>
      <c r="V35" s="9">
        <f t="shared" si="3"/>
        <v>272</v>
      </c>
      <c r="W35" s="9">
        <f t="shared" si="3"/>
        <v>33</v>
      </c>
      <c r="X35" s="1"/>
      <c r="Y35" s="1"/>
      <c r="Z35" s="1"/>
    </row>
    <row r="36" ht="15.75" customHeight="1">
      <c r="A36" s="1"/>
      <c r="B36" s="1"/>
      <c r="C36" s="27" t="s">
        <v>61</v>
      </c>
      <c r="D36" s="14"/>
      <c r="E36" s="9">
        <f t="shared" ref="E36:W36" si="4">E30</f>
        <v>3</v>
      </c>
      <c r="F36" s="9">
        <f t="shared" si="4"/>
        <v>3</v>
      </c>
      <c r="G36" s="9">
        <f t="shared" si="4"/>
        <v>6</v>
      </c>
      <c r="H36" s="9">
        <f t="shared" si="4"/>
        <v>13</v>
      </c>
      <c r="I36" s="9">
        <f t="shared" si="4"/>
        <v>18</v>
      </c>
      <c r="J36" s="9">
        <f t="shared" si="4"/>
        <v>33</v>
      </c>
      <c r="K36" s="9">
        <f t="shared" si="4"/>
        <v>49</v>
      </c>
      <c r="L36" s="9">
        <f t="shared" si="4"/>
        <v>67</v>
      </c>
      <c r="M36" s="9">
        <f t="shared" si="4"/>
        <v>73</v>
      </c>
      <c r="N36" s="9">
        <f t="shared" si="4"/>
        <v>109</v>
      </c>
      <c r="O36" s="9">
        <f t="shared" si="4"/>
        <v>149</v>
      </c>
      <c r="P36" s="9">
        <f t="shared" si="4"/>
        <v>235</v>
      </c>
      <c r="Q36" s="9">
        <f t="shared" si="4"/>
        <v>325</v>
      </c>
      <c r="R36" s="9">
        <f t="shared" si="4"/>
        <v>391</v>
      </c>
      <c r="S36" s="9">
        <f t="shared" si="4"/>
        <v>490</v>
      </c>
      <c r="T36" s="9">
        <f t="shared" si="4"/>
        <v>609</v>
      </c>
      <c r="U36" s="9">
        <f t="shared" si="4"/>
        <v>752</v>
      </c>
      <c r="V36" s="9">
        <f t="shared" si="4"/>
        <v>851</v>
      </c>
      <c r="W36" s="9">
        <f t="shared" si="4"/>
        <v>890</v>
      </c>
      <c r="X36" s="1"/>
      <c r="Y36" s="1"/>
      <c r="Z36" s="1"/>
    </row>
    <row r="37" ht="15.75" customHeight="1">
      <c r="A37" s="1"/>
      <c r="B37" s="1"/>
      <c r="C37" s="27" t="s">
        <v>62</v>
      </c>
      <c r="D37" s="41"/>
      <c r="E37" s="41">
        <f t="shared" ref="E37:W37" si="5">E25</f>
        <v>3</v>
      </c>
      <c r="F37" s="41">
        <f t="shared" si="5"/>
        <v>0</v>
      </c>
      <c r="G37" s="42">
        <f t="shared" si="5"/>
        <v>4</v>
      </c>
      <c r="H37" s="42">
        <f t="shared" si="5"/>
        <v>7</v>
      </c>
      <c r="I37" s="42">
        <f t="shared" si="5"/>
        <v>11</v>
      </c>
      <c r="J37" s="42">
        <f t="shared" si="5"/>
        <v>17</v>
      </c>
      <c r="K37" s="42">
        <f t="shared" si="5"/>
        <v>25</v>
      </c>
      <c r="L37" s="42">
        <f t="shared" si="5"/>
        <v>33</v>
      </c>
      <c r="M37" s="42">
        <f t="shared" si="5"/>
        <v>31</v>
      </c>
      <c r="N37" s="42">
        <f t="shared" si="5"/>
        <v>51</v>
      </c>
      <c r="O37" s="42">
        <f t="shared" si="5"/>
        <v>72</v>
      </c>
      <c r="P37" s="42">
        <f t="shared" si="5"/>
        <v>88</v>
      </c>
      <c r="Q37" s="42">
        <f t="shared" si="5"/>
        <v>132</v>
      </c>
      <c r="R37" s="42">
        <f t="shared" si="5"/>
        <v>153</v>
      </c>
      <c r="S37" s="42">
        <f t="shared" si="5"/>
        <v>216</v>
      </c>
      <c r="T37" s="42">
        <f t="shared" si="5"/>
        <v>274</v>
      </c>
      <c r="U37" s="42">
        <f t="shared" si="5"/>
        <v>335</v>
      </c>
      <c r="V37" s="42">
        <f t="shared" si="5"/>
        <v>364</v>
      </c>
      <c r="W37" s="42">
        <f t="shared" si="5"/>
        <v>456</v>
      </c>
      <c r="X37" s="1"/>
      <c r="Y37" s="1"/>
      <c r="Z37" s="1"/>
    </row>
    <row r="38" ht="15.75" customHeight="1">
      <c r="A38" s="2"/>
      <c r="B38" s="2"/>
      <c r="C38" s="2" t="s">
        <v>63</v>
      </c>
      <c r="D38" s="40">
        <f>SUM(D34:D37)</f>
        <v>43</v>
      </c>
      <c r="E38" s="40">
        <f t="shared" ref="E38:W38" si="6">E34-D34+SUM(E35:E37)</f>
        <v>37</v>
      </c>
      <c r="F38" s="40">
        <f t="shared" si="6"/>
        <v>28</v>
      </c>
      <c r="G38" s="40">
        <f t="shared" si="6"/>
        <v>65</v>
      </c>
      <c r="H38" s="40">
        <f t="shared" si="6"/>
        <v>108</v>
      </c>
      <c r="I38" s="40">
        <f t="shared" si="6"/>
        <v>173</v>
      </c>
      <c r="J38" s="40">
        <f t="shared" si="6"/>
        <v>290</v>
      </c>
      <c r="K38" s="40">
        <f t="shared" si="6"/>
        <v>438</v>
      </c>
      <c r="L38" s="40">
        <f t="shared" si="6"/>
        <v>572</v>
      </c>
      <c r="M38" s="40">
        <f t="shared" si="6"/>
        <v>609</v>
      </c>
      <c r="N38" s="40">
        <f t="shared" si="6"/>
        <v>879</v>
      </c>
      <c r="O38" s="40">
        <f t="shared" si="6"/>
        <v>1128</v>
      </c>
      <c r="P38" s="40">
        <f t="shared" si="6"/>
        <v>1860</v>
      </c>
      <c r="Q38" s="40">
        <f t="shared" si="6"/>
        <v>2516</v>
      </c>
      <c r="R38" s="40">
        <f t="shared" si="6"/>
        <v>3137</v>
      </c>
      <c r="S38" s="40">
        <f t="shared" si="6"/>
        <v>3680</v>
      </c>
      <c r="T38" s="40">
        <f t="shared" si="6"/>
        <v>4391</v>
      </c>
      <c r="U38" s="40">
        <f t="shared" si="6"/>
        <v>4855</v>
      </c>
      <c r="V38" s="40">
        <f t="shared" si="6"/>
        <v>4916</v>
      </c>
      <c r="W38" s="40">
        <f t="shared" si="6"/>
        <v>4177</v>
      </c>
      <c r="X38" s="2"/>
      <c r="Y38" s="2"/>
      <c r="Z38" s="2"/>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2" t="s">
        <v>64</v>
      </c>
      <c r="D40" s="40">
        <f t="shared" ref="D40:W40" si="7">SUM(D22:D23,D26,D28,D31,D32)</f>
        <v>15</v>
      </c>
      <c r="E40" s="40">
        <f t="shared" si="7"/>
        <v>24</v>
      </c>
      <c r="F40" s="40">
        <f t="shared" si="7"/>
        <v>48</v>
      </c>
      <c r="G40" s="40">
        <f t="shared" si="7"/>
        <v>73</v>
      </c>
      <c r="H40" s="40">
        <f t="shared" si="7"/>
        <v>126</v>
      </c>
      <c r="I40" s="40">
        <f t="shared" si="7"/>
        <v>202</v>
      </c>
      <c r="J40" s="40">
        <f t="shared" si="7"/>
        <v>276</v>
      </c>
      <c r="K40" s="40">
        <f t="shared" si="7"/>
        <v>308</v>
      </c>
      <c r="L40" s="40">
        <f t="shared" si="7"/>
        <v>423</v>
      </c>
      <c r="M40" s="40">
        <f t="shared" si="7"/>
        <v>573</v>
      </c>
      <c r="N40" s="40">
        <f t="shared" si="7"/>
        <v>874</v>
      </c>
      <c r="O40" s="40">
        <f t="shared" si="7"/>
        <v>1246</v>
      </c>
      <c r="P40" s="40">
        <f t="shared" si="7"/>
        <v>1561</v>
      </c>
      <c r="Q40" s="40">
        <f t="shared" si="7"/>
        <v>1916</v>
      </c>
      <c r="R40" s="40">
        <f t="shared" si="7"/>
        <v>2359</v>
      </c>
      <c r="S40" s="40">
        <f t="shared" si="7"/>
        <v>2831</v>
      </c>
      <c r="T40" s="40">
        <f t="shared" si="7"/>
        <v>3155</v>
      </c>
      <c r="U40" s="40">
        <f t="shared" si="7"/>
        <v>3265</v>
      </c>
      <c r="V40" s="40">
        <f t="shared" si="7"/>
        <v>2752</v>
      </c>
      <c r="W40" s="40">
        <f t="shared" si="7"/>
        <v>2742</v>
      </c>
      <c r="X40" s="1"/>
      <c r="Y40" s="1"/>
      <c r="Z40" s="1"/>
    </row>
    <row r="41" ht="15.75" customHeight="1">
      <c r="A41" s="1"/>
      <c r="B41" s="1"/>
      <c r="C41" s="2" t="s">
        <v>65</v>
      </c>
      <c r="D41" s="40">
        <f t="shared" ref="D41:W41" si="8">D19</f>
        <v>3</v>
      </c>
      <c r="E41" s="40">
        <f t="shared" si="8"/>
        <v>5</v>
      </c>
      <c r="F41" s="40">
        <f t="shared" si="8"/>
        <v>8</v>
      </c>
      <c r="G41" s="40">
        <f t="shared" si="8"/>
        <v>13</v>
      </c>
      <c r="H41" s="40">
        <f t="shared" si="8"/>
        <v>21</v>
      </c>
      <c r="I41" s="40">
        <f t="shared" si="8"/>
        <v>34</v>
      </c>
      <c r="J41" s="40">
        <f t="shared" si="8"/>
        <v>56</v>
      </c>
      <c r="K41" s="40">
        <f t="shared" si="8"/>
        <v>90</v>
      </c>
      <c r="L41" s="40">
        <f t="shared" si="8"/>
        <v>135</v>
      </c>
      <c r="M41" s="40">
        <f t="shared" si="8"/>
        <v>180</v>
      </c>
      <c r="N41" s="40">
        <f t="shared" si="8"/>
        <v>246</v>
      </c>
      <c r="O41" s="40">
        <f t="shared" si="8"/>
        <v>326</v>
      </c>
      <c r="P41" s="40">
        <f t="shared" si="8"/>
        <v>468</v>
      </c>
      <c r="Q41" s="40">
        <f t="shared" si="8"/>
        <v>661</v>
      </c>
      <c r="R41" s="40">
        <f t="shared" si="8"/>
        <v>903</v>
      </c>
      <c r="S41" s="40">
        <f t="shared" si="8"/>
        <v>1176</v>
      </c>
      <c r="T41" s="40">
        <f t="shared" si="8"/>
        <v>1500</v>
      </c>
      <c r="U41" s="40">
        <f t="shared" si="8"/>
        <v>1850</v>
      </c>
      <c r="V41" s="40">
        <f t="shared" si="8"/>
        <v>2195</v>
      </c>
      <c r="W41" s="40">
        <f t="shared" si="8"/>
        <v>2467</v>
      </c>
      <c r="X41" s="1"/>
      <c r="Y41" s="1"/>
      <c r="Z41" s="1"/>
    </row>
    <row r="42" ht="15.75" customHeight="1">
      <c r="A42" s="1"/>
      <c r="B42" s="1"/>
      <c r="C42" s="2" t="s">
        <v>66</v>
      </c>
      <c r="D42" s="40">
        <f t="shared" ref="D42:W42" si="9">D41</f>
        <v>3</v>
      </c>
      <c r="E42" s="40">
        <f t="shared" si="9"/>
        <v>5</v>
      </c>
      <c r="F42" s="40">
        <f t="shared" si="9"/>
        <v>8</v>
      </c>
      <c r="G42" s="40">
        <f t="shared" si="9"/>
        <v>13</v>
      </c>
      <c r="H42" s="40">
        <f t="shared" si="9"/>
        <v>21</v>
      </c>
      <c r="I42" s="40">
        <f t="shared" si="9"/>
        <v>34</v>
      </c>
      <c r="J42" s="40">
        <f t="shared" si="9"/>
        <v>56</v>
      </c>
      <c r="K42" s="40">
        <f t="shared" si="9"/>
        <v>90</v>
      </c>
      <c r="L42" s="40">
        <f t="shared" si="9"/>
        <v>135</v>
      </c>
      <c r="M42" s="40">
        <f t="shared" si="9"/>
        <v>180</v>
      </c>
      <c r="N42" s="40">
        <f t="shared" si="9"/>
        <v>246</v>
      </c>
      <c r="O42" s="40">
        <f t="shared" si="9"/>
        <v>326</v>
      </c>
      <c r="P42" s="40">
        <f t="shared" si="9"/>
        <v>468</v>
      </c>
      <c r="Q42" s="40">
        <f t="shared" si="9"/>
        <v>661</v>
      </c>
      <c r="R42" s="40">
        <f t="shared" si="9"/>
        <v>903</v>
      </c>
      <c r="S42" s="40">
        <f t="shared" si="9"/>
        <v>1176</v>
      </c>
      <c r="T42" s="40">
        <f t="shared" si="9"/>
        <v>1500</v>
      </c>
      <c r="U42" s="40">
        <f t="shared" si="9"/>
        <v>1850</v>
      </c>
      <c r="V42" s="40">
        <f t="shared" si="9"/>
        <v>2195</v>
      </c>
      <c r="W42" s="40">
        <f t="shared" si="9"/>
        <v>2467</v>
      </c>
      <c r="X42" s="1"/>
      <c r="Y42" s="1"/>
      <c r="Z42" s="1"/>
    </row>
    <row r="43" ht="15.75" customHeight="1">
      <c r="A43" s="1"/>
      <c r="B43" s="1"/>
      <c r="C43" s="2" t="s">
        <v>67</v>
      </c>
      <c r="D43" s="40">
        <f t="shared" ref="D43:W43" si="10">D31+D26+D22</f>
        <v>7</v>
      </c>
      <c r="E43" s="40">
        <f t="shared" si="10"/>
        <v>6</v>
      </c>
      <c r="F43" s="40">
        <f t="shared" si="10"/>
        <v>15</v>
      </c>
      <c r="G43" s="40">
        <f t="shared" si="10"/>
        <v>26</v>
      </c>
      <c r="H43" s="40">
        <f t="shared" si="10"/>
        <v>39</v>
      </c>
      <c r="I43" s="40">
        <f t="shared" si="10"/>
        <v>69</v>
      </c>
      <c r="J43" s="40">
        <f t="shared" si="10"/>
        <v>102</v>
      </c>
      <c r="K43" s="40">
        <f t="shared" si="10"/>
        <v>138</v>
      </c>
      <c r="L43" s="40">
        <f t="shared" si="10"/>
        <v>144</v>
      </c>
      <c r="M43" s="40">
        <f t="shared" si="10"/>
        <v>216</v>
      </c>
      <c r="N43" s="40">
        <f t="shared" si="10"/>
        <v>286</v>
      </c>
      <c r="O43" s="40">
        <f t="shared" si="10"/>
        <v>452</v>
      </c>
      <c r="P43" s="40">
        <f t="shared" si="10"/>
        <v>628</v>
      </c>
      <c r="Q43" s="40">
        <f t="shared" si="10"/>
        <v>761</v>
      </c>
      <c r="R43" s="40">
        <f t="shared" si="10"/>
        <v>937</v>
      </c>
      <c r="S43" s="40">
        <f t="shared" si="10"/>
        <v>1154</v>
      </c>
      <c r="T43" s="40">
        <f t="shared" si="10"/>
        <v>1373</v>
      </c>
      <c r="U43" s="40">
        <f t="shared" si="10"/>
        <v>1494</v>
      </c>
      <c r="V43" s="40">
        <f t="shared" si="10"/>
        <v>1515</v>
      </c>
      <c r="W43" s="40">
        <f t="shared" si="10"/>
        <v>1173</v>
      </c>
      <c r="X43" s="1"/>
      <c r="Y43" s="1"/>
      <c r="Z43" s="1"/>
    </row>
    <row r="44" ht="15.75" customHeight="1">
      <c r="A44" s="1"/>
      <c r="B44" s="1"/>
      <c r="C44" s="2" t="s">
        <v>68</v>
      </c>
      <c r="D44" s="40">
        <f t="shared" ref="D44:W44" si="11">D23+D28+D32</f>
        <v>8</v>
      </c>
      <c r="E44" s="40">
        <f t="shared" si="11"/>
        <v>18</v>
      </c>
      <c r="F44" s="40">
        <f t="shared" si="11"/>
        <v>33</v>
      </c>
      <c r="G44" s="40">
        <f t="shared" si="11"/>
        <v>47</v>
      </c>
      <c r="H44" s="40">
        <f t="shared" si="11"/>
        <v>87</v>
      </c>
      <c r="I44" s="40">
        <f t="shared" si="11"/>
        <v>133</v>
      </c>
      <c r="J44" s="40">
        <f t="shared" si="11"/>
        <v>174</v>
      </c>
      <c r="K44" s="40">
        <f t="shared" si="11"/>
        <v>170</v>
      </c>
      <c r="L44" s="40">
        <f t="shared" si="11"/>
        <v>279</v>
      </c>
      <c r="M44" s="40">
        <f t="shared" si="11"/>
        <v>357</v>
      </c>
      <c r="N44" s="40">
        <f t="shared" si="11"/>
        <v>588</v>
      </c>
      <c r="O44" s="40">
        <f t="shared" si="11"/>
        <v>794</v>
      </c>
      <c r="P44" s="40">
        <f t="shared" si="11"/>
        <v>933</v>
      </c>
      <c r="Q44" s="40">
        <f t="shared" si="11"/>
        <v>1155</v>
      </c>
      <c r="R44" s="40">
        <f t="shared" si="11"/>
        <v>1422</v>
      </c>
      <c r="S44" s="40">
        <f t="shared" si="11"/>
        <v>1677</v>
      </c>
      <c r="T44" s="40">
        <f t="shared" si="11"/>
        <v>1782</v>
      </c>
      <c r="U44" s="40">
        <f t="shared" si="11"/>
        <v>1771</v>
      </c>
      <c r="V44" s="40">
        <f t="shared" si="11"/>
        <v>1237</v>
      </c>
      <c r="W44" s="40">
        <f t="shared" si="11"/>
        <v>1569</v>
      </c>
      <c r="X44" s="1"/>
      <c r="Y44" s="1"/>
      <c r="Z44" s="1"/>
    </row>
    <row r="45" ht="15.75" customHeight="1">
      <c r="A45" s="1"/>
      <c r="B45" s="1"/>
      <c r="C45" s="2" t="s">
        <v>69</v>
      </c>
      <c r="D45" s="40">
        <f t="shared" ref="D45:W45" si="12">D40-D22</f>
        <v>13</v>
      </c>
      <c r="E45" s="40">
        <f t="shared" si="12"/>
        <v>21</v>
      </c>
      <c r="F45" s="40">
        <f t="shared" si="12"/>
        <v>43</v>
      </c>
      <c r="G45" s="40">
        <f t="shared" si="12"/>
        <v>65</v>
      </c>
      <c r="H45" s="40">
        <f t="shared" si="12"/>
        <v>113</v>
      </c>
      <c r="I45" s="40">
        <f t="shared" si="12"/>
        <v>180</v>
      </c>
      <c r="J45" s="40">
        <f t="shared" si="12"/>
        <v>242</v>
      </c>
      <c r="K45" s="40">
        <f t="shared" si="12"/>
        <v>263</v>
      </c>
      <c r="L45" s="40">
        <f t="shared" si="12"/>
        <v>378</v>
      </c>
      <c r="M45" s="40">
        <f t="shared" si="12"/>
        <v>507</v>
      </c>
      <c r="N45" s="40">
        <f t="shared" si="12"/>
        <v>794</v>
      </c>
      <c r="O45" s="40">
        <f t="shared" si="12"/>
        <v>1104</v>
      </c>
      <c r="P45" s="40">
        <f t="shared" si="12"/>
        <v>1368</v>
      </c>
      <c r="Q45" s="40">
        <f t="shared" si="12"/>
        <v>1674</v>
      </c>
      <c r="R45" s="40">
        <f t="shared" si="12"/>
        <v>2086</v>
      </c>
      <c r="S45" s="40">
        <f t="shared" si="12"/>
        <v>2507</v>
      </c>
      <c r="T45" s="40">
        <f t="shared" si="12"/>
        <v>2805</v>
      </c>
      <c r="U45" s="40">
        <f t="shared" si="12"/>
        <v>2920</v>
      </c>
      <c r="V45" s="40">
        <f t="shared" si="12"/>
        <v>2480</v>
      </c>
      <c r="W45" s="40">
        <f t="shared" si="12"/>
        <v>2709</v>
      </c>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2" t="s">
        <v>70</v>
      </c>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30" t="s">
        <v>71</v>
      </c>
      <c r="D48" s="43">
        <f>'RS1'!L146</f>
        <v>16</v>
      </c>
      <c r="E48" s="43">
        <f>'RS1'!M146</f>
        <v>16</v>
      </c>
      <c r="F48" s="43">
        <f>'RS1'!N146</f>
        <v>14</v>
      </c>
      <c r="G48" s="43">
        <f>'RS1'!O146</f>
        <v>14</v>
      </c>
      <c r="H48" s="43">
        <f>'RS1'!P146</f>
        <v>10</v>
      </c>
      <c r="I48" s="43">
        <f>'RS1'!Q146</f>
        <v>10</v>
      </c>
      <c r="J48" s="43">
        <f>'RS1'!R146</f>
        <v>10</v>
      </c>
      <c r="K48" s="43">
        <f>'RS1'!S146</f>
        <v>10</v>
      </c>
      <c r="L48" s="43">
        <f>'RS1'!T146</f>
        <v>10</v>
      </c>
      <c r="M48" s="43">
        <f>'RS1'!U146</f>
        <v>10</v>
      </c>
      <c r="N48" s="43">
        <f>'RS1'!V146</f>
        <v>10</v>
      </c>
      <c r="O48" s="43">
        <f>'RS1'!W146</f>
        <v>10</v>
      </c>
      <c r="P48" s="43">
        <f>'RS1'!X146</f>
        <v>10</v>
      </c>
      <c r="Q48" s="43">
        <f>'RS1'!Y146</f>
        <v>10</v>
      </c>
      <c r="R48" s="43">
        <f>'RS1'!Z146</f>
        <v>10</v>
      </c>
      <c r="S48" s="43">
        <f>'RS1'!AA146</f>
        <v>10</v>
      </c>
      <c r="T48" s="43">
        <f>'RS1'!AB146</f>
        <v>10</v>
      </c>
      <c r="U48" s="43">
        <f>'RS1'!AC146</f>
        <v>10</v>
      </c>
      <c r="V48" s="43">
        <f>'RS1'!AD146</f>
        <v>10</v>
      </c>
      <c r="W48" s="43">
        <f>'RS1'!AE146</f>
        <v>10</v>
      </c>
      <c r="X48" s="1"/>
      <c r="Y48" s="1"/>
      <c r="Z48" s="1"/>
    </row>
    <row r="49" ht="15.75" customHeight="1">
      <c r="A49" s="1"/>
      <c r="B49" s="1"/>
      <c r="C49" s="30" t="s">
        <v>72</v>
      </c>
      <c r="D49" s="43">
        <f>'RS2'!L146</f>
        <v>15</v>
      </c>
      <c r="E49" s="43">
        <f>'RS2'!M146</f>
        <v>16</v>
      </c>
      <c r="F49" s="43">
        <f>'RS2'!N146</f>
        <v>16</v>
      </c>
      <c r="G49" s="43">
        <f>'RS2'!O146</f>
        <v>14</v>
      </c>
      <c r="H49" s="43">
        <f>'RS2'!P146</f>
        <v>14</v>
      </c>
      <c r="I49" s="43">
        <f>'RS2'!Q146</f>
        <v>10</v>
      </c>
      <c r="J49" s="43">
        <f>'RS2'!R146</f>
        <v>10</v>
      </c>
      <c r="K49" s="43">
        <f>'RS2'!S146</f>
        <v>10</v>
      </c>
      <c r="L49" s="43">
        <f>'RS2'!T146</f>
        <v>10</v>
      </c>
      <c r="M49" s="43">
        <f>'RS2'!U146</f>
        <v>10</v>
      </c>
      <c r="N49" s="43">
        <f>'RS2'!V146</f>
        <v>10</v>
      </c>
      <c r="O49" s="43">
        <f>'RS2'!W146</f>
        <v>10</v>
      </c>
      <c r="P49" s="43">
        <f>'RS2'!X146</f>
        <v>10</v>
      </c>
      <c r="Q49" s="43">
        <f>'RS2'!Y146</f>
        <v>10</v>
      </c>
      <c r="R49" s="43">
        <f>'RS2'!Z146</f>
        <v>10</v>
      </c>
      <c r="S49" s="43">
        <f>'RS2'!AA146</f>
        <v>10</v>
      </c>
      <c r="T49" s="43">
        <f>'RS2'!AB146</f>
        <v>10</v>
      </c>
      <c r="U49" s="43">
        <f>'RS2'!AC146</f>
        <v>10</v>
      </c>
      <c r="V49" s="43">
        <f>'RS2'!AD146</f>
        <v>10</v>
      </c>
      <c r="W49" s="43">
        <f>'RS2'!AE146</f>
        <v>10</v>
      </c>
      <c r="X49" s="1"/>
      <c r="Y49" s="1"/>
      <c r="Z49" s="1"/>
    </row>
    <row r="50" ht="15.75" customHeight="1">
      <c r="A50" s="1"/>
      <c r="B50" s="1"/>
      <c r="C50" s="30" t="s">
        <v>73</v>
      </c>
      <c r="D50" s="43">
        <f>'RS3'!L147</f>
        <v>12</v>
      </c>
      <c r="E50" s="43">
        <f>'RS3'!M147</f>
        <v>15</v>
      </c>
      <c r="F50" s="43">
        <f>'RS3'!N147</f>
        <v>16</v>
      </c>
      <c r="G50" s="43">
        <f>'RS3'!O147</f>
        <v>14</v>
      </c>
      <c r="H50" s="43">
        <f>'RS3'!P147</f>
        <v>14</v>
      </c>
      <c r="I50" s="43">
        <f>'RS3'!Q147</f>
        <v>10</v>
      </c>
      <c r="J50" s="43">
        <f>'RS3'!R147</f>
        <v>10</v>
      </c>
      <c r="K50" s="43">
        <f>'RS3'!S147</f>
        <v>10</v>
      </c>
      <c r="L50" s="43">
        <f>'RS3'!T147</f>
        <v>10</v>
      </c>
      <c r="M50" s="43">
        <f>'RS3'!U147</f>
        <v>10</v>
      </c>
      <c r="N50" s="43">
        <f>'RS3'!V147</f>
        <v>10</v>
      </c>
      <c r="O50" s="43">
        <f>'RS3'!W147</f>
        <v>10</v>
      </c>
      <c r="P50" s="43">
        <f>'RS3'!X147</f>
        <v>10</v>
      </c>
      <c r="Q50" s="43">
        <f>'RS3'!Y147</f>
        <v>10</v>
      </c>
      <c r="R50" s="43">
        <f>'RS3'!Z147</f>
        <v>10</v>
      </c>
      <c r="S50" s="43">
        <f>'RS3'!AA147</f>
        <v>10</v>
      </c>
      <c r="T50" s="43">
        <f>'RS3'!AB147</f>
        <v>10</v>
      </c>
      <c r="U50" s="43">
        <f>'RS3'!AC147</f>
        <v>10</v>
      </c>
      <c r="V50" s="43">
        <f>'RS3'!AD147</f>
        <v>10</v>
      </c>
      <c r="W50" s="43">
        <f>'RS3'!AE147</f>
        <v>10</v>
      </c>
      <c r="X50" s="1"/>
      <c r="Y50" s="1"/>
      <c r="Z50" s="1"/>
    </row>
    <row r="51" ht="15.75" customHeight="1">
      <c r="A51" s="1"/>
      <c r="B51" s="1"/>
      <c r="C51" s="30" t="s">
        <v>74</v>
      </c>
      <c r="D51" s="1">
        <v>12.0</v>
      </c>
      <c r="E51" s="1">
        <f t="shared" ref="E51:F51" si="13">D51</f>
        <v>12</v>
      </c>
      <c r="F51" s="1">
        <f t="shared" si="13"/>
        <v>12</v>
      </c>
      <c r="G51" s="1">
        <v>12.0</v>
      </c>
      <c r="H51" s="1">
        <v>12.0</v>
      </c>
      <c r="I51" s="1">
        <v>7.0</v>
      </c>
      <c r="J51" s="1">
        <f t="shared" ref="J51:W51" si="14">I51</f>
        <v>7</v>
      </c>
      <c r="K51" s="1">
        <f t="shared" si="14"/>
        <v>7</v>
      </c>
      <c r="L51" s="1">
        <f t="shared" si="14"/>
        <v>7</v>
      </c>
      <c r="M51" s="1">
        <f t="shared" si="14"/>
        <v>7</v>
      </c>
      <c r="N51" s="1">
        <f t="shared" si="14"/>
        <v>7</v>
      </c>
      <c r="O51" s="1">
        <f t="shared" si="14"/>
        <v>7</v>
      </c>
      <c r="P51" s="1">
        <f t="shared" si="14"/>
        <v>7</v>
      </c>
      <c r="Q51" s="1">
        <f t="shared" si="14"/>
        <v>7</v>
      </c>
      <c r="R51" s="1">
        <f t="shared" si="14"/>
        <v>7</v>
      </c>
      <c r="S51" s="1">
        <f t="shared" si="14"/>
        <v>7</v>
      </c>
      <c r="T51" s="1">
        <f t="shared" si="14"/>
        <v>7</v>
      </c>
      <c r="U51" s="1">
        <f t="shared" si="14"/>
        <v>7</v>
      </c>
      <c r="V51" s="1">
        <f t="shared" si="14"/>
        <v>7</v>
      </c>
      <c r="W51" s="1">
        <f t="shared" si="14"/>
        <v>7</v>
      </c>
      <c r="X51" s="1"/>
      <c r="Y51" s="1"/>
      <c r="Z51" s="1"/>
    </row>
    <row r="52" ht="15.75" customHeight="1">
      <c r="A52" s="1"/>
      <c r="B52" s="1"/>
      <c r="C52" s="30" t="s">
        <v>75</v>
      </c>
      <c r="D52" s="1">
        <v>15.0</v>
      </c>
      <c r="E52" s="1">
        <f t="shared" ref="E52:F52" si="15">D52</f>
        <v>15</v>
      </c>
      <c r="F52" s="1">
        <f t="shared" si="15"/>
        <v>15</v>
      </c>
      <c r="G52" s="1">
        <v>14.0</v>
      </c>
      <c r="H52" s="1">
        <v>14.0</v>
      </c>
      <c r="I52" s="1">
        <v>9.0</v>
      </c>
      <c r="J52" s="1">
        <f t="shared" ref="J52:W52" si="16">I52</f>
        <v>9</v>
      </c>
      <c r="K52" s="1">
        <f t="shared" si="16"/>
        <v>9</v>
      </c>
      <c r="L52" s="1">
        <f t="shared" si="16"/>
        <v>9</v>
      </c>
      <c r="M52" s="1">
        <f t="shared" si="16"/>
        <v>9</v>
      </c>
      <c r="N52" s="1">
        <f t="shared" si="16"/>
        <v>9</v>
      </c>
      <c r="O52" s="1">
        <f t="shared" si="16"/>
        <v>9</v>
      </c>
      <c r="P52" s="1">
        <f t="shared" si="16"/>
        <v>9</v>
      </c>
      <c r="Q52" s="1">
        <f t="shared" si="16"/>
        <v>9</v>
      </c>
      <c r="R52" s="1">
        <f t="shared" si="16"/>
        <v>9</v>
      </c>
      <c r="S52" s="1">
        <f t="shared" si="16"/>
        <v>9</v>
      </c>
      <c r="T52" s="1">
        <f t="shared" si="16"/>
        <v>9</v>
      </c>
      <c r="U52" s="1">
        <f t="shared" si="16"/>
        <v>9</v>
      </c>
      <c r="V52" s="1">
        <f t="shared" si="16"/>
        <v>9</v>
      </c>
      <c r="W52" s="1">
        <f t="shared" si="16"/>
        <v>9</v>
      </c>
      <c r="X52" s="1"/>
      <c r="Y52" s="1"/>
      <c r="Z52" s="1"/>
    </row>
    <row r="53" ht="15.75" customHeight="1">
      <c r="A53" s="1"/>
      <c r="B53" s="1"/>
      <c r="C53" s="44" t="s">
        <v>76</v>
      </c>
      <c r="D53" s="45">
        <v>16.0</v>
      </c>
      <c r="E53" s="45">
        <f t="shared" ref="E53:F53" si="17">D53</f>
        <v>16</v>
      </c>
      <c r="F53" s="45">
        <f t="shared" si="17"/>
        <v>16</v>
      </c>
      <c r="G53" s="45">
        <v>14.0</v>
      </c>
      <c r="H53" s="45">
        <v>14.0</v>
      </c>
      <c r="I53" s="45">
        <v>10.0</v>
      </c>
      <c r="J53" s="45">
        <f t="shared" ref="J53:W53" si="18">I53</f>
        <v>10</v>
      </c>
      <c r="K53" s="45">
        <f t="shared" si="18"/>
        <v>10</v>
      </c>
      <c r="L53" s="45">
        <f t="shared" si="18"/>
        <v>10</v>
      </c>
      <c r="M53" s="45">
        <f t="shared" si="18"/>
        <v>10</v>
      </c>
      <c r="N53" s="45">
        <f t="shared" si="18"/>
        <v>10</v>
      </c>
      <c r="O53" s="45">
        <f t="shared" si="18"/>
        <v>10</v>
      </c>
      <c r="P53" s="45">
        <f t="shared" si="18"/>
        <v>10</v>
      </c>
      <c r="Q53" s="45">
        <f t="shared" si="18"/>
        <v>10</v>
      </c>
      <c r="R53" s="45">
        <f t="shared" si="18"/>
        <v>10</v>
      </c>
      <c r="S53" s="45">
        <f t="shared" si="18"/>
        <v>10</v>
      </c>
      <c r="T53" s="45">
        <f t="shared" si="18"/>
        <v>10</v>
      </c>
      <c r="U53" s="45">
        <f t="shared" si="18"/>
        <v>10</v>
      </c>
      <c r="V53" s="45">
        <f t="shared" si="18"/>
        <v>10</v>
      </c>
      <c r="W53" s="45">
        <f t="shared" si="18"/>
        <v>10</v>
      </c>
      <c r="X53" s="1"/>
      <c r="Y53" s="1"/>
      <c r="Z53" s="1"/>
    </row>
    <row r="54" ht="15.75" customHeight="1">
      <c r="A54" s="2"/>
      <c r="B54" s="2"/>
      <c r="C54" s="2" t="s">
        <v>77</v>
      </c>
      <c r="D54" s="46">
        <f>D48+D49+D50</f>
        <v>43</v>
      </c>
      <c r="E54" s="46">
        <f>E48+E49+E50+E51*(E19-D19)</f>
        <v>71</v>
      </c>
      <c r="F54" s="46">
        <f>F48+F49+F50+F51*(F19-E19)+(E19-D19)*F52</f>
        <v>112</v>
      </c>
      <c r="G54" s="46">
        <f>G48+G49+G50+G51*(G19-F19)+(F19-E19)*G52+G53*(E19-D19)</f>
        <v>172</v>
      </c>
      <c r="H54" s="46">
        <f t="shared" ref="H54:W54" si="19">H48+H49+H50+H51*(H19-G19)+(G19-F19)*H52+H53*(F19-E19)+H53*(E19-3)</f>
        <v>274</v>
      </c>
      <c r="I54" s="46">
        <f t="shared" si="19"/>
        <v>293</v>
      </c>
      <c r="J54" s="46">
        <f t="shared" si="19"/>
        <v>481</v>
      </c>
      <c r="K54" s="46">
        <f t="shared" si="19"/>
        <v>776</v>
      </c>
      <c r="L54" s="46">
        <f t="shared" si="19"/>
        <v>1181</v>
      </c>
      <c r="M54" s="46">
        <f t="shared" si="19"/>
        <v>1620</v>
      </c>
      <c r="N54" s="46">
        <f t="shared" si="19"/>
        <v>2217</v>
      </c>
      <c r="O54" s="46">
        <f t="shared" si="19"/>
        <v>2954</v>
      </c>
      <c r="P54" s="46">
        <f t="shared" si="19"/>
        <v>4174</v>
      </c>
      <c r="Q54" s="46">
        <f t="shared" si="19"/>
        <v>5889</v>
      </c>
      <c r="R54" s="46">
        <f t="shared" si="19"/>
        <v>8111</v>
      </c>
      <c r="S54" s="46">
        <f t="shared" si="19"/>
        <v>10699</v>
      </c>
      <c r="T54" s="46">
        <f t="shared" si="19"/>
        <v>13755</v>
      </c>
      <c r="U54" s="46">
        <f t="shared" si="19"/>
        <v>17126</v>
      </c>
      <c r="V54" s="46">
        <f t="shared" si="19"/>
        <v>20565</v>
      </c>
      <c r="W54" s="46">
        <f t="shared" si="19"/>
        <v>23509</v>
      </c>
      <c r="X54" s="2"/>
      <c r="Y54" s="2"/>
      <c r="Z54" s="2"/>
    </row>
    <row r="55" ht="15.75" customHeight="1">
      <c r="A55" s="2"/>
      <c r="B55" s="2"/>
      <c r="C55" s="27" t="s">
        <v>78</v>
      </c>
      <c r="D55" s="46">
        <f t="shared" ref="D55:H55" si="20">D54-4*D19</f>
        <v>31</v>
      </c>
      <c r="E55" s="46">
        <f t="shared" si="20"/>
        <v>51</v>
      </c>
      <c r="F55" s="46">
        <f t="shared" si="20"/>
        <v>80</v>
      </c>
      <c r="G55" s="46">
        <f t="shared" si="20"/>
        <v>120</v>
      </c>
      <c r="H55" s="46">
        <f t="shared" si="20"/>
        <v>190</v>
      </c>
      <c r="I55" s="46">
        <f t="shared" ref="I55:W55" si="21">I54-2.5*I19</f>
        <v>208</v>
      </c>
      <c r="J55" s="46">
        <f t="shared" si="21"/>
        <v>341</v>
      </c>
      <c r="K55" s="46">
        <f t="shared" si="21"/>
        <v>551</v>
      </c>
      <c r="L55" s="46">
        <f t="shared" si="21"/>
        <v>843.5</v>
      </c>
      <c r="M55" s="46">
        <f t="shared" si="21"/>
        <v>1170</v>
      </c>
      <c r="N55" s="46">
        <f t="shared" si="21"/>
        <v>1602</v>
      </c>
      <c r="O55" s="46">
        <f t="shared" si="21"/>
        <v>2139</v>
      </c>
      <c r="P55" s="46">
        <f t="shared" si="21"/>
        <v>3004</v>
      </c>
      <c r="Q55" s="46">
        <f t="shared" si="21"/>
        <v>4236.5</v>
      </c>
      <c r="R55" s="46">
        <f t="shared" si="21"/>
        <v>5853.5</v>
      </c>
      <c r="S55" s="46">
        <f t="shared" si="21"/>
        <v>7759</v>
      </c>
      <c r="T55" s="46">
        <f t="shared" si="21"/>
        <v>10005</v>
      </c>
      <c r="U55" s="46">
        <f t="shared" si="21"/>
        <v>12501</v>
      </c>
      <c r="V55" s="46">
        <f t="shared" si="21"/>
        <v>15077.5</v>
      </c>
      <c r="W55" s="46">
        <f t="shared" si="21"/>
        <v>17341.5</v>
      </c>
      <c r="X55" s="2"/>
      <c r="Y55" s="2"/>
      <c r="Z55" s="2"/>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t="s">
        <v>79</v>
      </c>
      <c r="B57" s="32">
        <v>0.6</v>
      </c>
      <c r="C57" s="2" t="s">
        <v>80</v>
      </c>
      <c r="D57" s="1"/>
      <c r="E57" s="47">
        <f t="shared" ref="E57:W57" si="22">E44/D54</f>
        <v>0.4186046512</v>
      </c>
      <c r="F57" s="47">
        <f t="shared" si="22"/>
        <v>0.4647887324</v>
      </c>
      <c r="G57" s="47">
        <f t="shared" si="22"/>
        <v>0.4196428571</v>
      </c>
      <c r="H57" s="47">
        <f t="shared" si="22"/>
        <v>0.5058139535</v>
      </c>
      <c r="I57" s="47">
        <f t="shared" si="22"/>
        <v>0.4854014599</v>
      </c>
      <c r="J57" s="47">
        <f t="shared" si="22"/>
        <v>0.5938566553</v>
      </c>
      <c r="K57" s="47">
        <f t="shared" si="22"/>
        <v>0.3534303534</v>
      </c>
      <c r="L57" s="47">
        <f t="shared" si="22"/>
        <v>0.3595360825</v>
      </c>
      <c r="M57" s="47">
        <f t="shared" si="22"/>
        <v>0.3022861981</v>
      </c>
      <c r="N57" s="47">
        <f t="shared" si="22"/>
        <v>0.362962963</v>
      </c>
      <c r="O57" s="47">
        <f t="shared" si="22"/>
        <v>0.3581416328</v>
      </c>
      <c r="P57" s="47">
        <f t="shared" si="22"/>
        <v>0.3158429248</v>
      </c>
      <c r="Q57" s="47">
        <f t="shared" si="22"/>
        <v>0.2767129851</v>
      </c>
      <c r="R57" s="47">
        <f t="shared" si="22"/>
        <v>0.2414671421</v>
      </c>
      <c r="S57" s="47">
        <f t="shared" si="22"/>
        <v>0.2067562569</v>
      </c>
      <c r="T57" s="47">
        <f t="shared" si="22"/>
        <v>0.1665576222</v>
      </c>
      <c r="U57" s="47">
        <f t="shared" si="22"/>
        <v>0.1287531807</v>
      </c>
      <c r="V57" s="47">
        <f t="shared" si="22"/>
        <v>0.07222935887</v>
      </c>
      <c r="W57" s="47">
        <f t="shared" si="22"/>
        <v>0.07629467542</v>
      </c>
      <c r="X57" s="1"/>
      <c r="Y57" s="1"/>
      <c r="Z57" s="1"/>
    </row>
    <row r="58" ht="15.75" customHeight="1">
      <c r="A58" s="1" t="s">
        <v>81</v>
      </c>
      <c r="B58" s="32">
        <v>0.75</v>
      </c>
      <c r="C58" s="2" t="s">
        <v>82</v>
      </c>
      <c r="D58" s="1"/>
      <c r="E58" s="47">
        <f t="shared" ref="E58:W58" si="23">E44/D55</f>
        <v>0.5806451613</v>
      </c>
      <c r="F58" s="47">
        <f t="shared" si="23"/>
        <v>0.6470588235</v>
      </c>
      <c r="G58" s="47">
        <f t="shared" si="23"/>
        <v>0.5875</v>
      </c>
      <c r="H58" s="47">
        <f t="shared" si="23"/>
        <v>0.725</v>
      </c>
      <c r="I58" s="47">
        <f t="shared" si="23"/>
        <v>0.7</v>
      </c>
      <c r="J58" s="47">
        <f t="shared" si="23"/>
        <v>0.8365384615</v>
      </c>
      <c r="K58" s="47">
        <f t="shared" si="23"/>
        <v>0.4985337243</v>
      </c>
      <c r="L58" s="47">
        <f t="shared" si="23"/>
        <v>0.5063520871</v>
      </c>
      <c r="M58" s="47">
        <f t="shared" si="23"/>
        <v>0.4232365145</v>
      </c>
      <c r="N58" s="47">
        <f t="shared" si="23"/>
        <v>0.5025641026</v>
      </c>
      <c r="O58" s="47">
        <f t="shared" si="23"/>
        <v>0.4956304619</v>
      </c>
      <c r="P58" s="47">
        <f t="shared" si="23"/>
        <v>0.4361851332</v>
      </c>
      <c r="Q58" s="47">
        <f t="shared" si="23"/>
        <v>0.3844873502</v>
      </c>
      <c r="R58" s="47">
        <f t="shared" si="23"/>
        <v>0.3356544317</v>
      </c>
      <c r="S58" s="47">
        <f t="shared" si="23"/>
        <v>0.2864952592</v>
      </c>
      <c r="T58" s="47">
        <f t="shared" si="23"/>
        <v>0.2296687717</v>
      </c>
      <c r="U58" s="47">
        <f t="shared" si="23"/>
        <v>0.1770114943</v>
      </c>
      <c r="V58" s="47">
        <f t="shared" si="23"/>
        <v>0.09895208383</v>
      </c>
      <c r="W58" s="47">
        <f t="shared" si="23"/>
        <v>0.1040623446</v>
      </c>
      <c r="X58" s="1"/>
      <c r="Y58" s="1"/>
      <c r="Z58" s="1"/>
    </row>
    <row r="59" ht="15.75" customHeight="1">
      <c r="A59" s="1"/>
      <c r="B59" s="1"/>
      <c r="C59" s="2" t="s">
        <v>83</v>
      </c>
      <c r="D59" s="47">
        <f t="shared" ref="D59:W59" si="24">D45/D54</f>
        <v>0.3023255814</v>
      </c>
      <c r="E59" s="47">
        <f t="shared" si="24"/>
        <v>0.2957746479</v>
      </c>
      <c r="F59" s="47">
        <f t="shared" si="24"/>
        <v>0.3839285714</v>
      </c>
      <c r="G59" s="47">
        <f t="shared" si="24"/>
        <v>0.3779069767</v>
      </c>
      <c r="H59" s="47">
        <f t="shared" si="24"/>
        <v>0.4124087591</v>
      </c>
      <c r="I59" s="47">
        <f t="shared" si="24"/>
        <v>0.614334471</v>
      </c>
      <c r="J59" s="47">
        <f t="shared" si="24"/>
        <v>0.5031185031</v>
      </c>
      <c r="K59" s="47">
        <f t="shared" si="24"/>
        <v>0.3389175258</v>
      </c>
      <c r="L59" s="47">
        <f t="shared" si="24"/>
        <v>0.3200677392</v>
      </c>
      <c r="M59" s="47">
        <f t="shared" si="24"/>
        <v>0.312962963</v>
      </c>
      <c r="N59" s="47">
        <f t="shared" si="24"/>
        <v>0.3581416328</v>
      </c>
      <c r="O59" s="47">
        <f t="shared" si="24"/>
        <v>0.3737305349</v>
      </c>
      <c r="P59" s="47">
        <f t="shared" si="24"/>
        <v>0.327743172</v>
      </c>
      <c r="Q59" s="47">
        <f t="shared" si="24"/>
        <v>0.2842587876</v>
      </c>
      <c r="R59" s="47">
        <f t="shared" si="24"/>
        <v>0.2571816052</v>
      </c>
      <c r="S59" s="47">
        <f t="shared" si="24"/>
        <v>0.2343209646</v>
      </c>
      <c r="T59" s="47">
        <f t="shared" si="24"/>
        <v>0.2039258451</v>
      </c>
      <c r="U59" s="47">
        <f t="shared" si="24"/>
        <v>0.1705009926</v>
      </c>
      <c r="V59" s="47">
        <f t="shared" si="24"/>
        <v>0.1205932409</v>
      </c>
      <c r="W59" s="47">
        <f t="shared" si="24"/>
        <v>0.1152324642</v>
      </c>
      <c r="X59" s="1"/>
      <c r="Y59" s="1"/>
      <c r="Z59" s="1"/>
    </row>
    <row r="60" ht="15.75" customHeight="1">
      <c r="A60" s="1"/>
      <c r="B60" s="1"/>
      <c r="C60" s="2" t="s">
        <v>84</v>
      </c>
      <c r="D60" s="47">
        <f t="shared" ref="D60:W60" si="25">D45/D55</f>
        <v>0.4193548387</v>
      </c>
      <c r="E60" s="47">
        <f t="shared" si="25"/>
        <v>0.4117647059</v>
      </c>
      <c r="F60" s="47">
        <f t="shared" si="25"/>
        <v>0.5375</v>
      </c>
      <c r="G60" s="47">
        <f t="shared" si="25"/>
        <v>0.5416666667</v>
      </c>
      <c r="H60" s="47">
        <f t="shared" si="25"/>
        <v>0.5947368421</v>
      </c>
      <c r="I60" s="47">
        <f t="shared" si="25"/>
        <v>0.8653846154</v>
      </c>
      <c r="J60" s="47">
        <f t="shared" si="25"/>
        <v>0.7096774194</v>
      </c>
      <c r="K60" s="47">
        <f t="shared" si="25"/>
        <v>0.4773139746</v>
      </c>
      <c r="L60" s="47">
        <f t="shared" si="25"/>
        <v>0.4481327801</v>
      </c>
      <c r="M60" s="47">
        <f t="shared" si="25"/>
        <v>0.4333333333</v>
      </c>
      <c r="N60" s="47">
        <f t="shared" si="25"/>
        <v>0.4956304619</v>
      </c>
      <c r="O60" s="47">
        <f t="shared" si="25"/>
        <v>0.5161290323</v>
      </c>
      <c r="P60" s="47">
        <f t="shared" si="25"/>
        <v>0.4553928096</v>
      </c>
      <c r="Q60" s="47">
        <f t="shared" si="25"/>
        <v>0.3951374956</v>
      </c>
      <c r="R60" s="47">
        <f t="shared" si="25"/>
        <v>0.356367985</v>
      </c>
      <c r="S60" s="47">
        <f t="shared" si="25"/>
        <v>0.323108648</v>
      </c>
      <c r="T60" s="47">
        <f t="shared" si="25"/>
        <v>0.2803598201</v>
      </c>
      <c r="U60" s="47">
        <f t="shared" si="25"/>
        <v>0.2335813135</v>
      </c>
      <c r="V60" s="47">
        <f t="shared" si="25"/>
        <v>0.1644835019</v>
      </c>
      <c r="W60" s="47">
        <f t="shared" si="25"/>
        <v>0.1562148603</v>
      </c>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t="s">
        <v>79</v>
      </c>
      <c r="B62" s="32">
        <v>0.75</v>
      </c>
      <c r="C62" s="1" t="s">
        <v>85</v>
      </c>
      <c r="D62" s="47">
        <f t="shared" ref="D62:W62" si="26">D22/D19</f>
        <v>0.6666666667</v>
      </c>
      <c r="E62" s="47">
        <f t="shared" si="26"/>
        <v>0.6</v>
      </c>
      <c r="F62" s="47">
        <f t="shared" si="26"/>
        <v>0.625</v>
      </c>
      <c r="G62" s="47">
        <f t="shared" si="26"/>
        <v>0.6153846154</v>
      </c>
      <c r="H62" s="47">
        <f t="shared" si="26"/>
        <v>0.619047619</v>
      </c>
      <c r="I62" s="47">
        <f t="shared" si="26"/>
        <v>0.6470588235</v>
      </c>
      <c r="J62" s="47">
        <f t="shared" si="26"/>
        <v>0.6071428571</v>
      </c>
      <c r="K62" s="47">
        <f t="shared" si="26"/>
        <v>0.5</v>
      </c>
      <c r="L62" s="47">
        <f t="shared" si="26"/>
        <v>0.3333333333</v>
      </c>
      <c r="M62" s="47">
        <f t="shared" si="26"/>
        <v>0.3666666667</v>
      </c>
      <c r="N62" s="47">
        <f t="shared" si="26"/>
        <v>0.325203252</v>
      </c>
      <c r="O62" s="47">
        <f t="shared" si="26"/>
        <v>0.4355828221</v>
      </c>
      <c r="P62" s="47">
        <f t="shared" si="26"/>
        <v>0.4123931624</v>
      </c>
      <c r="Q62" s="47">
        <f t="shared" si="26"/>
        <v>0.3661119516</v>
      </c>
      <c r="R62" s="47">
        <f t="shared" si="26"/>
        <v>0.3023255814</v>
      </c>
      <c r="S62" s="47">
        <f t="shared" si="26"/>
        <v>0.2755102041</v>
      </c>
      <c r="T62" s="47">
        <f t="shared" si="26"/>
        <v>0.2333333333</v>
      </c>
      <c r="U62" s="47">
        <f t="shared" si="26"/>
        <v>0.1864864865</v>
      </c>
      <c r="V62" s="47">
        <f t="shared" si="26"/>
        <v>0.1239179954</v>
      </c>
      <c r="W62" s="47">
        <f t="shared" si="26"/>
        <v>0.01337657073</v>
      </c>
      <c r="X62" s="1"/>
      <c r="Y62" s="1"/>
      <c r="Z62" s="1"/>
    </row>
    <row r="63" ht="15.75" customHeight="1">
      <c r="A63" s="1" t="s">
        <v>81</v>
      </c>
      <c r="B63" s="32">
        <v>0.9</v>
      </c>
      <c r="C63" s="1" t="s">
        <v>86</v>
      </c>
      <c r="D63" s="47">
        <f t="shared" ref="D63:W63" si="27">D31/D19</f>
        <v>1</v>
      </c>
      <c r="E63" s="47">
        <f t="shared" si="27"/>
        <v>0.6</v>
      </c>
      <c r="F63" s="47">
        <f t="shared" si="27"/>
        <v>0.875</v>
      </c>
      <c r="G63" s="47">
        <f t="shared" si="27"/>
        <v>1.076923077</v>
      </c>
      <c r="H63" s="47">
        <f t="shared" si="27"/>
        <v>0.9047619048</v>
      </c>
      <c r="I63" s="47">
        <f t="shared" si="27"/>
        <v>1.088235294</v>
      </c>
      <c r="J63" s="47">
        <f t="shared" si="27"/>
        <v>0.9642857143</v>
      </c>
      <c r="K63" s="47">
        <f t="shared" si="27"/>
        <v>0.8222222222</v>
      </c>
      <c r="L63" s="47">
        <f t="shared" si="27"/>
        <v>0.6</v>
      </c>
      <c r="M63" s="47">
        <f t="shared" si="27"/>
        <v>0.6722222222</v>
      </c>
      <c r="N63" s="47">
        <f t="shared" si="27"/>
        <v>0.674796748</v>
      </c>
      <c r="O63" s="47">
        <f t="shared" si="27"/>
        <v>0.8006134969</v>
      </c>
      <c r="P63" s="47">
        <f t="shared" si="27"/>
        <v>0.7713675214</v>
      </c>
      <c r="Q63" s="47">
        <f t="shared" si="27"/>
        <v>0.656580938</v>
      </c>
      <c r="R63" s="47">
        <f t="shared" si="27"/>
        <v>0.6024363234</v>
      </c>
      <c r="S63" s="47">
        <f t="shared" si="27"/>
        <v>0.5756802721</v>
      </c>
      <c r="T63" s="47">
        <f t="shared" si="27"/>
        <v>0.5573333333</v>
      </c>
      <c r="U63" s="47">
        <f t="shared" si="27"/>
        <v>0.5113513514</v>
      </c>
      <c r="V63" s="47">
        <f t="shared" si="27"/>
        <v>0.4505694761</v>
      </c>
      <c r="W63" s="47">
        <f t="shared" si="27"/>
        <v>0.3486015403</v>
      </c>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C2:K2"/>
  </mergeCells>
  <conditionalFormatting sqref="D57:W60">
    <cfRule type="cellIs" dxfId="0" priority="1" operator="between">
      <formula>$B$57</formula>
      <formula>$B$58</formula>
    </cfRule>
  </conditionalFormatting>
  <conditionalFormatting sqref="D57:W60">
    <cfRule type="cellIs" dxfId="1" priority="2" operator="greaterThan">
      <formula>$B$58</formula>
    </cfRule>
  </conditionalFormatting>
  <conditionalFormatting sqref="D62:W63">
    <cfRule type="cellIs" dxfId="0" priority="3" operator="between">
      <formula>$B$62</formula>
      <formula>$B$63</formula>
    </cfRule>
  </conditionalFormatting>
  <conditionalFormatting sqref="D62:W63">
    <cfRule type="cellIs" dxfId="1" priority="4" operator="greaterThan">
      <formula>$B$63</formula>
    </cfRule>
  </conditionalFormatting>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8.0" topLeftCell="F9" activePane="bottomRight" state="frozen"/>
      <selection activeCell="F1" sqref="F1" pane="topRight"/>
      <selection activeCell="A9" sqref="A9" pane="bottomLeft"/>
      <selection activeCell="F9" sqref="F9" pane="bottomRight"/>
    </sheetView>
  </sheetViews>
  <sheetFormatPr customHeight="1" defaultColWidth="12.63" defaultRowHeight="15.0" outlineLevelCol="1"/>
  <cols>
    <col customWidth="1" min="1" max="1" width="9.25"/>
    <col customWidth="1" min="2" max="2" width="9.0"/>
    <col customWidth="1" min="3" max="3" width="6.25"/>
    <col customWidth="1" min="4" max="4" width="39.38"/>
    <col customWidth="1" min="5" max="5" width="2.75"/>
    <col customWidth="1" min="6" max="6" width="8.75"/>
    <col customWidth="1" min="7" max="26" width="11.0"/>
    <col customWidth="1" min="27" max="36" width="9.13" outlineLevel="1"/>
  </cols>
  <sheetData>
    <row r="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c r="A2" s="1"/>
      <c r="B2" s="1"/>
      <c r="C2" s="1"/>
      <c r="D2" s="1"/>
      <c r="E2" s="1"/>
      <c r="F2" s="48" t="s">
        <v>87</v>
      </c>
      <c r="G2" s="48" t="s">
        <v>4</v>
      </c>
      <c r="H2" s="48" t="s">
        <v>5</v>
      </c>
      <c r="I2" s="48" t="s">
        <v>6</v>
      </c>
      <c r="J2" s="48" t="s">
        <v>7</v>
      </c>
      <c r="K2" s="48" t="s">
        <v>8</v>
      </c>
      <c r="L2" s="48" t="str">
        <f t="shared" ref="L2:Z2" si="1">RIGHT(K2,4)&amp;"-"&amp;RIGHT(K2,4)+1</f>
        <v>2015-2016</v>
      </c>
      <c r="M2" s="48" t="str">
        <f t="shared" si="1"/>
        <v>2016-2017</v>
      </c>
      <c r="N2" s="48" t="str">
        <f t="shared" si="1"/>
        <v>2017-2018</v>
      </c>
      <c r="O2" s="48" t="str">
        <f t="shared" si="1"/>
        <v>2018-2019</v>
      </c>
      <c r="P2" s="48" t="str">
        <f t="shared" si="1"/>
        <v>2019-2020</v>
      </c>
      <c r="Q2" s="48" t="str">
        <f t="shared" si="1"/>
        <v>2020-2021</v>
      </c>
      <c r="R2" s="48" t="str">
        <f t="shared" si="1"/>
        <v>2021-2022</v>
      </c>
      <c r="S2" s="48" t="str">
        <f t="shared" si="1"/>
        <v>2022-2023</v>
      </c>
      <c r="T2" s="48" t="str">
        <f t="shared" si="1"/>
        <v>2023-2024</v>
      </c>
      <c r="U2" s="48" t="str">
        <f t="shared" si="1"/>
        <v>2024-2025</v>
      </c>
      <c r="V2" s="48" t="str">
        <f t="shared" si="1"/>
        <v>2025-2026</v>
      </c>
      <c r="W2" s="48" t="str">
        <f t="shared" si="1"/>
        <v>2026-2027</v>
      </c>
      <c r="X2" s="48" t="str">
        <f t="shared" si="1"/>
        <v>2027-2028</v>
      </c>
      <c r="Y2" s="48" t="str">
        <f t="shared" si="1"/>
        <v>2028-2029</v>
      </c>
      <c r="Z2" s="48" t="str">
        <f t="shared" si="1"/>
        <v>2029-2030</v>
      </c>
      <c r="AA2" s="1"/>
      <c r="AB2" s="1"/>
      <c r="AC2" s="1"/>
      <c r="AD2" s="1"/>
      <c r="AE2" s="1"/>
      <c r="AF2" s="1"/>
      <c r="AG2" s="1"/>
      <c r="AH2" s="1"/>
      <c r="AI2" s="1"/>
      <c r="AJ2" s="1"/>
    </row>
    <row r="3">
      <c r="A3" s="1"/>
      <c r="B3" s="1"/>
      <c r="C3" s="1"/>
      <c r="D3" s="49"/>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row>
    <row r="4">
      <c r="A4" s="2"/>
      <c r="B4" s="2"/>
      <c r="C4" s="2"/>
      <c r="D4" s="2" t="s">
        <v>1</v>
      </c>
      <c r="E4" s="2"/>
      <c r="F4" s="16">
        <v>2.0</v>
      </c>
      <c r="G4" s="40">
        <f>'Growth Model'!F8</f>
        <v>3</v>
      </c>
      <c r="H4" s="40">
        <f>'Growth Model'!G8</f>
        <v>5</v>
      </c>
      <c r="I4" s="40">
        <f>'Growth Model'!H8</f>
        <v>8</v>
      </c>
      <c r="J4" s="40">
        <f>'Growth Model'!I8</f>
        <v>13</v>
      </c>
      <c r="K4" s="40">
        <f>'Growth Model'!J8</f>
        <v>21</v>
      </c>
      <c r="L4" s="40">
        <f>'Growth Model'!K8</f>
        <v>34</v>
      </c>
      <c r="M4" s="40">
        <f>'Growth Model'!L8</f>
        <v>56</v>
      </c>
      <c r="N4" s="40">
        <f>'Growth Model'!M8</f>
        <v>90</v>
      </c>
      <c r="O4" s="40">
        <f>'Growth Model'!N8</f>
        <v>135</v>
      </c>
      <c r="P4" s="40">
        <f>'Growth Model'!O8</f>
        <v>180</v>
      </c>
      <c r="Q4" s="40">
        <f>'Growth Model'!P8</f>
        <v>246</v>
      </c>
      <c r="R4" s="40">
        <f>'Growth Model'!Q8</f>
        <v>326</v>
      </c>
      <c r="S4" s="40">
        <f>'Growth Model'!R8</f>
        <v>468</v>
      </c>
      <c r="T4" s="40">
        <f>'Growth Model'!S8</f>
        <v>661</v>
      </c>
      <c r="U4" s="40">
        <f>'Growth Model'!T8</f>
        <v>903</v>
      </c>
      <c r="V4" s="40">
        <f>'Growth Model'!U8</f>
        <v>1176</v>
      </c>
      <c r="W4" s="40">
        <f>'Growth Model'!V8</f>
        <v>1500</v>
      </c>
      <c r="X4" s="40">
        <f>'Growth Model'!W8</f>
        <v>1850</v>
      </c>
      <c r="Y4" s="40">
        <f>'Growth Model'!X8</f>
        <v>2195</v>
      </c>
      <c r="Z4" s="40">
        <f>'Growth Model'!Y8</f>
        <v>2467</v>
      </c>
      <c r="AA4" s="40">
        <f>'Growth Model'!AA8</f>
        <v>2500</v>
      </c>
      <c r="AB4" s="40">
        <f t="shared" ref="AB4:AJ4" si="2">AA4</f>
        <v>2500</v>
      </c>
      <c r="AC4" s="40">
        <f t="shared" si="2"/>
        <v>2500</v>
      </c>
      <c r="AD4" s="40">
        <f t="shared" si="2"/>
        <v>2500</v>
      </c>
      <c r="AE4" s="40">
        <f t="shared" si="2"/>
        <v>2500</v>
      </c>
      <c r="AF4" s="40">
        <f t="shared" si="2"/>
        <v>2500</v>
      </c>
      <c r="AG4" s="40">
        <f t="shared" si="2"/>
        <v>2500</v>
      </c>
      <c r="AH4" s="40">
        <f t="shared" si="2"/>
        <v>2500</v>
      </c>
      <c r="AI4" s="40">
        <f t="shared" si="2"/>
        <v>2500</v>
      </c>
      <c r="AJ4" s="40">
        <f t="shared" si="2"/>
        <v>2500</v>
      </c>
    </row>
    <row r="5">
      <c r="A5" s="2"/>
      <c r="B5" s="2"/>
      <c r="C5" s="2"/>
      <c r="D5" s="2" t="s">
        <v>88</v>
      </c>
      <c r="E5" s="2"/>
      <c r="F5" s="16">
        <v>1.0</v>
      </c>
      <c r="G5" s="40">
        <f t="shared" ref="G5:AJ5" si="3">MAX(0,G4-F4)</f>
        <v>1</v>
      </c>
      <c r="H5" s="40">
        <f t="shared" si="3"/>
        <v>2</v>
      </c>
      <c r="I5" s="40">
        <f t="shared" si="3"/>
        <v>3</v>
      </c>
      <c r="J5" s="40">
        <f t="shared" si="3"/>
        <v>5</v>
      </c>
      <c r="K5" s="40">
        <f t="shared" si="3"/>
        <v>8</v>
      </c>
      <c r="L5" s="40">
        <f t="shared" si="3"/>
        <v>13</v>
      </c>
      <c r="M5" s="40">
        <f t="shared" si="3"/>
        <v>22</v>
      </c>
      <c r="N5" s="40">
        <f t="shared" si="3"/>
        <v>34</v>
      </c>
      <c r="O5" s="40">
        <f t="shared" si="3"/>
        <v>45</v>
      </c>
      <c r="P5" s="40">
        <f t="shared" si="3"/>
        <v>45</v>
      </c>
      <c r="Q5" s="40">
        <f t="shared" si="3"/>
        <v>66</v>
      </c>
      <c r="R5" s="40">
        <f t="shared" si="3"/>
        <v>80</v>
      </c>
      <c r="S5" s="40">
        <f t="shared" si="3"/>
        <v>142</v>
      </c>
      <c r="T5" s="40">
        <f t="shared" si="3"/>
        <v>193</v>
      </c>
      <c r="U5" s="40">
        <f t="shared" si="3"/>
        <v>242</v>
      </c>
      <c r="V5" s="40">
        <f t="shared" si="3"/>
        <v>273</v>
      </c>
      <c r="W5" s="40">
        <f t="shared" si="3"/>
        <v>324</v>
      </c>
      <c r="X5" s="40">
        <f t="shared" si="3"/>
        <v>350</v>
      </c>
      <c r="Y5" s="40">
        <f t="shared" si="3"/>
        <v>345</v>
      </c>
      <c r="Z5" s="40">
        <f t="shared" si="3"/>
        <v>272</v>
      </c>
      <c r="AA5" s="40">
        <f t="shared" si="3"/>
        <v>33</v>
      </c>
      <c r="AB5" s="40">
        <f t="shared" si="3"/>
        <v>0</v>
      </c>
      <c r="AC5" s="40">
        <f t="shared" si="3"/>
        <v>0</v>
      </c>
      <c r="AD5" s="40">
        <f t="shared" si="3"/>
        <v>0</v>
      </c>
      <c r="AE5" s="40">
        <f t="shared" si="3"/>
        <v>0</v>
      </c>
      <c r="AF5" s="40">
        <f t="shared" si="3"/>
        <v>0</v>
      </c>
      <c r="AG5" s="40">
        <f t="shared" si="3"/>
        <v>0</v>
      </c>
      <c r="AH5" s="40">
        <f t="shared" si="3"/>
        <v>0</v>
      </c>
      <c r="AI5" s="40">
        <f t="shared" si="3"/>
        <v>0</v>
      </c>
      <c r="AJ5" s="40">
        <f t="shared" si="3"/>
        <v>0</v>
      </c>
    </row>
    <row r="6">
      <c r="A6" s="2"/>
      <c r="B6" s="2"/>
      <c r="C6" s="2"/>
      <c r="D6" s="2" t="s">
        <v>14</v>
      </c>
      <c r="E6" s="2"/>
      <c r="F6" s="16">
        <v>0.0</v>
      </c>
      <c r="G6" s="16">
        <f>'Growth Model'!F11</f>
        <v>1</v>
      </c>
      <c r="H6" s="16">
        <f>'Growth Model'!G11</f>
        <v>1</v>
      </c>
      <c r="I6" s="16">
        <f>'Growth Model'!H11</f>
        <v>1</v>
      </c>
      <c r="J6" s="16">
        <f>'Growth Model'!I11</f>
        <v>3</v>
      </c>
      <c r="K6" s="16">
        <f>'Growth Model'!J11</f>
        <v>3</v>
      </c>
      <c r="L6" s="16">
        <f>'Growth Model'!K11</f>
        <v>6</v>
      </c>
      <c r="M6" s="16">
        <f>'Growth Model'!L11</f>
        <v>11</v>
      </c>
      <c r="N6" s="16">
        <f>'Growth Model'!M11</f>
        <v>18</v>
      </c>
      <c r="O6" s="16">
        <f>'Growth Model'!N11</f>
        <v>30</v>
      </c>
      <c r="P6" s="16">
        <f>'Growth Model'!O11</f>
        <v>44</v>
      </c>
      <c r="Q6" s="16">
        <f>'Growth Model'!P11</f>
        <v>63</v>
      </c>
      <c r="R6" s="16">
        <f>'Growth Model'!Q11</f>
        <v>68</v>
      </c>
      <c r="S6" s="16">
        <f>'Growth Model'!R11</f>
        <v>76</v>
      </c>
      <c r="T6" s="16">
        <f>'Growth Model'!S11</f>
        <v>89</v>
      </c>
      <c r="U6" s="16">
        <f>'Growth Model'!T11</f>
        <v>110</v>
      </c>
      <c r="V6" s="16">
        <f>'Growth Model'!U11</f>
        <v>143</v>
      </c>
      <c r="W6" s="16">
        <f>'Growth Model'!V11</f>
        <v>170</v>
      </c>
      <c r="X6" s="16">
        <f>'Growth Model'!W11</f>
        <v>196</v>
      </c>
      <c r="Y6" s="16">
        <f>'Growth Model'!X11</f>
        <v>226</v>
      </c>
      <c r="Z6" s="16">
        <f>'Growth Model'!Y11</f>
        <v>247</v>
      </c>
      <c r="AA6" s="16">
        <f>'Growth Model'!Z11</f>
        <v>250</v>
      </c>
      <c r="AB6" s="16">
        <f>'Growth Model'!AA11</f>
        <v>250</v>
      </c>
      <c r="AC6" s="16">
        <f t="shared" ref="AC6:AJ6" si="4">AA6</f>
        <v>250</v>
      </c>
      <c r="AD6" s="16">
        <f t="shared" si="4"/>
        <v>250</v>
      </c>
      <c r="AE6" s="16">
        <f t="shared" si="4"/>
        <v>250</v>
      </c>
      <c r="AF6" s="16">
        <f t="shared" si="4"/>
        <v>250</v>
      </c>
      <c r="AG6" s="16">
        <f t="shared" si="4"/>
        <v>250</v>
      </c>
      <c r="AH6" s="16">
        <f t="shared" si="4"/>
        <v>250</v>
      </c>
      <c r="AI6" s="16">
        <f t="shared" si="4"/>
        <v>250</v>
      </c>
      <c r="AJ6" s="16">
        <f t="shared" si="4"/>
        <v>250</v>
      </c>
    </row>
    <row r="7">
      <c r="A7" s="2"/>
      <c r="B7" s="2"/>
      <c r="C7" s="2"/>
      <c r="D7" s="2" t="s">
        <v>89</v>
      </c>
      <c r="E7" s="2"/>
      <c r="F7" s="16">
        <v>0.0</v>
      </c>
      <c r="G7" s="16">
        <f>'Growth Model'!F10</f>
        <v>1</v>
      </c>
      <c r="H7" s="16">
        <f>'Growth Model'!G10</f>
        <v>1</v>
      </c>
      <c r="I7" s="16">
        <f>'Growth Model'!H10</f>
        <v>1</v>
      </c>
      <c r="J7" s="16">
        <f>'Growth Model'!I10</f>
        <v>2</v>
      </c>
      <c r="K7" s="16">
        <f>'Growth Model'!J10</f>
        <v>2</v>
      </c>
      <c r="L7" s="16">
        <f>'Growth Model'!K10</f>
        <v>4</v>
      </c>
      <c r="M7" s="16">
        <f>'Growth Model'!L10</f>
        <v>7</v>
      </c>
      <c r="N7" s="16">
        <f>'Growth Model'!M10</f>
        <v>12</v>
      </c>
      <c r="O7" s="16">
        <f>'Growth Model'!N10</f>
        <v>20</v>
      </c>
      <c r="P7" s="16">
        <f>'Growth Model'!O10</f>
        <v>33</v>
      </c>
      <c r="Q7" s="16">
        <f>'Growth Model'!P10</f>
        <v>50</v>
      </c>
      <c r="R7" s="16">
        <f>'Growth Model'!Q10</f>
        <v>50</v>
      </c>
      <c r="S7" s="16">
        <f>'Growth Model'!R10</f>
        <v>50</v>
      </c>
      <c r="T7" s="16">
        <f>'Growth Model'!S10</f>
        <v>50</v>
      </c>
      <c r="U7" s="16">
        <f>'Growth Model'!T10</f>
        <v>50</v>
      </c>
      <c r="V7" s="16">
        <f>'Growth Model'!U10</f>
        <v>50</v>
      </c>
      <c r="W7" s="16">
        <f>'Growth Model'!V10</f>
        <v>50</v>
      </c>
      <c r="X7" s="16">
        <f>'Growth Model'!W10</f>
        <v>50</v>
      </c>
      <c r="Y7" s="16">
        <f>'Growth Model'!X10</f>
        <v>50</v>
      </c>
      <c r="Z7" s="16">
        <f>'Growth Model'!Y10</f>
        <v>50</v>
      </c>
      <c r="AA7" s="16"/>
      <c r="AB7" s="16"/>
      <c r="AC7" s="16"/>
      <c r="AD7" s="16"/>
      <c r="AE7" s="16"/>
      <c r="AF7" s="16"/>
      <c r="AG7" s="16"/>
      <c r="AH7" s="16"/>
      <c r="AI7" s="16"/>
      <c r="AJ7" s="16"/>
    </row>
    <row r="8">
      <c r="A8" s="16" t="s">
        <v>90</v>
      </c>
      <c r="B8" s="16" t="s">
        <v>91</v>
      </c>
      <c r="C8" s="16" t="s">
        <v>92</v>
      </c>
      <c r="D8" s="2"/>
      <c r="E8" s="2"/>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row>
    <row r="9">
      <c r="A9" s="2"/>
      <c r="B9" s="2"/>
      <c r="C9" s="2"/>
      <c r="D9" s="2"/>
      <c r="E9" s="2"/>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row>
    <row r="10">
      <c r="A10" s="2"/>
      <c r="B10" s="2"/>
      <c r="C10" s="50">
        <f>'LD Summary'!J12</f>
        <v>6</v>
      </c>
      <c r="D10" s="1" t="s">
        <v>41</v>
      </c>
      <c r="E10" s="2"/>
      <c r="F10" s="16">
        <f t="shared" ref="F10:AJ10" si="5">IF(COLUMN(F9)-4.5&lt;$C$10,0,OFFSET(F7,0,-$C$10+1))</f>
        <v>0</v>
      </c>
      <c r="G10" s="16">
        <f t="shared" si="5"/>
        <v>0</v>
      </c>
      <c r="H10" s="16">
        <f t="shared" si="5"/>
        <v>0</v>
      </c>
      <c r="I10" s="16">
        <f t="shared" si="5"/>
        <v>0</v>
      </c>
      <c r="J10" s="16">
        <f t="shared" si="5"/>
        <v>0</v>
      </c>
      <c r="K10" s="16">
        <f t="shared" si="5"/>
        <v>0</v>
      </c>
      <c r="L10" s="16">
        <f t="shared" si="5"/>
        <v>1</v>
      </c>
      <c r="M10" s="16">
        <f t="shared" si="5"/>
        <v>1</v>
      </c>
      <c r="N10" s="16">
        <f t="shared" si="5"/>
        <v>1</v>
      </c>
      <c r="O10" s="16">
        <f t="shared" si="5"/>
        <v>2</v>
      </c>
      <c r="P10" s="16">
        <f t="shared" si="5"/>
        <v>2</v>
      </c>
      <c r="Q10" s="16">
        <f t="shared" si="5"/>
        <v>4</v>
      </c>
      <c r="R10" s="16">
        <f t="shared" si="5"/>
        <v>7</v>
      </c>
      <c r="S10" s="16">
        <f t="shared" si="5"/>
        <v>12</v>
      </c>
      <c r="T10" s="16">
        <f t="shared" si="5"/>
        <v>20</v>
      </c>
      <c r="U10" s="16">
        <f t="shared" si="5"/>
        <v>33</v>
      </c>
      <c r="V10" s="16">
        <f t="shared" si="5"/>
        <v>50</v>
      </c>
      <c r="W10" s="16">
        <f t="shared" si="5"/>
        <v>50</v>
      </c>
      <c r="X10" s="16">
        <f t="shared" si="5"/>
        <v>50</v>
      </c>
      <c r="Y10" s="16">
        <f t="shared" si="5"/>
        <v>50</v>
      </c>
      <c r="Z10" s="16">
        <f t="shared" si="5"/>
        <v>50</v>
      </c>
      <c r="AA10" s="16">
        <f t="shared" si="5"/>
        <v>50</v>
      </c>
      <c r="AB10" s="16">
        <f t="shared" si="5"/>
        <v>50</v>
      </c>
      <c r="AC10" s="16">
        <f t="shared" si="5"/>
        <v>50</v>
      </c>
      <c r="AD10" s="16">
        <f t="shared" si="5"/>
        <v>50</v>
      </c>
      <c r="AE10" s="16">
        <f t="shared" si="5"/>
        <v>50</v>
      </c>
      <c r="AF10" s="16" t="str">
        <f t="shared" si="5"/>
        <v/>
      </c>
      <c r="AG10" s="16" t="str">
        <f t="shared" si="5"/>
        <v/>
      </c>
      <c r="AH10" s="16" t="str">
        <f t="shared" si="5"/>
        <v/>
      </c>
      <c r="AI10" s="16" t="str">
        <f t="shared" si="5"/>
        <v/>
      </c>
      <c r="AJ10" s="16" t="str">
        <f t="shared" si="5"/>
        <v/>
      </c>
    </row>
    <row r="11">
      <c r="A11" s="2"/>
      <c r="B11" s="2"/>
      <c r="C11" s="50">
        <f>'LD Summary'!J13</f>
        <v>1</v>
      </c>
      <c r="D11" s="1" t="s">
        <v>44</v>
      </c>
      <c r="E11" s="2"/>
      <c r="F11" s="16">
        <v>0.0</v>
      </c>
      <c r="G11" s="16">
        <v>0.0</v>
      </c>
      <c r="H11" s="16">
        <f t="shared" ref="H11:AJ11" si="6">OFFSET(H6,0,$C$11+1)</f>
        <v>3</v>
      </c>
      <c r="I11" s="16">
        <f t="shared" si="6"/>
        <v>3</v>
      </c>
      <c r="J11" s="16">
        <f t="shared" si="6"/>
        <v>6</v>
      </c>
      <c r="K11" s="16">
        <f t="shared" si="6"/>
        <v>11</v>
      </c>
      <c r="L11" s="16">
        <f t="shared" si="6"/>
        <v>18</v>
      </c>
      <c r="M11" s="16">
        <f t="shared" si="6"/>
        <v>30</v>
      </c>
      <c r="N11" s="16">
        <f t="shared" si="6"/>
        <v>44</v>
      </c>
      <c r="O11" s="16">
        <f t="shared" si="6"/>
        <v>63</v>
      </c>
      <c r="P11" s="16">
        <f t="shared" si="6"/>
        <v>68</v>
      </c>
      <c r="Q11" s="16">
        <f t="shared" si="6"/>
        <v>76</v>
      </c>
      <c r="R11" s="16">
        <f t="shared" si="6"/>
        <v>89</v>
      </c>
      <c r="S11" s="16">
        <f t="shared" si="6"/>
        <v>110</v>
      </c>
      <c r="T11" s="16">
        <f t="shared" si="6"/>
        <v>143</v>
      </c>
      <c r="U11" s="16">
        <f t="shared" si="6"/>
        <v>170</v>
      </c>
      <c r="V11" s="16">
        <f t="shared" si="6"/>
        <v>196</v>
      </c>
      <c r="W11" s="16">
        <f t="shared" si="6"/>
        <v>226</v>
      </c>
      <c r="X11" s="16">
        <f t="shared" si="6"/>
        <v>247</v>
      </c>
      <c r="Y11" s="16">
        <f t="shared" si="6"/>
        <v>250</v>
      </c>
      <c r="Z11" s="16">
        <f t="shared" si="6"/>
        <v>250</v>
      </c>
      <c r="AA11" s="16">
        <f t="shared" si="6"/>
        <v>250</v>
      </c>
      <c r="AB11" s="16">
        <f t="shared" si="6"/>
        <v>250</v>
      </c>
      <c r="AC11" s="16">
        <f t="shared" si="6"/>
        <v>250</v>
      </c>
      <c r="AD11" s="16">
        <f t="shared" si="6"/>
        <v>250</v>
      </c>
      <c r="AE11" s="16">
        <f t="shared" si="6"/>
        <v>250</v>
      </c>
      <c r="AF11" s="16">
        <f t="shared" si="6"/>
        <v>250</v>
      </c>
      <c r="AG11" s="16">
        <f t="shared" si="6"/>
        <v>250</v>
      </c>
      <c r="AH11" s="16">
        <f t="shared" si="6"/>
        <v>250</v>
      </c>
      <c r="AI11" s="16" t="str">
        <f t="shared" si="6"/>
        <v/>
      </c>
      <c r="AJ11" s="16" t="str">
        <f t="shared" si="6"/>
        <v/>
      </c>
    </row>
    <row r="12">
      <c r="A12" s="2"/>
      <c r="B12" s="2"/>
      <c r="C12" s="2"/>
      <c r="D12" s="2"/>
      <c r="E12" s="2"/>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row>
    <row r="13">
      <c r="A13" s="1"/>
      <c r="B13" s="1"/>
      <c r="C13" s="1"/>
      <c r="D13" s="1"/>
      <c r="E13" s="1"/>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row>
    <row r="14">
      <c r="A14" s="2"/>
      <c r="B14" s="2"/>
      <c r="C14" s="51" t="s">
        <v>93</v>
      </c>
      <c r="D14" s="52"/>
      <c r="E14" s="52"/>
      <c r="F14" s="53"/>
      <c r="G14" s="54">
        <f t="shared" ref="G14:AJ14" si="7">G5</f>
        <v>1</v>
      </c>
      <c r="H14" s="54">
        <f t="shared" si="7"/>
        <v>2</v>
      </c>
      <c r="I14" s="54">
        <f t="shared" si="7"/>
        <v>3</v>
      </c>
      <c r="J14" s="54">
        <f t="shared" si="7"/>
        <v>5</v>
      </c>
      <c r="K14" s="54">
        <f t="shared" si="7"/>
        <v>8</v>
      </c>
      <c r="L14" s="54">
        <f t="shared" si="7"/>
        <v>13</v>
      </c>
      <c r="M14" s="54">
        <f t="shared" si="7"/>
        <v>22</v>
      </c>
      <c r="N14" s="54">
        <f t="shared" si="7"/>
        <v>34</v>
      </c>
      <c r="O14" s="54">
        <f t="shared" si="7"/>
        <v>45</v>
      </c>
      <c r="P14" s="54">
        <f t="shared" si="7"/>
        <v>45</v>
      </c>
      <c r="Q14" s="54">
        <f t="shared" si="7"/>
        <v>66</v>
      </c>
      <c r="R14" s="54">
        <f t="shared" si="7"/>
        <v>80</v>
      </c>
      <c r="S14" s="54">
        <f t="shared" si="7"/>
        <v>142</v>
      </c>
      <c r="T14" s="54">
        <f t="shared" si="7"/>
        <v>193</v>
      </c>
      <c r="U14" s="54">
        <f t="shared" si="7"/>
        <v>242</v>
      </c>
      <c r="V14" s="54">
        <f t="shared" si="7"/>
        <v>273</v>
      </c>
      <c r="W14" s="54">
        <f t="shared" si="7"/>
        <v>324</v>
      </c>
      <c r="X14" s="54">
        <f t="shared" si="7"/>
        <v>350</v>
      </c>
      <c r="Y14" s="54">
        <f t="shared" si="7"/>
        <v>345</v>
      </c>
      <c r="Z14" s="54">
        <f t="shared" si="7"/>
        <v>272</v>
      </c>
      <c r="AA14" s="54">
        <f t="shared" si="7"/>
        <v>33</v>
      </c>
      <c r="AB14" s="54">
        <f t="shared" si="7"/>
        <v>0</v>
      </c>
      <c r="AC14" s="54">
        <f t="shared" si="7"/>
        <v>0</v>
      </c>
      <c r="AD14" s="54">
        <f t="shared" si="7"/>
        <v>0</v>
      </c>
      <c r="AE14" s="54">
        <f t="shared" si="7"/>
        <v>0</v>
      </c>
      <c r="AF14" s="54">
        <f t="shared" si="7"/>
        <v>0</v>
      </c>
      <c r="AG14" s="54">
        <f t="shared" si="7"/>
        <v>0</v>
      </c>
      <c r="AH14" s="54">
        <f t="shared" si="7"/>
        <v>0</v>
      </c>
      <c r="AI14" s="54">
        <f t="shared" si="7"/>
        <v>0</v>
      </c>
      <c r="AJ14" s="54">
        <f t="shared" si="7"/>
        <v>0</v>
      </c>
    </row>
    <row r="15">
      <c r="A15" s="2"/>
      <c r="B15" s="2"/>
      <c r="C15" s="55" t="s">
        <v>94</v>
      </c>
      <c r="D15" s="52"/>
      <c r="E15" s="52"/>
      <c r="F15" s="54">
        <f t="shared" ref="F15:AJ15" si="8">G14</f>
        <v>1</v>
      </c>
      <c r="G15" s="54">
        <f t="shared" si="8"/>
        <v>2</v>
      </c>
      <c r="H15" s="54">
        <f t="shared" si="8"/>
        <v>3</v>
      </c>
      <c r="I15" s="54">
        <f t="shared" si="8"/>
        <v>5</v>
      </c>
      <c r="J15" s="54">
        <f t="shared" si="8"/>
        <v>8</v>
      </c>
      <c r="K15" s="54">
        <f t="shared" si="8"/>
        <v>13</v>
      </c>
      <c r="L15" s="54">
        <f t="shared" si="8"/>
        <v>22</v>
      </c>
      <c r="M15" s="54">
        <f t="shared" si="8"/>
        <v>34</v>
      </c>
      <c r="N15" s="54">
        <f t="shared" si="8"/>
        <v>45</v>
      </c>
      <c r="O15" s="54">
        <f t="shared" si="8"/>
        <v>45</v>
      </c>
      <c r="P15" s="54">
        <f t="shared" si="8"/>
        <v>66</v>
      </c>
      <c r="Q15" s="54">
        <f t="shared" si="8"/>
        <v>80</v>
      </c>
      <c r="R15" s="54">
        <f t="shared" si="8"/>
        <v>142</v>
      </c>
      <c r="S15" s="54">
        <f t="shared" si="8"/>
        <v>193</v>
      </c>
      <c r="T15" s="54">
        <f t="shared" si="8"/>
        <v>242</v>
      </c>
      <c r="U15" s="54">
        <f t="shared" si="8"/>
        <v>273</v>
      </c>
      <c r="V15" s="54">
        <f t="shared" si="8"/>
        <v>324</v>
      </c>
      <c r="W15" s="54">
        <f t="shared" si="8"/>
        <v>350</v>
      </c>
      <c r="X15" s="54">
        <f t="shared" si="8"/>
        <v>345</v>
      </c>
      <c r="Y15" s="54">
        <f t="shared" si="8"/>
        <v>272</v>
      </c>
      <c r="Z15" s="54">
        <f t="shared" si="8"/>
        <v>33</v>
      </c>
      <c r="AA15" s="54">
        <f t="shared" si="8"/>
        <v>0</v>
      </c>
      <c r="AB15" s="54">
        <f t="shared" si="8"/>
        <v>0</v>
      </c>
      <c r="AC15" s="54">
        <f t="shared" si="8"/>
        <v>0</v>
      </c>
      <c r="AD15" s="54">
        <f t="shared" si="8"/>
        <v>0</v>
      </c>
      <c r="AE15" s="54">
        <f t="shared" si="8"/>
        <v>0</v>
      </c>
      <c r="AF15" s="54">
        <f t="shared" si="8"/>
        <v>0</v>
      </c>
      <c r="AG15" s="54">
        <f t="shared" si="8"/>
        <v>0</v>
      </c>
      <c r="AH15" s="54">
        <f t="shared" si="8"/>
        <v>0</v>
      </c>
      <c r="AI15" s="54">
        <f t="shared" si="8"/>
        <v>0</v>
      </c>
      <c r="AJ15" s="53" t="str">
        <f t="shared" si="8"/>
        <v/>
      </c>
    </row>
    <row r="16">
      <c r="A16" s="1"/>
      <c r="B16" s="1"/>
      <c r="C16" s="1"/>
      <c r="D16" s="1"/>
      <c r="E16" s="1"/>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row>
    <row r="17">
      <c r="A17" s="1"/>
      <c r="B17" s="1"/>
      <c r="C17" s="2" t="s">
        <v>95</v>
      </c>
      <c r="D17" s="1"/>
      <c r="E17" s="1"/>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row>
    <row r="18">
      <c r="A18" s="1"/>
      <c r="B18" s="1"/>
      <c r="C18" s="1"/>
      <c r="D18" s="51" t="s">
        <v>96</v>
      </c>
      <c r="E18" s="51"/>
      <c r="F18" s="56">
        <v>0.0</v>
      </c>
      <c r="G18" s="56">
        <f t="shared" ref="G18:H18" si="9">ROUND(G20/($A$20)-G19,0)</f>
        <v>4</v>
      </c>
      <c r="H18" s="56">
        <f t="shared" si="9"/>
        <v>6</v>
      </c>
      <c r="I18" s="56">
        <f t="shared" ref="I18:K18" si="10">ROUND(I20/($B$20)-I19,0)</f>
        <v>10</v>
      </c>
      <c r="J18" s="56">
        <f t="shared" si="10"/>
        <v>17</v>
      </c>
      <c r="K18" s="56">
        <f t="shared" si="10"/>
        <v>28</v>
      </c>
      <c r="L18" s="56">
        <f t="shared" ref="L18:AE18" si="11">ROUND(L20/($C$20)-L19,0)</f>
        <v>44</v>
      </c>
      <c r="M18" s="56">
        <f t="shared" si="11"/>
        <v>56</v>
      </c>
      <c r="N18" s="56">
        <f t="shared" si="11"/>
        <v>52</v>
      </c>
      <c r="O18" s="56">
        <f t="shared" si="11"/>
        <v>85</v>
      </c>
      <c r="P18" s="56">
        <f t="shared" si="11"/>
        <v>97</v>
      </c>
      <c r="Q18" s="56">
        <f t="shared" si="11"/>
        <v>187</v>
      </c>
      <c r="R18" s="56">
        <f t="shared" si="11"/>
        <v>242</v>
      </c>
      <c r="S18" s="56">
        <f t="shared" si="11"/>
        <v>298</v>
      </c>
      <c r="T18" s="56">
        <f t="shared" si="11"/>
        <v>327</v>
      </c>
      <c r="U18" s="56">
        <f t="shared" si="11"/>
        <v>393</v>
      </c>
      <c r="V18" s="56">
        <f t="shared" si="11"/>
        <v>413</v>
      </c>
      <c r="W18" s="56">
        <f t="shared" si="11"/>
        <v>396</v>
      </c>
      <c r="X18" s="56">
        <f t="shared" si="11"/>
        <v>285</v>
      </c>
      <c r="Y18" s="56">
        <f t="shared" si="11"/>
        <v>-54</v>
      </c>
      <c r="Z18" s="56">
        <f t="shared" si="11"/>
        <v>-13</v>
      </c>
      <c r="AA18" s="56">
        <f t="shared" si="11"/>
        <v>0</v>
      </c>
      <c r="AB18" s="56">
        <f t="shared" si="11"/>
        <v>0</v>
      </c>
      <c r="AC18" s="56">
        <f t="shared" si="11"/>
        <v>0</v>
      </c>
      <c r="AD18" s="56">
        <f t="shared" si="11"/>
        <v>0</v>
      </c>
      <c r="AE18" s="56">
        <f t="shared" si="11"/>
        <v>0</v>
      </c>
      <c r="AF18" s="14"/>
      <c r="AG18" s="14"/>
      <c r="AH18" s="14"/>
      <c r="AI18" s="14"/>
      <c r="AJ18" s="14"/>
    </row>
    <row r="19">
      <c r="A19" s="32">
        <f>'LD Summary'!D6</f>
        <v>0.1</v>
      </c>
      <c r="B19" s="32">
        <f>'LD Summary'!E6</f>
        <v>0.15</v>
      </c>
      <c r="C19" s="32">
        <f>'LD Summary'!F6</f>
        <v>0.25</v>
      </c>
      <c r="D19" s="45" t="s">
        <v>97</v>
      </c>
      <c r="E19" s="45"/>
      <c r="F19" s="41">
        <v>0.0</v>
      </c>
      <c r="G19" s="41">
        <f t="shared" ref="G19:H19" si="12">ROUND($A$19*SUM(F18:F19),0)</f>
        <v>0</v>
      </c>
      <c r="H19" s="41">
        <f t="shared" si="12"/>
        <v>0</v>
      </c>
      <c r="I19" s="41">
        <f t="shared" ref="I19:K19" si="13">ROUND($B$19*SUM(H18:H19),0)</f>
        <v>1</v>
      </c>
      <c r="J19" s="41">
        <f t="shared" si="13"/>
        <v>2</v>
      </c>
      <c r="K19" s="41">
        <f t="shared" si="13"/>
        <v>3</v>
      </c>
      <c r="L19" s="41">
        <f t="shared" ref="L19:AE19" si="14">ROUND($C$19*SUM(K18:K19),0)</f>
        <v>8</v>
      </c>
      <c r="M19" s="41">
        <f t="shared" si="14"/>
        <v>13</v>
      </c>
      <c r="N19" s="41">
        <f t="shared" si="14"/>
        <v>17</v>
      </c>
      <c r="O19" s="41">
        <f t="shared" si="14"/>
        <v>17</v>
      </c>
      <c r="P19" s="41">
        <f t="shared" si="14"/>
        <v>26</v>
      </c>
      <c r="Q19" s="41">
        <f t="shared" si="14"/>
        <v>31</v>
      </c>
      <c r="R19" s="41">
        <f t="shared" si="14"/>
        <v>55</v>
      </c>
      <c r="S19" s="41">
        <f t="shared" si="14"/>
        <v>74</v>
      </c>
      <c r="T19" s="41">
        <f t="shared" si="14"/>
        <v>93</v>
      </c>
      <c r="U19" s="41">
        <f t="shared" si="14"/>
        <v>105</v>
      </c>
      <c r="V19" s="41">
        <f t="shared" si="14"/>
        <v>125</v>
      </c>
      <c r="W19" s="41">
        <f t="shared" si="14"/>
        <v>135</v>
      </c>
      <c r="X19" s="41">
        <f t="shared" si="14"/>
        <v>133</v>
      </c>
      <c r="Y19" s="41">
        <f t="shared" si="14"/>
        <v>105</v>
      </c>
      <c r="Z19" s="41">
        <f t="shared" si="14"/>
        <v>13</v>
      </c>
      <c r="AA19" s="41">
        <f t="shared" si="14"/>
        <v>0</v>
      </c>
      <c r="AB19" s="41">
        <f t="shared" si="14"/>
        <v>0</v>
      </c>
      <c r="AC19" s="41">
        <f t="shared" si="14"/>
        <v>0</v>
      </c>
      <c r="AD19" s="41">
        <f t="shared" si="14"/>
        <v>0</v>
      </c>
      <c r="AE19" s="41">
        <f t="shared" si="14"/>
        <v>0</v>
      </c>
      <c r="AF19" s="14"/>
      <c r="AG19" s="14"/>
      <c r="AH19" s="14"/>
      <c r="AI19" s="14"/>
      <c r="AJ19" s="14"/>
    </row>
    <row r="20">
      <c r="A20" s="32">
        <f>'LD Summary'!D5</f>
        <v>0.8</v>
      </c>
      <c r="B20" s="32">
        <f>'LD Summary'!E5</f>
        <v>0.7</v>
      </c>
      <c r="C20" s="32">
        <f>'LD Summary'!F5</f>
        <v>0.65</v>
      </c>
      <c r="D20" s="2" t="s">
        <v>98</v>
      </c>
      <c r="E20" s="2"/>
      <c r="F20" s="40">
        <f t="shared" ref="F20:AE20" si="15">G15</f>
        <v>2</v>
      </c>
      <c r="G20" s="40">
        <f t="shared" si="15"/>
        <v>3</v>
      </c>
      <c r="H20" s="40">
        <f t="shared" si="15"/>
        <v>5</v>
      </c>
      <c r="I20" s="40">
        <f t="shared" si="15"/>
        <v>8</v>
      </c>
      <c r="J20" s="40">
        <f t="shared" si="15"/>
        <v>13</v>
      </c>
      <c r="K20" s="40">
        <f t="shared" si="15"/>
        <v>22</v>
      </c>
      <c r="L20" s="40">
        <f t="shared" si="15"/>
        <v>34</v>
      </c>
      <c r="M20" s="40">
        <f t="shared" si="15"/>
        <v>45</v>
      </c>
      <c r="N20" s="40">
        <f t="shared" si="15"/>
        <v>45</v>
      </c>
      <c r="O20" s="40">
        <f t="shared" si="15"/>
        <v>66</v>
      </c>
      <c r="P20" s="40">
        <f t="shared" si="15"/>
        <v>80</v>
      </c>
      <c r="Q20" s="40">
        <f t="shared" si="15"/>
        <v>142</v>
      </c>
      <c r="R20" s="40">
        <f t="shared" si="15"/>
        <v>193</v>
      </c>
      <c r="S20" s="40">
        <f t="shared" si="15"/>
        <v>242</v>
      </c>
      <c r="T20" s="40">
        <f t="shared" si="15"/>
        <v>273</v>
      </c>
      <c r="U20" s="40">
        <f t="shared" si="15"/>
        <v>324</v>
      </c>
      <c r="V20" s="40">
        <f t="shared" si="15"/>
        <v>350</v>
      </c>
      <c r="W20" s="40">
        <f t="shared" si="15"/>
        <v>345</v>
      </c>
      <c r="X20" s="40">
        <f t="shared" si="15"/>
        <v>272</v>
      </c>
      <c r="Y20" s="40">
        <f t="shared" si="15"/>
        <v>33</v>
      </c>
      <c r="Z20" s="40">
        <f t="shared" si="15"/>
        <v>0</v>
      </c>
      <c r="AA20" s="40">
        <f t="shared" si="15"/>
        <v>0</v>
      </c>
      <c r="AB20" s="40">
        <f t="shared" si="15"/>
        <v>0</v>
      </c>
      <c r="AC20" s="40">
        <f t="shared" si="15"/>
        <v>0</v>
      </c>
      <c r="AD20" s="40">
        <f t="shared" si="15"/>
        <v>0</v>
      </c>
      <c r="AE20" s="40">
        <f t="shared" si="15"/>
        <v>0</v>
      </c>
      <c r="AF20" s="14"/>
      <c r="AG20" s="14"/>
      <c r="AH20" s="14"/>
      <c r="AI20" s="14"/>
      <c r="AJ20" s="14"/>
    </row>
    <row r="21" ht="15.75" customHeight="1">
      <c r="A21" s="1"/>
      <c r="B21" s="1"/>
      <c r="C21" s="1"/>
      <c r="D21" s="2"/>
      <c r="E21" s="2"/>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4"/>
      <c r="AG21" s="14"/>
      <c r="AH21" s="14"/>
      <c r="AI21" s="14"/>
      <c r="AJ21" s="14"/>
    </row>
    <row r="22" ht="15.75" customHeight="1">
      <c r="A22" s="2"/>
      <c r="B22" s="2"/>
      <c r="C22" s="2" t="s">
        <v>99</v>
      </c>
      <c r="D22" s="1"/>
      <c r="E22" s="1"/>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row>
    <row r="23" ht="15.75" customHeight="1">
      <c r="A23" s="1"/>
      <c r="B23" s="1"/>
      <c r="C23" s="2"/>
      <c r="D23" s="1" t="s">
        <v>100</v>
      </c>
      <c r="E23" s="1"/>
      <c r="F23" s="14"/>
      <c r="G23" s="9">
        <f t="shared" ref="G23:AE23" si="16">G14</f>
        <v>1</v>
      </c>
      <c r="H23" s="9">
        <f t="shared" si="16"/>
        <v>2</v>
      </c>
      <c r="I23" s="9">
        <f t="shared" si="16"/>
        <v>3</v>
      </c>
      <c r="J23" s="9">
        <f t="shared" si="16"/>
        <v>5</v>
      </c>
      <c r="K23" s="9">
        <f t="shared" si="16"/>
        <v>8</v>
      </c>
      <c r="L23" s="9">
        <f t="shared" si="16"/>
        <v>13</v>
      </c>
      <c r="M23" s="9">
        <f t="shared" si="16"/>
        <v>22</v>
      </c>
      <c r="N23" s="9">
        <f t="shared" si="16"/>
        <v>34</v>
      </c>
      <c r="O23" s="9">
        <f t="shared" si="16"/>
        <v>45</v>
      </c>
      <c r="P23" s="9">
        <f t="shared" si="16"/>
        <v>45</v>
      </c>
      <c r="Q23" s="9">
        <f t="shared" si="16"/>
        <v>66</v>
      </c>
      <c r="R23" s="9">
        <f t="shared" si="16"/>
        <v>80</v>
      </c>
      <c r="S23" s="9">
        <f t="shared" si="16"/>
        <v>142</v>
      </c>
      <c r="T23" s="9">
        <f t="shared" si="16"/>
        <v>193</v>
      </c>
      <c r="U23" s="9">
        <f t="shared" si="16"/>
        <v>242</v>
      </c>
      <c r="V23" s="9">
        <f t="shared" si="16"/>
        <v>273</v>
      </c>
      <c r="W23" s="9">
        <f t="shared" si="16"/>
        <v>324</v>
      </c>
      <c r="X23" s="9">
        <f t="shared" si="16"/>
        <v>350</v>
      </c>
      <c r="Y23" s="9">
        <f t="shared" si="16"/>
        <v>345</v>
      </c>
      <c r="Z23" s="9">
        <f t="shared" si="16"/>
        <v>272</v>
      </c>
      <c r="AA23" s="9">
        <f t="shared" si="16"/>
        <v>33</v>
      </c>
      <c r="AB23" s="9">
        <f t="shared" si="16"/>
        <v>0</v>
      </c>
      <c r="AC23" s="9">
        <f t="shared" si="16"/>
        <v>0</v>
      </c>
      <c r="AD23" s="9">
        <f t="shared" si="16"/>
        <v>0</v>
      </c>
      <c r="AE23" s="9">
        <f t="shared" si="16"/>
        <v>0</v>
      </c>
      <c r="AF23" s="14"/>
      <c r="AG23" s="14"/>
      <c r="AH23" s="14"/>
      <c r="AI23" s="14"/>
      <c r="AJ23" s="14"/>
    </row>
    <row r="24" ht="15.75" customHeight="1">
      <c r="A24" s="1"/>
      <c r="B24" s="1"/>
      <c r="C24" s="2"/>
      <c r="D24" s="1" t="s">
        <v>101</v>
      </c>
      <c r="E24" s="1"/>
      <c r="F24" s="14"/>
      <c r="G24" s="14">
        <f t="shared" ref="G24:AE24" si="17">G11-F11+G10-F10</f>
        <v>0</v>
      </c>
      <c r="H24" s="14">
        <f t="shared" si="17"/>
        <v>3</v>
      </c>
      <c r="I24" s="14">
        <f t="shared" si="17"/>
        <v>0</v>
      </c>
      <c r="J24" s="14">
        <f t="shared" si="17"/>
        <v>3</v>
      </c>
      <c r="K24" s="14">
        <f t="shared" si="17"/>
        <v>5</v>
      </c>
      <c r="L24" s="14">
        <f t="shared" si="17"/>
        <v>8</v>
      </c>
      <c r="M24" s="14">
        <f t="shared" si="17"/>
        <v>12</v>
      </c>
      <c r="N24" s="14">
        <f t="shared" si="17"/>
        <v>14</v>
      </c>
      <c r="O24" s="14">
        <f t="shared" si="17"/>
        <v>20</v>
      </c>
      <c r="P24" s="14">
        <f t="shared" si="17"/>
        <v>5</v>
      </c>
      <c r="Q24" s="14">
        <f t="shared" si="17"/>
        <v>10</v>
      </c>
      <c r="R24" s="14">
        <f t="shared" si="17"/>
        <v>16</v>
      </c>
      <c r="S24" s="14">
        <f t="shared" si="17"/>
        <v>26</v>
      </c>
      <c r="T24" s="14">
        <f t="shared" si="17"/>
        <v>41</v>
      </c>
      <c r="U24" s="14">
        <f t="shared" si="17"/>
        <v>40</v>
      </c>
      <c r="V24" s="14">
        <f t="shared" si="17"/>
        <v>43</v>
      </c>
      <c r="W24" s="14">
        <f t="shared" si="17"/>
        <v>30</v>
      </c>
      <c r="X24" s="14">
        <f t="shared" si="17"/>
        <v>21</v>
      </c>
      <c r="Y24" s="14">
        <f t="shared" si="17"/>
        <v>3</v>
      </c>
      <c r="Z24" s="14">
        <f t="shared" si="17"/>
        <v>0</v>
      </c>
      <c r="AA24" s="14">
        <f t="shared" si="17"/>
        <v>0</v>
      </c>
      <c r="AB24" s="14">
        <f t="shared" si="17"/>
        <v>0</v>
      </c>
      <c r="AC24" s="14">
        <f t="shared" si="17"/>
        <v>0</v>
      </c>
      <c r="AD24" s="14">
        <f t="shared" si="17"/>
        <v>0</v>
      </c>
      <c r="AE24" s="14">
        <f t="shared" si="17"/>
        <v>0</v>
      </c>
      <c r="AF24" s="14"/>
      <c r="AG24" s="14"/>
      <c r="AH24" s="14"/>
      <c r="AI24" s="14"/>
      <c r="AJ24" s="14"/>
    </row>
    <row r="25" ht="15.75" customHeight="1">
      <c r="A25" s="1"/>
      <c r="B25" s="1"/>
      <c r="C25" s="57">
        <f>'LD Summary'!F9</f>
        <v>3</v>
      </c>
      <c r="D25" s="1" t="s">
        <v>102</v>
      </c>
      <c r="E25" s="1"/>
      <c r="F25" s="14"/>
      <c r="G25" s="14">
        <v>0.0</v>
      </c>
      <c r="H25" s="14">
        <v>0.0</v>
      </c>
      <c r="I25" s="14">
        <f t="shared" ref="I25:AE25" si="18">IF($C$25&gt;COLUMN(I23)-6,0,IF(ISERROR(-OFFSET(I23,0,-$C$25)),0,-OFFSET(I23,0,-$C$25)))</f>
        <v>0</v>
      </c>
      <c r="J25" s="9">
        <f t="shared" si="18"/>
        <v>-1</v>
      </c>
      <c r="K25" s="9">
        <f t="shared" si="18"/>
        <v>-2</v>
      </c>
      <c r="L25" s="9">
        <f t="shared" si="18"/>
        <v>-3</v>
      </c>
      <c r="M25" s="9">
        <f t="shared" si="18"/>
        <v>-5</v>
      </c>
      <c r="N25" s="9">
        <f t="shared" si="18"/>
        <v>-8</v>
      </c>
      <c r="O25" s="9">
        <f t="shared" si="18"/>
        <v>-13</v>
      </c>
      <c r="P25" s="9">
        <f t="shared" si="18"/>
        <v>-22</v>
      </c>
      <c r="Q25" s="9">
        <f t="shared" si="18"/>
        <v>-34</v>
      </c>
      <c r="R25" s="9">
        <f t="shared" si="18"/>
        <v>-45</v>
      </c>
      <c r="S25" s="9">
        <f t="shared" si="18"/>
        <v>-45</v>
      </c>
      <c r="T25" s="9">
        <f t="shared" si="18"/>
        <v>-66</v>
      </c>
      <c r="U25" s="9">
        <f t="shared" si="18"/>
        <v>-80</v>
      </c>
      <c r="V25" s="9">
        <f t="shared" si="18"/>
        <v>-142</v>
      </c>
      <c r="W25" s="9">
        <f t="shared" si="18"/>
        <v>-193</v>
      </c>
      <c r="X25" s="9">
        <f t="shared" si="18"/>
        <v>-242</v>
      </c>
      <c r="Y25" s="9">
        <f t="shared" si="18"/>
        <v>-273</v>
      </c>
      <c r="Z25" s="9">
        <f t="shared" si="18"/>
        <v>-324</v>
      </c>
      <c r="AA25" s="9">
        <f t="shared" si="18"/>
        <v>-350</v>
      </c>
      <c r="AB25" s="9">
        <f t="shared" si="18"/>
        <v>-345</v>
      </c>
      <c r="AC25" s="9">
        <f t="shared" si="18"/>
        <v>-272</v>
      </c>
      <c r="AD25" s="9">
        <f t="shared" si="18"/>
        <v>-33</v>
      </c>
      <c r="AE25" s="9">
        <f t="shared" si="18"/>
        <v>0</v>
      </c>
      <c r="AF25" s="14"/>
      <c r="AG25" s="14"/>
      <c r="AH25" s="14"/>
      <c r="AI25" s="14"/>
      <c r="AJ25" s="14"/>
    </row>
    <row r="26" ht="15.75" customHeight="1">
      <c r="A26" s="1"/>
      <c r="B26" s="1"/>
      <c r="C26" s="57">
        <f>'LD Summary'!F10</f>
        <v>6</v>
      </c>
      <c r="D26" s="45" t="s">
        <v>37</v>
      </c>
      <c r="E26" s="45"/>
      <c r="F26" s="41"/>
      <c r="G26" s="41">
        <v>0.0</v>
      </c>
      <c r="H26" s="41">
        <v>0.0</v>
      </c>
      <c r="I26" s="41">
        <v>0.0</v>
      </c>
      <c r="J26" s="41">
        <f t="shared" ref="J26:AE26" si="19">IF(ISERROR(-OFFSET(J27,0,-$C$26)),0,-OFFSET(J27,0,-$C$26))</f>
        <v>0</v>
      </c>
      <c r="K26" s="41">
        <f t="shared" si="19"/>
        <v>0</v>
      </c>
      <c r="L26" s="41">
        <f t="shared" si="19"/>
        <v>0</v>
      </c>
      <c r="M26" s="41">
        <f t="shared" si="19"/>
        <v>0</v>
      </c>
      <c r="N26" s="41">
        <f t="shared" si="19"/>
        <v>-3</v>
      </c>
      <c r="O26" s="41">
        <f t="shared" si="19"/>
        <v>0</v>
      </c>
      <c r="P26" s="42">
        <f t="shared" si="19"/>
        <v>-4</v>
      </c>
      <c r="Q26" s="42">
        <f t="shared" si="19"/>
        <v>-7</v>
      </c>
      <c r="R26" s="42">
        <f t="shared" si="19"/>
        <v>-11</v>
      </c>
      <c r="S26" s="42">
        <f t="shared" si="19"/>
        <v>-17</v>
      </c>
      <c r="T26" s="42">
        <f t="shared" si="19"/>
        <v>-25</v>
      </c>
      <c r="U26" s="42">
        <f t="shared" si="19"/>
        <v>-33</v>
      </c>
      <c r="V26" s="42">
        <f t="shared" si="19"/>
        <v>-31</v>
      </c>
      <c r="W26" s="42">
        <f t="shared" si="19"/>
        <v>-51</v>
      </c>
      <c r="X26" s="42">
        <f t="shared" si="19"/>
        <v>-72</v>
      </c>
      <c r="Y26" s="42">
        <f t="shared" si="19"/>
        <v>-88</v>
      </c>
      <c r="Z26" s="42">
        <f t="shared" si="19"/>
        <v>-132</v>
      </c>
      <c r="AA26" s="42">
        <f t="shared" si="19"/>
        <v>-153</v>
      </c>
      <c r="AB26" s="42">
        <f t="shared" si="19"/>
        <v>-216</v>
      </c>
      <c r="AC26" s="42">
        <f t="shared" si="19"/>
        <v>-274</v>
      </c>
      <c r="AD26" s="42">
        <f t="shared" si="19"/>
        <v>-335</v>
      </c>
      <c r="AE26" s="42">
        <f t="shared" si="19"/>
        <v>-364</v>
      </c>
      <c r="AF26" s="14"/>
      <c r="AG26" s="14"/>
      <c r="AH26" s="14"/>
      <c r="AI26" s="14"/>
      <c r="AJ26" s="14"/>
    </row>
    <row r="27" ht="15.75" customHeight="1">
      <c r="A27" s="1"/>
      <c r="B27" s="1"/>
      <c r="C27" s="2"/>
      <c r="D27" s="51" t="s">
        <v>103</v>
      </c>
      <c r="E27" s="51"/>
      <c r="F27" s="56"/>
      <c r="G27" s="56">
        <f t="shared" ref="G27:AE27" si="20">-SUM(G25:G26)+G24</f>
        <v>0</v>
      </c>
      <c r="H27" s="56">
        <f t="shared" si="20"/>
        <v>3</v>
      </c>
      <c r="I27" s="56">
        <f t="shared" si="20"/>
        <v>0</v>
      </c>
      <c r="J27" s="58">
        <f t="shared" si="20"/>
        <v>4</v>
      </c>
      <c r="K27" s="58">
        <f t="shared" si="20"/>
        <v>7</v>
      </c>
      <c r="L27" s="58">
        <f t="shared" si="20"/>
        <v>11</v>
      </c>
      <c r="M27" s="58">
        <f t="shared" si="20"/>
        <v>17</v>
      </c>
      <c r="N27" s="58">
        <f t="shared" si="20"/>
        <v>25</v>
      </c>
      <c r="O27" s="58">
        <f t="shared" si="20"/>
        <v>33</v>
      </c>
      <c r="P27" s="58">
        <f t="shared" si="20"/>
        <v>31</v>
      </c>
      <c r="Q27" s="58">
        <f t="shared" si="20"/>
        <v>51</v>
      </c>
      <c r="R27" s="58">
        <f t="shared" si="20"/>
        <v>72</v>
      </c>
      <c r="S27" s="58">
        <f t="shared" si="20"/>
        <v>88</v>
      </c>
      <c r="T27" s="58">
        <f t="shared" si="20"/>
        <v>132</v>
      </c>
      <c r="U27" s="58">
        <f t="shared" si="20"/>
        <v>153</v>
      </c>
      <c r="V27" s="58">
        <f t="shared" si="20"/>
        <v>216</v>
      </c>
      <c r="W27" s="58">
        <f t="shared" si="20"/>
        <v>274</v>
      </c>
      <c r="X27" s="58">
        <f t="shared" si="20"/>
        <v>335</v>
      </c>
      <c r="Y27" s="58">
        <f t="shared" si="20"/>
        <v>364</v>
      </c>
      <c r="Z27" s="58">
        <f t="shared" si="20"/>
        <v>456</v>
      </c>
      <c r="AA27" s="58">
        <f t="shared" si="20"/>
        <v>503</v>
      </c>
      <c r="AB27" s="58">
        <f t="shared" si="20"/>
        <v>561</v>
      </c>
      <c r="AC27" s="58">
        <f t="shared" si="20"/>
        <v>546</v>
      </c>
      <c r="AD27" s="58">
        <f t="shared" si="20"/>
        <v>368</v>
      </c>
      <c r="AE27" s="58">
        <f t="shared" si="20"/>
        <v>364</v>
      </c>
      <c r="AF27" s="14"/>
      <c r="AG27" s="14"/>
      <c r="AH27" s="14"/>
      <c r="AI27" s="14"/>
      <c r="AJ27" s="14"/>
    </row>
    <row r="28" ht="15.75" customHeight="1">
      <c r="A28" s="1"/>
      <c r="B28" s="1"/>
      <c r="C28" s="2"/>
      <c r="D28" s="2"/>
      <c r="E28" s="2"/>
      <c r="F28" s="14"/>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4"/>
      <c r="AG28" s="14"/>
      <c r="AH28" s="14"/>
      <c r="AI28" s="14"/>
      <c r="AJ28" s="14"/>
    </row>
    <row r="29" ht="15.75" customHeight="1">
      <c r="A29" s="1"/>
      <c r="B29" s="1"/>
      <c r="C29" s="2" t="s">
        <v>104</v>
      </c>
      <c r="D29" s="1"/>
      <c r="E29" s="1"/>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row>
    <row r="30" ht="15.75" customHeight="1">
      <c r="A30" s="32"/>
      <c r="B30" s="32"/>
      <c r="C30" s="32">
        <f>'LD Summary'!F11</f>
        <v>0.5</v>
      </c>
      <c r="D30" s="52" t="s">
        <v>105</v>
      </c>
      <c r="E30" s="52"/>
      <c r="F30" s="53"/>
      <c r="G30" s="53">
        <f t="shared" ref="G30:AE30" si="21">ROUNDUP(G33*$C$30/($C$31),0)</f>
        <v>2</v>
      </c>
      <c r="H30" s="53">
        <f t="shared" si="21"/>
        <v>0</v>
      </c>
      <c r="I30" s="53">
        <f t="shared" si="21"/>
        <v>3</v>
      </c>
      <c r="J30" s="53">
        <f t="shared" si="21"/>
        <v>4</v>
      </c>
      <c r="K30" s="53">
        <f t="shared" si="21"/>
        <v>7</v>
      </c>
      <c r="L30" s="53">
        <f t="shared" si="21"/>
        <v>10</v>
      </c>
      <c r="M30" s="53">
        <f t="shared" si="21"/>
        <v>14</v>
      </c>
      <c r="N30" s="53">
        <f t="shared" si="21"/>
        <v>19</v>
      </c>
      <c r="O30" s="53">
        <f t="shared" si="21"/>
        <v>18</v>
      </c>
      <c r="P30" s="53">
        <f t="shared" si="21"/>
        <v>29</v>
      </c>
      <c r="Q30" s="53">
        <f t="shared" si="21"/>
        <v>40</v>
      </c>
      <c r="R30" s="53">
        <f t="shared" si="21"/>
        <v>49</v>
      </c>
      <c r="S30" s="53">
        <f t="shared" si="21"/>
        <v>74</v>
      </c>
      <c r="T30" s="53">
        <f t="shared" si="21"/>
        <v>85</v>
      </c>
      <c r="U30" s="53">
        <f t="shared" si="21"/>
        <v>120</v>
      </c>
      <c r="V30" s="53">
        <f t="shared" si="21"/>
        <v>153</v>
      </c>
      <c r="W30" s="53">
        <f t="shared" si="21"/>
        <v>187</v>
      </c>
      <c r="X30" s="53">
        <f t="shared" si="21"/>
        <v>203</v>
      </c>
      <c r="Y30" s="53">
        <f t="shared" si="21"/>
        <v>254</v>
      </c>
      <c r="Z30" s="53">
        <f t="shared" si="21"/>
        <v>280</v>
      </c>
      <c r="AA30" s="53">
        <f t="shared" si="21"/>
        <v>312</v>
      </c>
      <c r="AB30" s="53">
        <f t="shared" si="21"/>
        <v>304</v>
      </c>
      <c r="AC30" s="53">
        <f t="shared" si="21"/>
        <v>205</v>
      </c>
      <c r="AD30" s="53">
        <f t="shared" si="21"/>
        <v>203</v>
      </c>
      <c r="AE30" s="53">
        <f t="shared" si="21"/>
        <v>0</v>
      </c>
      <c r="AF30" s="14"/>
      <c r="AG30" s="14"/>
      <c r="AH30" s="14"/>
      <c r="AI30" s="14"/>
      <c r="AJ30" s="14"/>
    </row>
    <row r="31" ht="15.75" customHeight="1">
      <c r="A31" s="32">
        <f>'LD Summary'!D13</f>
        <v>1</v>
      </c>
      <c r="B31" s="32">
        <f>'LD Summary'!E13</f>
        <v>1</v>
      </c>
      <c r="C31" s="32">
        <f>'LD Summary'!F13</f>
        <v>0.9</v>
      </c>
      <c r="D31" s="1" t="s">
        <v>106</v>
      </c>
      <c r="E31" s="1"/>
      <c r="F31" s="14"/>
      <c r="G31" s="14">
        <f t="shared" ref="G31:K31" si="22">ROUND(G30*($B$31),0)</f>
        <v>2</v>
      </c>
      <c r="H31" s="14">
        <f t="shared" si="22"/>
        <v>0</v>
      </c>
      <c r="I31" s="14">
        <f t="shared" si="22"/>
        <v>3</v>
      </c>
      <c r="J31" s="14">
        <f t="shared" si="22"/>
        <v>4</v>
      </c>
      <c r="K31" s="14">
        <f t="shared" si="22"/>
        <v>7</v>
      </c>
      <c r="L31" s="14">
        <f t="shared" ref="L31:AE31" si="23">ROUND(L30*($C$31),0)</f>
        <v>9</v>
      </c>
      <c r="M31" s="14">
        <f t="shared" si="23"/>
        <v>13</v>
      </c>
      <c r="N31" s="14">
        <f t="shared" si="23"/>
        <v>17</v>
      </c>
      <c r="O31" s="14">
        <f t="shared" si="23"/>
        <v>16</v>
      </c>
      <c r="P31" s="14">
        <f t="shared" si="23"/>
        <v>26</v>
      </c>
      <c r="Q31" s="14">
        <f t="shared" si="23"/>
        <v>36</v>
      </c>
      <c r="R31" s="14">
        <f t="shared" si="23"/>
        <v>44</v>
      </c>
      <c r="S31" s="14">
        <f t="shared" si="23"/>
        <v>67</v>
      </c>
      <c r="T31" s="14">
        <f t="shared" si="23"/>
        <v>77</v>
      </c>
      <c r="U31" s="14">
        <f t="shared" si="23"/>
        <v>108</v>
      </c>
      <c r="V31" s="14">
        <f t="shared" si="23"/>
        <v>138</v>
      </c>
      <c r="W31" s="14">
        <f t="shared" si="23"/>
        <v>168</v>
      </c>
      <c r="X31" s="14">
        <f t="shared" si="23"/>
        <v>183</v>
      </c>
      <c r="Y31" s="14">
        <f t="shared" si="23"/>
        <v>229</v>
      </c>
      <c r="Z31" s="14">
        <f t="shared" si="23"/>
        <v>252</v>
      </c>
      <c r="AA31" s="14">
        <f t="shared" si="23"/>
        <v>281</v>
      </c>
      <c r="AB31" s="14">
        <f t="shared" si="23"/>
        <v>274</v>
      </c>
      <c r="AC31" s="14">
        <f t="shared" si="23"/>
        <v>185</v>
      </c>
      <c r="AD31" s="14">
        <f t="shared" si="23"/>
        <v>183</v>
      </c>
      <c r="AE31" s="14">
        <f t="shared" si="23"/>
        <v>0</v>
      </c>
      <c r="AF31" s="14"/>
      <c r="AG31" s="14"/>
      <c r="AH31" s="14"/>
      <c r="AI31" s="14"/>
      <c r="AJ31" s="14"/>
    </row>
    <row r="32" ht="15.75" customHeight="1">
      <c r="A32" s="32"/>
      <c r="B32" s="32"/>
      <c r="C32" s="32">
        <f>'LD Summary'!F12</f>
        <v>0.5</v>
      </c>
      <c r="D32" s="59" t="s">
        <v>107</v>
      </c>
      <c r="E32" s="59"/>
      <c r="F32" s="60"/>
      <c r="G32" s="60">
        <f t="shared" ref="G32:AE32" si="24">G33-G31</f>
        <v>1</v>
      </c>
      <c r="H32" s="60">
        <f t="shared" si="24"/>
        <v>0</v>
      </c>
      <c r="I32" s="61">
        <f t="shared" si="24"/>
        <v>1</v>
      </c>
      <c r="J32" s="61">
        <f t="shared" si="24"/>
        <v>3</v>
      </c>
      <c r="K32" s="61">
        <f t="shared" si="24"/>
        <v>4</v>
      </c>
      <c r="L32" s="61">
        <f t="shared" si="24"/>
        <v>8</v>
      </c>
      <c r="M32" s="61">
        <f t="shared" si="24"/>
        <v>12</v>
      </c>
      <c r="N32" s="61">
        <f t="shared" si="24"/>
        <v>16</v>
      </c>
      <c r="O32" s="61">
        <f t="shared" si="24"/>
        <v>15</v>
      </c>
      <c r="P32" s="61">
        <f t="shared" si="24"/>
        <v>25</v>
      </c>
      <c r="Q32" s="61">
        <f t="shared" si="24"/>
        <v>36</v>
      </c>
      <c r="R32" s="61">
        <f t="shared" si="24"/>
        <v>44</v>
      </c>
      <c r="S32" s="61">
        <f t="shared" si="24"/>
        <v>65</v>
      </c>
      <c r="T32" s="61">
        <f t="shared" si="24"/>
        <v>76</v>
      </c>
      <c r="U32" s="61">
        <f t="shared" si="24"/>
        <v>108</v>
      </c>
      <c r="V32" s="61">
        <f t="shared" si="24"/>
        <v>136</v>
      </c>
      <c r="W32" s="61">
        <f t="shared" si="24"/>
        <v>167</v>
      </c>
      <c r="X32" s="61">
        <f t="shared" si="24"/>
        <v>181</v>
      </c>
      <c r="Y32" s="61">
        <f t="shared" si="24"/>
        <v>227</v>
      </c>
      <c r="Z32" s="61">
        <f t="shared" si="24"/>
        <v>251</v>
      </c>
      <c r="AA32" s="61">
        <f t="shared" si="24"/>
        <v>280</v>
      </c>
      <c r="AB32" s="61">
        <f t="shared" si="24"/>
        <v>272</v>
      </c>
      <c r="AC32" s="61">
        <f t="shared" si="24"/>
        <v>183</v>
      </c>
      <c r="AD32" s="61">
        <f t="shared" si="24"/>
        <v>181</v>
      </c>
      <c r="AE32" s="60">
        <f t="shared" si="24"/>
        <v>0</v>
      </c>
      <c r="AF32" s="14"/>
      <c r="AG32" s="14"/>
      <c r="AH32" s="14"/>
      <c r="AI32" s="14"/>
      <c r="AJ32" s="14"/>
    </row>
    <row r="33" ht="15.75" customHeight="1">
      <c r="A33" s="1"/>
      <c r="B33" s="1"/>
      <c r="C33" s="1"/>
      <c r="D33" s="2" t="s">
        <v>108</v>
      </c>
      <c r="E33" s="2"/>
      <c r="F33" s="16">
        <f t="shared" ref="F33:AE33" si="25">G27</f>
        <v>0</v>
      </c>
      <c r="G33" s="16">
        <f t="shared" si="25"/>
        <v>3</v>
      </c>
      <c r="H33" s="16">
        <f t="shared" si="25"/>
        <v>0</v>
      </c>
      <c r="I33" s="40">
        <f t="shared" si="25"/>
        <v>4</v>
      </c>
      <c r="J33" s="40">
        <f t="shared" si="25"/>
        <v>7</v>
      </c>
      <c r="K33" s="40">
        <f t="shared" si="25"/>
        <v>11</v>
      </c>
      <c r="L33" s="40">
        <f t="shared" si="25"/>
        <v>17</v>
      </c>
      <c r="M33" s="40">
        <f t="shared" si="25"/>
        <v>25</v>
      </c>
      <c r="N33" s="40">
        <f t="shared" si="25"/>
        <v>33</v>
      </c>
      <c r="O33" s="40">
        <f t="shared" si="25"/>
        <v>31</v>
      </c>
      <c r="P33" s="40">
        <f t="shared" si="25"/>
        <v>51</v>
      </c>
      <c r="Q33" s="40">
        <f t="shared" si="25"/>
        <v>72</v>
      </c>
      <c r="R33" s="40">
        <f t="shared" si="25"/>
        <v>88</v>
      </c>
      <c r="S33" s="40">
        <f t="shared" si="25"/>
        <v>132</v>
      </c>
      <c r="T33" s="40">
        <f t="shared" si="25"/>
        <v>153</v>
      </c>
      <c r="U33" s="40">
        <f t="shared" si="25"/>
        <v>216</v>
      </c>
      <c r="V33" s="40">
        <f t="shared" si="25"/>
        <v>274</v>
      </c>
      <c r="W33" s="40">
        <f t="shared" si="25"/>
        <v>335</v>
      </c>
      <c r="X33" s="40">
        <f t="shared" si="25"/>
        <v>364</v>
      </c>
      <c r="Y33" s="40">
        <f t="shared" si="25"/>
        <v>456</v>
      </c>
      <c r="Z33" s="40">
        <f t="shared" si="25"/>
        <v>503</v>
      </c>
      <c r="AA33" s="40">
        <f t="shared" si="25"/>
        <v>561</v>
      </c>
      <c r="AB33" s="40">
        <f t="shared" si="25"/>
        <v>546</v>
      </c>
      <c r="AC33" s="40">
        <f t="shared" si="25"/>
        <v>368</v>
      </c>
      <c r="AD33" s="40">
        <f t="shared" si="25"/>
        <v>364</v>
      </c>
      <c r="AE33" s="16" t="str">
        <f t="shared" si="25"/>
        <v/>
      </c>
      <c r="AF33" s="14"/>
      <c r="AG33" s="14"/>
      <c r="AH33" s="14"/>
      <c r="AI33" s="14"/>
      <c r="AJ33" s="14"/>
    </row>
    <row r="34" ht="15.75" customHeight="1">
      <c r="A34" s="1"/>
      <c r="B34" s="1"/>
      <c r="C34" s="1"/>
      <c r="D34" s="1"/>
      <c r="E34" s="1"/>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row>
    <row r="35" ht="15.75" customHeight="1">
      <c r="A35" s="2"/>
      <c r="B35" s="2"/>
      <c r="C35" s="27" t="s">
        <v>109</v>
      </c>
      <c r="D35" s="1"/>
      <c r="E35" s="1"/>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row>
    <row r="36" ht="15.75" customHeight="1">
      <c r="A36" s="1"/>
      <c r="B36" s="1"/>
      <c r="C36" s="1"/>
      <c r="D36" s="51" t="s">
        <v>96</v>
      </c>
      <c r="E36" s="52"/>
      <c r="F36" s="53"/>
      <c r="G36" s="53">
        <f t="shared" ref="G36:H36" si="26">ROUNDUP(G38/SUM($A$38),0)-G37</f>
        <v>0</v>
      </c>
      <c r="H36" s="53">
        <f t="shared" si="26"/>
        <v>3</v>
      </c>
      <c r="I36" s="53">
        <f t="shared" ref="I36:K36" si="27">ROUNDUP(I38/SUM($B$38),0)-I37</f>
        <v>5</v>
      </c>
      <c r="J36" s="53">
        <f t="shared" si="27"/>
        <v>7</v>
      </c>
      <c r="K36" s="53">
        <f t="shared" si="27"/>
        <v>11</v>
      </c>
      <c r="L36" s="53">
        <f t="shared" ref="L36:AE36" si="28">ROUNDUP(L38/SUM($C$38),0)-L37</f>
        <v>19</v>
      </c>
      <c r="M36" s="53">
        <f t="shared" si="28"/>
        <v>25</v>
      </c>
      <c r="N36" s="53">
        <f t="shared" si="28"/>
        <v>22</v>
      </c>
      <c r="O36" s="53">
        <f t="shared" si="28"/>
        <v>39</v>
      </c>
      <c r="P36" s="53">
        <f t="shared" si="28"/>
        <v>52</v>
      </c>
      <c r="Q36" s="53">
        <f t="shared" si="28"/>
        <v>63</v>
      </c>
      <c r="R36" s="53">
        <f t="shared" si="28"/>
        <v>98</v>
      </c>
      <c r="S36" s="53">
        <f t="shared" si="28"/>
        <v>106</v>
      </c>
      <c r="T36" s="53">
        <f t="shared" si="28"/>
        <v>158</v>
      </c>
      <c r="U36" s="53">
        <f t="shared" si="28"/>
        <v>196</v>
      </c>
      <c r="V36" s="53">
        <f t="shared" si="28"/>
        <v>239</v>
      </c>
      <c r="W36" s="53">
        <f t="shared" si="28"/>
        <v>253</v>
      </c>
      <c r="X36" s="53">
        <f t="shared" si="28"/>
        <v>328</v>
      </c>
      <c r="Y36" s="53">
        <f t="shared" si="28"/>
        <v>349</v>
      </c>
      <c r="Z36" s="53">
        <f t="shared" si="28"/>
        <v>393</v>
      </c>
      <c r="AA36" s="53">
        <f t="shared" si="28"/>
        <v>370</v>
      </c>
      <c r="AB36" s="53">
        <f t="shared" si="28"/>
        <v>223</v>
      </c>
      <c r="AC36" s="53">
        <f t="shared" si="28"/>
        <v>257</v>
      </c>
      <c r="AD36" s="53">
        <f t="shared" si="28"/>
        <v>-64</v>
      </c>
      <c r="AE36" s="53">
        <f t="shared" si="28"/>
        <v>16</v>
      </c>
      <c r="AF36" s="14"/>
      <c r="AG36" s="14"/>
      <c r="AH36" s="14"/>
      <c r="AI36" s="14"/>
      <c r="AJ36" s="14"/>
    </row>
    <row r="37" ht="15.75" customHeight="1">
      <c r="A37" s="32" t="str">
        <f>'LD Summary'!D14</f>
        <v/>
      </c>
      <c r="B37" s="32">
        <f>'LD Summary'!E14</f>
        <v>0.1</v>
      </c>
      <c r="C37" s="32">
        <f>'LD Summary'!F14</f>
        <v>0.25</v>
      </c>
      <c r="D37" s="45" t="s">
        <v>110</v>
      </c>
      <c r="E37" s="45"/>
      <c r="F37" s="41"/>
      <c r="G37" s="41">
        <f t="shared" ref="G37:H37" si="29">ROUND(F36*$A$37,0)</f>
        <v>0</v>
      </c>
      <c r="H37" s="41">
        <f t="shared" si="29"/>
        <v>0</v>
      </c>
      <c r="I37" s="41">
        <f t="shared" ref="I37:K37" si="30">ROUND(H36*$B$37,0)</f>
        <v>0</v>
      </c>
      <c r="J37" s="41">
        <f t="shared" si="30"/>
        <v>1</v>
      </c>
      <c r="K37" s="41">
        <f t="shared" si="30"/>
        <v>1</v>
      </c>
      <c r="L37" s="41">
        <f t="shared" ref="L37:AE37" si="31">ROUND(K36*$C$37,0)</f>
        <v>3</v>
      </c>
      <c r="M37" s="41">
        <f t="shared" si="31"/>
        <v>5</v>
      </c>
      <c r="N37" s="41">
        <f t="shared" si="31"/>
        <v>6</v>
      </c>
      <c r="O37" s="41">
        <f t="shared" si="31"/>
        <v>6</v>
      </c>
      <c r="P37" s="41">
        <f t="shared" si="31"/>
        <v>10</v>
      </c>
      <c r="Q37" s="41">
        <f t="shared" si="31"/>
        <v>13</v>
      </c>
      <c r="R37" s="41">
        <f t="shared" si="31"/>
        <v>16</v>
      </c>
      <c r="S37" s="41">
        <f t="shared" si="31"/>
        <v>25</v>
      </c>
      <c r="T37" s="41">
        <f t="shared" si="31"/>
        <v>27</v>
      </c>
      <c r="U37" s="41">
        <f t="shared" si="31"/>
        <v>40</v>
      </c>
      <c r="V37" s="41">
        <f t="shared" si="31"/>
        <v>49</v>
      </c>
      <c r="W37" s="41">
        <f t="shared" si="31"/>
        <v>60</v>
      </c>
      <c r="X37" s="41">
        <f t="shared" si="31"/>
        <v>63</v>
      </c>
      <c r="Y37" s="41">
        <f t="shared" si="31"/>
        <v>82</v>
      </c>
      <c r="Z37" s="41">
        <f t="shared" si="31"/>
        <v>87</v>
      </c>
      <c r="AA37" s="41">
        <f t="shared" si="31"/>
        <v>98</v>
      </c>
      <c r="AB37" s="41">
        <f t="shared" si="31"/>
        <v>93</v>
      </c>
      <c r="AC37" s="41">
        <f t="shared" si="31"/>
        <v>56</v>
      </c>
      <c r="AD37" s="41">
        <f t="shared" si="31"/>
        <v>64</v>
      </c>
      <c r="AE37" s="41">
        <f t="shared" si="31"/>
        <v>-16</v>
      </c>
      <c r="AF37" s="14"/>
      <c r="AG37" s="14"/>
      <c r="AH37" s="14"/>
      <c r="AI37" s="14"/>
      <c r="AJ37" s="14"/>
    </row>
    <row r="38" ht="15.75" customHeight="1">
      <c r="A38" s="32">
        <f>'LD Summary'!D15</f>
        <v>1</v>
      </c>
      <c r="B38" s="32">
        <f>'LD Summary'!E15</f>
        <v>0.9</v>
      </c>
      <c r="C38" s="32">
        <f>'LD Summary'!F15</f>
        <v>0.65</v>
      </c>
      <c r="D38" s="2" t="s">
        <v>111</v>
      </c>
      <c r="E38" s="1"/>
      <c r="F38" s="14"/>
      <c r="G38" s="14">
        <f t="shared" ref="G38:AE38" si="32">H30</f>
        <v>0</v>
      </c>
      <c r="H38" s="14">
        <f t="shared" si="32"/>
        <v>3</v>
      </c>
      <c r="I38" s="14">
        <f t="shared" si="32"/>
        <v>4</v>
      </c>
      <c r="J38" s="14">
        <f t="shared" si="32"/>
        <v>7</v>
      </c>
      <c r="K38" s="14">
        <f t="shared" si="32"/>
        <v>10</v>
      </c>
      <c r="L38" s="14">
        <f t="shared" si="32"/>
        <v>14</v>
      </c>
      <c r="M38" s="14">
        <f t="shared" si="32"/>
        <v>19</v>
      </c>
      <c r="N38" s="14">
        <f t="shared" si="32"/>
        <v>18</v>
      </c>
      <c r="O38" s="14">
        <f t="shared" si="32"/>
        <v>29</v>
      </c>
      <c r="P38" s="14">
        <f t="shared" si="32"/>
        <v>40</v>
      </c>
      <c r="Q38" s="14">
        <f t="shared" si="32"/>
        <v>49</v>
      </c>
      <c r="R38" s="14">
        <f t="shared" si="32"/>
        <v>74</v>
      </c>
      <c r="S38" s="14">
        <f t="shared" si="32"/>
        <v>85</v>
      </c>
      <c r="T38" s="14">
        <f t="shared" si="32"/>
        <v>120</v>
      </c>
      <c r="U38" s="14">
        <f t="shared" si="32"/>
        <v>153</v>
      </c>
      <c r="V38" s="14">
        <f t="shared" si="32"/>
        <v>187</v>
      </c>
      <c r="W38" s="14">
        <f t="shared" si="32"/>
        <v>203</v>
      </c>
      <c r="X38" s="14">
        <f t="shared" si="32"/>
        <v>254</v>
      </c>
      <c r="Y38" s="14">
        <f t="shared" si="32"/>
        <v>280</v>
      </c>
      <c r="Z38" s="14">
        <f t="shared" si="32"/>
        <v>312</v>
      </c>
      <c r="AA38" s="14">
        <f t="shared" si="32"/>
        <v>304</v>
      </c>
      <c r="AB38" s="14">
        <f t="shared" si="32"/>
        <v>205</v>
      </c>
      <c r="AC38" s="14">
        <f t="shared" si="32"/>
        <v>203</v>
      </c>
      <c r="AD38" s="14">
        <f t="shared" si="32"/>
        <v>0</v>
      </c>
      <c r="AE38" s="14" t="str">
        <f t="shared" si="32"/>
        <v/>
      </c>
      <c r="AF38" s="14"/>
      <c r="AG38" s="14"/>
      <c r="AH38" s="14"/>
      <c r="AI38" s="14"/>
      <c r="AJ38" s="14"/>
    </row>
    <row r="39" ht="15.75" customHeight="1">
      <c r="A39" s="1"/>
      <c r="B39" s="1"/>
      <c r="C39" s="1"/>
      <c r="D39" s="1"/>
      <c r="E39" s="1"/>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row>
    <row r="40" ht="15.75" customHeight="1">
      <c r="A40" s="1"/>
      <c r="B40" s="1"/>
      <c r="C40" s="1"/>
      <c r="D40" s="1"/>
      <c r="E40" s="1"/>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row>
    <row r="41" ht="15.75" customHeight="1">
      <c r="A41" s="1"/>
      <c r="B41" s="1"/>
      <c r="C41" s="2" t="s">
        <v>112</v>
      </c>
      <c r="D41" s="1"/>
      <c r="E41" s="1"/>
      <c r="F41" s="14"/>
      <c r="G41" s="14"/>
      <c r="H41" s="14"/>
      <c r="I41" s="14">
        <f>COLUMN(I40)</f>
        <v>9</v>
      </c>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row>
    <row r="42" ht="15.75" customHeight="1">
      <c r="A42" s="1"/>
      <c r="B42" s="1"/>
      <c r="C42" s="2"/>
      <c r="D42" s="1" t="s">
        <v>88</v>
      </c>
      <c r="E42" s="1"/>
      <c r="F42" s="14"/>
      <c r="G42" s="9">
        <f t="shared" ref="G42:AE42" si="33">G5</f>
        <v>1</v>
      </c>
      <c r="H42" s="9">
        <f t="shared" si="33"/>
        <v>2</v>
      </c>
      <c r="I42" s="9">
        <f t="shared" si="33"/>
        <v>3</v>
      </c>
      <c r="J42" s="9">
        <f t="shared" si="33"/>
        <v>5</v>
      </c>
      <c r="K42" s="9">
        <f t="shared" si="33"/>
        <v>8</v>
      </c>
      <c r="L42" s="9">
        <f t="shared" si="33"/>
        <v>13</v>
      </c>
      <c r="M42" s="9">
        <f t="shared" si="33"/>
        <v>22</v>
      </c>
      <c r="N42" s="9">
        <f t="shared" si="33"/>
        <v>34</v>
      </c>
      <c r="O42" s="9">
        <f t="shared" si="33"/>
        <v>45</v>
      </c>
      <c r="P42" s="9">
        <f t="shared" si="33"/>
        <v>45</v>
      </c>
      <c r="Q42" s="9">
        <f t="shared" si="33"/>
        <v>66</v>
      </c>
      <c r="R42" s="9">
        <f t="shared" si="33"/>
        <v>80</v>
      </c>
      <c r="S42" s="9">
        <f t="shared" si="33"/>
        <v>142</v>
      </c>
      <c r="T42" s="9">
        <f t="shared" si="33"/>
        <v>193</v>
      </c>
      <c r="U42" s="9">
        <f t="shared" si="33"/>
        <v>242</v>
      </c>
      <c r="V42" s="9">
        <f t="shared" si="33"/>
        <v>273</v>
      </c>
      <c r="W42" s="9">
        <f t="shared" si="33"/>
        <v>324</v>
      </c>
      <c r="X42" s="9">
        <f t="shared" si="33"/>
        <v>350</v>
      </c>
      <c r="Y42" s="9">
        <f t="shared" si="33"/>
        <v>345</v>
      </c>
      <c r="Z42" s="9">
        <f t="shared" si="33"/>
        <v>272</v>
      </c>
      <c r="AA42" s="9">
        <f t="shared" si="33"/>
        <v>33</v>
      </c>
      <c r="AB42" s="9">
        <f t="shared" si="33"/>
        <v>0</v>
      </c>
      <c r="AC42" s="9">
        <f t="shared" si="33"/>
        <v>0</v>
      </c>
      <c r="AD42" s="9">
        <f t="shared" si="33"/>
        <v>0</v>
      </c>
      <c r="AE42" s="9">
        <f t="shared" si="33"/>
        <v>0</v>
      </c>
      <c r="AF42" s="14"/>
      <c r="AG42" s="14"/>
      <c r="AH42" s="14"/>
      <c r="AI42" s="14"/>
      <c r="AJ42" s="14"/>
    </row>
    <row r="43" ht="15.75" customHeight="1">
      <c r="A43" s="1"/>
      <c r="B43" s="1"/>
      <c r="C43" s="57"/>
      <c r="D43" s="1" t="s">
        <v>113</v>
      </c>
      <c r="E43" s="1"/>
      <c r="F43" s="14"/>
      <c r="G43" s="14" t="str">
        <f t="shared" ref="G43:AE43" si="34">F32</f>
        <v/>
      </c>
      <c r="H43" s="14">
        <f t="shared" si="34"/>
        <v>1</v>
      </c>
      <c r="I43" s="14">
        <f t="shared" si="34"/>
        <v>0</v>
      </c>
      <c r="J43" s="9">
        <f t="shared" si="34"/>
        <v>1</v>
      </c>
      <c r="K43" s="9">
        <f t="shared" si="34"/>
        <v>3</v>
      </c>
      <c r="L43" s="9">
        <f t="shared" si="34"/>
        <v>4</v>
      </c>
      <c r="M43" s="9">
        <f t="shared" si="34"/>
        <v>8</v>
      </c>
      <c r="N43" s="9">
        <f t="shared" si="34"/>
        <v>12</v>
      </c>
      <c r="O43" s="9">
        <f t="shared" si="34"/>
        <v>16</v>
      </c>
      <c r="P43" s="9">
        <f t="shared" si="34"/>
        <v>15</v>
      </c>
      <c r="Q43" s="9">
        <f t="shared" si="34"/>
        <v>25</v>
      </c>
      <c r="R43" s="9">
        <f t="shared" si="34"/>
        <v>36</v>
      </c>
      <c r="S43" s="9">
        <f t="shared" si="34"/>
        <v>44</v>
      </c>
      <c r="T43" s="9">
        <f t="shared" si="34"/>
        <v>65</v>
      </c>
      <c r="U43" s="9">
        <f t="shared" si="34"/>
        <v>76</v>
      </c>
      <c r="V43" s="9">
        <f t="shared" si="34"/>
        <v>108</v>
      </c>
      <c r="W43" s="9">
        <f t="shared" si="34"/>
        <v>136</v>
      </c>
      <c r="X43" s="9">
        <f t="shared" si="34"/>
        <v>167</v>
      </c>
      <c r="Y43" s="9">
        <f t="shared" si="34"/>
        <v>181</v>
      </c>
      <c r="Z43" s="9">
        <f t="shared" si="34"/>
        <v>227</v>
      </c>
      <c r="AA43" s="9">
        <f t="shared" si="34"/>
        <v>251</v>
      </c>
      <c r="AB43" s="9">
        <f t="shared" si="34"/>
        <v>280</v>
      </c>
      <c r="AC43" s="9">
        <f t="shared" si="34"/>
        <v>272</v>
      </c>
      <c r="AD43" s="9">
        <f t="shared" si="34"/>
        <v>183</v>
      </c>
      <c r="AE43" s="9">
        <f t="shared" si="34"/>
        <v>181</v>
      </c>
      <c r="AF43" s="14"/>
      <c r="AG43" s="14"/>
      <c r="AH43" s="14"/>
      <c r="AI43" s="14"/>
      <c r="AJ43" s="14"/>
    </row>
    <row r="44" ht="15.75" customHeight="1">
      <c r="A44" s="1"/>
      <c r="B44" s="1"/>
      <c r="C44" s="57">
        <f>'LD Summary'!K5</f>
        <v>5</v>
      </c>
      <c r="D44" s="45" t="s">
        <v>114</v>
      </c>
      <c r="E44" s="45"/>
      <c r="F44" s="41"/>
      <c r="G44" s="41"/>
      <c r="H44" s="41">
        <f t="shared" ref="H44:AE44" si="35">IF(COLUMN(H43)-$C$44&lt;5,0,IF(ISERROR(OFFSET(H45,0,-$C$44)),0,OFFSET(H45,0,-$C$44)))</f>
        <v>0</v>
      </c>
      <c r="I44" s="41">
        <f t="shared" si="35"/>
        <v>0</v>
      </c>
      <c r="J44" s="41" t="str">
        <f t="shared" si="35"/>
        <v/>
      </c>
      <c r="K44" s="41">
        <f t="shared" si="35"/>
        <v>2</v>
      </c>
      <c r="L44" s="42">
        <f t="shared" si="35"/>
        <v>1</v>
      </c>
      <c r="M44" s="42">
        <f t="shared" si="35"/>
        <v>3</v>
      </c>
      <c r="N44" s="42">
        <f t="shared" si="35"/>
        <v>3</v>
      </c>
      <c r="O44" s="42">
        <f t="shared" si="35"/>
        <v>6</v>
      </c>
      <c r="P44" s="42">
        <f t="shared" si="35"/>
        <v>13</v>
      </c>
      <c r="Q44" s="42">
        <f t="shared" si="35"/>
        <v>18</v>
      </c>
      <c r="R44" s="42">
        <f t="shared" si="35"/>
        <v>33</v>
      </c>
      <c r="S44" s="42">
        <f t="shared" si="35"/>
        <v>49</v>
      </c>
      <c r="T44" s="42">
        <f t="shared" si="35"/>
        <v>67</v>
      </c>
      <c r="U44" s="42">
        <f t="shared" si="35"/>
        <v>73</v>
      </c>
      <c r="V44" s="42">
        <f t="shared" si="35"/>
        <v>109</v>
      </c>
      <c r="W44" s="42">
        <f t="shared" si="35"/>
        <v>149</v>
      </c>
      <c r="X44" s="42">
        <f t="shared" si="35"/>
        <v>235</v>
      </c>
      <c r="Y44" s="42">
        <f t="shared" si="35"/>
        <v>325</v>
      </c>
      <c r="Z44" s="42">
        <f t="shared" si="35"/>
        <v>391</v>
      </c>
      <c r="AA44" s="42">
        <f t="shared" si="35"/>
        <v>490</v>
      </c>
      <c r="AB44" s="42">
        <f t="shared" si="35"/>
        <v>609</v>
      </c>
      <c r="AC44" s="42">
        <f t="shared" si="35"/>
        <v>752</v>
      </c>
      <c r="AD44" s="42">
        <f t="shared" si="35"/>
        <v>851</v>
      </c>
      <c r="AE44" s="42">
        <f t="shared" si="35"/>
        <v>890</v>
      </c>
      <c r="AF44" s="14"/>
      <c r="AG44" s="14"/>
      <c r="AH44" s="14"/>
      <c r="AI44" s="14"/>
      <c r="AJ44" s="14"/>
    </row>
    <row r="45" ht="15.75" customHeight="1">
      <c r="A45" s="2"/>
      <c r="B45" s="2"/>
      <c r="C45" s="57"/>
      <c r="D45" s="51" t="s">
        <v>56</v>
      </c>
      <c r="E45" s="51"/>
      <c r="F45" s="56">
        <f>F4</f>
        <v>2</v>
      </c>
      <c r="G45" s="58">
        <f t="shared" ref="G45:AE45" si="36">SUM(G42:G44)</f>
        <v>1</v>
      </c>
      <c r="H45" s="58">
        <f t="shared" si="36"/>
        <v>3</v>
      </c>
      <c r="I45" s="58">
        <f t="shared" si="36"/>
        <v>3</v>
      </c>
      <c r="J45" s="58">
        <f t="shared" si="36"/>
        <v>6</v>
      </c>
      <c r="K45" s="58">
        <f t="shared" si="36"/>
        <v>13</v>
      </c>
      <c r="L45" s="58">
        <f t="shared" si="36"/>
        <v>18</v>
      </c>
      <c r="M45" s="58">
        <f t="shared" si="36"/>
        <v>33</v>
      </c>
      <c r="N45" s="58">
        <f t="shared" si="36"/>
        <v>49</v>
      </c>
      <c r="O45" s="58">
        <f t="shared" si="36"/>
        <v>67</v>
      </c>
      <c r="P45" s="58">
        <f t="shared" si="36"/>
        <v>73</v>
      </c>
      <c r="Q45" s="58">
        <f t="shared" si="36"/>
        <v>109</v>
      </c>
      <c r="R45" s="58">
        <f t="shared" si="36"/>
        <v>149</v>
      </c>
      <c r="S45" s="58">
        <f t="shared" si="36"/>
        <v>235</v>
      </c>
      <c r="T45" s="58">
        <f t="shared" si="36"/>
        <v>325</v>
      </c>
      <c r="U45" s="58">
        <f t="shared" si="36"/>
        <v>391</v>
      </c>
      <c r="V45" s="58">
        <f t="shared" si="36"/>
        <v>490</v>
      </c>
      <c r="W45" s="58">
        <f t="shared" si="36"/>
        <v>609</v>
      </c>
      <c r="X45" s="58">
        <f t="shared" si="36"/>
        <v>752</v>
      </c>
      <c r="Y45" s="58">
        <f t="shared" si="36"/>
        <v>851</v>
      </c>
      <c r="Z45" s="58">
        <f t="shared" si="36"/>
        <v>890</v>
      </c>
      <c r="AA45" s="58">
        <f t="shared" si="36"/>
        <v>774</v>
      </c>
      <c r="AB45" s="58">
        <f t="shared" si="36"/>
        <v>889</v>
      </c>
      <c r="AC45" s="58">
        <f t="shared" si="36"/>
        <v>1024</v>
      </c>
      <c r="AD45" s="58">
        <f t="shared" si="36"/>
        <v>1034</v>
      </c>
      <c r="AE45" s="58">
        <f t="shared" si="36"/>
        <v>1071</v>
      </c>
      <c r="AF45" s="16"/>
      <c r="AG45" s="16"/>
      <c r="AH45" s="16"/>
      <c r="AI45" s="16"/>
      <c r="AJ45" s="16"/>
    </row>
    <row r="46" ht="15.75" customHeight="1">
      <c r="A46" s="1"/>
      <c r="B46" s="1"/>
      <c r="C46" s="1"/>
      <c r="D46" s="1"/>
      <c r="E46" s="1"/>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row>
    <row r="47" ht="15.75" customHeight="1">
      <c r="A47" s="1"/>
      <c r="B47" s="1"/>
      <c r="C47" s="2" t="s">
        <v>115</v>
      </c>
      <c r="D47" s="1"/>
      <c r="E47" s="1"/>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row>
    <row r="48" ht="15.75" customHeight="1">
      <c r="A48" s="32">
        <f>'LD Summary'!I6</f>
        <v>0</v>
      </c>
      <c r="B48" s="32">
        <f>'LD Summary'!J6</f>
        <v>0.05</v>
      </c>
      <c r="C48" s="32">
        <f>'LD Summary'!K6</f>
        <v>0</v>
      </c>
      <c r="D48" s="1" t="s">
        <v>97</v>
      </c>
      <c r="E48" s="1"/>
      <c r="F48" s="14"/>
      <c r="G48" s="14">
        <f t="shared" ref="G48:H48" si="37">ROUND(SUM(F48:F49)*$A$48,0)</f>
        <v>0</v>
      </c>
      <c r="H48" s="14">
        <f t="shared" si="37"/>
        <v>0</v>
      </c>
      <c r="I48" s="14">
        <f t="shared" ref="I48:K48" si="38">ROUND(SUM(H48:H49)*$B$48,0)</f>
        <v>0</v>
      </c>
      <c r="J48" s="14">
        <f t="shared" si="38"/>
        <v>0</v>
      </c>
      <c r="K48" s="14">
        <f t="shared" si="38"/>
        <v>1</v>
      </c>
      <c r="L48" s="14">
        <f t="shared" ref="L48:AE48" si="39">ROUND(SUM(K48:K49)*$C$48,0)</f>
        <v>0</v>
      </c>
      <c r="M48" s="14">
        <f t="shared" si="39"/>
        <v>0</v>
      </c>
      <c r="N48" s="14">
        <f t="shared" si="39"/>
        <v>0</v>
      </c>
      <c r="O48" s="14">
        <f t="shared" si="39"/>
        <v>0</v>
      </c>
      <c r="P48" s="14">
        <f t="shared" si="39"/>
        <v>0</v>
      </c>
      <c r="Q48" s="14">
        <f t="shared" si="39"/>
        <v>0</v>
      </c>
      <c r="R48" s="14">
        <f t="shared" si="39"/>
        <v>0</v>
      </c>
      <c r="S48" s="14">
        <f t="shared" si="39"/>
        <v>0</v>
      </c>
      <c r="T48" s="14">
        <f t="shared" si="39"/>
        <v>0</v>
      </c>
      <c r="U48" s="14">
        <f t="shared" si="39"/>
        <v>0</v>
      </c>
      <c r="V48" s="14">
        <f t="shared" si="39"/>
        <v>0</v>
      </c>
      <c r="W48" s="14">
        <f t="shared" si="39"/>
        <v>0</v>
      </c>
      <c r="X48" s="14">
        <f t="shared" si="39"/>
        <v>0</v>
      </c>
      <c r="Y48" s="14">
        <f t="shared" si="39"/>
        <v>0</v>
      </c>
      <c r="Z48" s="14">
        <f t="shared" si="39"/>
        <v>0</v>
      </c>
      <c r="AA48" s="14">
        <f t="shared" si="39"/>
        <v>0</v>
      </c>
      <c r="AB48" s="14">
        <f t="shared" si="39"/>
        <v>0</v>
      </c>
      <c r="AC48" s="14">
        <f t="shared" si="39"/>
        <v>0</v>
      </c>
      <c r="AD48" s="14">
        <f t="shared" si="39"/>
        <v>0</v>
      </c>
      <c r="AE48" s="14">
        <f t="shared" si="39"/>
        <v>0</v>
      </c>
      <c r="AF48" s="14"/>
      <c r="AG48" s="14"/>
      <c r="AH48" s="14"/>
      <c r="AI48" s="14"/>
      <c r="AJ48" s="14"/>
    </row>
    <row r="49" ht="15.75" customHeight="1">
      <c r="A49" s="1"/>
      <c r="B49" s="1"/>
      <c r="C49" s="1"/>
      <c r="D49" s="59" t="s">
        <v>116</v>
      </c>
      <c r="E49" s="59"/>
      <c r="F49" s="60">
        <f>ROUND(F50/$C$50-F48,0)</f>
        <v>1</v>
      </c>
      <c r="G49" s="60">
        <f t="shared" ref="G49:H49" si="40">ROUND(G50/$A$50-G48,0)</f>
        <v>3</v>
      </c>
      <c r="H49" s="60">
        <f t="shared" si="40"/>
        <v>3</v>
      </c>
      <c r="I49" s="60">
        <f t="shared" ref="I49:K49" si="41">ROUND(I50/$B$50-I48,0)</f>
        <v>7</v>
      </c>
      <c r="J49" s="60">
        <f t="shared" si="41"/>
        <v>14</v>
      </c>
      <c r="K49" s="60">
        <f t="shared" si="41"/>
        <v>19</v>
      </c>
      <c r="L49" s="60">
        <f t="shared" ref="L49:AE49" si="42">ROUND(L50/$C$50-L48,0)</f>
        <v>37</v>
      </c>
      <c r="M49" s="60">
        <f t="shared" si="42"/>
        <v>54</v>
      </c>
      <c r="N49" s="60">
        <f t="shared" si="42"/>
        <v>74</v>
      </c>
      <c r="O49" s="60">
        <f t="shared" si="42"/>
        <v>81</v>
      </c>
      <c r="P49" s="60">
        <f t="shared" si="42"/>
        <v>121</v>
      </c>
      <c r="Q49" s="60">
        <f t="shared" si="42"/>
        <v>166</v>
      </c>
      <c r="R49" s="60">
        <f t="shared" si="42"/>
        <v>261</v>
      </c>
      <c r="S49" s="60">
        <f t="shared" si="42"/>
        <v>361</v>
      </c>
      <c r="T49" s="60">
        <f t="shared" si="42"/>
        <v>434</v>
      </c>
      <c r="U49" s="60">
        <f t="shared" si="42"/>
        <v>544</v>
      </c>
      <c r="V49" s="60">
        <f t="shared" si="42"/>
        <v>677</v>
      </c>
      <c r="W49" s="60">
        <f t="shared" si="42"/>
        <v>836</v>
      </c>
      <c r="X49" s="60">
        <f t="shared" si="42"/>
        <v>946</v>
      </c>
      <c r="Y49" s="60">
        <f t="shared" si="42"/>
        <v>989</v>
      </c>
      <c r="Z49" s="60">
        <f t="shared" si="42"/>
        <v>860</v>
      </c>
      <c r="AA49" s="60">
        <f t="shared" si="42"/>
        <v>988</v>
      </c>
      <c r="AB49" s="60">
        <f t="shared" si="42"/>
        <v>1138</v>
      </c>
      <c r="AC49" s="60">
        <f t="shared" si="42"/>
        <v>1149</v>
      </c>
      <c r="AD49" s="60">
        <f t="shared" si="42"/>
        <v>1190</v>
      </c>
      <c r="AE49" s="60">
        <f t="shared" si="42"/>
        <v>0</v>
      </c>
      <c r="AF49" s="14"/>
      <c r="AG49" s="14"/>
      <c r="AH49" s="14"/>
      <c r="AI49" s="14"/>
      <c r="AJ49" s="14"/>
    </row>
    <row r="50" ht="15.75" customHeight="1">
      <c r="A50" s="32">
        <f>'LD Summary'!I7</f>
        <v>1</v>
      </c>
      <c r="B50" s="32">
        <f>'LD Summary'!J7</f>
        <v>0.9</v>
      </c>
      <c r="C50" s="32">
        <f>'LD Summary'!K7</f>
        <v>0.9</v>
      </c>
      <c r="D50" s="1" t="s">
        <v>117</v>
      </c>
      <c r="E50" s="1"/>
      <c r="F50" s="9">
        <f t="shared" ref="F50:AE50" si="43">G45</f>
        <v>1</v>
      </c>
      <c r="G50" s="9">
        <f t="shared" si="43"/>
        <v>3</v>
      </c>
      <c r="H50" s="9">
        <f t="shared" si="43"/>
        <v>3</v>
      </c>
      <c r="I50" s="9">
        <f t="shared" si="43"/>
        <v>6</v>
      </c>
      <c r="J50" s="9">
        <f t="shared" si="43"/>
        <v>13</v>
      </c>
      <c r="K50" s="9">
        <f t="shared" si="43"/>
        <v>18</v>
      </c>
      <c r="L50" s="9">
        <f t="shared" si="43"/>
        <v>33</v>
      </c>
      <c r="M50" s="9">
        <f t="shared" si="43"/>
        <v>49</v>
      </c>
      <c r="N50" s="9">
        <f t="shared" si="43"/>
        <v>67</v>
      </c>
      <c r="O50" s="9">
        <f t="shared" si="43"/>
        <v>73</v>
      </c>
      <c r="P50" s="9">
        <f t="shared" si="43"/>
        <v>109</v>
      </c>
      <c r="Q50" s="9">
        <f t="shared" si="43"/>
        <v>149</v>
      </c>
      <c r="R50" s="9">
        <f t="shared" si="43"/>
        <v>235</v>
      </c>
      <c r="S50" s="9">
        <f t="shared" si="43"/>
        <v>325</v>
      </c>
      <c r="T50" s="9">
        <f t="shared" si="43"/>
        <v>391</v>
      </c>
      <c r="U50" s="9">
        <f t="shared" si="43"/>
        <v>490</v>
      </c>
      <c r="V50" s="9">
        <f t="shared" si="43"/>
        <v>609</v>
      </c>
      <c r="W50" s="9">
        <f t="shared" si="43"/>
        <v>752</v>
      </c>
      <c r="X50" s="9">
        <f t="shared" si="43"/>
        <v>851</v>
      </c>
      <c r="Y50" s="9">
        <f t="shared" si="43"/>
        <v>890</v>
      </c>
      <c r="Z50" s="9">
        <f t="shared" si="43"/>
        <v>774</v>
      </c>
      <c r="AA50" s="9">
        <f t="shared" si="43"/>
        <v>889</v>
      </c>
      <c r="AB50" s="9">
        <f t="shared" si="43"/>
        <v>1024</v>
      </c>
      <c r="AC50" s="9">
        <f t="shared" si="43"/>
        <v>1034</v>
      </c>
      <c r="AD50" s="9">
        <f t="shared" si="43"/>
        <v>1071</v>
      </c>
      <c r="AE50" s="14" t="str">
        <f t="shared" si="43"/>
        <v/>
      </c>
      <c r="AF50" s="14"/>
      <c r="AG50" s="14"/>
      <c r="AH50" s="14"/>
      <c r="AI50" s="14"/>
      <c r="AJ50" s="14"/>
    </row>
    <row r="51" ht="15.75" customHeight="1">
      <c r="A51" s="1"/>
      <c r="B51" s="1"/>
      <c r="C51" s="1"/>
      <c r="D51" s="1"/>
      <c r="E51" s="1"/>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ht="15.75" customHeight="1">
      <c r="A53" s="1"/>
      <c r="B53" s="1"/>
      <c r="C53" s="27" t="s">
        <v>95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row>
    <row r="54" ht="15.75" customHeight="1">
      <c r="A54" s="1"/>
      <c r="B54" s="1"/>
      <c r="C54" s="1"/>
      <c r="D54" s="51" t="s">
        <v>96</v>
      </c>
      <c r="E54" s="51"/>
      <c r="F54" s="56"/>
      <c r="G54" s="56">
        <f t="shared" ref="G54:H54" si="44">ROUND(G56/($A$56)-G55,0)</f>
        <v>4</v>
      </c>
      <c r="H54" s="56">
        <f t="shared" si="44"/>
        <v>9</v>
      </c>
      <c r="I54" s="56">
        <f t="shared" ref="I54:K54" si="45">ROUND(I56/($B$56)-I55,0)</f>
        <v>18</v>
      </c>
      <c r="J54" s="56">
        <f t="shared" si="45"/>
        <v>23</v>
      </c>
      <c r="K54" s="56">
        <f t="shared" si="45"/>
        <v>48</v>
      </c>
      <c r="L54" s="56">
        <f t="shared" ref="L54:AE54" si="46">ROUND(L56/($C$56)-L55,0)</f>
        <v>70</v>
      </c>
      <c r="M54" s="56">
        <f t="shared" si="46"/>
        <v>93</v>
      </c>
      <c r="N54" s="56">
        <f t="shared" si="46"/>
        <v>96</v>
      </c>
      <c r="O54" s="56">
        <f t="shared" si="46"/>
        <v>155</v>
      </c>
      <c r="P54" s="56">
        <f t="shared" si="46"/>
        <v>208</v>
      </c>
      <c r="Q54" s="56">
        <f t="shared" si="46"/>
        <v>338</v>
      </c>
      <c r="R54" s="56">
        <f t="shared" si="46"/>
        <v>454</v>
      </c>
      <c r="S54" s="56">
        <f t="shared" si="46"/>
        <v>529</v>
      </c>
      <c r="T54" s="56">
        <f t="shared" si="46"/>
        <v>670</v>
      </c>
      <c r="U54" s="56">
        <f t="shared" si="46"/>
        <v>833</v>
      </c>
      <c r="V54" s="56">
        <f t="shared" si="46"/>
        <v>1025</v>
      </c>
      <c r="W54" s="56">
        <f t="shared" si="46"/>
        <v>1133</v>
      </c>
      <c r="X54" s="56">
        <f t="shared" si="46"/>
        <v>1158</v>
      </c>
      <c r="Y54" s="56">
        <f t="shared" si="46"/>
        <v>942</v>
      </c>
      <c r="Z54" s="56">
        <f t="shared" si="46"/>
        <v>1189</v>
      </c>
      <c r="AA54" s="56">
        <f t="shared" si="46"/>
        <v>1371</v>
      </c>
      <c r="AB54" s="56">
        <f t="shared" si="46"/>
        <v>1330</v>
      </c>
      <c r="AC54" s="56">
        <f t="shared" si="46"/>
        <v>1389</v>
      </c>
      <c r="AD54" s="56">
        <f t="shared" si="46"/>
        <v>-458</v>
      </c>
      <c r="AE54" s="56">
        <f t="shared" si="46"/>
        <v>0</v>
      </c>
      <c r="AF54" s="14"/>
      <c r="AG54" s="14"/>
      <c r="AH54" s="14"/>
      <c r="AI54" s="14"/>
      <c r="AJ54" s="14"/>
    </row>
    <row r="55" ht="15.75" customHeight="1">
      <c r="A55" s="32">
        <f>'LD Summary'!I8</f>
        <v>0.1</v>
      </c>
      <c r="B55" s="32">
        <f>'LD Summary'!J8</f>
        <v>0.2</v>
      </c>
      <c r="C55" s="32">
        <f>'LD Summary'!K8</f>
        <v>0.25</v>
      </c>
      <c r="D55" s="45" t="s">
        <v>97</v>
      </c>
      <c r="E55" s="45"/>
      <c r="F55" s="41">
        <v>0.0</v>
      </c>
      <c r="G55" s="41">
        <f t="shared" ref="G55:H55" si="47">ROUND($A$55*SUM(F54:F55),0)</f>
        <v>0</v>
      </c>
      <c r="H55" s="41">
        <f t="shared" si="47"/>
        <v>0</v>
      </c>
      <c r="I55" s="41">
        <f t="shared" ref="I55:K55" si="48">ROUND($B$55*SUM(H54:H55),0)</f>
        <v>2</v>
      </c>
      <c r="J55" s="41">
        <f t="shared" si="48"/>
        <v>4</v>
      </c>
      <c r="K55" s="41">
        <f t="shared" si="48"/>
        <v>5</v>
      </c>
      <c r="L55" s="41">
        <f t="shared" ref="L55:AE55" si="49">ROUND($C$55*SUM(K54:K55),0)</f>
        <v>13</v>
      </c>
      <c r="M55" s="41">
        <f t="shared" si="49"/>
        <v>21</v>
      </c>
      <c r="N55" s="41">
        <f t="shared" si="49"/>
        <v>29</v>
      </c>
      <c r="O55" s="41">
        <f t="shared" si="49"/>
        <v>31</v>
      </c>
      <c r="P55" s="41">
        <f t="shared" si="49"/>
        <v>47</v>
      </c>
      <c r="Q55" s="41">
        <f t="shared" si="49"/>
        <v>64</v>
      </c>
      <c r="R55" s="41">
        <f t="shared" si="49"/>
        <v>101</v>
      </c>
      <c r="S55" s="41">
        <f t="shared" si="49"/>
        <v>139</v>
      </c>
      <c r="T55" s="41">
        <f t="shared" si="49"/>
        <v>167</v>
      </c>
      <c r="U55" s="41">
        <f t="shared" si="49"/>
        <v>209</v>
      </c>
      <c r="V55" s="41">
        <f t="shared" si="49"/>
        <v>261</v>
      </c>
      <c r="W55" s="41">
        <f t="shared" si="49"/>
        <v>322</v>
      </c>
      <c r="X55" s="41">
        <f t="shared" si="49"/>
        <v>364</v>
      </c>
      <c r="Y55" s="41">
        <f t="shared" si="49"/>
        <v>381</v>
      </c>
      <c r="Z55" s="41">
        <f t="shared" si="49"/>
        <v>331</v>
      </c>
      <c r="AA55" s="41">
        <f t="shared" si="49"/>
        <v>380</v>
      </c>
      <c r="AB55" s="41">
        <f t="shared" si="49"/>
        <v>438</v>
      </c>
      <c r="AC55" s="41">
        <f t="shared" si="49"/>
        <v>442</v>
      </c>
      <c r="AD55" s="41">
        <f t="shared" si="49"/>
        <v>458</v>
      </c>
      <c r="AE55" s="41">
        <f t="shared" si="49"/>
        <v>0</v>
      </c>
      <c r="AF55" s="14"/>
      <c r="AG55" s="14"/>
      <c r="AH55" s="14"/>
      <c r="AI55" s="14"/>
      <c r="AJ55" s="14"/>
    </row>
    <row r="56" ht="15.75" customHeight="1">
      <c r="A56" s="32">
        <f>'LD Summary'!I9</f>
        <v>0.8</v>
      </c>
      <c r="B56" s="32">
        <f>'LD Summary'!J9</f>
        <v>0.7</v>
      </c>
      <c r="C56" s="32">
        <f>'LD Summary'!K9</f>
        <v>0.65</v>
      </c>
      <c r="D56" s="2" t="s">
        <v>118</v>
      </c>
      <c r="E56" s="2"/>
      <c r="F56" s="16">
        <f t="shared" ref="F56:AE56" si="50">G49</f>
        <v>3</v>
      </c>
      <c r="G56" s="16">
        <f t="shared" si="50"/>
        <v>3</v>
      </c>
      <c r="H56" s="16">
        <f t="shared" si="50"/>
        <v>7</v>
      </c>
      <c r="I56" s="16">
        <f t="shared" si="50"/>
        <v>14</v>
      </c>
      <c r="J56" s="16">
        <f t="shared" si="50"/>
        <v>19</v>
      </c>
      <c r="K56" s="16">
        <f t="shared" si="50"/>
        <v>37</v>
      </c>
      <c r="L56" s="16">
        <f t="shared" si="50"/>
        <v>54</v>
      </c>
      <c r="M56" s="16">
        <f t="shared" si="50"/>
        <v>74</v>
      </c>
      <c r="N56" s="16">
        <f t="shared" si="50"/>
        <v>81</v>
      </c>
      <c r="O56" s="16">
        <f t="shared" si="50"/>
        <v>121</v>
      </c>
      <c r="P56" s="16">
        <f t="shared" si="50"/>
        <v>166</v>
      </c>
      <c r="Q56" s="16">
        <f t="shared" si="50"/>
        <v>261</v>
      </c>
      <c r="R56" s="16">
        <f t="shared" si="50"/>
        <v>361</v>
      </c>
      <c r="S56" s="16">
        <f t="shared" si="50"/>
        <v>434</v>
      </c>
      <c r="T56" s="16">
        <f t="shared" si="50"/>
        <v>544</v>
      </c>
      <c r="U56" s="16">
        <f t="shared" si="50"/>
        <v>677</v>
      </c>
      <c r="V56" s="16">
        <f t="shared" si="50"/>
        <v>836</v>
      </c>
      <c r="W56" s="16">
        <f t="shared" si="50"/>
        <v>946</v>
      </c>
      <c r="X56" s="16">
        <f t="shared" si="50"/>
        <v>989</v>
      </c>
      <c r="Y56" s="16">
        <f t="shared" si="50"/>
        <v>860</v>
      </c>
      <c r="Z56" s="16">
        <f t="shared" si="50"/>
        <v>988</v>
      </c>
      <c r="AA56" s="16">
        <f t="shared" si="50"/>
        <v>1138</v>
      </c>
      <c r="AB56" s="16">
        <f t="shared" si="50"/>
        <v>1149</v>
      </c>
      <c r="AC56" s="16">
        <f t="shared" si="50"/>
        <v>1190</v>
      </c>
      <c r="AD56" s="16">
        <f t="shared" si="50"/>
        <v>0</v>
      </c>
      <c r="AE56" s="16" t="str">
        <f t="shared" si="50"/>
        <v/>
      </c>
      <c r="AF56" s="14"/>
      <c r="AG56" s="14"/>
      <c r="AH56" s="14"/>
      <c r="AI56" s="14"/>
      <c r="AJ56" s="14"/>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row>
  </sheetData>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outlineLevelRow="1"/>
  <cols>
    <col customWidth="1" min="1" max="2" width="1.38"/>
    <col customWidth="1" min="3" max="3" width="21.75"/>
    <col customWidth="1" min="4" max="4" width="20.88"/>
    <col customWidth="1" min="5" max="5" width="14.88"/>
    <col customWidth="1" min="6" max="6" width="17.5"/>
    <col customWidth="1" min="7" max="7" width="16.13"/>
    <col customWidth="1" min="8" max="9" width="15.13"/>
    <col customWidth="1" min="10" max="10" width="16.5"/>
    <col customWidth="1" min="11" max="12" width="8.0"/>
    <col customWidth="1" min="13" max="14" width="13.88"/>
    <col customWidth="1" min="15" max="17" width="13.75"/>
    <col customWidth="1" min="18" max="23" width="15.25"/>
    <col customWidth="1" min="24" max="33" width="9.0"/>
  </cols>
  <sheetData>
    <row r="1" ht="12.75" customHeight="1"/>
    <row r="2" ht="12.75" customHeight="1">
      <c r="B2" s="62" t="s">
        <v>119</v>
      </c>
      <c r="N2" s="63"/>
      <c r="O2" s="63"/>
      <c r="P2" s="63"/>
      <c r="Q2" s="63"/>
      <c r="R2" s="63"/>
      <c r="S2" s="63"/>
      <c r="T2" s="63"/>
      <c r="U2" s="63"/>
    </row>
    <row r="3" ht="12.75" customHeight="1">
      <c r="B3" s="64"/>
      <c r="O3" s="65"/>
      <c r="P3" s="65"/>
      <c r="Q3" s="65"/>
      <c r="R3" s="65"/>
      <c r="S3" s="65"/>
      <c r="T3" s="65"/>
      <c r="U3" s="65"/>
    </row>
    <row r="4" ht="12.75" customHeight="1" outlineLevel="1">
      <c r="B4" s="66" t="s">
        <v>120</v>
      </c>
      <c r="G4" s="65"/>
      <c r="O4" s="65"/>
      <c r="P4" s="65"/>
      <c r="Q4" s="65"/>
      <c r="R4" s="65"/>
      <c r="S4" s="65"/>
      <c r="T4" s="65"/>
      <c r="U4" s="65"/>
    </row>
    <row r="5" ht="12.75" customHeight="1" outlineLevel="1">
      <c r="C5" s="67" t="s">
        <v>121</v>
      </c>
      <c r="D5" s="63" t="s">
        <v>122</v>
      </c>
      <c r="F5" s="67" t="s">
        <v>123</v>
      </c>
      <c r="O5" s="65"/>
      <c r="P5" s="65"/>
      <c r="Q5" s="65"/>
      <c r="R5" s="65"/>
      <c r="S5" s="65"/>
      <c r="T5" s="65"/>
      <c r="U5" s="65"/>
    </row>
    <row r="6" ht="12.75" customHeight="1" outlineLevel="1">
      <c r="C6" s="68" t="s">
        <v>124</v>
      </c>
      <c r="D6" s="69">
        <v>60000.0</v>
      </c>
      <c r="F6" s="63" t="s">
        <v>125</v>
      </c>
      <c r="G6" s="63" t="s">
        <v>48</v>
      </c>
      <c r="H6" s="1"/>
      <c r="I6" s="1"/>
      <c r="J6" s="70"/>
      <c r="M6" s="71"/>
      <c r="O6" s="65"/>
      <c r="P6" s="65"/>
      <c r="Q6" s="65"/>
      <c r="R6" s="65"/>
      <c r="S6" s="65"/>
      <c r="T6" s="65"/>
      <c r="U6" s="65"/>
    </row>
    <row r="7" ht="12.75" customHeight="1" outlineLevel="1">
      <c r="C7" s="68" t="s">
        <v>126</v>
      </c>
      <c r="D7" s="69">
        <v>80000.0</v>
      </c>
      <c r="F7" s="72">
        <v>1.0</v>
      </c>
      <c r="G7" s="73">
        <v>1.0</v>
      </c>
      <c r="H7" s="68" t="s">
        <v>2</v>
      </c>
      <c r="J7" s="70">
        <v>0.6</v>
      </c>
    </row>
    <row r="8" ht="12.75" customHeight="1" outlineLevel="1">
      <c r="C8" s="68" t="s">
        <v>127</v>
      </c>
      <c r="D8" s="69">
        <v>100000.0</v>
      </c>
      <c r="F8" s="72">
        <v>2.0</v>
      </c>
      <c r="G8" s="73">
        <v>1.0</v>
      </c>
      <c r="H8" s="1" t="s">
        <v>3</v>
      </c>
      <c r="I8" s="1"/>
      <c r="J8" s="74">
        <v>200.0</v>
      </c>
    </row>
    <row r="9" ht="12.75" customHeight="1" outlineLevel="1">
      <c r="C9" s="68" t="s">
        <v>128</v>
      </c>
      <c r="D9" s="69">
        <v>120000.0</v>
      </c>
      <c r="F9" s="72">
        <v>3.0</v>
      </c>
      <c r="G9" s="73">
        <v>2.0</v>
      </c>
    </row>
    <row r="10" ht="12.75" customHeight="1" outlineLevel="1">
      <c r="C10" s="68" t="s">
        <v>129</v>
      </c>
      <c r="D10" s="69">
        <v>140000.0</v>
      </c>
      <c r="F10" s="72">
        <v>4.0</v>
      </c>
      <c r="G10" s="73">
        <v>3.0</v>
      </c>
    </row>
    <row r="11" ht="12.75" customHeight="1" outlineLevel="1">
      <c r="C11" s="68" t="s">
        <v>130</v>
      </c>
      <c r="D11" s="69">
        <v>160000.0</v>
      </c>
      <c r="F11" s="72">
        <v>5.0</v>
      </c>
      <c r="G11" s="73">
        <v>5.0</v>
      </c>
    </row>
    <row r="12" ht="12.75" customHeight="1" outlineLevel="1">
      <c r="C12" s="68" t="s">
        <v>131</v>
      </c>
      <c r="D12" s="69">
        <v>180000.0</v>
      </c>
      <c r="F12" s="72">
        <v>6.0</v>
      </c>
      <c r="G12" s="73">
        <v>8.0</v>
      </c>
    </row>
    <row r="13" ht="12.75" customHeight="1" outlineLevel="1">
      <c r="C13" s="68" t="s">
        <v>132</v>
      </c>
      <c r="D13" s="69">
        <v>140000.0</v>
      </c>
      <c r="F13" s="72">
        <v>7.0</v>
      </c>
      <c r="G13" s="73">
        <v>13.0</v>
      </c>
    </row>
    <row r="14" ht="12.75" customHeight="1" outlineLevel="1">
      <c r="F14" s="72">
        <v>8.0</v>
      </c>
      <c r="G14" s="73">
        <v>21.0</v>
      </c>
    </row>
    <row r="15" ht="12.75" customHeight="1" outlineLevel="1">
      <c r="C15" s="67" t="s">
        <v>133</v>
      </c>
      <c r="D15" s="75">
        <v>0.22</v>
      </c>
      <c r="F15" s="72">
        <v>9.0</v>
      </c>
      <c r="G15" s="73">
        <v>34.0</v>
      </c>
    </row>
    <row r="16" ht="12.75" customHeight="1" outlineLevel="1">
      <c r="C16" s="67"/>
      <c r="D16" s="75"/>
      <c r="F16" s="72">
        <v>10.0</v>
      </c>
      <c r="G16" s="73">
        <v>54.0</v>
      </c>
    </row>
    <row r="17" ht="12.75" customHeight="1" outlineLevel="1">
      <c r="C17" s="76" t="s">
        <v>134</v>
      </c>
      <c r="D17" s="65"/>
      <c r="F17" s="72">
        <v>11.0</v>
      </c>
      <c r="G17" s="73">
        <v>86.0</v>
      </c>
    </row>
    <row r="18" ht="12.75" customHeight="1" outlineLevel="1">
      <c r="C18" s="76" t="s">
        <v>135</v>
      </c>
      <c r="D18" s="76" t="s">
        <v>136</v>
      </c>
      <c r="F18" s="72">
        <v>12.0</v>
      </c>
      <c r="G18" s="73">
        <v>100.0</v>
      </c>
    </row>
    <row r="19" ht="12.75" customHeight="1" outlineLevel="1">
      <c r="C19" s="65" t="s">
        <v>137</v>
      </c>
      <c r="D19" s="77">
        <v>0.02</v>
      </c>
      <c r="F19" s="72">
        <v>13.0</v>
      </c>
      <c r="G19" s="73">
        <v>100.0</v>
      </c>
    </row>
    <row r="20" ht="12.75" customHeight="1" outlineLevel="1">
      <c r="C20" s="68" t="s">
        <v>138</v>
      </c>
      <c r="D20" s="77">
        <v>0.01</v>
      </c>
      <c r="F20" s="72">
        <v>14.0</v>
      </c>
      <c r="G20" s="73">
        <v>100.0</v>
      </c>
    </row>
    <row r="21" ht="12.75" customHeight="1" outlineLevel="1">
      <c r="C21" s="65" t="s">
        <v>139</v>
      </c>
      <c r="D21" s="77">
        <v>0.02</v>
      </c>
      <c r="F21" s="72">
        <v>15.0</v>
      </c>
      <c r="G21" s="73">
        <v>100.0</v>
      </c>
    </row>
    <row r="22" ht="12.75" customHeight="1" outlineLevel="1">
      <c r="C22" s="67"/>
      <c r="D22" s="75"/>
      <c r="F22" s="72">
        <v>16.0</v>
      </c>
      <c r="G22" s="73">
        <v>100.0</v>
      </c>
    </row>
    <row r="23" ht="12.75" customHeight="1" outlineLevel="1">
      <c r="C23" s="67"/>
      <c r="D23" s="75"/>
      <c r="F23" s="72">
        <v>17.0</v>
      </c>
      <c r="G23" s="73">
        <v>100.0</v>
      </c>
    </row>
    <row r="24" ht="12.75" customHeight="1" outlineLevel="1">
      <c r="C24" s="67"/>
      <c r="D24" s="75"/>
      <c r="F24" s="72">
        <v>18.0</v>
      </c>
      <c r="G24" s="73">
        <v>100.0</v>
      </c>
    </row>
    <row r="25" ht="12.75" customHeight="1" outlineLevel="1">
      <c r="C25" s="67"/>
      <c r="D25" s="75"/>
      <c r="F25" s="72">
        <v>19.0</v>
      </c>
      <c r="G25" s="73">
        <v>100.0</v>
      </c>
    </row>
    <row r="26" ht="12.75" customHeight="1" outlineLevel="1">
      <c r="D26" s="72"/>
      <c r="F26" s="72">
        <v>20.0</v>
      </c>
      <c r="G26" s="73">
        <v>100.0</v>
      </c>
    </row>
    <row r="27" ht="12.75" customHeight="1" outlineLevel="1">
      <c r="B27" s="66" t="s">
        <v>140</v>
      </c>
      <c r="D27" s="72"/>
    </row>
    <row r="28" ht="12.75" customHeight="1" outlineLevel="1">
      <c r="C28" s="66" t="s">
        <v>141</v>
      </c>
      <c r="D28" s="72"/>
      <c r="F28" s="67" t="s">
        <v>142</v>
      </c>
      <c r="H28" s="77">
        <v>0.15</v>
      </c>
      <c r="I28" s="68" t="s">
        <v>143</v>
      </c>
    </row>
    <row r="29" ht="12.75" customHeight="1" outlineLevel="1">
      <c r="C29" s="68" t="s">
        <v>144</v>
      </c>
      <c r="D29" s="78">
        <v>0.0</v>
      </c>
      <c r="F29" s="67" t="s">
        <v>145</v>
      </c>
      <c r="H29" s="77">
        <v>0.05</v>
      </c>
      <c r="I29" s="68" t="s">
        <v>146</v>
      </c>
    </row>
    <row r="30" ht="12.75" customHeight="1" outlineLevel="1">
      <c r="C30" s="68" t="s">
        <v>147</v>
      </c>
      <c r="D30" s="78">
        <v>200000.0</v>
      </c>
    </row>
    <row r="31" ht="12.75" customHeight="1" outlineLevel="1">
      <c r="F31" s="67" t="s">
        <v>148</v>
      </c>
      <c r="G31" s="79"/>
      <c r="H31" s="77">
        <v>0.65</v>
      </c>
      <c r="I31" s="68" t="s">
        <v>149</v>
      </c>
    </row>
    <row r="32" ht="12.75" customHeight="1" outlineLevel="1">
      <c r="C32" s="67" t="s">
        <v>150</v>
      </c>
      <c r="D32" s="80">
        <v>100.0</v>
      </c>
      <c r="E32" s="68" t="s">
        <v>151</v>
      </c>
      <c r="F32" s="67" t="s">
        <v>152</v>
      </c>
      <c r="H32" s="81">
        <v>2.0</v>
      </c>
      <c r="I32" s="68" t="s">
        <v>153</v>
      </c>
    </row>
    <row r="33" ht="12.75" customHeight="1" outlineLevel="1">
      <c r="C33" s="67"/>
    </row>
    <row r="34" ht="12.75" customHeight="1" outlineLevel="1">
      <c r="C34" s="67"/>
      <c r="F34" s="67" t="s">
        <v>154</v>
      </c>
      <c r="H34" s="77">
        <v>0.01</v>
      </c>
      <c r="I34" s="68" t="s">
        <v>155</v>
      </c>
    </row>
    <row r="35" ht="12.75" customHeight="1" outlineLevel="1">
      <c r="C35" s="67"/>
      <c r="F35" s="67"/>
      <c r="H35" s="77"/>
    </row>
    <row r="36" ht="12.75" customHeight="1" outlineLevel="1">
      <c r="C36" s="67"/>
    </row>
    <row r="37" ht="12.75" customHeight="1" outlineLevel="1">
      <c r="C37" s="67"/>
      <c r="D37" s="63" t="s">
        <v>156</v>
      </c>
      <c r="E37" s="63" t="s">
        <v>157</v>
      </c>
      <c r="F37" s="63" t="s">
        <v>158</v>
      </c>
      <c r="G37" s="63" t="s">
        <v>159</v>
      </c>
      <c r="H37" s="63" t="s">
        <v>160</v>
      </c>
      <c r="I37" s="63" t="s">
        <v>161</v>
      </c>
      <c r="J37" s="63" t="s">
        <v>162</v>
      </c>
      <c r="K37" s="63" t="s">
        <v>163</v>
      </c>
      <c r="L37" s="63" t="s">
        <v>164</v>
      </c>
    </row>
    <row r="38" ht="12.75" customHeight="1" outlineLevel="1">
      <c r="C38" s="67" t="s">
        <v>165</v>
      </c>
    </row>
    <row r="39" ht="12.75" customHeight="1" outlineLevel="1">
      <c r="C39" s="64" t="s">
        <v>166</v>
      </c>
      <c r="D39" s="72"/>
      <c r="E39" s="82">
        <v>120.0</v>
      </c>
      <c r="F39" s="82">
        <v>120.0</v>
      </c>
      <c r="G39" s="82">
        <v>105.0</v>
      </c>
      <c r="H39" s="82">
        <v>105.0</v>
      </c>
      <c r="I39" s="82">
        <v>105.0</v>
      </c>
      <c r="J39" s="82">
        <v>105.0</v>
      </c>
      <c r="K39" s="82">
        <v>105.0</v>
      </c>
      <c r="L39" s="82">
        <v>105.0</v>
      </c>
    </row>
    <row r="40" ht="12.75" customHeight="1" outlineLevel="1">
      <c r="C40" s="64" t="s">
        <v>167</v>
      </c>
      <c r="D40" s="72"/>
      <c r="E40" s="82">
        <v>112.0</v>
      </c>
      <c r="F40" s="82">
        <v>112.0</v>
      </c>
      <c r="G40" s="82">
        <v>100.0</v>
      </c>
      <c r="H40" s="82">
        <v>100.0</v>
      </c>
      <c r="I40" s="82">
        <v>100.0</v>
      </c>
      <c r="J40" s="82">
        <v>100.0</v>
      </c>
      <c r="K40" s="82">
        <v>100.0</v>
      </c>
      <c r="L40" s="82">
        <v>100.0</v>
      </c>
    </row>
    <row r="41" ht="12.75" customHeight="1" outlineLevel="1">
      <c r="C41" s="64" t="s">
        <v>168</v>
      </c>
      <c r="D41" s="72"/>
      <c r="E41" s="82">
        <v>80.0</v>
      </c>
      <c r="F41" s="82">
        <v>80.0</v>
      </c>
      <c r="G41" s="82">
        <v>80.0</v>
      </c>
      <c r="H41" s="82">
        <v>80.0</v>
      </c>
      <c r="I41" s="82">
        <v>80.0</v>
      </c>
      <c r="J41" s="82">
        <v>80.0</v>
      </c>
      <c r="K41" s="82">
        <v>80.0</v>
      </c>
      <c r="L41" s="82">
        <v>80.0</v>
      </c>
    </row>
    <row r="42" ht="12.75" customHeight="1" outlineLevel="1">
      <c r="C42" s="64" t="s">
        <v>169</v>
      </c>
      <c r="D42" s="72"/>
      <c r="E42" s="82">
        <v>80.0</v>
      </c>
      <c r="F42" s="82">
        <v>80.0</v>
      </c>
      <c r="G42" s="82">
        <v>80.0</v>
      </c>
      <c r="H42" s="82">
        <v>80.0</v>
      </c>
      <c r="I42" s="82">
        <v>80.0</v>
      </c>
      <c r="J42" s="82">
        <v>80.0</v>
      </c>
      <c r="K42" s="82">
        <v>80.0</v>
      </c>
      <c r="L42" s="82">
        <v>80.0</v>
      </c>
    </row>
    <row r="43" ht="12.75" customHeight="1" outlineLevel="1">
      <c r="C43" s="64" t="s">
        <v>170</v>
      </c>
      <c r="D43" s="72"/>
      <c r="E43" s="82">
        <v>0.0</v>
      </c>
      <c r="F43" s="82">
        <f t="shared" ref="F43:F44" si="1">E42*0.9</f>
        <v>72</v>
      </c>
      <c r="G43" s="82">
        <v>75.0</v>
      </c>
      <c r="H43" s="82">
        <v>75.0</v>
      </c>
      <c r="I43" s="82">
        <v>75.0</v>
      </c>
      <c r="J43" s="82">
        <v>75.0</v>
      </c>
      <c r="K43" s="82">
        <v>75.0</v>
      </c>
      <c r="L43" s="82">
        <v>75.0</v>
      </c>
    </row>
    <row r="44" ht="12.75" customHeight="1" outlineLevel="1">
      <c r="C44" s="83" t="s">
        <v>171</v>
      </c>
      <c r="D44" s="84"/>
      <c r="E44" s="85">
        <v>0.0</v>
      </c>
      <c r="F44" s="85">
        <f t="shared" si="1"/>
        <v>0</v>
      </c>
      <c r="G44" s="85">
        <v>60.0</v>
      </c>
      <c r="H44" s="85">
        <v>60.0</v>
      </c>
      <c r="I44" s="85">
        <v>60.0</v>
      </c>
      <c r="J44" s="85">
        <v>60.0</v>
      </c>
      <c r="K44" s="85">
        <v>60.0</v>
      </c>
      <c r="L44" s="85">
        <v>60.0</v>
      </c>
    </row>
    <row r="45" ht="12.75" customHeight="1" outlineLevel="1">
      <c r="C45" s="66" t="s">
        <v>172</v>
      </c>
      <c r="D45" s="72"/>
      <c r="E45" s="86">
        <f t="shared" ref="E45:L45" si="2">SUM(E39:E44)</f>
        <v>392</v>
      </c>
      <c r="F45" s="86">
        <f t="shared" si="2"/>
        <v>464</v>
      </c>
      <c r="G45" s="86">
        <f t="shared" si="2"/>
        <v>500</v>
      </c>
      <c r="H45" s="86">
        <f t="shared" si="2"/>
        <v>500</v>
      </c>
      <c r="I45" s="86">
        <f t="shared" si="2"/>
        <v>500</v>
      </c>
      <c r="J45" s="86">
        <f t="shared" si="2"/>
        <v>500</v>
      </c>
      <c r="K45" s="86">
        <f t="shared" si="2"/>
        <v>500</v>
      </c>
      <c r="L45" s="86">
        <f t="shared" si="2"/>
        <v>500</v>
      </c>
    </row>
    <row r="46" ht="12.75" customHeight="1" outlineLevel="1">
      <c r="C46" s="66"/>
      <c r="D46" s="72"/>
      <c r="E46" s="86"/>
      <c r="F46" s="86"/>
      <c r="G46" s="86"/>
      <c r="H46" s="86"/>
      <c r="I46" s="86"/>
      <c r="J46" s="86"/>
      <c r="K46" s="86"/>
      <c r="L46" s="86"/>
    </row>
    <row r="47" ht="12.75" customHeight="1" outlineLevel="1">
      <c r="C47" s="66" t="s">
        <v>173</v>
      </c>
      <c r="E47" s="86"/>
      <c r="F47" s="86"/>
      <c r="G47" s="86"/>
      <c r="H47" s="86"/>
      <c r="I47" s="86"/>
      <c r="J47" s="86"/>
      <c r="K47" s="86"/>
      <c r="L47" s="86"/>
    </row>
    <row r="48" ht="12.75" customHeight="1" outlineLevel="1">
      <c r="C48" s="64" t="s">
        <v>166</v>
      </c>
      <c r="E48" s="82">
        <v>3.0</v>
      </c>
      <c r="F48" s="82">
        <v>3.0</v>
      </c>
      <c r="G48" s="82">
        <v>3.0</v>
      </c>
      <c r="H48" s="82">
        <v>3.0</v>
      </c>
      <c r="I48" s="82">
        <v>3.0</v>
      </c>
      <c r="J48" s="82">
        <v>3.0</v>
      </c>
      <c r="K48" s="82">
        <v>3.0</v>
      </c>
      <c r="L48" s="82">
        <v>3.0</v>
      </c>
    </row>
    <row r="49" ht="12.75" customHeight="1" outlineLevel="1">
      <c r="C49" s="64" t="s">
        <v>167</v>
      </c>
      <c r="E49" s="82">
        <v>3.0</v>
      </c>
      <c r="F49" s="82">
        <v>3.0</v>
      </c>
      <c r="G49" s="82">
        <v>3.0</v>
      </c>
      <c r="H49" s="82">
        <v>3.0</v>
      </c>
      <c r="I49" s="82">
        <v>3.0</v>
      </c>
      <c r="J49" s="82">
        <v>3.0</v>
      </c>
      <c r="K49" s="82">
        <v>3.0</v>
      </c>
      <c r="L49" s="82">
        <v>3.0</v>
      </c>
    </row>
    <row r="50" ht="12.75" customHeight="1" outlineLevel="1">
      <c r="C50" s="64" t="s">
        <v>168</v>
      </c>
      <c r="E50" s="82">
        <v>3.0</v>
      </c>
      <c r="F50" s="82">
        <v>3.0</v>
      </c>
      <c r="G50" s="82">
        <v>3.0</v>
      </c>
      <c r="H50" s="82">
        <v>3.0</v>
      </c>
      <c r="I50" s="82">
        <v>3.0</v>
      </c>
      <c r="J50" s="82">
        <v>3.0</v>
      </c>
      <c r="K50" s="82">
        <v>3.0</v>
      </c>
      <c r="L50" s="82">
        <v>3.0</v>
      </c>
    </row>
    <row r="51" ht="12.75" customHeight="1" outlineLevel="1">
      <c r="C51" s="64" t="s">
        <v>169</v>
      </c>
      <c r="E51" s="82">
        <v>3.0</v>
      </c>
      <c r="F51" s="82">
        <v>3.0</v>
      </c>
      <c r="G51" s="82">
        <v>3.0</v>
      </c>
      <c r="H51" s="82">
        <v>3.0</v>
      </c>
      <c r="I51" s="82">
        <v>3.0</v>
      </c>
      <c r="J51" s="82">
        <v>3.0</v>
      </c>
      <c r="K51" s="82">
        <v>3.0</v>
      </c>
      <c r="L51" s="82">
        <v>3.0</v>
      </c>
    </row>
    <row r="52" ht="12.75" customHeight="1" outlineLevel="1">
      <c r="C52" s="64" t="s">
        <v>170</v>
      </c>
      <c r="E52" s="82">
        <v>0.0</v>
      </c>
      <c r="F52" s="82">
        <v>3.0</v>
      </c>
      <c r="G52" s="82">
        <v>3.0</v>
      </c>
      <c r="H52" s="82">
        <v>3.0</v>
      </c>
      <c r="I52" s="82">
        <v>3.0</v>
      </c>
      <c r="J52" s="82">
        <v>3.0</v>
      </c>
      <c r="K52" s="82">
        <v>3.0</v>
      </c>
      <c r="L52" s="82">
        <v>3.0</v>
      </c>
    </row>
    <row r="53" ht="12.75" customHeight="1" outlineLevel="1">
      <c r="C53" s="83" t="s">
        <v>171</v>
      </c>
      <c r="D53" s="87"/>
      <c r="E53" s="85">
        <v>0.0</v>
      </c>
      <c r="F53" s="85">
        <v>0.0</v>
      </c>
      <c r="G53" s="85">
        <v>1.0</v>
      </c>
      <c r="H53" s="85">
        <v>1.0</v>
      </c>
      <c r="I53" s="85">
        <v>1.0</v>
      </c>
      <c r="J53" s="85">
        <v>1.0</v>
      </c>
      <c r="K53" s="85">
        <v>1.0</v>
      </c>
      <c r="L53" s="85">
        <v>1.0</v>
      </c>
    </row>
    <row r="54" ht="12.75" customHeight="1" outlineLevel="1">
      <c r="C54" s="66" t="s">
        <v>172</v>
      </c>
      <c r="E54" s="86">
        <f t="shared" ref="E54:L54" si="3">SUM(E48:E53)</f>
        <v>12</v>
      </c>
      <c r="F54" s="86">
        <f t="shared" si="3"/>
        <v>15</v>
      </c>
      <c r="G54" s="86">
        <f t="shared" si="3"/>
        <v>16</v>
      </c>
      <c r="H54" s="86">
        <f t="shared" si="3"/>
        <v>16</v>
      </c>
      <c r="I54" s="86">
        <f t="shared" si="3"/>
        <v>16</v>
      </c>
      <c r="J54" s="86">
        <f t="shared" si="3"/>
        <v>16</v>
      </c>
      <c r="K54" s="86">
        <f t="shared" si="3"/>
        <v>16</v>
      </c>
      <c r="L54" s="86">
        <f t="shared" si="3"/>
        <v>16</v>
      </c>
    </row>
    <row r="55" ht="12.75" customHeight="1" outlineLevel="1">
      <c r="C55" s="66"/>
      <c r="E55" s="88"/>
      <c r="F55" s="88"/>
      <c r="G55" s="88"/>
      <c r="H55" s="88"/>
      <c r="I55" s="88"/>
      <c r="J55" s="88"/>
      <c r="K55" s="88"/>
      <c r="L55" s="88"/>
    </row>
    <row r="56" ht="12.75" customHeight="1" outlineLevel="1">
      <c r="C56" s="66" t="s">
        <v>174</v>
      </c>
      <c r="D56" s="63">
        <v>2010.0</v>
      </c>
      <c r="E56" s="63">
        <v>2011.0</v>
      </c>
      <c r="F56" s="63">
        <f t="shared" ref="F56:H56" si="4">1+E56</f>
        <v>2012</v>
      </c>
      <c r="G56" s="63">
        <f t="shared" si="4"/>
        <v>2013</v>
      </c>
      <c r="H56" s="63">
        <f t="shared" si="4"/>
        <v>2014</v>
      </c>
      <c r="I56" s="63">
        <v>2015.0</v>
      </c>
      <c r="J56" s="63">
        <v>2016.0</v>
      </c>
      <c r="K56" s="63">
        <v>2017.0</v>
      </c>
      <c r="L56" s="63" t="s">
        <v>175</v>
      </c>
    </row>
    <row r="57" ht="12.75" customHeight="1" outlineLevel="1">
      <c r="C57" s="64" t="s">
        <v>176</v>
      </c>
      <c r="D57" s="75">
        <v>0.0</v>
      </c>
      <c r="E57" s="75">
        <v>0.0</v>
      </c>
      <c r="F57" s="75">
        <v>0.01</v>
      </c>
      <c r="G57" s="75">
        <v>0.02</v>
      </c>
      <c r="H57" s="75">
        <v>0.02</v>
      </c>
      <c r="I57" s="75">
        <v>0.02</v>
      </c>
      <c r="J57" s="75">
        <v>0.02</v>
      </c>
      <c r="K57" s="75">
        <v>0.0301333849416441</v>
      </c>
      <c r="L57" s="75">
        <v>0.02</v>
      </c>
      <c r="M57" s="89"/>
    </row>
    <row r="58" ht="12.75" customHeight="1" outlineLevel="1">
      <c r="C58" s="64" t="s">
        <v>177</v>
      </c>
      <c r="D58" s="75">
        <v>0.0</v>
      </c>
      <c r="E58" s="75">
        <v>0.02</v>
      </c>
      <c r="F58" s="75">
        <v>0.02</v>
      </c>
      <c r="G58" s="75">
        <v>0.02</v>
      </c>
      <c r="H58" s="75">
        <v>0.02</v>
      </c>
      <c r="I58" s="75">
        <v>0.02</v>
      </c>
      <c r="J58" s="75">
        <v>0.02</v>
      </c>
      <c r="K58" s="75">
        <v>0.02</v>
      </c>
      <c r="L58" s="75">
        <v>0.02</v>
      </c>
      <c r="M58" s="89"/>
    </row>
    <row r="59" ht="12.75" customHeight="1" outlineLevel="1">
      <c r="C59" s="64" t="s">
        <v>178</v>
      </c>
      <c r="D59" s="75">
        <v>0.0</v>
      </c>
      <c r="E59" s="75">
        <v>0.02</v>
      </c>
      <c r="F59" s="75">
        <v>0.02</v>
      </c>
      <c r="G59" s="75">
        <v>0.02</v>
      </c>
      <c r="H59" s="75">
        <v>0.02</v>
      </c>
      <c r="I59" s="75">
        <v>0.02</v>
      </c>
      <c r="J59" s="75">
        <v>0.02</v>
      </c>
      <c r="K59" s="75">
        <v>0.02</v>
      </c>
      <c r="L59" s="75">
        <v>0.02</v>
      </c>
    </row>
    <row r="60" ht="12.75" customHeight="1" outlineLevel="1">
      <c r="E60" s="75"/>
    </row>
    <row r="61" ht="12.75" customHeight="1" outlineLevel="1">
      <c r="C61" s="66" t="s">
        <v>179</v>
      </c>
      <c r="D61" s="63" t="s">
        <v>180</v>
      </c>
      <c r="E61" s="63" t="s">
        <v>156</v>
      </c>
      <c r="F61" s="63" t="s">
        <v>157</v>
      </c>
      <c r="G61" s="63" t="s">
        <v>158</v>
      </c>
      <c r="H61" s="63" t="s">
        <v>159</v>
      </c>
      <c r="I61" s="63" t="s">
        <v>160</v>
      </c>
      <c r="J61" s="63" t="s">
        <v>161</v>
      </c>
      <c r="K61" s="63" t="s">
        <v>162</v>
      </c>
      <c r="L61" s="63" t="s">
        <v>163</v>
      </c>
      <c r="M61" s="63" t="s">
        <v>164</v>
      </c>
      <c r="N61" s="67"/>
    </row>
    <row r="62" ht="12.75" customHeight="1" outlineLevel="1">
      <c r="C62" s="66" t="s">
        <v>181</v>
      </c>
    </row>
    <row r="63" ht="12.75" customHeight="1" outlineLevel="1">
      <c r="C63" s="64" t="s">
        <v>182</v>
      </c>
      <c r="D63" s="75">
        <v>0.2</v>
      </c>
      <c r="E63" s="75">
        <v>0.12</v>
      </c>
      <c r="F63" s="75">
        <v>0.12</v>
      </c>
      <c r="G63" s="75">
        <v>0.12</v>
      </c>
      <c r="H63" s="75">
        <v>0.12</v>
      </c>
      <c r="I63" s="75">
        <v>0.12</v>
      </c>
      <c r="J63" s="75">
        <v>0.12</v>
      </c>
      <c r="K63" s="75">
        <v>0.12</v>
      </c>
      <c r="L63" s="75">
        <v>0.12</v>
      </c>
      <c r="M63" s="75">
        <v>0.12</v>
      </c>
      <c r="N63" s="77"/>
    </row>
    <row r="64" ht="12.75" customHeight="1" outlineLevel="1">
      <c r="C64" s="64" t="s">
        <v>183</v>
      </c>
      <c r="D64" s="75">
        <v>0.0</v>
      </c>
      <c r="E64" s="75">
        <v>0.0</v>
      </c>
      <c r="F64" s="75">
        <v>0.2</v>
      </c>
      <c r="G64" s="75">
        <v>0.2</v>
      </c>
      <c r="H64" s="75">
        <v>0.2</v>
      </c>
      <c r="I64" s="75">
        <v>0.2</v>
      </c>
      <c r="J64" s="75">
        <v>0.2</v>
      </c>
      <c r="K64" s="75">
        <v>0.2</v>
      </c>
      <c r="L64" s="75">
        <v>0.2</v>
      </c>
      <c r="M64" s="75">
        <v>0.2</v>
      </c>
      <c r="N64" s="77"/>
    </row>
    <row r="65" ht="12.75" customHeight="1" outlineLevel="1">
      <c r="C65" s="64" t="s">
        <v>184</v>
      </c>
      <c r="D65" s="75">
        <v>0.05</v>
      </c>
      <c r="E65" s="75">
        <v>0.03</v>
      </c>
      <c r="F65" s="75">
        <v>0.03</v>
      </c>
      <c r="G65" s="75">
        <v>0.03</v>
      </c>
      <c r="H65" s="75">
        <v>0.03</v>
      </c>
      <c r="I65" s="75">
        <v>0.03</v>
      </c>
      <c r="J65" s="75">
        <v>0.03</v>
      </c>
      <c r="K65" s="75">
        <v>0.03</v>
      </c>
      <c r="L65" s="75">
        <v>0.03</v>
      </c>
      <c r="M65" s="75">
        <v>0.03</v>
      </c>
      <c r="N65" s="77"/>
    </row>
    <row r="66" ht="12.75" customHeight="1" outlineLevel="1">
      <c r="C66" s="64"/>
      <c r="D66" s="75"/>
      <c r="E66" s="75"/>
      <c r="F66" s="75"/>
      <c r="G66" s="75"/>
      <c r="H66" s="75"/>
      <c r="I66" s="75"/>
      <c r="J66" s="75"/>
      <c r="K66" s="90"/>
      <c r="L66" s="90"/>
      <c r="M66" s="90"/>
    </row>
    <row r="67" ht="12.75" customHeight="1" outlineLevel="1">
      <c r="C67" s="66" t="str">
        <f>"Schools 8 - "&amp;D32-1</f>
        <v>Schools 8 - 99</v>
      </c>
      <c r="D67" s="90"/>
      <c r="E67" s="90"/>
      <c r="F67" s="90"/>
      <c r="G67" s="90"/>
      <c r="H67" s="90"/>
      <c r="I67" s="90"/>
      <c r="J67" s="90"/>
      <c r="K67" s="90"/>
      <c r="L67" s="90"/>
      <c r="M67" s="90"/>
    </row>
    <row r="68" ht="12.75" customHeight="1" outlineLevel="1">
      <c r="C68" s="64" t="s">
        <v>182</v>
      </c>
      <c r="D68" s="75">
        <v>0.2</v>
      </c>
      <c r="E68" s="75">
        <v>0.12</v>
      </c>
      <c r="F68" s="75">
        <v>0.11</v>
      </c>
      <c r="G68" s="75">
        <v>0.11</v>
      </c>
      <c r="H68" s="75">
        <v>0.11</v>
      </c>
      <c r="I68" s="75">
        <v>0.12</v>
      </c>
      <c r="J68" s="75">
        <v>0.12</v>
      </c>
      <c r="K68" s="75">
        <v>0.12</v>
      </c>
      <c r="L68" s="75">
        <v>0.12</v>
      </c>
      <c r="M68" s="75">
        <v>0.12</v>
      </c>
      <c r="N68" s="77"/>
    </row>
    <row r="69" ht="12.75" customHeight="1" outlineLevel="1">
      <c r="C69" s="64" t="s">
        <v>183</v>
      </c>
      <c r="D69" s="75">
        <v>0.0</v>
      </c>
      <c r="E69" s="75">
        <v>0.0</v>
      </c>
      <c r="F69" s="75">
        <v>0.2</v>
      </c>
      <c r="G69" s="75">
        <v>0.2</v>
      </c>
      <c r="H69" s="75">
        <v>0.2</v>
      </c>
      <c r="I69" s="75">
        <v>0.2</v>
      </c>
      <c r="J69" s="75">
        <v>0.2</v>
      </c>
      <c r="K69" s="75">
        <v>0.2</v>
      </c>
      <c r="L69" s="75">
        <v>0.2</v>
      </c>
      <c r="M69" s="75">
        <v>0.2</v>
      </c>
      <c r="N69" s="77"/>
    </row>
    <row r="70" ht="12.75" customHeight="1" outlineLevel="1">
      <c r="C70" s="64" t="s">
        <v>184</v>
      </c>
      <c r="D70" s="75">
        <v>0.05</v>
      </c>
      <c r="E70" s="75">
        <v>0.03</v>
      </c>
      <c r="F70" s="75">
        <v>0.04</v>
      </c>
      <c r="G70" s="75">
        <v>0.04</v>
      </c>
      <c r="H70" s="75">
        <v>0.04</v>
      </c>
      <c r="I70" s="75">
        <v>0.03</v>
      </c>
      <c r="J70" s="75">
        <v>0.03</v>
      </c>
      <c r="K70" s="75">
        <v>0.03</v>
      </c>
      <c r="L70" s="75">
        <v>0.03</v>
      </c>
      <c r="M70" s="75">
        <v>0.03</v>
      </c>
      <c r="N70" s="77"/>
    </row>
    <row r="71" ht="12.75" customHeight="1" outlineLevel="1">
      <c r="D71" s="72"/>
      <c r="E71" s="72"/>
      <c r="F71" s="72"/>
      <c r="G71" s="72"/>
      <c r="H71" s="72"/>
      <c r="I71" s="72"/>
      <c r="J71" s="72"/>
    </row>
    <row r="72" ht="12.75" customHeight="1" outlineLevel="1">
      <c r="C72" s="66" t="str">
        <f>"Schools "&amp;D32&amp;"+"</f>
        <v>Schools 100+</v>
      </c>
      <c r="D72" s="90"/>
      <c r="E72" s="90"/>
      <c r="F72" s="90"/>
      <c r="G72" s="90"/>
      <c r="H72" s="90"/>
      <c r="I72" s="90"/>
      <c r="J72" s="90"/>
      <c r="K72" s="90"/>
      <c r="L72" s="90"/>
      <c r="M72" s="90"/>
    </row>
    <row r="73" ht="12.75" customHeight="1" outlineLevel="1">
      <c r="C73" s="64" t="s">
        <v>182</v>
      </c>
      <c r="D73" s="75">
        <v>0.0</v>
      </c>
      <c r="E73" s="75">
        <v>0.0</v>
      </c>
      <c r="F73" s="75">
        <f>0.1-Assumptions!F75</f>
        <v>0.05639999233</v>
      </c>
      <c r="G73" s="75">
        <v>0.11</v>
      </c>
      <c r="H73" s="75">
        <v>0.11</v>
      </c>
      <c r="I73" s="75">
        <v>0.12</v>
      </c>
      <c r="J73" s="75">
        <v>0.12</v>
      </c>
      <c r="K73" s="75">
        <v>0.12</v>
      </c>
      <c r="L73" s="75">
        <v>0.12</v>
      </c>
      <c r="M73" s="75">
        <v>0.12</v>
      </c>
      <c r="N73" s="77"/>
    </row>
    <row r="74" ht="12.75" customHeight="1" outlineLevel="1">
      <c r="C74" s="64" t="s">
        <v>183</v>
      </c>
      <c r="D74" s="75">
        <v>0.0</v>
      </c>
      <c r="E74" s="75">
        <v>0.0</v>
      </c>
      <c r="F74" s="75">
        <v>0.2</v>
      </c>
      <c r="G74" s="75">
        <v>0.2</v>
      </c>
      <c r="H74" s="75">
        <v>0.2</v>
      </c>
      <c r="I74" s="75">
        <v>0.2</v>
      </c>
      <c r="J74" s="75">
        <v>0.2</v>
      </c>
      <c r="K74" s="75">
        <v>0.2</v>
      </c>
      <c r="L74" s="75">
        <v>0.2</v>
      </c>
      <c r="M74" s="75">
        <v>0.2</v>
      </c>
      <c r="N74" s="77"/>
    </row>
    <row r="75" ht="12.75" customHeight="1" outlineLevel="1">
      <c r="C75" s="64" t="s">
        <v>184</v>
      </c>
      <c r="D75" s="91">
        <f t="shared" ref="D75:E75" si="5">D70</f>
        <v>0.05</v>
      </c>
      <c r="E75" s="91">
        <f t="shared" si="5"/>
        <v>0.03</v>
      </c>
      <c r="F75" s="92">
        <v>0.0436000076746404</v>
      </c>
      <c r="G75" s="91">
        <f t="shared" ref="G75:M75" si="6">G70</f>
        <v>0.04</v>
      </c>
      <c r="H75" s="91">
        <f t="shared" si="6"/>
        <v>0.04</v>
      </c>
      <c r="I75" s="91">
        <f t="shared" si="6"/>
        <v>0.03</v>
      </c>
      <c r="J75" s="91">
        <f t="shared" si="6"/>
        <v>0.03</v>
      </c>
      <c r="K75" s="91">
        <f t="shared" si="6"/>
        <v>0.03</v>
      </c>
      <c r="L75" s="91">
        <f t="shared" si="6"/>
        <v>0.03</v>
      </c>
      <c r="M75" s="91">
        <f t="shared" si="6"/>
        <v>0.03</v>
      </c>
      <c r="N75" s="77"/>
    </row>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c r="P224" s="93"/>
      <c r="Q224" s="93"/>
      <c r="R224" s="93"/>
      <c r="S224" s="93"/>
      <c r="T224" s="93"/>
      <c r="U224" s="93"/>
      <c r="V224" s="93"/>
      <c r="W224" s="93"/>
      <c r="X224" s="93"/>
      <c r="Y224" s="93"/>
      <c r="Z224" s="93"/>
      <c r="AA224" s="93"/>
      <c r="AB224" s="93"/>
      <c r="AC224" s="93"/>
      <c r="AD224" s="93"/>
      <c r="AE224" s="93"/>
      <c r="AF224" s="93"/>
      <c r="AG224" s="93"/>
    </row>
    <row r="225" ht="12.75" customHeight="1">
      <c r="P225" s="93"/>
      <c r="Q225" s="93"/>
      <c r="R225" s="93"/>
      <c r="S225" s="93"/>
      <c r="T225" s="93"/>
      <c r="U225" s="93"/>
      <c r="V225" s="93"/>
      <c r="W225" s="93"/>
      <c r="X225" s="93"/>
      <c r="Y225" s="93"/>
      <c r="Z225" s="93"/>
      <c r="AA225" s="93"/>
      <c r="AB225" s="93"/>
      <c r="AC225" s="93"/>
      <c r="AD225" s="93"/>
      <c r="AE225" s="93"/>
      <c r="AF225" s="93"/>
      <c r="AG225" s="93"/>
    </row>
    <row r="226" ht="12.75" customHeight="1">
      <c r="P226" s="93"/>
      <c r="Q226" s="93"/>
      <c r="R226" s="93"/>
      <c r="S226" s="93"/>
      <c r="T226" s="93"/>
      <c r="U226" s="93"/>
      <c r="V226" s="93"/>
      <c r="W226" s="93"/>
      <c r="X226" s="93"/>
      <c r="Y226" s="93"/>
      <c r="Z226" s="93"/>
      <c r="AA226" s="93"/>
      <c r="AB226" s="93"/>
      <c r="AC226" s="93"/>
      <c r="AD226" s="93"/>
      <c r="AE226" s="93"/>
      <c r="AF226" s="93"/>
      <c r="AG226" s="93"/>
    </row>
    <row r="227" ht="12.75" customHeight="1">
      <c r="P227" s="93"/>
      <c r="Q227" s="93"/>
      <c r="R227" s="93"/>
      <c r="S227" s="93"/>
      <c r="T227" s="93"/>
      <c r="U227" s="93"/>
      <c r="V227" s="93"/>
      <c r="W227" s="93"/>
      <c r="X227" s="93"/>
      <c r="Y227" s="93"/>
      <c r="Z227" s="93"/>
      <c r="AA227" s="93"/>
      <c r="AB227" s="93"/>
      <c r="AC227" s="93"/>
      <c r="AD227" s="93"/>
      <c r="AE227" s="93"/>
      <c r="AF227" s="93"/>
      <c r="AG227" s="93"/>
    </row>
    <row r="228" ht="12.75" customHeight="1">
      <c r="P228" s="93"/>
      <c r="Q228" s="93"/>
      <c r="R228" s="93"/>
      <c r="S228" s="93"/>
      <c r="T228" s="93"/>
      <c r="U228" s="93"/>
      <c r="V228" s="93"/>
      <c r="W228" s="93"/>
      <c r="X228" s="93"/>
      <c r="Y228" s="93"/>
      <c r="Z228" s="93"/>
      <c r="AA228" s="93"/>
      <c r="AB228" s="93"/>
      <c r="AC228" s="93"/>
      <c r="AD228" s="93"/>
      <c r="AE228" s="93"/>
      <c r="AF228" s="93"/>
      <c r="AG228" s="93"/>
    </row>
    <row r="229" ht="12.75" customHeight="1">
      <c r="P229" s="93"/>
      <c r="Q229" s="93"/>
      <c r="R229" s="93"/>
      <c r="S229" s="93"/>
      <c r="T229" s="93"/>
      <c r="U229" s="93"/>
      <c r="V229" s="93"/>
      <c r="W229" s="93"/>
      <c r="X229" s="93"/>
      <c r="Y229" s="93"/>
      <c r="Z229" s="93"/>
      <c r="AA229" s="93"/>
      <c r="AB229" s="93"/>
      <c r="AC229" s="93"/>
      <c r="AD229" s="93"/>
      <c r="AE229" s="93"/>
      <c r="AF229" s="93"/>
      <c r="AG229" s="93"/>
    </row>
    <row r="230" ht="12.75" customHeight="1">
      <c r="P230" s="93"/>
      <c r="Q230" s="93"/>
      <c r="R230" s="93"/>
      <c r="S230" s="93"/>
      <c r="T230" s="93"/>
      <c r="U230" s="93"/>
      <c r="V230" s="93"/>
      <c r="W230" s="93"/>
      <c r="X230" s="93"/>
      <c r="Y230" s="93"/>
      <c r="Z230" s="93"/>
      <c r="AA230" s="93"/>
      <c r="AB230" s="93"/>
      <c r="AC230" s="93"/>
      <c r="AD230" s="93"/>
      <c r="AE230" s="93"/>
      <c r="AF230" s="93"/>
      <c r="AG230" s="93"/>
    </row>
    <row r="231" ht="12.75" customHeight="1">
      <c r="P231" s="93"/>
      <c r="Q231" s="93"/>
      <c r="R231" s="93"/>
      <c r="S231" s="93"/>
      <c r="T231" s="93"/>
      <c r="U231" s="93"/>
      <c r="V231" s="93"/>
      <c r="W231" s="93"/>
      <c r="X231" s="93"/>
      <c r="Y231" s="93"/>
      <c r="Z231" s="93"/>
      <c r="AA231" s="93"/>
      <c r="AB231" s="93"/>
      <c r="AC231" s="93"/>
      <c r="AD231" s="93"/>
      <c r="AE231" s="93"/>
      <c r="AF231" s="93"/>
      <c r="AG231" s="93"/>
    </row>
    <row r="232" ht="12.75" customHeight="1">
      <c r="P232" s="93"/>
      <c r="Q232" s="93"/>
      <c r="R232" s="93"/>
      <c r="S232" s="93"/>
      <c r="T232" s="93"/>
      <c r="U232" s="93"/>
      <c r="V232" s="93"/>
      <c r="W232" s="93"/>
      <c r="X232" s="93"/>
      <c r="Y232" s="93"/>
      <c r="Z232" s="93"/>
      <c r="AA232" s="93"/>
      <c r="AB232" s="93"/>
      <c r="AC232" s="93"/>
      <c r="AD232" s="93"/>
      <c r="AE232" s="93"/>
      <c r="AF232" s="93"/>
      <c r="AG232" s="93"/>
    </row>
    <row r="233" ht="12.75" customHeight="1">
      <c r="P233" s="93"/>
      <c r="Q233" s="93"/>
      <c r="R233" s="93"/>
      <c r="S233" s="93"/>
      <c r="T233" s="93"/>
      <c r="U233" s="93"/>
      <c r="V233" s="93"/>
      <c r="W233" s="93"/>
      <c r="X233" s="93"/>
      <c r="Y233" s="93"/>
      <c r="Z233" s="93"/>
      <c r="AA233" s="93"/>
      <c r="AB233" s="93"/>
      <c r="AC233" s="93"/>
      <c r="AD233" s="93"/>
      <c r="AE233" s="93"/>
      <c r="AF233" s="93"/>
      <c r="AG233" s="93"/>
    </row>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35" footer="0.0" header="0.0" left="0.629861111111111" right="0.390277777777778" top="1.04027777777778"/>
  <pageSetup paperSize="5" orientation="landscape"/>
  <headerFooter>
    <oddHeader>&amp;CKey Assumptions</oddHeader>
    <oddFooter>&amp;C&amp;A&amp;R&amp;P</oddFooter>
  </headerFooter>
  <rowBreaks count="1" manualBreakCount="1">
    <brk id="54" man="1"/>
  </rowBreaks>
  <colBreaks count="1" manualBreakCount="1">
    <brk id="13" man="1"/>
  </colBrea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CC00"/>
    <pageSetUpPr/>
  </sheetPr>
  <sheetViews>
    <sheetView workbookViewId="0">
      <pane xSplit="8.0" ySplit="10.0" topLeftCell="I11" activePane="bottomRight" state="frozen"/>
      <selection activeCell="I1" sqref="I1" pane="topRight"/>
      <selection activeCell="A11" sqref="A11" pane="bottomLeft"/>
      <selection activeCell="I11" sqref="I11" pane="bottomRight"/>
    </sheetView>
  </sheetViews>
  <sheetFormatPr customHeight="1" defaultColWidth="12.63" defaultRowHeight="15.0" outlineLevelCol="1" outlineLevelRow="1"/>
  <cols>
    <col customWidth="1" min="1" max="1" width="2.0"/>
    <col customWidth="1" min="2" max="2" width="4.13"/>
    <col customWidth="1" min="3" max="3" width="10.38"/>
    <col customWidth="1" min="4" max="4" width="6.38"/>
    <col customWidth="1" min="5" max="5" width="31.88"/>
    <col customWidth="1" min="6" max="6" width="2.25"/>
    <col customWidth="1" hidden="1" min="7" max="7" width="14.38" outlineLevel="1"/>
    <col customWidth="1" hidden="1" min="8" max="8" width="16.88" outlineLevel="1"/>
    <col customWidth="1" min="9" max="9" width="13.75"/>
    <col customWidth="1" min="10" max="13" width="12.5"/>
    <col customWidth="1" min="14" max="18" width="12.88"/>
    <col customWidth="1" min="19" max="20" width="14.5"/>
    <col customWidth="1" min="21" max="21" width="19.13"/>
    <col customWidth="1" min="22" max="22" width="18.75"/>
    <col customWidth="1" min="23" max="23" width="19.75"/>
    <col customWidth="1" min="24" max="24" width="18.75"/>
    <col customWidth="1" min="25" max="26" width="19.13"/>
    <col customWidth="1" min="27" max="27" width="21.25"/>
    <col customWidth="1" min="28" max="28" width="20.5"/>
    <col customWidth="1" min="29" max="29" width="20.88"/>
    <col customWidth="1" min="30" max="30" width="20.5"/>
    <col customWidth="1" min="31" max="31" width="20.38"/>
    <col customWidth="1" min="32" max="32" width="21.5"/>
    <col customWidth="1" min="33" max="33" width="21.25"/>
    <col customWidth="1" min="34" max="34" width="21.88"/>
    <col customWidth="1" hidden="1" min="35" max="35" width="21.25" outlineLevel="1"/>
    <col customWidth="1" hidden="1" min="36" max="36" width="21.88" outlineLevel="1"/>
    <col customWidth="1" hidden="1" min="37" max="38" width="21.5" outlineLevel="1"/>
    <col customWidth="1" min="39" max="51" width="8.88"/>
  </cols>
  <sheetData>
    <row r="1" ht="12.75" customHeight="1">
      <c r="A1" s="94" t="s">
        <v>185</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0"/>
      <c r="AN1" s="90"/>
      <c r="AO1" s="90"/>
      <c r="AP1" s="90"/>
      <c r="AQ1" s="90"/>
      <c r="AR1" s="90"/>
      <c r="AS1" s="90"/>
      <c r="AT1" s="90"/>
      <c r="AU1" s="90"/>
      <c r="AV1" s="90"/>
      <c r="AW1" s="90"/>
      <c r="AX1" s="90"/>
      <c r="AY1" s="90"/>
    </row>
    <row r="2" ht="12.75" customHeight="1">
      <c r="A2" s="96" t="s">
        <v>186</v>
      </c>
      <c r="B2" s="97"/>
      <c r="C2" s="97"/>
      <c r="D2" s="97"/>
      <c r="E2" s="97"/>
      <c r="F2" s="97"/>
      <c r="G2" s="98">
        <v>2009.0</v>
      </c>
      <c r="H2" s="98">
        <v>2010.0</v>
      </c>
      <c r="I2" s="98">
        <v>2011.0</v>
      </c>
      <c r="J2" s="98">
        <v>2012.0</v>
      </c>
      <c r="K2" s="98">
        <v>2013.0</v>
      </c>
      <c r="L2" s="98">
        <v>2014.0</v>
      </c>
      <c r="M2" s="98">
        <v>2015.0</v>
      </c>
      <c r="N2" s="98">
        <v>2016.0</v>
      </c>
      <c r="O2" s="98">
        <v>2017.0</v>
      </c>
      <c r="P2" s="98">
        <v>2018.0</v>
      </c>
      <c r="Q2" s="98">
        <v>2019.0</v>
      </c>
      <c r="R2" s="98">
        <v>2020.0</v>
      </c>
      <c r="S2" s="98">
        <v>2021.0</v>
      </c>
      <c r="T2" s="98">
        <v>2022.0</v>
      </c>
      <c r="U2" s="98">
        <v>2023.0</v>
      </c>
      <c r="V2" s="98">
        <v>2024.0</v>
      </c>
      <c r="W2" s="98">
        <v>2025.0</v>
      </c>
      <c r="X2" s="98">
        <v>2026.0</v>
      </c>
      <c r="Y2" s="98">
        <v>2027.0</v>
      </c>
      <c r="Z2" s="98">
        <v>2028.0</v>
      </c>
      <c r="AA2" s="98">
        <v>2029.0</v>
      </c>
      <c r="AB2" s="98">
        <v>2030.0</v>
      </c>
      <c r="AC2" s="98">
        <v>2031.0</v>
      </c>
      <c r="AD2" s="98">
        <v>2032.0</v>
      </c>
      <c r="AE2" s="98">
        <v>2033.0</v>
      </c>
      <c r="AF2" s="98">
        <v>2034.0</v>
      </c>
      <c r="AG2" s="98">
        <v>2035.0</v>
      </c>
      <c r="AH2" s="98">
        <v>2036.0</v>
      </c>
      <c r="AI2" s="98">
        <v>2037.0</v>
      </c>
      <c r="AJ2" s="98">
        <v>2038.0</v>
      </c>
      <c r="AK2" s="98">
        <v>2039.0</v>
      </c>
      <c r="AL2" s="98">
        <v>2040.0</v>
      </c>
      <c r="AM2" s="90"/>
      <c r="AN2" s="90"/>
      <c r="AO2" s="90"/>
      <c r="AP2" s="90"/>
      <c r="AQ2" s="90"/>
      <c r="AR2" s="90"/>
      <c r="AS2" s="90"/>
      <c r="AT2" s="90"/>
      <c r="AU2" s="90"/>
      <c r="AV2" s="90"/>
      <c r="AW2" s="90"/>
      <c r="AX2" s="90"/>
      <c r="AY2" s="90"/>
    </row>
    <row r="3" ht="12.75" customHeight="1">
      <c r="H3" s="99"/>
      <c r="I3" s="99"/>
    </row>
    <row r="4" ht="12.75" customHeight="1">
      <c r="B4" s="68" t="s">
        <v>187</v>
      </c>
      <c r="G4" s="100">
        <f>'All Schools Roll-up'!K16</f>
        <v>1</v>
      </c>
      <c r="H4" s="101">
        <f>'All Schools Roll-up'!L16</f>
        <v>2</v>
      </c>
      <c r="I4" s="101">
        <f>'All Schools Roll-up'!M16</f>
        <v>3</v>
      </c>
      <c r="J4" s="101">
        <f>'All Schools Roll-up'!N16</f>
        <v>5</v>
      </c>
      <c r="K4" s="101">
        <f>'All Schools Roll-up'!O16</f>
        <v>8</v>
      </c>
      <c r="L4" s="101">
        <f>'All Schools Roll-up'!P16</f>
        <v>13</v>
      </c>
      <c r="M4" s="101">
        <f>'All Schools Roll-up'!Q16</f>
        <v>21</v>
      </c>
      <c r="N4" s="101">
        <f>'All Schools Roll-up'!R16</f>
        <v>34</v>
      </c>
      <c r="O4" s="101">
        <f>'All Schools Roll-up'!S16</f>
        <v>56</v>
      </c>
      <c r="P4" s="101">
        <f>'All Schools Roll-up'!T16</f>
        <v>90</v>
      </c>
      <c r="Q4" s="101">
        <f>'All Schools Roll-up'!U16</f>
        <v>135</v>
      </c>
      <c r="R4" s="101">
        <f>'All Schools Roll-up'!V16</f>
        <v>180</v>
      </c>
      <c r="S4" s="101">
        <f>'All Schools Roll-up'!W16</f>
        <v>246</v>
      </c>
      <c r="T4" s="101">
        <f>'All Schools Roll-up'!X16</f>
        <v>326</v>
      </c>
      <c r="U4" s="101">
        <f>'All Schools Roll-up'!Y16</f>
        <v>468</v>
      </c>
      <c r="V4" s="101">
        <f>'All Schools Roll-up'!Z16</f>
        <v>661</v>
      </c>
      <c r="W4" s="101">
        <f>'All Schools Roll-up'!AA16</f>
        <v>903</v>
      </c>
      <c r="X4" s="101">
        <f>'All Schools Roll-up'!AB16</f>
        <v>1176</v>
      </c>
      <c r="Y4" s="101">
        <f>'All Schools Roll-up'!AC16</f>
        <v>1500</v>
      </c>
      <c r="Z4" s="101">
        <f>'All Schools Roll-up'!AD16</f>
        <v>1850</v>
      </c>
      <c r="AA4" s="101">
        <f>'All Schools Roll-up'!AE16</f>
        <v>2195</v>
      </c>
      <c r="AB4" s="101">
        <f>'All Schools Roll-up'!AF16</f>
        <v>2467</v>
      </c>
      <c r="AC4" s="101">
        <f>'All Schools Roll-up'!AG16</f>
        <v>2500</v>
      </c>
      <c r="AD4" s="101">
        <f>'All Schools Roll-up'!AH16</f>
        <v>2500</v>
      </c>
      <c r="AE4" s="101">
        <f>'All Schools Roll-up'!AI16</f>
        <v>2500</v>
      </c>
      <c r="AF4" s="101">
        <f>'All Schools Roll-up'!AJ16</f>
        <v>2500</v>
      </c>
      <c r="AG4" s="101">
        <f>'All Schools Roll-up'!AK16</f>
        <v>2500</v>
      </c>
      <c r="AH4" s="101">
        <f>'All Schools Roll-up'!AL16</f>
        <v>2500</v>
      </c>
      <c r="AI4" s="101">
        <f>'All Schools Roll-up'!AM16</f>
        <v>2500</v>
      </c>
      <c r="AJ4" s="101">
        <f>'All Schools Roll-up'!AN16</f>
        <v>2500</v>
      </c>
      <c r="AK4" s="101">
        <f>'All Schools Roll-up'!AO16</f>
        <v>2500</v>
      </c>
      <c r="AL4" s="101">
        <f>'All Schools Roll-up'!AP16</f>
        <v>2500</v>
      </c>
    </row>
    <row r="5" ht="12.75" customHeight="1">
      <c r="B5" s="68" t="s">
        <v>15</v>
      </c>
      <c r="H5" s="72"/>
      <c r="I5" s="91">
        <v>0.5</v>
      </c>
      <c r="J5" s="91">
        <f t="shared" ref="J5:AL5" si="1">J4/I4-1</f>
        <v>0.6666666667</v>
      </c>
      <c r="K5" s="91">
        <f t="shared" si="1"/>
        <v>0.6</v>
      </c>
      <c r="L5" s="91">
        <f t="shared" si="1"/>
        <v>0.625</v>
      </c>
      <c r="M5" s="91">
        <f t="shared" si="1"/>
        <v>0.6153846154</v>
      </c>
      <c r="N5" s="91">
        <f t="shared" si="1"/>
        <v>0.619047619</v>
      </c>
      <c r="O5" s="91">
        <f t="shared" si="1"/>
        <v>0.6470588235</v>
      </c>
      <c r="P5" s="91">
        <f t="shared" si="1"/>
        <v>0.6071428571</v>
      </c>
      <c r="Q5" s="91">
        <f t="shared" si="1"/>
        <v>0.5</v>
      </c>
      <c r="R5" s="91">
        <f t="shared" si="1"/>
        <v>0.3333333333</v>
      </c>
      <c r="S5" s="91">
        <f t="shared" si="1"/>
        <v>0.3666666667</v>
      </c>
      <c r="T5" s="91">
        <f t="shared" si="1"/>
        <v>0.325203252</v>
      </c>
      <c r="U5" s="91">
        <f t="shared" si="1"/>
        <v>0.4355828221</v>
      </c>
      <c r="V5" s="91">
        <f t="shared" si="1"/>
        <v>0.4123931624</v>
      </c>
      <c r="W5" s="91">
        <f t="shared" si="1"/>
        <v>0.3661119516</v>
      </c>
      <c r="X5" s="91">
        <f t="shared" si="1"/>
        <v>0.3023255814</v>
      </c>
      <c r="Y5" s="91">
        <f t="shared" si="1"/>
        <v>0.2755102041</v>
      </c>
      <c r="Z5" s="91">
        <f t="shared" si="1"/>
        <v>0.2333333333</v>
      </c>
      <c r="AA5" s="91">
        <f t="shared" si="1"/>
        <v>0.1864864865</v>
      </c>
      <c r="AB5" s="91">
        <f t="shared" si="1"/>
        <v>0.1239179954</v>
      </c>
      <c r="AC5" s="91">
        <f t="shared" si="1"/>
        <v>0.01337657073</v>
      </c>
      <c r="AD5" s="91">
        <f t="shared" si="1"/>
        <v>0</v>
      </c>
      <c r="AE5" s="91">
        <f t="shared" si="1"/>
        <v>0</v>
      </c>
      <c r="AF5" s="91">
        <f t="shared" si="1"/>
        <v>0</v>
      </c>
      <c r="AG5" s="91">
        <f t="shared" si="1"/>
        <v>0</v>
      </c>
      <c r="AH5" s="91">
        <f t="shared" si="1"/>
        <v>0</v>
      </c>
      <c r="AI5" s="91">
        <f t="shared" si="1"/>
        <v>0</v>
      </c>
      <c r="AJ5" s="91">
        <f t="shared" si="1"/>
        <v>0</v>
      </c>
      <c r="AK5" s="91">
        <f t="shared" si="1"/>
        <v>0</v>
      </c>
      <c r="AL5" s="91">
        <f t="shared" si="1"/>
        <v>0</v>
      </c>
    </row>
    <row r="6" ht="12.75" customHeight="1">
      <c r="B6" s="68" t="s">
        <v>188</v>
      </c>
      <c r="G6" s="68" t="str">
        <f t="shared" ref="G6:H6" si="2">'[4]'!H62</f>
        <v>#REF!</v>
      </c>
      <c r="H6" s="72" t="str">
        <f t="shared" si="2"/>
        <v>#REF!</v>
      </c>
      <c r="I6" s="72">
        <f>'Growth Model'!F10</f>
        <v>1</v>
      </c>
      <c r="J6" s="72">
        <f>'Growth Model'!G10</f>
        <v>1</v>
      </c>
      <c r="K6" s="72">
        <f>'Growth Model'!H10</f>
        <v>1</v>
      </c>
      <c r="L6" s="72">
        <f>'Growth Model'!I10</f>
        <v>2</v>
      </c>
      <c r="M6" s="72">
        <f>'Growth Model'!J10</f>
        <v>2</v>
      </c>
      <c r="N6" s="72">
        <f>'Growth Model'!K10</f>
        <v>4</v>
      </c>
      <c r="O6" s="72">
        <f>'Growth Model'!L10</f>
        <v>7</v>
      </c>
      <c r="P6" s="72">
        <f>'Growth Model'!M10</f>
        <v>12</v>
      </c>
      <c r="Q6" s="72">
        <f>'Growth Model'!N10</f>
        <v>20</v>
      </c>
      <c r="R6" s="72">
        <f>'Growth Model'!O10</f>
        <v>33</v>
      </c>
      <c r="S6" s="72">
        <f>'Growth Model'!P10</f>
        <v>50</v>
      </c>
      <c r="T6" s="72">
        <f>'Growth Model'!Q10</f>
        <v>50</v>
      </c>
      <c r="U6" s="72">
        <f>'Growth Model'!R10</f>
        <v>50</v>
      </c>
      <c r="V6" s="72">
        <f>'Growth Model'!S10</f>
        <v>50</v>
      </c>
      <c r="W6" s="72">
        <f>'Growth Model'!T10</f>
        <v>50</v>
      </c>
      <c r="X6" s="72">
        <f>'Growth Model'!U10</f>
        <v>50</v>
      </c>
      <c r="Y6" s="72">
        <f>'Growth Model'!V10</f>
        <v>50</v>
      </c>
      <c r="Z6" s="72">
        <f>'Growth Model'!W10</f>
        <v>50</v>
      </c>
      <c r="AA6" s="72">
        <f>'Growth Model'!X10</f>
        <v>50</v>
      </c>
      <c r="AB6" s="72">
        <f>'Growth Model'!Y10</f>
        <v>50</v>
      </c>
      <c r="AC6" s="72">
        <f>'Growth Model'!Z10</f>
        <v>50</v>
      </c>
      <c r="AD6" s="72">
        <f>'Growth Model'!AA10</f>
        <v>50</v>
      </c>
      <c r="AE6" s="72">
        <f t="shared" ref="AE6:AL6" si="3">AD6</f>
        <v>50</v>
      </c>
      <c r="AF6" s="72">
        <f t="shared" si="3"/>
        <v>50</v>
      </c>
      <c r="AG6" s="72">
        <f t="shared" si="3"/>
        <v>50</v>
      </c>
      <c r="AH6" s="72">
        <f t="shared" si="3"/>
        <v>50</v>
      </c>
      <c r="AI6" s="72">
        <f t="shared" si="3"/>
        <v>50</v>
      </c>
      <c r="AJ6" s="72">
        <f t="shared" si="3"/>
        <v>50</v>
      </c>
      <c r="AK6" s="72">
        <f t="shared" si="3"/>
        <v>50</v>
      </c>
      <c r="AL6" s="72">
        <f t="shared" si="3"/>
        <v>50</v>
      </c>
    </row>
    <row r="7" ht="12.75" customHeight="1">
      <c r="B7" s="68" t="s">
        <v>189</v>
      </c>
      <c r="G7" s="102">
        <f>'All Schools Roll-up'!K18</f>
        <v>320</v>
      </c>
      <c r="H7" s="103">
        <f>'All Schools Roll-up'!L18</f>
        <v>874</v>
      </c>
      <c r="I7" s="103">
        <f>'All Schools Roll-up'!M18</f>
        <v>1352</v>
      </c>
      <c r="J7" s="103">
        <f>'All Schools Roll-up'!N18</f>
        <v>2228</v>
      </c>
      <c r="K7" s="103">
        <f>'All Schools Roll-up'!O18</f>
        <v>3584</v>
      </c>
      <c r="L7" s="103">
        <f>'All Schools Roll-up'!P18</f>
        <v>5832</v>
      </c>
      <c r="M7" s="103">
        <f>'All Schools Roll-up'!Q18</f>
        <v>9436</v>
      </c>
      <c r="N7" s="103">
        <f>'All Schools Roll-up'!R18</f>
        <v>15288</v>
      </c>
      <c r="O7" s="103">
        <f>'All Schools Roll-up'!S18</f>
        <v>25136</v>
      </c>
      <c r="P7" s="103">
        <f>'All Schools Roll-up'!T18</f>
        <v>40516</v>
      </c>
      <c r="Q7" s="103">
        <f>'All Schools Roll-up'!U18</f>
        <v>61396</v>
      </c>
      <c r="R7" s="103">
        <f>'All Schools Roll-up'!V18</f>
        <v>83500</v>
      </c>
      <c r="S7" s="103">
        <f>'All Schools Roll-up'!W18</f>
        <v>114232</v>
      </c>
      <c r="T7" s="103">
        <f>'All Schools Roll-up'!X18</f>
        <v>151964</v>
      </c>
      <c r="U7" s="103">
        <f>'All Schools Roll-up'!Y18</f>
        <v>215764</v>
      </c>
      <c r="V7" s="103">
        <f>'All Schools Roll-up'!Z18</f>
        <v>304524</v>
      </c>
      <c r="W7" s="103">
        <f>'All Schools Roll-up'!AA18</f>
        <v>418396</v>
      </c>
      <c r="X7" s="103">
        <f>'All Schools Roll-up'!AB18</f>
        <v>549784</v>
      </c>
      <c r="Y7" s="103">
        <f>'All Schools Roll-up'!AC18</f>
        <v>705160</v>
      </c>
      <c r="Z7" s="103">
        <f>'All Schools Roll-up'!AD18</f>
        <v>875516</v>
      </c>
      <c r="AA7" s="103">
        <f>'All Schools Roll-up'!AE18</f>
        <v>1047620</v>
      </c>
      <c r="AB7" s="103">
        <f>'All Schools Roll-up'!AF18</f>
        <v>1191684</v>
      </c>
      <c r="AC7" s="103">
        <f>'All Schools Roll-up'!AG18</f>
        <v>1236624</v>
      </c>
      <c r="AD7" s="103">
        <f>'All Schools Roll-up'!AH18</f>
        <v>1248792</v>
      </c>
      <c r="AE7" s="103">
        <f>'All Schools Roll-up'!AI18</f>
        <v>1249980</v>
      </c>
      <c r="AF7" s="103">
        <f>'All Schools Roll-up'!AJ18</f>
        <v>1249980</v>
      </c>
      <c r="AG7" s="103">
        <f>'All Schools Roll-up'!AK18</f>
        <v>1249980</v>
      </c>
      <c r="AH7" s="103">
        <f>'All Schools Roll-up'!AL18</f>
        <v>1249980</v>
      </c>
      <c r="AI7" s="103">
        <f>'All Schools Roll-up'!AM18</f>
        <v>1249980</v>
      </c>
      <c r="AJ7" s="103">
        <f>'All Schools Roll-up'!AN18</f>
        <v>1249980</v>
      </c>
      <c r="AK7" s="103">
        <f>'All Schools Roll-up'!AO18</f>
        <v>1249980</v>
      </c>
      <c r="AL7" s="103" t="str">
        <f>'All Schools Roll-up'!AP18</f>
        <v>#REF!</v>
      </c>
    </row>
    <row r="8" ht="12.75" hidden="1" customHeight="1" outlineLevel="1">
      <c r="B8" s="68" t="s">
        <v>190</v>
      </c>
      <c r="H8" s="104">
        <f>'RSED National'!L26</f>
        <v>60</v>
      </c>
      <c r="I8" s="103" t="str">
        <f>'RSED National'!M26</f>
        <v>#REF!</v>
      </c>
      <c r="J8" s="103" t="str">
        <f>'RSED National'!N26</f>
        <v>#REF!</v>
      </c>
      <c r="K8" s="103" t="str">
        <f>'RSED National'!O26</f>
        <v>#REF!</v>
      </c>
      <c r="L8" s="103" t="str">
        <f>'RSED National'!P26</f>
        <v>#REF!</v>
      </c>
      <c r="M8" s="103" t="str">
        <f>'RSED National'!Q26</f>
        <v>#REF!</v>
      </c>
      <c r="N8" s="103" t="str">
        <f>'RSED National'!R26</f>
        <v>#REF!</v>
      </c>
      <c r="O8" s="103" t="str">
        <f>'RSED National'!S26</f>
        <v>#REF!</v>
      </c>
      <c r="P8" s="103" t="str">
        <f>'RSED National'!T26</f>
        <v>#REF!</v>
      </c>
      <c r="Q8" s="103" t="str">
        <f>'RSED National'!U26</f>
        <v>#REF!</v>
      </c>
      <c r="R8" s="103" t="str">
        <f>'RSED National'!V26</f>
        <v>#REF!</v>
      </c>
      <c r="S8" s="103" t="str">
        <f>'RSED National'!W26</f>
        <v>#REF!</v>
      </c>
      <c r="T8" s="103" t="str">
        <f>'RSED National'!X26</f>
        <v>#REF!</v>
      </c>
      <c r="U8" s="103" t="str">
        <f>'RSED National'!Y26</f>
        <v>#REF!</v>
      </c>
      <c r="V8" s="103" t="str">
        <f>'RSED National'!Z26</f>
        <v>#REF!</v>
      </c>
      <c r="W8" s="103" t="str">
        <f>'RSED National'!AA26</f>
        <v>#REF!</v>
      </c>
      <c r="X8" s="103" t="str">
        <f>'RSED National'!AB26</f>
        <v>#REF!</v>
      </c>
      <c r="Y8" s="103" t="str">
        <f>'RSED National'!AC26</f>
        <v>#REF!</v>
      </c>
      <c r="Z8" s="103" t="str">
        <f>'RSED National'!AD26</f>
        <v>#REF!</v>
      </c>
      <c r="AA8" s="103" t="str">
        <f>'RSED National'!AE26</f>
        <v>#REF!</v>
      </c>
      <c r="AB8" s="103" t="str">
        <f>'RSED National'!AF26</f>
        <v>#REF!</v>
      </c>
      <c r="AC8" s="103" t="str">
        <f>'RSED National'!AG26</f>
        <v>#REF!</v>
      </c>
      <c r="AD8" s="103" t="str">
        <f>'RSED National'!AH26</f>
        <v>#REF!</v>
      </c>
      <c r="AE8" s="103" t="str">
        <f>'RSED National'!AI26</f>
        <v>#REF!</v>
      </c>
      <c r="AF8" s="103" t="str">
        <f>'RSED National'!AJ26</f>
        <v>#REF!</v>
      </c>
      <c r="AG8" s="103" t="str">
        <f>'RSED National'!AK26</f>
        <v>#REF!</v>
      </c>
      <c r="AH8" s="103" t="str">
        <f>'RSED National'!AL26</f>
        <v>#REF!</v>
      </c>
      <c r="AI8" s="103" t="str">
        <f>'RSED National'!AM26</f>
        <v>#REF!</v>
      </c>
      <c r="AJ8" s="103" t="str">
        <f>'RSED National'!AN26</f>
        <v>#REF!</v>
      </c>
      <c r="AK8" s="103" t="str">
        <f>'RSED National'!AO26</f>
        <v>#REF!</v>
      </c>
      <c r="AL8" s="103" t="str">
        <f>'RSED National'!AP26</f>
        <v>#REF!</v>
      </c>
    </row>
    <row r="9" ht="12.75" customHeight="1"/>
    <row r="10" ht="12.75" customHeight="1">
      <c r="A10" s="105" t="s">
        <v>191</v>
      </c>
      <c r="B10" s="106"/>
      <c r="C10" s="106"/>
      <c r="D10" s="106"/>
      <c r="E10" s="107"/>
      <c r="F10" s="107"/>
      <c r="G10" s="107" t="s">
        <v>192</v>
      </c>
      <c r="H10" s="107" t="str">
        <f>LEFT(G10,4)+1&amp;"-"&amp;RIGHT(G10,4)+1</f>
        <v>2009-2010</v>
      </c>
      <c r="I10" s="107"/>
      <c r="J10" s="107"/>
      <c r="K10" s="107"/>
      <c r="L10" s="107"/>
      <c r="M10" s="107"/>
      <c r="N10" s="107"/>
      <c r="O10" s="107"/>
      <c r="P10" s="107"/>
      <c r="Q10" s="107"/>
      <c r="R10" s="107"/>
      <c r="S10" s="107"/>
      <c r="T10" s="107"/>
      <c r="U10" s="107"/>
      <c r="V10" s="107"/>
      <c r="W10" s="107"/>
      <c r="X10" s="107"/>
      <c r="Y10" s="107"/>
      <c r="Z10" s="107"/>
      <c r="AA10" s="107"/>
      <c r="AB10" s="107"/>
      <c r="AC10" s="107"/>
      <c r="AD10" s="107"/>
      <c r="AE10" s="107"/>
      <c r="AF10" s="107"/>
      <c r="AG10" s="107"/>
      <c r="AH10" s="107"/>
      <c r="AI10" s="107"/>
      <c r="AJ10" s="107"/>
      <c r="AK10" s="107"/>
      <c r="AL10" s="107"/>
    </row>
    <row r="11" ht="12.75" customHeight="1"/>
    <row r="12" ht="14.25" customHeight="1">
      <c r="A12" s="108" t="s">
        <v>193</v>
      </c>
      <c r="B12" s="109"/>
      <c r="C12" s="109"/>
      <c r="D12" s="109"/>
      <c r="E12" s="110"/>
      <c r="F12" s="110"/>
      <c r="G12" s="111"/>
      <c r="H12" s="111"/>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112"/>
      <c r="AM12" s="67"/>
      <c r="AN12" s="67"/>
      <c r="AO12" s="67"/>
      <c r="AP12" s="67"/>
      <c r="AQ12" s="67"/>
      <c r="AR12" s="67"/>
      <c r="AS12" s="67"/>
      <c r="AT12" s="67"/>
      <c r="AU12" s="67"/>
      <c r="AV12" s="67"/>
      <c r="AW12" s="67"/>
      <c r="AX12" s="67"/>
      <c r="AY12" s="67"/>
    </row>
    <row r="13" ht="12.75" customHeight="1">
      <c r="C13" s="68" t="s">
        <v>194</v>
      </c>
      <c r="H13" s="113" t="str">
        <f t="shared" ref="H13:AL13" si="4">H81</f>
        <v>#REF!</v>
      </c>
      <c r="I13" s="93" t="str">
        <f t="shared" si="4"/>
        <v>#REF!</v>
      </c>
      <c r="J13" s="93" t="str">
        <f t="shared" si="4"/>
        <v>#REF!</v>
      </c>
      <c r="K13" s="93" t="str">
        <f t="shared" si="4"/>
        <v>#REF!</v>
      </c>
      <c r="L13" s="93" t="str">
        <f t="shared" si="4"/>
        <v>#REF!</v>
      </c>
      <c r="M13" s="93" t="str">
        <f t="shared" si="4"/>
        <v>#REF!</v>
      </c>
      <c r="N13" s="93" t="str">
        <f t="shared" si="4"/>
        <v>#REF!</v>
      </c>
      <c r="O13" s="93" t="str">
        <f t="shared" si="4"/>
        <v>#REF!</v>
      </c>
      <c r="P13" s="93" t="str">
        <f t="shared" si="4"/>
        <v>#REF!</v>
      </c>
      <c r="Q13" s="93" t="str">
        <f t="shared" si="4"/>
        <v>#REF!</v>
      </c>
      <c r="R13" s="93" t="str">
        <f t="shared" si="4"/>
        <v>#REF!</v>
      </c>
      <c r="S13" s="93" t="str">
        <f t="shared" si="4"/>
        <v>#REF!</v>
      </c>
      <c r="T13" s="93" t="str">
        <f t="shared" si="4"/>
        <v>#REF!</v>
      </c>
      <c r="U13" s="93" t="str">
        <f t="shared" si="4"/>
        <v>#REF!</v>
      </c>
      <c r="V13" s="93" t="str">
        <f t="shared" si="4"/>
        <v>#REF!</v>
      </c>
      <c r="W13" s="93" t="str">
        <f t="shared" si="4"/>
        <v>#REF!</v>
      </c>
      <c r="X13" s="93" t="str">
        <f t="shared" si="4"/>
        <v>#REF!</v>
      </c>
      <c r="Y13" s="93" t="str">
        <f t="shared" si="4"/>
        <v>#REF!</v>
      </c>
      <c r="Z13" s="93" t="str">
        <f t="shared" si="4"/>
        <v>#REF!</v>
      </c>
      <c r="AA13" s="93" t="str">
        <f t="shared" si="4"/>
        <v>#REF!</v>
      </c>
      <c r="AB13" s="93" t="str">
        <f t="shared" si="4"/>
        <v>#REF!</v>
      </c>
      <c r="AC13" s="93" t="str">
        <f t="shared" si="4"/>
        <v>#REF!</v>
      </c>
      <c r="AD13" s="93" t="str">
        <f t="shared" si="4"/>
        <v>#REF!</v>
      </c>
      <c r="AE13" s="93" t="str">
        <f t="shared" si="4"/>
        <v>#REF!</v>
      </c>
      <c r="AF13" s="93" t="str">
        <f t="shared" si="4"/>
        <v>#REF!</v>
      </c>
      <c r="AG13" s="93" t="str">
        <f t="shared" si="4"/>
        <v>#REF!</v>
      </c>
      <c r="AH13" s="93" t="str">
        <f t="shared" si="4"/>
        <v>#REF!</v>
      </c>
      <c r="AI13" s="93" t="str">
        <f t="shared" si="4"/>
        <v>#REF!</v>
      </c>
      <c r="AJ13" s="93" t="str">
        <f t="shared" si="4"/>
        <v>#REF!</v>
      </c>
      <c r="AK13" s="93" t="str">
        <f t="shared" si="4"/>
        <v>#REF!</v>
      </c>
      <c r="AL13" s="93" t="str">
        <f t="shared" si="4"/>
        <v>#REF!</v>
      </c>
    </row>
    <row r="14" ht="12.75" customHeight="1">
      <c r="C14" s="68" t="s">
        <v>195</v>
      </c>
      <c r="H14" s="113" t="str">
        <f t="shared" ref="H14:AL14" si="5">H82</f>
        <v>#REF!</v>
      </c>
      <c r="I14" s="93" t="str">
        <f t="shared" si="5"/>
        <v>#REF!</v>
      </c>
      <c r="J14" s="93" t="str">
        <f t="shared" si="5"/>
        <v>#REF!</v>
      </c>
      <c r="K14" s="93" t="str">
        <f t="shared" si="5"/>
        <v>#REF!</v>
      </c>
      <c r="L14" s="93" t="str">
        <f t="shared" si="5"/>
        <v>#REF!</v>
      </c>
      <c r="M14" s="93" t="str">
        <f t="shared" si="5"/>
        <v>#REF!</v>
      </c>
      <c r="N14" s="93" t="str">
        <f t="shared" si="5"/>
        <v>#REF!</v>
      </c>
      <c r="O14" s="93" t="str">
        <f t="shared" si="5"/>
        <v>#REF!</v>
      </c>
      <c r="P14" s="93" t="str">
        <f t="shared" si="5"/>
        <v>#REF!</v>
      </c>
      <c r="Q14" s="93" t="str">
        <f t="shared" si="5"/>
        <v>#REF!</v>
      </c>
      <c r="R14" s="93" t="str">
        <f t="shared" si="5"/>
        <v>#REF!</v>
      </c>
      <c r="S14" s="93" t="str">
        <f t="shared" si="5"/>
        <v>#REF!</v>
      </c>
      <c r="T14" s="93" t="str">
        <f t="shared" si="5"/>
        <v>#REF!</v>
      </c>
      <c r="U14" s="93" t="str">
        <f t="shared" si="5"/>
        <v>#REF!</v>
      </c>
      <c r="V14" s="93" t="str">
        <f t="shared" si="5"/>
        <v>#REF!</v>
      </c>
      <c r="W14" s="93" t="str">
        <f t="shared" si="5"/>
        <v>#REF!</v>
      </c>
      <c r="X14" s="93" t="str">
        <f t="shared" si="5"/>
        <v>#REF!</v>
      </c>
      <c r="Y14" s="93" t="str">
        <f t="shared" si="5"/>
        <v>#REF!</v>
      </c>
      <c r="Z14" s="93" t="str">
        <f t="shared" si="5"/>
        <v>#REF!</v>
      </c>
      <c r="AA14" s="93" t="str">
        <f t="shared" si="5"/>
        <v>#REF!</v>
      </c>
      <c r="AB14" s="93" t="str">
        <f t="shared" si="5"/>
        <v>#REF!</v>
      </c>
      <c r="AC14" s="93" t="str">
        <f t="shared" si="5"/>
        <v>#REF!</v>
      </c>
      <c r="AD14" s="93" t="str">
        <f t="shared" si="5"/>
        <v>#REF!</v>
      </c>
      <c r="AE14" s="93" t="str">
        <f t="shared" si="5"/>
        <v>#REF!</v>
      </c>
      <c r="AF14" s="93" t="str">
        <f t="shared" si="5"/>
        <v>#REF!</v>
      </c>
      <c r="AG14" s="93" t="str">
        <f t="shared" si="5"/>
        <v>#REF!</v>
      </c>
      <c r="AH14" s="93" t="str">
        <f t="shared" si="5"/>
        <v>#REF!</v>
      </c>
      <c r="AI14" s="93" t="str">
        <f t="shared" si="5"/>
        <v>#REF!</v>
      </c>
      <c r="AJ14" s="93" t="str">
        <f t="shared" si="5"/>
        <v>#REF!</v>
      </c>
      <c r="AK14" s="93" t="str">
        <f t="shared" si="5"/>
        <v>#REF!</v>
      </c>
      <c r="AL14" s="93" t="str">
        <f t="shared" si="5"/>
        <v>#REF!</v>
      </c>
    </row>
    <row r="15" ht="12.75" customHeight="1">
      <c r="C15" s="68" t="s">
        <v>196</v>
      </c>
      <c r="H15" s="113" t="str">
        <f t="shared" ref="H15:AL15" si="6">H86</f>
        <v>#REF!</v>
      </c>
      <c r="I15" s="93" t="str">
        <f t="shared" si="6"/>
        <v>#REF!</v>
      </c>
      <c r="J15" s="93" t="str">
        <f t="shared" si="6"/>
        <v>#REF!</v>
      </c>
      <c r="K15" s="93" t="str">
        <f t="shared" si="6"/>
        <v>#REF!</v>
      </c>
      <c r="L15" s="93" t="str">
        <f t="shared" si="6"/>
        <v>#REF!</v>
      </c>
      <c r="M15" s="93" t="str">
        <f t="shared" si="6"/>
        <v>#REF!</v>
      </c>
      <c r="N15" s="93" t="str">
        <f t="shared" si="6"/>
        <v>#REF!</v>
      </c>
      <c r="O15" s="93" t="str">
        <f t="shared" si="6"/>
        <v>#REF!</v>
      </c>
      <c r="P15" s="93" t="str">
        <f t="shared" si="6"/>
        <v>#REF!</v>
      </c>
      <c r="Q15" s="93" t="str">
        <f t="shared" si="6"/>
        <v>#REF!</v>
      </c>
      <c r="R15" s="93" t="str">
        <f t="shared" si="6"/>
        <v>#REF!</v>
      </c>
      <c r="S15" s="93" t="str">
        <f t="shared" si="6"/>
        <v>#REF!</v>
      </c>
      <c r="T15" s="93" t="str">
        <f t="shared" si="6"/>
        <v>#REF!</v>
      </c>
      <c r="U15" s="93" t="str">
        <f t="shared" si="6"/>
        <v>#REF!</v>
      </c>
      <c r="V15" s="93" t="str">
        <f t="shared" si="6"/>
        <v>#REF!</v>
      </c>
      <c r="W15" s="93" t="str">
        <f t="shared" si="6"/>
        <v>#REF!</v>
      </c>
      <c r="X15" s="93" t="str">
        <f t="shared" si="6"/>
        <v>#REF!</v>
      </c>
      <c r="Y15" s="93" t="str">
        <f t="shared" si="6"/>
        <v>#REF!</v>
      </c>
      <c r="Z15" s="93" t="str">
        <f t="shared" si="6"/>
        <v>#REF!</v>
      </c>
      <c r="AA15" s="93" t="str">
        <f t="shared" si="6"/>
        <v>#REF!</v>
      </c>
      <c r="AB15" s="93" t="str">
        <f t="shared" si="6"/>
        <v>#REF!</v>
      </c>
      <c r="AC15" s="93" t="str">
        <f t="shared" si="6"/>
        <v>#REF!</v>
      </c>
      <c r="AD15" s="93" t="str">
        <f t="shared" si="6"/>
        <v>#REF!</v>
      </c>
      <c r="AE15" s="93" t="str">
        <f t="shared" si="6"/>
        <v>#REF!</v>
      </c>
      <c r="AF15" s="93" t="str">
        <f t="shared" si="6"/>
        <v>#REF!</v>
      </c>
      <c r="AG15" s="93" t="str">
        <f t="shared" si="6"/>
        <v>#REF!</v>
      </c>
      <c r="AH15" s="93" t="str">
        <f t="shared" si="6"/>
        <v>#REF!</v>
      </c>
      <c r="AI15" s="93" t="str">
        <f t="shared" si="6"/>
        <v>#REF!</v>
      </c>
      <c r="AJ15" s="93" t="str">
        <f t="shared" si="6"/>
        <v>#REF!</v>
      </c>
      <c r="AK15" s="93" t="str">
        <f t="shared" si="6"/>
        <v>#REF!</v>
      </c>
      <c r="AL15" s="93" t="str">
        <f t="shared" si="6"/>
        <v>#REF!</v>
      </c>
    </row>
    <row r="16" ht="12.75" customHeight="1">
      <c r="H16" s="113"/>
      <c r="I16" s="93"/>
      <c r="J16" s="93"/>
      <c r="K16" s="93"/>
      <c r="L16" s="93"/>
      <c r="M16" s="93"/>
      <c r="N16" s="93"/>
      <c r="O16" s="93"/>
      <c r="P16" s="93"/>
      <c r="Q16" s="93"/>
      <c r="R16" s="93"/>
      <c r="S16" s="93"/>
      <c r="T16" s="93"/>
      <c r="U16" s="93"/>
      <c r="V16" s="93"/>
      <c r="W16" s="93"/>
      <c r="X16" s="93"/>
      <c r="Y16" s="93"/>
      <c r="Z16" s="93"/>
      <c r="AA16" s="93"/>
      <c r="AB16" s="93"/>
      <c r="AC16" s="93"/>
      <c r="AD16" s="93"/>
      <c r="AE16" s="93"/>
      <c r="AF16" s="93"/>
      <c r="AG16" s="93"/>
      <c r="AH16" s="93"/>
      <c r="AI16" s="93"/>
      <c r="AJ16" s="93"/>
      <c r="AK16" s="93"/>
      <c r="AL16" s="93"/>
    </row>
    <row r="17" ht="12.75" customHeight="1">
      <c r="B17" s="67"/>
      <c r="C17" s="67"/>
      <c r="H17" s="113"/>
      <c r="I17" s="93"/>
      <c r="J17" s="93"/>
      <c r="K17" s="93"/>
      <c r="L17" s="93"/>
      <c r="M17" s="93"/>
      <c r="N17" s="93"/>
      <c r="O17" s="93"/>
      <c r="P17" s="93"/>
      <c r="Q17" s="93"/>
      <c r="R17" s="93"/>
      <c r="S17" s="93"/>
      <c r="T17" s="93"/>
      <c r="U17" s="93"/>
      <c r="V17" s="93"/>
      <c r="W17" s="93"/>
      <c r="X17" s="93"/>
      <c r="Y17" s="93"/>
      <c r="Z17" s="93"/>
      <c r="AA17" s="93"/>
      <c r="AB17" s="93"/>
      <c r="AC17" s="93"/>
      <c r="AD17" s="93"/>
      <c r="AE17" s="93"/>
      <c r="AF17" s="93"/>
      <c r="AG17" s="93"/>
      <c r="AH17" s="93"/>
      <c r="AI17" s="93"/>
      <c r="AJ17" s="93"/>
      <c r="AK17" s="93"/>
      <c r="AL17" s="93"/>
    </row>
    <row r="18" ht="14.25" customHeight="1">
      <c r="A18" s="108" t="s">
        <v>197</v>
      </c>
      <c r="B18" s="109"/>
      <c r="C18" s="109"/>
      <c r="D18" s="109"/>
      <c r="E18" s="110"/>
      <c r="F18" s="110"/>
      <c r="G18" s="111"/>
      <c r="H18" s="111"/>
      <c r="I18" s="112"/>
      <c r="J18" s="112"/>
      <c r="K18" s="112"/>
      <c r="L18" s="112"/>
      <c r="M18" s="112"/>
      <c r="N18" s="112"/>
      <c r="O18" s="112"/>
      <c r="P18" s="112"/>
      <c r="Q18" s="112"/>
      <c r="R18" s="112"/>
      <c r="S18" s="112"/>
      <c r="T18" s="112"/>
      <c r="U18" s="112"/>
      <c r="V18" s="112"/>
      <c r="W18" s="112"/>
      <c r="X18" s="112"/>
      <c r="Y18" s="112"/>
      <c r="Z18" s="112"/>
      <c r="AA18" s="112"/>
      <c r="AB18" s="112"/>
      <c r="AC18" s="112"/>
      <c r="AD18" s="112"/>
      <c r="AE18" s="112"/>
      <c r="AF18" s="112"/>
      <c r="AG18" s="112"/>
      <c r="AH18" s="112"/>
      <c r="AI18" s="112"/>
      <c r="AJ18" s="112"/>
      <c r="AK18" s="112"/>
      <c r="AL18" s="112"/>
      <c r="AM18" s="67"/>
      <c r="AN18" s="67"/>
      <c r="AO18" s="67"/>
      <c r="AP18" s="67"/>
      <c r="AQ18" s="67"/>
      <c r="AR18" s="67"/>
      <c r="AS18" s="67"/>
      <c r="AT18" s="67"/>
      <c r="AU18" s="67"/>
      <c r="AV18" s="67"/>
      <c r="AW18" s="67"/>
      <c r="AX18" s="67"/>
      <c r="AY18" s="67"/>
    </row>
    <row r="19" ht="14.25" customHeight="1">
      <c r="A19" s="67"/>
      <c r="B19" s="67"/>
      <c r="C19" s="67"/>
      <c r="D19" s="67"/>
      <c r="E19" s="63"/>
      <c r="F19" s="63"/>
      <c r="G19" s="114"/>
      <c r="H19" s="114"/>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67"/>
      <c r="AN19" s="67"/>
      <c r="AO19" s="67"/>
      <c r="AP19" s="67"/>
      <c r="AQ19" s="67"/>
      <c r="AR19" s="67"/>
      <c r="AS19" s="67"/>
      <c r="AT19" s="67"/>
      <c r="AU19" s="67"/>
      <c r="AV19" s="67"/>
      <c r="AW19" s="67"/>
      <c r="AX19" s="67"/>
      <c r="AY19" s="67"/>
    </row>
    <row r="20" ht="12.75" customHeight="1">
      <c r="B20" s="67"/>
      <c r="C20" s="67" t="s">
        <v>198</v>
      </c>
      <c r="H20" s="113"/>
      <c r="I20" s="93"/>
      <c r="J20" s="93"/>
      <c r="K20" s="93"/>
      <c r="L20" s="93"/>
      <c r="M20" s="93"/>
      <c r="N20" s="93"/>
      <c r="O20" s="93"/>
      <c r="P20" s="93"/>
      <c r="Q20" s="93"/>
      <c r="R20" s="93"/>
      <c r="S20" s="93"/>
      <c r="T20" s="93"/>
      <c r="U20" s="93"/>
      <c r="V20" s="93"/>
      <c r="W20" s="93"/>
      <c r="X20" s="93"/>
      <c r="Y20" s="93"/>
      <c r="Z20" s="93"/>
      <c r="AA20" s="93"/>
      <c r="AB20" s="93"/>
      <c r="AC20" s="93"/>
      <c r="AD20" s="93"/>
      <c r="AE20" s="93"/>
      <c r="AF20" s="93"/>
      <c r="AG20" s="93"/>
      <c r="AH20" s="93"/>
      <c r="AI20" s="93"/>
      <c r="AJ20" s="93"/>
      <c r="AK20" s="93"/>
      <c r="AL20" s="93"/>
    </row>
    <row r="21" ht="12.75" customHeight="1">
      <c r="B21" s="67"/>
      <c r="C21" s="64" t="s">
        <v>199</v>
      </c>
      <c r="H21" s="113"/>
      <c r="I21" s="93">
        <v>1500000.0</v>
      </c>
      <c r="J21" s="93">
        <v>1000000.0</v>
      </c>
      <c r="K21" s="93">
        <v>1250000.0</v>
      </c>
      <c r="L21" s="93">
        <v>500000.0</v>
      </c>
      <c r="M21" s="93">
        <v>0.0</v>
      </c>
      <c r="N21" s="116"/>
      <c r="O21" s="116"/>
      <c r="P21" s="93"/>
      <c r="Q21" s="93"/>
      <c r="R21" s="93"/>
      <c r="S21" s="93"/>
      <c r="T21" s="93"/>
      <c r="U21" s="93"/>
      <c r="V21" s="93"/>
      <c r="W21" s="93"/>
      <c r="X21" s="93"/>
      <c r="Y21" s="93"/>
      <c r="Z21" s="93"/>
      <c r="AA21" s="93"/>
      <c r="AB21" s="93"/>
      <c r="AC21" s="93"/>
      <c r="AD21" s="93"/>
      <c r="AE21" s="93"/>
      <c r="AF21" s="93"/>
      <c r="AG21" s="93"/>
      <c r="AH21" s="93"/>
      <c r="AI21" s="93"/>
      <c r="AJ21" s="93"/>
      <c r="AK21" s="93"/>
      <c r="AL21" s="93"/>
    </row>
    <row r="22" ht="12.75" customHeight="1">
      <c r="B22" s="67"/>
      <c r="C22" s="64" t="s">
        <v>200</v>
      </c>
      <c r="H22" s="113"/>
      <c r="I22" s="116">
        <v>0.0</v>
      </c>
      <c r="J22" s="116">
        <v>1000000.0</v>
      </c>
      <c r="K22" s="116">
        <v>0.0</v>
      </c>
      <c r="L22" s="116">
        <v>1650000.0</v>
      </c>
      <c r="M22" s="116">
        <v>1750000.0</v>
      </c>
      <c r="N22" s="116">
        <v>250000.0</v>
      </c>
      <c r="O22" s="116"/>
      <c r="P22" s="116"/>
      <c r="Q22" s="93"/>
      <c r="R22" s="93"/>
      <c r="S22" s="93"/>
      <c r="T22" s="93"/>
      <c r="U22" s="93"/>
      <c r="V22" s="93"/>
      <c r="W22" s="93"/>
      <c r="X22" s="93"/>
      <c r="Y22" s="93"/>
      <c r="Z22" s="93"/>
      <c r="AA22" s="93"/>
      <c r="AB22" s="93"/>
      <c r="AC22" s="93"/>
      <c r="AD22" s="93"/>
      <c r="AE22" s="93"/>
      <c r="AF22" s="93"/>
      <c r="AG22" s="93"/>
      <c r="AH22" s="93"/>
      <c r="AI22" s="93"/>
      <c r="AJ22" s="93"/>
      <c r="AK22" s="93"/>
      <c r="AL22" s="93"/>
    </row>
    <row r="23" ht="12.75" customHeight="1">
      <c r="B23" s="67"/>
      <c r="C23" s="64" t="s">
        <v>201</v>
      </c>
      <c r="H23" s="113"/>
      <c r="I23" s="116"/>
      <c r="J23" s="116"/>
      <c r="K23" s="116"/>
      <c r="L23" s="93">
        <f t="shared" ref="L23:M23" si="7">L22</f>
        <v>1650000</v>
      </c>
      <c r="M23" s="93">
        <f t="shared" si="7"/>
        <v>1750000</v>
      </c>
      <c r="N23" s="116"/>
      <c r="O23" s="116"/>
      <c r="P23" s="116"/>
      <c r="Q23" s="93"/>
      <c r="R23" s="93"/>
      <c r="S23" s="93"/>
      <c r="T23" s="93"/>
      <c r="U23" s="93"/>
      <c r="V23" s="93"/>
      <c r="W23" s="93"/>
      <c r="X23" s="93"/>
      <c r="Y23" s="93"/>
      <c r="Z23" s="93"/>
      <c r="AA23" s="93"/>
      <c r="AB23" s="93"/>
      <c r="AC23" s="93"/>
      <c r="AD23" s="93"/>
      <c r="AE23" s="93"/>
      <c r="AF23" s="93"/>
      <c r="AG23" s="93"/>
      <c r="AH23" s="93"/>
      <c r="AI23" s="93"/>
      <c r="AJ23" s="93"/>
      <c r="AK23" s="93"/>
      <c r="AL23" s="93"/>
    </row>
    <row r="24" ht="12.75" customHeight="1">
      <c r="B24" s="67"/>
      <c r="C24" s="83" t="s">
        <v>202</v>
      </c>
      <c r="D24" s="87"/>
      <c r="E24" s="87"/>
      <c r="F24" s="87"/>
      <c r="G24" s="87"/>
      <c r="H24" s="117"/>
      <c r="I24" s="118">
        <v>1000000.0</v>
      </c>
      <c r="J24" s="118">
        <v>1000000.0</v>
      </c>
      <c r="K24" s="118">
        <v>1750000.0</v>
      </c>
      <c r="L24" s="118">
        <v>0.0</v>
      </c>
      <c r="M24" s="118">
        <v>0.0</v>
      </c>
      <c r="N24" s="118"/>
      <c r="O24" s="118"/>
      <c r="P24" s="119"/>
      <c r="Q24" s="119"/>
      <c r="R24" s="119"/>
      <c r="S24" s="119"/>
      <c r="T24" s="119"/>
      <c r="U24" s="119"/>
      <c r="V24" s="119"/>
      <c r="W24" s="119"/>
      <c r="X24" s="119"/>
      <c r="Y24" s="119"/>
      <c r="Z24" s="119"/>
      <c r="AA24" s="119"/>
      <c r="AB24" s="119"/>
      <c r="AC24" s="119"/>
      <c r="AD24" s="119"/>
      <c r="AE24" s="119"/>
      <c r="AF24" s="119"/>
      <c r="AG24" s="119"/>
      <c r="AH24" s="119"/>
      <c r="AI24" s="119"/>
      <c r="AJ24" s="119"/>
      <c r="AK24" s="119"/>
      <c r="AL24" s="119"/>
      <c r="AN24" s="90"/>
      <c r="AO24" s="90"/>
      <c r="AP24" s="90"/>
      <c r="AQ24" s="90"/>
      <c r="AR24" s="90"/>
      <c r="AS24" s="90"/>
      <c r="AT24" s="90"/>
      <c r="AU24" s="90"/>
      <c r="AV24" s="90"/>
      <c r="AW24" s="90"/>
      <c r="AX24" s="90"/>
      <c r="AY24" s="90"/>
    </row>
    <row r="25" ht="12.75" customHeight="1">
      <c r="B25" s="67"/>
      <c r="C25" s="67" t="s">
        <v>203</v>
      </c>
      <c r="H25" s="113"/>
      <c r="I25" s="115">
        <f t="shared" ref="I25:P25" si="8">SUM(I21:I24)</f>
        <v>2500000</v>
      </c>
      <c r="J25" s="115">
        <f t="shared" si="8"/>
        <v>3000000</v>
      </c>
      <c r="K25" s="115">
        <f t="shared" si="8"/>
        <v>3000000</v>
      </c>
      <c r="L25" s="115">
        <f t="shared" si="8"/>
        <v>3800000</v>
      </c>
      <c r="M25" s="115">
        <f t="shared" si="8"/>
        <v>3500000</v>
      </c>
      <c r="N25" s="115">
        <f t="shared" si="8"/>
        <v>250000</v>
      </c>
      <c r="O25" s="115">
        <f t="shared" si="8"/>
        <v>0</v>
      </c>
      <c r="P25" s="115">
        <f t="shared" si="8"/>
        <v>0</v>
      </c>
      <c r="Q25" s="115"/>
      <c r="R25" s="93"/>
      <c r="S25" s="93"/>
      <c r="T25" s="93"/>
      <c r="U25" s="93"/>
      <c r="V25" s="93"/>
      <c r="W25" s="93"/>
      <c r="X25" s="93"/>
      <c r="Y25" s="93"/>
      <c r="Z25" s="93"/>
      <c r="AA25" s="93"/>
      <c r="AB25" s="93"/>
      <c r="AC25" s="93"/>
      <c r="AD25" s="93"/>
      <c r="AE25" s="93"/>
      <c r="AF25" s="93"/>
      <c r="AG25" s="93"/>
      <c r="AH25" s="93"/>
      <c r="AI25" s="93"/>
      <c r="AJ25" s="93"/>
      <c r="AK25" s="93"/>
      <c r="AL25" s="93"/>
    </row>
    <row r="26" ht="12.75" customHeight="1">
      <c r="B26" s="67"/>
      <c r="C26" s="67" t="s">
        <v>204</v>
      </c>
      <c r="H26" s="113"/>
      <c r="I26" s="93">
        <f>I25</f>
        <v>2500000</v>
      </c>
      <c r="J26" s="93">
        <f t="shared" ref="J26:P26" si="9">SUM(J25,I26)</f>
        <v>5500000</v>
      </c>
      <c r="K26" s="93">
        <f t="shared" si="9"/>
        <v>8500000</v>
      </c>
      <c r="L26" s="93">
        <f t="shared" si="9"/>
        <v>12300000</v>
      </c>
      <c r="M26" s="93">
        <f t="shared" si="9"/>
        <v>15800000</v>
      </c>
      <c r="N26" s="93">
        <f t="shared" si="9"/>
        <v>16050000</v>
      </c>
      <c r="O26" s="93">
        <f t="shared" si="9"/>
        <v>16050000</v>
      </c>
      <c r="P26" s="93">
        <f t="shared" si="9"/>
        <v>16050000</v>
      </c>
      <c r="Q26" s="93"/>
      <c r="R26" s="93"/>
      <c r="S26" s="93"/>
      <c r="T26" s="93"/>
      <c r="U26" s="93"/>
      <c r="V26" s="93"/>
      <c r="W26" s="93"/>
      <c r="X26" s="93"/>
      <c r="Y26" s="93"/>
      <c r="Z26" s="93"/>
      <c r="AA26" s="93"/>
      <c r="AB26" s="93"/>
      <c r="AC26" s="93"/>
      <c r="AD26" s="93"/>
      <c r="AE26" s="93"/>
      <c r="AF26" s="93"/>
      <c r="AG26" s="93"/>
      <c r="AH26" s="93"/>
      <c r="AI26" s="93"/>
      <c r="AJ26" s="93"/>
      <c r="AK26" s="93"/>
      <c r="AL26" s="93"/>
    </row>
    <row r="27" ht="12.75" customHeight="1">
      <c r="B27" s="67"/>
      <c r="C27" s="67"/>
      <c r="H27" s="113"/>
      <c r="I27" s="93"/>
      <c r="J27" s="93"/>
      <c r="K27" s="93"/>
      <c r="L27" s="93"/>
      <c r="M27" s="93"/>
      <c r="N27" s="93"/>
      <c r="O27" s="93"/>
      <c r="P27" s="93"/>
      <c r="Q27" s="93"/>
      <c r="R27" s="93"/>
      <c r="S27" s="93"/>
      <c r="T27" s="93"/>
      <c r="U27" s="93"/>
      <c r="V27" s="93"/>
      <c r="W27" s="93"/>
      <c r="X27" s="93"/>
      <c r="Y27" s="93"/>
      <c r="Z27" s="93"/>
      <c r="AA27" s="93"/>
      <c r="AB27" s="93"/>
      <c r="AC27" s="93"/>
      <c r="AD27" s="93"/>
      <c r="AE27" s="93"/>
      <c r="AF27" s="93"/>
      <c r="AG27" s="93"/>
      <c r="AH27" s="93"/>
      <c r="AI27" s="93"/>
      <c r="AJ27" s="93"/>
      <c r="AK27" s="93"/>
      <c r="AL27" s="93"/>
    </row>
    <row r="28" ht="12.75" customHeight="1">
      <c r="B28" s="67"/>
      <c r="C28" s="67" t="s">
        <v>205</v>
      </c>
      <c r="H28" s="113"/>
      <c r="I28" s="93"/>
      <c r="J28" s="93"/>
      <c r="K28" s="93"/>
      <c r="L28" s="93"/>
      <c r="M28" s="93"/>
      <c r="N28" s="93"/>
      <c r="O28" s="93"/>
      <c r="P28" s="93"/>
      <c r="Q28" s="93"/>
      <c r="R28" s="93"/>
      <c r="S28" s="93"/>
      <c r="T28" s="93"/>
      <c r="U28" s="93"/>
      <c r="V28" s="93"/>
      <c r="W28" s="93"/>
      <c r="X28" s="93"/>
      <c r="Y28" s="93"/>
      <c r="Z28" s="93"/>
      <c r="AA28" s="93"/>
      <c r="AB28" s="93"/>
      <c r="AC28" s="93"/>
      <c r="AD28" s="93"/>
      <c r="AE28" s="93"/>
      <c r="AF28" s="93"/>
      <c r="AG28" s="93"/>
      <c r="AH28" s="93"/>
      <c r="AI28" s="93"/>
      <c r="AJ28" s="93"/>
      <c r="AK28" s="93"/>
      <c r="AL28" s="93"/>
    </row>
    <row r="29" ht="12.75" customHeight="1">
      <c r="B29" s="67"/>
      <c r="C29" s="64" t="s">
        <v>206</v>
      </c>
      <c r="H29" s="113"/>
      <c r="I29" s="93">
        <f>'RSED National'!M32+'RSED National'!M33+'Regional Roll-up'!O14</f>
        <v>1569603.03</v>
      </c>
      <c r="J29" s="93">
        <f>'RSED National'!N32+'RSED National'!N33+'Regional Roll-up'!P14</f>
        <v>2499481.231</v>
      </c>
      <c r="K29" s="93">
        <f>'RSED National'!O32+'RSED National'!O33+'Regional Roll-up'!Q14</f>
        <v>4067277.979</v>
      </c>
      <c r="L29" s="93">
        <f>'RSED National'!P32+'RSED National'!P33+'Regional Roll-up'!R14</f>
        <v>6661167.699</v>
      </c>
      <c r="M29" s="93">
        <f>'RSED National'!Q32+'RSED National'!Q33+'Regional Roll-up'!S14</f>
        <v>10968047.31</v>
      </c>
      <c r="N29" s="93">
        <f>'RSED National'!R32+'RSED National'!R33+'Regional Roll-up'!T14</f>
        <v>18135331.54</v>
      </c>
      <c r="O29" s="93">
        <f>'RSED National'!S32+'RSED National'!S33+'Regional Roll-up'!U14</f>
        <v>30667928.9</v>
      </c>
      <c r="P29" s="93">
        <f>'RSED National'!T32+'RSED National'!T33+'Regional Roll-up'!V14</f>
        <v>48990468.59</v>
      </c>
      <c r="Q29" s="93">
        <f>'RSED National'!U32+'RSED National'!U33+'Regional Roll-up'!W14</f>
        <v>67316485.06</v>
      </c>
      <c r="R29" s="93">
        <f>'RSED National'!V32+'RSED National'!V33+'Regional Roll-up'!X14</f>
        <v>92463280.35</v>
      </c>
      <c r="S29" s="93">
        <f>'RSED National'!W32+'RSED National'!W33+'Regional Roll-up'!Y14</f>
        <v>128014148.5</v>
      </c>
      <c r="T29" s="93">
        <f>'RSED National'!X32+'RSED National'!X33+'Regional Roll-up'!Z14</f>
        <v>175054532.7</v>
      </c>
      <c r="U29" s="93">
        <f>'RSED National'!Y32+'RSED National'!Y33+'Regional Roll-up'!AA14</f>
        <v>249424474.7</v>
      </c>
      <c r="V29" s="93">
        <f>'RSED National'!Z32+'RSED National'!Z33+'Regional Roll-up'!AB14</f>
        <v>360447049.3</v>
      </c>
      <c r="W29" s="93">
        <f>'RSED National'!AA32+'RSED National'!AA33+'Regional Roll-up'!AC14</f>
        <v>507640985.6</v>
      </c>
      <c r="X29" s="93">
        <f>'RSED National'!AB32+'RSED National'!AB33+'Regional Roll-up'!AD14</f>
        <v>685954970.7</v>
      </c>
      <c r="Y29" s="93">
        <f>'RSED National'!AC32+'RSED National'!AC33+'Regional Roll-up'!AE14</f>
        <v>899528114.9</v>
      </c>
      <c r="Z29" s="93">
        <f>'RSED National'!AD32+'RSED National'!AD33+'Regional Roll-up'!AF14</f>
        <v>1145289837</v>
      </c>
      <c r="AA29" s="93">
        <f>'RSED National'!AE32+'RSED National'!AE33+'Regional Roll-up'!AG14</f>
        <v>1405957346</v>
      </c>
      <c r="AB29" s="93">
        <f>'RSED National'!AF32+'RSED National'!AF33+'Regional Roll-up'!AH14</f>
        <v>1644654448</v>
      </c>
      <c r="AC29" s="93">
        <f>'RSED National'!AG32+'RSED National'!AG33+'Regional Roll-up'!AI14</f>
        <v>1774682124</v>
      </c>
      <c r="AD29" s="93">
        <f>'RSED National'!AH32+'RSED National'!AH33+'Regional Roll-up'!AJ14</f>
        <v>1825180580</v>
      </c>
      <c r="AE29" s="93">
        <f>'RSED National'!AI32+'RSED National'!AI33+'Regional Roll-up'!AK14</f>
        <v>1860980112</v>
      </c>
      <c r="AF29" s="93">
        <f>'RSED National'!AJ32+'RSED National'!AJ33+'Regional Roll-up'!AL14</f>
        <v>1896142569</v>
      </c>
      <c r="AG29" s="93">
        <f>'RSED National'!AK32+'RSED National'!AK33+'Regional Roll-up'!AM14</f>
        <v>1932425718</v>
      </c>
      <c r="AH29" s="93">
        <f>'RSED National'!AL32+'RSED National'!AL33+'Regional Roll-up'!AN14</f>
        <v>1970003395</v>
      </c>
      <c r="AI29" s="93"/>
      <c r="AJ29" s="93"/>
      <c r="AK29" s="93"/>
      <c r="AL29" s="93"/>
    </row>
    <row r="30" ht="12.75" customHeight="1">
      <c r="B30" s="67"/>
      <c r="C30" s="64" t="s">
        <v>207</v>
      </c>
      <c r="H30" s="113"/>
      <c r="I30" s="93">
        <f>'RSED National'!M82+'Regional Roll-up'!O15+'Regional Roll-up'!O16</f>
        <v>2937746.007</v>
      </c>
      <c r="J30" s="93">
        <f>'RSED National'!N82+'Regional Roll-up'!P15+'Regional Roll-up'!P16</f>
        <v>3455255.847</v>
      </c>
      <c r="K30" s="93">
        <f>'RSED National'!O82+'Regional Roll-up'!Q15+'Regional Roll-up'!Q16</f>
        <v>3467943.424</v>
      </c>
      <c r="L30" s="93">
        <f>'RSED National'!P82+'Regional Roll-up'!R15+'Regional Roll-up'!R16</f>
        <v>3800000</v>
      </c>
      <c r="M30" s="93">
        <f>'RSED National'!Q82+'Regional Roll-up'!S15+'Regional Roll-up'!S16</f>
        <v>3500000</v>
      </c>
      <c r="N30" s="93">
        <f>'RSED National'!R82+'Regional Roll-up'!T15+'Regional Roll-up'!T16</f>
        <v>250000</v>
      </c>
      <c r="O30" s="93">
        <f>'RSED National'!S82+'Regional Roll-up'!U15+'Regional Roll-up'!U16</f>
        <v>0</v>
      </c>
      <c r="P30" s="93">
        <f>'RSED National'!T82+'Regional Roll-up'!V15+'Regional Roll-up'!V16</f>
        <v>0</v>
      </c>
      <c r="Q30" s="93">
        <f>'RSED National'!U82+'Regional Roll-up'!W15+'Regional Roll-up'!W16</f>
        <v>0</v>
      </c>
      <c r="R30" s="93">
        <f>'RSED National'!V82+'Regional Roll-up'!X15+'Regional Roll-up'!X16</f>
        <v>0</v>
      </c>
      <c r="S30" s="93">
        <f>'RSED National'!W82+'Regional Roll-up'!Y15+'Regional Roll-up'!Y16</f>
        <v>0</v>
      </c>
      <c r="T30" s="93">
        <f>'RSED National'!X82+'Regional Roll-up'!Z15+'Regional Roll-up'!Z16</f>
        <v>0</v>
      </c>
      <c r="U30" s="93">
        <f>'RSED National'!Y82+'Regional Roll-up'!AA15+'Regional Roll-up'!AA16</f>
        <v>0</v>
      </c>
      <c r="V30" s="93">
        <f>'RSED National'!Z82+'Regional Roll-up'!AB15+'Regional Roll-up'!AB16</f>
        <v>0</v>
      </c>
      <c r="W30" s="93">
        <f>'RSED National'!AA82+'Regional Roll-up'!AC15+'Regional Roll-up'!AC16</f>
        <v>0</v>
      </c>
      <c r="X30" s="93">
        <f>'RSED National'!AB82+'Regional Roll-up'!AD15+'Regional Roll-up'!AD16</f>
        <v>0</v>
      </c>
      <c r="Y30" s="93">
        <f>'RSED National'!AC82+'Regional Roll-up'!AE15+'Regional Roll-up'!AE16</f>
        <v>0</v>
      </c>
      <c r="Z30" s="93">
        <f>'RSED National'!AD82+'Regional Roll-up'!AF15+'Regional Roll-up'!AF16</f>
        <v>0</v>
      </c>
      <c r="AA30" s="93">
        <f>'RSED National'!AE82+'Regional Roll-up'!AG15+'Regional Roll-up'!AG16</f>
        <v>0</v>
      </c>
      <c r="AB30" s="93">
        <f>'RSED National'!AF82+'Regional Roll-up'!AH15+'Regional Roll-up'!AH16</f>
        <v>0</v>
      </c>
      <c r="AC30" s="93">
        <f>'RSED National'!AG82+'Regional Roll-up'!AI15+'Regional Roll-up'!AI16</f>
        <v>0</v>
      </c>
      <c r="AD30" s="93">
        <f>'RSED National'!AH82+'Regional Roll-up'!AJ15+'Regional Roll-up'!AJ16</f>
        <v>0</v>
      </c>
      <c r="AE30" s="93">
        <f>'RSED National'!AI82+'Regional Roll-up'!AK15+'Regional Roll-up'!AK16</f>
        <v>0</v>
      </c>
      <c r="AF30" s="93">
        <f>'RSED National'!AJ82+'Regional Roll-up'!AL15+'Regional Roll-up'!AL16</f>
        <v>0</v>
      </c>
      <c r="AG30" s="93">
        <f>'RSED National'!AK82+'Regional Roll-up'!AM15+'Regional Roll-up'!AM16</f>
        <v>0</v>
      </c>
      <c r="AH30" s="93">
        <f>'RSED National'!AL82+'Regional Roll-up'!AN15+'Regional Roll-up'!AN16</f>
        <v>0</v>
      </c>
      <c r="AI30" s="93"/>
      <c r="AJ30" s="93"/>
      <c r="AK30" s="93"/>
      <c r="AL30" s="93"/>
    </row>
    <row r="31" ht="12.75" customHeight="1">
      <c r="B31" s="67"/>
      <c r="C31" s="83" t="s">
        <v>208</v>
      </c>
      <c r="D31" s="87"/>
      <c r="E31" s="87"/>
      <c r="F31" s="87"/>
      <c r="G31" s="87"/>
      <c r="H31" s="117"/>
      <c r="I31" s="119">
        <f>'RSED National'!M84+'RSED National'!M86+'Regional Roll-up'!O17</f>
        <v>0</v>
      </c>
      <c r="J31" s="119">
        <f>'RSED National'!M84+'RSED National'!M86+'Regional Roll-up'!P17</f>
        <v>0</v>
      </c>
      <c r="K31" s="119">
        <f>'RSED National'!N84+'RSED National'!N86+'Regional Roll-up'!Q17</f>
        <v>0</v>
      </c>
      <c r="L31" s="119">
        <f>'RSED National'!O84+'RSED National'!O86+'Regional Roll-up'!R17</f>
        <v>0</v>
      </c>
      <c r="M31" s="119">
        <f>'RSED National'!P84+'RSED National'!P86+'Regional Roll-up'!S17</f>
        <v>0</v>
      </c>
      <c r="N31" s="119">
        <f>'RSED National'!Q84+'RSED National'!Q86+'Regional Roll-up'!T17</f>
        <v>0</v>
      </c>
      <c r="O31" s="119">
        <f>'RSED National'!R84+'RSED National'!R86+'Regional Roll-up'!U17</f>
        <v>0</v>
      </c>
      <c r="P31" s="119">
        <f>'RSED National'!S84+'RSED National'!S86+'Regional Roll-up'!V17</f>
        <v>0</v>
      </c>
      <c r="Q31" s="119">
        <f>'RSED National'!T84+'RSED National'!T86+'Regional Roll-up'!W17</f>
        <v>0</v>
      </c>
      <c r="R31" s="119">
        <f>'RSED National'!U84+'RSED National'!U86+'Regional Roll-up'!X17</f>
        <v>0</v>
      </c>
      <c r="S31" s="119">
        <f>'RSED National'!V84+'RSED National'!V86+'Regional Roll-up'!Y17</f>
        <v>0</v>
      </c>
      <c r="T31" s="119">
        <f>'RSED National'!W84+'RSED National'!W86+'Regional Roll-up'!Z17</f>
        <v>0</v>
      </c>
      <c r="U31" s="119">
        <f>'RSED National'!X84+'RSED National'!X86+'Regional Roll-up'!AA17</f>
        <v>0</v>
      </c>
      <c r="V31" s="119">
        <f>'RSED National'!Y84+'RSED National'!Y86+'Regional Roll-up'!AB17</f>
        <v>0</v>
      </c>
      <c r="W31" s="119">
        <f>'RSED National'!Z84+'RSED National'!Z86+'Regional Roll-up'!AC17</f>
        <v>0</v>
      </c>
      <c r="X31" s="119">
        <f>'RSED National'!AA84+'RSED National'!AA86+'Regional Roll-up'!AD17</f>
        <v>0</v>
      </c>
      <c r="Y31" s="119">
        <f>'RSED National'!AB84+'RSED National'!AB86+'Regional Roll-up'!AE17</f>
        <v>0</v>
      </c>
      <c r="Z31" s="119">
        <f>'RSED National'!AC84+'RSED National'!AC86+'Regional Roll-up'!AF17</f>
        <v>0</v>
      </c>
      <c r="AA31" s="119">
        <f>'RSED National'!AD84+'RSED National'!AD86+'Regional Roll-up'!AG17</f>
        <v>0</v>
      </c>
      <c r="AB31" s="119">
        <f>'RSED National'!AE84+'RSED National'!AE86+'Regional Roll-up'!AH17</f>
        <v>0</v>
      </c>
      <c r="AC31" s="119">
        <f>'RSED National'!AF84+'RSED National'!AF86+'Regional Roll-up'!AI17</f>
        <v>0</v>
      </c>
      <c r="AD31" s="119">
        <f>'RSED National'!AG84+'RSED National'!AG86+'Regional Roll-up'!AJ17</f>
        <v>0</v>
      </c>
      <c r="AE31" s="119">
        <f>'RSED National'!AH84+'RSED National'!AH86+'Regional Roll-up'!AK17</f>
        <v>0</v>
      </c>
      <c r="AF31" s="119">
        <f>'RSED National'!AI84+'RSED National'!AI86+'Regional Roll-up'!AL17</f>
        <v>0</v>
      </c>
      <c r="AG31" s="119">
        <f>'RSED National'!AJ84+'RSED National'!AJ86+'Regional Roll-up'!AM17</f>
        <v>0</v>
      </c>
      <c r="AH31" s="119">
        <f>'RSED National'!AK84+'RSED National'!AK86+'Regional Roll-up'!AN17</f>
        <v>0</v>
      </c>
      <c r="AI31" s="93"/>
      <c r="AJ31" s="93"/>
      <c r="AK31" s="93"/>
      <c r="AL31" s="93"/>
    </row>
    <row r="32" ht="12.75" customHeight="1">
      <c r="B32" s="67"/>
      <c r="C32" s="67" t="s">
        <v>209</v>
      </c>
      <c r="H32" s="113"/>
      <c r="I32" s="115">
        <f t="shared" ref="I32:AH32" si="10">SUM(I29:I31)</f>
        <v>4507349.038</v>
      </c>
      <c r="J32" s="115">
        <f t="shared" si="10"/>
        <v>5954737.078</v>
      </c>
      <c r="K32" s="115">
        <f t="shared" si="10"/>
        <v>7535221.403</v>
      </c>
      <c r="L32" s="115">
        <f t="shared" si="10"/>
        <v>10461167.7</v>
      </c>
      <c r="M32" s="115">
        <f t="shared" si="10"/>
        <v>14468047.31</v>
      </c>
      <c r="N32" s="115">
        <f t="shared" si="10"/>
        <v>18385331.54</v>
      </c>
      <c r="O32" s="115">
        <f t="shared" si="10"/>
        <v>30667928.9</v>
      </c>
      <c r="P32" s="115">
        <f t="shared" si="10"/>
        <v>48990468.59</v>
      </c>
      <c r="Q32" s="115">
        <f t="shared" si="10"/>
        <v>67316485.06</v>
      </c>
      <c r="R32" s="115">
        <f t="shared" si="10"/>
        <v>92463280.35</v>
      </c>
      <c r="S32" s="115">
        <f t="shared" si="10"/>
        <v>128014148.5</v>
      </c>
      <c r="T32" s="115">
        <f t="shared" si="10"/>
        <v>175054532.7</v>
      </c>
      <c r="U32" s="115">
        <f t="shared" si="10"/>
        <v>249424474.7</v>
      </c>
      <c r="V32" s="115">
        <f t="shared" si="10"/>
        <v>360447049.3</v>
      </c>
      <c r="W32" s="115">
        <f t="shared" si="10"/>
        <v>507640985.6</v>
      </c>
      <c r="X32" s="115">
        <f t="shared" si="10"/>
        <v>685954970.7</v>
      </c>
      <c r="Y32" s="115">
        <f t="shared" si="10"/>
        <v>899528114.9</v>
      </c>
      <c r="Z32" s="115">
        <f t="shared" si="10"/>
        <v>1145289837</v>
      </c>
      <c r="AA32" s="115">
        <f t="shared" si="10"/>
        <v>1405957346</v>
      </c>
      <c r="AB32" s="115">
        <f t="shared" si="10"/>
        <v>1644654448</v>
      </c>
      <c r="AC32" s="115">
        <f t="shared" si="10"/>
        <v>1774682124</v>
      </c>
      <c r="AD32" s="115">
        <f t="shared" si="10"/>
        <v>1825180580</v>
      </c>
      <c r="AE32" s="115">
        <f t="shared" si="10"/>
        <v>1860980112</v>
      </c>
      <c r="AF32" s="115">
        <f t="shared" si="10"/>
        <v>1896142569</v>
      </c>
      <c r="AG32" s="115">
        <f t="shared" si="10"/>
        <v>1932425718</v>
      </c>
      <c r="AH32" s="115">
        <f t="shared" si="10"/>
        <v>1970003395</v>
      </c>
      <c r="AI32" s="93"/>
      <c r="AJ32" s="93"/>
      <c r="AK32" s="93"/>
      <c r="AL32" s="93"/>
    </row>
    <row r="33" ht="12.75" customHeight="1">
      <c r="B33" s="67"/>
      <c r="C33" s="67"/>
      <c r="H33" s="113"/>
      <c r="I33" s="93"/>
      <c r="J33" s="93"/>
      <c r="K33" s="93"/>
      <c r="L33" s="93"/>
      <c r="M33" s="93"/>
      <c r="N33" s="93"/>
      <c r="O33" s="93"/>
      <c r="P33" s="93"/>
      <c r="Q33" s="93"/>
      <c r="R33" s="93"/>
      <c r="S33" s="93"/>
      <c r="T33" s="93"/>
      <c r="U33" s="93"/>
      <c r="V33" s="93"/>
      <c r="W33" s="93"/>
      <c r="X33" s="93"/>
      <c r="Y33" s="93"/>
      <c r="Z33" s="93"/>
      <c r="AA33" s="93"/>
      <c r="AB33" s="93"/>
      <c r="AC33" s="93"/>
      <c r="AD33" s="93"/>
      <c r="AE33" s="93"/>
      <c r="AF33" s="93"/>
      <c r="AG33" s="93"/>
      <c r="AH33" s="93"/>
      <c r="AI33" s="93"/>
      <c r="AJ33" s="93"/>
      <c r="AK33" s="93"/>
      <c r="AL33" s="93"/>
    </row>
    <row r="34" ht="12.75" customHeight="1">
      <c r="B34" s="67"/>
      <c r="C34" s="67" t="s">
        <v>178</v>
      </c>
      <c r="H34" s="113"/>
      <c r="I34" s="115" t="str">
        <f>'RSED National'!M41+'Regional Roll-up'!O25</f>
        <v>#REF!</v>
      </c>
      <c r="J34" s="115" t="str">
        <f>'RSED National'!N41+'Regional Roll-up'!P25</f>
        <v>#REF!</v>
      </c>
      <c r="K34" s="115" t="str">
        <f>'RSED National'!O41+'Regional Roll-up'!Q25</f>
        <v>#REF!</v>
      </c>
      <c r="L34" s="115" t="str">
        <f>'RSED National'!P41+'Regional Roll-up'!R25</f>
        <v>#REF!</v>
      </c>
      <c r="M34" s="115" t="str">
        <f>'RSED National'!Q41+'Regional Roll-up'!S25</f>
        <v>#REF!</v>
      </c>
      <c r="N34" s="115" t="str">
        <f>'RSED National'!R41+'Regional Roll-up'!T25</f>
        <v>#REF!</v>
      </c>
      <c r="O34" s="115" t="str">
        <f>'RSED National'!S41+'Regional Roll-up'!U25</f>
        <v>#REF!</v>
      </c>
      <c r="P34" s="115" t="str">
        <f>'RSED National'!T41+'Regional Roll-up'!V25</f>
        <v>#REF!</v>
      </c>
      <c r="Q34" s="115" t="str">
        <f>'RSED National'!U41+'Regional Roll-up'!W25</f>
        <v>#REF!</v>
      </c>
      <c r="R34" s="115" t="str">
        <f>'RSED National'!V41+'Regional Roll-up'!X25</f>
        <v>#REF!</v>
      </c>
      <c r="S34" s="115" t="str">
        <f>'RSED National'!W41+'Regional Roll-up'!Y25</f>
        <v>#REF!</v>
      </c>
      <c r="T34" s="115" t="str">
        <f>'RSED National'!X41+'Regional Roll-up'!Z25</f>
        <v>#REF!</v>
      </c>
      <c r="U34" s="115" t="str">
        <f>'RSED National'!Y41+'Regional Roll-up'!AA25</f>
        <v>#REF!</v>
      </c>
      <c r="V34" s="115" t="str">
        <f>'RSED National'!Z41+'Regional Roll-up'!AB25</f>
        <v>#REF!</v>
      </c>
      <c r="W34" s="115" t="str">
        <f>'RSED National'!AA41+'Regional Roll-up'!AC25</f>
        <v>#REF!</v>
      </c>
      <c r="X34" s="115" t="str">
        <f>'RSED National'!AB41+'Regional Roll-up'!AD25</f>
        <v>#REF!</v>
      </c>
      <c r="Y34" s="115" t="str">
        <f>'RSED National'!AC41+'Regional Roll-up'!AE25</f>
        <v>#REF!</v>
      </c>
      <c r="Z34" s="115" t="str">
        <f>'RSED National'!AD41+'Regional Roll-up'!AF25</f>
        <v>#REF!</v>
      </c>
      <c r="AA34" s="115" t="str">
        <f>'RSED National'!AE41+'Regional Roll-up'!AG25</f>
        <v>#REF!</v>
      </c>
      <c r="AB34" s="115" t="str">
        <f>'RSED National'!AF41+'Regional Roll-up'!AH25</f>
        <v>#REF!</v>
      </c>
      <c r="AC34" s="115" t="str">
        <f>'RSED National'!AG41+'Regional Roll-up'!AI25</f>
        <v>#REF!</v>
      </c>
      <c r="AD34" s="115" t="str">
        <f>'RSED National'!AH41+'Regional Roll-up'!AJ25</f>
        <v>#REF!</v>
      </c>
      <c r="AE34" s="115" t="str">
        <f>'RSED National'!AI41+'Regional Roll-up'!AK25</f>
        <v>#REF!</v>
      </c>
      <c r="AF34" s="115" t="str">
        <f>'RSED National'!AJ41+'Regional Roll-up'!AL25</f>
        <v>#REF!</v>
      </c>
      <c r="AG34" s="115" t="str">
        <f>'RSED National'!AK41+'Regional Roll-up'!AM25</f>
        <v>#REF!</v>
      </c>
      <c r="AH34" s="115" t="str">
        <f>'RSED National'!AL41+'Regional Roll-up'!AN25</f>
        <v>#REF!</v>
      </c>
      <c r="AI34" s="93"/>
      <c r="AJ34" s="93"/>
      <c r="AK34" s="93"/>
      <c r="AL34" s="93"/>
    </row>
    <row r="35" ht="12.75" customHeight="1">
      <c r="B35" s="67"/>
      <c r="C35" s="67"/>
      <c r="H35" s="113"/>
      <c r="I35" s="93"/>
      <c r="J35" s="93"/>
      <c r="K35" s="93"/>
      <c r="L35" s="93"/>
      <c r="M35" s="93"/>
      <c r="N35" s="93"/>
      <c r="O35" s="93"/>
      <c r="P35" s="93"/>
      <c r="Q35" s="93"/>
      <c r="R35" s="93"/>
      <c r="S35" s="93"/>
      <c r="T35" s="93"/>
      <c r="U35" s="93"/>
      <c r="V35" s="93"/>
      <c r="W35" s="93"/>
      <c r="X35" s="93"/>
      <c r="Y35" s="93"/>
      <c r="Z35" s="93"/>
      <c r="AA35" s="93"/>
      <c r="AB35" s="93"/>
      <c r="AC35" s="93"/>
      <c r="AD35" s="93"/>
      <c r="AE35" s="93"/>
      <c r="AF35" s="93"/>
      <c r="AG35" s="93"/>
      <c r="AH35" s="93"/>
      <c r="AI35" s="93"/>
      <c r="AJ35" s="93"/>
      <c r="AK35" s="93"/>
      <c r="AL35" s="93"/>
    </row>
    <row r="36" ht="12.75" customHeight="1" outlineLevel="1">
      <c r="A36" s="120"/>
      <c r="B36" s="120" t="s">
        <v>194</v>
      </c>
      <c r="C36" s="120"/>
      <c r="D36" s="120"/>
      <c r="E36" s="120"/>
      <c r="F36" s="120"/>
      <c r="G36" s="120"/>
      <c r="H36" s="121" t="str">
        <f t="shared" ref="H36:H37" si="13">H95</f>
        <v>#REF!</v>
      </c>
      <c r="I36" s="122" t="str">
        <f t="shared" ref="I36:AH36" si="11">I95+I106</f>
        <v>#REF!</v>
      </c>
      <c r="J36" s="122" t="str">
        <f t="shared" si="11"/>
        <v>#REF!</v>
      </c>
      <c r="K36" s="122" t="str">
        <f t="shared" si="11"/>
        <v>#REF!</v>
      </c>
      <c r="L36" s="122" t="str">
        <f t="shared" si="11"/>
        <v>#REF!</v>
      </c>
      <c r="M36" s="122" t="str">
        <f t="shared" si="11"/>
        <v>#REF!</v>
      </c>
      <c r="N36" s="122" t="str">
        <f t="shared" si="11"/>
        <v>#REF!</v>
      </c>
      <c r="O36" s="122" t="str">
        <f t="shared" si="11"/>
        <v>#REF!</v>
      </c>
      <c r="P36" s="122" t="str">
        <f t="shared" si="11"/>
        <v>#REF!</v>
      </c>
      <c r="Q36" s="122" t="str">
        <f t="shared" si="11"/>
        <v>#REF!</v>
      </c>
      <c r="R36" s="122" t="str">
        <f t="shared" si="11"/>
        <v>#REF!</v>
      </c>
      <c r="S36" s="122" t="str">
        <f t="shared" si="11"/>
        <v>#REF!</v>
      </c>
      <c r="T36" s="122" t="str">
        <f t="shared" si="11"/>
        <v>#REF!</v>
      </c>
      <c r="U36" s="122" t="str">
        <f t="shared" si="11"/>
        <v>#REF!</v>
      </c>
      <c r="V36" s="122" t="str">
        <f t="shared" si="11"/>
        <v>#REF!</v>
      </c>
      <c r="W36" s="122" t="str">
        <f t="shared" si="11"/>
        <v>#REF!</v>
      </c>
      <c r="X36" s="122" t="str">
        <f t="shared" si="11"/>
        <v>#REF!</v>
      </c>
      <c r="Y36" s="122" t="str">
        <f t="shared" si="11"/>
        <v>#REF!</v>
      </c>
      <c r="Z36" s="122" t="str">
        <f t="shared" si="11"/>
        <v>#REF!</v>
      </c>
      <c r="AA36" s="122" t="str">
        <f t="shared" si="11"/>
        <v>#REF!</v>
      </c>
      <c r="AB36" s="122" t="str">
        <f t="shared" si="11"/>
        <v>#REF!</v>
      </c>
      <c r="AC36" s="122" t="str">
        <f t="shared" si="11"/>
        <v>#REF!</v>
      </c>
      <c r="AD36" s="122" t="str">
        <f t="shared" si="11"/>
        <v>#REF!</v>
      </c>
      <c r="AE36" s="122" t="str">
        <f t="shared" si="11"/>
        <v>#REF!</v>
      </c>
      <c r="AF36" s="122" t="str">
        <f t="shared" si="11"/>
        <v>#REF!</v>
      </c>
      <c r="AG36" s="122" t="str">
        <f t="shared" si="11"/>
        <v>#REF!</v>
      </c>
      <c r="AH36" s="122" t="str">
        <f t="shared" si="11"/>
        <v>#REF!</v>
      </c>
      <c r="AI36" s="122" t="str">
        <f t="shared" ref="AI36:AL36" si="12">AI95</f>
        <v>#REF!</v>
      </c>
      <c r="AJ36" s="122" t="str">
        <f t="shared" si="12"/>
        <v>#REF!</v>
      </c>
      <c r="AK36" s="122" t="str">
        <f t="shared" si="12"/>
        <v>#REF!</v>
      </c>
      <c r="AL36" s="122" t="str">
        <f t="shared" si="12"/>
        <v>#REF!</v>
      </c>
      <c r="AM36" s="120"/>
      <c r="AN36" s="120"/>
      <c r="AO36" s="120"/>
      <c r="AP36" s="120"/>
      <c r="AQ36" s="120"/>
      <c r="AR36" s="120"/>
      <c r="AS36" s="120"/>
      <c r="AT36" s="120"/>
      <c r="AU36" s="120"/>
      <c r="AV36" s="120"/>
      <c r="AW36" s="120"/>
      <c r="AX36" s="120"/>
      <c r="AY36" s="120"/>
    </row>
    <row r="37" ht="12.75" customHeight="1" outlineLevel="1">
      <c r="A37" s="120"/>
      <c r="B37" s="120" t="s">
        <v>195</v>
      </c>
      <c r="C37" s="120"/>
      <c r="D37" s="120"/>
      <c r="E37" s="120"/>
      <c r="F37" s="120"/>
      <c r="G37" s="120"/>
      <c r="H37" s="121" t="str">
        <f t="shared" si="13"/>
        <v>#REF!</v>
      </c>
      <c r="I37" s="122" t="str">
        <f t="shared" ref="I37:AH37" si="14">I96+I107</f>
        <v>#REF!</v>
      </c>
      <c r="J37" s="122" t="str">
        <f t="shared" si="14"/>
        <v>#REF!</v>
      </c>
      <c r="K37" s="122" t="str">
        <f t="shared" si="14"/>
        <v>#REF!</v>
      </c>
      <c r="L37" s="122" t="str">
        <f t="shared" si="14"/>
        <v>#REF!</v>
      </c>
      <c r="M37" s="122" t="str">
        <f t="shared" si="14"/>
        <v>#REF!</v>
      </c>
      <c r="N37" s="122" t="str">
        <f t="shared" si="14"/>
        <v>#REF!</v>
      </c>
      <c r="O37" s="122" t="str">
        <f t="shared" si="14"/>
        <v>#REF!</v>
      </c>
      <c r="P37" s="122" t="str">
        <f t="shared" si="14"/>
        <v>#REF!</v>
      </c>
      <c r="Q37" s="122" t="str">
        <f t="shared" si="14"/>
        <v>#REF!</v>
      </c>
      <c r="R37" s="122" t="str">
        <f t="shared" si="14"/>
        <v>#REF!</v>
      </c>
      <c r="S37" s="122" t="str">
        <f t="shared" si="14"/>
        <v>#REF!</v>
      </c>
      <c r="T37" s="122" t="str">
        <f t="shared" si="14"/>
        <v>#REF!</v>
      </c>
      <c r="U37" s="122" t="str">
        <f t="shared" si="14"/>
        <v>#REF!</v>
      </c>
      <c r="V37" s="122" t="str">
        <f t="shared" si="14"/>
        <v>#REF!</v>
      </c>
      <c r="W37" s="122" t="str">
        <f t="shared" si="14"/>
        <v>#REF!</v>
      </c>
      <c r="X37" s="122" t="str">
        <f t="shared" si="14"/>
        <v>#REF!</v>
      </c>
      <c r="Y37" s="122" t="str">
        <f t="shared" si="14"/>
        <v>#REF!</v>
      </c>
      <c r="Z37" s="122" t="str">
        <f t="shared" si="14"/>
        <v>#REF!</v>
      </c>
      <c r="AA37" s="122" t="str">
        <f t="shared" si="14"/>
        <v>#REF!</v>
      </c>
      <c r="AB37" s="122" t="str">
        <f t="shared" si="14"/>
        <v>#REF!</v>
      </c>
      <c r="AC37" s="122" t="str">
        <f t="shared" si="14"/>
        <v>#REF!</v>
      </c>
      <c r="AD37" s="122" t="str">
        <f t="shared" si="14"/>
        <v>#REF!</v>
      </c>
      <c r="AE37" s="122" t="str">
        <f t="shared" si="14"/>
        <v>#REF!</v>
      </c>
      <c r="AF37" s="122" t="str">
        <f t="shared" si="14"/>
        <v>#REF!</v>
      </c>
      <c r="AG37" s="122" t="str">
        <f t="shared" si="14"/>
        <v>#REF!</v>
      </c>
      <c r="AH37" s="122" t="str">
        <f t="shared" si="14"/>
        <v>#REF!</v>
      </c>
      <c r="AI37" s="122" t="str">
        <f t="shared" ref="AI37:AL37" si="15">AI96</f>
        <v>#REF!</v>
      </c>
      <c r="AJ37" s="122" t="str">
        <f t="shared" si="15"/>
        <v>#REF!</v>
      </c>
      <c r="AK37" s="122" t="str">
        <f t="shared" si="15"/>
        <v>#REF!</v>
      </c>
      <c r="AL37" s="122" t="str">
        <f t="shared" si="15"/>
        <v>#REF!</v>
      </c>
      <c r="AM37" s="120"/>
      <c r="AN37" s="120"/>
      <c r="AO37" s="120"/>
      <c r="AP37" s="120"/>
      <c r="AQ37" s="120"/>
      <c r="AR37" s="120"/>
      <c r="AS37" s="120"/>
      <c r="AT37" s="120"/>
      <c r="AU37" s="120"/>
      <c r="AV37" s="120"/>
      <c r="AW37" s="120"/>
      <c r="AX37" s="120"/>
      <c r="AY37" s="120"/>
    </row>
    <row r="38" ht="12.75" customHeight="1" outlineLevel="1">
      <c r="A38" s="120"/>
      <c r="B38" s="120" t="s">
        <v>196</v>
      </c>
      <c r="C38" s="120"/>
      <c r="D38" s="120"/>
      <c r="E38" s="120"/>
      <c r="F38" s="120"/>
      <c r="G38" s="120"/>
      <c r="H38" s="121" t="str">
        <f>H100</f>
        <v>#REF!</v>
      </c>
      <c r="I38" s="122" t="str">
        <f t="shared" ref="I38:AH38" si="16">I100+I111</f>
        <v>#REF!</v>
      </c>
      <c r="J38" s="122" t="str">
        <f t="shared" si="16"/>
        <v>#REF!</v>
      </c>
      <c r="K38" s="122" t="str">
        <f t="shared" si="16"/>
        <v>#REF!</v>
      </c>
      <c r="L38" s="122" t="str">
        <f t="shared" si="16"/>
        <v>#REF!</v>
      </c>
      <c r="M38" s="122" t="str">
        <f t="shared" si="16"/>
        <v>#REF!</v>
      </c>
      <c r="N38" s="122" t="str">
        <f t="shared" si="16"/>
        <v>#REF!</v>
      </c>
      <c r="O38" s="122" t="str">
        <f t="shared" si="16"/>
        <v>#REF!</v>
      </c>
      <c r="P38" s="122" t="str">
        <f t="shared" si="16"/>
        <v>#REF!</v>
      </c>
      <c r="Q38" s="122" t="str">
        <f t="shared" si="16"/>
        <v>#REF!</v>
      </c>
      <c r="R38" s="122" t="str">
        <f t="shared" si="16"/>
        <v>#REF!</v>
      </c>
      <c r="S38" s="122" t="str">
        <f t="shared" si="16"/>
        <v>#REF!</v>
      </c>
      <c r="T38" s="122" t="str">
        <f t="shared" si="16"/>
        <v>#REF!</v>
      </c>
      <c r="U38" s="122" t="str">
        <f t="shared" si="16"/>
        <v>#REF!</v>
      </c>
      <c r="V38" s="122" t="str">
        <f t="shared" si="16"/>
        <v>#REF!</v>
      </c>
      <c r="W38" s="122" t="str">
        <f t="shared" si="16"/>
        <v>#REF!</v>
      </c>
      <c r="X38" s="122" t="str">
        <f t="shared" si="16"/>
        <v>#REF!</v>
      </c>
      <c r="Y38" s="122" t="str">
        <f t="shared" si="16"/>
        <v>#REF!</v>
      </c>
      <c r="Z38" s="122" t="str">
        <f t="shared" si="16"/>
        <v>#REF!</v>
      </c>
      <c r="AA38" s="122" t="str">
        <f t="shared" si="16"/>
        <v>#REF!</v>
      </c>
      <c r="AB38" s="122" t="str">
        <f t="shared" si="16"/>
        <v>#REF!</v>
      </c>
      <c r="AC38" s="122" t="str">
        <f t="shared" si="16"/>
        <v>#REF!</v>
      </c>
      <c r="AD38" s="122" t="str">
        <f t="shared" si="16"/>
        <v>#REF!</v>
      </c>
      <c r="AE38" s="122" t="str">
        <f t="shared" si="16"/>
        <v>#REF!</v>
      </c>
      <c r="AF38" s="122" t="str">
        <f t="shared" si="16"/>
        <v>#REF!</v>
      </c>
      <c r="AG38" s="122" t="str">
        <f t="shared" si="16"/>
        <v>#REF!</v>
      </c>
      <c r="AH38" s="122" t="str">
        <f t="shared" si="16"/>
        <v>#REF!</v>
      </c>
      <c r="AI38" s="122" t="str">
        <f t="shared" ref="AI38:AL38" si="17">AI100</f>
        <v>#REF!</v>
      </c>
      <c r="AJ38" s="122" t="str">
        <f t="shared" si="17"/>
        <v>#REF!</v>
      </c>
      <c r="AK38" s="122" t="str">
        <f t="shared" si="17"/>
        <v>#REF!</v>
      </c>
      <c r="AL38" s="122" t="str">
        <f t="shared" si="17"/>
        <v>#REF!</v>
      </c>
      <c r="AM38" s="120"/>
      <c r="AN38" s="120"/>
      <c r="AO38" s="120"/>
      <c r="AP38" s="120"/>
      <c r="AQ38" s="120"/>
      <c r="AR38" s="120"/>
      <c r="AS38" s="120"/>
      <c r="AT38" s="120"/>
      <c r="AU38" s="120"/>
      <c r="AV38" s="120"/>
      <c r="AW38" s="120"/>
      <c r="AX38" s="120"/>
      <c r="AY38" s="120"/>
    </row>
    <row r="39" ht="14.25" customHeight="1">
      <c r="H39" s="113"/>
      <c r="I39" s="93"/>
      <c r="J39" s="93"/>
      <c r="K39" s="93"/>
      <c r="L39" s="93"/>
      <c r="M39" s="93"/>
      <c r="N39" s="93"/>
      <c r="O39" s="93"/>
      <c r="P39" s="93"/>
      <c r="Q39" s="93"/>
      <c r="R39" s="93"/>
      <c r="S39" s="93"/>
      <c r="T39" s="93"/>
      <c r="U39" s="93"/>
      <c r="V39" s="93"/>
      <c r="W39" s="93"/>
      <c r="X39" s="93"/>
      <c r="Y39" s="93"/>
      <c r="Z39" s="93"/>
      <c r="AA39" s="93"/>
      <c r="AB39" s="93"/>
      <c r="AC39" s="93"/>
      <c r="AD39" s="93"/>
      <c r="AE39" s="93"/>
      <c r="AF39" s="93"/>
      <c r="AG39" s="93"/>
      <c r="AH39" s="93"/>
      <c r="AI39" s="93"/>
      <c r="AJ39" s="93"/>
      <c r="AK39" s="93"/>
      <c r="AL39" s="93"/>
    </row>
    <row r="40" ht="14.25" customHeight="1">
      <c r="A40" s="108" t="s">
        <v>210</v>
      </c>
      <c r="B40" s="109"/>
      <c r="C40" s="109"/>
      <c r="D40" s="109"/>
      <c r="E40" s="110"/>
      <c r="F40" s="110"/>
      <c r="G40" s="111"/>
      <c r="H40" s="111"/>
      <c r="I40" s="112"/>
      <c r="J40" s="112"/>
      <c r="K40" s="112"/>
      <c r="L40" s="112"/>
      <c r="M40" s="112"/>
      <c r="N40" s="112"/>
      <c r="O40" s="112"/>
      <c r="P40" s="112"/>
      <c r="Q40" s="112"/>
      <c r="R40" s="112"/>
      <c r="S40" s="112"/>
      <c r="T40" s="112"/>
      <c r="U40" s="112"/>
      <c r="V40" s="112"/>
      <c r="W40" s="112"/>
      <c r="X40" s="112"/>
      <c r="Y40" s="112"/>
      <c r="Z40" s="112"/>
      <c r="AA40" s="112"/>
      <c r="AB40" s="112"/>
      <c r="AC40" s="112"/>
      <c r="AD40" s="112"/>
      <c r="AE40" s="112"/>
      <c r="AF40" s="112"/>
      <c r="AG40" s="112"/>
      <c r="AH40" s="112"/>
      <c r="AI40" s="112"/>
      <c r="AJ40" s="112"/>
      <c r="AK40" s="112"/>
      <c r="AL40" s="112"/>
      <c r="AM40" s="67"/>
      <c r="AN40" s="67"/>
      <c r="AO40" s="67"/>
      <c r="AP40" s="67"/>
      <c r="AQ40" s="67"/>
      <c r="AR40" s="67"/>
      <c r="AS40" s="67"/>
      <c r="AT40" s="67"/>
      <c r="AU40" s="67"/>
      <c r="AV40" s="67"/>
      <c r="AW40" s="67"/>
      <c r="AX40" s="67"/>
      <c r="AY40" s="67"/>
    </row>
    <row r="41" ht="14.25" customHeight="1">
      <c r="A41" s="90"/>
      <c r="E41" s="123"/>
      <c r="F41" s="123"/>
      <c r="G41" s="99"/>
      <c r="H41" s="99"/>
      <c r="I41" s="93"/>
      <c r="J41" s="93"/>
      <c r="K41" s="93"/>
      <c r="L41" s="93"/>
      <c r="M41" s="93"/>
      <c r="N41" s="93"/>
      <c r="O41" s="93"/>
      <c r="P41" s="93"/>
      <c r="Q41" s="93"/>
      <c r="R41" s="93"/>
      <c r="S41" s="93"/>
      <c r="T41" s="93"/>
      <c r="U41" s="93"/>
      <c r="V41" s="93"/>
      <c r="W41" s="93"/>
      <c r="X41" s="93"/>
      <c r="Y41" s="93"/>
      <c r="Z41" s="93"/>
      <c r="AA41" s="93"/>
      <c r="AB41" s="93"/>
      <c r="AC41" s="93"/>
      <c r="AD41" s="93"/>
      <c r="AE41" s="93"/>
      <c r="AF41" s="93"/>
      <c r="AG41" s="93"/>
      <c r="AH41" s="93"/>
      <c r="AI41" s="93"/>
      <c r="AJ41" s="93"/>
      <c r="AK41" s="93"/>
      <c r="AL41" s="93"/>
    </row>
    <row r="42" ht="14.25" customHeight="1">
      <c r="A42" s="90"/>
      <c r="B42" s="67" t="s">
        <v>205</v>
      </c>
      <c r="E42" s="123"/>
      <c r="F42" s="123"/>
      <c r="G42" s="99"/>
      <c r="H42" s="99"/>
      <c r="I42" s="93"/>
      <c r="J42" s="93"/>
      <c r="K42" s="93"/>
      <c r="L42" s="93"/>
      <c r="M42" s="93"/>
      <c r="N42" s="93"/>
      <c r="O42" s="93"/>
      <c r="P42" s="93"/>
      <c r="Q42" s="93"/>
      <c r="R42" s="93"/>
      <c r="S42" s="93"/>
      <c r="T42" s="93"/>
      <c r="U42" s="93"/>
      <c r="V42" s="93"/>
      <c r="W42" s="93"/>
      <c r="X42" s="93"/>
      <c r="Y42" s="93"/>
      <c r="Z42" s="93"/>
      <c r="AA42" s="93"/>
      <c r="AB42" s="93"/>
      <c r="AC42" s="93"/>
      <c r="AD42" s="93"/>
      <c r="AE42" s="93"/>
      <c r="AF42" s="93"/>
      <c r="AG42" s="93"/>
      <c r="AH42" s="93"/>
      <c r="AI42" s="93"/>
      <c r="AJ42" s="93"/>
      <c r="AK42" s="93"/>
      <c r="AL42" s="93"/>
    </row>
    <row r="43" ht="14.25" customHeight="1">
      <c r="A43" s="90"/>
      <c r="B43" s="64" t="s">
        <v>211</v>
      </c>
      <c r="C43" s="90"/>
      <c r="D43" s="90"/>
      <c r="E43" s="123"/>
      <c r="F43" s="123"/>
      <c r="G43" s="99">
        <f t="shared" ref="G43:H43" si="18">G73+G93+G104</f>
        <v>4497227.12</v>
      </c>
      <c r="H43" s="99" t="str">
        <f t="shared" si="18"/>
        <v>#REF!</v>
      </c>
      <c r="I43" s="93">
        <f>'All Schools Roll-up'!M25+'All Schools Roll-up'!M26+'All Schools Roll-up'!M27</f>
        <v>10328844.92</v>
      </c>
      <c r="J43" s="93">
        <f>'All Schools Roll-up'!N25+'All Schools Roll-up'!N26+'All Schools Roll-up'!N27</f>
        <v>17121906.93</v>
      </c>
      <c r="K43" s="93">
        <f>'All Schools Roll-up'!O25+'All Schools Roll-up'!O26+'All Schools Roll-up'!O27</f>
        <v>27898894.36</v>
      </c>
      <c r="L43" s="93">
        <f>'All Schools Roll-up'!P25+'All Schools Roll-up'!P26+'All Schools Roll-up'!P27</f>
        <v>46094885.11</v>
      </c>
      <c r="M43" s="93">
        <f>'All Schools Roll-up'!Q25+'All Schools Roll-up'!Q26+'All Schools Roll-up'!Q27</f>
        <v>75919176.93</v>
      </c>
      <c r="N43" s="93">
        <f>'All Schools Roll-up'!R25+'All Schools Roll-up'!R26+'All Schools Roll-up'!R27</f>
        <v>125510940.5</v>
      </c>
      <c r="O43" s="93">
        <f>'All Schools Roll-up'!S25+'All Schools Roll-up'!S26+'All Schools Roll-up'!S27</f>
        <v>211696635.8</v>
      </c>
      <c r="P43" s="93">
        <f>'All Schools Roll-up'!T25+'All Schools Roll-up'!T26+'All Schools Roll-up'!T27</f>
        <v>345359496.6</v>
      </c>
      <c r="Q43" s="93">
        <f>'All Schools Roll-up'!U25+'All Schools Roll-up'!U26+'All Schools Roll-up'!U27</f>
        <v>526430241.8</v>
      </c>
      <c r="R43" s="93">
        <f>'All Schools Roll-up'!V25+'All Schools Roll-up'!V26+'All Schools Roll-up'!V27</f>
        <v>726368610</v>
      </c>
      <c r="S43" s="93">
        <f>'All Schools Roll-up'!W25+'All Schools Roll-up'!W26+'All Schools Roll-up'!W27</f>
        <v>1009920994</v>
      </c>
      <c r="T43" s="93">
        <f>'All Schools Roll-up'!X25+'All Schools Roll-up'!X26+'All Schools Roll-up'!X27</f>
        <v>1377489397</v>
      </c>
      <c r="U43" s="93">
        <f>'All Schools Roll-up'!Y25+'All Schools Roll-up'!Y26+'All Schools Roll-up'!Y27</f>
        <v>1999111967</v>
      </c>
      <c r="V43" s="93">
        <f>'All Schools Roll-up'!Z25+'All Schools Roll-up'!Z26+'All Schools Roll-up'!Z27</f>
        <v>2871773330</v>
      </c>
      <c r="W43" s="93">
        <f>'All Schools Roll-up'!AA25+'All Schools Roll-up'!AA26+'All Schools Roll-up'!AA27</f>
        <v>4000577229</v>
      </c>
      <c r="X43" s="93">
        <f>'All Schools Roll-up'!AB25+'All Schools Roll-up'!AB26+'All Schools Roll-up'!AB27</f>
        <v>5335969872</v>
      </c>
      <c r="Y43" s="93">
        <f>'All Schools Roll-up'!AC25+'All Schools Roll-up'!AC26+'All Schools Roll-up'!AC27</f>
        <v>6947824739</v>
      </c>
      <c r="Z43" s="93">
        <f>'All Schools Roll-up'!AD25+'All Schools Roll-up'!AD26+'All Schools Roll-up'!AD27</f>
        <v>8752308496</v>
      </c>
      <c r="AA43" s="93">
        <f>'All Schools Roll-up'!AE25+'All Schools Roll-up'!AE26+'All Schools Roll-up'!AE27</f>
        <v>10607555708</v>
      </c>
      <c r="AB43" s="93">
        <f>'All Schools Roll-up'!AF25+'All Schools Roll-up'!AF26+'All Schools Roll-up'!AF27</f>
        <v>12171304954</v>
      </c>
      <c r="AC43" s="93">
        <f>'All Schools Roll-up'!AG25+'All Schools Roll-up'!AG26+'All Schools Roll-up'!AG27</f>
        <v>12760639949</v>
      </c>
      <c r="AD43" s="93">
        <f>'All Schools Roll-up'!AH25+'All Schools Roll-up'!AH26+'All Schools Roll-up'!AH27</f>
        <v>13080712337</v>
      </c>
      <c r="AE43" s="93">
        <f>'All Schools Roll-up'!AI25+'All Schools Roll-up'!AI26+'All Schools Roll-up'!AI27</f>
        <v>13338788996</v>
      </c>
      <c r="AF43" s="93">
        <f>'All Schools Roll-up'!AJ25+'All Schools Roll-up'!AJ26+'All Schools Roll-up'!AJ27</f>
        <v>13591847101</v>
      </c>
      <c r="AG43" s="93">
        <f>'All Schools Roll-up'!AK25+'All Schools Roll-up'!AK26+'All Schools Roll-up'!AK27</f>
        <v>13852749320</v>
      </c>
      <c r="AH43" s="93">
        <f>'All Schools Roll-up'!AL25+'All Schools Roll-up'!AL26+'All Schools Roll-up'!AL27</f>
        <v>14122662018</v>
      </c>
      <c r="AI43" s="93">
        <f t="shared" ref="AI43:AL43" si="19">AI73+AI93+AI104</f>
        <v>16410595463</v>
      </c>
      <c r="AJ43" s="93">
        <f t="shared" si="19"/>
        <v>16738371315</v>
      </c>
      <c r="AK43" s="93" t="str">
        <f t="shared" si="19"/>
        <v>#REF!</v>
      </c>
      <c r="AL43" s="93" t="str">
        <f t="shared" si="19"/>
        <v>#REF!</v>
      </c>
      <c r="AM43" s="90"/>
      <c r="AN43" s="90"/>
      <c r="AO43" s="90"/>
      <c r="AP43" s="90"/>
      <c r="AQ43" s="90"/>
      <c r="AR43" s="90"/>
      <c r="AS43" s="90"/>
      <c r="AT43" s="90"/>
      <c r="AU43" s="90"/>
      <c r="AV43" s="90"/>
      <c r="AW43" s="90"/>
      <c r="AX43" s="90"/>
      <c r="AY43" s="90"/>
    </row>
    <row r="44" ht="14.25" hidden="1" customHeight="1">
      <c r="A44" s="90"/>
      <c r="B44" s="64" t="s">
        <v>206</v>
      </c>
      <c r="C44" s="90"/>
      <c r="D44" s="90"/>
      <c r="E44" s="123"/>
      <c r="F44" s="123"/>
      <c r="G44" s="99"/>
      <c r="H44" s="99"/>
      <c r="I44" s="93">
        <f>'RSED National'!M32+'RSED National'!M33+'Regional Roll-up'!O14</f>
        <v>1569603.03</v>
      </c>
      <c r="J44" s="93">
        <f>'RSED National'!N32+'RSED National'!N33+'Regional Roll-up'!P14</f>
        <v>2499481.231</v>
      </c>
      <c r="K44" s="93">
        <f>'RSED National'!O32+'RSED National'!O33+'Regional Roll-up'!Q14</f>
        <v>4067277.979</v>
      </c>
      <c r="L44" s="93">
        <f>'RSED National'!P32+'RSED National'!P33+'Regional Roll-up'!R14</f>
        <v>6661167.699</v>
      </c>
      <c r="M44" s="93">
        <f>'RSED National'!Q32+'RSED National'!Q33+'Regional Roll-up'!S14</f>
        <v>10968047.31</v>
      </c>
      <c r="N44" s="93">
        <f>'RSED National'!R32+'RSED National'!R33+'Regional Roll-up'!T14</f>
        <v>18135331.54</v>
      </c>
      <c r="O44" s="93">
        <f>'RSED National'!S32+'RSED National'!S33+'Regional Roll-up'!U14</f>
        <v>30667928.9</v>
      </c>
      <c r="P44" s="93">
        <f>'RSED National'!T32+'RSED National'!T33+'Regional Roll-up'!V14</f>
        <v>48990468.59</v>
      </c>
      <c r="Q44" s="93">
        <f>'RSED National'!U32+'RSED National'!U33+'Regional Roll-up'!W14</f>
        <v>67316485.06</v>
      </c>
      <c r="R44" s="93">
        <f>'RSED National'!V32+'RSED National'!V33+'Regional Roll-up'!X14</f>
        <v>92463280.35</v>
      </c>
      <c r="S44" s="93">
        <f>'RSED National'!W32+'RSED National'!W33+'Regional Roll-up'!Y14</f>
        <v>128014148.5</v>
      </c>
      <c r="T44" s="93">
        <f>'RSED National'!X32+'RSED National'!X33+'Regional Roll-up'!Z14</f>
        <v>175054532.7</v>
      </c>
      <c r="U44" s="93">
        <f>'RSED National'!Y32+'RSED National'!Y33+'Regional Roll-up'!AA14</f>
        <v>249424474.7</v>
      </c>
      <c r="V44" s="93">
        <f>'RSED National'!Z32+'RSED National'!Z33+'Regional Roll-up'!AB14</f>
        <v>360447049.3</v>
      </c>
      <c r="W44" s="93">
        <f>'RSED National'!AA32+'RSED National'!AA33+'Regional Roll-up'!AC14</f>
        <v>507640985.6</v>
      </c>
      <c r="X44" s="93">
        <f>'RSED National'!AB32+'RSED National'!AB33+'Regional Roll-up'!AD14</f>
        <v>685954970.7</v>
      </c>
      <c r="Y44" s="93">
        <f>'RSED National'!AC32+'RSED National'!AC33+'Regional Roll-up'!AE14</f>
        <v>899528114.9</v>
      </c>
      <c r="Z44" s="93">
        <f>'RSED National'!AD32+'RSED National'!AD33+'Regional Roll-up'!AF14</f>
        <v>1145289837</v>
      </c>
      <c r="AA44" s="93">
        <f>'RSED National'!AE32+'RSED National'!AE33+'Regional Roll-up'!AG14</f>
        <v>1405957346</v>
      </c>
      <c r="AB44" s="93">
        <f>'RSED National'!AF32+'RSED National'!AF33+'Regional Roll-up'!AH14</f>
        <v>1644654448</v>
      </c>
      <c r="AC44" s="93">
        <f>'RSED National'!AG32+'RSED National'!AG33+'Regional Roll-up'!AI14</f>
        <v>1774682124</v>
      </c>
      <c r="AD44" s="93">
        <f>'RSED National'!AH32+'RSED National'!AH33+'Regional Roll-up'!AJ14</f>
        <v>1825180580</v>
      </c>
      <c r="AE44" s="93">
        <f>'RSED National'!AI32+'RSED National'!AI33+'Regional Roll-up'!AK14</f>
        <v>1860980112</v>
      </c>
      <c r="AF44" s="93">
        <f>'RSED National'!AJ32+'RSED National'!AJ33+'Regional Roll-up'!AL14</f>
        <v>1896142569</v>
      </c>
      <c r="AG44" s="93">
        <f>'RSED National'!AK32+'RSED National'!AK33+'Regional Roll-up'!AM14</f>
        <v>1932425718</v>
      </c>
      <c r="AH44" s="93">
        <f>'RSED National'!AL32+'RSED National'!AL33+'Regional Roll-up'!AN14</f>
        <v>1970003395</v>
      </c>
      <c r="AI44" s="93"/>
      <c r="AJ44" s="93"/>
      <c r="AK44" s="93"/>
      <c r="AL44" s="93"/>
      <c r="AM44" s="90"/>
      <c r="AN44" s="90"/>
      <c r="AO44" s="90"/>
      <c r="AP44" s="90"/>
      <c r="AQ44" s="90"/>
      <c r="AR44" s="90"/>
      <c r="AS44" s="90"/>
      <c r="AT44" s="90"/>
      <c r="AU44" s="90"/>
      <c r="AV44" s="90"/>
      <c r="AW44" s="90"/>
      <c r="AX44" s="90"/>
      <c r="AY44" s="90"/>
    </row>
    <row r="45" ht="14.25" customHeight="1">
      <c r="A45" s="90"/>
      <c r="B45" s="83" t="s">
        <v>212</v>
      </c>
      <c r="C45" s="87"/>
      <c r="D45" s="87"/>
      <c r="E45" s="124"/>
      <c r="F45" s="124"/>
      <c r="G45" s="125"/>
      <c r="H45" s="125"/>
      <c r="I45" s="119">
        <f>'RSED National'!M34+'Regional Roll-up'!O15+'All Schools Roll-up'!M28+'Regional Roll-up'!O16</f>
        <v>3572745.917</v>
      </c>
      <c r="J45" s="119">
        <f>'RSED National'!N34+'Regional Roll-up'!P15+'All Schools Roll-up'!N28+'Regional Roll-up'!P16</f>
        <v>4205255.847</v>
      </c>
      <c r="K45" s="119">
        <f>'RSED National'!O34+'Regional Roll-up'!Q15+'All Schools Roll-up'!O28+'Regional Roll-up'!Q16</f>
        <v>4467943.424</v>
      </c>
      <c r="L45" s="119">
        <f>'RSED National'!P34+'Regional Roll-up'!R15+'All Schools Roll-up'!P28+'Regional Roll-up'!R16</f>
        <v>5050000</v>
      </c>
      <c r="M45" s="119">
        <f>'RSED National'!Q34+'Regional Roll-up'!S15+'All Schools Roll-up'!Q28+'Regional Roll-up'!S16</f>
        <v>5500000</v>
      </c>
      <c r="N45" s="119">
        <f>'RSED National'!R34+'Regional Roll-up'!T15+'All Schools Roll-up'!R28+'Regional Roll-up'!T16</f>
        <v>3500000</v>
      </c>
      <c r="O45" s="119">
        <f>'RSED National'!S34+'Regional Roll-up'!U15+'All Schools Roll-up'!S28+'Regional Roll-up'!U16</f>
        <v>5500000</v>
      </c>
      <c r="P45" s="119">
        <f>'RSED National'!T34+'Regional Roll-up'!V15+'All Schools Roll-up'!T28+'Regional Roll-up'!V16</f>
        <v>8500000</v>
      </c>
      <c r="Q45" s="119">
        <f>'RSED National'!U34+'Regional Roll-up'!W15+'All Schools Roll-up'!U28+'Regional Roll-up'!W16</f>
        <v>2500000</v>
      </c>
      <c r="R45" s="119">
        <f>'RSED National'!V34+'Regional Roll-up'!X15+'All Schools Roll-up'!V28+'Regional Roll-up'!X16</f>
        <v>0</v>
      </c>
      <c r="S45" s="119">
        <f>'RSED National'!W34+'Regional Roll-up'!Y15+'All Schools Roll-up'!W28+'Regional Roll-up'!Y16</f>
        <v>0</v>
      </c>
      <c r="T45" s="119">
        <f>'RSED National'!X34+'Regional Roll-up'!Z15+'All Schools Roll-up'!X28+'Regional Roll-up'!Z16</f>
        <v>0</v>
      </c>
      <c r="U45" s="119">
        <f>'RSED National'!Y34+'Regional Roll-up'!AA15+'All Schools Roll-up'!Y28+'Regional Roll-up'!AA16</f>
        <v>0</v>
      </c>
      <c r="V45" s="119">
        <f>'RSED National'!Z34+'Regional Roll-up'!AB15+'All Schools Roll-up'!Z28+'Regional Roll-up'!AB16</f>
        <v>0</v>
      </c>
      <c r="W45" s="119">
        <f>'RSED National'!AA34+'Regional Roll-up'!AC15+'All Schools Roll-up'!AA28+'Regional Roll-up'!AC16</f>
        <v>0</v>
      </c>
      <c r="X45" s="119">
        <f>'RSED National'!AB34+'Regional Roll-up'!AD15+'All Schools Roll-up'!AB28+'Regional Roll-up'!AD16</f>
        <v>0</v>
      </c>
      <c r="Y45" s="119">
        <f>'RSED National'!AC34+'Regional Roll-up'!AE15+'All Schools Roll-up'!AC28+'Regional Roll-up'!AE16</f>
        <v>0</v>
      </c>
      <c r="Z45" s="119">
        <f>'RSED National'!AD34+'Regional Roll-up'!AF15+'All Schools Roll-up'!AD28+'Regional Roll-up'!AF16</f>
        <v>0</v>
      </c>
      <c r="AA45" s="119">
        <f>'RSED National'!AE34+'Regional Roll-up'!AG15+'All Schools Roll-up'!AE28+'Regional Roll-up'!AG16</f>
        <v>0</v>
      </c>
      <c r="AB45" s="119">
        <f>'RSED National'!AF34+'Regional Roll-up'!AH15+'All Schools Roll-up'!AF28+'Regional Roll-up'!AH16</f>
        <v>0</v>
      </c>
      <c r="AC45" s="119">
        <f>'RSED National'!AG34+'Regional Roll-up'!AI15+'All Schools Roll-up'!AG28+'Regional Roll-up'!AI16</f>
        <v>0</v>
      </c>
      <c r="AD45" s="119">
        <f>'RSED National'!AH34+'Regional Roll-up'!AJ15+'All Schools Roll-up'!AH28+'Regional Roll-up'!AJ16</f>
        <v>0</v>
      </c>
      <c r="AE45" s="119">
        <f>'RSED National'!AI34+'Regional Roll-up'!AK15+'All Schools Roll-up'!AI28+'Regional Roll-up'!AK16</f>
        <v>0</v>
      </c>
      <c r="AF45" s="119">
        <f>'RSED National'!AJ34+'Regional Roll-up'!AL15+'All Schools Roll-up'!AJ28+'Regional Roll-up'!AL16</f>
        <v>0</v>
      </c>
      <c r="AG45" s="119">
        <f>'RSED National'!AK34+'Regional Roll-up'!AM15+'All Schools Roll-up'!AK28+'Regional Roll-up'!AM16</f>
        <v>0</v>
      </c>
      <c r="AH45" s="119">
        <f>'RSED National'!AL34+'Regional Roll-up'!AN15+'All Schools Roll-up'!AL28+'Regional Roll-up'!AN16</f>
        <v>0</v>
      </c>
      <c r="AI45" s="93"/>
      <c r="AJ45" s="93"/>
      <c r="AK45" s="93"/>
      <c r="AL45" s="93"/>
      <c r="AM45" s="90"/>
      <c r="AN45" s="90"/>
      <c r="AO45" s="90"/>
      <c r="AP45" s="90"/>
      <c r="AQ45" s="90"/>
      <c r="AR45" s="90"/>
      <c r="AS45" s="90"/>
      <c r="AT45" s="90"/>
      <c r="AU45" s="90"/>
      <c r="AV45" s="90"/>
      <c r="AW45" s="90"/>
      <c r="AX45" s="90"/>
      <c r="AY45" s="90"/>
    </row>
    <row r="46" ht="14.25" customHeight="1">
      <c r="A46" s="90"/>
      <c r="B46" s="90" t="s">
        <v>209</v>
      </c>
      <c r="C46" s="90"/>
      <c r="D46" s="90"/>
      <c r="E46" s="123"/>
      <c r="F46" s="123"/>
      <c r="G46" s="99"/>
      <c r="H46" s="99"/>
      <c r="I46" s="93">
        <f t="shared" ref="I46:AH46" si="20">I45+I43</f>
        <v>13901590.84</v>
      </c>
      <c r="J46" s="93">
        <f t="shared" si="20"/>
        <v>21327162.78</v>
      </c>
      <c r="K46" s="93">
        <f t="shared" si="20"/>
        <v>32366837.78</v>
      </c>
      <c r="L46" s="93">
        <f t="shared" si="20"/>
        <v>51144885.11</v>
      </c>
      <c r="M46" s="93">
        <f t="shared" si="20"/>
        <v>81419176.93</v>
      </c>
      <c r="N46" s="93">
        <f t="shared" si="20"/>
        <v>129010940.5</v>
      </c>
      <c r="O46" s="93">
        <f t="shared" si="20"/>
        <v>217196635.8</v>
      </c>
      <c r="P46" s="93">
        <f t="shared" si="20"/>
        <v>353859496.6</v>
      </c>
      <c r="Q46" s="93">
        <f t="shared" si="20"/>
        <v>528930241.8</v>
      </c>
      <c r="R46" s="93">
        <f t="shared" si="20"/>
        <v>726368610</v>
      </c>
      <c r="S46" s="93">
        <f t="shared" si="20"/>
        <v>1009920994</v>
      </c>
      <c r="T46" s="93">
        <f t="shared" si="20"/>
        <v>1377489397</v>
      </c>
      <c r="U46" s="93">
        <f t="shared" si="20"/>
        <v>1999111967</v>
      </c>
      <c r="V46" s="93">
        <f t="shared" si="20"/>
        <v>2871773330</v>
      </c>
      <c r="W46" s="93">
        <f t="shared" si="20"/>
        <v>4000577229</v>
      </c>
      <c r="X46" s="93">
        <f t="shared" si="20"/>
        <v>5335969872</v>
      </c>
      <c r="Y46" s="93">
        <f t="shared" si="20"/>
        <v>6947824739</v>
      </c>
      <c r="Z46" s="93">
        <f t="shared" si="20"/>
        <v>8752308496</v>
      </c>
      <c r="AA46" s="93">
        <f t="shared" si="20"/>
        <v>10607555708</v>
      </c>
      <c r="AB46" s="93">
        <f t="shared" si="20"/>
        <v>12171304954</v>
      </c>
      <c r="AC46" s="93">
        <f t="shared" si="20"/>
        <v>12760639949</v>
      </c>
      <c r="AD46" s="93">
        <f t="shared" si="20"/>
        <v>13080712337</v>
      </c>
      <c r="AE46" s="93">
        <f t="shared" si="20"/>
        <v>13338788996</v>
      </c>
      <c r="AF46" s="93">
        <f t="shared" si="20"/>
        <v>13591847101</v>
      </c>
      <c r="AG46" s="93">
        <f t="shared" si="20"/>
        <v>13852749320</v>
      </c>
      <c r="AH46" s="93">
        <f t="shared" si="20"/>
        <v>14122662018</v>
      </c>
      <c r="AI46" s="93"/>
      <c r="AJ46" s="93"/>
      <c r="AK46" s="93"/>
      <c r="AL46" s="93"/>
      <c r="AM46" s="90"/>
      <c r="AN46" s="90"/>
      <c r="AO46" s="90"/>
      <c r="AP46" s="90"/>
      <c r="AQ46" s="90"/>
      <c r="AR46" s="90"/>
      <c r="AS46" s="90"/>
      <c r="AT46" s="90"/>
      <c r="AU46" s="90"/>
      <c r="AV46" s="90"/>
      <c r="AW46" s="90"/>
      <c r="AX46" s="90"/>
      <c r="AY46" s="90"/>
    </row>
    <row r="47" ht="14.25" customHeight="1">
      <c r="A47" s="90"/>
      <c r="B47" s="90"/>
      <c r="C47" s="90"/>
      <c r="D47" s="90"/>
      <c r="E47" s="123"/>
      <c r="F47" s="123"/>
      <c r="G47" s="99"/>
      <c r="H47" s="99"/>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93"/>
      <c r="AI47" s="93"/>
      <c r="AJ47" s="93"/>
      <c r="AK47" s="93"/>
      <c r="AL47" s="93"/>
      <c r="AM47" s="90"/>
      <c r="AN47" s="90"/>
      <c r="AO47" s="90"/>
      <c r="AP47" s="90"/>
      <c r="AQ47" s="90"/>
      <c r="AR47" s="90"/>
      <c r="AS47" s="90"/>
      <c r="AT47" s="90"/>
      <c r="AU47" s="90"/>
      <c r="AV47" s="90"/>
      <c r="AW47" s="90"/>
      <c r="AX47" s="90"/>
      <c r="AY47" s="90"/>
    </row>
    <row r="48" ht="14.25" customHeight="1">
      <c r="A48" s="90"/>
      <c r="B48" s="90" t="s">
        <v>213</v>
      </c>
      <c r="C48" s="90"/>
      <c r="D48" s="90"/>
      <c r="E48" s="123"/>
      <c r="F48" s="123"/>
      <c r="G48" s="99">
        <f t="shared" ref="G48:H48" si="21">G80+G94+G105</f>
        <v>4010622.01</v>
      </c>
      <c r="H48" s="99" t="str">
        <f t="shared" si="21"/>
        <v>#REF!</v>
      </c>
      <c r="I48" s="93" t="str">
        <f t="shared" ref="I48:AB48" si="22">I80+I94+I105-I44</f>
        <v>#REF!</v>
      </c>
      <c r="J48" s="93" t="str">
        <f t="shared" si="22"/>
        <v>#REF!</v>
      </c>
      <c r="K48" s="93" t="str">
        <f t="shared" si="22"/>
        <v>#REF!</v>
      </c>
      <c r="L48" s="93" t="str">
        <f t="shared" si="22"/>
        <v>#REF!</v>
      </c>
      <c r="M48" s="93" t="str">
        <f t="shared" si="22"/>
        <v>#REF!</v>
      </c>
      <c r="N48" s="93" t="str">
        <f t="shared" si="22"/>
        <v>#REF!</v>
      </c>
      <c r="O48" s="93" t="str">
        <f t="shared" si="22"/>
        <v>#REF!</v>
      </c>
      <c r="P48" s="93" t="str">
        <f t="shared" si="22"/>
        <v>#REF!</v>
      </c>
      <c r="Q48" s="93" t="str">
        <f t="shared" si="22"/>
        <v>#REF!</v>
      </c>
      <c r="R48" s="93" t="str">
        <f t="shared" si="22"/>
        <v>#REF!</v>
      </c>
      <c r="S48" s="93" t="str">
        <f t="shared" si="22"/>
        <v>#REF!</v>
      </c>
      <c r="T48" s="93" t="str">
        <f t="shared" si="22"/>
        <v>#REF!</v>
      </c>
      <c r="U48" s="93" t="str">
        <f t="shared" si="22"/>
        <v>#REF!</v>
      </c>
      <c r="V48" s="93" t="str">
        <f t="shared" si="22"/>
        <v>#REF!</v>
      </c>
      <c r="W48" s="93" t="str">
        <f t="shared" si="22"/>
        <v>#REF!</v>
      </c>
      <c r="X48" s="93" t="str">
        <f t="shared" si="22"/>
        <v>#REF!</v>
      </c>
      <c r="Y48" s="93" t="str">
        <f t="shared" si="22"/>
        <v>#REF!</v>
      </c>
      <c r="Z48" s="93" t="str">
        <f t="shared" si="22"/>
        <v>#REF!</v>
      </c>
      <c r="AA48" s="93" t="str">
        <f t="shared" si="22"/>
        <v>#REF!</v>
      </c>
      <c r="AB48" s="93" t="str">
        <f t="shared" si="22"/>
        <v>#REF!</v>
      </c>
      <c r="AC48" s="93">
        <f>AC47+AC45</f>
        <v>0</v>
      </c>
      <c r="AD48" s="93" t="str">
        <f t="shared" ref="AD48:AH48" si="23">AD80+AD94+AD105-AD44</f>
        <v>#REF!</v>
      </c>
      <c r="AE48" s="93" t="str">
        <f t="shared" si="23"/>
        <v>#REF!</v>
      </c>
      <c r="AF48" s="93" t="str">
        <f t="shared" si="23"/>
        <v>#REF!</v>
      </c>
      <c r="AG48" s="93" t="str">
        <f t="shared" si="23"/>
        <v>#REF!</v>
      </c>
      <c r="AH48" s="93" t="str">
        <f t="shared" si="23"/>
        <v>#REF!</v>
      </c>
      <c r="AI48" s="93" t="str">
        <f t="shared" ref="AI48:AL48" si="24">AI80+AI94+AI105</f>
        <v>#REF!</v>
      </c>
      <c r="AJ48" s="93" t="str">
        <f t="shared" si="24"/>
        <v>#REF!</v>
      </c>
      <c r="AK48" s="93" t="str">
        <f t="shared" si="24"/>
        <v>#REF!</v>
      </c>
      <c r="AL48" s="93" t="str">
        <f t="shared" si="24"/>
        <v>#REF!</v>
      </c>
      <c r="AM48" s="90"/>
      <c r="AN48" s="90"/>
      <c r="AO48" s="90"/>
      <c r="AP48" s="90"/>
      <c r="AQ48" s="90"/>
      <c r="AR48" s="90"/>
      <c r="AS48" s="90"/>
      <c r="AT48" s="90"/>
      <c r="AU48" s="90"/>
      <c r="AV48" s="90"/>
      <c r="AW48" s="90"/>
      <c r="AX48" s="90"/>
      <c r="AY48" s="90"/>
    </row>
    <row r="49" ht="14.25" customHeight="1">
      <c r="A49" s="67"/>
      <c r="B49" s="126" t="s">
        <v>214</v>
      </c>
      <c r="C49" s="126"/>
      <c r="D49" s="126"/>
      <c r="E49" s="127"/>
      <c r="F49" s="127"/>
      <c r="G49" s="128">
        <f t="shared" ref="G49:H49" si="25">G43-G48</f>
        <v>486605.11</v>
      </c>
      <c r="H49" s="129" t="str">
        <f t="shared" si="25"/>
        <v>#REF!</v>
      </c>
      <c r="I49" s="130" t="str">
        <f t="shared" ref="I49:AH49" si="26">I46-I48</f>
        <v>#REF!</v>
      </c>
      <c r="J49" s="130" t="str">
        <f t="shared" si="26"/>
        <v>#REF!</v>
      </c>
      <c r="K49" s="130" t="str">
        <f t="shared" si="26"/>
        <v>#REF!</v>
      </c>
      <c r="L49" s="130" t="str">
        <f t="shared" si="26"/>
        <v>#REF!</v>
      </c>
      <c r="M49" s="130" t="str">
        <f t="shared" si="26"/>
        <v>#REF!</v>
      </c>
      <c r="N49" s="130" t="str">
        <f t="shared" si="26"/>
        <v>#REF!</v>
      </c>
      <c r="O49" s="130" t="str">
        <f t="shared" si="26"/>
        <v>#REF!</v>
      </c>
      <c r="P49" s="130" t="str">
        <f t="shared" si="26"/>
        <v>#REF!</v>
      </c>
      <c r="Q49" s="130" t="str">
        <f t="shared" si="26"/>
        <v>#REF!</v>
      </c>
      <c r="R49" s="130" t="str">
        <f t="shared" si="26"/>
        <v>#REF!</v>
      </c>
      <c r="S49" s="130" t="str">
        <f t="shared" si="26"/>
        <v>#REF!</v>
      </c>
      <c r="T49" s="130" t="str">
        <f t="shared" si="26"/>
        <v>#REF!</v>
      </c>
      <c r="U49" s="130" t="str">
        <f t="shared" si="26"/>
        <v>#REF!</v>
      </c>
      <c r="V49" s="130" t="str">
        <f t="shared" si="26"/>
        <v>#REF!</v>
      </c>
      <c r="W49" s="130" t="str">
        <f t="shared" si="26"/>
        <v>#REF!</v>
      </c>
      <c r="X49" s="130" t="str">
        <f t="shared" si="26"/>
        <v>#REF!</v>
      </c>
      <c r="Y49" s="130" t="str">
        <f t="shared" si="26"/>
        <v>#REF!</v>
      </c>
      <c r="Z49" s="130" t="str">
        <f t="shared" si="26"/>
        <v>#REF!</v>
      </c>
      <c r="AA49" s="130" t="str">
        <f t="shared" si="26"/>
        <v>#REF!</v>
      </c>
      <c r="AB49" s="130" t="str">
        <f t="shared" si="26"/>
        <v>#REF!</v>
      </c>
      <c r="AC49" s="130">
        <f t="shared" si="26"/>
        <v>12760639949</v>
      </c>
      <c r="AD49" s="130" t="str">
        <f t="shared" si="26"/>
        <v>#REF!</v>
      </c>
      <c r="AE49" s="130" t="str">
        <f t="shared" si="26"/>
        <v>#REF!</v>
      </c>
      <c r="AF49" s="130" t="str">
        <f t="shared" si="26"/>
        <v>#REF!</v>
      </c>
      <c r="AG49" s="130" t="str">
        <f t="shared" si="26"/>
        <v>#REF!</v>
      </c>
      <c r="AH49" s="130" t="str">
        <f t="shared" si="26"/>
        <v>#REF!</v>
      </c>
      <c r="AI49" s="130" t="str">
        <f t="shared" ref="AI49:AL49" si="27">AI43-AI48</f>
        <v>#REF!</v>
      </c>
      <c r="AJ49" s="130" t="str">
        <f t="shared" si="27"/>
        <v>#REF!</v>
      </c>
      <c r="AK49" s="130" t="str">
        <f t="shared" si="27"/>
        <v>#REF!</v>
      </c>
      <c r="AL49" s="130" t="str">
        <f t="shared" si="27"/>
        <v>#REF!</v>
      </c>
      <c r="AM49" s="67"/>
      <c r="AN49" s="67"/>
      <c r="AO49" s="67"/>
      <c r="AP49" s="67"/>
      <c r="AQ49" s="67"/>
      <c r="AR49" s="67"/>
      <c r="AS49" s="67"/>
      <c r="AT49" s="67"/>
      <c r="AU49" s="67"/>
      <c r="AV49" s="67"/>
      <c r="AW49" s="67"/>
      <c r="AX49" s="67"/>
      <c r="AY49" s="67"/>
    </row>
    <row r="50" ht="14.25" customHeight="1">
      <c r="A50" s="90"/>
      <c r="C50" s="67" t="s">
        <v>195</v>
      </c>
      <c r="E50" s="123"/>
      <c r="F50" s="123"/>
      <c r="G50" s="79">
        <f t="shared" ref="G50:AL50" si="28">G107+G96+G82</f>
        <v>481766.11</v>
      </c>
      <c r="H50" s="79" t="str">
        <f t="shared" si="28"/>
        <v>#REF!</v>
      </c>
      <c r="I50" s="115" t="str">
        <f t="shared" si="28"/>
        <v>#REF!</v>
      </c>
      <c r="J50" s="115" t="str">
        <f t="shared" si="28"/>
        <v>#REF!</v>
      </c>
      <c r="K50" s="115" t="str">
        <f t="shared" si="28"/>
        <v>#REF!</v>
      </c>
      <c r="L50" s="115" t="str">
        <f t="shared" si="28"/>
        <v>#REF!</v>
      </c>
      <c r="M50" s="115" t="str">
        <f t="shared" si="28"/>
        <v>#REF!</v>
      </c>
      <c r="N50" s="115" t="str">
        <f t="shared" si="28"/>
        <v>#REF!</v>
      </c>
      <c r="O50" s="115" t="str">
        <f t="shared" si="28"/>
        <v>#REF!</v>
      </c>
      <c r="P50" s="115" t="str">
        <f t="shared" si="28"/>
        <v>#REF!</v>
      </c>
      <c r="Q50" s="115" t="str">
        <f t="shared" si="28"/>
        <v>#REF!</v>
      </c>
      <c r="R50" s="115" t="str">
        <f t="shared" si="28"/>
        <v>#REF!</v>
      </c>
      <c r="S50" s="115" t="str">
        <f t="shared" si="28"/>
        <v>#REF!</v>
      </c>
      <c r="T50" s="115" t="str">
        <f t="shared" si="28"/>
        <v>#REF!</v>
      </c>
      <c r="U50" s="115" t="str">
        <f t="shared" si="28"/>
        <v>#REF!</v>
      </c>
      <c r="V50" s="115" t="str">
        <f t="shared" si="28"/>
        <v>#REF!</v>
      </c>
      <c r="W50" s="115" t="str">
        <f t="shared" si="28"/>
        <v>#REF!</v>
      </c>
      <c r="X50" s="115" t="str">
        <f t="shared" si="28"/>
        <v>#REF!</v>
      </c>
      <c r="Y50" s="115" t="str">
        <f t="shared" si="28"/>
        <v>#REF!</v>
      </c>
      <c r="Z50" s="115" t="str">
        <f t="shared" si="28"/>
        <v>#REF!</v>
      </c>
      <c r="AA50" s="115" t="str">
        <f t="shared" si="28"/>
        <v>#REF!</v>
      </c>
      <c r="AB50" s="115" t="str">
        <f t="shared" si="28"/>
        <v>#REF!</v>
      </c>
      <c r="AC50" s="115" t="str">
        <f t="shared" si="28"/>
        <v>#REF!</v>
      </c>
      <c r="AD50" s="115" t="str">
        <f t="shared" si="28"/>
        <v>#REF!</v>
      </c>
      <c r="AE50" s="115" t="str">
        <f t="shared" si="28"/>
        <v>#REF!</v>
      </c>
      <c r="AF50" s="115" t="str">
        <f t="shared" si="28"/>
        <v>#REF!</v>
      </c>
      <c r="AG50" s="115" t="str">
        <f t="shared" si="28"/>
        <v>#REF!</v>
      </c>
      <c r="AH50" s="115" t="str">
        <f t="shared" si="28"/>
        <v>#REF!</v>
      </c>
      <c r="AI50" s="115" t="str">
        <f t="shared" si="28"/>
        <v>#REF!</v>
      </c>
      <c r="AJ50" s="115" t="str">
        <f t="shared" si="28"/>
        <v>#REF!</v>
      </c>
      <c r="AK50" s="115" t="str">
        <f t="shared" si="28"/>
        <v>#REF!</v>
      </c>
      <c r="AL50" s="115" t="str">
        <f t="shared" si="28"/>
        <v>#REF!</v>
      </c>
    </row>
    <row r="51" ht="14.25" customHeight="1">
      <c r="A51" s="90"/>
      <c r="E51" s="123"/>
      <c r="F51" s="123"/>
      <c r="G51" s="99"/>
      <c r="H51" s="99"/>
      <c r="I51" s="93"/>
      <c r="J51" s="93"/>
      <c r="K51" s="93"/>
      <c r="L51" s="93"/>
      <c r="M51" s="93"/>
      <c r="N51" s="93"/>
      <c r="O51" s="93"/>
      <c r="P51" s="93"/>
      <c r="Q51" s="93"/>
      <c r="R51" s="93"/>
      <c r="S51" s="93"/>
      <c r="T51" s="93"/>
      <c r="U51" s="93"/>
      <c r="V51" s="93"/>
      <c r="W51" s="93"/>
      <c r="X51" s="93"/>
      <c r="Y51" s="93"/>
      <c r="Z51" s="93"/>
      <c r="AA51" s="93"/>
      <c r="AB51" s="93"/>
      <c r="AC51" s="93"/>
      <c r="AD51" s="93"/>
      <c r="AE51" s="93"/>
      <c r="AF51" s="93"/>
      <c r="AG51" s="93"/>
      <c r="AH51" s="93"/>
      <c r="AI51" s="93"/>
      <c r="AJ51" s="93"/>
      <c r="AK51" s="93"/>
      <c r="AL51" s="93"/>
    </row>
    <row r="52" ht="14.25" hidden="1" customHeight="1" outlineLevel="1">
      <c r="A52" s="90"/>
      <c r="B52" s="90" t="s">
        <v>215</v>
      </c>
      <c r="C52" s="90"/>
      <c r="D52" s="90"/>
      <c r="E52" s="123"/>
      <c r="F52" s="123"/>
      <c r="G52" s="99">
        <f t="shared" ref="G52:AL52" si="29">G109+G98+G84</f>
        <v>2363389.7</v>
      </c>
      <c r="H52" s="99" t="str">
        <f t="shared" si="29"/>
        <v>#REF!</v>
      </c>
      <c r="I52" s="93" t="str">
        <f t="shared" si="29"/>
        <v>#REF!</v>
      </c>
      <c r="J52" s="93" t="str">
        <f t="shared" si="29"/>
        <v>#REF!</v>
      </c>
      <c r="K52" s="93" t="str">
        <f t="shared" si="29"/>
        <v>#REF!</v>
      </c>
      <c r="L52" s="93" t="str">
        <f t="shared" si="29"/>
        <v>#REF!</v>
      </c>
      <c r="M52" s="93" t="str">
        <f t="shared" si="29"/>
        <v>#REF!</v>
      </c>
      <c r="N52" s="93" t="str">
        <f t="shared" si="29"/>
        <v>#REF!</v>
      </c>
      <c r="O52" s="93" t="str">
        <f t="shared" si="29"/>
        <v>#REF!</v>
      </c>
      <c r="P52" s="93" t="str">
        <f t="shared" si="29"/>
        <v>#REF!</v>
      </c>
      <c r="Q52" s="93" t="str">
        <f t="shared" si="29"/>
        <v>#REF!</v>
      </c>
      <c r="R52" s="93" t="str">
        <f t="shared" si="29"/>
        <v>#REF!</v>
      </c>
      <c r="S52" s="93" t="str">
        <f t="shared" si="29"/>
        <v>#REF!</v>
      </c>
      <c r="T52" s="93" t="str">
        <f t="shared" si="29"/>
        <v>#REF!</v>
      </c>
      <c r="U52" s="93" t="str">
        <f t="shared" si="29"/>
        <v>#REF!</v>
      </c>
      <c r="V52" s="93" t="str">
        <f t="shared" si="29"/>
        <v>#REF!</v>
      </c>
      <c r="W52" s="93" t="str">
        <f t="shared" si="29"/>
        <v>#REF!</v>
      </c>
      <c r="X52" s="93" t="str">
        <f t="shared" si="29"/>
        <v>#REF!</v>
      </c>
      <c r="Y52" s="93" t="str">
        <f t="shared" si="29"/>
        <v>#REF!</v>
      </c>
      <c r="Z52" s="93" t="str">
        <f t="shared" si="29"/>
        <v>#REF!</v>
      </c>
      <c r="AA52" s="93" t="str">
        <f t="shared" si="29"/>
        <v>#REF!</v>
      </c>
      <c r="AB52" s="93" t="str">
        <f t="shared" si="29"/>
        <v>#REF!</v>
      </c>
      <c r="AC52" s="93" t="str">
        <f t="shared" si="29"/>
        <v>#REF!</v>
      </c>
      <c r="AD52" s="93" t="str">
        <f t="shared" si="29"/>
        <v>#REF!</v>
      </c>
      <c r="AE52" s="93" t="str">
        <f t="shared" si="29"/>
        <v>#REF!</v>
      </c>
      <c r="AF52" s="93" t="str">
        <f t="shared" si="29"/>
        <v>#REF!</v>
      </c>
      <c r="AG52" s="93" t="str">
        <f t="shared" si="29"/>
        <v>#REF!</v>
      </c>
      <c r="AH52" s="93" t="str">
        <f t="shared" si="29"/>
        <v>#REF!</v>
      </c>
      <c r="AI52" s="93" t="str">
        <f t="shared" si="29"/>
        <v>#REF!</v>
      </c>
      <c r="AJ52" s="93" t="str">
        <f t="shared" si="29"/>
        <v>#REF!</v>
      </c>
      <c r="AK52" s="93" t="str">
        <f t="shared" si="29"/>
        <v>#REF!</v>
      </c>
      <c r="AL52" s="93" t="str">
        <f t="shared" si="29"/>
        <v>#REF!</v>
      </c>
      <c r="AM52" s="90"/>
      <c r="AN52" s="90"/>
      <c r="AO52" s="90"/>
      <c r="AP52" s="90"/>
      <c r="AQ52" s="90"/>
      <c r="AR52" s="90"/>
      <c r="AS52" s="90"/>
      <c r="AT52" s="90"/>
      <c r="AU52" s="90"/>
      <c r="AV52" s="90"/>
      <c r="AW52" s="90"/>
      <c r="AX52" s="90"/>
      <c r="AY52" s="90"/>
    </row>
    <row r="53" ht="14.25" hidden="1" customHeight="1" outlineLevel="1">
      <c r="A53" s="90"/>
      <c r="B53" s="90"/>
      <c r="C53" s="90" t="s">
        <v>216</v>
      </c>
      <c r="D53" s="90"/>
      <c r="E53" s="123"/>
      <c r="F53" s="123"/>
      <c r="G53" s="99">
        <f>G85+G99+G110</f>
        <v>159494</v>
      </c>
      <c r="H53" s="99">
        <f t="shared" ref="H53:AL53" si="30">G54</f>
        <v>2535383.45</v>
      </c>
      <c r="I53" s="93" t="str">
        <f t="shared" si="30"/>
        <v>#REF!</v>
      </c>
      <c r="J53" s="93" t="str">
        <f t="shared" si="30"/>
        <v>#REF!</v>
      </c>
      <c r="K53" s="93" t="str">
        <f t="shared" si="30"/>
        <v>#REF!</v>
      </c>
      <c r="L53" s="93" t="str">
        <f t="shared" si="30"/>
        <v>#REF!</v>
      </c>
      <c r="M53" s="93" t="str">
        <f t="shared" si="30"/>
        <v>#REF!</v>
      </c>
      <c r="N53" s="93" t="str">
        <f t="shared" si="30"/>
        <v>#REF!</v>
      </c>
      <c r="O53" s="93" t="str">
        <f t="shared" si="30"/>
        <v>#REF!</v>
      </c>
      <c r="P53" s="93" t="str">
        <f t="shared" si="30"/>
        <v>#REF!</v>
      </c>
      <c r="Q53" s="93" t="str">
        <f t="shared" si="30"/>
        <v>#REF!</v>
      </c>
      <c r="R53" s="93" t="str">
        <f t="shared" si="30"/>
        <v>#REF!</v>
      </c>
      <c r="S53" s="93" t="str">
        <f t="shared" si="30"/>
        <v>#REF!</v>
      </c>
      <c r="T53" s="93" t="str">
        <f t="shared" si="30"/>
        <v>#REF!</v>
      </c>
      <c r="U53" s="93" t="str">
        <f t="shared" si="30"/>
        <v>#REF!</v>
      </c>
      <c r="V53" s="93" t="str">
        <f t="shared" si="30"/>
        <v>#REF!</v>
      </c>
      <c r="W53" s="93" t="str">
        <f t="shared" si="30"/>
        <v>#REF!</v>
      </c>
      <c r="X53" s="93" t="str">
        <f t="shared" si="30"/>
        <v>#REF!</v>
      </c>
      <c r="Y53" s="93" t="str">
        <f t="shared" si="30"/>
        <v>#REF!</v>
      </c>
      <c r="Z53" s="93" t="str">
        <f t="shared" si="30"/>
        <v>#REF!</v>
      </c>
      <c r="AA53" s="93" t="str">
        <f t="shared" si="30"/>
        <v>#REF!</v>
      </c>
      <c r="AB53" s="93" t="str">
        <f t="shared" si="30"/>
        <v>#REF!</v>
      </c>
      <c r="AC53" s="93" t="str">
        <f t="shared" si="30"/>
        <v>#REF!</v>
      </c>
      <c r="AD53" s="93" t="str">
        <f t="shared" si="30"/>
        <v>#REF!</v>
      </c>
      <c r="AE53" s="93" t="str">
        <f t="shared" si="30"/>
        <v>#REF!</v>
      </c>
      <c r="AF53" s="93" t="str">
        <f t="shared" si="30"/>
        <v>#REF!</v>
      </c>
      <c r="AG53" s="93" t="str">
        <f t="shared" si="30"/>
        <v>#REF!</v>
      </c>
      <c r="AH53" s="93" t="str">
        <f t="shared" si="30"/>
        <v>#REF!</v>
      </c>
      <c r="AI53" s="93" t="str">
        <f t="shared" si="30"/>
        <v>#REF!</v>
      </c>
      <c r="AJ53" s="93" t="str">
        <f t="shared" si="30"/>
        <v>#REF!</v>
      </c>
      <c r="AK53" s="93" t="str">
        <f t="shared" si="30"/>
        <v>#REF!</v>
      </c>
      <c r="AL53" s="93" t="str">
        <f t="shared" si="30"/>
        <v>#REF!</v>
      </c>
      <c r="AM53" s="90"/>
      <c r="AN53" s="90"/>
      <c r="AO53" s="90"/>
      <c r="AP53" s="90"/>
      <c r="AQ53" s="90"/>
      <c r="AR53" s="90"/>
      <c r="AS53" s="90"/>
      <c r="AT53" s="90"/>
      <c r="AU53" s="90"/>
      <c r="AV53" s="90"/>
      <c r="AW53" s="90"/>
      <c r="AX53" s="90"/>
      <c r="AY53" s="90"/>
    </row>
    <row r="54" ht="14.25" customHeight="1">
      <c r="A54" s="67"/>
      <c r="B54" s="131" t="s">
        <v>196</v>
      </c>
      <c r="C54" s="131"/>
      <c r="D54" s="131"/>
      <c r="E54" s="132"/>
      <c r="F54" s="132"/>
      <c r="G54" s="132">
        <f>G111+G100+G86</f>
        <v>2535383.45</v>
      </c>
      <c r="H54" s="132" t="str">
        <f t="shared" ref="H54:AL54" si="31">H52+H53</f>
        <v>#REF!</v>
      </c>
      <c r="I54" s="133" t="str">
        <f t="shared" si="31"/>
        <v>#REF!</v>
      </c>
      <c r="J54" s="133" t="str">
        <f t="shared" si="31"/>
        <v>#REF!</v>
      </c>
      <c r="K54" s="133" t="str">
        <f t="shared" si="31"/>
        <v>#REF!</v>
      </c>
      <c r="L54" s="133" t="str">
        <f t="shared" si="31"/>
        <v>#REF!</v>
      </c>
      <c r="M54" s="133" t="str">
        <f t="shared" si="31"/>
        <v>#REF!</v>
      </c>
      <c r="N54" s="133" t="str">
        <f t="shared" si="31"/>
        <v>#REF!</v>
      </c>
      <c r="O54" s="133" t="str">
        <f t="shared" si="31"/>
        <v>#REF!</v>
      </c>
      <c r="P54" s="133" t="str">
        <f t="shared" si="31"/>
        <v>#REF!</v>
      </c>
      <c r="Q54" s="133" t="str">
        <f t="shared" si="31"/>
        <v>#REF!</v>
      </c>
      <c r="R54" s="133" t="str">
        <f t="shared" si="31"/>
        <v>#REF!</v>
      </c>
      <c r="S54" s="133" t="str">
        <f t="shared" si="31"/>
        <v>#REF!</v>
      </c>
      <c r="T54" s="133" t="str">
        <f t="shared" si="31"/>
        <v>#REF!</v>
      </c>
      <c r="U54" s="133" t="str">
        <f t="shared" si="31"/>
        <v>#REF!</v>
      </c>
      <c r="V54" s="133" t="str">
        <f t="shared" si="31"/>
        <v>#REF!</v>
      </c>
      <c r="W54" s="133" t="str">
        <f t="shared" si="31"/>
        <v>#REF!</v>
      </c>
      <c r="X54" s="133" t="str">
        <f t="shared" si="31"/>
        <v>#REF!</v>
      </c>
      <c r="Y54" s="133" t="str">
        <f t="shared" si="31"/>
        <v>#REF!</v>
      </c>
      <c r="Z54" s="133" t="str">
        <f t="shared" si="31"/>
        <v>#REF!</v>
      </c>
      <c r="AA54" s="133" t="str">
        <f t="shared" si="31"/>
        <v>#REF!</v>
      </c>
      <c r="AB54" s="133" t="str">
        <f t="shared" si="31"/>
        <v>#REF!</v>
      </c>
      <c r="AC54" s="133" t="str">
        <f t="shared" si="31"/>
        <v>#REF!</v>
      </c>
      <c r="AD54" s="133" t="str">
        <f t="shared" si="31"/>
        <v>#REF!</v>
      </c>
      <c r="AE54" s="133" t="str">
        <f t="shared" si="31"/>
        <v>#REF!</v>
      </c>
      <c r="AF54" s="133" t="str">
        <f t="shared" si="31"/>
        <v>#REF!</v>
      </c>
      <c r="AG54" s="133" t="str">
        <f t="shared" si="31"/>
        <v>#REF!</v>
      </c>
      <c r="AH54" s="133" t="str">
        <f t="shared" si="31"/>
        <v>#REF!</v>
      </c>
      <c r="AI54" s="133" t="str">
        <f t="shared" si="31"/>
        <v>#REF!</v>
      </c>
      <c r="AJ54" s="133" t="str">
        <f t="shared" si="31"/>
        <v>#REF!</v>
      </c>
      <c r="AK54" s="133" t="str">
        <f t="shared" si="31"/>
        <v>#REF!</v>
      </c>
      <c r="AL54" s="133" t="str">
        <f t="shared" si="31"/>
        <v>#REF!</v>
      </c>
      <c r="AM54" s="67"/>
      <c r="AN54" s="67"/>
      <c r="AO54" s="67"/>
      <c r="AP54" s="67"/>
      <c r="AQ54" s="67"/>
      <c r="AR54" s="67"/>
      <c r="AS54" s="67"/>
      <c r="AT54" s="67"/>
      <c r="AU54" s="67"/>
      <c r="AV54" s="67"/>
      <c r="AW54" s="67"/>
      <c r="AX54" s="67"/>
      <c r="AY54" s="67"/>
    </row>
    <row r="55" ht="14.25" customHeight="1">
      <c r="A55" s="67"/>
      <c r="B55" s="134"/>
      <c r="C55" s="134"/>
      <c r="D55" s="134"/>
      <c r="E55" s="135"/>
      <c r="F55" s="135"/>
      <c r="G55" s="135"/>
      <c r="H55" s="135"/>
      <c r="I55" s="136"/>
      <c r="J55" s="136"/>
      <c r="K55" s="136"/>
      <c r="L55" s="136"/>
      <c r="M55" s="136"/>
      <c r="N55" s="136"/>
      <c r="O55" s="136"/>
      <c r="P55" s="136"/>
      <c r="Q55" s="136"/>
      <c r="R55" s="136"/>
      <c r="S55" s="136"/>
      <c r="T55" s="136"/>
      <c r="U55" s="136"/>
      <c r="V55" s="136"/>
      <c r="W55" s="136"/>
      <c r="X55" s="136"/>
      <c r="Y55" s="136"/>
      <c r="Z55" s="136"/>
      <c r="AA55" s="136"/>
      <c r="AB55" s="136"/>
      <c r="AC55" s="136"/>
      <c r="AD55" s="136"/>
      <c r="AE55" s="136"/>
      <c r="AF55" s="136"/>
      <c r="AG55" s="136"/>
      <c r="AH55" s="136"/>
      <c r="AI55" s="136"/>
      <c r="AJ55" s="136"/>
      <c r="AK55" s="136"/>
      <c r="AL55" s="136"/>
      <c r="AM55" s="67"/>
      <c r="AN55" s="67"/>
      <c r="AO55" s="67"/>
      <c r="AP55" s="67"/>
      <c r="AQ55" s="67"/>
      <c r="AR55" s="67"/>
      <c r="AS55" s="67"/>
      <c r="AT55" s="67"/>
      <c r="AU55" s="67"/>
      <c r="AV55" s="67"/>
      <c r="AW55" s="67"/>
      <c r="AX55" s="67"/>
      <c r="AY55" s="67"/>
    </row>
    <row r="56" ht="14.25" customHeight="1">
      <c r="A56" s="67"/>
      <c r="B56" s="67"/>
      <c r="C56" s="67" t="s">
        <v>217</v>
      </c>
      <c r="D56" s="67"/>
      <c r="E56" s="137"/>
      <c r="F56" s="137"/>
      <c r="G56" s="137"/>
      <c r="H56" s="137"/>
      <c r="I56" s="115"/>
      <c r="J56" s="115"/>
      <c r="K56" s="115"/>
      <c r="L56" s="115"/>
      <c r="M56" s="115"/>
      <c r="N56" s="115"/>
      <c r="O56" s="115"/>
      <c r="P56" s="115"/>
      <c r="Q56" s="115"/>
      <c r="R56" s="115"/>
      <c r="S56" s="115"/>
      <c r="T56" s="115"/>
      <c r="U56" s="115"/>
      <c r="V56" s="115"/>
      <c r="W56" s="115"/>
      <c r="X56" s="115"/>
      <c r="Y56" s="115"/>
      <c r="Z56" s="115"/>
      <c r="AA56" s="115"/>
      <c r="AB56" s="115"/>
      <c r="AC56" s="115"/>
      <c r="AD56" s="115"/>
      <c r="AE56" s="115"/>
      <c r="AF56" s="115"/>
      <c r="AG56" s="115"/>
      <c r="AH56" s="115"/>
      <c r="AI56" s="115"/>
      <c r="AJ56" s="115"/>
      <c r="AK56" s="115"/>
      <c r="AL56" s="115"/>
      <c r="AM56" s="67"/>
      <c r="AN56" s="67"/>
      <c r="AO56" s="67"/>
      <c r="AP56" s="67"/>
      <c r="AQ56" s="67"/>
      <c r="AR56" s="67"/>
      <c r="AS56" s="67"/>
      <c r="AT56" s="67"/>
      <c r="AU56" s="67"/>
      <c r="AV56" s="67"/>
      <c r="AW56" s="67"/>
      <c r="AX56" s="67"/>
      <c r="AY56" s="67"/>
    </row>
    <row r="57" ht="14.25" customHeight="1">
      <c r="A57" s="67"/>
      <c r="B57" s="67"/>
      <c r="C57" s="66" t="s">
        <v>218</v>
      </c>
      <c r="D57" s="67"/>
      <c r="E57" s="137"/>
      <c r="F57" s="137"/>
      <c r="G57" s="137"/>
      <c r="H57" s="137"/>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67"/>
      <c r="AN57" s="67"/>
      <c r="AO57" s="67"/>
      <c r="AP57" s="67"/>
      <c r="AQ57" s="67"/>
      <c r="AR57" s="67"/>
      <c r="AS57" s="67"/>
      <c r="AT57" s="67"/>
      <c r="AU57" s="67"/>
      <c r="AV57" s="67"/>
      <c r="AW57" s="67"/>
      <c r="AX57" s="67"/>
      <c r="AY57" s="67"/>
    </row>
    <row r="58" ht="14.25" customHeight="1">
      <c r="A58" s="67"/>
      <c r="B58" s="67"/>
      <c r="C58" s="64" t="s">
        <v>219</v>
      </c>
      <c r="D58" s="67"/>
      <c r="E58" s="137"/>
      <c r="F58" s="137"/>
      <c r="G58" s="137"/>
      <c r="H58" s="137"/>
      <c r="I58" s="93">
        <v>375000.0</v>
      </c>
      <c r="J58" s="93">
        <v>250000.0</v>
      </c>
      <c r="K58" s="93">
        <v>250000.0</v>
      </c>
      <c r="L58" s="93"/>
      <c r="M58" s="93"/>
      <c r="N58" s="93"/>
      <c r="O58" s="93"/>
      <c r="P58" s="93"/>
      <c r="Q58" s="93"/>
      <c r="R58" s="93"/>
      <c r="S58" s="115"/>
      <c r="T58" s="115"/>
      <c r="U58" s="115"/>
      <c r="V58" s="115"/>
      <c r="W58" s="115"/>
      <c r="X58" s="115"/>
      <c r="Y58" s="115"/>
      <c r="Z58" s="115"/>
      <c r="AA58" s="115"/>
      <c r="AB58" s="115"/>
      <c r="AC58" s="115"/>
      <c r="AD58" s="115"/>
      <c r="AE58" s="115"/>
      <c r="AF58" s="115"/>
      <c r="AG58" s="115"/>
      <c r="AH58" s="115"/>
      <c r="AI58" s="115"/>
      <c r="AJ58" s="115"/>
      <c r="AK58" s="115"/>
      <c r="AL58" s="115"/>
      <c r="AM58" s="67"/>
      <c r="AN58" s="67"/>
      <c r="AO58" s="67"/>
      <c r="AP58" s="67"/>
      <c r="AQ58" s="67"/>
      <c r="AR58" s="67"/>
      <c r="AS58" s="67"/>
      <c r="AT58" s="67"/>
      <c r="AU58" s="67"/>
      <c r="AV58" s="67"/>
      <c r="AW58" s="67"/>
      <c r="AX58" s="67"/>
      <c r="AY58" s="67"/>
    </row>
    <row r="59" ht="14.25" customHeight="1">
      <c r="A59" s="67"/>
      <c r="B59" s="67"/>
      <c r="C59" s="64" t="s">
        <v>220</v>
      </c>
      <c r="D59" s="67"/>
      <c r="E59" s="137"/>
      <c r="F59" s="137"/>
      <c r="G59" s="137"/>
      <c r="H59" s="137"/>
      <c r="I59" s="93">
        <f>'RS3'!L285</f>
        <v>259999.91</v>
      </c>
      <c r="J59" s="93">
        <v>500000.0</v>
      </c>
      <c r="K59" s="93">
        <v>500000.0</v>
      </c>
      <c r="L59" s="93"/>
      <c r="M59" s="93"/>
      <c r="N59" s="93"/>
      <c r="O59" s="93"/>
      <c r="P59" s="93"/>
      <c r="Q59" s="93"/>
      <c r="R59" s="93"/>
      <c r="S59" s="115"/>
      <c r="T59" s="115"/>
      <c r="U59" s="115"/>
      <c r="V59" s="115"/>
      <c r="W59" s="115"/>
      <c r="X59" s="115"/>
      <c r="Y59" s="115"/>
      <c r="Z59" s="115"/>
      <c r="AA59" s="115"/>
      <c r="AB59" s="115"/>
      <c r="AC59" s="115"/>
      <c r="AD59" s="115"/>
      <c r="AE59" s="115"/>
      <c r="AF59" s="115"/>
      <c r="AG59" s="115"/>
      <c r="AH59" s="115"/>
      <c r="AI59" s="115"/>
      <c r="AJ59" s="115"/>
      <c r="AK59" s="115"/>
      <c r="AL59" s="115"/>
      <c r="AM59" s="67"/>
      <c r="AN59" s="67"/>
      <c r="AO59" s="67"/>
      <c r="AP59" s="67"/>
      <c r="AQ59" s="67"/>
      <c r="AR59" s="67"/>
      <c r="AS59" s="67"/>
      <c r="AT59" s="67"/>
      <c r="AU59" s="67"/>
      <c r="AV59" s="67"/>
      <c r="AW59" s="67"/>
      <c r="AX59" s="67"/>
      <c r="AY59" s="67"/>
    </row>
    <row r="60" ht="14.25" customHeight="1">
      <c r="A60" s="67"/>
      <c r="B60" s="67"/>
      <c r="C60" s="64" t="s">
        <v>221</v>
      </c>
      <c r="D60" s="67"/>
      <c r="E60" s="137"/>
      <c r="F60" s="137"/>
      <c r="G60" s="137"/>
      <c r="H60" s="137"/>
      <c r="I60" s="93"/>
      <c r="J60" s="93"/>
      <c r="K60" s="93">
        <v>250000.0</v>
      </c>
      <c r="L60" s="93">
        <f>'All Schools Roll-up'!P28</f>
        <v>1250000</v>
      </c>
      <c r="M60" s="93">
        <f>'All Schools Roll-up'!Q28</f>
        <v>2000000</v>
      </c>
      <c r="N60" s="93">
        <f>'All Schools Roll-up'!R28</f>
        <v>3250000</v>
      </c>
      <c r="O60" s="93">
        <f>'All Schools Roll-up'!S28</f>
        <v>5500000</v>
      </c>
      <c r="P60" s="93">
        <f>'All Schools Roll-up'!T28</f>
        <v>8500000</v>
      </c>
      <c r="Q60" s="93">
        <f>'All Schools Roll-up'!U28</f>
        <v>2500000</v>
      </c>
      <c r="R60" s="93">
        <f>'All Schools Roll-up'!V28</f>
        <v>0</v>
      </c>
      <c r="S60" s="115"/>
      <c r="T60" s="115"/>
      <c r="U60" s="115"/>
      <c r="V60" s="115"/>
      <c r="W60" s="115"/>
      <c r="X60" s="115"/>
      <c r="Y60" s="115"/>
      <c r="Z60" s="115"/>
      <c r="AA60" s="115"/>
      <c r="AB60" s="115"/>
      <c r="AC60" s="115"/>
      <c r="AD60" s="115"/>
      <c r="AE60" s="115"/>
      <c r="AF60" s="115"/>
      <c r="AG60" s="115"/>
      <c r="AH60" s="115"/>
      <c r="AI60" s="115"/>
      <c r="AJ60" s="115"/>
      <c r="AK60" s="115"/>
      <c r="AL60" s="115"/>
      <c r="AM60" s="67"/>
      <c r="AN60" s="67"/>
      <c r="AO60" s="67"/>
      <c r="AP60" s="67"/>
      <c r="AQ60" s="67"/>
      <c r="AR60" s="67"/>
      <c r="AS60" s="67"/>
      <c r="AT60" s="67"/>
      <c r="AU60" s="67"/>
      <c r="AV60" s="67"/>
      <c r="AW60" s="67"/>
      <c r="AX60" s="67"/>
      <c r="AY60" s="67"/>
    </row>
    <row r="61" ht="14.25" customHeight="1">
      <c r="A61" s="67"/>
      <c r="B61" s="67"/>
      <c r="C61" s="66" t="s">
        <v>222</v>
      </c>
      <c r="H61" s="113"/>
      <c r="I61" s="93"/>
      <c r="J61" s="93"/>
      <c r="K61" s="93"/>
      <c r="L61" s="93"/>
      <c r="M61" s="93"/>
      <c r="N61" s="116"/>
      <c r="O61" s="116"/>
      <c r="P61" s="93"/>
      <c r="Q61" s="93"/>
      <c r="R61" s="93"/>
      <c r="S61" s="93"/>
      <c r="T61" s="93"/>
      <c r="U61" s="93"/>
      <c r="V61" s="93"/>
      <c r="W61" s="93"/>
      <c r="X61" s="93"/>
      <c r="Y61" s="93"/>
      <c r="Z61" s="93"/>
      <c r="AA61" s="93"/>
      <c r="AB61" s="93"/>
      <c r="AC61" s="115"/>
      <c r="AD61" s="115"/>
      <c r="AE61" s="115"/>
      <c r="AF61" s="115"/>
      <c r="AG61" s="115"/>
      <c r="AH61" s="115"/>
      <c r="AI61" s="115"/>
      <c r="AJ61" s="115"/>
      <c r="AK61" s="115"/>
      <c r="AL61" s="115"/>
      <c r="AM61" s="67"/>
      <c r="AN61" s="67"/>
      <c r="AO61" s="67"/>
      <c r="AP61" s="67"/>
      <c r="AQ61" s="67"/>
      <c r="AR61" s="67"/>
      <c r="AS61" s="67"/>
      <c r="AT61" s="67"/>
      <c r="AU61" s="67"/>
      <c r="AV61" s="67"/>
      <c r="AW61" s="67"/>
      <c r="AX61" s="67"/>
      <c r="AY61" s="67"/>
    </row>
    <row r="62" ht="14.25" customHeight="1">
      <c r="A62" s="67"/>
      <c r="B62" s="67"/>
      <c r="C62" s="64" t="s">
        <v>223</v>
      </c>
      <c r="D62" s="67"/>
      <c r="E62" s="137"/>
      <c r="F62" s="137"/>
      <c r="G62" s="137"/>
      <c r="H62" s="137"/>
      <c r="I62" s="93">
        <f>'RSED National'!M79</f>
        <v>437746.0071</v>
      </c>
      <c r="J62" s="93">
        <f>'RSED National'!N79</f>
        <v>455255.8474</v>
      </c>
      <c r="K62" s="93">
        <f>'RSED National'!O79</f>
        <v>467943.424</v>
      </c>
      <c r="L62" s="93">
        <f>'RSED National'!P79</f>
        <v>0</v>
      </c>
      <c r="M62" s="93">
        <f>'RSED National'!Q79</f>
        <v>0</v>
      </c>
      <c r="N62" s="93" t="str">
        <f>'RSED National'!R79</f>
        <v/>
      </c>
      <c r="O62" s="115"/>
      <c r="P62" s="115"/>
      <c r="Q62" s="115"/>
      <c r="R62" s="115"/>
      <c r="S62" s="115"/>
      <c r="T62" s="115"/>
      <c r="U62" s="115"/>
      <c r="V62" s="115"/>
      <c r="W62" s="115"/>
      <c r="X62" s="115"/>
      <c r="Y62" s="115"/>
      <c r="Z62" s="115"/>
      <c r="AA62" s="115"/>
      <c r="AB62" s="115"/>
      <c r="AC62" s="115"/>
      <c r="AD62" s="115"/>
      <c r="AE62" s="115"/>
      <c r="AF62" s="115"/>
      <c r="AG62" s="115"/>
      <c r="AH62" s="115"/>
      <c r="AI62" s="115"/>
      <c r="AJ62" s="115"/>
      <c r="AK62" s="115"/>
      <c r="AL62" s="115"/>
      <c r="AM62" s="67"/>
      <c r="AN62" s="67"/>
      <c r="AO62" s="67"/>
      <c r="AP62" s="67"/>
      <c r="AQ62" s="67"/>
      <c r="AR62" s="67"/>
      <c r="AS62" s="67"/>
      <c r="AT62" s="67"/>
      <c r="AU62" s="67"/>
      <c r="AV62" s="67"/>
      <c r="AW62" s="67"/>
      <c r="AX62" s="67"/>
      <c r="AY62" s="67"/>
    </row>
    <row r="63" ht="14.25" customHeight="1">
      <c r="A63" s="67"/>
      <c r="B63" s="67"/>
      <c r="C63" s="64" t="s">
        <v>224</v>
      </c>
      <c r="H63" s="113"/>
      <c r="I63" s="93">
        <f t="shared" ref="I63:M63" si="32">I21</f>
        <v>1500000</v>
      </c>
      <c r="J63" s="93">
        <f t="shared" si="32"/>
        <v>1000000</v>
      </c>
      <c r="K63" s="93">
        <f t="shared" si="32"/>
        <v>1250000</v>
      </c>
      <c r="L63" s="93">
        <f t="shared" si="32"/>
        <v>500000</v>
      </c>
      <c r="M63" s="93">
        <f t="shared" si="32"/>
        <v>0</v>
      </c>
      <c r="N63" s="116"/>
      <c r="O63" s="116"/>
      <c r="P63" s="93"/>
      <c r="Q63" s="93"/>
      <c r="R63" s="93"/>
      <c r="S63" s="93"/>
      <c r="T63" s="93"/>
      <c r="U63" s="93"/>
      <c r="V63" s="93"/>
      <c r="W63" s="93"/>
      <c r="X63" s="93"/>
      <c r="Y63" s="93"/>
      <c r="Z63" s="93"/>
      <c r="AA63" s="93"/>
      <c r="AB63" s="93"/>
      <c r="AC63" s="115"/>
      <c r="AD63" s="115"/>
      <c r="AE63" s="115"/>
      <c r="AF63" s="115"/>
      <c r="AG63" s="115"/>
      <c r="AH63" s="115"/>
      <c r="AI63" s="115"/>
      <c r="AJ63" s="115"/>
      <c r="AK63" s="115"/>
      <c r="AL63" s="115"/>
      <c r="AM63" s="67"/>
      <c r="AN63" s="67"/>
      <c r="AO63" s="67"/>
      <c r="AP63" s="67"/>
      <c r="AQ63" s="67"/>
      <c r="AR63" s="67"/>
      <c r="AS63" s="67"/>
      <c r="AT63" s="67"/>
      <c r="AU63" s="67"/>
      <c r="AV63" s="67"/>
      <c r="AW63" s="67"/>
      <c r="AX63" s="67"/>
      <c r="AY63" s="67"/>
    </row>
    <row r="64" ht="14.25" customHeight="1">
      <c r="A64" s="67"/>
      <c r="B64" s="67"/>
      <c r="C64" s="64" t="s">
        <v>200</v>
      </c>
      <c r="H64" s="113"/>
      <c r="I64" s="93">
        <f t="shared" ref="I64:N64" si="33">I22</f>
        <v>0</v>
      </c>
      <c r="J64" s="93">
        <f t="shared" si="33"/>
        <v>1000000</v>
      </c>
      <c r="K64" s="93">
        <f t="shared" si="33"/>
        <v>0</v>
      </c>
      <c r="L64" s="93">
        <f t="shared" si="33"/>
        <v>1650000</v>
      </c>
      <c r="M64" s="93">
        <f t="shared" si="33"/>
        <v>1750000</v>
      </c>
      <c r="N64" s="93">
        <f t="shared" si="33"/>
        <v>250000</v>
      </c>
      <c r="O64" s="93"/>
      <c r="P64" s="93"/>
      <c r="Q64" s="93"/>
      <c r="R64" s="93"/>
      <c r="S64" s="93"/>
      <c r="T64" s="93"/>
      <c r="U64" s="93"/>
      <c r="V64" s="93"/>
      <c r="W64" s="93"/>
      <c r="X64" s="93"/>
      <c r="Y64" s="93"/>
      <c r="Z64" s="93"/>
      <c r="AA64" s="93"/>
      <c r="AB64" s="93"/>
      <c r="AC64" s="115"/>
      <c r="AD64" s="115"/>
      <c r="AE64" s="115"/>
      <c r="AF64" s="115"/>
      <c r="AG64" s="115"/>
      <c r="AH64" s="115"/>
      <c r="AI64" s="115"/>
      <c r="AJ64" s="115"/>
      <c r="AK64" s="115"/>
      <c r="AL64" s="115"/>
      <c r="AM64" s="67"/>
      <c r="AN64" s="67"/>
      <c r="AO64" s="67"/>
      <c r="AP64" s="67"/>
      <c r="AQ64" s="67"/>
      <c r="AR64" s="67"/>
      <c r="AS64" s="67"/>
      <c r="AT64" s="67"/>
      <c r="AU64" s="67"/>
      <c r="AV64" s="67"/>
      <c r="AW64" s="67"/>
      <c r="AX64" s="67"/>
      <c r="AY64" s="67"/>
    </row>
    <row r="65" ht="14.25" customHeight="1">
      <c r="A65" s="67"/>
      <c r="B65" s="67"/>
      <c r="C65" s="64" t="s">
        <v>201</v>
      </c>
      <c r="H65" s="113"/>
      <c r="I65" s="93" t="str">
        <f t="shared" ref="I65:N65" si="34">I23</f>
        <v/>
      </c>
      <c r="J65" s="93" t="str">
        <f t="shared" si="34"/>
        <v/>
      </c>
      <c r="K65" s="93" t="str">
        <f t="shared" si="34"/>
        <v/>
      </c>
      <c r="L65" s="93">
        <f t="shared" si="34"/>
        <v>1650000</v>
      </c>
      <c r="M65" s="93">
        <f t="shared" si="34"/>
        <v>1750000</v>
      </c>
      <c r="N65" s="93" t="str">
        <f t="shared" si="34"/>
        <v/>
      </c>
      <c r="O65" s="93"/>
      <c r="P65" s="93"/>
      <c r="Q65" s="93"/>
      <c r="R65" s="93"/>
      <c r="S65" s="93"/>
      <c r="T65" s="93"/>
      <c r="U65" s="93"/>
      <c r="V65" s="93"/>
      <c r="W65" s="93"/>
      <c r="X65" s="93"/>
      <c r="Y65" s="93"/>
      <c r="Z65" s="93"/>
      <c r="AA65" s="93"/>
      <c r="AB65" s="93"/>
      <c r="AC65" s="115"/>
      <c r="AD65" s="115"/>
      <c r="AE65" s="115"/>
      <c r="AF65" s="115"/>
      <c r="AG65" s="115"/>
      <c r="AH65" s="115"/>
      <c r="AI65" s="115"/>
      <c r="AJ65" s="115"/>
      <c r="AK65" s="115"/>
      <c r="AL65" s="115"/>
      <c r="AM65" s="67"/>
      <c r="AN65" s="67"/>
      <c r="AO65" s="67"/>
      <c r="AP65" s="67"/>
      <c r="AQ65" s="67"/>
      <c r="AR65" s="67"/>
      <c r="AS65" s="67"/>
      <c r="AT65" s="67"/>
      <c r="AU65" s="67"/>
      <c r="AV65" s="67"/>
      <c r="AW65" s="67"/>
      <c r="AX65" s="67"/>
      <c r="AY65" s="67"/>
    </row>
    <row r="66" ht="14.25" customHeight="1">
      <c r="A66" s="67"/>
      <c r="B66" s="67"/>
      <c r="C66" s="83" t="s">
        <v>202</v>
      </c>
      <c r="D66" s="87"/>
      <c r="E66" s="87"/>
      <c r="F66" s="87"/>
      <c r="G66" s="87"/>
      <c r="H66" s="117"/>
      <c r="I66" s="119">
        <f t="shared" ref="I66:N66" si="35">I24</f>
        <v>1000000</v>
      </c>
      <c r="J66" s="119">
        <f t="shared" si="35"/>
        <v>1000000</v>
      </c>
      <c r="K66" s="119">
        <f t="shared" si="35"/>
        <v>1750000</v>
      </c>
      <c r="L66" s="119">
        <f t="shared" si="35"/>
        <v>0</v>
      </c>
      <c r="M66" s="119">
        <f t="shared" si="35"/>
        <v>0</v>
      </c>
      <c r="N66" s="119" t="str">
        <f t="shared" si="35"/>
        <v/>
      </c>
      <c r="O66" s="119"/>
      <c r="P66" s="119"/>
      <c r="Q66" s="119"/>
      <c r="R66" s="119"/>
      <c r="S66" s="119"/>
      <c r="T66" s="119"/>
      <c r="U66" s="119"/>
      <c r="V66" s="119"/>
      <c r="W66" s="119"/>
      <c r="X66" s="119"/>
      <c r="Y66" s="119"/>
      <c r="Z66" s="119"/>
      <c r="AA66" s="119"/>
      <c r="AB66" s="119"/>
      <c r="AC66" s="115"/>
      <c r="AD66" s="115"/>
      <c r="AE66" s="115"/>
      <c r="AF66" s="115"/>
      <c r="AG66" s="115"/>
      <c r="AH66" s="115"/>
      <c r="AI66" s="115"/>
      <c r="AJ66" s="115"/>
      <c r="AK66" s="115"/>
      <c r="AL66" s="115"/>
      <c r="AM66" s="67"/>
      <c r="AN66" s="67"/>
      <c r="AO66" s="67"/>
      <c r="AP66" s="67"/>
      <c r="AQ66" s="67"/>
      <c r="AR66" s="67"/>
      <c r="AS66" s="67"/>
      <c r="AT66" s="67"/>
      <c r="AU66" s="67"/>
      <c r="AV66" s="67"/>
      <c r="AW66" s="67"/>
      <c r="AX66" s="67"/>
      <c r="AY66" s="67"/>
    </row>
    <row r="67" ht="14.25" customHeight="1">
      <c r="A67" s="67"/>
      <c r="B67" s="67"/>
      <c r="C67" s="66" t="s">
        <v>203</v>
      </c>
      <c r="D67" s="67"/>
      <c r="E67" s="137"/>
      <c r="F67" s="137"/>
      <c r="G67" s="137"/>
      <c r="H67" s="137"/>
      <c r="I67" s="115">
        <f t="shared" ref="I67:Q67" si="36">SUM(I58:I66)</f>
        <v>3572745.917</v>
      </c>
      <c r="J67" s="115">
        <f t="shared" si="36"/>
        <v>4205255.847</v>
      </c>
      <c r="K67" s="115">
        <f t="shared" si="36"/>
        <v>4467943.424</v>
      </c>
      <c r="L67" s="115">
        <f t="shared" si="36"/>
        <v>5050000</v>
      </c>
      <c r="M67" s="115">
        <f t="shared" si="36"/>
        <v>5500000</v>
      </c>
      <c r="N67" s="115">
        <f t="shared" si="36"/>
        <v>3500000</v>
      </c>
      <c r="O67" s="115">
        <f t="shared" si="36"/>
        <v>5500000</v>
      </c>
      <c r="P67" s="115">
        <f t="shared" si="36"/>
        <v>8500000</v>
      </c>
      <c r="Q67" s="115">
        <f t="shared" si="36"/>
        <v>2500000</v>
      </c>
      <c r="R67" s="115"/>
      <c r="S67" s="115"/>
      <c r="T67" s="115"/>
      <c r="U67" s="115"/>
      <c r="V67" s="115"/>
      <c r="W67" s="115"/>
      <c r="X67" s="115"/>
      <c r="Y67" s="115"/>
      <c r="Z67" s="115"/>
      <c r="AA67" s="115"/>
      <c r="AB67" s="115"/>
      <c r="AC67" s="115"/>
      <c r="AD67" s="115"/>
      <c r="AE67" s="115"/>
      <c r="AF67" s="115"/>
      <c r="AG67" s="115"/>
      <c r="AH67" s="115"/>
      <c r="AI67" s="115"/>
      <c r="AJ67" s="115"/>
      <c r="AK67" s="115"/>
      <c r="AL67" s="115"/>
      <c r="AM67" s="67"/>
      <c r="AN67" s="67"/>
      <c r="AO67" s="67"/>
      <c r="AP67" s="67"/>
      <c r="AQ67" s="67"/>
      <c r="AR67" s="67"/>
      <c r="AS67" s="67"/>
      <c r="AT67" s="67"/>
      <c r="AU67" s="67"/>
      <c r="AV67" s="67"/>
      <c r="AW67" s="67"/>
      <c r="AX67" s="67"/>
      <c r="AY67" s="67"/>
    </row>
    <row r="68" ht="14.25" customHeight="1">
      <c r="A68" s="67"/>
      <c r="B68" s="67"/>
      <c r="C68" s="67"/>
      <c r="D68" s="67"/>
      <c r="E68" s="137"/>
      <c r="F68" s="137"/>
      <c r="G68" s="137"/>
      <c r="H68" s="137"/>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67"/>
      <c r="AN68" s="67"/>
      <c r="AO68" s="67"/>
      <c r="AP68" s="67"/>
      <c r="AQ68" s="67"/>
      <c r="AR68" s="67"/>
      <c r="AS68" s="67"/>
      <c r="AT68" s="67"/>
      <c r="AU68" s="67"/>
      <c r="AV68" s="67"/>
      <c r="AW68" s="67"/>
      <c r="AX68" s="67"/>
      <c r="AY68" s="67"/>
    </row>
    <row r="69" ht="14.25" customHeight="1">
      <c r="A69" s="138" t="s">
        <v>225</v>
      </c>
      <c r="B69" s="139"/>
      <c r="C69" s="139"/>
      <c r="D69" s="139"/>
      <c r="E69" s="140"/>
      <c r="F69" s="140"/>
      <c r="G69" s="140"/>
      <c r="H69" s="141"/>
      <c r="I69" s="141"/>
      <c r="J69" s="141"/>
      <c r="K69" s="141"/>
      <c r="L69" s="141"/>
      <c r="M69" s="141"/>
      <c r="N69" s="141"/>
      <c r="O69" s="141"/>
      <c r="P69" s="141"/>
      <c r="Q69" s="141"/>
      <c r="R69" s="141"/>
      <c r="S69" s="141"/>
      <c r="T69" s="141"/>
      <c r="U69" s="141"/>
      <c r="V69" s="141"/>
      <c r="W69" s="141"/>
      <c r="X69" s="141"/>
      <c r="Y69" s="141"/>
      <c r="Z69" s="141"/>
      <c r="AA69" s="141"/>
      <c r="AB69" s="141"/>
      <c r="AC69" s="141"/>
      <c r="AD69" s="141"/>
      <c r="AE69" s="141"/>
      <c r="AF69" s="141"/>
      <c r="AG69" s="141"/>
      <c r="AH69" s="141"/>
      <c r="AI69" s="141"/>
      <c r="AJ69" s="141"/>
      <c r="AK69" s="141"/>
      <c r="AL69" s="141"/>
      <c r="AM69" s="67"/>
      <c r="AN69" s="67"/>
      <c r="AO69" s="67"/>
      <c r="AP69" s="67"/>
      <c r="AQ69" s="67"/>
      <c r="AR69" s="67"/>
      <c r="AS69" s="67"/>
      <c r="AT69" s="67"/>
      <c r="AU69" s="67"/>
      <c r="AV69" s="67"/>
      <c r="AW69" s="67"/>
      <c r="AX69" s="67"/>
      <c r="AY69" s="67"/>
    </row>
    <row r="70" ht="14.25" customHeight="1">
      <c r="A70" s="67"/>
      <c r="B70" s="67" t="s">
        <v>226</v>
      </c>
      <c r="C70" s="67"/>
      <c r="D70" s="67"/>
      <c r="E70" s="63"/>
      <c r="F70" s="63"/>
      <c r="G70" s="63"/>
      <c r="H70" s="115"/>
      <c r="I70" s="115"/>
      <c r="J70" s="115"/>
      <c r="K70" s="115"/>
      <c r="L70" s="115"/>
      <c r="M70" s="115"/>
      <c r="N70" s="115"/>
      <c r="O70" s="115"/>
      <c r="P70" s="115"/>
      <c r="Q70" s="115"/>
      <c r="R70" s="115"/>
      <c r="S70" s="115"/>
      <c r="T70" s="115"/>
      <c r="U70" s="115"/>
      <c r="V70" s="115"/>
      <c r="W70" s="115"/>
      <c r="X70" s="115"/>
      <c r="Y70" s="115"/>
      <c r="Z70" s="115"/>
      <c r="AA70" s="115"/>
      <c r="AB70" s="115"/>
      <c r="AC70" s="115"/>
      <c r="AD70" s="115"/>
      <c r="AE70" s="115"/>
      <c r="AF70" s="115"/>
      <c r="AG70" s="115"/>
      <c r="AH70" s="115"/>
      <c r="AI70" s="115"/>
      <c r="AJ70" s="115"/>
      <c r="AK70" s="115"/>
      <c r="AL70" s="115"/>
      <c r="AM70" s="67"/>
      <c r="AN70" s="67"/>
      <c r="AO70" s="67"/>
      <c r="AP70" s="67"/>
      <c r="AQ70" s="67"/>
      <c r="AR70" s="67"/>
      <c r="AS70" s="67"/>
      <c r="AT70" s="67"/>
      <c r="AU70" s="67"/>
      <c r="AV70" s="67"/>
      <c r="AW70" s="67"/>
      <c r="AX70" s="67"/>
      <c r="AY70" s="67"/>
    </row>
    <row r="71" ht="14.25" customHeight="1">
      <c r="A71" s="67"/>
      <c r="B71" s="67"/>
      <c r="C71" s="67" t="s">
        <v>211</v>
      </c>
      <c r="D71" s="67"/>
      <c r="E71" s="63"/>
      <c r="F71" s="63"/>
      <c r="G71" s="63"/>
      <c r="H71" s="115"/>
      <c r="I71" s="93">
        <f>'All Schools Roll-up'!M25+'All Schools Roll-up'!M26+'All Schools Roll-up'!M27</f>
        <v>10328844.92</v>
      </c>
      <c r="J71" s="93">
        <f>'All Schools Roll-up'!N25+'All Schools Roll-up'!N26+'All Schools Roll-up'!N27</f>
        <v>17121906.93</v>
      </c>
      <c r="K71" s="93">
        <f>'All Schools Roll-up'!O25+'All Schools Roll-up'!O26+'All Schools Roll-up'!O27</f>
        <v>27898894.36</v>
      </c>
      <c r="L71" s="93">
        <f>'All Schools Roll-up'!P25+'All Schools Roll-up'!P26+'All Schools Roll-up'!P27</f>
        <v>46094885.11</v>
      </c>
      <c r="M71" s="93">
        <f>'All Schools Roll-up'!Q25+'All Schools Roll-up'!Q26+'All Schools Roll-up'!Q27</f>
        <v>75919176.93</v>
      </c>
      <c r="N71" s="93">
        <f>'All Schools Roll-up'!R25+'All Schools Roll-up'!R26+'All Schools Roll-up'!R27</f>
        <v>125510940.5</v>
      </c>
      <c r="O71" s="93">
        <f>'All Schools Roll-up'!S25+'All Schools Roll-up'!S26+'All Schools Roll-up'!S27</f>
        <v>211696635.8</v>
      </c>
      <c r="P71" s="93">
        <f>'All Schools Roll-up'!T25+'All Schools Roll-up'!T26+'All Schools Roll-up'!T27</f>
        <v>345359496.6</v>
      </c>
      <c r="Q71" s="93">
        <f>'All Schools Roll-up'!U25+'All Schools Roll-up'!U26+'All Schools Roll-up'!U27</f>
        <v>526430241.8</v>
      </c>
      <c r="R71" s="93">
        <f>'All Schools Roll-up'!V25+'All Schools Roll-up'!V26+'All Schools Roll-up'!V27</f>
        <v>726368610</v>
      </c>
      <c r="S71" s="93">
        <f>'All Schools Roll-up'!W25+'All Schools Roll-up'!W26+'All Schools Roll-up'!W27</f>
        <v>1009920994</v>
      </c>
      <c r="T71" s="93">
        <f>'All Schools Roll-up'!X25+'All Schools Roll-up'!X26+'All Schools Roll-up'!X27</f>
        <v>1377489397</v>
      </c>
      <c r="U71" s="93">
        <f>'All Schools Roll-up'!Y25+'All Schools Roll-up'!Y26+'All Schools Roll-up'!Y27</f>
        <v>1999111967</v>
      </c>
      <c r="V71" s="93">
        <f>'All Schools Roll-up'!Z25+'All Schools Roll-up'!Z26+'All Schools Roll-up'!Z27</f>
        <v>2871773330</v>
      </c>
      <c r="W71" s="93">
        <f>'All Schools Roll-up'!AA25+'All Schools Roll-up'!AA26+'All Schools Roll-up'!AA27</f>
        <v>4000577229</v>
      </c>
      <c r="X71" s="93">
        <f>'All Schools Roll-up'!AB25+'All Schools Roll-up'!AB26+'All Schools Roll-up'!AB27</f>
        <v>5335969872</v>
      </c>
      <c r="Y71" s="93">
        <f>'All Schools Roll-up'!AC25+'All Schools Roll-up'!AC26+'All Schools Roll-up'!AC27</f>
        <v>6947824739</v>
      </c>
      <c r="Z71" s="93">
        <f>'All Schools Roll-up'!AD25+'All Schools Roll-up'!AD26+'All Schools Roll-up'!AD27</f>
        <v>8752308496</v>
      </c>
      <c r="AA71" s="93">
        <f>'All Schools Roll-up'!AE25+'All Schools Roll-up'!AE26+'All Schools Roll-up'!AE27</f>
        <v>10607555708</v>
      </c>
      <c r="AB71" s="93">
        <f>'All Schools Roll-up'!AF25+'All Schools Roll-up'!AF26+'All Schools Roll-up'!AF27</f>
        <v>12171304954</v>
      </c>
      <c r="AC71" s="93">
        <f>'All Schools Roll-up'!AG25+'All Schools Roll-up'!AG26+'All Schools Roll-up'!AG27</f>
        <v>12760639949</v>
      </c>
      <c r="AD71" s="93">
        <f>'All Schools Roll-up'!AH25+'All Schools Roll-up'!AH26+'All Schools Roll-up'!AH27</f>
        <v>13080712337</v>
      </c>
      <c r="AE71" s="93">
        <f>'All Schools Roll-up'!AI25+'All Schools Roll-up'!AI26+'All Schools Roll-up'!AI27</f>
        <v>13338788996</v>
      </c>
      <c r="AF71" s="93">
        <f>'All Schools Roll-up'!AJ25+'All Schools Roll-up'!AJ26+'All Schools Roll-up'!AJ27</f>
        <v>13591847101</v>
      </c>
      <c r="AG71" s="93">
        <f>'All Schools Roll-up'!AK25+'All Schools Roll-up'!AK26+'All Schools Roll-up'!AK27</f>
        <v>13852749320</v>
      </c>
      <c r="AH71" s="93">
        <f>'All Schools Roll-up'!AL25+'All Schools Roll-up'!AL26+'All Schools Roll-up'!AL27</f>
        <v>14122662018</v>
      </c>
      <c r="AI71" s="115"/>
      <c r="AJ71" s="115"/>
      <c r="AK71" s="115"/>
      <c r="AL71" s="115"/>
      <c r="AM71" s="67"/>
      <c r="AN71" s="67"/>
      <c r="AO71" s="67"/>
      <c r="AP71" s="67"/>
      <c r="AQ71" s="67"/>
      <c r="AR71" s="67"/>
      <c r="AS71" s="67"/>
      <c r="AT71" s="67"/>
      <c r="AU71" s="67"/>
      <c r="AV71" s="67"/>
      <c r="AW71" s="67"/>
      <c r="AX71" s="67"/>
      <c r="AY71" s="67"/>
    </row>
    <row r="72" ht="14.25" customHeight="1">
      <c r="A72" s="67"/>
      <c r="B72" s="67"/>
      <c r="C72" s="67" t="s">
        <v>212</v>
      </c>
      <c r="D72" s="67"/>
      <c r="E72" s="63"/>
      <c r="F72" s="63"/>
      <c r="G72" s="63"/>
      <c r="H72" s="115"/>
      <c r="I72" s="119">
        <f>'All Schools Roll-up'!M28</f>
        <v>634999.91</v>
      </c>
      <c r="J72" s="119">
        <f>'All Schools Roll-up'!N28</f>
        <v>750000</v>
      </c>
      <c r="K72" s="119">
        <f>'All Schools Roll-up'!O28</f>
        <v>1000000</v>
      </c>
      <c r="L72" s="119">
        <f>'All Schools Roll-up'!P28</f>
        <v>1250000</v>
      </c>
      <c r="M72" s="119">
        <f>'All Schools Roll-up'!Q28</f>
        <v>2000000</v>
      </c>
      <c r="N72" s="119">
        <f>'All Schools Roll-up'!R28</f>
        <v>3250000</v>
      </c>
      <c r="O72" s="119">
        <f>'All Schools Roll-up'!S28</f>
        <v>5500000</v>
      </c>
      <c r="P72" s="119">
        <f>'All Schools Roll-up'!T28</f>
        <v>8500000</v>
      </c>
      <c r="Q72" s="119">
        <f>'All Schools Roll-up'!U28</f>
        <v>2500000</v>
      </c>
      <c r="R72" s="119">
        <f>'All Schools Roll-up'!V28</f>
        <v>0</v>
      </c>
      <c r="S72" s="119">
        <f>'All Schools Roll-up'!W28</f>
        <v>0</v>
      </c>
      <c r="T72" s="119">
        <f>'All Schools Roll-up'!X28</f>
        <v>0</v>
      </c>
      <c r="U72" s="119">
        <f>'All Schools Roll-up'!Y28</f>
        <v>0</v>
      </c>
      <c r="V72" s="119">
        <f>'All Schools Roll-up'!Z28</f>
        <v>0</v>
      </c>
      <c r="W72" s="119">
        <f>'All Schools Roll-up'!AA28</f>
        <v>0</v>
      </c>
      <c r="X72" s="119">
        <f>'All Schools Roll-up'!AB28</f>
        <v>0</v>
      </c>
      <c r="Y72" s="119">
        <f>'All Schools Roll-up'!AC28</f>
        <v>0</v>
      </c>
      <c r="Z72" s="119">
        <f>'All Schools Roll-up'!AD28</f>
        <v>0</v>
      </c>
      <c r="AA72" s="119">
        <f>'All Schools Roll-up'!AE28</f>
        <v>0</v>
      </c>
      <c r="AB72" s="119">
        <f>'All Schools Roll-up'!AF28</f>
        <v>0</v>
      </c>
      <c r="AC72" s="119">
        <f>'All Schools Roll-up'!AG28</f>
        <v>0</v>
      </c>
      <c r="AD72" s="119">
        <f>'All Schools Roll-up'!AH28</f>
        <v>0</v>
      </c>
      <c r="AE72" s="119">
        <f>'All Schools Roll-up'!AI28</f>
        <v>0</v>
      </c>
      <c r="AF72" s="119">
        <f>'All Schools Roll-up'!AJ28</f>
        <v>0</v>
      </c>
      <c r="AG72" s="119">
        <f>'All Schools Roll-up'!AK28</f>
        <v>0</v>
      </c>
      <c r="AH72" s="119">
        <f>'All Schools Roll-up'!AL28</f>
        <v>0</v>
      </c>
      <c r="AI72" s="115"/>
      <c r="AJ72" s="115"/>
      <c r="AK72" s="115"/>
      <c r="AL72" s="115"/>
      <c r="AM72" s="67"/>
      <c r="AN72" s="67"/>
      <c r="AO72" s="67"/>
      <c r="AP72" s="67"/>
      <c r="AQ72" s="67"/>
      <c r="AR72" s="67"/>
      <c r="AS72" s="67"/>
      <c r="AT72" s="67"/>
      <c r="AU72" s="67"/>
      <c r="AV72" s="67"/>
      <c r="AW72" s="67"/>
      <c r="AX72" s="67"/>
      <c r="AY72" s="67"/>
    </row>
    <row r="73" ht="14.25" customHeight="1">
      <c r="A73" s="67"/>
      <c r="B73" s="67" t="s">
        <v>209</v>
      </c>
      <c r="C73" s="67"/>
      <c r="D73" s="67"/>
      <c r="E73" s="137"/>
      <c r="F73" s="137"/>
      <c r="G73" s="79">
        <f>'All Schools Roll-up'!K29</f>
        <v>3477711.8</v>
      </c>
      <c r="H73" s="142">
        <f>'All Schools Roll-up'!L29</f>
        <v>7873935.46</v>
      </c>
      <c r="I73" s="115">
        <f>'All Schools Roll-up'!M29</f>
        <v>10963844.83</v>
      </c>
      <c r="J73" s="115">
        <f>'All Schools Roll-up'!N29</f>
        <v>17871906.93</v>
      </c>
      <c r="K73" s="115">
        <f>'All Schools Roll-up'!O29</f>
        <v>28898894.36</v>
      </c>
      <c r="L73" s="115">
        <f>'All Schools Roll-up'!P29</f>
        <v>47344885.11</v>
      </c>
      <c r="M73" s="115">
        <f>'All Schools Roll-up'!Q29</f>
        <v>77919176.93</v>
      </c>
      <c r="N73" s="115">
        <f>'All Schools Roll-up'!R29</f>
        <v>128760940.5</v>
      </c>
      <c r="O73" s="115">
        <f>'All Schools Roll-up'!S29</f>
        <v>217196635.8</v>
      </c>
      <c r="P73" s="115">
        <f>'All Schools Roll-up'!T29</f>
        <v>353859496.6</v>
      </c>
      <c r="Q73" s="115">
        <f>'All Schools Roll-up'!U29</f>
        <v>528930241.8</v>
      </c>
      <c r="R73" s="115">
        <f>'All Schools Roll-up'!V29</f>
        <v>726368610</v>
      </c>
      <c r="S73" s="115">
        <f>'All Schools Roll-up'!W29</f>
        <v>1009920994</v>
      </c>
      <c r="T73" s="115">
        <f>'All Schools Roll-up'!X29</f>
        <v>1377489397</v>
      </c>
      <c r="U73" s="115">
        <f>'All Schools Roll-up'!Y29</f>
        <v>1999111967</v>
      </c>
      <c r="V73" s="115">
        <f>'All Schools Roll-up'!Z29</f>
        <v>2871773330</v>
      </c>
      <c r="W73" s="115">
        <f>'All Schools Roll-up'!AA29</f>
        <v>4000577229</v>
      </c>
      <c r="X73" s="115">
        <f>'All Schools Roll-up'!AB29</f>
        <v>5335969872</v>
      </c>
      <c r="Y73" s="115">
        <f>'All Schools Roll-up'!AC29</f>
        <v>6947824739</v>
      </c>
      <c r="Z73" s="115">
        <f>'All Schools Roll-up'!AD29</f>
        <v>8752308496</v>
      </c>
      <c r="AA73" s="115">
        <f>'All Schools Roll-up'!AE29</f>
        <v>10607555708</v>
      </c>
      <c r="AB73" s="115">
        <f>'All Schools Roll-up'!AF29</f>
        <v>12171304954</v>
      </c>
      <c r="AC73" s="115">
        <f>'All Schools Roll-up'!AG29</f>
        <v>12760639949</v>
      </c>
      <c r="AD73" s="115">
        <f>'All Schools Roll-up'!AH29</f>
        <v>13080712337</v>
      </c>
      <c r="AE73" s="115">
        <f>'All Schools Roll-up'!AI29</f>
        <v>13338788996</v>
      </c>
      <c r="AF73" s="115">
        <f>'All Schools Roll-up'!AJ29</f>
        <v>13591847101</v>
      </c>
      <c r="AG73" s="115">
        <f>'All Schools Roll-up'!AK29</f>
        <v>13852749320</v>
      </c>
      <c r="AH73" s="115">
        <f>'All Schools Roll-up'!AL29</f>
        <v>14122662018</v>
      </c>
      <c r="AI73" s="115">
        <f>'All Schools Roll-up'!AM29</f>
        <v>14401703289</v>
      </c>
      <c r="AJ73" s="115">
        <f>'All Schools Roll-up'!AN29</f>
        <v>14689357735</v>
      </c>
      <c r="AK73" s="115" t="str">
        <f>'All Schools Roll-up'!AO29</f>
        <v>#REF!</v>
      </c>
      <c r="AL73" s="115" t="str">
        <f>'All Schools Roll-up'!AP29</f>
        <v>#REF!</v>
      </c>
      <c r="AM73" s="67"/>
      <c r="AN73" s="67"/>
      <c r="AO73" s="67"/>
      <c r="AP73" s="67"/>
      <c r="AQ73" s="67"/>
      <c r="AR73" s="67"/>
      <c r="AS73" s="67"/>
      <c r="AT73" s="67"/>
      <c r="AU73" s="67"/>
      <c r="AV73" s="67"/>
      <c r="AW73" s="67"/>
      <c r="AX73" s="67"/>
      <c r="AY73" s="67"/>
    </row>
    <row r="74" ht="14.25" customHeight="1">
      <c r="A74" s="67"/>
      <c r="B74" s="67"/>
      <c r="C74" s="67"/>
      <c r="D74" s="67"/>
      <c r="E74" s="137"/>
      <c r="F74" s="137"/>
      <c r="G74" s="79"/>
      <c r="H74" s="142"/>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67"/>
      <c r="AN74" s="67"/>
      <c r="AO74" s="67"/>
      <c r="AP74" s="67"/>
      <c r="AQ74" s="67"/>
      <c r="AR74" s="67"/>
      <c r="AS74" s="67"/>
      <c r="AT74" s="67"/>
      <c r="AU74" s="67"/>
      <c r="AV74" s="67"/>
      <c r="AW74" s="67"/>
      <c r="AX74" s="67"/>
      <c r="AY74" s="67"/>
    </row>
    <row r="75" ht="14.25" customHeight="1">
      <c r="A75" s="90"/>
      <c r="B75" s="67" t="s">
        <v>178</v>
      </c>
      <c r="C75" s="90"/>
      <c r="D75" s="90"/>
      <c r="E75" s="123"/>
      <c r="F75" s="123"/>
      <c r="G75" s="99"/>
      <c r="H75" s="99"/>
      <c r="I75" s="93"/>
      <c r="J75" s="93"/>
      <c r="K75" s="93"/>
      <c r="L75" s="93"/>
      <c r="M75" s="93"/>
      <c r="N75" s="93"/>
      <c r="O75" s="93"/>
      <c r="P75" s="93"/>
      <c r="Q75" s="93"/>
      <c r="R75" s="93"/>
      <c r="S75" s="93"/>
      <c r="T75" s="93"/>
      <c r="U75" s="93"/>
      <c r="V75" s="93"/>
      <c r="W75" s="93"/>
      <c r="X75" s="93"/>
      <c r="Y75" s="93"/>
      <c r="Z75" s="93"/>
      <c r="AA75" s="93"/>
      <c r="AB75" s="93"/>
      <c r="AC75" s="93"/>
      <c r="AD75" s="93"/>
      <c r="AE75" s="93"/>
      <c r="AF75" s="93"/>
      <c r="AG75" s="93"/>
      <c r="AH75" s="93"/>
      <c r="AI75" s="93"/>
      <c r="AJ75" s="93"/>
      <c r="AK75" s="93"/>
      <c r="AL75" s="93"/>
      <c r="AM75" s="90"/>
      <c r="AN75" s="90"/>
      <c r="AO75" s="90"/>
      <c r="AP75" s="90"/>
      <c r="AQ75" s="90"/>
      <c r="AR75" s="90"/>
      <c r="AS75" s="90"/>
      <c r="AT75" s="90"/>
      <c r="AU75" s="90"/>
      <c r="AV75" s="90"/>
      <c r="AW75" s="90"/>
      <c r="AX75" s="90"/>
      <c r="AY75" s="90"/>
    </row>
    <row r="76" ht="14.25" customHeight="1">
      <c r="A76" s="90"/>
      <c r="B76" s="90"/>
      <c r="C76" s="90" t="s">
        <v>227</v>
      </c>
      <c r="D76" s="90"/>
      <c r="E76" s="123"/>
      <c r="F76" s="123"/>
      <c r="G76" s="99">
        <f>'All Schools Roll-up'!K37+'All Schools Roll-up'!K38</f>
        <v>447612.93</v>
      </c>
      <c r="H76" s="99">
        <f>'All Schools Roll-up'!L37+'All Schools Roll-up'!L38</f>
        <v>1123269.08</v>
      </c>
      <c r="I76" s="93">
        <f>'All Schools Roll-up'!M37+'All Schools Roll-up'!M38</f>
        <v>1569603.03</v>
      </c>
      <c r="J76" s="93">
        <f>'All Schools Roll-up'!N37+'All Schools Roll-up'!N38</f>
        <v>2499481.231</v>
      </c>
      <c r="K76" s="93">
        <f>'All Schools Roll-up'!O37+'All Schools Roll-up'!O38</f>
        <v>4067277.979</v>
      </c>
      <c r="L76" s="93">
        <f>'All Schools Roll-up'!P37+'All Schools Roll-up'!P38</f>
        <v>6661167.699</v>
      </c>
      <c r="M76" s="93">
        <f>'All Schools Roll-up'!Q37+'All Schools Roll-up'!Q38</f>
        <v>10968047.31</v>
      </c>
      <c r="N76" s="93">
        <f>'All Schools Roll-up'!R37+'All Schools Roll-up'!R38</f>
        <v>18135331.54</v>
      </c>
      <c r="O76" s="93">
        <f>'All Schools Roll-up'!S37+'All Schools Roll-up'!S38</f>
        <v>30667928.9</v>
      </c>
      <c r="P76" s="93">
        <f>'All Schools Roll-up'!T37+'All Schools Roll-up'!T38</f>
        <v>48990468.59</v>
      </c>
      <c r="Q76" s="93">
        <f>'All Schools Roll-up'!U37+'All Schools Roll-up'!U38</f>
        <v>67316485.06</v>
      </c>
      <c r="R76" s="93">
        <f>'All Schools Roll-up'!V37+'All Schools Roll-up'!V38</f>
        <v>92463280.35</v>
      </c>
      <c r="S76" s="93">
        <f>'All Schools Roll-up'!W37+'All Schools Roll-up'!W38</f>
        <v>128014148.5</v>
      </c>
      <c r="T76" s="93">
        <f>'All Schools Roll-up'!X37+'All Schools Roll-up'!X38</f>
        <v>175054532.7</v>
      </c>
      <c r="U76" s="93">
        <f>'All Schools Roll-up'!Y37+'All Schools Roll-up'!Y38</f>
        <v>249424474.7</v>
      </c>
      <c r="V76" s="93">
        <f>'All Schools Roll-up'!Z37+'All Schools Roll-up'!Z38</f>
        <v>360447049.3</v>
      </c>
      <c r="W76" s="93">
        <f>'All Schools Roll-up'!AA37+'All Schools Roll-up'!AA38</f>
        <v>507640985.6</v>
      </c>
      <c r="X76" s="93">
        <f>'All Schools Roll-up'!AB37+'All Schools Roll-up'!AB38</f>
        <v>685954970.7</v>
      </c>
      <c r="Y76" s="93">
        <f>'All Schools Roll-up'!AC37+'All Schools Roll-up'!AC38</f>
        <v>899528114.9</v>
      </c>
      <c r="Z76" s="93">
        <f>'All Schools Roll-up'!AD37+'All Schools Roll-up'!AD38</f>
        <v>1145289837</v>
      </c>
      <c r="AA76" s="93">
        <f>'All Schools Roll-up'!AE37+'All Schools Roll-up'!AE38</f>
        <v>1405957346</v>
      </c>
      <c r="AB76" s="93">
        <f>'All Schools Roll-up'!AF37+'All Schools Roll-up'!AF38</f>
        <v>1644654448</v>
      </c>
      <c r="AC76" s="93">
        <f>'All Schools Roll-up'!AG37+'All Schools Roll-up'!AG38</f>
        <v>1774682124</v>
      </c>
      <c r="AD76" s="93">
        <f>'All Schools Roll-up'!AH37+'All Schools Roll-up'!AH38</f>
        <v>1825180580</v>
      </c>
      <c r="AE76" s="93">
        <f>'All Schools Roll-up'!AI37+'All Schools Roll-up'!AI38</f>
        <v>1860980112</v>
      </c>
      <c r="AF76" s="93">
        <f>'All Schools Roll-up'!AJ37+'All Schools Roll-up'!AJ38</f>
        <v>1896142569</v>
      </c>
      <c r="AG76" s="93">
        <f>'All Schools Roll-up'!AK37+'All Schools Roll-up'!AK38</f>
        <v>1932425718</v>
      </c>
      <c r="AH76" s="93">
        <f>'All Schools Roll-up'!AL37+'All Schools Roll-up'!AL38</f>
        <v>1970003395</v>
      </c>
      <c r="AI76" s="93">
        <f>'All Schools Roll-up'!AM37+'All Schools Roll-up'!AM38</f>
        <v>2008892174</v>
      </c>
      <c r="AJ76" s="93">
        <f>'All Schools Roll-up'!AN37+'All Schools Roll-up'!AN38</f>
        <v>2049013580</v>
      </c>
      <c r="AK76" s="93" t="str">
        <f>'All Schools Roll-up'!AO37+'All Schools Roll-up'!AO38</f>
        <v>#REF!</v>
      </c>
      <c r="AL76" s="93" t="str">
        <f>'All Schools Roll-up'!AP37+'All Schools Roll-up'!AP38</f>
        <v>#REF!</v>
      </c>
      <c r="AM76" s="90"/>
      <c r="AN76" s="90"/>
      <c r="AO76" s="90"/>
      <c r="AP76" s="90"/>
      <c r="AQ76" s="90"/>
      <c r="AR76" s="90"/>
      <c r="AS76" s="90"/>
      <c r="AT76" s="90"/>
      <c r="AU76" s="90"/>
      <c r="AV76" s="90"/>
      <c r="AW76" s="90"/>
      <c r="AX76" s="90"/>
      <c r="AY76" s="90"/>
    </row>
    <row r="77" ht="14.25" customHeight="1">
      <c r="A77" s="90"/>
      <c r="B77" s="90"/>
      <c r="C77" s="90" t="s">
        <v>228</v>
      </c>
      <c r="D77" s="90"/>
      <c r="E77" s="123"/>
      <c r="F77" s="123"/>
      <c r="G77" s="99">
        <f>'All Schools Roll-up'!K39</f>
        <v>692003.59</v>
      </c>
      <c r="H77" s="99">
        <f>'All Schools Roll-up'!L39</f>
        <v>1558767.9</v>
      </c>
      <c r="I77" s="93">
        <f>'All Schools Roll-up'!M39</f>
        <v>1929470.707</v>
      </c>
      <c r="J77" s="93">
        <f>'All Schools Roll-up'!N39</f>
        <v>3232402.943</v>
      </c>
      <c r="K77" s="93">
        <f>'All Schools Roll-up'!O39</f>
        <v>5216997.305</v>
      </c>
      <c r="L77" s="93">
        <f>'All Schools Roll-up'!P39</f>
        <v>8545299.652</v>
      </c>
      <c r="M77" s="93">
        <f>'All Schools Roll-up'!Q39</f>
        <v>14066716.64</v>
      </c>
      <c r="N77" s="93">
        <f>'All Schools Roll-up'!R39</f>
        <v>23218376.35</v>
      </c>
      <c r="O77" s="93">
        <f>'All Schools Roll-up'!S39</f>
        <v>39358939.86</v>
      </c>
      <c r="P77" s="93">
        <f>'All Schools Roll-up'!T39</f>
        <v>64539492.46</v>
      </c>
      <c r="Q77" s="93">
        <f>'All Schools Roll-up'!U39</f>
        <v>96927827.78</v>
      </c>
      <c r="R77" s="93">
        <f>'All Schools Roll-up'!V39</f>
        <v>132612759.7</v>
      </c>
      <c r="S77" s="93">
        <f>'All Schools Roll-up'!W39</f>
        <v>184804635</v>
      </c>
      <c r="T77" s="93">
        <f>'All Schools Roll-up'!X39</f>
        <v>250414458.7</v>
      </c>
      <c r="U77" s="93">
        <f>'All Schools Roll-up'!Y39</f>
        <v>363958839.4</v>
      </c>
      <c r="V77" s="93">
        <f>'All Schools Roll-up'!Z39</f>
        <v>524327463.2</v>
      </c>
      <c r="W77" s="93">
        <f>'All Schools Roll-up'!AA39</f>
        <v>733106853.4</v>
      </c>
      <c r="X77" s="93">
        <f>'All Schools Roll-up'!AB39</f>
        <v>979161267.5</v>
      </c>
      <c r="Y77" s="93">
        <f>'All Schools Roll-up'!AC39</f>
        <v>1277896607</v>
      </c>
      <c r="Z77" s="93">
        <f>'All Schools Roll-up'!AD39</f>
        <v>1613947544</v>
      </c>
      <c r="AA77" s="93">
        <f>'All Schools Roll-up'!AE39</f>
        <v>1962753744</v>
      </c>
      <c r="AB77" s="93">
        <f>'All Schools Roll-up'!AF39</f>
        <v>2265870397</v>
      </c>
      <c r="AC77" s="93">
        <f>'All Schools Roll-up'!AG39</f>
        <v>2375323906</v>
      </c>
      <c r="AD77" s="93">
        <f>'All Schools Roll-up'!AH39</f>
        <v>2433574107</v>
      </c>
      <c r="AE77" s="93">
        <f>'All Schools Roll-up'!AI39</f>
        <v>2481306815</v>
      </c>
      <c r="AF77" s="93">
        <f>'All Schools Roll-up'!AJ39</f>
        <v>2528190092</v>
      </c>
      <c r="AG77" s="93">
        <f>'All Schools Roll-up'!AK39</f>
        <v>2576567624</v>
      </c>
      <c r="AH77" s="93">
        <f>'All Schools Roll-up'!AL39</f>
        <v>2626671193</v>
      </c>
      <c r="AI77" s="93">
        <f>'All Schools Roll-up'!AM39</f>
        <v>2678522898</v>
      </c>
      <c r="AJ77" s="93">
        <f>'All Schools Roll-up'!AN39</f>
        <v>2732018107</v>
      </c>
      <c r="AK77" s="93" t="str">
        <f>'All Schools Roll-up'!AO39</f>
        <v>#REF!</v>
      </c>
      <c r="AL77" s="93" t="str">
        <f>'All Schools Roll-up'!AP39</f>
        <v>#REF!</v>
      </c>
      <c r="AM77" s="90"/>
      <c r="AN77" s="90"/>
      <c r="AO77" s="90"/>
      <c r="AP77" s="90"/>
      <c r="AQ77" s="90"/>
      <c r="AR77" s="90"/>
      <c r="AS77" s="90"/>
      <c r="AT77" s="90"/>
      <c r="AU77" s="90"/>
      <c r="AV77" s="90"/>
      <c r="AW77" s="90"/>
      <c r="AX77" s="90"/>
      <c r="AY77" s="90"/>
    </row>
    <row r="78" ht="14.25" customHeight="1">
      <c r="A78" s="90"/>
      <c r="B78" s="90"/>
      <c r="C78" s="90" t="s">
        <v>229</v>
      </c>
      <c r="D78" s="90"/>
      <c r="E78" s="123"/>
      <c r="F78" s="123"/>
      <c r="G78" s="99">
        <f>'All Schools Roll-up'!K32+'All Schools Roll-up'!K33+'All Schools Roll-up'!K34+'All Schools Roll-up'!K40</f>
        <v>2114439.36</v>
      </c>
      <c r="H78" s="99" t="str">
        <f>'All Schools Roll-up'!L32+'All Schools Roll-up'!L33+'All Schools Roll-up'!L34+'All Schools Roll-up'!L40</f>
        <v>#REF!</v>
      </c>
      <c r="I78" s="93" t="str">
        <f>'All Schools Roll-up'!M32+'All Schools Roll-up'!M33+'All Schools Roll-up'!M34+'All Schools Roll-up'!M40</f>
        <v>#REF!</v>
      </c>
      <c r="J78" s="93" t="str">
        <f>'All Schools Roll-up'!N32+'All Schools Roll-up'!N33+'All Schools Roll-up'!N34+'All Schools Roll-up'!N40</f>
        <v>#REF!</v>
      </c>
      <c r="K78" s="93" t="str">
        <f>'All Schools Roll-up'!O32+'All Schools Roll-up'!O33+'All Schools Roll-up'!O34+'All Schools Roll-up'!O40</f>
        <v>#REF!</v>
      </c>
      <c r="L78" s="93" t="str">
        <f>'All Schools Roll-up'!P32+'All Schools Roll-up'!P33+'All Schools Roll-up'!P34+'All Schools Roll-up'!P40</f>
        <v>#REF!</v>
      </c>
      <c r="M78" s="93" t="str">
        <f>'All Schools Roll-up'!Q32+'All Schools Roll-up'!Q33+'All Schools Roll-up'!Q34+'All Schools Roll-up'!Q40</f>
        <v>#REF!</v>
      </c>
      <c r="N78" s="93" t="str">
        <f>'All Schools Roll-up'!R32+'All Schools Roll-up'!R33+'All Schools Roll-up'!R34+'All Schools Roll-up'!R40</f>
        <v>#REF!</v>
      </c>
      <c r="O78" s="93" t="str">
        <f>'All Schools Roll-up'!S32+'All Schools Roll-up'!S33+'All Schools Roll-up'!S34+'All Schools Roll-up'!S40</f>
        <v>#REF!</v>
      </c>
      <c r="P78" s="93" t="str">
        <f>'All Schools Roll-up'!T32+'All Schools Roll-up'!T33+'All Schools Roll-up'!T34+'All Schools Roll-up'!T40</f>
        <v>#REF!</v>
      </c>
      <c r="Q78" s="93" t="str">
        <f>'All Schools Roll-up'!U32+'All Schools Roll-up'!U33+'All Schools Roll-up'!U34+'All Schools Roll-up'!U40</f>
        <v>#REF!</v>
      </c>
      <c r="R78" s="93" t="str">
        <f>'All Schools Roll-up'!V32+'All Schools Roll-up'!V33+'All Schools Roll-up'!V34+'All Schools Roll-up'!V40</f>
        <v>#REF!</v>
      </c>
      <c r="S78" s="93" t="str">
        <f>'All Schools Roll-up'!W32+'All Schools Roll-up'!W33+'All Schools Roll-up'!W34+'All Schools Roll-up'!W40</f>
        <v>#REF!</v>
      </c>
      <c r="T78" s="93" t="str">
        <f>'All Schools Roll-up'!X32+'All Schools Roll-up'!X33+'All Schools Roll-up'!X34+'All Schools Roll-up'!X40</f>
        <v>#REF!</v>
      </c>
      <c r="U78" s="93" t="str">
        <f>'All Schools Roll-up'!Y32+'All Schools Roll-up'!Y33+'All Schools Roll-up'!Y34+'All Schools Roll-up'!Y40</f>
        <v>#REF!</v>
      </c>
      <c r="V78" s="93" t="str">
        <f>'All Schools Roll-up'!Z32+'All Schools Roll-up'!Z33+'All Schools Roll-up'!Z34+'All Schools Roll-up'!Z40</f>
        <v>#REF!</v>
      </c>
      <c r="W78" s="93" t="str">
        <f>'All Schools Roll-up'!AA32+'All Schools Roll-up'!AA33+'All Schools Roll-up'!AA34+'All Schools Roll-up'!AA40</f>
        <v>#REF!</v>
      </c>
      <c r="X78" s="93" t="str">
        <f>'All Schools Roll-up'!AB32+'All Schools Roll-up'!AB33+'All Schools Roll-up'!AB34+'All Schools Roll-up'!AB40</f>
        <v>#REF!</v>
      </c>
      <c r="Y78" s="93" t="str">
        <f>'All Schools Roll-up'!AC32+'All Schools Roll-up'!AC33+'All Schools Roll-up'!AC34+'All Schools Roll-up'!AC40</f>
        <v>#REF!</v>
      </c>
      <c r="Z78" s="93" t="str">
        <f>'All Schools Roll-up'!AD32+'All Schools Roll-up'!AD33+'All Schools Roll-up'!AD34+'All Schools Roll-up'!AD40</f>
        <v>#REF!</v>
      </c>
      <c r="AA78" s="93" t="str">
        <f>'All Schools Roll-up'!AE32+'All Schools Roll-up'!AE33+'All Schools Roll-up'!AE34+'All Schools Roll-up'!AE40</f>
        <v>#REF!</v>
      </c>
      <c r="AB78" s="93" t="str">
        <f>'All Schools Roll-up'!AF32+'All Schools Roll-up'!AF33+'All Schools Roll-up'!AF34+'All Schools Roll-up'!AF40</f>
        <v>#REF!</v>
      </c>
      <c r="AC78" s="93" t="str">
        <f>'All Schools Roll-up'!AG32+'All Schools Roll-up'!AG33+'All Schools Roll-up'!AG34+'All Schools Roll-up'!AG40</f>
        <v>#REF!</v>
      </c>
      <c r="AD78" s="93" t="str">
        <f>'All Schools Roll-up'!AH32+'All Schools Roll-up'!AH33+'All Schools Roll-up'!AH34+'All Schools Roll-up'!AH40</f>
        <v>#REF!</v>
      </c>
      <c r="AE78" s="93" t="str">
        <f>'All Schools Roll-up'!AI32+'All Schools Roll-up'!AI33+'All Schools Roll-up'!AI34+'All Schools Roll-up'!AI40</f>
        <v>#REF!</v>
      </c>
      <c r="AF78" s="93" t="str">
        <f>'All Schools Roll-up'!AJ32+'All Schools Roll-up'!AJ33+'All Schools Roll-up'!AJ34+'All Schools Roll-up'!AJ40</f>
        <v>#REF!</v>
      </c>
      <c r="AG78" s="93" t="str">
        <f>'All Schools Roll-up'!AK32+'All Schools Roll-up'!AK33+'All Schools Roll-up'!AK34+'All Schools Roll-up'!AK40</f>
        <v>#REF!</v>
      </c>
      <c r="AH78" s="93" t="str">
        <f>'All Schools Roll-up'!AL32+'All Schools Roll-up'!AL33+'All Schools Roll-up'!AL34+'All Schools Roll-up'!AL40</f>
        <v>#REF!</v>
      </c>
      <c r="AI78" s="93" t="str">
        <f>'All Schools Roll-up'!AM32+'All Schools Roll-up'!AM33+'All Schools Roll-up'!AM34+'All Schools Roll-up'!AM40</f>
        <v>#REF!</v>
      </c>
      <c r="AJ78" s="93" t="str">
        <f>'All Schools Roll-up'!AN32+'All Schools Roll-up'!AN33+'All Schools Roll-up'!AN34+'All Schools Roll-up'!AN40</f>
        <v>#REF!</v>
      </c>
      <c r="AK78" s="93" t="str">
        <f>'All Schools Roll-up'!AO32+'All Schools Roll-up'!AO33+'All Schools Roll-up'!AO34+'All Schools Roll-up'!AO40</f>
        <v>#REF!</v>
      </c>
      <c r="AL78" s="93" t="str">
        <f>'All Schools Roll-up'!AP32+'All Schools Roll-up'!AP33+'All Schools Roll-up'!AP34+'All Schools Roll-up'!AP40</f>
        <v>#REF!</v>
      </c>
      <c r="AM78" s="90"/>
      <c r="AN78" s="90"/>
      <c r="AO78" s="90"/>
      <c r="AP78" s="90"/>
      <c r="AQ78" s="90"/>
      <c r="AR78" s="90"/>
      <c r="AS78" s="90"/>
      <c r="AT78" s="90"/>
      <c r="AU78" s="90"/>
      <c r="AV78" s="90"/>
      <c r="AW78" s="90"/>
      <c r="AX78" s="90"/>
      <c r="AY78" s="90"/>
    </row>
    <row r="79" ht="14.25" customHeight="1">
      <c r="A79" s="90"/>
      <c r="B79" s="90"/>
      <c r="C79" s="90" t="s">
        <v>230</v>
      </c>
      <c r="D79" s="90"/>
      <c r="E79" s="123"/>
      <c r="F79" s="123"/>
      <c r="G79" s="99">
        <f>'All Schools Roll-up'!K41</f>
        <v>103719.34</v>
      </c>
      <c r="H79" s="99">
        <f>'All Schools Roll-up'!L41</f>
        <v>45478.66</v>
      </c>
      <c r="I79" s="93" t="str">
        <f>'All Schools Roll-up'!M41</f>
        <v>#REF!</v>
      </c>
      <c r="J79" s="93" t="str">
        <f>'All Schools Roll-up'!N41</f>
        <v>#REF!</v>
      </c>
      <c r="K79" s="93" t="str">
        <f>'All Schools Roll-up'!O41</f>
        <v>#REF!</v>
      </c>
      <c r="L79" s="93" t="str">
        <f>'All Schools Roll-up'!P41</f>
        <v>#REF!</v>
      </c>
      <c r="M79" s="93" t="str">
        <f>'All Schools Roll-up'!Q41</f>
        <v>#REF!</v>
      </c>
      <c r="N79" s="93" t="str">
        <f>'All Schools Roll-up'!R41</f>
        <v>#REF!</v>
      </c>
      <c r="O79" s="93" t="str">
        <f>'All Schools Roll-up'!S41</f>
        <v>#REF!</v>
      </c>
      <c r="P79" s="93" t="str">
        <f>'All Schools Roll-up'!T41</f>
        <v>#REF!</v>
      </c>
      <c r="Q79" s="93" t="str">
        <f>'All Schools Roll-up'!U41</f>
        <v>#REF!</v>
      </c>
      <c r="R79" s="93" t="str">
        <f>'All Schools Roll-up'!V41</f>
        <v>#REF!</v>
      </c>
      <c r="S79" s="93" t="str">
        <f>'All Schools Roll-up'!W41</f>
        <v>#REF!</v>
      </c>
      <c r="T79" s="93" t="str">
        <f>'All Schools Roll-up'!X41</f>
        <v>#REF!</v>
      </c>
      <c r="U79" s="93" t="str">
        <f>'All Schools Roll-up'!Y41</f>
        <v>#REF!</v>
      </c>
      <c r="V79" s="93" t="str">
        <f>'All Schools Roll-up'!Z41</f>
        <v>#REF!</v>
      </c>
      <c r="W79" s="93" t="str">
        <f>'All Schools Roll-up'!AA41</f>
        <v>#REF!</v>
      </c>
      <c r="X79" s="93" t="str">
        <f>'All Schools Roll-up'!AB41</f>
        <v>#REF!</v>
      </c>
      <c r="Y79" s="93" t="str">
        <f>'All Schools Roll-up'!AC41</f>
        <v>#REF!</v>
      </c>
      <c r="Z79" s="93" t="str">
        <f>'All Schools Roll-up'!AD41</f>
        <v>#REF!</v>
      </c>
      <c r="AA79" s="93" t="str">
        <f>'All Schools Roll-up'!AE41</f>
        <v>#REF!</v>
      </c>
      <c r="AB79" s="93" t="str">
        <f>'All Schools Roll-up'!AF41</f>
        <v>#REF!</v>
      </c>
      <c r="AC79" s="93" t="str">
        <f>SUM('All Schools Roll-up'!AG42:AG47)</f>
        <v>#REF!</v>
      </c>
      <c r="AD79" s="93" t="str">
        <f>SUM('All Schools Roll-up'!AH42:AH47)</f>
        <v>#REF!</v>
      </c>
      <c r="AE79" s="93" t="str">
        <f>SUM('All Schools Roll-up'!AI42:AI47)</f>
        <v>#REF!</v>
      </c>
      <c r="AF79" s="93" t="str">
        <f>SUM('All Schools Roll-up'!AJ42:AJ47)</f>
        <v>#REF!</v>
      </c>
      <c r="AG79" s="93" t="str">
        <f>SUM('All Schools Roll-up'!AK42:AK47)</f>
        <v>#REF!</v>
      </c>
      <c r="AH79" s="93" t="str">
        <f>SUM('All Schools Roll-up'!AL42:AL47)</f>
        <v>#REF!</v>
      </c>
      <c r="AI79" s="93" t="str">
        <f>SUM('All Schools Roll-up'!AM42:AM47)</f>
        <v>#REF!</v>
      </c>
      <c r="AJ79" s="93" t="str">
        <f>SUM('All Schools Roll-up'!AN42:AN47)</f>
        <v>#REF!</v>
      </c>
      <c r="AK79" s="93" t="str">
        <f>SUM('All Schools Roll-up'!AO42:AO47)</f>
        <v>#REF!</v>
      </c>
      <c r="AL79" s="93" t="str">
        <f>SUM('All Schools Roll-up'!AP42:AP47)</f>
        <v>#REF!</v>
      </c>
      <c r="AM79" s="90"/>
      <c r="AN79" s="90"/>
      <c r="AO79" s="90"/>
      <c r="AP79" s="90"/>
      <c r="AQ79" s="90"/>
      <c r="AR79" s="90"/>
      <c r="AS79" s="90"/>
      <c r="AT79" s="90"/>
      <c r="AU79" s="90"/>
      <c r="AV79" s="90"/>
      <c r="AW79" s="90"/>
      <c r="AX79" s="90"/>
      <c r="AY79" s="90"/>
    </row>
    <row r="80" ht="14.25" customHeight="1">
      <c r="A80" s="90"/>
      <c r="B80" s="109" t="s">
        <v>231</v>
      </c>
      <c r="C80" s="143"/>
      <c r="D80" s="143"/>
      <c r="E80" s="144"/>
      <c r="F80" s="144"/>
      <c r="G80" s="145">
        <f t="shared" ref="G80:AL80" si="37">SUM(G76:G79)</f>
        <v>3357775.22</v>
      </c>
      <c r="H80" s="145" t="str">
        <f t="shared" si="37"/>
        <v>#REF!</v>
      </c>
      <c r="I80" s="146" t="str">
        <f t="shared" si="37"/>
        <v>#REF!</v>
      </c>
      <c r="J80" s="146" t="str">
        <f t="shared" si="37"/>
        <v>#REF!</v>
      </c>
      <c r="K80" s="146" t="str">
        <f t="shared" si="37"/>
        <v>#REF!</v>
      </c>
      <c r="L80" s="146" t="str">
        <f t="shared" si="37"/>
        <v>#REF!</v>
      </c>
      <c r="M80" s="146" t="str">
        <f t="shared" si="37"/>
        <v>#REF!</v>
      </c>
      <c r="N80" s="146" t="str">
        <f t="shared" si="37"/>
        <v>#REF!</v>
      </c>
      <c r="O80" s="146" t="str">
        <f t="shared" si="37"/>
        <v>#REF!</v>
      </c>
      <c r="P80" s="146" t="str">
        <f t="shared" si="37"/>
        <v>#REF!</v>
      </c>
      <c r="Q80" s="146" t="str">
        <f t="shared" si="37"/>
        <v>#REF!</v>
      </c>
      <c r="R80" s="146" t="str">
        <f t="shared" si="37"/>
        <v>#REF!</v>
      </c>
      <c r="S80" s="146" t="str">
        <f t="shared" si="37"/>
        <v>#REF!</v>
      </c>
      <c r="T80" s="146" t="str">
        <f t="shared" si="37"/>
        <v>#REF!</v>
      </c>
      <c r="U80" s="146" t="str">
        <f t="shared" si="37"/>
        <v>#REF!</v>
      </c>
      <c r="V80" s="146" t="str">
        <f t="shared" si="37"/>
        <v>#REF!</v>
      </c>
      <c r="W80" s="146" t="str">
        <f t="shared" si="37"/>
        <v>#REF!</v>
      </c>
      <c r="X80" s="146" t="str">
        <f t="shared" si="37"/>
        <v>#REF!</v>
      </c>
      <c r="Y80" s="146" t="str">
        <f t="shared" si="37"/>
        <v>#REF!</v>
      </c>
      <c r="Z80" s="146" t="str">
        <f t="shared" si="37"/>
        <v>#REF!</v>
      </c>
      <c r="AA80" s="146" t="str">
        <f t="shared" si="37"/>
        <v>#REF!</v>
      </c>
      <c r="AB80" s="146" t="str">
        <f t="shared" si="37"/>
        <v>#REF!</v>
      </c>
      <c r="AC80" s="146" t="str">
        <f t="shared" si="37"/>
        <v>#REF!</v>
      </c>
      <c r="AD80" s="146" t="str">
        <f t="shared" si="37"/>
        <v>#REF!</v>
      </c>
      <c r="AE80" s="146" t="str">
        <f t="shared" si="37"/>
        <v>#REF!</v>
      </c>
      <c r="AF80" s="146" t="str">
        <f t="shared" si="37"/>
        <v>#REF!</v>
      </c>
      <c r="AG80" s="146" t="str">
        <f t="shared" si="37"/>
        <v>#REF!</v>
      </c>
      <c r="AH80" s="146" t="str">
        <f t="shared" si="37"/>
        <v>#REF!</v>
      </c>
      <c r="AI80" s="146" t="str">
        <f t="shared" si="37"/>
        <v>#REF!</v>
      </c>
      <c r="AJ80" s="146" t="str">
        <f t="shared" si="37"/>
        <v>#REF!</v>
      </c>
      <c r="AK80" s="146" t="str">
        <f t="shared" si="37"/>
        <v>#REF!</v>
      </c>
      <c r="AL80" s="146" t="str">
        <f t="shared" si="37"/>
        <v>#REF!</v>
      </c>
      <c r="AM80" s="90"/>
      <c r="AN80" s="90"/>
      <c r="AO80" s="90"/>
      <c r="AP80" s="90"/>
      <c r="AQ80" s="90"/>
      <c r="AR80" s="90"/>
      <c r="AS80" s="90"/>
      <c r="AT80" s="90"/>
      <c r="AU80" s="90"/>
      <c r="AV80" s="90"/>
      <c r="AW80" s="90"/>
      <c r="AX80" s="90"/>
      <c r="AY80" s="90"/>
    </row>
    <row r="81" ht="14.25" customHeight="1">
      <c r="A81" s="67"/>
      <c r="B81" s="126" t="s">
        <v>232</v>
      </c>
      <c r="C81" s="126"/>
      <c r="D81" s="126"/>
      <c r="E81" s="127"/>
      <c r="F81" s="127"/>
      <c r="G81" s="128">
        <f t="shared" ref="G81:AL81" si="38">G73-G80</f>
        <v>119936.58</v>
      </c>
      <c r="H81" s="128" t="str">
        <f t="shared" si="38"/>
        <v>#REF!</v>
      </c>
      <c r="I81" s="130" t="str">
        <f t="shared" si="38"/>
        <v>#REF!</v>
      </c>
      <c r="J81" s="130" t="str">
        <f t="shared" si="38"/>
        <v>#REF!</v>
      </c>
      <c r="K81" s="130" t="str">
        <f t="shared" si="38"/>
        <v>#REF!</v>
      </c>
      <c r="L81" s="130" t="str">
        <f t="shared" si="38"/>
        <v>#REF!</v>
      </c>
      <c r="M81" s="130" t="str">
        <f t="shared" si="38"/>
        <v>#REF!</v>
      </c>
      <c r="N81" s="130" t="str">
        <f t="shared" si="38"/>
        <v>#REF!</v>
      </c>
      <c r="O81" s="130" t="str">
        <f t="shared" si="38"/>
        <v>#REF!</v>
      </c>
      <c r="P81" s="130" t="str">
        <f t="shared" si="38"/>
        <v>#REF!</v>
      </c>
      <c r="Q81" s="130" t="str">
        <f t="shared" si="38"/>
        <v>#REF!</v>
      </c>
      <c r="R81" s="130" t="str">
        <f t="shared" si="38"/>
        <v>#REF!</v>
      </c>
      <c r="S81" s="130" t="str">
        <f t="shared" si="38"/>
        <v>#REF!</v>
      </c>
      <c r="T81" s="130" t="str">
        <f t="shared" si="38"/>
        <v>#REF!</v>
      </c>
      <c r="U81" s="130" t="str">
        <f t="shared" si="38"/>
        <v>#REF!</v>
      </c>
      <c r="V81" s="130" t="str">
        <f t="shared" si="38"/>
        <v>#REF!</v>
      </c>
      <c r="W81" s="130" t="str">
        <f t="shared" si="38"/>
        <v>#REF!</v>
      </c>
      <c r="X81" s="130" t="str">
        <f t="shared" si="38"/>
        <v>#REF!</v>
      </c>
      <c r="Y81" s="130" t="str">
        <f t="shared" si="38"/>
        <v>#REF!</v>
      </c>
      <c r="Z81" s="130" t="str">
        <f t="shared" si="38"/>
        <v>#REF!</v>
      </c>
      <c r="AA81" s="130" t="str">
        <f t="shared" si="38"/>
        <v>#REF!</v>
      </c>
      <c r="AB81" s="130" t="str">
        <f t="shared" si="38"/>
        <v>#REF!</v>
      </c>
      <c r="AC81" s="130" t="str">
        <f t="shared" si="38"/>
        <v>#REF!</v>
      </c>
      <c r="AD81" s="130" t="str">
        <f t="shared" si="38"/>
        <v>#REF!</v>
      </c>
      <c r="AE81" s="130" t="str">
        <f t="shared" si="38"/>
        <v>#REF!</v>
      </c>
      <c r="AF81" s="130" t="str">
        <f t="shared" si="38"/>
        <v>#REF!</v>
      </c>
      <c r="AG81" s="130" t="str">
        <f t="shared" si="38"/>
        <v>#REF!</v>
      </c>
      <c r="AH81" s="130" t="str">
        <f t="shared" si="38"/>
        <v>#REF!</v>
      </c>
      <c r="AI81" s="130" t="str">
        <f t="shared" si="38"/>
        <v>#REF!</v>
      </c>
      <c r="AJ81" s="130" t="str">
        <f t="shared" si="38"/>
        <v>#REF!</v>
      </c>
      <c r="AK81" s="130" t="str">
        <f t="shared" si="38"/>
        <v>#REF!</v>
      </c>
      <c r="AL81" s="130" t="str">
        <f t="shared" si="38"/>
        <v>#REF!</v>
      </c>
      <c r="AM81" s="67"/>
      <c r="AN81" s="67"/>
      <c r="AO81" s="67"/>
      <c r="AP81" s="67"/>
      <c r="AQ81" s="67"/>
      <c r="AR81" s="67"/>
      <c r="AS81" s="67"/>
      <c r="AT81" s="67"/>
      <c r="AU81" s="67"/>
      <c r="AV81" s="67"/>
      <c r="AW81" s="67"/>
      <c r="AX81" s="67"/>
      <c r="AY81" s="67"/>
    </row>
    <row r="82" ht="14.25" customHeight="1">
      <c r="A82" s="67"/>
      <c r="B82" s="67"/>
      <c r="C82" s="67" t="s">
        <v>195</v>
      </c>
      <c r="D82" s="67"/>
      <c r="E82" s="137"/>
      <c r="F82" s="137"/>
      <c r="G82" s="79">
        <f>'All Schools Roll-up'!K93</f>
        <v>115097.58</v>
      </c>
      <c r="H82" s="79" t="str">
        <f t="shared" ref="H82:AL82" si="39">G82+H81</f>
        <v>#REF!</v>
      </c>
      <c r="I82" s="115" t="str">
        <f t="shared" si="39"/>
        <v>#REF!</v>
      </c>
      <c r="J82" s="115" t="str">
        <f t="shared" si="39"/>
        <v>#REF!</v>
      </c>
      <c r="K82" s="115" t="str">
        <f t="shared" si="39"/>
        <v>#REF!</v>
      </c>
      <c r="L82" s="115" t="str">
        <f t="shared" si="39"/>
        <v>#REF!</v>
      </c>
      <c r="M82" s="115" t="str">
        <f t="shared" si="39"/>
        <v>#REF!</v>
      </c>
      <c r="N82" s="115" t="str">
        <f t="shared" si="39"/>
        <v>#REF!</v>
      </c>
      <c r="O82" s="115" t="str">
        <f t="shared" si="39"/>
        <v>#REF!</v>
      </c>
      <c r="P82" s="115" t="str">
        <f t="shared" si="39"/>
        <v>#REF!</v>
      </c>
      <c r="Q82" s="115" t="str">
        <f t="shared" si="39"/>
        <v>#REF!</v>
      </c>
      <c r="R82" s="115" t="str">
        <f t="shared" si="39"/>
        <v>#REF!</v>
      </c>
      <c r="S82" s="115" t="str">
        <f t="shared" si="39"/>
        <v>#REF!</v>
      </c>
      <c r="T82" s="115" t="str">
        <f t="shared" si="39"/>
        <v>#REF!</v>
      </c>
      <c r="U82" s="115" t="str">
        <f t="shared" si="39"/>
        <v>#REF!</v>
      </c>
      <c r="V82" s="115" t="str">
        <f t="shared" si="39"/>
        <v>#REF!</v>
      </c>
      <c r="W82" s="115" t="str">
        <f t="shared" si="39"/>
        <v>#REF!</v>
      </c>
      <c r="X82" s="115" t="str">
        <f t="shared" si="39"/>
        <v>#REF!</v>
      </c>
      <c r="Y82" s="115" t="str">
        <f t="shared" si="39"/>
        <v>#REF!</v>
      </c>
      <c r="Z82" s="115" t="str">
        <f t="shared" si="39"/>
        <v>#REF!</v>
      </c>
      <c r="AA82" s="115" t="str">
        <f t="shared" si="39"/>
        <v>#REF!</v>
      </c>
      <c r="AB82" s="115" t="str">
        <f t="shared" si="39"/>
        <v>#REF!</v>
      </c>
      <c r="AC82" s="115" t="str">
        <f t="shared" si="39"/>
        <v>#REF!</v>
      </c>
      <c r="AD82" s="115" t="str">
        <f t="shared" si="39"/>
        <v>#REF!</v>
      </c>
      <c r="AE82" s="115" t="str">
        <f t="shared" si="39"/>
        <v>#REF!</v>
      </c>
      <c r="AF82" s="115" t="str">
        <f t="shared" si="39"/>
        <v>#REF!</v>
      </c>
      <c r="AG82" s="115" t="str">
        <f t="shared" si="39"/>
        <v>#REF!</v>
      </c>
      <c r="AH82" s="115" t="str">
        <f t="shared" si="39"/>
        <v>#REF!</v>
      </c>
      <c r="AI82" s="115" t="str">
        <f t="shared" si="39"/>
        <v>#REF!</v>
      </c>
      <c r="AJ82" s="115" t="str">
        <f t="shared" si="39"/>
        <v>#REF!</v>
      </c>
      <c r="AK82" s="115" t="str">
        <f t="shared" si="39"/>
        <v>#REF!</v>
      </c>
      <c r="AL82" s="115" t="str">
        <f t="shared" si="39"/>
        <v>#REF!</v>
      </c>
      <c r="AM82" s="67"/>
      <c r="AN82" s="67"/>
      <c r="AO82" s="67"/>
      <c r="AP82" s="67"/>
      <c r="AQ82" s="67"/>
      <c r="AR82" s="67"/>
      <c r="AS82" s="67"/>
      <c r="AT82" s="67"/>
      <c r="AU82" s="67"/>
      <c r="AV82" s="67"/>
      <c r="AW82" s="67"/>
      <c r="AX82" s="67"/>
      <c r="AY82" s="67"/>
    </row>
    <row r="83" ht="14.25" customHeight="1">
      <c r="A83" s="90"/>
      <c r="B83" s="90"/>
      <c r="C83" s="90"/>
      <c r="D83" s="90"/>
      <c r="E83" s="123"/>
      <c r="F83" s="123"/>
      <c r="G83" s="99"/>
      <c r="H83" s="99"/>
      <c r="I83" s="93"/>
      <c r="J83" s="93"/>
      <c r="K83" s="93"/>
      <c r="L83" s="93"/>
      <c r="M83" s="93"/>
      <c r="N83" s="93"/>
      <c r="O83" s="93"/>
      <c r="P83" s="93"/>
      <c r="Q83" s="93"/>
      <c r="R83" s="93"/>
      <c r="S83" s="93"/>
      <c r="T83" s="93"/>
      <c r="U83" s="93"/>
      <c r="V83" s="93"/>
      <c r="W83" s="93"/>
      <c r="X83" s="93"/>
      <c r="Y83" s="93"/>
      <c r="Z83" s="93"/>
      <c r="AA83" s="93"/>
      <c r="AB83" s="93"/>
      <c r="AC83" s="93"/>
      <c r="AD83" s="93"/>
      <c r="AE83" s="93"/>
      <c r="AF83" s="93"/>
      <c r="AG83" s="93"/>
      <c r="AH83" s="93"/>
      <c r="AI83" s="93"/>
      <c r="AJ83" s="93"/>
      <c r="AK83" s="93"/>
      <c r="AL83" s="93"/>
      <c r="AM83" s="90"/>
      <c r="AN83" s="90"/>
      <c r="AO83" s="90"/>
      <c r="AP83" s="90"/>
      <c r="AQ83" s="90"/>
      <c r="AR83" s="90"/>
      <c r="AS83" s="90"/>
      <c r="AT83" s="90"/>
      <c r="AU83" s="90"/>
      <c r="AV83" s="90"/>
      <c r="AW83" s="90"/>
      <c r="AX83" s="90"/>
      <c r="AY83" s="90"/>
    </row>
    <row r="84" ht="14.25" customHeight="1" outlineLevel="1">
      <c r="A84" s="90"/>
      <c r="B84" s="90" t="s">
        <v>233</v>
      </c>
      <c r="C84" s="90"/>
      <c r="D84" s="90"/>
      <c r="E84" s="123"/>
      <c r="F84" s="123"/>
      <c r="G84" s="99">
        <f>'All Schools Roll-up'!K75</f>
        <v>70675.63</v>
      </c>
      <c r="H84" s="99" t="str">
        <f>'All Schools Roll-up'!L75</f>
        <v>#REF!</v>
      </c>
      <c r="I84" s="93" t="str">
        <f>'All Schools Roll-up'!M75</f>
        <v>#REF!</v>
      </c>
      <c r="J84" s="93" t="str">
        <f>'All Schools Roll-up'!N75</f>
        <v>#REF!</v>
      </c>
      <c r="K84" s="93" t="str">
        <f>'All Schools Roll-up'!O75</f>
        <v>#REF!</v>
      </c>
      <c r="L84" s="93" t="str">
        <f>'All Schools Roll-up'!P75</f>
        <v>#REF!</v>
      </c>
      <c r="M84" s="93" t="str">
        <f>'All Schools Roll-up'!Q75</f>
        <v>#REF!</v>
      </c>
      <c r="N84" s="93" t="str">
        <f>'All Schools Roll-up'!R75</f>
        <v>#REF!</v>
      </c>
      <c r="O84" s="93" t="str">
        <f>'All Schools Roll-up'!S75</f>
        <v>#REF!</v>
      </c>
      <c r="P84" s="93" t="str">
        <f>'All Schools Roll-up'!T75</f>
        <v>#REF!</v>
      </c>
      <c r="Q84" s="93" t="str">
        <f>'All Schools Roll-up'!U75</f>
        <v>#REF!</v>
      </c>
      <c r="R84" s="93" t="str">
        <f>'All Schools Roll-up'!V75</f>
        <v>#REF!</v>
      </c>
      <c r="S84" s="93" t="str">
        <f>'All Schools Roll-up'!W75</f>
        <v>#REF!</v>
      </c>
      <c r="T84" s="93" t="str">
        <f>'All Schools Roll-up'!X75</f>
        <v>#REF!</v>
      </c>
      <c r="U84" s="93" t="str">
        <f>'All Schools Roll-up'!Y75</f>
        <v>#REF!</v>
      </c>
      <c r="V84" s="93" t="str">
        <f>'All Schools Roll-up'!Z75</f>
        <v>#REF!</v>
      </c>
      <c r="W84" s="93" t="str">
        <f>'All Schools Roll-up'!AA75</f>
        <v>#REF!</v>
      </c>
      <c r="X84" s="93" t="str">
        <f>'All Schools Roll-up'!AB75</f>
        <v>#REF!</v>
      </c>
      <c r="Y84" s="93" t="str">
        <f>'All Schools Roll-up'!AC75</f>
        <v>#REF!</v>
      </c>
      <c r="Z84" s="93" t="str">
        <f>'All Schools Roll-up'!AD75</f>
        <v>#REF!</v>
      </c>
      <c r="AA84" s="93" t="str">
        <f>'All Schools Roll-up'!AE75</f>
        <v>#REF!</v>
      </c>
      <c r="AB84" s="93" t="str">
        <f>'All Schools Roll-up'!AF75</f>
        <v>#REF!</v>
      </c>
      <c r="AC84" s="93" t="str">
        <f>'All Schools Roll-up'!AG75</f>
        <v>#REF!</v>
      </c>
      <c r="AD84" s="93" t="str">
        <f>'All Schools Roll-up'!AH75</f>
        <v>#REF!</v>
      </c>
      <c r="AE84" s="93" t="str">
        <f>'All Schools Roll-up'!AI75</f>
        <v>#REF!</v>
      </c>
      <c r="AF84" s="93" t="str">
        <f>'All Schools Roll-up'!AJ75</f>
        <v>#REF!</v>
      </c>
      <c r="AG84" s="93" t="str">
        <f>'All Schools Roll-up'!AK75</f>
        <v>#REF!</v>
      </c>
      <c r="AH84" s="93" t="str">
        <f>'All Schools Roll-up'!AL75</f>
        <v>#REF!</v>
      </c>
      <c r="AI84" s="93" t="str">
        <f>'All Schools Roll-up'!AM75</f>
        <v>#REF!</v>
      </c>
      <c r="AJ84" s="93" t="str">
        <f>'All Schools Roll-up'!AN75</f>
        <v>#REF!</v>
      </c>
      <c r="AK84" s="93" t="str">
        <f>'All Schools Roll-up'!AO75</f>
        <v>#REF!</v>
      </c>
      <c r="AL84" s="93" t="str">
        <f>'All Schools Roll-up'!AP75</f>
        <v>#REF!</v>
      </c>
      <c r="AM84" s="90"/>
      <c r="AN84" s="90"/>
      <c r="AO84" s="90"/>
      <c r="AP84" s="90"/>
      <c r="AQ84" s="90"/>
      <c r="AR84" s="90"/>
      <c r="AS84" s="90"/>
      <c r="AT84" s="90"/>
      <c r="AU84" s="90"/>
      <c r="AV84" s="90"/>
      <c r="AW84" s="90"/>
      <c r="AX84" s="90"/>
      <c r="AY84" s="90"/>
    </row>
    <row r="85" ht="14.25" customHeight="1" outlineLevel="1">
      <c r="A85" s="90"/>
      <c r="B85" s="90"/>
      <c r="C85" s="90" t="s">
        <v>216</v>
      </c>
      <c r="D85" s="90"/>
      <c r="E85" s="123"/>
      <c r="F85" s="123"/>
      <c r="G85" s="99">
        <f>'All Schools Roll-up'!K76</f>
        <v>159494</v>
      </c>
      <c r="H85" s="99">
        <f t="shared" ref="H85:AL85" si="40">G86</f>
        <v>242669.38</v>
      </c>
      <c r="I85" s="93" t="str">
        <f t="shared" si="40"/>
        <v>#REF!</v>
      </c>
      <c r="J85" s="93" t="str">
        <f t="shared" si="40"/>
        <v>#REF!</v>
      </c>
      <c r="K85" s="93" t="str">
        <f t="shared" si="40"/>
        <v>#REF!</v>
      </c>
      <c r="L85" s="93" t="str">
        <f t="shared" si="40"/>
        <v>#REF!</v>
      </c>
      <c r="M85" s="93" t="str">
        <f t="shared" si="40"/>
        <v>#REF!</v>
      </c>
      <c r="N85" s="93" t="str">
        <f t="shared" si="40"/>
        <v>#REF!</v>
      </c>
      <c r="O85" s="93" t="str">
        <f t="shared" si="40"/>
        <v>#REF!</v>
      </c>
      <c r="P85" s="93" t="str">
        <f t="shared" si="40"/>
        <v>#REF!</v>
      </c>
      <c r="Q85" s="93" t="str">
        <f t="shared" si="40"/>
        <v>#REF!</v>
      </c>
      <c r="R85" s="93" t="str">
        <f t="shared" si="40"/>
        <v>#REF!</v>
      </c>
      <c r="S85" s="93" t="str">
        <f t="shared" si="40"/>
        <v>#REF!</v>
      </c>
      <c r="T85" s="93" t="str">
        <f t="shared" si="40"/>
        <v>#REF!</v>
      </c>
      <c r="U85" s="93" t="str">
        <f t="shared" si="40"/>
        <v>#REF!</v>
      </c>
      <c r="V85" s="93" t="str">
        <f t="shared" si="40"/>
        <v>#REF!</v>
      </c>
      <c r="W85" s="93" t="str">
        <f t="shared" si="40"/>
        <v>#REF!</v>
      </c>
      <c r="X85" s="93" t="str">
        <f t="shared" si="40"/>
        <v>#REF!</v>
      </c>
      <c r="Y85" s="93" t="str">
        <f t="shared" si="40"/>
        <v>#REF!</v>
      </c>
      <c r="Z85" s="93" t="str">
        <f t="shared" si="40"/>
        <v>#REF!</v>
      </c>
      <c r="AA85" s="93" t="str">
        <f t="shared" si="40"/>
        <v>#REF!</v>
      </c>
      <c r="AB85" s="93" t="str">
        <f t="shared" si="40"/>
        <v>#REF!</v>
      </c>
      <c r="AC85" s="93" t="str">
        <f t="shared" si="40"/>
        <v>#REF!</v>
      </c>
      <c r="AD85" s="93" t="str">
        <f t="shared" si="40"/>
        <v>#REF!</v>
      </c>
      <c r="AE85" s="93" t="str">
        <f t="shared" si="40"/>
        <v>#REF!</v>
      </c>
      <c r="AF85" s="93" t="str">
        <f t="shared" si="40"/>
        <v>#REF!</v>
      </c>
      <c r="AG85" s="93" t="str">
        <f t="shared" si="40"/>
        <v>#REF!</v>
      </c>
      <c r="AH85" s="93" t="str">
        <f t="shared" si="40"/>
        <v>#REF!</v>
      </c>
      <c r="AI85" s="93" t="str">
        <f t="shared" si="40"/>
        <v>#REF!</v>
      </c>
      <c r="AJ85" s="93" t="str">
        <f t="shared" si="40"/>
        <v>#REF!</v>
      </c>
      <c r="AK85" s="93" t="str">
        <f t="shared" si="40"/>
        <v>#REF!</v>
      </c>
      <c r="AL85" s="93" t="str">
        <f t="shared" si="40"/>
        <v>#REF!</v>
      </c>
      <c r="AM85" s="90"/>
      <c r="AN85" s="90"/>
      <c r="AO85" s="90"/>
      <c r="AP85" s="90"/>
      <c r="AQ85" s="90"/>
      <c r="AR85" s="90"/>
      <c r="AS85" s="90"/>
      <c r="AT85" s="90"/>
      <c r="AU85" s="90"/>
      <c r="AV85" s="90"/>
      <c r="AW85" s="90"/>
      <c r="AX85" s="90"/>
      <c r="AY85" s="90"/>
    </row>
    <row r="86" ht="14.25" customHeight="1">
      <c r="A86" s="67"/>
      <c r="B86" s="126" t="s">
        <v>196</v>
      </c>
      <c r="C86" s="126"/>
      <c r="D86" s="126"/>
      <c r="E86" s="127"/>
      <c r="F86" s="127"/>
      <c r="G86" s="128">
        <f>'All Schools Roll-up'!K77</f>
        <v>242669.38</v>
      </c>
      <c r="H86" s="128" t="str">
        <f t="shared" ref="H86:AL86" si="41">H84+H85</f>
        <v>#REF!</v>
      </c>
      <c r="I86" s="130" t="str">
        <f t="shared" si="41"/>
        <v>#REF!</v>
      </c>
      <c r="J86" s="130" t="str">
        <f t="shared" si="41"/>
        <v>#REF!</v>
      </c>
      <c r="K86" s="130" t="str">
        <f t="shared" si="41"/>
        <v>#REF!</v>
      </c>
      <c r="L86" s="130" t="str">
        <f t="shared" si="41"/>
        <v>#REF!</v>
      </c>
      <c r="M86" s="130" t="str">
        <f t="shared" si="41"/>
        <v>#REF!</v>
      </c>
      <c r="N86" s="130" t="str">
        <f t="shared" si="41"/>
        <v>#REF!</v>
      </c>
      <c r="O86" s="130" t="str">
        <f t="shared" si="41"/>
        <v>#REF!</v>
      </c>
      <c r="P86" s="130" t="str">
        <f t="shared" si="41"/>
        <v>#REF!</v>
      </c>
      <c r="Q86" s="130" t="str">
        <f t="shared" si="41"/>
        <v>#REF!</v>
      </c>
      <c r="R86" s="130" t="str">
        <f t="shared" si="41"/>
        <v>#REF!</v>
      </c>
      <c r="S86" s="130" t="str">
        <f t="shared" si="41"/>
        <v>#REF!</v>
      </c>
      <c r="T86" s="130" t="str">
        <f t="shared" si="41"/>
        <v>#REF!</v>
      </c>
      <c r="U86" s="130" t="str">
        <f t="shared" si="41"/>
        <v>#REF!</v>
      </c>
      <c r="V86" s="130" t="str">
        <f t="shared" si="41"/>
        <v>#REF!</v>
      </c>
      <c r="W86" s="130" t="str">
        <f t="shared" si="41"/>
        <v>#REF!</v>
      </c>
      <c r="X86" s="130" t="str">
        <f t="shared" si="41"/>
        <v>#REF!</v>
      </c>
      <c r="Y86" s="130" t="str">
        <f t="shared" si="41"/>
        <v>#REF!</v>
      </c>
      <c r="Z86" s="130" t="str">
        <f t="shared" si="41"/>
        <v>#REF!</v>
      </c>
      <c r="AA86" s="130" t="str">
        <f t="shared" si="41"/>
        <v>#REF!</v>
      </c>
      <c r="AB86" s="130" t="str">
        <f t="shared" si="41"/>
        <v>#REF!</v>
      </c>
      <c r="AC86" s="130" t="str">
        <f t="shared" si="41"/>
        <v>#REF!</v>
      </c>
      <c r="AD86" s="130" t="str">
        <f t="shared" si="41"/>
        <v>#REF!</v>
      </c>
      <c r="AE86" s="130" t="str">
        <f t="shared" si="41"/>
        <v>#REF!</v>
      </c>
      <c r="AF86" s="130" t="str">
        <f t="shared" si="41"/>
        <v>#REF!</v>
      </c>
      <c r="AG86" s="130" t="str">
        <f t="shared" si="41"/>
        <v>#REF!</v>
      </c>
      <c r="AH86" s="130" t="str">
        <f t="shared" si="41"/>
        <v>#REF!</v>
      </c>
      <c r="AI86" s="130" t="str">
        <f t="shared" si="41"/>
        <v>#REF!</v>
      </c>
      <c r="AJ86" s="130" t="str">
        <f t="shared" si="41"/>
        <v>#REF!</v>
      </c>
      <c r="AK86" s="130" t="str">
        <f t="shared" si="41"/>
        <v>#REF!</v>
      </c>
      <c r="AL86" s="130" t="str">
        <f t="shared" si="41"/>
        <v>#REF!</v>
      </c>
      <c r="AM86" s="67"/>
      <c r="AN86" s="67"/>
      <c r="AO86" s="67"/>
      <c r="AP86" s="67"/>
      <c r="AQ86" s="67"/>
      <c r="AR86" s="67"/>
      <c r="AS86" s="67"/>
      <c r="AT86" s="67"/>
      <c r="AU86" s="67"/>
      <c r="AV86" s="67"/>
      <c r="AW86" s="67"/>
      <c r="AX86" s="67"/>
      <c r="AY86" s="67"/>
    </row>
    <row r="87" ht="14.25" customHeight="1">
      <c r="A87" s="90"/>
      <c r="E87" s="123"/>
      <c r="F87" s="123"/>
      <c r="G87" s="99"/>
      <c r="H87" s="99"/>
      <c r="I87" s="93"/>
      <c r="J87" s="93"/>
      <c r="K87" s="93"/>
      <c r="L87" s="93"/>
      <c r="M87" s="93"/>
      <c r="N87" s="93"/>
      <c r="O87" s="93"/>
      <c r="P87" s="93"/>
      <c r="Q87" s="93"/>
      <c r="R87" s="93"/>
      <c r="S87" s="93"/>
      <c r="T87" s="93"/>
      <c r="U87" s="93"/>
      <c r="V87" s="93"/>
      <c r="W87" s="93"/>
      <c r="X87" s="93"/>
      <c r="Y87" s="93"/>
      <c r="Z87" s="93"/>
      <c r="AA87" s="93"/>
      <c r="AB87" s="93"/>
      <c r="AC87" s="93"/>
      <c r="AD87" s="93"/>
      <c r="AE87" s="93"/>
      <c r="AF87" s="93"/>
      <c r="AG87" s="93"/>
      <c r="AH87" s="93"/>
      <c r="AI87" s="93"/>
      <c r="AJ87" s="93"/>
      <c r="AK87" s="93"/>
      <c r="AL87" s="93"/>
    </row>
    <row r="88" ht="14.25" customHeight="1">
      <c r="A88" s="108" t="s">
        <v>234</v>
      </c>
      <c r="B88" s="109"/>
      <c r="C88" s="109"/>
      <c r="D88" s="109"/>
      <c r="E88" s="110"/>
      <c r="F88" s="110"/>
      <c r="G88" s="111"/>
      <c r="H88" s="111"/>
      <c r="I88" s="112"/>
      <c r="J88" s="112"/>
      <c r="K88" s="112"/>
      <c r="L88" s="112"/>
      <c r="M88" s="112"/>
      <c r="N88" s="112"/>
      <c r="O88" s="112"/>
      <c r="P88" s="112"/>
      <c r="Q88" s="112"/>
      <c r="R88" s="112"/>
      <c r="S88" s="112"/>
      <c r="T88" s="112"/>
      <c r="U88" s="112"/>
      <c r="V88" s="112"/>
      <c r="W88" s="112"/>
      <c r="X88" s="112"/>
      <c r="Y88" s="112"/>
      <c r="Z88" s="112"/>
      <c r="AA88" s="112"/>
      <c r="AB88" s="112"/>
      <c r="AC88" s="112"/>
      <c r="AD88" s="112"/>
      <c r="AE88" s="112"/>
      <c r="AF88" s="112"/>
      <c r="AG88" s="112"/>
      <c r="AH88" s="112"/>
      <c r="AI88" s="112"/>
      <c r="AJ88" s="112"/>
      <c r="AK88" s="112"/>
      <c r="AL88" s="112"/>
      <c r="AM88" s="67"/>
      <c r="AN88" s="67"/>
      <c r="AO88" s="67"/>
      <c r="AP88" s="67"/>
      <c r="AQ88" s="67"/>
      <c r="AR88" s="67"/>
      <c r="AS88" s="67"/>
      <c r="AT88" s="67"/>
      <c r="AU88" s="67"/>
      <c r="AV88" s="67"/>
      <c r="AW88" s="67"/>
      <c r="AX88" s="67"/>
      <c r="AY88" s="67"/>
    </row>
    <row r="89" ht="14.25" customHeight="1">
      <c r="A89" s="90"/>
      <c r="B89" s="90" t="s">
        <v>235</v>
      </c>
      <c r="C89" s="90"/>
      <c r="D89" s="90"/>
      <c r="E89" s="72"/>
      <c r="F89" s="72"/>
      <c r="G89" s="147"/>
      <c r="H89" s="147"/>
      <c r="I89" s="93"/>
      <c r="J89" s="93"/>
      <c r="K89" s="93"/>
      <c r="L89" s="93"/>
      <c r="M89" s="91"/>
      <c r="N89" s="91"/>
      <c r="O89" s="93"/>
      <c r="P89" s="93"/>
      <c r="Q89" s="93"/>
      <c r="R89" s="93"/>
      <c r="S89" s="93"/>
      <c r="T89" s="93"/>
      <c r="U89" s="93"/>
      <c r="V89" s="93"/>
      <c r="W89" s="93"/>
      <c r="X89" s="93"/>
      <c r="Y89" s="93"/>
      <c r="Z89" s="93"/>
      <c r="AA89" s="93"/>
      <c r="AB89" s="93"/>
      <c r="AC89" s="93"/>
      <c r="AD89" s="93"/>
      <c r="AE89" s="93"/>
      <c r="AF89" s="93"/>
      <c r="AG89" s="93"/>
      <c r="AH89" s="93"/>
      <c r="AI89" s="93"/>
      <c r="AJ89" s="93"/>
      <c r="AK89" s="93"/>
      <c r="AL89" s="93"/>
      <c r="AM89" s="90"/>
      <c r="AN89" s="90"/>
      <c r="AO89" s="90"/>
      <c r="AP89" s="90"/>
      <c r="AQ89" s="90"/>
      <c r="AR89" s="90"/>
      <c r="AS89" s="90"/>
      <c r="AT89" s="90"/>
      <c r="AU89" s="90"/>
      <c r="AV89" s="90"/>
      <c r="AW89" s="90"/>
      <c r="AX89" s="90"/>
      <c r="AY89" s="90"/>
    </row>
    <row r="90" ht="14.25" customHeight="1">
      <c r="A90" s="90"/>
      <c r="B90" s="90"/>
      <c r="C90" s="90" t="s">
        <v>236</v>
      </c>
      <c r="D90" s="90"/>
      <c r="E90" s="123"/>
      <c r="F90" s="123"/>
      <c r="G90" s="99">
        <f>'RSED National'!K32</f>
        <v>335709.6975</v>
      </c>
      <c r="H90" s="99">
        <f>'RSED National'!L32</f>
        <v>1123269.08</v>
      </c>
      <c r="I90" s="93">
        <f>'RSED National'!M32</f>
        <v>1255682.424</v>
      </c>
      <c r="J90" s="93">
        <f>'RSED National'!N32</f>
        <v>1996440.79</v>
      </c>
      <c r="K90" s="93">
        <f>'RSED National'!O32</f>
        <v>3222630.277</v>
      </c>
      <c r="L90" s="93">
        <f>'RSED National'!P32</f>
        <v>5137166.911</v>
      </c>
      <c r="M90" s="93">
        <f>'RSED National'!Q32</f>
        <v>8313599.494</v>
      </c>
      <c r="N90" s="93">
        <f>'RSED National'!R32</f>
        <v>13629862.48</v>
      </c>
      <c r="O90" s="93">
        <f>'RSED National'!S32</f>
        <v>23038622.82</v>
      </c>
      <c r="P90" s="93">
        <f>'RSED National'!T32</f>
        <v>36549832.32</v>
      </c>
      <c r="Q90" s="93">
        <f>'RSED National'!U32</f>
        <v>48487643.98</v>
      </c>
      <c r="R90" s="93">
        <f>'RSED National'!V32</f>
        <v>67084918.99</v>
      </c>
      <c r="S90" s="93">
        <f>'RSED National'!W32</f>
        <v>93195979.57</v>
      </c>
      <c r="T90" s="93">
        <f>'RSED National'!X32</f>
        <v>128320500.9</v>
      </c>
      <c r="U90" s="93">
        <f>'RSED National'!Y32</f>
        <v>180706670.9</v>
      </c>
      <c r="V90" s="93">
        <f>'RSED National'!Z32</f>
        <v>261440523.2</v>
      </c>
      <c r="W90" s="93">
        <f>'RSED National'!AA32</f>
        <v>369494620.5</v>
      </c>
      <c r="X90" s="93">
        <f>'RSED National'!AB32</f>
        <v>504086924.3</v>
      </c>
      <c r="Y90" s="93">
        <f>'RSED National'!AC32</f>
        <v>665800757</v>
      </c>
      <c r="Z90" s="93">
        <f>'RSED National'!AD32</f>
        <v>855361269.6</v>
      </c>
      <c r="AA90" s="93">
        <f>'RSED National'!AE32</f>
        <v>1060145684</v>
      </c>
      <c r="AB90" s="93">
        <f>'RSED National'!AF32</f>
        <v>1257461006</v>
      </c>
      <c r="AC90" s="93">
        <f>'RSED National'!AG32</f>
        <v>1387449195</v>
      </c>
      <c r="AD90" s="93">
        <f>'RSED National'!AH32</f>
        <v>1445312764</v>
      </c>
      <c r="AE90" s="93">
        <f>'RSED National'!AI32</f>
        <v>1487141214</v>
      </c>
      <c r="AF90" s="93">
        <f>'RSED National'!AJ32</f>
        <v>1516914055</v>
      </c>
      <c r="AG90" s="93">
        <f>'RSED National'!AK32</f>
        <v>1545940574</v>
      </c>
      <c r="AH90" s="93">
        <f>'RSED National'!AL32</f>
        <v>1576002716</v>
      </c>
      <c r="AI90" s="93">
        <f>'RSED National'!AM32</f>
        <v>1607113739</v>
      </c>
      <c r="AJ90" s="93">
        <f>'RSED National'!AN32</f>
        <v>1639210864</v>
      </c>
      <c r="AK90" s="93" t="str">
        <f>'RSED National'!AO32</f>
        <v>#REF!</v>
      </c>
      <c r="AL90" s="93" t="str">
        <f>'RSED National'!AP32</f>
        <v>#REF!</v>
      </c>
      <c r="AM90" s="90"/>
      <c r="AN90" s="90"/>
      <c r="AO90" s="90"/>
      <c r="AP90" s="90"/>
      <c r="AQ90" s="90"/>
      <c r="AR90" s="90"/>
      <c r="AS90" s="90"/>
      <c r="AT90" s="90"/>
      <c r="AU90" s="90"/>
      <c r="AV90" s="90"/>
      <c r="AW90" s="90"/>
      <c r="AX90" s="90"/>
      <c r="AY90" s="90"/>
    </row>
    <row r="91" ht="14.25" customHeight="1">
      <c r="A91" s="90"/>
      <c r="B91" s="90"/>
      <c r="C91" s="90" t="s">
        <v>237</v>
      </c>
      <c r="D91" s="90"/>
      <c r="E91" s="123"/>
      <c r="F91" s="123"/>
      <c r="G91" s="99">
        <f>'RSED National'!K33</f>
        <v>111903.2325</v>
      </c>
      <c r="H91" s="99">
        <f>'RSED National'!L33</f>
        <v>0</v>
      </c>
      <c r="I91" s="93">
        <f>'RSED National'!M33</f>
        <v>313920.2009</v>
      </c>
      <c r="J91" s="93">
        <f>'RSED National'!N33</f>
        <v>503040.0706</v>
      </c>
      <c r="K91" s="93">
        <f>'RSED National'!O33</f>
        <v>838465.749</v>
      </c>
      <c r="L91" s="93">
        <f>'RSED National'!P33</f>
        <v>1396736.964</v>
      </c>
      <c r="M91" s="93">
        <f>'RSED National'!Q33</f>
        <v>2501790.926</v>
      </c>
      <c r="N91" s="93">
        <f>'RSED National'!R33</f>
        <v>3934639.12</v>
      </c>
      <c r="O91" s="93">
        <f>'RSED National'!S33</f>
        <v>6343512.078</v>
      </c>
      <c r="P91" s="93">
        <f>'RSED National'!T33</f>
        <v>9502868.167</v>
      </c>
      <c r="Q91" s="93">
        <f>'RSED National'!U33</f>
        <v>12897702.92</v>
      </c>
      <c r="R91" s="93">
        <f>'RSED National'!V33</f>
        <v>13407469.41</v>
      </c>
      <c r="S91" s="93">
        <f>'RSED National'!W33</f>
        <v>12923476.6</v>
      </c>
      <c r="T91" s="93">
        <f>'RSED National'!X33</f>
        <v>12200999.46</v>
      </c>
      <c r="U91" s="93">
        <f>'RSED National'!Y33</f>
        <v>12222267.14</v>
      </c>
      <c r="V91" s="93">
        <f>'RSED National'!Z33</f>
        <v>12448074.39</v>
      </c>
      <c r="W91" s="93">
        <f>'RSED National'!AA33</f>
        <v>12682959.52</v>
      </c>
      <c r="X91" s="93">
        <f>'RSED National'!AB33</f>
        <v>12928527.66</v>
      </c>
      <c r="Y91" s="93">
        <f>'RSED National'!AC33</f>
        <v>13185720.05</v>
      </c>
      <c r="Z91" s="93">
        <f>'RSED National'!AD33</f>
        <v>13449432.29</v>
      </c>
      <c r="AA91" s="93">
        <f>'RSED National'!AE33</f>
        <v>13718418.56</v>
      </c>
      <c r="AB91" s="93">
        <f>'RSED National'!AF33</f>
        <v>13992784.27</v>
      </c>
      <c r="AC91" s="93">
        <f>'RSED National'!AG33</f>
        <v>14272637.94</v>
      </c>
      <c r="AD91" s="93">
        <f>'RSED National'!AH33</f>
        <v>14558088.2</v>
      </c>
      <c r="AE91" s="93">
        <f>'RSED National'!AI33</f>
        <v>14849247.86</v>
      </c>
      <c r="AF91" s="93">
        <f>'RSED National'!AJ33</f>
        <v>15146229.96</v>
      </c>
      <c r="AG91" s="93">
        <f>'RSED National'!AK33</f>
        <v>15449151.78</v>
      </c>
      <c r="AH91" s="93">
        <f>'RSED National'!AL33</f>
        <v>15758132.91</v>
      </c>
      <c r="AI91" s="93">
        <f>'RSED National'!AM33</f>
        <v>16073293.31</v>
      </c>
      <c r="AJ91" s="93">
        <f>'RSED National'!AN33</f>
        <v>16394756.32</v>
      </c>
      <c r="AK91" s="93">
        <f>'RSED National'!AO33</f>
        <v>16722649.72</v>
      </c>
      <c r="AL91" s="93">
        <f>'RSED National'!AP33</f>
        <v>17057099.82</v>
      </c>
      <c r="AM91" s="90"/>
      <c r="AN91" s="90"/>
      <c r="AO91" s="90"/>
      <c r="AP91" s="90"/>
      <c r="AQ91" s="90"/>
      <c r="AR91" s="90"/>
      <c r="AS91" s="90"/>
      <c r="AT91" s="90"/>
      <c r="AU91" s="90"/>
      <c r="AV91" s="90"/>
      <c r="AW91" s="90"/>
      <c r="AX91" s="90"/>
      <c r="AY91" s="90"/>
    </row>
    <row r="92" ht="14.25" customHeight="1">
      <c r="A92" s="90"/>
      <c r="B92" s="90"/>
      <c r="C92" s="90" t="s">
        <v>238</v>
      </c>
      <c r="D92" s="90"/>
      <c r="E92" s="123"/>
      <c r="F92" s="123"/>
      <c r="G92" s="99">
        <f>'RSED National'!K34</f>
        <v>571902.39</v>
      </c>
      <c r="H92" s="99" t="str">
        <f>'RSED National'!L34</f>
        <v>#REF!</v>
      </c>
      <c r="I92" s="93">
        <f>'RSED National'!M34</f>
        <v>2937746.007</v>
      </c>
      <c r="J92" s="93">
        <f>'RSED National'!N34</f>
        <v>2455255.847</v>
      </c>
      <c r="K92" s="93">
        <f>'RSED National'!O34</f>
        <v>3467943.424</v>
      </c>
      <c r="L92" s="93">
        <f>'RSED National'!P34</f>
        <v>500000</v>
      </c>
      <c r="M92" s="93">
        <f>'RSED National'!Q34</f>
        <v>0</v>
      </c>
      <c r="N92" s="93">
        <f>'RSED National'!R34</f>
        <v>0</v>
      </c>
      <c r="O92" s="93">
        <f>'RSED National'!S34</f>
        <v>0</v>
      </c>
      <c r="P92" s="93">
        <f>'RSED National'!T34</f>
        <v>0</v>
      </c>
      <c r="Q92" s="93">
        <f>'RSED National'!U34</f>
        <v>0</v>
      </c>
      <c r="R92" s="93">
        <f>'RSED National'!V34</f>
        <v>0</v>
      </c>
      <c r="S92" s="93">
        <f>'RSED National'!W34</f>
        <v>0</v>
      </c>
      <c r="T92" s="93">
        <f>'RSED National'!X34</f>
        <v>0</v>
      </c>
      <c r="U92" s="93">
        <f>'RSED National'!Y34</f>
        <v>0</v>
      </c>
      <c r="V92" s="93">
        <f>'RSED National'!Z34</f>
        <v>0</v>
      </c>
      <c r="W92" s="93">
        <f>'RSED National'!AA34</f>
        <v>0</v>
      </c>
      <c r="X92" s="93">
        <f>'RSED National'!AB34</f>
        <v>0</v>
      </c>
      <c r="Y92" s="93">
        <f>'RSED National'!AC34</f>
        <v>0</v>
      </c>
      <c r="Z92" s="93">
        <f>'RSED National'!AD34</f>
        <v>0</v>
      </c>
      <c r="AA92" s="93">
        <f>'RSED National'!AE34</f>
        <v>0</v>
      </c>
      <c r="AB92" s="93">
        <f>'RSED National'!AF34</f>
        <v>0</v>
      </c>
      <c r="AC92" s="93">
        <f>'RSED National'!AG34</f>
        <v>0</v>
      </c>
      <c r="AD92" s="93">
        <f>'RSED National'!AH34</f>
        <v>0</v>
      </c>
      <c r="AE92" s="93">
        <f>'RSED National'!AI34</f>
        <v>0</v>
      </c>
      <c r="AF92" s="93">
        <f>'RSED National'!AJ34</f>
        <v>0</v>
      </c>
      <c r="AG92" s="93">
        <f>'RSED National'!AK34</f>
        <v>0</v>
      </c>
      <c r="AH92" s="93">
        <f>'RSED National'!AL34</f>
        <v>0</v>
      </c>
      <c r="AI92" s="93">
        <f>'RSED National'!AM34</f>
        <v>0</v>
      </c>
      <c r="AJ92" s="93">
        <f>'RSED National'!AN34</f>
        <v>0</v>
      </c>
      <c r="AK92" s="93">
        <f>'RSED National'!AO34</f>
        <v>0</v>
      </c>
      <c r="AL92" s="93">
        <f>'RSED National'!AP34</f>
        <v>0</v>
      </c>
      <c r="AM92" s="90"/>
      <c r="AN92" s="90"/>
      <c r="AO92" s="90"/>
      <c r="AP92" s="90"/>
      <c r="AQ92" s="90"/>
      <c r="AR92" s="90"/>
      <c r="AS92" s="90"/>
      <c r="AT92" s="90"/>
      <c r="AU92" s="90"/>
      <c r="AV92" s="90"/>
      <c r="AW92" s="90"/>
      <c r="AX92" s="90"/>
      <c r="AY92" s="90"/>
    </row>
    <row r="93" ht="14.25" customHeight="1">
      <c r="A93" s="90"/>
      <c r="B93" s="148" t="s">
        <v>239</v>
      </c>
      <c r="C93" s="148"/>
      <c r="D93" s="148"/>
      <c r="E93" s="149"/>
      <c r="F93" s="149"/>
      <c r="G93" s="150">
        <f t="shared" ref="G93:AL93" si="42">SUM(G90:G92)</f>
        <v>1019515.32</v>
      </c>
      <c r="H93" s="150" t="str">
        <f t="shared" si="42"/>
        <v>#REF!</v>
      </c>
      <c r="I93" s="151">
        <f t="shared" si="42"/>
        <v>4507348.632</v>
      </c>
      <c r="J93" s="151">
        <f t="shared" si="42"/>
        <v>4954736.708</v>
      </c>
      <c r="K93" s="151">
        <f t="shared" si="42"/>
        <v>7529039.45</v>
      </c>
      <c r="L93" s="151">
        <f t="shared" si="42"/>
        <v>7033903.876</v>
      </c>
      <c r="M93" s="151">
        <f t="shared" si="42"/>
        <v>10815390.42</v>
      </c>
      <c r="N93" s="151">
        <f t="shared" si="42"/>
        <v>17564501.6</v>
      </c>
      <c r="O93" s="151">
        <f t="shared" si="42"/>
        <v>29382134.9</v>
      </c>
      <c r="P93" s="151">
        <f t="shared" si="42"/>
        <v>46052700.48</v>
      </c>
      <c r="Q93" s="151">
        <f t="shared" si="42"/>
        <v>61385346.91</v>
      </c>
      <c r="R93" s="151">
        <f t="shared" si="42"/>
        <v>80492388.4</v>
      </c>
      <c r="S93" s="151">
        <f t="shared" si="42"/>
        <v>106119456.2</v>
      </c>
      <c r="T93" s="151">
        <f t="shared" si="42"/>
        <v>140521500.3</v>
      </c>
      <c r="U93" s="151">
        <f t="shared" si="42"/>
        <v>192928938</v>
      </c>
      <c r="V93" s="151">
        <f t="shared" si="42"/>
        <v>273888597.6</v>
      </c>
      <c r="W93" s="151">
        <f t="shared" si="42"/>
        <v>382177580</v>
      </c>
      <c r="X93" s="151">
        <f t="shared" si="42"/>
        <v>517015452</v>
      </c>
      <c r="Y93" s="151">
        <f t="shared" si="42"/>
        <v>678986477.1</v>
      </c>
      <c r="Z93" s="151">
        <f t="shared" si="42"/>
        <v>868810701.8</v>
      </c>
      <c r="AA93" s="151">
        <f t="shared" si="42"/>
        <v>1073864103</v>
      </c>
      <c r="AB93" s="151">
        <f t="shared" si="42"/>
        <v>1271453790</v>
      </c>
      <c r="AC93" s="151">
        <f t="shared" si="42"/>
        <v>1401721833</v>
      </c>
      <c r="AD93" s="151">
        <f t="shared" si="42"/>
        <v>1459870853</v>
      </c>
      <c r="AE93" s="151">
        <f t="shared" si="42"/>
        <v>1501990462</v>
      </c>
      <c r="AF93" s="151">
        <f t="shared" si="42"/>
        <v>1532060285</v>
      </c>
      <c r="AG93" s="151">
        <f t="shared" si="42"/>
        <v>1561389726</v>
      </c>
      <c r="AH93" s="151">
        <f t="shared" si="42"/>
        <v>1591760849</v>
      </c>
      <c r="AI93" s="151">
        <f t="shared" si="42"/>
        <v>1623187032</v>
      </c>
      <c r="AJ93" s="151">
        <f t="shared" si="42"/>
        <v>1655605621</v>
      </c>
      <c r="AK93" s="151" t="str">
        <f t="shared" si="42"/>
        <v>#REF!</v>
      </c>
      <c r="AL93" s="151" t="str">
        <f t="shared" si="42"/>
        <v>#REF!</v>
      </c>
      <c r="AM93" s="90"/>
      <c r="AN93" s="90"/>
      <c r="AO93" s="90"/>
      <c r="AP93" s="90"/>
      <c r="AQ93" s="90"/>
      <c r="AR93" s="90"/>
      <c r="AS93" s="90"/>
      <c r="AT93" s="90"/>
      <c r="AU93" s="90"/>
      <c r="AV93" s="90"/>
      <c r="AW93" s="90"/>
      <c r="AX93" s="90"/>
      <c r="AY93" s="90"/>
    </row>
    <row r="94" ht="14.25" customHeight="1">
      <c r="A94" s="90"/>
      <c r="B94" s="90" t="s">
        <v>178</v>
      </c>
      <c r="C94" s="90"/>
      <c r="D94" s="90"/>
      <c r="E94" s="113"/>
      <c r="F94" s="113"/>
      <c r="G94" s="99">
        <f>'RSED National'!K41</f>
        <v>652846.79</v>
      </c>
      <c r="H94" s="99">
        <f>'RSED National'!L41</f>
        <v>2064421.54</v>
      </c>
      <c r="I94" s="93" t="str">
        <f>'RSED National'!M41</f>
        <v>#REF!</v>
      </c>
      <c r="J94" s="93" t="str">
        <f>'RSED National'!N41</f>
        <v>#REF!</v>
      </c>
      <c r="K94" s="93" t="str">
        <f>'RSED National'!O41</f>
        <v>#REF!</v>
      </c>
      <c r="L94" s="93" t="str">
        <f>'RSED National'!P41</f>
        <v>#REF!</v>
      </c>
      <c r="M94" s="93" t="str">
        <f>'RSED National'!Q41</f>
        <v>#REF!</v>
      </c>
      <c r="N94" s="93" t="str">
        <f>'RSED National'!R41</f>
        <v>#REF!</v>
      </c>
      <c r="O94" s="93" t="str">
        <f>'RSED National'!S41</f>
        <v>#REF!</v>
      </c>
      <c r="P94" s="93" t="str">
        <f>'RSED National'!T41</f>
        <v>#REF!</v>
      </c>
      <c r="Q94" s="93" t="str">
        <f>'RSED National'!U41</f>
        <v>#REF!</v>
      </c>
      <c r="R94" s="93" t="str">
        <f>'RSED National'!V41</f>
        <v>#REF!</v>
      </c>
      <c r="S94" s="93" t="str">
        <f>'RSED National'!W41</f>
        <v>#REF!</v>
      </c>
      <c r="T94" s="93" t="str">
        <f>'RSED National'!X41</f>
        <v>#REF!</v>
      </c>
      <c r="U94" s="93" t="str">
        <f>'RSED National'!Y41</f>
        <v>#REF!</v>
      </c>
      <c r="V94" s="93" t="str">
        <f>'RSED National'!Z41</f>
        <v>#REF!</v>
      </c>
      <c r="W94" s="93" t="str">
        <f>'RSED National'!AA41</f>
        <v>#REF!</v>
      </c>
      <c r="X94" s="93" t="str">
        <f>'RSED National'!AB41</f>
        <v>#REF!</v>
      </c>
      <c r="Y94" s="93" t="str">
        <f>'RSED National'!AC41</f>
        <v>#REF!</v>
      </c>
      <c r="Z94" s="93" t="str">
        <f>'RSED National'!AD41</f>
        <v>#REF!</v>
      </c>
      <c r="AA94" s="93" t="str">
        <f>'RSED National'!AE41</f>
        <v>#REF!</v>
      </c>
      <c r="AB94" s="93" t="str">
        <f>'RSED National'!AF41</f>
        <v>#REF!</v>
      </c>
      <c r="AC94" s="93" t="str">
        <f>'RSED National'!AG41</f>
        <v>#REF!</v>
      </c>
      <c r="AD94" s="93" t="str">
        <f>'RSED National'!AH41</f>
        <v>#REF!</v>
      </c>
      <c r="AE94" s="93" t="str">
        <f>'RSED National'!AI41</f>
        <v>#REF!</v>
      </c>
      <c r="AF94" s="93" t="str">
        <f>'RSED National'!AJ41</f>
        <v>#REF!</v>
      </c>
      <c r="AG94" s="93" t="str">
        <f>'RSED National'!AK41</f>
        <v>#REF!</v>
      </c>
      <c r="AH94" s="93" t="str">
        <f>'RSED National'!AL41</f>
        <v>#REF!</v>
      </c>
      <c r="AI94" s="93" t="str">
        <f>'RSED National'!AM41</f>
        <v>#REF!</v>
      </c>
      <c r="AJ94" s="93" t="str">
        <f>'RSED National'!AN41</f>
        <v>#REF!</v>
      </c>
      <c r="AK94" s="93" t="str">
        <f>'RSED National'!AO41</f>
        <v>#REF!</v>
      </c>
      <c r="AL94" s="93" t="str">
        <f>'RSED National'!AP41</f>
        <v>#REF!</v>
      </c>
      <c r="AM94" s="152"/>
      <c r="AN94" s="90"/>
      <c r="AO94" s="90"/>
      <c r="AP94" s="90"/>
      <c r="AQ94" s="90"/>
      <c r="AR94" s="90"/>
      <c r="AS94" s="90"/>
      <c r="AT94" s="90"/>
      <c r="AU94" s="90"/>
      <c r="AV94" s="90"/>
      <c r="AW94" s="90"/>
      <c r="AX94" s="90"/>
      <c r="AY94" s="90"/>
    </row>
    <row r="95" ht="14.25" customHeight="1">
      <c r="A95" s="67"/>
      <c r="B95" s="126" t="s">
        <v>232</v>
      </c>
      <c r="C95" s="126"/>
      <c r="D95" s="126"/>
      <c r="E95" s="127"/>
      <c r="F95" s="127"/>
      <c r="G95" s="128">
        <f t="shared" ref="G95:AL95" si="43">G93-G94</f>
        <v>366668.53</v>
      </c>
      <c r="H95" s="128" t="str">
        <f t="shared" si="43"/>
        <v>#REF!</v>
      </c>
      <c r="I95" s="130" t="str">
        <f t="shared" si="43"/>
        <v>#REF!</v>
      </c>
      <c r="J95" s="130" t="str">
        <f t="shared" si="43"/>
        <v>#REF!</v>
      </c>
      <c r="K95" s="130" t="str">
        <f t="shared" si="43"/>
        <v>#REF!</v>
      </c>
      <c r="L95" s="130" t="str">
        <f t="shared" si="43"/>
        <v>#REF!</v>
      </c>
      <c r="M95" s="130" t="str">
        <f t="shared" si="43"/>
        <v>#REF!</v>
      </c>
      <c r="N95" s="130" t="str">
        <f t="shared" si="43"/>
        <v>#REF!</v>
      </c>
      <c r="O95" s="130" t="str">
        <f t="shared" si="43"/>
        <v>#REF!</v>
      </c>
      <c r="P95" s="130" t="str">
        <f t="shared" si="43"/>
        <v>#REF!</v>
      </c>
      <c r="Q95" s="130" t="str">
        <f t="shared" si="43"/>
        <v>#REF!</v>
      </c>
      <c r="R95" s="130" t="str">
        <f t="shared" si="43"/>
        <v>#REF!</v>
      </c>
      <c r="S95" s="130" t="str">
        <f t="shared" si="43"/>
        <v>#REF!</v>
      </c>
      <c r="T95" s="130" t="str">
        <f t="shared" si="43"/>
        <v>#REF!</v>
      </c>
      <c r="U95" s="130" t="str">
        <f t="shared" si="43"/>
        <v>#REF!</v>
      </c>
      <c r="V95" s="130" t="str">
        <f t="shared" si="43"/>
        <v>#REF!</v>
      </c>
      <c r="W95" s="130" t="str">
        <f t="shared" si="43"/>
        <v>#REF!</v>
      </c>
      <c r="X95" s="130" t="str">
        <f t="shared" si="43"/>
        <v>#REF!</v>
      </c>
      <c r="Y95" s="130" t="str">
        <f t="shared" si="43"/>
        <v>#REF!</v>
      </c>
      <c r="Z95" s="130" t="str">
        <f t="shared" si="43"/>
        <v>#REF!</v>
      </c>
      <c r="AA95" s="130" t="str">
        <f t="shared" si="43"/>
        <v>#REF!</v>
      </c>
      <c r="AB95" s="130" t="str">
        <f t="shared" si="43"/>
        <v>#REF!</v>
      </c>
      <c r="AC95" s="130" t="str">
        <f t="shared" si="43"/>
        <v>#REF!</v>
      </c>
      <c r="AD95" s="130" t="str">
        <f t="shared" si="43"/>
        <v>#REF!</v>
      </c>
      <c r="AE95" s="130" t="str">
        <f t="shared" si="43"/>
        <v>#REF!</v>
      </c>
      <c r="AF95" s="130" t="str">
        <f t="shared" si="43"/>
        <v>#REF!</v>
      </c>
      <c r="AG95" s="130" t="str">
        <f t="shared" si="43"/>
        <v>#REF!</v>
      </c>
      <c r="AH95" s="130" t="str">
        <f t="shared" si="43"/>
        <v>#REF!</v>
      </c>
      <c r="AI95" s="130" t="str">
        <f t="shared" si="43"/>
        <v>#REF!</v>
      </c>
      <c r="AJ95" s="130" t="str">
        <f t="shared" si="43"/>
        <v>#REF!</v>
      </c>
      <c r="AK95" s="130" t="str">
        <f t="shared" si="43"/>
        <v>#REF!</v>
      </c>
      <c r="AL95" s="130" t="str">
        <f t="shared" si="43"/>
        <v>#REF!</v>
      </c>
      <c r="AM95" s="67"/>
      <c r="AN95" s="67"/>
      <c r="AO95" s="67"/>
      <c r="AP95" s="67"/>
      <c r="AQ95" s="67"/>
      <c r="AR95" s="67"/>
      <c r="AS95" s="67"/>
      <c r="AT95" s="67"/>
      <c r="AU95" s="67"/>
      <c r="AV95" s="67"/>
      <c r="AW95" s="67"/>
      <c r="AX95" s="67"/>
      <c r="AY95" s="67"/>
    </row>
    <row r="96" ht="14.25" customHeight="1">
      <c r="A96" s="67"/>
      <c r="B96" s="67"/>
      <c r="C96" s="67" t="s">
        <v>195</v>
      </c>
      <c r="D96" s="67"/>
      <c r="E96" s="137"/>
      <c r="F96" s="137"/>
      <c r="G96" s="79">
        <f>'RSED National'!K400</f>
        <v>366668.53</v>
      </c>
      <c r="H96" s="79" t="str">
        <f t="shared" ref="H96:AL96" si="44">G96+H95</f>
        <v>#REF!</v>
      </c>
      <c r="I96" s="115" t="str">
        <f t="shared" si="44"/>
        <v>#REF!</v>
      </c>
      <c r="J96" s="115" t="str">
        <f t="shared" si="44"/>
        <v>#REF!</v>
      </c>
      <c r="K96" s="115" t="str">
        <f t="shared" si="44"/>
        <v>#REF!</v>
      </c>
      <c r="L96" s="115" t="str">
        <f t="shared" si="44"/>
        <v>#REF!</v>
      </c>
      <c r="M96" s="115" t="str">
        <f t="shared" si="44"/>
        <v>#REF!</v>
      </c>
      <c r="N96" s="115" t="str">
        <f t="shared" si="44"/>
        <v>#REF!</v>
      </c>
      <c r="O96" s="115" t="str">
        <f t="shared" si="44"/>
        <v>#REF!</v>
      </c>
      <c r="P96" s="115" t="str">
        <f t="shared" si="44"/>
        <v>#REF!</v>
      </c>
      <c r="Q96" s="115" t="str">
        <f t="shared" si="44"/>
        <v>#REF!</v>
      </c>
      <c r="R96" s="115" t="str">
        <f t="shared" si="44"/>
        <v>#REF!</v>
      </c>
      <c r="S96" s="115" t="str">
        <f t="shared" si="44"/>
        <v>#REF!</v>
      </c>
      <c r="T96" s="115" t="str">
        <f t="shared" si="44"/>
        <v>#REF!</v>
      </c>
      <c r="U96" s="115" t="str">
        <f t="shared" si="44"/>
        <v>#REF!</v>
      </c>
      <c r="V96" s="115" t="str">
        <f t="shared" si="44"/>
        <v>#REF!</v>
      </c>
      <c r="W96" s="115" t="str">
        <f t="shared" si="44"/>
        <v>#REF!</v>
      </c>
      <c r="X96" s="115" t="str">
        <f t="shared" si="44"/>
        <v>#REF!</v>
      </c>
      <c r="Y96" s="115" t="str">
        <f t="shared" si="44"/>
        <v>#REF!</v>
      </c>
      <c r="Z96" s="115" t="str">
        <f t="shared" si="44"/>
        <v>#REF!</v>
      </c>
      <c r="AA96" s="115" t="str">
        <f t="shared" si="44"/>
        <v>#REF!</v>
      </c>
      <c r="AB96" s="115" t="str">
        <f t="shared" si="44"/>
        <v>#REF!</v>
      </c>
      <c r="AC96" s="115" t="str">
        <f t="shared" si="44"/>
        <v>#REF!</v>
      </c>
      <c r="AD96" s="115" t="str">
        <f t="shared" si="44"/>
        <v>#REF!</v>
      </c>
      <c r="AE96" s="115" t="str">
        <f t="shared" si="44"/>
        <v>#REF!</v>
      </c>
      <c r="AF96" s="115" t="str">
        <f t="shared" si="44"/>
        <v>#REF!</v>
      </c>
      <c r="AG96" s="115" t="str">
        <f t="shared" si="44"/>
        <v>#REF!</v>
      </c>
      <c r="AH96" s="115" t="str">
        <f t="shared" si="44"/>
        <v>#REF!</v>
      </c>
      <c r="AI96" s="115" t="str">
        <f t="shared" si="44"/>
        <v>#REF!</v>
      </c>
      <c r="AJ96" s="115" t="str">
        <f t="shared" si="44"/>
        <v>#REF!</v>
      </c>
      <c r="AK96" s="115" t="str">
        <f t="shared" si="44"/>
        <v>#REF!</v>
      </c>
      <c r="AL96" s="115" t="str">
        <f t="shared" si="44"/>
        <v>#REF!</v>
      </c>
      <c r="AM96" s="67"/>
      <c r="AN96" s="67"/>
      <c r="AO96" s="67"/>
      <c r="AP96" s="67"/>
      <c r="AQ96" s="67"/>
      <c r="AR96" s="67"/>
      <c r="AS96" s="67"/>
      <c r="AT96" s="67"/>
      <c r="AU96" s="67"/>
      <c r="AV96" s="67"/>
      <c r="AW96" s="67"/>
      <c r="AX96" s="67"/>
      <c r="AY96" s="67"/>
    </row>
    <row r="97" ht="14.25" customHeight="1">
      <c r="A97" s="67"/>
      <c r="B97" s="67"/>
      <c r="C97" s="67"/>
      <c r="D97" s="67"/>
      <c r="E97" s="137"/>
      <c r="F97" s="137"/>
      <c r="G97" s="79"/>
      <c r="H97" s="79"/>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67"/>
      <c r="AN97" s="67"/>
      <c r="AO97" s="67"/>
      <c r="AP97" s="67"/>
      <c r="AQ97" s="67"/>
      <c r="AR97" s="67"/>
      <c r="AS97" s="67"/>
      <c r="AT97" s="67"/>
      <c r="AU97" s="67"/>
      <c r="AV97" s="67"/>
      <c r="AW97" s="67"/>
      <c r="AX97" s="67"/>
      <c r="AY97" s="67"/>
    </row>
    <row r="98" ht="14.25" hidden="1" customHeight="1" outlineLevel="1">
      <c r="A98" s="90"/>
      <c r="B98" s="90" t="s">
        <v>233</v>
      </c>
      <c r="C98" s="90"/>
      <c r="D98" s="90"/>
      <c r="E98" s="123"/>
      <c r="F98" s="123"/>
      <c r="G98" s="99">
        <f>'RSED National'!K351</f>
        <v>2292714.07</v>
      </c>
      <c r="H98" s="99" t="str">
        <f>'RSED National'!L351</f>
        <v>#REF!</v>
      </c>
      <c r="I98" s="93" t="str">
        <f>'RSED National'!M351</f>
        <v>#REF!</v>
      </c>
      <c r="J98" s="93" t="str">
        <f>'RSED National'!N351</f>
        <v>#REF!</v>
      </c>
      <c r="K98" s="93" t="str">
        <f>'RSED National'!O351</f>
        <v>#REF!</v>
      </c>
      <c r="L98" s="93" t="str">
        <f>'RSED National'!P351</f>
        <v>#REF!</v>
      </c>
      <c r="M98" s="93" t="str">
        <f>'RSED National'!Q351</f>
        <v>#REF!</v>
      </c>
      <c r="N98" s="93" t="str">
        <f>'RSED National'!R351</f>
        <v>#REF!</v>
      </c>
      <c r="O98" s="93" t="str">
        <f>'RSED National'!S351</f>
        <v>#REF!</v>
      </c>
      <c r="P98" s="93" t="str">
        <f>'RSED National'!T351</f>
        <v>#REF!</v>
      </c>
      <c r="Q98" s="93" t="str">
        <f>'RSED National'!U351</f>
        <v>#REF!</v>
      </c>
      <c r="R98" s="93" t="str">
        <f>'RSED National'!V351</f>
        <v>#REF!</v>
      </c>
      <c r="S98" s="93" t="str">
        <f>'RSED National'!W351</f>
        <v>#REF!</v>
      </c>
      <c r="T98" s="93" t="str">
        <f>'RSED National'!X351</f>
        <v>#REF!</v>
      </c>
      <c r="U98" s="93" t="str">
        <f>'RSED National'!Y351</f>
        <v>#REF!</v>
      </c>
      <c r="V98" s="93" t="str">
        <f>'RSED National'!Z351</f>
        <v>#REF!</v>
      </c>
      <c r="W98" s="93" t="str">
        <f>'RSED National'!AA351</f>
        <v>#REF!</v>
      </c>
      <c r="X98" s="93" t="str">
        <f>'RSED National'!AB351</f>
        <v>#REF!</v>
      </c>
      <c r="Y98" s="93" t="str">
        <f>'RSED National'!AC351</f>
        <v>#REF!</v>
      </c>
      <c r="Z98" s="93" t="str">
        <f>'RSED National'!AD351</f>
        <v>#REF!</v>
      </c>
      <c r="AA98" s="93" t="str">
        <f>'RSED National'!AE351</f>
        <v>#REF!</v>
      </c>
      <c r="AB98" s="93" t="str">
        <f>'RSED National'!AF351</f>
        <v>#REF!</v>
      </c>
      <c r="AC98" s="93" t="str">
        <f>'RSED National'!AG351</f>
        <v>#REF!</v>
      </c>
      <c r="AD98" s="93" t="str">
        <f>'RSED National'!AH351</f>
        <v>#REF!</v>
      </c>
      <c r="AE98" s="93" t="str">
        <f>'RSED National'!AI351</f>
        <v>#REF!</v>
      </c>
      <c r="AF98" s="93" t="str">
        <f>'RSED National'!AJ351</f>
        <v>#REF!</v>
      </c>
      <c r="AG98" s="93" t="str">
        <f>'RSED National'!AK351</f>
        <v>#REF!</v>
      </c>
      <c r="AH98" s="93" t="str">
        <f>'RSED National'!AL351</f>
        <v>#REF!</v>
      </c>
      <c r="AI98" s="93" t="str">
        <f>'RSED National'!AM351</f>
        <v>#REF!</v>
      </c>
      <c r="AJ98" s="93" t="str">
        <f>'RSED National'!AN351</f>
        <v>#REF!</v>
      </c>
      <c r="AK98" s="93" t="str">
        <f>'RSED National'!AO351</f>
        <v>#REF!</v>
      </c>
      <c r="AL98" s="93" t="str">
        <f>'RSED National'!AP351</f>
        <v>#REF!</v>
      </c>
      <c r="AM98" s="90"/>
      <c r="AN98" s="90"/>
      <c r="AO98" s="90"/>
      <c r="AP98" s="90"/>
      <c r="AQ98" s="90"/>
      <c r="AR98" s="90"/>
      <c r="AS98" s="90"/>
      <c r="AT98" s="90"/>
      <c r="AU98" s="90"/>
      <c r="AV98" s="90"/>
      <c r="AW98" s="90"/>
      <c r="AX98" s="90"/>
      <c r="AY98" s="90"/>
    </row>
    <row r="99" ht="14.25" hidden="1" customHeight="1" outlineLevel="1">
      <c r="A99" s="90"/>
      <c r="B99" s="90"/>
      <c r="C99" s="90" t="s">
        <v>216</v>
      </c>
      <c r="D99" s="90"/>
      <c r="E99" s="123"/>
      <c r="F99" s="123"/>
      <c r="G99" s="99" t="str">
        <f>'RSED National'!K352</f>
        <v/>
      </c>
      <c r="H99" s="99">
        <f>'RSED National'!L352</f>
        <v>2292714.07</v>
      </c>
      <c r="I99" s="93" t="str">
        <f t="shared" ref="I99:AL99" si="45">H100</f>
        <v>#REF!</v>
      </c>
      <c r="J99" s="93" t="str">
        <f t="shared" si="45"/>
        <v>#REF!</v>
      </c>
      <c r="K99" s="93" t="str">
        <f t="shared" si="45"/>
        <v>#REF!</v>
      </c>
      <c r="L99" s="93" t="str">
        <f t="shared" si="45"/>
        <v>#REF!</v>
      </c>
      <c r="M99" s="93" t="str">
        <f t="shared" si="45"/>
        <v>#REF!</v>
      </c>
      <c r="N99" s="93" t="str">
        <f t="shared" si="45"/>
        <v>#REF!</v>
      </c>
      <c r="O99" s="93" t="str">
        <f t="shared" si="45"/>
        <v>#REF!</v>
      </c>
      <c r="P99" s="93" t="str">
        <f t="shared" si="45"/>
        <v>#REF!</v>
      </c>
      <c r="Q99" s="93" t="str">
        <f t="shared" si="45"/>
        <v>#REF!</v>
      </c>
      <c r="R99" s="93" t="str">
        <f t="shared" si="45"/>
        <v>#REF!</v>
      </c>
      <c r="S99" s="93" t="str">
        <f t="shared" si="45"/>
        <v>#REF!</v>
      </c>
      <c r="T99" s="93" t="str">
        <f t="shared" si="45"/>
        <v>#REF!</v>
      </c>
      <c r="U99" s="93" t="str">
        <f t="shared" si="45"/>
        <v>#REF!</v>
      </c>
      <c r="V99" s="93" t="str">
        <f t="shared" si="45"/>
        <v>#REF!</v>
      </c>
      <c r="W99" s="93" t="str">
        <f t="shared" si="45"/>
        <v>#REF!</v>
      </c>
      <c r="X99" s="93" t="str">
        <f t="shared" si="45"/>
        <v>#REF!</v>
      </c>
      <c r="Y99" s="93" t="str">
        <f t="shared" si="45"/>
        <v>#REF!</v>
      </c>
      <c r="Z99" s="93" t="str">
        <f t="shared" si="45"/>
        <v>#REF!</v>
      </c>
      <c r="AA99" s="93" t="str">
        <f t="shared" si="45"/>
        <v>#REF!</v>
      </c>
      <c r="AB99" s="93" t="str">
        <f t="shared" si="45"/>
        <v>#REF!</v>
      </c>
      <c r="AC99" s="93" t="str">
        <f t="shared" si="45"/>
        <v>#REF!</v>
      </c>
      <c r="AD99" s="93" t="str">
        <f t="shared" si="45"/>
        <v>#REF!</v>
      </c>
      <c r="AE99" s="93" t="str">
        <f t="shared" si="45"/>
        <v>#REF!</v>
      </c>
      <c r="AF99" s="93" t="str">
        <f t="shared" si="45"/>
        <v>#REF!</v>
      </c>
      <c r="AG99" s="93" t="str">
        <f t="shared" si="45"/>
        <v>#REF!</v>
      </c>
      <c r="AH99" s="93" t="str">
        <f t="shared" si="45"/>
        <v>#REF!</v>
      </c>
      <c r="AI99" s="93" t="str">
        <f t="shared" si="45"/>
        <v>#REF!</v>
      </c>
      <c r="AJ99" s="93" t="str">
        <f t="shared" si="45"/>
        <v>#REF!</v>
      </c>
      <c r="AK99" s="93" t="str">
        <f t="shared" si="45"/>
        <v>#REF!</v>
      </c>
      <c r="AL99" s="93" t="str">
        <f t="shared" si="45"/>
        <v>#REF!</v>
      </c>
      <c r="AM99" s="90"/>
      <c r="AN99" s="90"/>
      <c r="AO99" s="90"/>
      <c r="AP99" s="90"/>
      <c r="AQ99" s="90"/>
      <c r="AR99" s="90"/>
      <c r="AS99" s="90"/>
      <c r="AT99" s="90"/>
      <c r="AU99" s="90"/>
      <c r="AV99" s="90"/>
      <c r="AW99" s="90"/>
      <c r="AX99" s="90"/>
      <c r="AY99" s="90"/>
    </row>
    <row r="100" ht="14.25" customHeight="1">
      <c r="A100" s="67"/>
      <c r="B100" s="126" t="s">
        <v>196</v>
      </c>
      <c r="C100" s="126"/>
      <c r="D100" s="126"/>
      <c r="E100" s="127"/>
      <c r="F100" s="127"/>
      <c r="G100" s="128">
        <f>H99</f>
        <v>2292714.07</v>
      </c>
      <c r="H100" s="128" t="str">
        <f t="shared" ref="H100:AL100" si="46">G100+H98</f>
        <v>#REF!</v>
      </c>
      <c r="I100" s="130" t="str">
        <f t="shared" si="46"/>
        <v>#REF!</v>
      </c>
      <c r="J100" s="130" t="str">
        <f t="shared" si="46"/>
        <v>#REF!</v>
      </c>
      <c r="K100" s="130" t="str">
        <f t="shared" si="46"/>
        <v>#REF!</v>
      </c>
      <c r="L100" s="130" t="str">
        <f t="shared" si="46"/>
        <v>#REF!</v>
      </c>
      <c r="M100" s="130" t="str">
        <f t="shared" si="46"/>
        <v>#REF!</v>
      </c>
      <c r="N100" s="130" t="str">
        <f t="shared" si="46"/>
        <v>#REF!</v>
      </c>
      <c r="O100" s="130" t="str">
        <f t="shared" si="46"/>
        <v>#REF!</v>
      </c>
      <c r="P100" s="130" t="str">
        <f t="shared" si="46"/>
        <v>#REF!</v>
      </c>
      <c r="Q100" s="130" t="str">
        <f t="shared" si="46"/>
        <v>#REF!</v>
      </c>
      <c r="R100" s="130" t="str">
        <f t="shared" si="46"/>
        <v>#REF!</v>
      </c>
      <c r="S100" s="130" t="str">
        <f t="shared" si="46"/>
        <v>#REF!</v>
      </c>
      <c r="T100" s="130" t="str">
        <f t="shared" si="46"/>
        <v>#REF!</v>
      </c>
      <c r="U100" s="130" t="str">
        <f t="shared" si="46"/>
        <v>#REF!</v>
      </c>
      <c r="V100" s="130" t="str">
        <f t="shared" si="46"/>
        <v>#REF!</v>
      </c>
      <c r="W100" s="130" t="str">
        <f t="shared" si="46"/>
        <v>#REF!</v>
      </c>
      <c r="X100" s="130" t="str">
        <f t="shared" si="46"/>
        <v>#REF!</v>
      </c>
      <c r="Y100" s="130" t="str">
        <f t="shared" si="46"/>
        <v>#REF!</v>
      </c>
      <c r="Z100" s="130" t="str">
        <f t="shared" si="46"/>
        <v>#REF!</v>
      </c>
      <c r="AA100" s="130" t="str">
        <f t="shared" si="46"/>
        <v>#REF!</v>
      </c>
      <c r="AB100" s="130" t="str">
        <f t="shared" si="46"/>
        <v>#REF!</v>
      </c>
      <c r="AC100" s="130" t="str">
        <f t="shared" si="46"/>
        <v>#REF!</v>
      </c>
      <c r="AD100" s="130" t="str">
        <f t="shared" si="46"/>
        <v>#REF!</v>
      </c>
      <c r="AE100" s="130" t="str">
        <f t="shared" si="46"/>
        <v>#REF!</v>
      </c>
      <c r="AF100" s="130" t="str">
        <f t="shared" si="46"/>
        <v>#REF!</v>
      </c>
      <c r="AG100" s="130" t="str">
        <f t="shared" si="46"/>
        <v>#REF!</v>
      </c>
      <c r="AH100" s="130" t="str">
        <f t="shared" si="46"/>
        <v>#REF!</v>
      </c>
      <c r="AI100" s="130" t="str">
        <f t="shared" si="46"/>
        <v>#REF!</v>
      </c>
      <c r="AJ100" s="130" t="str">
        <f t="shared" si="46"/>
        <v>#REF!</v>
      </c>
      <c r="AK100" s="130" t="str">
        <f t="shared" si="46"/>
        <v>#REF!</v>
      </c>
      <c r="AL100" s="130" t="str">
        <f t="shared" si="46"/>
        <v>#REF!</v>
      </c>
      <c r="AM100" s="67"/>
      <c r="AN100" s="67"/>
      <c r="AO100" s="67"/>
      <c r="AP100" s="67"/>
      <c r="AQ100" s="67"/>
      <c r="AR100" s="67"/>
      <c r="AS100" s="67"/>
      <c r="AT100" s="67"/>
      <c r="AU100" s="67"/>
      <c r="AV100" s="67"/>
      <c r="AW100" s="67"/>
      <c r="AX100" s="67"/>
      <c r="AY100" s="67"/>
    </row>
    <row r="101" ht="14.25" customHeight="1">
      <c r="A101" s="67"/>
      <c r="B101" s="67"/>
      <c r="C101" s="67"/>
      <c r="D101" s="67"/>
      <c r="E101" s="137"/>
      <c r="F101" s="137"/>
      <c r="G101" s="79"/>
      <c r="H101" s="79"/>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67"/>
      <c r="AN101" s="67"/>
      <c r="AO101" s="67"/>
      <c r="AP101" s="67"/>
      <c r="AQ101" s="67"/>
      <c r="AR101" s="67"/>
      <c r="AS101" s="67"/>
      <c r="AT101" s="67"/>
      <c r="AU101" s="67"/>
      <c r="AV101" s="67"/>
      <c r="AW101" s="67"/>
      <c r="AX101" s="67"/>
      <c r="AY101" s="67"/>
    </row>
    <row r="102" ht="14.25" customHeight="1">
      <c r="E102" s="123"/>
      <c r="F102" s="123"/>
      <c r="G102" s="153">
        <f t="shared" ref="G102:H102" si="47">G93-G94</f>
        <v>366668.53</v>
      </c>
      <c r="H102" s="153" t="str">
        <f t="shared" si="47"/>
        <v>#REF!</v>
      </c>
      <c r="I102" s="154"/>
      <c r="J102" s="93"/>
      <c r="K102" s="93"/>
      <c r="L102" s="93"/>
      <c r="M102" s="93"/>
      <c r="N102" s="93"/>
      <c r="O102" s="93"/>
      <c r="P102" s="93"/>
      <c r="Q102" s="93"/>
      <c r="R102" s="93"/>
      <c r="S102" s="93"/>
      <c r="T102" s="93"/>
      <c r="U102" s="93"/>
      <c r="V102" s="93"/>
      <c r="W102" s="93"/>
      <c r="X102" s="93"/>
      <c r="Y102" s="93"/>
      <c r="Z102" s="93"/>
      <c r="AA102" s="93"/>
      <c r="AB102" s="93"/>
      <c r="AC102" s="93"/>
      <c r="AD102" s="93"/>
      <c r="AE102" s="93"/>
      <c r="AF102" s="93"/>
      <c r="AG102" s="93"/>
      <c r="AH102" s="93"/>
      <c r="AI102" s="93"/>
      <c r="AJ102" s="93"/>
      <c r="AK102" s="93"/>
      <c r="AL102" s="93"/>
    </row>
    <row r="103" ht="14.25" customHeight="1">
      <c r="A103" s="108" t="s">
        <v>240</v>
      </c>
      <c r="B103" s="109"/>
      <c r="C103" s="109"/>
      <c r="D103" s="109"/>
      <c r="E103" s="110"/>
      <c r="F103" s="110"/>
      <c r="G103" s="111"/>
      <c r="H103" s="111"/>
      <c r="I103" s="112"/>
      <c r="J103" s="112"/>
      <c r="K103" s="112"/>
      <c r="L103" s="112"/>
      <c r="M103" s="112"/>
      <c r="N103" s="112"/>
      <c r="O103" s="112"/>
      <c r="P103" s="112"/>
      <c r="Q103" s="112"/>
      <c r="R103" s="112"/>
      <c r="S103" s="112"/>
      <c r="T103" s="112"/>
      <c r="U103" s="112"/>
      <c r="V103" s="112"/>
      <c r="W103" s="112"/>
      <c r="X103" s="112"/>
      <c r="Y103" s="112"/>
      <c r="Z103" s="112"/>
      <c r="AA103" s="112"/>
      <c r="AB103" s="112"/>
      <c r="AC103" s="112"/>
      <c r="AD103" s="112"/>
      <c r="AE103" s="112"/>
      <c r="AF103" s="112"/>
      <c r="AG103" s="112"/>
      <c r="AH103" s="112"/>
      <c r="AI103" s="112"/>
      <c r="AJ103" s="112"/>
      <c r="AK103" s="112"/>
      <c r="AL103" s="112"/>
      <c r="AM103" s="67"/>
      <c r="AN103" s="67"/>
      <c r="AO103" s="67"/>
      <c r="AP103" s="67"/>
      <c r="AQ103" s="67"/>
      <c r="AR103" s="67"/>
      <c r="AS103" s="67"/>
      <c r="AT103" s="67"/>
      <c r="AU103" s="67"/>
      <c r="AV103" s="67"/>
      <c r="AW103" s="67"/>
      <c r="AX103" s="67"/>
      <c r="AY103" s="67"/>
    </row>
    <row r="104" ht="14.25" customHeight="1">
      <c r="A104" s="90"/>
      <c r="B104" s="90" t="s">
        <v>226</v>
      </c>
      <c r="C104" s="90"/>
      <c r="D104" s="90"/>
      <c r="E104" s="123"/>
      <c r="F104" s="123"/>
      <c r="G104" s="99">
        <f>'Regional Roll-up'!M18</f>
        <v>0</v>
      </c>
      <c r="H104" s="99">
        <f>'Regional Roll-up'!N18</f>
        <v>0</v>
      </c>
      <c r="I104" s="93">
        <f>'Regional Roll-up'!O18</f>
        <v>0.4052</v>
      </c>
      <c r="J104" s="93">
        <f>'Regional Roll-up'!P18</f>
        <v>1000000.371</v>
      </c>
      <c r="K104" s="93">
        <f>'Regional Roll-up'!Q18</f>
        <v>6181.952418</v>
      </c>
      <c r="L104" s="93">
        <f>'Regional Roll-up'!R18</f>
        <v>3427263.824</v>
      </c>
      <c r="M104" s="93">
        <f>'Regional Roll-up'!S18</f>
        <v>3652656.893</v>
      </c>
      <c r="N104" s="93">
        <f>'Regional Roll-up'!T18</f>
        <v>820829.9413</v>
      </c>
      <c r="O104" s="93">
        <f>'Regional Roll-up'!U18</f>
        <v>1285793.997</v>
      </c>
      <c r="P104" s="93">
        <f>'Regional Roll-up'!V18</f>
        <v>2937768.104</v>
      </c>
      <c r="Q104" s="93">
        <f>'Regional Roll-up'!W18</f>
        <v>5931138.156</v>
      </c>
      <c r="R104" s="93">
        <f>'Regional Roll-up'!X18</f>
        <v>11970891.95</v>
      </c>
      <c r="S104" s="93">
        <f>'Regional Roll-up'!Y18</f>
        <v>21894692.35</v>
      </c>
      <c r="T104" s="93">
        <f>'Regional Roll-up'!Z18</f>
        <v>34533032.32</v>
      </c>
      <c r="U104" s="93">
        <f>'Regional Roll-up'!AA18</f>
        <v>56495536.74</v>
      </c>
      <c r="V104" s="93">
        <f>'Regional Roll-up'!AB18</f>
        <v>86558451.66</v>
      </c>
      <c r="W104" s="93">
        <f>'Regional Roll-up'!AC18</f>
        <v>125463405.6</v>
      </c>
      <c r="X104" s="93">
        <f>'Regional Roll-up'!AD18</f>
        <v>168939518.7</v>
      </c>
      <c r="Y104" s="93">
        <f>'Regional Roll-up'!AE18</f>
        <v>220541637.8</v>
      </c>
      <c r="Z104" s="93">
        <f>'Regional Roll-up'!AF18</f>
        <v>276479134.9</v>
      </c>
      <c r="AA104" s="93">
        <f>'Regional Roll-up'!AG18</f>
        <v>332093243.8</v>
      </c>
      <c r="AB104" s="93">
        <f>'Regional Roll-up'!AH18</f>
        <v>373200657.7</v>
      </c>
      <c r="AC104" s="93">
        <f>'Regional Roll-up'!AI18</f>
        <v>372960291.7</v>
      </c>
      <c r="AD104" s="93">
        <f>'Regional Roll-up'!AJ18</f>
        <v>365309727.8</v>
      </c>
      <c r="AE104" s="93">
        <f>'Regional Roll-up'!AK18</f>
        <v>358989650.1</v>
      </c>
      <c r="AF104" s="93">
        <f>'Regional Roll-up'!AL18</f>
        <v>364082283.8</v>
      </c>
      <c r="AG104" s="93">
        <f>'Regional Roll-up'!AM18</f>
        <v>371035991.8</v>
      </c>
      <c r="AH104" s="93">
        <f>'Regional Roll-up'!AN18</f>
        <v>378242546.1</v>
      </c>
      <c r="AI104" s="93">
        <f>'Regional Roll-up'!AO18</f>
        <v>385705141.4</v>
      </c>
      <c r="AJ104" s="93">
        <f>'Regional Roll-up'!AP18</f>
        <v>393407959.8</v>
      </c>
      <c r="AK104" s="93" t="str">
        <f>'Regional Roll-up'!AQ18</f>
        <v>#REF!</v>
      </c>
      <c r="AL104" s="93" t="str">
        <f>'Regional Roll-up'!AR18</f>
        <v>#REF!</v>
      </c>
      <c r="AM104" s="90"/>
      <c r="AN104" s="90"/>
      <c r="AO104" s="90"/>
      <c r="AP104" s="90"/>
      <c r="AQ104" s="90"/>
      <c r="AR104" s="90"/>
      <c r="AS104" s="90"/>
      <c r="AT104" s="90"/>
      <c r="AU104" s="90"/>
      <c r="AV104" s="90"/>
      <c r="AW104" s="90"/>
      <c r="AX104" s="90"/>
      <c r="AY104" s="90"/>
    </row>
    <row r="105" ht="14.25" customHeight="1">
      <c r="A105" s="90"/>
      <c r="B105" s="90" t="s">
        <v>178</v>
      </c>
      <c r="C105" s="90"/>
      <c r="D105" s="90"/>
      <c r="E105" s="123"/>
      <c r="F105" s="123"/>
      <c r="G105" s="99">
        <f>'Regional Roll-up'!M25</f>
        <v>0</v>
      </c>
      <c r="H105" s="99">
        <f>'Regional Roll-up'!N25</f>
        <v>0</v>
      </c>
      <c r="I105" s="93">
        <f>'Regional Roll-up'!O25</f>
        <v>0</v>
      </c>
      <c r="J105" s="93">
        <f>'Regional Roll-up'!P25</f>
        <v>0</v>
      </c>
      <c r="K105" s="93">
        <f>'Regional Roll-up'!Q25</f>
        <v>478012.8</v>
      </c>
      <c r="L105" s="93">
        <f>'Regional Roll-up'!R25</f>
        <v>673355.2032</v>
      </c>
      <c r="M105" s="93">
        <f>'Regional Roll-up'!S25</f>
        <v>1678791.791</v>
      </c>
      <c r="N105" s="93">
        <f>'Regional Roll-up'!T25</f>
        <v>3626222.424</v>
      </c>
      <c r="O105" s="93">
        <f>'Regional Roll-up'!U25</f>
        <v>7227275.88</v>
      </c>
      <c r="P105" s="93">
        <f>'Regional Roll-up'!V25</f>
        <v>12668587.76</v>
      </c>
      <c r="Q105" s="93">
        <f>'Regional Roll-up'!W25</f>
        <v>22915405.15</v>
      </c>
      <c r="R105" s="93">
        <f>'Regional Roll-up'!X25</f>
        <v>37526830.26</v>
      </c>
      <c r="S105" s="93">
        <f>'Regional Roll-up'!Y25</f>
        <v>44940551.76</v>
      </c>
      <c r="T105" s="93">
        <f>'Regional Roll-up'!Z25</f>
        <v>52748744.63</v>
      </c>
      <c r="U105" s="93">
        <f>'Regional Roll-up'!AA25</f>
        <v>65132952.76</v>
      </c>
      <c r="V105" s="93">
        <f>'Regional Roll-up'!AB25</f>
        <v>83720842.96</v>
      </c>
      <c r="W105" s="93">
        <f>'Regional Roll-up'!AC25</f>
        <v>104536686.3</v>
      </c>
      <c r="X105" s="93">
        <f>'Regional Roll-up'!AD25</f>
        <v>139488834.2</v>
      </c>
      <c r="Y105" s="93">
        <f>'Regional Roll-up'!AE25</f>
        <v>175944695.4</v>
      </c>
      <c r="Z105" s="93">
        <f>'Regional Roll-up'!AF25</f>
        <v>213399817.6</v>
      </c>
      <c r="AA105" s="93">
        <f>'Regional Roll-up'!AG25</f>
        <v>248022951.6</v>
      </c>
      <c r="AB105" s="93">
        <f>'Regional Roll-up'!AH25</f>
        <v>266170541.3</v>
      </c>
      <c r="AC105" s="93">
        <f>'Regional Roll-up'!AI25</f>
        <v>264153127</v>
      </c>
      <c r="AD105" s="93">
        <f>'Regional Roll-up'!AJ25</f>
        <v>269436189.5</v>
      </c>
      <c r="AE105" s="93">
        <f>'Regional Roll-up'!AK25</f>
        <v>274824913.3</v>
      </c>
      <c r="AF105" s="93">
        <f>'Regional Roll-up'!AL25</f>
        <v>280321411.6</v>
      </c>
      <c r="AG105" s="93">
        <f>'Regional Roll-up'!AM25</f>
        <v>285927839.8</v>
      </c>
      <c r="AH105" s="93">
        <f>'Regional Roll-up'!AN25</f>
        <v>291646396.6</v>
      </c>
      <c r="AI105" s="93">
        <f>'Regional Roll-up'!AO25</f>
        <v>297479324.5</v>
      </c>
      <c r="AJ105" s="93">
        <f>'Regional Roll-up'!AP25</f>
        <v>303428911</v>
      </c>
      <c r="AK105" s="93">
        <f>'Regional Roll-up'!AQ25</f>
        <v>309497489.3</v>
      </c>
      <c r="AL105" s="93">
        <f>'Regional Roll-up'!AR25</f>
        <v>315687439</v>
      </c>
      <c r="AM105" s="155"/>
      <c r="AN105" s="90"/>
      <c r="AO105" s="90"/>
      <c r="AP105" s="90"/>
      <c r="AQ105" s="90"/>
      <c r="AR105" s="90"/>
      <c r="AS105" s="90"/>
      <c r="AT105" s="90"/>
      <c r="AU105" s="90"/>
      <c r="AV105" s="90"/>
      <c r="AW105" s="90"/>
      <c r="AX105" s="90"/>
      <c r="AY105" s="90"/>
    </row>
    <row r="106" ht="14.25" customHeight="1">
      <c r="A106" s="67"/>
      <c r="B106" s="126" t="s">
        <v>232</v>
      </c>
      <c r="C106" s="126"/>
      <c r="D106" s="126"/>
      <c r="E106" s="127"/>
      <c r="F106" s="127"/>
      <c r="G106" s="128">
        <f t="shared" ref="G106:AL106" si="48">G104-G105</f>
        <v>0</v>
      </c>
      <c r="H106" s="128">
        <f t="shared" si="48"/>
        <v>0</v>
      </c>
      <c r="I106" s="130">
        <f t="shared" si="48"/>
        <v>0.4052</v>
      </c>
      <c r="J106" s="130">
        <f t="shared" si="48"/>
        <v>1000000.371</v>
      </c>
      <c r="K106" s="130">
        <f t="shared" si="48"/>
        <v>-471830.8476</v>
      </c>
      <c r="L106" s="130">
        <f t="shared" si="48"/>
        <v>2753908.62</v>
      </c>
      <c r="M106" s="130">
        <f t="shared" si="48"/>
        <v>1973865.102</v>
      </c>
      <c r="N106" s="130">
        <f t="shared" si="48"/>
        <v>-2805392.483</v>
      </c>
      <c r="O106" s="130">
        <f t="shared" si="48"/>
        <v>-5941481.883</v>
      </c>
      <c r="P106" s="130">
        <f t="shared" si="48"/>
        <v>-9730819.658</v>
      </c>
      <c r="Q106" s="130">
        <f t="shared" si="48"/>
        <v>-16984266.99</v>
      </c>
      <c r="R106" s="130">
        <f t="shared" si="48"/>
        <v>-25555938.31</v>
      </c>
      <c r="S106" s="130">
        <f t="shared" si="48"/>
        <v>-23045859.41</v>
      </c>
      <c r="T106" s="130">
        <f t="shared" si="48"/>
        <v>-18215712.31</v>
      </c>
      <c r="U106" s="130">
        <f t="shared" si="48"/>
        <v>-8637416.016</v>
      </c>
      <c r="V106" s="130">
        <f t="shared" si="48"/>
        <v>2837608.699</v>
      </c>
      <c r="W106" s="130">
        <f t="shared" si="48"/>
        <v>20926719.29</v>
      </c>
      <c r="X106" s="130">
        <f t="shared" si="48"/>
        <v>29450684.5</v>
      </c>
      <c r="Y106" s="130">
        <f t="shared" si="48"/>
        <v>44596942.37</v>
      </c>
      <c r="Z106" s="130">
        <f t="shared" si="48"/>
        <v>63079317.24</v>
      </c>
      <c r="AA106" s="130">
        <f t="shared" si="48"/>
        <v>84070292.11</v>
      </c>
      <c r="AB106" s="130">
        <f t="shared" si="48"/>
        <v>107030116.4</v>
      </c>
      <c r="AC106" s="130">
        <f t="shared" si="48"/>
        <v>108807164.7</v>
      </c>
      <c r="AD106" s="130">
        <f t="shared" si="48"/>
        <v>95873538.32</v>
      </c>
      <c r="AE106" s="130">
        <f t="shared" si="48"/>
        <v>84164736.74</v>
      </c>
      <c r="AF106" s="130">
        <f t="shared" si="48"/>
        <v>83760872.2</v>
      </c>
      <c r="AG106" s="130">
        <f t="shared" si="48"/>
        <v>85108151.95</v>
      </c>
      <c r="AH106" s="130">
        <f t="shared" si="48"/>
        <v>86596149.5</v>
      </c>
      <c r="AI106" s="130">
        <f t="shared" si="48"/>
        <v>88225816.9</v>
      </c>
      <c r="AJ106" s="130">
        <f t="shared" si="48"/>
        <v>89979048.72</v>
      </c>
      <c r="AK106" s="130" t="str">
        <f t="shared" si="48"/>
        <v>#REF!</v>
      </c>
      <c r="AL106" s="130" t="str">
        <f t="shared" si="48"/>
        <v>#REF!</v>
      </c>
      <c r="AM106" s="67"/>
      <c r="AN106" s="67"/>
      <c r="AO106" s="67"/>
      <c r="AP106" s="67"/>
      <c r="AQ106" s="67"/>
      <c r="AR106" s="67"/>
      <c r="AS106" s="67"/>
      <c r="AT106" s="67"/>
      <c r="AU106" s="67"/>
      <c r="AV106" s="67"/>
      <c r="AW106" s="67"/>
      <c r="AX106" s="67"/>
      <c r="AY106" s="67"/>
    </row>
    <row r="107" ht="14.25" customHeight="1">
      <c r="A107" s="67"/>
      <c r="B107" s="67"/>
      <c r="C107" s="67" t="s">
        <v>195</v>
      </c>
      <c r="D107" s="67"/>
      <c r="E107" s="137"/>
      <c r="F107" s="137"/>
      <c r="G107" s="142">
        <v>0.0</v>
      </c>
      <c r="H107" s="142">
        <f t="shared" ref="H107:AL107" si="49">G107+H106</f>
        <v>0</v>
      </c>
      <c r="I107" s="115">
        <f t="shared" si="49"/>
        <v>0.4052</v>
      </c>
      <c r="J107" s="115">
        <f t="shared" si="49"/>
        <v>1000000.776</v>
      </c>
      <c r="K107" s="115">
        <f t="shared" si="49"/>
        <v>528169.9284</v>
      </c>
      <c r="L107" s="115">
        <f t="shared" si="49"/>
        <v>3282078.549</v>
      </c>
      <c r="M107" s="115">
        <f t="shared" si="49"/>
        <v>5255943.65</v>
      </c>
      <c r="N107" s="115">
        <f t="shared" si="49"/>
        <v>2450551.168</v>
      </c>
      <c r="O107" s="115">
        <f t="shared" si="49"/>
        <v>-3490930.715</v>
      </c>
      <c r="P107" s="115">
        <f t="shared" si="49"/>
        <v>-13221750.37</v>
      </c>
      <c r="Q107" s="115">
        <f t="shared" si="49"/>
        <v>-30206017.36</v>
      </c>
      <c r="R107" s="115">
        <f t="shared" si="49"/>
        <v>-55761955.67</v>
      </c>
      <c r="S107" s="115">
        <f t="shared" si="49"/>
        <v>-78807815.08</v>
      </c>
      <c r="T107" s="115">
        <f t="shared" si="49"/>
        <v>-97023527.4</v>
      </c>
      <c r="U107" s="115">
        <f t="shared" si="49"/>
        <v>-105660943.4</v>
      </c>
      <c r="V107" s="115">
        <f t="shared" si="49"/>
        <v>-102823334.7</v>
      </c>
      <c r="W107" s="115">
        <f t="shared" si="49"/>
        <v>-81896615.42</v>
      </c>
      <c r="X107" s="115">
        <f t="shared" si="49"/>
        <v>-52445930.92</v>
      </c>
      <c r="Y107" s="115">
        <f t="shared" si="49"/>
        <v>-7848988.553</v>
      </c>
      <c r="Z107" s="115">
        <f t="shared" si="49"/>
        <v>55230328.69</v>
      </c>
      <c r="AA107" s="115">
        <f t="shared" si="49"/>
        <v>139300620.8</v>
      </c>
      <c r="AB107" s="115">
        <f t="shared" si="49"/>
        <v>246330737.3</v>
      </c>
      <c r="AC107" s="115">
        <f t="shared" si="49"/>
        <v>355137901.9</v>
      </c>
      <c r="AD107" s="115">
        <f t="shared" si="49"/>
        <v>451011440.2</v>
      </c>
      <c r="AE107" s="115">
        <f t="shared" si="49"/>
        <v>535176177</v>
      </c>
      <c r="AF107" s="115">
        <f t="shared" si="49"/>
        <v>618937049.2</v>
      </c>
      <c r="AG107" s="115">
        <f t="shared" si="49"/>
        <v>704045201.1</v>
      </c>
      <c r="AH107" s="115">
        <f t="shared" si="49"/>
        <v>790641350.6</v>
      </c>
      <c r="AI107" s="115">
        <f t="shared" si="49"/>
        <v>878867167.5</v>
      </c>
      <c r="AJ107" s="115">
        <f t="shared" si="49"/>
        <v>968846216.2</v>
      </c>
      <c r="AK107" s="115" t="str">
        <f t="shared" si="49"/>
        <v>#REF!</v>
      </c>
      <c r="AL107" s="115" t="str">
        <f t="shared" si="49"/>
        <v>#REF!</v>
      </c>
      <c r="AM107" s="67"/>
      <c r="AN107" s="67"/>
      <c r="AO107" s="67"/>
      <c r="AP107" s="67"/>
      <c r="AQ107" s="67"/>
      <c r="AR107" s="67"/>
      <c r="AS107" s="67"/>
      <c r="AT107" s="67"/>
      <c r="AU107" s="67"/>
      <c r="AV107" s="67"/>
      <c r="AW107" s="67"/>
      <c r="AX107" s="67"/>
      <c r="AY107" s="67"/>
    </row>
    <row r="108" ht="14.25" customHeight="1">
      <c r="A108" s="90"/>
      <c r="B108" s="90"/>
      <c r="C108" s="67"/>
      <c r="D108" s="90"/>
      <c r="E108" s="123"/>
      <c r="F108" s="123"/>
      <c r="G108" s="99"/>
      <c r="H108" s="99"/>
      <c r="I108" s="93"/>
      <c r="J108" s="93"/>
      <c r="K108" s="93"/>
      <c r="L108" s="93"/>
      <c r="M108" s="93"/>
      <c r="N108" s="93"/>
      <c r="O108" s="93"/>
      <c r="P108" s="93"/>
      <c r="Q108" s="93"/>
      <c r="R108" s="93"/>
      <c r="S108" s="93"/>
      <c r="T108" s="93"/>
      <c r="U108" s="93"/>
      <c r="V108" s="93"/>
      <c r="W108" s="93"/>
      <c r="X108" s="93"/>
      <c r="Y108" s="93"/>
      <c r="Z108" s="93"/>
      <c r="AA108" s="93"/>
      <c r="AB108" s="93"/>
      <c r="AC108" s="93"/>
      <c r="AD108" s="93"/>
      <c r="AE108" s="93"/>
      <c r="AF108" s="93"/>
      <c r="AG108" s="93"/>
      <c r="AH108" s="93"/>
      <c r="AI108" s="93"/>
      <c r="AJ108" s="93"/>
      <c r="AK108" s="93"/>
      <c r="AL108" s="93"/>
      <c r="AM108" s="90"/>
      <c r="AN108" s="90"/>
      <c r="AO108" s="90"/>
      <c r="AP108" s="90"/>
      <c r="AQ108" s="90"/>
      <c r="AR108" s="90"/>
      <c r="AS108" s="90"/>
      <c r="AT108" s="90"/>
      <c r="AU108" s="90"/>
      <c r="AV108" s="90"/>
      <c r="AW108" s="90"/>
      <c r="AX108" s="90"/>
      <c r="AY108" s="90"/>
    </row>
    <row r="109" ht="14.25" customHeight="1" outlineLevel="1">
      <c r="A109" s="90"/>
      <c r="B109" s="90" t="s">
        <v>233</v>
      </c>
      <c r="C109" s="90"/>
      <c r="D109" s="90"/>
      <c r="E109" s="123"/>
      <c r="F109" s="123"/>
      <c r="G109" s="99">
        <v>0.0</v>
      </c>
      <c r="H109" s="99">
        <f>'Regional Roll-up'!N275-'Regional Roll-up'!M275</f>
        <v>0</v>
      </c>
      <c r="I109" s="93">
        <f>'Regional Roll-up'!O275-'Regional Roll-up'!N275</f>
        <v>0.38494</v>
      </c>
      <c r="J109" s="93">
        <f>'Regional Roll-up'!P275-'Regional Roll-up'!O275</f>
        <v>950000.3725</v>
      </c>
      <c r="K109" s="93">
        <f>'Regional Roll-up'!Q275-'Regional Roll-up'!P275</f>
        <v>-398239.2867</v>
      </c>
      <c r="L109" s="93">
        <f>'Regional Roll-up'!R275-'Regional Roll-up'!Q275</f>
        <v>2592621.647</v>
      </c>
      <c r="M109" s="93">
        <f>'Regional Roll-up'!S275-'Regional Roll-up'!R275</f>
        <v>2012867.278</v>
      </c>
      <c r="N109" s="93">
        <f>'Regional Roll-up'!T275-'Regional Roll-up'!S275</f>
        <v>-2566429.603</v>
      </c>
      <c r="O109" s="93">
        <f>'Regional Roll-up'!U275-'Regional Roll-up'!T275</f>
        <v>-5784677.413</v>
      </c>
      <c r="P109" s="93">
        <f>'Regional Roll-up'!V275-'Regional Roll-up'!U275</f>
        <v>-9541352.769</v>
      </c>
      <c r="Q109" s="93">
        <f>'Regional Roll-up'!W275-'Regional Roll-up'!V275</f>
        <v>-16621594.62</v>
      </c>
      <c r="R109" s="93">
        <f>'Regional Roll-up'!X275-'Regional Roll-up'!W275</f>
        <v>-25127354.74</v>
      </c>
      <c r="S109" s="93">
        <f>'Regional Roll-up'!Y275-'Regional Roll-up'!X275</f>
        <v>-23171363.36</v>
      </c>
      <c r="T109" s="93">
        <f>'Regional Roll-up'!Z275-'Regional Roll-up'!Y275</f>
        <v>-18457219.67</v>
      </c>
      <c r="U109" s="93">
        <f>'Regional Roll-up'!AA275-'Regional Roll-up'!Z275</f>
        <v>-9116330.831</v>
      </c>
      <c r="V109" s="93">
        <f>'Regional Roll-up'!AB275-'Regional Roll-up'!AA275</f>
        <v>2263857.464</v>
      </c>
      <c r="W109" s="93">
        <f>'Regional Roll-up'!AC275-'Regional Roll-up'!AB275</f>
        <v>20022263.76</v>
      </c>
      <c r="X109" s="93">
        <f>'Regional Roll-up'!AD275-'Regional Roll-up'!AC275</f>
        <v>29024486.24</v>
      </c>
      <c r="Y109" s="93">
        <f>'Regional Roll-up'!AE275-'Regional Roll-up'!AD275</f>
        <v>43839629.47</v>
      </c>
      <c r="Z109" s="93">
        <f>'Regional Roll-up'!AF275-'Regional Roll-up'!AE275</f>
        <v>62155198.5</v>
      </c>
      <c r="AA109" s="93">
        <f>'Regional Roll-up'!AG275-'Regional Roll-up'!AF275</f>
        <v>83020743.37</v>
      </c>
      <c r="AB109" s="93">
        <f>'Regional Roll-up'!AH275-'Regional Roll-up'!AG275</f>
        <v>105882125.2</v>
      </c>
      <c r="AC109" s="93">
        <f>'Regional Roll-up'!AI275-'Regional Roll-up'!AH275</f>
        <v>108718312.3</v>
      </c>
      <c r="AD109" s="93">
        <f>'Regional Roll-up'!AJ275-'Regional Roll-up'!AI275</f>
        <v>96520219.63</v>
      </c>
      <c r="AE109" s="93">
        <f>'Regional Roll-up'!AK275-'Regional Roll-up'!AJ275</f>
        <v>84750176.82</v>
      </c>
      <c r="AF109" s="93">
        <f>'Regional Roll-up'!AL275-'Regional Roll-up'!AK275</f>
        <v>83781065.43</v>
      </c>
      <c r="AG109" s="93">
        <f>'Regional Roll-up'!AM275-'Regional Roll-up'!AL275</f>
        <v>85040787.97</v>
      </c>
      <c r="AH109" s="93">
        <f>'Regional Roll-up'!AN275-'Regional Roll-up'!AM275</f>
        <v>86521749.62</v>
      </c>
      <c r="AI109" s="93">
        <f>'Regional Roll-up'!AO275-'Regional Roll-up'!AN275</f>
        <v>88144333.53</v>
      </c>
      <c r="AJ109" s="93">
        <f>'Regional Roll-up'!AP275-'Regional Roll-up'!AO275</f>
        <v>89891387.13</v>
      </c>
      <c r="AK109" s="93" t="str">
        <f>'Regional Roll-up'!AQ275-'Regional Roll-up'!AP275</f>
        <v>#REF!</v>
      </c>
      <c r="AL109" s="93" t="str">
        <f>'Regional Roll-up'!AR275-'Regional Roll-up'!AQ275</f>
        <v>#REF!</v>
      </c>
      <c r="AM109" s="90"/>
      <c r="AN109" s="90"/>
      <c r="AO109" s="90"/>
      <c r="AP109" s="90"/>
      <c r="AQ109" s="90"/>
      <c r="AR109" s="90"/>
      <c r="AS109" s="90"/>
      <c r="AT109" s="90"/>
      <c r="AU109" s="90"/>
      <c r="AV109" s="90"/>
      <c r="AW109" s="90"/>
      <c r="AX109" s="90"/>
      <c r="AY109" s="90"/>
    </row>
    <row r="110" ht="14.25" customHeight="1" outlineLevel="1">
      <c r="A110" s="90"/>
      <c r="B110" s="90"/>
      <c r="C110" s="90" t="s">
        <v>216</v>
      </c>
      <c r="D110" s="90"/>
      <c r="E110" s="123"/>
      <c r="F110" s="123"/>
      <c r="G110" s="99">
        <v>0.0</v>
      </c>
      <c r="H110" s="99">
        <f t="shared" ref="H110:AL110" si="50">G111</f>
        <v>0</v>
      </c>
      <c r="I110" s="93">
        <f t="shared" si="50"/>
        <v>0</v>
      </c>
      <c r="J110" s="93">
        <f t="shared" si="50"/>
        <v>0.38494</v>
      </c>
      <c r="K110" s="93">
        <f t="shared" si="50"/>
        <v>950000.7575</v>
      </c>
      <c r="L110" s="93">
        <f t="shared" si="50"/>
        <v>551761.4708</v>
      </c>
      <c r="M110" s="93">
        <f t="shared" si="50"/>
        <v>3144383.118</v>
      </c>
      <c r="N110" s="93">
        <f t="shared" si="50"/>
        <v>5157250.395</v>
      </c>
      <c r="O110" s="93">
        <f t="shared" si="50"/>
        <v>2590820.792</v>
      </c>
      <c r="P110" s="93">
        <f t="shared" si="50"/>
        <v>-3193856.621</v>
      </c>
      <c r="Q110" s="93">
        <f t="shared" si="50"/>
        <v>-12735209.39</v>
      </c>
      <c r="R110" s="93">
        <f t="shared" si="50"/>
        <v>-29356804.01</v>
      </c>
      <c r="S110" s="93">
        <f t="shared" si="50"/>
        <v>-54484158.76</v>
      </c>
      <c r="T110" s="93">
        <f t="shared" si="50"/>
        <v>-77655522.11</v>
      </c>
      <c r="U110" s="93">
        <f t="shared" si="50"/>
        <v>-96112741.78</v>
      </c>
      <c r="V110" s="93">
        <f t="shared" si="50"/>
        <v>-105229072.6</v>
      </c>
      <c r="W110" s="93">
        <f t="shared" si="50"/>
        <v>-102965215.1</v>
      </c>
      <c r="X110" s="93">
        <f t="shared" si="50"/>
        <v>-82942951.39</v>
      </c>
      <c r="Y110" s="93">
        <f t="shared" si="50"/>
        <v>-53918465.15</v>
      </c>
      <c r="Z110" s="93">
        <f t="shared" si="50"/>
        <v>-10078835.67</v>
      </c>
      <c r="AA110" s="93">
        <f t="shared" si="50"/>
        <v>52076362.83</v>
      </c>
      <c r="AB110" s="93">
        <f t="shared" si="50"/>
        <v>135097106.2</v>
      </c>
      <c r="AC110" s="93">
        <f t="shared" si="50"/>
        <v>240979231.4</v>
      </c>
      <c r="AD110" s="93">
        <f t="shared" si="50"/>
        <v>349697543.7</v>
      </c>
      <c r="AE110" s="93">
        <f t="shared" si="50"/>
        <v>446217763.3</v>
      </c>
      <c r="AF110" s="93">
        <f t="shared" si="50"/>
        <v>530967940.1</v>
      </c>
      <c r="AG110" s="93">
        <f t="shared" si="50"/>
        <v>614749005.6</v>
      </c>
      <c r="AH110" s="93">
        <f t="shared" si="50"/>
        <v>699789793.5</v>
      </c>
      <c r="AI110" s="93">
        <f t="shared" si="50"/>
        <v>786311543.2</v>
      </c>
      <c r="AJ110" s="93">
        <f t="shared" si="50"/>
        <v>874455876.7</v>
      </c>
      <c r="AK110" s="93">
        <f t="shared" si="50"/>
        <v>964347263.8</v>
      </c>
      <c r="AL110" s="93" t="str">
        <f t="shared" si="50"/>
        <v>#REF!</v>
      </c>
      <c r="AM110" s="90"/>
      <c r="AN110" s="90"/>
      <c r="AO110" s="90"/>
      <c r="AP110" s="90"/>
      <c r="AQ110" s="90"/>
      <c r="AR110" s="90"/>
      <c r="AS110" s="90"/>
      <c r="AT110" s="90"/>
      <c r="AU110" s="90"/>
      <c r="AV110" s="90"/>
      <c r="AW110" s="90"/>
      <c r="AX110" s="90"/>
      <c r="AY110" s="90"/>
    </row>
    <row r="111" ht="14.25" customHeight="1">
      <c r="A111" s="67"/>
      <c r="B111" s="126" t="s">
        <v>196</v>
      </c>
      <c r="C111" s="126"/>
      <c r="D111" s="126"/>
      <c r="E111" s="127"/>
      <c r="F111" s="127"/>
      <c r="G111" s="128">
        <f t="shared" ref="G111:AL111" si="51">G109+G110</f>
        <v>0</v>
      </c>
      <c r="H111" s="128">
        <f t="shared" si="51"/>
        <v>0</v>
      </c>
      <c r="I111" s="130">
        <f t="shared" si="51"/>
        <v>0.38494</v>
      </c>
      <c r="J111" s="130">
        <f t="shared" si="51"/>
        <v>950000.7575</v>
      </c>
      <c r="K111" s="130">
        <f t="shared" si="51"/>
        <v>551761.4708</v>
      </c>
      <c r="L111" s="130">
        <f t="shared" si="51"/>
        <v>3144383.118</v>
      </c>
      <c r="M111" s="130">
        <f t="shared" si="51"/>
        <v>5157250.395</v>
      </c>
      <c r="N111" s="130">
        <f t="shared" si="51"/>
        <v>2590820.792</v>
      </c>
      <c r="O111" s="130">
        <f t="shared" si="51"/>
        <v>-3193856.621</v>
      </c>
      <c r="P111" s="130">
        <f t="shared" si="51"/>
        <v>-12735209.39</v>
      </c>
      <c r="Q111" s="130">
        <f t="shared" si="51"/>
        <v>-29356804.01</v>
      </c>
      <c r="R111" s="130">
        <f t="shared" si="51"/>
        <v>-54484158.76</v>
      </c>
      <c r="S111" s="130">
        <f t="shared" si="51"/>
        <v>-77655522.11</v>
      </c>
      <c r="T111" s="130">
        <f t="shared" si="51"/>
        <v>-96112741.78</v>
      </c>
      <c r="U111" s="130">
        <f t="shared" si="51"/>
        <v>-105229072.6</v>
      </c>
      <c r="V111" s="130">
        <f t="shared" si="51"/>
        <v>-102965215.1</v>
      </c>
      <c r="W111" s="130">
        <f t="shared" si="51"/>
        <v>-82942951.39</v>
      </c>
      <c r="X111" s="130">
        <f t="shared" si="51"/>
        <v>-53918465.15</v>
      </c>
      <c r="Y111" s="130">
        <f t="shared" si="51"/>
        <v>-10078835.67</v>
      </c>
      <c r="Z111" s="130">
        <f t="shared" si="51"/>
        <v>52076362.83</v>
      </c>
      <c r="AA111" s="130">
        <f t="shared" si="51"/>
        <v>135097106.2</v>
      </c>
      <c r="AB111" s="130">
        <f t="shared" si="51"/>
        <v>240979231.4</v>
      </c>
      <c r="AC111" s="130">
        <f t="shared" si="51"/>
        <v>349697543.7</v>
      </c>
      <c r="AD111" s="130">
        <f t="shared" si="51"/>
        <v>446217763.3</v>
      </c>
      <c r="AE111" s="130">
        <f t="shared" si="51"/>
        <v>530967940.1</v>
      </c>
      <c r="AF111" s="130">
        <f t="shared" si="51"/>
        <v>614749005.6</v>
      </c>
      <c r="AG111" s="130">
        <f t="shared" si="51"/>
        <v>699789793.5</v>
      </c>
      <c r="AH111" s="130">
        <f t="shared" si="51"/>
        <v>786311543.2</v>
      </c>
      <c r="AI111" s="130">
        <f t="shared" si="51"/>
        <v>874455876.7</v>
      </c>
      <c r="AJ111" s="130">
        <f t="shared" si="51"/>
        <v>964347263.8</v>
      </c>
      <c r="AK111" s="130" t="str">
        <f t="shared" si="51"/>
        <v>#REF!</v>
      </c>
      <c r="AL111" s="130" t="str">
        <f t="shared" si="51"/>
        <v>#REF!</v>
      </c>
      <c r="AM111" s="67"/>
      <c r="AN111" s="67"/>
      <c r="AO111" s="67"/>
      <c r="AP111" s="67"/>
      <c r="AQ111" s="67"/>
      <c r="AR111" s="67"/>
      <c r="AS111" s="67"/>
      <c r="AT111" s="67"/>
      <c r="AU111" s="67"/>
      <c r="AV111" s="67"/>
      <c r="AW111" s="67"/>
      <c r="AX111" s="67"/>
      <c r="AY111" s="67"/>
    </row>
    <row r="112" ht="14.25" customHeight="1">
      <c r="A112" s="90"/>
      <c r="E112" s="123"/>
      <c r="F112" s="123"/>
      <c r="G112" s="99"/>
      <c r="H112" s="99"/>
      <c r="I112" s="93"/>
      <c r="J112" s="93"/>
      <c r="K112" s="93"/>
      <c r="L112" s="93"/>
      <c r="M112" s="93"/>
      <c r="N112" s="93"/>
      <c r="O112" s="93"/>
      <c r="P112" s="93"/>
      <c r="Q112" s="93"/>
      <c r="R112" s="93"/>
      <c r="S112" s="93"/>
      <c r="T112" s="93"/>
      <c r="U112" s="93"/>
      <c r="V112" s="93"/>
      <c r="W112" s="93"/>
      <c r="X112" s="93"/>
      <c r="Y112" s="93"/>
      <c r="Z112" s="93"/>
      <c r="AA112" s="93"/>
      <c r="AB112" s="93"/>
      <c r="AC112" s="93"/>
      <c r="AD112" s="93"/>
      <c r="AE112" s="93"/>
      <c r="AF112" s="93"/>
      <c r="AG112" s="93"/>
      <c r="AH112" s="93"/>
      <c r="AI112" s="93"/>
      <c r="AJ112" s="93"/>
      <c r="AK112" s="93"/>
      <c r="AL112" s="93"/>
    </row>
    <row r="113" ht="14.25" customHeight="1">
      <c r="A113" s="67"/>
      <c r="B113" s="67"/>
      <c r="C113" s="67"/>
      <c r="D113" s="102"/>
      <c r="E113" s="102"/>
      <c r="F113" s="102"/>
      <c r="G113" s="102"/>
      <c r="H113" s="102"/>
      <c r="I113" s="93"/>
      <c r="J113" s="93"/>
      <c r="K113" s="93"/>
      <c r="L113" s="93"/>
      <c r="M113" s="93"/>
      <c r="N113" s="93"/>
      <c r="O113" s="93"/>
      <c r="P113" s="93"/>
      <c r="Q113" s="93"/>
      <c r="R113" s="93"/>
      <c r="S113" s="93"/>
      <c r="T113" s="93"/>
      <c r="U113" s="93"/>
      <c r="V113" s="93"/>
      <c r="W113" s="93"/>
      <c r="X113" s="93"/>
      <c r="Y113" s="93"/>
      <c r="Z113" s="93"/>
      <c r="AA113" s="93"/>
      <c r="AB113" s="93"/>
      <c r="AC113" s="93"/>
      <c r="AD113" s="93"/>
      <c r="AE113" s="93"/>
      <c r="AF113" s="93"/>
      <c r="AG113" s="93"/>
      <c r="AH113" s="93"/>
      <c r="AI113" s="93"/>
      <c r="AJ113" s="93"/>
      <c r="AK113" s="93"/>
      <c r="AL113" s="93"/>
    </row>
    <row r="114" ht="14.25" customHeight="1">
      <c r="G114" s="99"/>
      <c r="H114" s="99"/>
      <c r="I114" s="93"/>
      <c r="J114" s="93"/>
      <c r="K114" s="93"/>
      <c r="L114" s="93"/>
      <c r="M114" s="93"/>
      <c r="N114" s="93"/>
      <c r="O114" s="93"/>
      <c r="P114" s="93"/>
      <c r="Q114" s="93"/>
      <c r="R114" s="93"/>
      <c r="S114" s="93"/>
      <c r="T114" s="93"/>
      <c r="U114" s="93"/>
      <c r="V114" s="93"/>
      <c r="W114" s="93"/>
      <c r="X114" s="93"/>
      <c r="Y114" s="93"/>
      <c r="Z114" s="93"/>
      <c r="AA114" s="93"/>
      <c r="AB114" s="93"/>
      <c r="AC114" s="93"/>
      <c r="AD114" s="93"/>
      <c r="AE114" s="93"/>
      <c r="AF114" s="93"/>
      <c r="AG114" s="93"/>
      <c r="AH114" s="93"/>
      <c r="AI114" s="93"/>
      <c r="AJ114" s="93"/>
      <c r="AK114" s="93"/>
      <c r="AL114" s="93"/>
    </row>
    <row r="115" ht="14.25" customHeight="1">
      <c r="A115" s="105" t="s">
        <v>241</v>
      </c>
      <c r="B115" s="106"/>
      <c r="C115" s="106"/>
      <c r="D115" s="106"/>
      <c r="E115" s="107"/>
      <c r="F115" s="107"/>
      <c r="G115" s="107"/>
      <c r="H115" s="107"/>
      <c r="I115" s="156"/>
      <c r="J115" s="156"/>
      <c r="K115" s="156"/>
      <c r="L115" s="156"/>
      <c r="M115" s="156"/>
      <c r="N115" s="156"/>
      <c r="O115" s="156"/>
      <c r="P115" s="156"/>
      <c r="Q115" s="156"/>
      <c r="R115" s="156"/>
      <c r="S115" s="156"/>
      <c r="T115" s="156"/>
      <c r="U115" s="156"/>
      <c r="V115" s="156"/>
      <c r="W115" s="156"/>
      <c r="X115" s="156"/>
      <c r="Y115" s="156"/>
      <c r="Z115" s="156"/>
      <c r="AA115" s="156"/>
      <c r="AB115" s="156"/>
      <c r="AC115" s="156"/>
      <c r="AD115" s="156"/>
      <c r="AE115" s="156"/>
      <c r="AF115" s="156"/>
      <c r="AG115" s="156"/>
      <c r="AH115" s="156"/>
      <c r="AI115" s="156"/>
      <c r="AJ115" s="156"/>
      <c r="AK115" s="156"/>
      <c r="AL115" s="156"/>
      <c r="AM115" s="67"/>
      <c r="AN115" s="67"/>
      <c r="AO115" s="67"/>
      <c r="AP115" s="67"/>
      <c r="AQ115" s="67"/>
      <c r="AR115" s="67"/>
      <c r="AS115" s="67"/>
      <c r="AT115" s="67"/>
      <c r="AU115" s="67"/>
      <c r="AV115" s="67"/>
      <c r="AW115" s="67"/>
      <c r="AX115" s="67"/>
      <c r="AY115" s="67"/>
    </row>
    <row r="116" ht="14.25" customHeight="1" outlineLevel="1">
      <c r="B116" s="67" t="s">
        <v>242</v>
      </c>
      <c r="G116" s="99"/>
      <c r="H116" s="99"/>
      <c r="I116" s="93"/>
      <c r="J116" s="93"/>
      <c r="K116" s="93"/>
      <c r="L116" s="93"/>
      <c r="M116" s="93"/>
      <c r="N116" s="93"/>
      <c r="O116" s="93"/>
      <c r="P116" s="93"/>
      <c r="Q116" s="93"/>
      <c r="R116" s="93"/>
      <c r="S116" s="93"/>
      <c r="T116" s="93"/>
      <c r="U116" s="93"/>
      <c r="V116" s="93"/>
      <c r="W116" s="93"/>
      <c r="X116" s="93"/>
      <c r="Y116" s="93"/>
      <c r="Z116" s="93"/>
      <c r="AA116" s="93"/>
      <c r="AB116" s="93"/>
      <c r="AC116" s="93"/>
      <c r="AD116" s="93"/>
      <c r="AE116" s="93"/>
      <c r="AF116" s="93"/>
      <c r="AG116" s="93"/>
      <c r="AH116" s="93"/>
      <c r="AI116" s="93"/>
      <c r="AJ116" s="93"/>
      <c r="AK116" s="93"/>
      <c r="AL116" s="93"/>
    </row>
    <row r="117" ht="14.25" customHeight="1" outlineLevel="1">
      <c r="A117" s="90"/>
      <c r="C117" s="90" t="s">
        <v>243</v>
      </c>
      <c r="G117" s="99">
        <f>'RSED National'!K389+'All Schools Roll-up'!K82+'Regional Roll-up'!M275</f>
        <v>2480979.551</v>
      </c>
      <c r="H117" s="99" t="str">
        <f>'RSED National'!L389+'All Schools Roll-up'!L82+'Regional Roll-up'!N275</f>
        <v>#REF!</v>
      </c>
      <c r="I117" s="93" t="str">
        <f>'RSED National'!M389+'All Schools Roll-up'!M82+'Regional Roll-up'!O275</f>
        <v>#REF!</v>
      </c>
      <c r="J117" s="93" t="str">
        <f>'RSED National'!N389+'All Schools Roll-up'!N82+'Regional Roll-up'!P275</f>
        <v>#REF!</v>
      </c>
      <c r="K117" s="93" t="str">
        <f>'RSED National'!O389+'All Schools Roll-up'!O82+'Regional Roll-up'!Q275</f>
        <v>#REF!</v>
      </c>
      <c r="L117" s="93" t="str">
        <f>'RSED National'!P389+'All Schools Roll-up'!P82+'Regional Roll-up'!R275</f>
        <v>#REF!</v>
      </c>
      <c r="M117" s="93" t="str">
        <f>'RSED National'!Q389+'All Schools Roll-up'!Q82+'Regional Roll-up'!S275</f>
        <v>#REF!</v>
      </c>
      <c r="N117" s="93" t="str">
        <f>'RSED National'!R389+'All Schools Roll-up'!R82+'Regional Roll-up'!T275</f>
        <v>#REF!</v>
      </c>
      <c r="O117" s="93" t="str">
        <f>'RSED National'!S389+'All Schools Roll-up'!S82+'Regional Roll-up'!U275</f>
        <v>#REF!</v>
      </c>
      <c r="P117" s="93" t="str">
        <f>'RSED National'!T389+'All Schools Roll-up'!T82+'Regional Roll-up'!V275</f>
        <v>#REF!</v>
      </c>
      <c r="Q117" s="93" t="str">
        <f>'RSED National'!U389+'All Schools Roll-up'!U82+'Regional Roll-up'!W275</f>
        <v>#REF!</v>
      </c>
      <c r="R117" s="93" t="str">
        <f>'RSED National'!V389+'All Schools Roll-up'!V82+'Regional Roll-up'!X275</f>
        <v>#REF!</v>
      </c>
      <c r="S117" s="93" t="str">
        <f>'RSED National'!W389+'All Schools Roll-up'!W82+'Regional Roll-up'!Y275</f>
        <v>#REF!</v>
      </c>
      <c r="T117" s="93" t="str">
        <f>'RSED National'!X389+'All Schools Roll-up'!X82+'Regional Roll-up'!Z275</f>
        <v>#REF!</v>
      </c>
      <c r="U117" s="93" t="str">
        <f>'RSED National'!Y389+'All Schools Roll-up'!Y82+'Regional Roll-up'!AA275</f>
        <v>#REF!</v>
      </c>
      <c r="V117" s="93" t="str">
        <f>'RSED National'!Z389+'All Schools Roll-up'!Z82+'Regional Roll-up'!AB275</f>
        <v>#REF!</v>
      </c>
      <c r="W117" s="93" t="str">
        <f>'RSED National'!AA389+'All Schools Roll-up'!AA82+'Regional Roll-up'!AC275</f>
        <v>#REF!</v>
      </c>
      <c r="X117" s="93" t="str">
        <f>'RSED National'!AB389+'All Schools Roll-up'!AB82+'Regional Roll-up'!AD275</f>
        <v>#REF!</v>
      </c>
      <c r="Y117" s="93" t="str">
        <f>'RSED National'!AC389+'All Schools Roll-up'!AC82+'Regional Roll-up'!AE275</f>
        <v>#REF!</v>
      </c>
      <c r="Z117" s="93" t="str">
        <f>'RSED National'!AD389+'All Schools Roll-up'!AD82+'Regional Roll-up'!AF275</f>
        <v>#REF!</v>
      </c>
      <c r="AA117" s="93" t="str">
        <f>'RSED National'!AE389+'All Schools Roll-up'!AE82+'Regional Roll-up'!AG275</f>
        <v>#REF!</v>
      </c>
      <c r="AB117" s="93" t="str">
        <f>'RSED National'!AF389+'All Schools Roll-up'!AF82+'Regional Roll-up'!AH275</f>
        <v>#REF!</v>
      </c>
      <c r="AC117" s="93" t="str">
        <f>'RSED National'!AG389+'All Schools Roll-up'!AG82+'Regional Roll-up'!AI275</f>
        <v>#REF!</v>
      </c>
      <c r="AD117" s="93" t="str">
        <f>'RSED National'!AH389+'All Schools Roll-up'!AH82+'Regional Roll-up'!AJ275</f>
        <v>#REF!</v>
      </c>
      <c r="AE117" s="93" t="str">
        <f>'RSED National'!AI389+'All Schools Roll-up'!AI82+'Regional Roll-up'!AK275</f>
        <v>#REF!</v>
      </c>
      <c r="AF117" s="93" t="str">
        <f>'RSED National'!AJ389+'All Schools Roll-up'!AJ82+'Regional Roll-up'!AL275</f>
        <v>#REF!</v>
      </c>
      <c r="AG117" s="93" t="str">
        <f>'RSED National'!AK389+'All Schools Roll-up'!AK82+'Regional Roll-up'!AM275</f>
        <v>#REF!</v>
      </c>
      <c r="AH117" s="93" t="str">
        <f>'RSED National'!AL389+'All Schools Roll-up'!AL82+'Regional Roll-up'!AN275</f>
        <v>#REF!</v>
      </c>
      <c r="AI117" s="93" t="str">
        <f>'RSED National'!AM389+'All Schools Roll-up'!AM82+'Regional Roll-up'!AO275</f>
        <v>#REF!</v>
      </c>
      <c r="AJ117" s="93" t="str">
        <f>'RSED National'!AN389+'All Schools Roll-up'!AN82+'Regional Roll-up'!AP275</f>
        <v>#REF!</v>
      </c>
      <c r="AK117" s="93" t="str">
        <f>'RSED National'!AO389+'All Schools Roll-up'!AO82+'Regional Roll-up'!AQ275</f>
        <v>#REF!</v>
      </c>
      <c r="AL117" s="93" t="str">
        <f>'RSED National'!AP389+'All Schools Roll-up'!AP82+'Regional Roll-up'!AR275</f>
        <v>#REF!</v>
      </c>
    </row>
    <row r="118" ht="14.25" customHeight="1" outlineLevel="1">
      <c r="A118" s="90"/>
      <c r="C118" s="90" t="s">
        <v>244</v>
      </c>
      <c r="G118" s="99"/>
      <c r="H118" s="99">
        <f>'RSED National'!L390</f>
        <v>172035.1283</v>
      </c>
      <c r="I118" s="93" t="str">
        <f>'RSED National'!M390</f>
        <v>#REF!</v>
      </c>
      <c r="J118" s="93" t="str">
        <f>'RSED National'!N390</f>
        <v>#REF!</v>
      </c>
      <c r="K118" s="93" t="str">
        <f>'RSED National'!O390</f>
        <v>#REF!</v>
      </c>
      <c r="L118" s="93" t="str">
        <f>'RSED National'!P390</f>
        <v>#REF!</v>
      </c>
      <c r="M118" s="93" t="str">
        <f>'RSED National'!Q390</f>
        <v>#REF!</v>
      </c>
      <c r="N118" s="93" t="str">
        <f>'RSED National'!R390</f>
        <v>#REF!</v>
      </c>
      <c r="O118" s="93" t="str">
        <f>'RSED National'!S390</f>
        <v>#REF!</v>
      </c>
      <c r="P118" s="93" t="str">
        <f>'RSED National'!T390</f>
        <v>#REF!</v>
      </c>
      <c r="Q118" s="93" t="str">
        <f>'RSED National'!U390</f>
        <v>#REF!</v>
      </c>
      <c r="R118" s="93" t="str">
        <f>'RSED National'!V390</f>
        <v>#REF!</v>
      </c>
      <c r="S118" s="93" t="str">
        <f>'RSED National'!W390</f>
        <v>#REF!</v>
      </c>
      <c r="T118" s="93" t="str">
        <f>'RSED National'!X390</f>
        <v>#REF!</v>
      </c>
      <c r="U118" s="93" t="str">
        <f>'RSED National'!Y390</f>
        <v>#REF!</v>
      </c>
      <c r="V118" s="93" t="str">
        <f>'RSED National'!Z390</f>
        <v>#REF!</v>
      </c>
      <c r="W118" s="93" t="str">
        <f>'RSED National'!AA390</f>
        <v>#REF!</v>
      </c>
      <c r="X118" s="93" t="str">
        <f>'RSED National'!AB390</f>
        <v>#REF!</v>
      </c>
      <c r="Y118" s="93" t="str">
        <f>'RSED National'!AC390</f>
        <v>#REF!</v>
      </c>
      <c r="Z118" s="93" t="str">
        <f>'RSED National'!AD390</f>
        <v>#REF!</v>
      </c>
      <c r="AA118" s="93" t="str">
        <f>'RSED National'!AE390</f>
        <v>#REF!</v>
      </c>
      <c r="AB118" s="93" t="str">
        <f>'RSED National'!AF390</f>
        <v>#REF!</v>
      </c>
      <c r="AC118" s="93" t="str">
        <f>'RSED National'!AG390</f>
        <v>#REF!</v>
      </c>
      <c r="AD118" s="93" t="str">
        <f>'RSED National'!AH390</f>
        <v>#REF!</v>
      </c>
      <c r="AE118" s="93" t="str">
        <f>'RSED National'!AI390</f>
        <v>#REF!</v>
      </c>
      <c r="AF118" s="93" t="str">
        <f>'RSED National'!AJ390</f>
        <v>#REF!</v>
      </c>
      <c r="AG118" s="93" t="str">
        <f>'RSED National'!AK390</f>
        <v>#REF!</v>
      </c>
      <c r="AH118" s="93" t="str">
        <f>'RSED National'!AL390</f>
        <v>#REF!</v>
      </c>
      <c r="AI118" s="93" t="str">
        <f>'RSED National'!AM390</f>
        <v>#REF!</v>
      </c>
      <c r="AJ118" s="93" t="str">
        <f>'RSED National'!AN390</f>
        <v>#REF!</v>
      </c>
      <c r="AK118" s="93" t="str">
        <f>'RSED National'!AO390</f>
        <v>#REF!</v>
      </c>
      <c r="AL118" s="93" t="str">
        <f>'RSED National'!AP390</f>
        <v>#REF!</v>
      </c>
    </row>
    <row r="119" ht="14.25" customHeight="1" outlineLevel="1">
      <c r="A119" s="90"/>
      <c r="B119" s="90"/>
      <c r="C119" s="90" t="s">
        <v>245</v>
      </c>
      <c r="D119" s="90"/>
      <c r="E119" s="90"/>
      <c r="F119" s="90"/>
      <c r="G119" s="99">
        <f>'All Schools Roll-up'!K83+'RSED National'!K391</f>
        <v>0</v>
      </c>
      <c r="H119" s="99">
        <f>'All Schools Roll-up'!L83+'RSED National'!L391</f>
        <v>250000</v>
      </c>
      <c r="I119" s="93">
        <f>'All Schools Roll-up'!M83+'RSED National'!M391</f>
        <v>650000</v>
      </c>
      <c r="J119" s="93">
        <f>'All Schools Roll-up'!N83+'RSED National'!N391</f>
        <v>1250000</v>
      </c>
      <c r="K119" s="93">
        <f>'All Schools Roll-up'!O83+'RSED National'!O391</f>
        <v>2250000</v>
      </c>
      <c r="L119" s="93">
        <f>'All Schools Roll-up'!P83+'RSED National'!P391</f>
        <v>3850000</v>
      </c>
      <c r="M119" s="93">
        <f>'All Schools Roll-up'!Q83+'RSED National'!Q391</f>
        <v>6450000</v>
      </c>
      <c r="N119" s="93">
        <f>'All Schools Roll-up'!R83+'RSED National'!R391</f>
        <v>10850000</v>
      </c>
      <c r="O119" s="93">
        <f>'All Schools Roll-up'!S83+'RSED National'!S391</f>
        <v>17400000</v>
      </c>
      <c r="P119" s="93">
        <f>'All Schools Roll-up'!T83+'RSED National'!T391</f>
        <v>26000000</v>
      </c>
      <c r="Q119" s="93">
        <f>'All Schools Roll-up'!U83+'RSED National'!U391</f>
        <v>34400000</v>
      </c>
      <c r="R119" s="93">
        <f>'All Schools Roll-up'!V83+'RSED National'!V391</f>
        <v>46600000</v>
      </c>
      <c r="S119" s="93">
        <f>'All Schools Roll-up'!W83+'RSED National'!W391</f>
        <v>61000000</v>
      </c>
      <c r="T119" s="93">
        <f>'All Schools Roll-up'!X83+'RSED National'!X391</f>
        <v>86800000</v>
      </c>
      <c r="U119" s="93">
        <f>'All Schools Roll-up'!Y83+'RSED National'!Y391</f>
        <v>121000000</v>
      </c>
      <c r="V119" s="93">
        <f>'All Schools Roll-up'!Z83+'RSED National'!Z391</f>
        <v>162600000</v>
      </c>
      <c r="W119" s="93">
        <f>'All Schools Roll-up'!AA83+'RSED National'!AA391</f>
        <v>208200000</v>
      </c>
      <c r="X119" s="93">
        <f>'All Schools Roll-up'!AB83+'RSED National'!AB391</f>
        <v>264000000</v>
      </c>
      <c r="Y119" s="93">
        <f>'All Schools Roll-up'!AC83+'RSED National'!AC391</f>
        <v>320800000</v>
      </c>
      <c r="Z119" s="93">
        <f>'All Schools Roll-up'!AD83+'RSED National'!AD391</f>
        <v>373800000</v>
      </c>
      <c r="AA119" s="93">
        <f>'All Schools Roll-up'!AE83+'RSED National'!AE391</f>
        <v>399800000</v>
      </c>
      <c r="AB119" s="93">
        <f>'All Schools Roll-up'!AF83+'RSED National'!AF391</f>
        <v>367800000</v>
      </c>
      <c r="AC119" s="93">
        <f>'All Schools Roll-up'!AG83+'RSED National'!AG391</f>
        <v>319400000</v>
      </c>
      <c r="AD119" s="93">
        <f>'All Schools Roll-up'!AH83+'RSED National'!AH391</f>
        <v>264800000</v>
      </c>
      <c r="AE119" s="93">
        <f>'All Schools Roll-up'!AI83+'RSED National'!AI391</f>
        <v>200000000</v>
      </c>
      <c r="AF119" s="93">
        <f>'All Schools Roll-up'!AJ83+'RSED National'!AJ391</f>
        <v>130000000</v>
      </c>
      <c r="AG119" s="93">
        <f>'All Schools Roll-up'!AK83+'RSED National'!AK391</f>
        <v>61000000</v>
      </c>
      <c r="AH119" s="93">
        <f>'All Schools Roll-up'!AL83+'RSED National'!AL391</f>
        <v>6600000</v>
      </c>
      <c r="AI119" s="93">
        <f>'All Schools Roll-up'!AM83+'RSED National'!AM391</f>
        <v>0</v>
      </c>
      <c r="AJ119" s="93">
        <f>'All Schools Roll-up'!AN83+'RSED National'!AN391</f>
        <v>0</v>
      </c>
      <c r="AK119" s="93">
        <f>'All Schools Roll-up'!AO83+'RSED National'!AO391</f>
        <v>0</v>
      </c>
      <c r="AL119" s="93" t="str">
        <f>'All Schools Roll-up'!AP83+'RSED National'!AP391</f>
        <v>#REF!</v>
      </c>
      <c r="AM119" s="90"/>
      <c r="AN119" s="90"/>
      <c r="AO119" s="90"/>
      <c r="AP119" s="90"/>
      <c r="AQ119" s="90"/>
      <c r="AR119" s="90"/>
      <c r="AS119" s="90"/>
      <c r="AT119" s="90"/>
      <c r="AU119" s="90"/>
      <c r="AV119" s="90"/>
      <c r="AW119" s="90"/>
      <c r="AX119" s="90"/>
      <c r="AY119" s="90"/>
    </row>
    <row r="120" ht="14.25" customHeight="1" outlineLevel="1">
      <c r="A120" s="90"/>
      <c r="B120" s="90"/>
      <c r="C120" s="90" t="s">
        <v>142</v>
      </c>
      <c r="D120" s="90"/>
      <c r="E120" s="90"/>
      <c r="F120" s="90"/>
      <c r="G120" s="99">
        <f>'RSED National'!K393+'All Schools Roll-up'!K84+'Regional Roll-up'!M277</f>
        <v>784484.13</v>
      </c>
      <c r="H120" s="99">
        <f>'RSED National'!L393+'All Schools Roll-up'!L84+'Regional Roll-up'!N277</f>
        <v>1774981.11</v>
      </c>
      <c r="I120" s="93">
        <f>'RSED National'!M393+'All Schools Roll-up'!M84+'Regional Roll-up'!O277</f>
        <v>1698265.71</v>
      </c>
      <c r="J120" s="93">
        <f>'RSED National'!N393+'All Schools Roll-up'!N84+'Regional Roll-up'!P277</f>
        <v>2918780.165</v>
      </c>
      <c r="K120" s="93">
        <f>'RSED National'!O393+'All Schools Roll-up'!O84+'Regional Roll-up'!Q277</f>
        <v>4672530.462</v>
      </c>
      <c r="L120" s="93">
        <f>'RSED National'!P393+'All Schools Roll-up'!P84+'Regional Roll-up'!R277</f>
        <v>7585455.14</v>
      </c>
      <c r="M120" s="93">
        <f>'RSED National'!Q393+'All Schools Roll-up'!Q84+'Regional Roll-up'!S277</f>
        <v>12375562.4</v>
      </c>
      <c r="N120" s="93">
        <f>'RSED National'!R393+'All Schools Roll-up'!R84+'Regional Roll-up'!T277</f>
        <v>20207711.15</v>
      </c>
      <c r="O120" s="93">
        <f>'RSED National'!S393+'All Schools Roll-up'!S84+'Regional Roll-up'!U277</f>
        <v>34177127.36</v>
      </c>
      <c r="P120" s="93">
        <f>'RSED National'!T393+'All Schools Roll-up'!T84+'Regional Roll-up'!V277</f>
        <v>55677765.7</v>
      </c>
      <c r="Q120" s="93">
        <f>'RSED National'!U393+'All Schools Roll-up'!U84+'Regional Roll-up'!W277</f>
        <v>82729023.49</v>
      </c>
      <c r="R120" s="93">
        <f>'RSED National'!V393+'All Schools Roll-up'!V84+'Regional Roll-up'!X277</f>
        <v>113537321.6</v>
      </c>
      <c r="S120" s="93">
        <f>'RSED National'!W393+'All Schools Roll-up'!W84+'Regional Roll-up'!Y277</f>
        <v>157847361.7</v>
      </c>
      <c r="T120" s="93">
        <f>'RSED National'!X393+'All Schools Roll-up'!X84+'Regional Roll-up'!Z277</f>
        <v>215334378.5</v>
      </c>
      <c r="U120" s="93">
        <f>'RSED National'!Y393+'All Schools Roll-up'!Y84+'Regional Roll-up'!AA277</f>
        <v>312296182.2</v>
      </c>
      <c r="V120" s="93">
        <f>'RSED National'!Z393+'All Schools Roll-up'!Z84+'Regional Roll-up'!AB277</f>
        <v>448746594.8</v>
      </c>
      <c r="W120" s="93">
        <f>'RSED National'!AA393+'All Schools Roll-up'!AA84+'Regional Roll-up'!AC277</f>
        <v>625427065.6</v>
      </c>
      <c r="X120" s="93">
        <f>'RSED National'!AB393+'All Schools Roll-up'!AB84+'Regional Roll-up'!AD277</f>
        <v>834651959.5</v>
      </c>
      <c r="Y120" s="93">
        <f>'RSED National'!AC393+'All Schools Roll-up'!AC84+'Regional Roll-up'!AE277</f>
        <v>1087109280</v>
      </c>
      <c r="Z120" s="93">
        <f>'RSED National'!AD393+'All Schools Roll-up'!AD84+'Regional Roll-up'!AF277</f>
        <v>1370070409</v>
      </c>
      <c r="AA120" s="93">
        <f>'RSED National'!AE393+'All Schools Roll-up'!AE84+'Regional Roll-up'!AG277</f>
        <v>1661391213</v>
      </c>
      <c r="AB120" s="93">
        <f>'RSED National'!AF393+'All Schools Roll-up'!AF84+'Regional Roll-up'!AH277</f>
        <v>1907888275</v>
      </c>
      <c r="AC120" s="93">
        <f>'RSED National'!AG393+'All Schools Roll-up'!AG84+'Regional Roll-up'!AI277</f>
        <v>2002789335</v>
      </c>
      <c r="AD120" s="93">
        <f>'RSED National'!AH393+'All Schools Roll-up'!AH84+'Regional Roll-up'!AJ277</f>
        <v>2053324579</v>
      </c>
      <c r="AE120" s="93">
        <f>'RSED National'!AI393+'All Schools Roll-up'!AI84+'Regional Roll-up'!AK277</f>
        <v>2093825708</v>
      </c>
      <c r="AF120" s="93">
        <f>'RSED National'!AJ393+'All Schools Roll-up'!AJ84+'Regional Roll-up'!AL277</f>
        <v>2133542220</v>
      </c>
      <c r="AG120" s="93">
        <f>'RSED National'!AK393+'All Schools Roll-up'!AK84+'Regional Roll-up'!AM277</f>
        <v>2174491377</v>
      </c>
      <c r="AH120" s="93">
        <f>'RSED National'!AL393+'All Schools Roll-up'!AL84+'Regional Roll-up'!AN277</f>
        <v>2216856826</v>
      </c>
      <c r="AI120" s="93">
        <f>'RSED National'!AM393+'All Schools Roll-up'!AM84+'Regional Roll-up'!AO277</f>
        <v>2260657108</v>
      </c>
      <c r="AJ120" s="93">
        <f>'RSED National'!AN393+'All Schools Roll-up'!AN84+'Regional Roll-up'!AP277</f>
        <v>2305810992</v>
      </c>
      <c r="AK120" s="93" t="str">
        <f>'RSED National'!AO393+'All Schools Roll-up'!AO84+'Regional Roll-up'!AQ277</f>
        <v>#REF!</v>
      </c>
      <c r="AL120" s="93" t="str">
        <f>'RSED National'!AP393+'All Schools Roll-up'!AP84+'Regional Roll-up'!AR277</f>
        <v>#REF!</v>
      </c>
      <c r="AM120" s="90"/>
      <c r="AN120" s="90"/>
      <c r="AO120" s="90"/>
      <c r="AP120" s="90"/>
      <c r="AQ120" s="90"/>
      <c r="AR120" s="90"/>
      <c r="AS120" s="90"/>
      <c r="AT120" s="90"/>
      <c r="AU120" s="90"/>
      <c r="AV120" s="90"/>
      <c r="AW120" s="90"/>
      <c r="AX120" s="90"/>
      <c r="AY120" s="90"/>
    </row>
    <row r="121" ht="14.25" customHeight="1" outlineLevel="1">
      <c r="A121" s="90"/>
      <c r="B121" s="90"/>
      <c r="C121" s="90" t="s">
        <v>246</v>
      </c>
      <c r="D121" s="90"/>
      <c r="E121" s="90"/>
      <c r="F121" s="90"/>
      <c r="G121" s="99">
        <f>'RSED National'!K392+'Regional Roll-up'!M276</f>
        <v>50000</v>
      </c>
      <c r="H121" s="99">
        <f>'RSED National'!L392+'Regional Roll-up'!N276</f>
        <v>450000</v>
      </c>
      <c r="I121" s="93">
        <f>'RSED National'!M392+'Regional Roll-up'!O276</f>
        <v>250000</v>
      </c>
      <c r="J121" s="93">
        <f>'RSED National'!N392+'Regional Roll-up'!P276</f>
        <v>250000</v>
      </c>
      <c r="K121" s="93">
        <f>'RSED National'!O392+'Regional Roll-up'!Q276</f>
        <v>250000</v>
      </c>
      <c r="L121" s="93">
        <f>'RSED National'!P392+'Regional Roll-up'!R276</f>
        <v>250000</v>
      </c>
      <c r="M121" s="93">
        <f>'RSED National'!Q392+'Regional Roll-up'!S276</f>
        <v>304121.608</v>
      </c>
      <c r="N121" s="93">
        <f>'RSED National'!R392+'Regional Roll-up'!T276</f>
        <v>607743.8289</v>
      </c>
      <c r="O121" s="93">
        <f>'RSED National'!S392+'Regional Roll-up'!U276</f>
        <v>1005287.22</v>
      </c>
      <c r="P121" s="93">
        <f>'RSED National'!T392+'Regional Roll-up'!V276</f>
        <v>2268841.454</v>
      </c>
      <c r="Q121" s="93">
        <f>'RSED National'!U392+'Regional Roll-up'!W276</f>
        <v>4260662.402</v>
      </c>
      <c r="R121" s="93">
        <f>'RSED National'!V392+'Regional Roll-up'!X276</f>
        <v>7036380.349</v>
      </c>
      <c r="S121" s="93">
        <f>'RSED National'!W392+'Regional Roll-up'!Y276</f>
        <v>16450629.81</v>
      </c>
      <c r="T121" s="93">
        <f>'RSED National'!X392+'Regional Roll-up'!Z276</f>
        <v>26914963.72</v>
      </c>
      <c r="U121" s="93">
        <f>'RSED National'!Y392+'Regional Roll-up'!AA276</f>
        <v>39146948.18</v>
      </c>
      <c r="V121" s="93">
        <f>'RSED National'!Z392+'Regional Roll-up'!AB276</f>
        <v>52390623.42</v>
      </c>
      <c r="W121" s="93">
        <f>'RSED National'!AA392+'Regional Roll-up'!AC276</f>
        <v>77460058.23</v>
      </c>
      <c r="X121" s="93">
        <f>'RSED National'!AB392+'Regional Roll-up'!AD276</f>
        <v>114626160.8</v>
      </c>
      <c r="Y121" s="93">
        <f>'RSED National'!AC392+'Regional Roll-up'!AE276</f>
        <v>160083194.7</v>
      </c>
      <c r="Z121" s="93">
        <f>'RSED National'!AD392+'Regional Roll-up'!AF276</f>
        <v>210960993.6</v>
      </c>
      <c r="AA121" s="93">
        <f>'RSED National'!AE392+'Regional Roll-up'!AG276</f>
        <v>262665050.7</v>
      </c>
      <c r="AB121" s="93">
        <f>'RSED National'!AF392+'Regional Roll-up'!AH276</f>
        <v>310671228.8</v>
      </c>
      <c r="AC121" s="93">
        <f>'RSED National'!AG392+'Regional Roll-up'!AI276</f>
        <v>346766574</v>
      </c>
      <c r="AD121" s="93">
        <f>'RSED National'!AH392+'Regional Roll-up'!AJ276</f>
        <v>355789086.8</v>
      </c>
      <c r="AE121" s="93">
        <f>'RSED National'!AI392+'Regional Roll-up'!AK276</f>
        <v>286601213.9</v>
      </c>
      <c r="AF121" s="93">
        <f>'RSED National'!AJ392+'Regional Roll-up'!AL276</f>
        <v>198870662.1</v>
      </c>
      <c r="AG121" s="93">
        <f>'RSED National'!AK392+'Regional Roll-up'!AM276</f>
        <v>108213440.9</v>
      </c>
      <c r="AH121" s="93">
        <f>'RSED National'!AL392+'Regional Roll-up'!AN276</f>
        <v>30477338.17</v>
      </c>
      <c r="AI121" s="93" t="str">
        <f>'RSED National'!AM392+'Regional Roll-up'!AO276</f>
        <v>#REF!</v>
      </c>
      <c r="AJ121" s="93" t="str">
        <f>'RSED National'!AN392+'Regional Roll-up'!AP276</f>
        <v>#REF!</v>
      </c>
      <c r="AK121" s="93" t="str">
        <f>'RSED National'!AO392+'Regional Roll-up'!AQ276</f>
        <v>#REF!</v>
      </c>
      <c r="AL121" s="93" t="str">
        <f>'RSED National'!AP392+'Regional Roll-up'!AR276</f>
        <v>#REF!</v>
      </c>
      <c r="AM121" s="90"/>
      <c r="AN121" s="90"/>
      <c r="AO121" s="90"/>
      <c r="AP121" s="90"/>
      <c r="AQ121" s="90"/>
      <c r="AR121" s="90"/>
      <c r="AS121" s="90"/>
      <c r="AT121" s="90"/>
      <c r="AU121" s="90"/>
      <c r="AV121" s="90"/>
      <c r="AW121" s="90"/>
      <c r="AX121" s="90"/>
      <c r="AY121" s="90"/>
    </row>
    <row r="122" ht="14.25" customHeight="1" outlineLevel="1">
      <c r="A122" s="90"/>
      <c r="B122" s="90"/>
      <c r="C122" s="90" t="s">
        <v>247</v>
      </c>
      <c r="D122" s="90"/>
      <c r="E122" s="90"/>
      <c r="F122" s="90"/>
      <c r="G122" s="99">
        <f>'All Schools Roll-up'!K85</f>
        <v>0</v>
      </c>
      <c r="H122" s="99">
        <f>'All Schools Roll-up'!L85</f>
        <v>16977.3</v>
      </c>
      <c r="I122" s="93">
        <f>'All Schools Roll-up'!M85</f>
        <v>13982.98</v>
      </c>
      <c r="J122" s="93">
        <f>'All Schools Roll-up'!N85</f>
        <v>10988.66</v>
      </c>
      <c r="K122" s="93">
        <f>'All Schools Roll-up'!O85</f>
        <v>5494.33</v>
      </c>
      <c r="L122" s="93">
        <f>'All Schools Roll-up'!P85</f>
        <v>0</v>
      </c>
      <c r="M122" s="93">
        <f>'All Schools Roll-up'!Q85</f>
        <v>0</v>
      </c>
      <c r="N122" s="93">
        <f>'All Schools Roll-up'!R85</f>
        <v>0</v>
      </c>
      <c r="O122" s="93">
        <f>'All Schools Roll-up'!S85</f>
        <v>0</v>
      </c>
      <c r="P122" s="93">
        <f>'All Schools Roll-up'!T85</f>
        <v>0</v>
      </c>
      <c r="Q122" s="93">
        <f>'All Schools Roll-up'!U85</f>
        <v>0</v>
      </c>
      <c r="R122" s="93">
        <f>'All Schools Roll-up'!V85</f>
        <v>0</v>
      </c>
      <c r="S122" s="93">
        <f>'All Schools Roll-up'!W85</f>
        <v>0</v>
      </c>
      <c r="T122" s="93">
        <f>'All Schools Roll-up'!X85</f>
        <v>0</v>
      </c>
      <c r="U122" s="93">
        <f>'All Schools Roll-up'!Y85</f>
        <v>0</v>
      </c>
      <c r="V122" s="93">
        <f>'All Schools Roll-up'!Z85</f>
        <v>0</v>
      </c>
      <c r="W122" s="93">
        <f>'All Schools Roll-up'!AA85</f>
        <v>0</v>
      </c>
      <c r="X122" s="93">
        <f>'All Schools Roll-up'!AB85</f>
        <v>0</v>
      </c>
      <c r="Y122" s="93">
        <f>'All Schools Roll-up'!AC85</f>
        <v>0</v>
      </c>
      <c r="Z122" s="93">
        <f>'All Schools Roll-up'!AD85</f>
        <v>0</v>
      </c>
      <c r="AA122" s="93">
        <f>'All Schools Roll-up'!AE85</f>
        <v>0</v>
      </c>
      <c r="AB122" s="93">
        <f>'All Schools Roll-up'!AF85</f>
        <v>0</v>
      </c>
      <c r="AC122" s="93">
        <f>'All Schools Roll-up'!AG85</f>
        <v>0</v>
      </c>
      <c r="AD122" s="93">
        <f>'All Schools Roll-up'!AH85</f>
        <v>0</v>
      </c>
      <c r="AE122" s="93">
        <f>'All Schools Roll-up'!AI85</f>
        <v>0</v>
      </c>
      <c r="AF122" s="93">
        <f>'All Schools Roll-up'!AJ85</f>
        <v>0</v>
      </c>
      <c r="AG122" s="93">
        <f>'All Schools Roll-up'!AK85</f>
        <v>0</v>
      </c>
      <c r="AH122" s="93">
        <f>'All Schools Roll-up'!AL85</f>
        <v>0</v>
      </c>
      <c r="AI122" s="93">
        <f>'All Schools Roll-up'!AM85</f>
        <v>0</v>
      </c>
      <c r="AJ122" s="93">
        <f>'All Schools Roll-up'!AN85</f>
        <v>0</v>
      </c>
      <c r="AK122" s="93">
        <f>'All Schools Roll-up'!AO85</f>
        <v>0</v>
      </c>
      <c r="AL122" s="93" t="str">
        <f>'All Schools Roll-up'!AP85</f>
        <v>#REF!</v>
      </c>
      <c r="AM122" s="90"/>
      <c r="AN122" s="90"/>
      <c r="AO122" s="90"/>
      <c r="AP122" s="90"/>
      <c r="AQ122" s="90"/>
      <c r="AR122" s="90"/>
      <c r="AS122" s="90"/>
      <c r="AT122" s="90"/>
      <c r="AU122" s="90"/>
      <c r="AV122" s="90"/>
      <c r="AW122" s="90"/>
      <c r="AX122" s="90"/>
      <c r="AY122" s="90"/>
    </row>
    <row r="123" ht="14.25" customHeight="1" outlineLevel="1">
      <c r="A123" s="90"/>
      <c r="B123" s="90"/>
      <c r="C123" s="87" t="s">
        <v>248</v>
      </c>
      <c r="D123" s="87"/>
      <c r="E123" s="87"/>
      <c r="F123" s="87"/>
      <c r="G123" s="125">
        <f>'RSED National'!K394+'All Schools Roll-up'!K86</f>
        <v>12080.5</v>
      </c>
      <c r="H123" s="125">
        <f>'RSED National'!L394+'All Schools Roll-up'!L86</f>
        <v>37899.42</v>
      </c>
      <c r="I123" s="119">
        <f>'RSED National'!M394+'All Schools Roll-up'!M86</f>
        <v>6210.5</v>
      </c>
      <c r="J123" s="119">
        <f>'RSED National'!N394+'All Schools Roll-up'!N86</f>
        <v>6210.5</v>
      </c>
      <c r="K123" s="119">
        <f>'RSED National'!O394+'All Schools Roll-up'!O86</f>
        <v>6210.5</v>
      </c>
      <c r="L123" s="119">
        <f>'RSED National'!P394+'All Schools Roll-up'!P86</f>
        <v>6210.5</v>
      </c>
      <c r="M123" s="119">
        <f>'RSED National'!Q394+'All Schools Roll-up'!Q86</f>
        <v>6210.5</v>
      </c>
      <c r="N123" s="119">
        <f>'RSED National'!R394+'All Schools Roll-up'!R86</f>
        <v>6210.5</v>
      </c>
      <c r="O123" s="119">
        <f>'RSED National'!S394+'All Schools Roll-up'!S86</f>
        <v>6210.5</v>
      </c>
      <c r="P123" s="119">
        <f>'RSED National'!T394+'All Schools Roll-up'!T86</f>
        <v>6210.5</v>
      </c>
      <c r="Q123" s="119">
        <f>'RSED National'!U394+'All Schools Roll-up'!U86</f>
        <v>6210.5</v>
      </c>
      <c r="R123" s="119">
        <f>'RSED National'!V394+'All Schools Roll-up'!V86</f>
        <v>6210.5</v>
      </c>
      <c r="S123" s="119">
        <f>'RSED National'!W394+'All Schools Roll-up'!W86</f>
        <v>6210.5</v>
      </c>
      <c r="T123" s="119">
        <f>'RSED National'!X394+'All Schools Roll-up'!X86</f>
        <v>6210.5</v>
      </c>
      <c r="U123" s="119">
        <f>'RSED National'!Y394+'All Schools Roll-up'!Y86</f>
        <v>6210.5</v>
      </c>
      <c r="V123" s="119">
        <f>'RSED National'!Z394+'All Schools Roll-up'!Z86</f>
        <v>6210.5</v>
      </c>
      <c r="W123" s="119">
        <f>'RSED National'!AA394+'All Schools Roll-up'!AA86</f>
        <v>6210.5</v>
      </c>
      <c r="X123" s="119">
        <f>'RSED National'!AB394+'All Schools Roll-up'!AB86</f>
        <v>6210.5</v>
      </c>
      <c r="Y123" s="119">
        <f>'RSED National'!AC394+'All Schools Roll-up'!AC86</f>
        <v>6210.5</v>
      </c>
      <c r="Z123" s="119">
        <f>'RSED National'!AD394+'All Schools Roll-up'!AD86</f>
        <v>6210.5</v>
      </c>
      <c r="AA123" s="119">
        <f>'RSED National'!AE394+'All Schools Roll-up'!AE86</f>
        <v>6210.5</v>
      </c>
      <c r="AB123" s="119">
        <f>'RSED National'!AF394+'All Schools Roll-up'!AF86</f>
        <v>6210.5</v>
      </c>
      <c r="AC123" s="119">
        <f>'RSED National'!AG394+'All Schools Roll-up'!AG86</f>
        <v>6210.5</v>
      </c>
      <c r="AD123" s="119">
        <f>'RSED National'!AH394+'All Schools Roll-up'!AH86</f>
        <v>6210.5</v>
      </c>
      <c r="AE123" s="119">
        <f>'RSED National'!AI394+'All Schools Roll-up'!AI86</f>
        <v>6210.5</v>
      </c>
      <c r="AF123" s="119">
        <f>'RSED National'!AJ394+'All Schools Roll-up'!AJ86</f>
        <v>6210.5</v>
      </c>
      <c r="AG123" s="119">
        <f>'RSED National'!AK394+'All Schools Roll-up'!AK86</f>
        <v>6210.5</v>
      </c>
      <c r="AH123" s="119">
        <f>'RSED National'!AL394+'All Schools Roll-up'!AL86</f>
        <v>6210.5</v>
      </c>
      <c r="AI123" s="119">
        <f>'RSED National'!AM394+'All Schools Roll-up'!AM86</f>
        <v>6210.5</v>
      </c>
      <c r="AJ123" s="119">
        <f>'RSED National'!AN394+'All Schools Roll-up'!AN86</f>
        <v>6210.5</v>
      </c>
      <c r="AK123" s="119">
        <f>'RSED National'!AO394+'All Schools Roll-up'!AO86</f>
        <v>6210.5</v>
      </c>
      <c r="AL123" s="119">
        <f>'RSED National'!AP394+'All Schools Roll-up'!AP86</f>
        <v>6210.5</v>
      </c>
      <c r="AM123" s="90"/>
      <c r="AN123" s="90"/>
      <c r="AO123" s="90"/>
      <c r="AP123" s="90"/>
      <c r="AQ123" s="90"/>
      <c r="AR123" s="90"/>
      <c r="AS123" s="90"/>
      <c r="AT123" s="90"/>
      <c r="AU123" s="90"/>
      <c r="AV123" s="90"/>
      <c r="AW123" s="90"/>
      <c r="AX123" s="90"/>
      <c r="AY123" s="90"/>
    </row>
    <row r="124" ht="14.25" customHeight="1" outlineLevel="1">
      <c r="A124" s="90"/>
      <c r="B124" s="67" t="s">
        <v>249</v>
      </c>
      <c r="C124" s="90"/>
      <c r="D124" s="90"/>
      <c r="E124" s="90"/>
      <c r="F124" s="90"/>
      <c r="G124" s="79">
        <f t="shared" ref="G124:AL124" si="52">SUM(G117:G123)</f>
        <v>3327544.181</v>
      </c>
      <c r="H124" s="79" t="str">
        <f t="shared" si="52"/>
        <v>#REF!</v>
      </c>
      <c r="I124" s="115" t="str">
        <f t="shared" si="52"/>
        <v>#REF!</v>
      </c>
      <c r="J124" s="115" t="str">
        <f t="shared" si="52"/>
        <v>#REF!</v>
      </c>
      <c r="K124" s="115" t="str">
        <f t="shared" si="52"/>
        <v>#REF!</v>
      </c>
      <c r="L124" s="115" t="str">
        <f t="shared" si="52"/>
        <v>#REF!</v>
      </c>
      <c r="M124" s="115" t="str">
        <f t="shared" si="52"/>
        <v>#REF!</v>
      </c>
      <c r="N124" s="115" t="str">
        <f t="shared" si="52"/>
        <v>#REF!</v>
      </c>
      <c r="O124" s="115" t="str">
        <f t="shared" si="52"/>
        <v>#REF!</v>
      </c>
      <c r="P124" s="115" t="str">
        <f t="shared" si="52"/>
        <v>#REF!</v>
      </c>
      <c r="Q124" s="115" t="str">
        <f t="shared" si="52"/>
        <v>#REF!</v>
      </c>
      <c r="R124" s="115" t="str">
        <f t="shared" si="52"/>
        <v>#REF!</v>
      </c>
      <c r="S124" s="115" t="str">
        <f t="shared" si="52"/>
        <v>#REF!</v>
      </c>
      <c r="T124" s="115" t="str">
        <f t="shared" si="52"/>
        <v>#REF!</v>
      </c>
      <c r="U124" s="115" t="str">
        <f t="shared" si="52"/>
        <v>#REF!</v>
      </c>
      <c r="V124" s="115" t="str">
        <f t="shared" si="52"/>
        <v>#REF!</v>
      </c>
      <c r="W124" s="115" t="str">
        <f t="shared" si="52"/>
        <v>#REF!</v>
      </c>
      <c r="X124" s="115" t="str">
        <f t="shared" si="52"/>
        <v>#REF!</v>
      </c>
      <c r="Y124" s="115" t="str">
        <f t="shared" si="52"/>
        <v>#REF!</v>
      </c>
      <c r="Z124" s="115" t="str">
        <f t="shared" si="52"/>
        <v>#REF!</v>
      </c>
      <c r="AA124" s="115" t="str">
        <f t="shared" si="52"/>
        <v>#REF!</v>
      </c>
      <c r="AB124" s="115" t="str">
        <f t="shared" si="52"/>
        <v>#REF!</v>
      </c>
      <c r="AC124" s="115" t="str">
        <f t="shared" si="52"/>
        <v>#REF!</v>
      </c>
      <c r="AD124" s="115" t="str">
        <f t="shared" si="52"/>
        <v>#REF!</v>
      </c>
      <c r="AE124" s="115" t="str">
        <f t="shared" si="52"/>
        <v>#REF!</v>
      </c>
      <c r="AF124" s="115" t="str">
        <f t="shared" si="52"/>
        <v>#REF!</v>
      </c>
      <c r="AG124" s="115" t="str">
        <f t="shared" si="52"/>
        <v>#REF!</v>
      </c>
      <c r="AH124" s="115" t="str">
        <f t="shared" si="52"/>
        <v>#REF!</v>
      </c>
      <c r="AI124" s="115" t="str">
        <f t="shared" si="52"/>
        <v>#REF!</v>
      </c>
      <c r="AJ124" s="115" t="str">
        <f t="shared" si="52"/>
        <v>#REF!</v>
      </c>
      <c r="AK124" s="115" t="str">
        <f t="shared" si="52"/>
        <v>#REF!</v>
      </c>
      <c r="AL124" s="115" t="str">
        <f t="shared" si="52"/>
        <v>#REF!</v>
      </c>
      <c r="AM124" s="90"/>
      <c r="AN124" s="90"/>
      <c r="AO124" s="90"/>
      <c r="AP124" s="90"/>
      <c r="AQ124" s="90"/>
      <c r="AR124" s="90"/>
      <c r="AS124" s="90"/>
      <c r="AT124" s="90"/>
      <c r="AU124" s="90"/>
      <c r="AV124" s="90"/>
      <c r="AW124" s="90"/>
      <c r="AX124" s="90"/>
      <c r="AY124" s="90"/>
    </row>
    <row r="125" ht="14.25" customHeight="1" outlineLevel="1">
      <c r="A125" s="90"/>
      <c r="G125" s="99"/>
      <c r="H125" s="99"/>
      <c r="I125" s="93"/>
      <c r="J125" s="93"/>
      <c r="K125" s="93"/>
      <c r="L125" s="93"/>
      <c r="M125" s="93"/>
      <c r="N125" s="93"/>
      <c r="O125" s="93"/>
      <c r="P125" s="93"/>
      <c r="Q125" s="93"/>
      <c r="R125" s="93"/>
      <c r="S125" s="93"/>
      <c r="T125" s="93"/>
      <c r="U125" s="93"/>
      <c r="V125" s="93"/>
      <c r="W125" s="93"/>
      <c r="X125" s="93"/>
      <c r="Y125" s="93"/>
      <c r="Z125" s="93"/>
      <c r="AA125" s="93"/>
      <c r="AB125" s="93"/>
      <c r="AC125" s="93"/>
      <c r="AD125" s="93"/>
      <c r="AE125" s="93"/>
      <c r="AF125" s="93"/>
      <c r="AG125" s="93"/>
      <c r="AH125" s="93"/>
      <c r="AI125" s="93"/>
      <c r="AJ125" s="93"/>
      <c r="AK125" s="93"/>
      <c r="AL125" s="93"/>
    </row>
    <row r="126" ht="14.25" customHeight="1" outlineLevel="1">
      <c r="B126" s="67" t="s">
        <v>250</v>
      </c>
      <c r="C126" s="90"/>
      <c r="G126" s="99"/>
      <c r="H126" s="99"/>
      <c r="I126" s="93"/>
      <c r="J126" s="93"/>
      <c r="K126" s="93"/>
      <c r="L126" s="93"/>
      <c r="M126" s="93"/>
      <c r="N126" s="93"/>
      <c r="O126" s="93"/>
      <c r="P126" s="93"/>
      <c r="Q126" s="93"/>
      <c r="R126" s="93"/>
      <c r="S126" s="93"/>
      <c r="T126" s="93"/>
      <c r="U126" s="93"/>
      <c r="V126" s="93"/>
      <c r="W126" s="93"/>
      <c r="X126" s="93"/>
      <c r="Y126" s="93"/>
      <c r="Z126" s="93"/>
      <c r="AA126" s="93"/>
      <c r="AB126" s="93"/>
      <c r="AC126" s="93"/>
      <c r="AD126" s="93"/>
      <c r="AE126" s="93"/>
      <c r="AF126" s="93"/>
      <c r="AG126" s="93"/>
      <c r="AH126" s="93"/>
      <c r="AI126" s="93"/>
      <c r="AJ126" s="93"/>
      <c r="AK126" s="93"/>
      <c r="AL126" s="93"/>
    </row>
    <row r="127" ht="14.25" customHeight="1" outlineLevel="1">
      <c r="B127" s="157"/>
      <c r="C127" s="90" t="s">
        <v>145</v>
      </c>
      <c r="G127" s="99">
        <f>'Regional Roll-up'!M281+'RSED National'!K398+'All Schools Roll-up'!K90</f>
        <v>251861.42</v>
      </c>
      <c r="H127" s="99" t="str">
        <f>'Regional Roll-up'!N281+'RSED National'!L398+'All Schools Roll-up'!L90</f>
        <v>#REF!</v>
      </c>
      <c r="I127" s="93" t="str">
        <f>'Regional Roll-up'!O281+'RSED National'!M398+'All Schools Roll-up'!M90</f>
        <v>#REF!</v>
      </c>
      <c r="J127" s="93" t="str">
        <f>'Regional Roll-up'!P281+'RSED National'!N398+'All Schools Roll-up'!N90</f>
        <v>#REF!</v>
      </c>
      <c r="K127" s="93" t="str">
        <f>'Regional Roll-up'!Q281+'RSED National'!O398+'All Schools Roll-up'!O90</f>
        <v>#REF!</v>
      </c>
      <c r="L127" s="93" t="str">
        <f>'Regional Roll-up'!R281+'RSED National'!P398+'All Schools Roll-up'!P90</f>
        <v>#REF!</v>
      </c>
      <c r="M127" s="93" t="str">
        <f>'Regional Roll-up'!S281+'RSED National'!Q398+'All Schools Roll-up'!Q90</f>
        <v>#REF!</v>
      </c>
      <c r="N127" s="93" t="str">
        <f>'Regional Roll-up'!T281+'RSED National'!R398+'All Schools Roll-up'!R90</f>
        <v>#REF!</v>
      </c>
      <c r="O127" s="93" t="str">
        <f>'Regional Roll-up'!U281+'RSED National'!S398+'All Schools Roll-up'!S90</f>
        <v>#REF!</v>
      </c>
      <c r="P127" s="93" t="str">
        <f>'Regional Roll-up'!V281+'RSED National'!T398+'All Schools Roll-up'!T90</f>
        <v>#REF!</v>
      </c>
      <c r="Q127" s="93" t="str">
        <f>'Regional Roll-up'!W281+'RSED National'!U398+'All Schools Roll-up'!U90</f>
        <v>#REF!</v>
      </c>
      <c r="R127" s="93" t="str">
        <f>'Regional Roll-up'!X281+'RSED National'!V398+'All Schools Roll-up'!V90</f>
        <v>#REF!</v>
      </c>
      <c r="S127" s="93" t="str">
        <f>'Regional Roll-up'!Y281+'RSED National'!W398+'All Schools Roll-up'!W90</f>
        <v>#REF!</v>
      </c>
      <c r="T127" s="93" t="str">
        <f>'Regional Roll-up'!Z281+'RSED National'!X398+'All Schools Roll-up'!X90</f>
        <v>#REF!</v>
      </c>
      <c r="U127" s="93" t="str">
        <f>'Regional Roll-up'!AA281+'RSED National'!Y398+'All Schools Roll-up'!Y90</f>
        <v>#REF!</v>
      </c>
      <c r="V127" s="93" t="str">
        <f>'Regional Roll-up'!AB281+'RSED National'!Z398+'All Schools Roll-up'!Z90</f>
        <v>#REF!</v>
      </c>
      <c r="W127" s="93" t="str">
        <f>'Regional Roll-up'!AC281+'RSED National'!AA398+'All Schools Roll-up'!AA90</f>
        <v>#REF!</v>
      </c>
      <c r="X127" s="93" t="str">
        <f>'Regional Roll-up'!AD281+'RSED National'!AB398+'All Schools Roll-up'!AB90</f>
        <v>#REF!</v>
      </c>
      <c r="Y127" s="93" t="str">
        <f>'Regional Roll-up'!AE281+'RSED National'!AC398+'All Schools Roll-up'!AC90</f>
        <v>#REF!</v>
      </c>
      <c r="Z127" s="93" t="str">
        <f>'Regional Roll-up'!AF281+'RSED National'!AD398+'All Schools Roll-up'!AD90</f>
        <v>#REF!</v>
      </c>
      <c r="AA127" s="93" t="str">
        <f>'Regional Roll-up'!AG281+'RSED National'!AE398+'All Schools Roll-up'!AE90</f>
        <v>#REF!</v>
      </c>
      <c r="AB127" s="93" t="str">
        <f>'Regional Roll-up'!AH281+'RSED National'!AF398+'All Schools Roll-up'!AF90</f>
        <v>#REF!</v>
      </c>
      <c r="AC127" s="93" t="str">
        <f>'Regional Roll-up'!AI281+'RSED National'!AG398+'All Schools Roll-up'!AG90</f>
        <v>#REF!</v>
      </c>
      <c r="AD127" s="93" t="str">
        <f>'Regional Roll-up'!AJ281+'RSED National'!AH398+'All Schools Roll-up'!AH90</f>
        <v>#REF!</v>
      </c>
      <c r="AE127" s="93" t="str">
        <f>'Regional Roll-up'!AK281+'RSED National'!AI398+'All Schools Roll-up'!AI90</f>
        <v>#REF!</v>
      </c>
      <c r="AF127" s="93" t="str">
        <f>'Regional Roll-up'!AL281+'RSED National'!AJ398+'All Schools Roll-up'!AJ90</f>
        <v>#REF!</v>
      </c>
      <c r="AG127" s="93" t="str">
        <f>'Regional Roll-up'!AM281+'RSED National'!AK398+'All Schools Roll-up'!AK90</f>
        <v>#REF!</v>
      </c>
      <c r="AH127" s="93" t="str">
        <f>'Regional Roll-up'!AN281+'RSED National'!AL398+'All Schools Roll-up'!AL90</f>
        <v>#REF!</v>
      </c>
      <c r="AI127" s="93" t="str">
        <f>'Regional Roll-up'!AO281+'RSED National'!AM398+'All Schools Roll-up'!AM90</f>
        <v>#REF!</v>
      </c>
      <c r="AJ127" s="93" t="str">
        <f>'Regional Roll-up'!AP281+'RSED National'!AN398+'All Schools Roll-up'!AN90</f>
        <v>#REF!</v>
      </c>
      <c r="AK127" s="93" t="str">
        <f>'Regional Roll-up'!AQ281+'RSED National'!AO398+'All Schools Roll-up'!AO90</f>
        <v>#REF!</v>
      </c>
      <c r="AL127" s="93" t="str">
        <f>'Regional Roll-up'!AR281+'RSED National'!AP398+'All Schools Roll-up'!AP90</f>
        <v>#REF!</v>
      </c>
    </row>
    <row r="128" ht="14.25" customHeight="1" outlineLevel="1">
      <c r="B128" s="90"/>
      <c r="C128" s="90" t="s">
        <v>251</v>
      </c>
      <c r="G128" s="99" t="str">
        <f>'Regional Roll-up'!M282+#REF!+'RSED National'!K399-G129</f>
        <v>#REF!</v>
      </c>
      <c r="H128" s="99" t="str">
        <f>'Regional Roll-up'!N282+'All Schools Roll-up'!L91+'All Schools Roll-up'!L92+'RSED National'!L399-H129</f>
        <v>#REF!</v>
      </c>
      <c r="I128" s="93" t="str">
        <f>'Regional Roll-up'!O282+'All Schools Roll-up'!M91+'All Schools Roll-up'!M92+'RSED National'!M399-I129</f>
        <v>#REF!</v>
      </c>
      <c r="J128" s="93" t="str">
        <f>'Regional Roll-up'!P282+'All Schools Roll-up'!N91+'All Schools Roll-up'!N92+'RSED National'!N399-J129</f>
        <v>#REF!</v>
      </c>
      <c r="K128" s="93" t="str">
        <f>'Regional Roll-up'!Q282+'All Schools Roll-up'!O91+'All Schools Roll-up'!O92+'RSED National'!O399-K129</f>
        <v>#REF!</v>
      </c>
      <c r="L128" s="93" t="str">
        <f>'Regional Roll-up'!R282+'All Schools Roll-up'!P91+'All Schools Roll-up'!P92+'RSED National'!P399-L129</f>
        <v>#REF!</v>
      </c>
      <c r="M128" s="93" t="str">
        <f>'Regional Roll-up'!S282+'All Schools Roll-up'!Q91+'All Schools Roll-up'!Q92+'RSED National'!Q399-M129</f>
        <v>#REF!</v>
      </c>
      <c r="N128" s="93" t="str">
        <f>'Regional Roll-up'!T282+'All Schools Roll-up'!R91+'All Schools Roll-up'!R92+'RSED National'!R399-N129</f>
        <v>#REF!</v>
      </c>
      <c r="O128" s="93" t="str">
        <f>'Regional Roll-up'!U282+'All Schools Roll-up'!S91+'All Schools Roll-up'!S92+'RSED National'!S399-O129</f>
        <v>#REF!</v>
      </c>
      <c r="P128" s="93" t="str">
        <f>'Regional Roll-up'!V282+'All Schools Roll-up'!T91+'All Schools Roll-up'!T92+'RSED National'!T399-P129</f>
        <v>#REF!</v>
      </c>
      <c r="Q128" s="93" t="str">
        <f>'Regional Roll-up'!W282+'All Schools Roll-up'!U91+'All Schools Roll-up'!U92+'RSED National'!U399-Q129</f>
        <v>#REF!</v>
      </c>
      <c r="R128" s="93" t="str">
        <f>'Regional Roll-up'!X282+'All Schools Roll-up'!V91+'All Schools Roll-up'!V92+'RSED National'!V399-R129</f>
        <v>#REF!</v>
      </c>
      <c r="S128" s="93" t="str">
        <f>'Regional Roll-up'!Y282+'All Schools Roll-up'!W91+'All Schools Roll-up'!W92+'RSED National'!W399-S129</f>
        <v>#REF!</v>
      </c>
      <c r="T128" s="93" t="str">
        <f>'Regional Roll-up'!Z282+'All Schools Roll-up'!X91+'All Schools Roll-up'!X92+'RSED National'!X399-T129</f>
        <v>#REF!</v>
      </c>
      <c r="U128" s="93" t="str">
        <f>'Regional Roll-up'!AA282+'All Schools Roll-up'!Y91+'All Schools Roll-up'!Y92+'RSED National'!Y399-U129</f>
        <v>#REF!</v>
      </c>
      <c r="V128" s="93" t="str">
        <f>'Regional Roll-up'!AB282+'All Schools Roll-up'!Z91+'All Schools Roll-up'!Z92+'RSED National'!Z399-V129</f>
        <v>#REF!</v>
      </c>
      <c r="W128" s="93" t="str">
        <f>'Regional Roll-up'!AC282+'All Schools Roll-up'!AA91+'All Schools Roll-up'!AA92+'RSED National'!AA399-W129</f>
        <v>#REF!</v>
      </c>
      <c r="X128" s="93" t="str">
        <f>'Regional Roll-up'!AD282+'All Schools Roll-up'!AB91+'All Schools Roll-up'!AB92+'RSED National'!AB399-X129</f>
        <v>#REF!</v>
      </c>
      <c r="Y128" s="93" t="str">
        <f>'Regional Roll-up'!AE282+'All Schools Roll-up'!AC91+'All Schools Roll-up'!AC92+'RSED National'!AC399-Y129</f>
        <v>#REF!</v>
      </c>
      <c r="Z128" s="93" t="str">
        <f>'Regional Roll-up'!AF282+'All Schools Roll-up'!AD91+'All Schools Roll-up'!AD92+'RSED National'!AD399-Z129</f>
        <v>#REF!</v>
      </c>
      <c r="AA128" s="93" t="str">
        <f>'Regional Roll-up'!AG282+'All Schools Roll-up'!AE91+'All Schools Roll-up'!AE92+'RSED National'!AE399-AA129</f>
        <v>#REF!</v>
      </c>
      <c r="AB128" s="93" t="str">
        <f>'Regional Roll-up'!AH282+'All Schools Roll-up'!AF91+'All Schools Roll-up'!AF92+'RSED National'!AF399-AB129</f>
        <v>#REF!</v>
      </c>
      <c r="AC128" s="93" t="str">
        <f>'Regional Roll-up'!AI282+'All Schools Roll-up'!AG91+'All Schools Roll-up'!AG92+'RSED National'!AG399-AC129</f>
        <v>#REF!</v>
      </c>
      <c r="AD128" s="93" t="str">
        <f>'Regional Roll-up'!AJ282+'All Schools Roll-up'!AH91+'All Schools Roll-up'!AH92+'RSED National'!AH399-AD129</f>
        <v>#REF!</v>
      </c>
      <c r="AE128" s="93" t="str">
        <f>'Regional Roll-up'!AK282+'All Schools Roll-up'!AI91+'All Schools Roll-up'!AI92+'RSED National'!AI399-AE129</f>
        <v>#REF!</v>
      </c>
      <c r="AF128" s="93" t="str">
        <f>'Regional Roll-up'!AL282+'All Schools Roll-up'!AJ91+'All Schools Roll-up'!AJ92+'RSED National'!AJ399-AF129</f>
        <v>#REF!</v>
      </c>
      <c r="AG128" s="93" t="str">
        <f>'Regional Roll-up'!AM282+'All Schools Roll-up'!AK91+'All Schools Roll-up'!AK92+'RSED National'!AK399-AG129</f>
        <v>#REF!</v>
      </c>
      <c r="AH128" s="93" t="str">
        <f>'Regional Roll-up'!AN282+'All Schools Roll-up'!AL91+'All Schools Roll-up'!AL92+'RSED National'!AL399-AH129</f>
        <v>#REF!</v>
      </c>
      <c r="AI128" s="93" t="str">
        <f>'Regional Roll-up'!AO282+'All Schools Roll-up'!AM91+'All Schools Roll-up'!AM92+'RSED National'!AM399-AI129</f>
        <v>#REF!</v>
      </c>
      <c r="AJ128" s="93" t="str">
        <f>'Regional Roll-up'!AP282+'All Schools Roll-up'!AN91+'All Schools Roll-up'!AN92+'RSED National'!AN399-AJ129</f>
        <v>#REF!</v>
      </c>
      <c r="AK128" s="93" t="str">
        <f>'Regional Roll-up'!AQ282+'All Schools Roll-up'!AO91+'All Schools Roll-up'!AO92+'RSED National'!AO399-AK129</f>
        <v>#REF!</v>
      </c>
      <c r="AL128" s="93" t="str">
        <f>'Regional Roll-up'!AR282+'All Schools Roll-up'!AP91+'All Schools Roll-up'!AP92+'RSED National'!AP399-AL129</f>
        <v>#REF!</v>
      </c>
    </row>
    <row r="129" ht="14.25" customHeight="1" outlineLevel="1">
      <c r="B129" s="90"/>
      <c r="C129" s="90" t="s">
        <v>252</v>
      </c>
      <c r="G129" s="99">
        <f t="shared" ref="G129:AL129" si="53">G121</f>
        <v>50000</v>
      </c>
      <c r="H129" s="99">
        <f t="shared" si="53"/>
        <v>450000</v>
      </c>
      <c r="I129" s="93">
        <f t="shared" si="53"/>
        <v>250000</v>
      </c>
      <c r="J129" s="93">
        <f t="shared" si="53"/>
        <v>250000</v>
      </c>
      <c r="K129" s="93">
        <f t="shared" si="53"/>
        <v>250000</v>
      </c>
      <c r="L129" s="93">
        <f t="shared" si="53"/>
        <v>250000</v>
      </c>
      <c r="M129" s="93">
        <f t="shared" si="53"/>
        <v>304121.608</v>
      </c>
      <c r="N129" s="93">
        <f t="shared" si="53"/>
        <v>607743.8289</v>
      </c>
      <c r="O129" s="93">
        <f t="shared" si="53"/>
        <v>1005287.22</v>
      </c>
      <c r="P129" s="93">
        <f t="shared" si="53"/>
        <v>2268841.454</v>
      </c>
      <c r="Q129" s="93">
        <f t="shared" si="53"/>
        <v>4260662.402</v>
      </c>
      <c r="R129" s="93">
        <f t="shared" si="53"/>
        <v>7036380.349</v>
      </c>
      <c r="S129" s="93">
        <f t="shared" si="53"/>
        <v>16450629.81</v>
      </c>
      <c r="T129" s="93">
        <f t="shared" si="53"/>
        <v>26914963.72</v>
      </c>
      <c r="U129" s="93">
        <f t="shared" si="53"/>
        <v>39146948.18</v>
      </c>
      <c r="V129" s="93">
        <f t="shared" si="53"/>
        <v>52390623.42</v>
      </c>
      <c r="W129" s="93">
        <f t="shared" si="53"/>
        <v>77460058.23</v>
      </c>
      <c r="X129" s="93">
        <f t="shared" si="53"/>
        <v>114626160.8</v>
      </c>
      <c r="Y129" s="93">
        <f t="shared" si="53"/>
        <v>160083194.7</v>
      </c>
      <c r="Z129" s="93">
        <f t="shared" si="53"/>
        <v>210960993.6</v>
      </c>
      <c r="AA129" s="93">
        <f t="shared" si="53"/>
        <v>262665050.7</v>
      </c>
      <c r="AB129" s="93">
        <f t="shared" si="53"/>
        <v>310671228.8</v>
      </c>
      <c r="AC129" s="93">
        <f t="shared" si="53"/>
        <v>346766574</v>
      </c>
      <c r="AD129" s="93">
        <f t="shared" si="53"/>
        <v>355789086.8</v>
      </c>
      <c r="AE129" s="93">
        <f t="shared" si="53"/>
        <v>286601213.9</v>
      </c>
      <c r="AF129" s="93">
        <f t="shared" si="53"/>
        <v>198870662.1</v>
      </c>
      <c r="AG129" s="93">
        <f t="shared" si="53"/>
        <v>108213440.9</v>
      </c>
      <c r="AH129" s="93">
        <f t="shared" si="53"/>
        <v>30477338.17</v>
      </c>
      <c r="AI129" s="93" t="str">
        <f t="shared" si="53"/>
        <v>#REF!</v>
      </c>
      <c r="AJ129" s="93" t="str">
        <f t="shared" si="53"/>
        <v>#REF!</v>
      </c>
      <c r="AK129" s="93" t="str">
        <f t="shared" si="53"/>
        <v>#REF!</v>
      </c>
      <c r="AL129" s="93" t="str">
        <f t="shared" si="53"/>
        <v>#REF!</v>
      </c>
    </row>
    <row r="130" ht="14.25" customHeight="1" outlineLevel="1">
      <c r="B130" s="87"/>
      <c r="C130" s="87" t="s">
        <v>253</v>
      </c>
      <c r="D130" s="87"/>
      <c r="E130" s="87"/>
      <c r="F130" s="87"/>
      <c r="G130" s="125">
        <f>'Regional Roll-up'!M283+'RSED National'!K400+'All Schools Roll-up'!K93</f>
        <v>481766.11</v>
      </c>
      <c r="H130" s="125" t="str">
        <f>'Regional Roll-up'!N283+'RSED National'!L400+'All Schools Roll-up'!L93</f>
        <v>#REF!</v>
      </c>
      <c r="I130" s="119" t="str">
        <f>'Regional Roll-up'!O283+'RSED National'!M400+'All Schools Roll-up'!M93</f>
        <v>#REF!</v>
      </c>
      <c r="J130" s="119" t="str">
        <f>'Regional Roll-up'!P283+'RSED National'!N400+'All Schools Roll-up'!N93</f>
        <v>#REF!</v>
      </c>
      <c r="K130" s="119" t="str">
        <f>'Regional Roll-up'!Q283+'RSED National'!O400+'All Schools Roll-up'!O93</f>
        <v>#REF!</v>
      </c>
      <c r="L130" s="119" t="str">
        <f>'Regional Roll-up'!R283+'RSED National'!P400+'All Schools Roll-up'!P93</f>
        <v>#REF!</v>
      </c>
      <c r="M130" s="119" t="str">
        <f>'Regional Roll-up'!S283+'RSED National'!Q400+'All Schools Roll-up'!Q93</f>
        <v>#REF!</v>
      </c>
      <c r="N130" s="119" t="str">
        <f>'Regional Roll-up'!T283+'RSED National'!R400+'All Schools Roll-up'!R93</f>
        <v>#REF!</v>
      </c>
      <c r="O130" s="119" t="str">
        <f>'Regional Roll-up'!U283+'RSED National'!S400+'All Schools Roll-up'!S93</f>
        <v>#REF!</v>
      </c>
      <c r="P130" s="119" t="str">
        <f>'Regional Roll-up'!V283+'RSED National'!T400+'All Schools Roll-up'!T93</f>
        <v>#REF!</v>
      </c>
      <c r="Q130" s="119" t="str">
        <f>'Regional Roll-up'!W283+'RSED National'!U400+'All Schools Roll-up'!U93</f>
        <v>#REF!</v>
      </c>
      <c r="R130" s="119" t="str">
        <f>'Regional Roll-up'!X283+'RSED National'!V400+'All Schools Roll-up'!V93</f>
        <v>#REF!</v>
      </c>
      <c r="S130" s="119" t="str">
        <f>'Regional Roll-up'!Y283+'RSED National'!W400+'All Schools Roll-up'!W93</f>
        <v>#REF!</v>
      </c>
      <c r="T130" s="119" t="str">
        <f>'Regional Roll-up'!Z283+'RSED National'!X400+'All Schools Roll-up'!X93</f>
        <v>#REF!</v>
      </c>
      <c r="U130" s="119" t="str">
        <f>'Regional Roll-up'!AA283+'RSED National'!Y400+'All Schools Roll-up'!Y93</f>
        <v>#REF!</v>
      </c>
      <c r="V130" s="119" t="str">
        <f>'Regional Roll-up'!AB283+'RSED National'!Z400+'All Schools Roll-up'!Z93</f>
        <v>#REF!</v>
      </c>
      <c r="W130" s="119" t="str">
        <f>'Regional Roll-up'!AC283+'RSED National'!AA400+'All Schools Roll-up'!AA93</f>
        <v>#REF!</v>
      </c>
      <c r="X130" s="119" t="str">
        <f>'Regional Roll-up'!AD283+'RSED National'!AB400+'All Schools Roll-up'!AB93</f>
        <v>#REF!</v>
      </c>
      <c r="Y130" s="119" t="str">
        <f>'Regional Roll-up'!AE283+'RSED National'!AC400+'All Schools Roll-up'!AC93</f>
        <v>#REF!</v>
      </c>
      <c r="Z130" s="119" t="str">
        <f>'Regional Roll-up'!AF283+'RSED National'!AD400+'All Schools Roll-up'!AD93</f>
        <v>#REF!</v>
      </c>
      <c r="AA130" s="119" t="str">
        <f>'Regional Roll-up'!AG283+'RSED National'!AE400+'All Schools Roll-up'!AE93</f>
        <v>#REF!</v>
      </c>
      <c r="AB130" s="119" t="str">
        <f>'Regional Roll-up'!AH283+'RSED National'!AF400+'All Schools Roll-up'!AF93</f>
        <v>#REF!</v>
      </c>
      <c r="AC130" s="119" t="str">
        <f>'Regional Roll-up'!AI283+'RSED National'!AG400+'All Schools Roll-up'!AG93</f>
        <v>#REF!</v>
      </c>
      <c r="AD130" s="119" t="str">
        <f>'Regional Roll-up'!AJ283+'RSED National'!AH400+'All Schools Roll-up'!AH93</f>
        <v>#REF!</v>
      </c>
      <c r="AE130" s="119" t="str">
        <f>'Regional Roll-up'!AK283+'RSED National'!AI400+'All Schools Roll-up'!AI93</f>
        <v>#REF!</v>
      </c>
      <c r="AF130" s="119" t="str">
        <f>'Regional Roll-up'!AL283+'RSED National'!AJ400+'All Schools Roll-up'!AJ93</f>
        <v>#REF!</v>
      </c>
      <c r="AG130" s="119" t="str">
        <f>'Regional Roll-up'!AM283+'RSED National'!AK400+'All Schools Roll-up'!AK93</f>
        <v>#REF!</v>
      </c>
      <c r="AH130" s="119" t="str">
        <f>'Regional Roll-up'!AN283+'RSED National'!AL400+'All Schools Roll-up'!AL93</f>
        <v>#REF!</v>
      </c>
      <c r="AI130" s="119" t="str">
        <f>'Regional Roll-up'!AO283+'RSED National'!AM400+'All Schools Roll-up'!AM93</f>
        <v>#REF!</v>
      </c>
      <c r="AJ130" s="119" t="str">
        <f>'Regional Roll-up'!AP283+'RSED National'!AN400+'All Schools Roll-up'!AN93</f>
        <v>#REF!</v>
      </c>
      <c r="AK130" s="119" t="str">
        <f>'Regional Roll-up'!AQ283+'RSED National'!AO400+'All Schools Roll-up'!AO93</f>
        <v>#REF!</v>
      </c>
      <c r="AL130" s="119" t="str">
        <f>'Regional Roll-up'!AR283+'RSED National'!AP400+'All Schools Roll-up'!AP93</f>
        <v>#REF!</v>
      </c>
    </row>
    <row r="131" ht="14.25" customHeight="1" outlineLevel="1">
      <c r="B131" s="67" t="s">
        <v>254</v>
      </c>
      <c r="C131" s="90"/>
      <c r="G131" s="79" t="str">
        <f t="shared" ref="G131:AL131" si="54">SUM(G127:G130)</f>
        <v>#REF!</v>
      </c>
      <c r="H131" s="79" t="str">
        <f t="shared" si="54"/>
        <v>#REF!</v>
      </c>
      <c r="I131" s="115" t="str">
        <f t="shared" si="54"/>
        <v>#REF!</v>
      </c>
      <c r="J131" s="115" t="str">
        <f t="shared" si="54"/>
        <v>#REF!</v>
      </c>
      <c r="K131" s="115" t="str">
        <f t="shared" si="54"/>
        <v>#REF!</v>
      </c>
      <c r="L131" s="115" t="str">
        <f t="shared" si="54"/>
        <v>#REF!</v>
      </c>
      <c r="M131" s="115" t="str">
        <f t="shared" si="54"/>
        <v>#REF!</v>
      </c>
      <c r="N131" s="115" t="str">
        <f t="shared" si="54"/>
        <v>#REF!</v>
      </c>
      <c r="O131" s="115" t="str">
        <f t="shared" si="54"/>
        <v>#REF!</v>
      </c>
      <c r="P131" s="115" t="str">
        <f t="shared" si="54"/>
        <v>#REF!</v>
      </c>
      <c r="Q131" s="115" t="str">
        <f t="shared" si="54"/>
        <v>#REF!</v>
      </c>
      <c r="R131" s="115" t="str">
        <f t="shared" si="54"/>
        <v>#REF!</v>
      </c>
      <c r="S131" s="115" t="str">
        <f t="shared" si="54"/>
        <v>#REF!</v>
      </c>
      <c r="T131" s="115" t="str">
        <f t="shared" si="54"/>
        <v>#REF!</v>
      </c>
      <c r="U131" s="115" t="str">
        <f t="shared" si="54"/>
        <v>#REF!</v>
      </c>
      <c r="V131" s="115" t="str">
        <f t="shared" si="54"/>
        <v>#REF!</v>
      </c>
      <c r="W131" s="115" t="str">
        <f t="shared" si="54"/>
        <v>#REF!</v>
      </c>
      <c r="X131" s="115" t="str">
        <f t="shared" si="54"/>
        <v>#REF!</v>
      </c>
      <c r="Y131" s="115" t="str">
        <f t="shared" si="54"/>
        <v>#REF!</v>
      </c>
      <c r="Z131" s="115" t="str">
        <f t="shared" si="54"/>
        <v>#REF!</v>
      </c>
      <c r="AA131" s="115" t="str">
        <f t="shared" si="54"/>
        <v>#REF!</v>
      </c>
      <c r="AB131" s="115" t="str">
        <f t="shared" si="54"/>
        <v>#REF!</v>
      </c>
      <c r="AC131" s="115" t="str">
        <f t="shared" si="54"/>
        <v>#REF!</v>
      </c>
      <c r="AD131" s="115" t="str">
        <f t="shared" si="54"/>
        <v>#REF!</v>
      </c>
      <c r="AE131" s="115" t="str">
        <f t="shared" si="54"/>
        <v>#REF!</v>
      </c>
      <c r="AF131" s="115" t="str">
        <f t="shared" si="54"/>
        <v>#REF!</v>
      </c>
      <c r="AG131" s="115" t="str">
        <f t="shared" si="54"/>
        <v>#REF!</v>
      </c>
      <c r="AH131" s="115" t="str">
        <f t="shared" si="54"/>
        <v>#REF!</v>
      </c>
      <c r="AI131" s="115" t="str">
        <f t="shared" si="54"/>
        <v>#REF!</v>
      </c>
      <c r="AJ131" s="115" t="str">
        <f t="shared" si="54"/>
        <v>#REF!</v>
      </c>
      <c r="AK131" s="115" t="str">
        <f t="shared" si="54"/>
        <v>#REF!</v>
      </c>
      <c r="AL131" s="115" t="str">
        <f t="shared" si="54"/>
        <v>#REF!</v>
      </c>
    </row>
    <row r="132" ht="14.25" hidden="1" customHeight="1" outlineLevel="1">
      <c r="G132" s="99" t="str">
        <f t="shared" ref="G132:AL132" si="55">G131-G124</f>
        <v>#REF!</v>
      </c>
      <c r="H132" s="99" t="str">
        <f t="shared" si="55"/>
        <v>#REF!</v>
      </c>
      <c r="I132" s="93" t="str">
        <f t="shared" si="55"/>
        <v>#REF!</v>
      </c>
      <c r="J132" s="93" t="str">
        <f t="shared" si="55"/>
        <v>#REF!</v>
      </c>
      <c r="K132" s="93" t="str">
        <f t="shared" si="55"/>
        <v>#REF!</v>
      </c>
      <c r="L132" s="93" t="str">
        <f t="shared" si="55"/>
        <v>#REF!</v>
      </c>
      <c r="M132" s="93" t="str">
        <f t="shared" si="55"/>
        <v>#REF!</v>
      </c>
      <c r="N132" s="93" t="str">
        <f t="shared" si="55"/>
        <v>#REF!</v>
      </c>
      <c r="O132" s="93" t="str">
        <f t="shared" si="55"/>
        <v>#REF!</v>
      </c>
      <c r="P132" s="93" t="str">
        <f t="shared" si="55"/>
        <v>#REF!</v>
      </c>
      <c r="Q132" s="93" t="str">
        <f t="shared" si="55"/>
        <v>#REF!</v>
      </c>
      <c r="R132" s="93" t="str">
        <f t="shared" si="55"/>
        <v>#REF!</v>
      </c>
      <c r="S132" s="93" t="str">
        <f t="shared" si="55"/>
        <v>#REF!</v>
      </c>
      <c r="T132" s="93" t="str">
        <f t="shared" si="55"/>
        <v>#REF!</v>
      </c>
      <c r="U132" s="93" t="str">
        <f t="shared" si="55"/>
        <v>#REF!</v>
      </c>
      <c r="V132" s="93" t="str">
        <f t="shared" si="55"/>
        <v>#REF!</v>
      </c>
      <c r="W132" s="93" t="str">
        <f t="shared" si="55"/>
        <v>#REF!</v>
      </c>
      <c r="X132" s="93" t="str">
        <f t="shared" si="55"/>
        <v>#REF!</v>
      </c>
      <c r="Y132" s="93" t="str">
        <f t="shared" si="55"/>
        <v>#REF!</v>
      </c>
      <c r="Z132" s="93" t="str">
        <f t="shared" si="55"/>
        <v>#REF!</v>
      </c>
      <c r="AA132" s="93" t="str">
        <f t="shared" si="55"/>
        <v>#REF!</v>
      </c>
      <c r="AB132" s="93" t="str">
        <f t="shared" si="55"/>
        <v>#REF!</v>
      </c>
      <c r="AC132" s="93" t="str">
        <f t="shared" si="55"/>
        <v>#REF!</v>
      </c>
      <c r="AD132" s="93" t="str">
        <f t="shared" si="55"/>
        <v>#REF!</v>
      </c>
      <c r="AE132" s="93" t="str">
        <f t="shared" si="55"/>
        <v>#REF!</v>
      </c>
      <c r="AF132" s="93" t="str">
        <f t="shared" si="55"/>
        <v>#REF!</v>
      </c>
      <c r="AG132" s="93" t="str">
        <f t="shared" si="55"/>
        <v>#REF!</v>
      </c>
      <c r="AH132" s="93" t="str">
        <f t="shared" si="55"/>
        <v>#REF!</v>
      </c>
      <c r="AI132" s="93" t="str">
        <f t="shared" si="55"/>
        <v>#REF!</v>
      </c>
      <c r="AJ132" s="93" t="str">
        <f t="shared" si="55"/>
        <v>#REF!</v>
      </c>
      <c r="AK132" s="93" t="str">
        <f t="shared" si="55"/>
        <v>#REF!</v>
      </c>
      <c r="AL132" s="93" t="str">
        <f t="shared" si="55"/>
        <v>#REF!</v>
      </c>
    </row>
    <row r="133" ht="14.25" customHeight="1">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99"/>
      <c r="AG133" s="99"/>
      <c r="AH133" s="99"/>
      <c r="AI133" s="99"/>
      <c r="AJ133" s="99"/>
      <c r="AK133" s="99"/>
      <c r="AL133" s="99"/>
    </row>
    <row r="134" ht="14.25" customHeight="1">
      <c r="G134" s="99"/>
      <c r="H134" s="99"/>
      <c r="I134" s="99"/>
      <c r="J134" s="99"/>
      <c r="K134" s="99"/>
      <c r="L134" s="99"/>
      <c r="M134" s="99"/>
      <c r="N134" s="99"/>
      <c r="O134" s="99"/>
      <c r="P134" s="99"/>
      <c r="Q134" s="99"/>
      <c r="R134" s="99"/>
      <c r="S134" s="99"/>
      <c r="T134" s="99"/>
      <c r="U134" s="99"/>
      <c r="V134" s="99"/>
      <c r="W134" s="99"/>
      <c r="X134" s="99"/>
      <c r="Y134" s="99"/>
      <c r="Z134" s="99"/>
      <c r="AA134" s="99"/>
      <c r="AB134" s="99"/>
      <c r="AC134" s="99"/>
      <c r="AD134" s="99"/>
      <c r="AE134" s="99"/>
      <c r="AF134" s="99"/>
      <c r="AG134" s="99"/>
      <c r="AH134" s="99"/>
      <c r="AI134" s="99"/>
      <c r="AJ134" s="99"/>
      <c r="AK134" s="99"/>
      <c r="AL134" s="99"/>
    </row>
    <row r="135" ht="14.25" customHeight="1">
      <c r="G135" s="99"/>
      <c r="H135" s="99"/>
      <c r="I135" s="99"/>
      <c r="J135" s="99"/>
      <c r="K135" s="99"/>
      <c r="L135" s="99"/>
      <c r="M135" s="99"/>
      <c r="N135" s="99"/>
      <c r="O135" s="99"/>
      <c r="P135" s="99"/>
      <c r="Q135" s="99"/>
      <c r="R135" s="99"/>
      <c r="S135" s="99"/>
      <c r="T135" s="99"/>
      <c r="U135" s="99"/>
      <c r="V135" s="99"/>
      <c r="W135" s="99"/>
      <c r="X135" s="99"/>
      <c r="Y135" s="99"/>
      <c r="Z135" s="99"/>
      <c r="AA135" s="99"/>
      <c r="AB135" s="99"/>
      <c r="AC135" s="99"/>
      <c r="AD135" s="99"/>
      <c r="AE135" s="99"/>
      <c r="AF135" s="99"/>
      <c r="AG135" s="99"/>
      <c r="AH135" s="99"/>
      <c r="AI135" s="99"/>
      <c r="AJ135" s="99"/>
      <c r="AK135" s="99"/>
      <c r="AL135" s="99"/>
    </row>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c r="P212" s="93"/>
      <c r="Q212" s="93"/>
      <c r="R212" s="93"/>
      <c r="S212" s="93"/>
      <c r="T212" s="93"/>
      <c r="U212" s="93"/>
      <c r="V212" s="93"/>
      <c r="W212" s="93"/>
      <c r="X212" s="93"/>
      <c r="Y212" s="93"/>
      <c r="Z212" s="93"/>
      <c r="AA212" s="93"/>
      <c r="AB212" s="93"/>
      <c r="AC212" s="93"/>
      <c r="AD212" s="93"/>
      <c r="AE212" s="93"/>
      <c r="AF212" s="93"/>
      <c r="AG212" s="93"/>
      <c r="AH212" s="93"/>
      <c r="AI212" s="93"/>
      <c r="AJ212" s="93"/>
      <c r="AK212" s="93"/>
      <c r="AL212" s="93"/>
      <c r="AM212" s="93"/>
      <c r="AN212" s="93"/>
      <c r="AO212" s="93"/>
      <c r="AP212" s="93"/>
      <c r="AQ212" s="93"/>
      <c r="AR212" s="93"/>
      <c r="AS212" s="93"/>
      <c r="AT212" s="93"/>
      <c r="AU212" s="93"/>
      <c r="AV212" s="93"/>
      <c r="AW212" s="93"/>
      <c r="AX212" s="93"/>
      <c r="AY212" s="93"/>
    </row>
    <row r="213" ht="12.75" customHeight="1">
      <c r="P213" s="93"/>
      <c r="Q213" s="93"/>
      <c r="R213" s="93"/>
      <c r="S213" s="93"/>
      <c r="T213" s="93"/>
      <c r="U213" s="93"/>
      <c r="V213" s="93"/>
      <c r="W213" s="93"/>
      <c r="X213" s="93"/>
      <c r="Y213" s="93"/>
      <c r="Z213" s="93"/>
      <c r="AA213" s="93"/>
      <c r="AB213" s="93"/>
      <c r="AC213" s="93"/>
      <c r="AD213" s="93"/>
      <c r="AE213" s="93"/>
      <c r="AF213" s="93"/>
      <c r="AG213" s="93"/>
      <c r="AH213" s="93"/>
      <c r="AI213" s="93"/>
      <c r="AJ213" s="93"/>
      <c r="AK213" s="93"/>
      <c r="AL213" s="93"/>
      <c r="AM213" s="93"/>
      <c r="AN213" s="93"/>
      <c r="AO213" s="93"/>
      <c r="AP213" s="93"/>
      <c r="AQ213" s="93"/>
      <c r="AR213" s="93"/>
      <c r="AS213" s="93"/>
      <c r="AT213" s="93"/>
      <c r="AU213" s="93"/>
      <c r="AV213" s="93"/>
      <c r="AW213" s="93"/>
      <c r="AX213" s="93"/>
      <c r="AY213" s="93"/>
    </row>
    <row r="214" ht="12.75" customHeight="1">
      <c r="P214" s="93"/>
      <c r="Q214" s="93"/>
      <c r="R214" s="93"/>
      <c r="S214" s="93"/>
      <c r="T214" s="93"/>
      <c r="U214" s="93"/>
      <c r="V214" s="93"/>
      <c r="W214" s="93"/>
      <c r="X214" s="93"/>
      <c r="Y214" s="93"/>
      <c r="Z214" s="93"/>
      <c r="AA214" s="93"/>
      <c r="AB214" s="93"/>
      <c r="AC214" s="93"/>
      <c r="AD214" s="93"/>
      <c r="AE214" s="93"/>
      <c r="AF214" s="93"/>
      <c r="AG214" s="93"/>
      <c r="AH214" s="93"/>
      <c r="AI214" s="93"/>
      <c r="AJ214" s="93"/>
      <c r="AK214" s="93"/>
      <c r="AL214" s="93"/>
      <c r="AM214" s="93"/>
      <c r="AN214" s="93"/>
      <c r="AO214" s="93"/>
      <c r="AP214" s="93"/>
      <c r="AQ214" s="93"/>
      <c r="AR214" s="93"/>
      <c r="AS214" s="93"/>
      <c r="AT214" s="93"/>
      <c r="AU214" s="93"/>
      <c r="AV214" s="93"/>
      <c r="AW214" s="93"/>
      <c r="AX214" s="93"/>
      <c r="AY214" s="93"/>
    </row>
    <row r="215" ht="12.75" customHeight="1">
      <c r="P215" s="93"/>
      <c r="Q215" s="93"/>
      <c r="R215" s="93"/>
      <c r="S215" s="93"/>
      <c r="T215" s="93"/>
      <c r="U215" s="93"/>
      <c r="V215" s="93"/>
      <c r="W215" s="93"/>
      <c r="X215" s="93"/>
      <c r="Y215" s="93"/>
      <c r="Z215" s="93"/>
      <c r="AA215" s="93"/>
      <c r="AB215" s="93"/>
      <c r="AC215" s="93"/>
      <c r="AD215" s="93"/>
      <c r="AE215" s="93"/>
      <c r="AF215" s="93"/>
      <c r="AG215" s="93"/>
      <c r="AH215" s="93"/>
      <c r="AI215" s="93"/>
      <c r="AJ215" s="93"/>
      <c r="AK215" s="93"/>
      <c r="AL215" s="93"/>
      <c r="AM215" s="93"/>
      <c r="AN215" s="93"/>
      <c r="AO215" s="93"/>
      <c r="AP215" s="93"/>
      <c r="AQ215" s="93"/>
      <c r="AR215" s="93"/>
      <c r="AS215" s="93"/>
      <c r="AT215" s="93"/>
      <c r="AU215" s="93"/>
      <c r="AV215" s="93"/>
      <c r="AW215" s="93"/>
      <c r="AX215" s="93"/>
      <c r="AY215" s="93"/>
    </row>
    <row r="216" ht="12.75" customHeight="1">
      <c r="P216" s="93"/>
      <c r="Q216" s="93"/>
      <c r="R216" s="93"/>
      <c r="S216" s="93"/>
      <c r="T216" s="93"/>
      <c r="U216" s="93"/>
      <c r="V216" s="93"/>
      <c r="W216" s="93"/>
      <c r="X216" s="93"/>
      <c r="Y216" s="93"/>
      <c r="Z216" s="93"/>
      <c r="AA216" s="93"/>
      <c r="AB216" s="93"/>
      <c r="AC216" s="93"/>
      <c r="AD216" s="93"/>
      <c r="AE216" s="93"/>
      <c r="AF216" s="93"/>
      <c r="AG216" s="93"/>
      <c r="AH216" s="93"/>
      <c r="AI216" s="93"/>
      <c r="AJ216" s="93"/>
      <c r="AK216" s="93"/>
      <c r="AL216" s="93"/>
      <c r="AM216" s="93"/>
      <c r="AN216" s="93"/>
      <c r="AO216" s="93"/>
      <c r="AP216" s="93"/>
      <c r="AQ216" s="93"/>
      <c r="AR216" s="93"/>
      <c r="AS216" s="93"/>
      <c r="AT216" s="93"/>
      <c r="AU216" s="93"/>
      <c r="AV216" s="93"/>
      <c r="AW216" s="93"/>
      <c r="AX216" s="93"/>
      <c r="AY216" s="93"/>
    </row>
    <row r="217" ht="12.75" customHeight="1">
      <c r="P217" s="93"/>
      <c r="Q217" s="93"/>
      <c r="R217" s="93"/>
      <c r="S217" s="93"/>
      <c r="T217" s="93"/>
      <c r="U217" s="93"/>
      <c r="V217" s="93"/>
      <c r="W217" s="93"/>
      <c r="X217" s="93"/>
      <c r="Y217" s="93"/>
      <c r="Z217" s="93"/>
      <c r="AA217" s="93"/>
      <c r="AB217" s="93"/>
      <c r="AC217" s="93"/>
      <c r="AD217" s="93"/>
      <c r="AE217" s="93"/>
      <c r="AF217" s="93"/>
      <c r="AG217" s="93"/>
      <c r="AH217" s="93"/>
      <c r="AI217" s="93"/>
      <c r="AJ217" s="93"/>
      <c r="AK217" s="93"/>
      <c r="AL217" s="93"/>
      <c r="AM217" s="93"/>
      <c r="AN217" s="93"/>
      <c r="AO217" s="93"/>
      <c r="AP217" s="93"/>
      <c r="AQ217" s="93"/>
      <c r="AR217" s="93"/>
      <c r="AS217" s="93"/>
      <c r="AT217" s="93"/>
      <c r="AU217" s="93"/>
      <c r="AV217" s="93"/>
      <c r="AW217" s="93"/>
      <c r="AX217" s="93"/>
      <c r="AY217" s="93"/>
    </row>
    <row r="218" ht="12.75" customHeight="1">
      <c r="P218" s="93"/>
      <c r="Q218" s="93"/>
      <c r="R218" s="93"/>
      <c r="S218" s="93"/>
      <c r="T218" s="93"/>
      <c r="U218" s="93"/>
      <c r="V218" s="93"/>
      <c r="W218" s="93"/>
      <c r="X218" s="93"/>
      <c r="Y218" s="93"/>
      <c r="Z218" s="93"/>
      <c r="AA218" s="93"/>
      <c r="AB218" s="93"/>
      <c r="AC218" s="93"/>
      <c r="AD218" s="93"/>
      <c r="AE218" s="93"/>
      <c r="AF218" s="93"/>
      <c r="AG218" s="93"/>
      <c r="AH218" s="93"/>
      <c r="AI218" s="93"/>
      <c r="AJ218" s="93"/>
      <c r="AK218" s="93"/>
      <c r="AL218" s="93"/>
      <c r="AM218" s="93"/>
      <c r="AN218" s="93"/>
      <c r="AO218" s="93"/>
      <c r="AP218" s="93"/>
      <c r="AQ218" s="93"/>
      <c r="AR218" s="93"/>
      <c r="AS218" s="93"/>
      <c r="AT218" s="93"/>
      <c r="AU218" s="93"/>
      <c r="AV218" s="93"/>
      <c r="AW218" s="93"/>
      <c r="AX218" s="93"/>
      <c r="AY218" s="93"/>
    </row>
    <row r="219" ht="12.75" customHeight="1">
      <c r="P219" s="93"/>
      <c r="Q219" s="93"/>
      <c r="R219" s="93"/>
      <c r="S219" s="93"/>
      <c r="T219" s="93"/>
      <c r="U219" s="93"/>
      <c r="V219" s="93"/>
      <c r="W219" s="93"/>
      <c r="X219" s="93"/>
      <c r="Y219" s="93"/>
      <c r="Z219" s="93"/>
      <c r="AA219" s="93"/>
      <c r="AB219" s="93"/>
      <c r="AC219" s="93"/>
      <c r="AD219" s="93"/>
      <c r="AE219" s="93"/>
      <c r="AF219" s="93"/>
      <c r="AG219" s="93"/>
      <c r="AH219" s="93"/>
      <c r="AI219" s="93"/>
      <c r="AJ219" s="93"/>
      <c r="AK219" s="93"/>
      <c r="AL219" s="93"/>
      <c r="AM219" s="93"/>
      <c r="AN219" s="93"/>
      <c r="AO219" s="93"/>
      <c r="AP219" s="93"/>
      <c r="AQ219" s="93"/>
      <c r="AR219" s="93"/>
      <c r="AS219" s="93"/>
      <c r="AT219" s="93"/>
      <c r="AU219" s="93"/>
      <c r="AV219" s="93"/>
      <c r="AW219" s="93"/>
      <c r="AX219" s="93"/>
      <c r="AY219" s="93"/>
    </row>
    <row r="220" ht="12.75" customHeight="1">
      <c r="P220" s="93"/>
      <c r="Q220" s="93"/>
      <c r="R220" s="93"/>
      <c r="S220" s="93"/>
      <c r="T220" s="93"/>
      <c r="U220" s="93"/>
      <c r="V220" s="93"/>
      <c r="W220" s="93"/>
      <c r="X220" s="93"/>
      <c r="Y220" s="93"/>
      <c r="Z220" s="93"/>
      <c r="AA220" s="93"/>
      <c r="AB220" s="93"/>
      <c r="AC220" s="93"/>
      <c r="AD220" s="93"/>
      <c r="AE220" s="93"/>
      <c r="AF220" s="93"/>
      <c r="AG220" s="93"/>
      <c r="AH220" s="93"/>
      <c r="AI220" s="93"/>
      <c r="AJ220" s="93"/>
      <c r="AK220" s="93"/>
      <c r="AL220" s="93"/>
      <c r="AM220" s="93"/>
      <c r="AN220" s="93"/>
      <c r="AO220" s="93"/>
      <c r="AP220" s="93"/>
      <c r="AQ220" s="93"/>
      <c r="AR220" s="93"/>
      <c r="AS220" s="93"/>
      <c r="AT220" s="93"/>
      <c r="AU220" s="93"/>
      <c r="AV220" s="93"/>
      <c r="AW220" s="93"/>
      <c r="AX220" s="93"/>
      <c r="AY220" s="93"/>
    </row>
    <row r="221" ht="12.75" customHeight="1">
      <c r="P221" s="93"/>
      <c r="Q221" s="93"/>
      <c r="R221" s="93"/>
      <c r="S221" s="93"/>
      <c r="T221" s="93"/>
      <c r="U221" s="93"/>
      <c r="V221" s="93"/>
      <c r="W221" s="93"/>
      <c r="X221" s="93"/>
      <c r="Y221" s="93"/>
      <c r="Z221" s="93"/>
      <c r="AA221" s="93"/>
      <c r="AB221" s="93"/>
      <c r="AC221" s="93"/>
      <c r="AD221" s="93"/>
      <c r="AE221" s="93"/>
      <c r="AF221" s="93"/>
      <c r="AG221" s="93"/>
      <c r="AH221" s="93"/>
      <c r="AI221" s="93"/>
      <c r="AJ221" s="93"/>
      <c r="AK221" s="93"/>
      <c r="AL221" s="93"/>
      <c r="AM221" s="93"/>
      <c r="AN221" s="93"/>
      <c r="AO221" s="93"/>
      <c r="AP221" s="93"/>
      <c r="AQ221" s="93"/>
      <c r="AR221" s="93"/>
      <c r="AS221" s="93"/>
      <c r="AT221" s="93"/>
      <c r="AU221" s="93"/>
      <c r="AV221" s="93"/>
      <c r="AW221" s="93"/>
      <c r="AX221" s="93"/>
      <c r="AY221" s="93"/>
    </row>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35" footer="0.0" header="0.0" left="0.629861111111111" right="0.390277777777778" top="1.04027777777778"/>
  <pageSetup paperSize="5" orientation="landscape"/>
  <headerFooter>
    <oddHeader>&amp;CRocketship Summary Financials</oddHeader>
    <oddFooter>&amp;C&amp;A&amp;R&amp;P</oddFooter>
  </headerFooter>
  <rowBreaks count="2" manualBreakCount="2">
    <brk id="113" man="1"/>
    <brk id="38" man="1"/>
  </row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CC00"/>
    <pageSetUpPr/>
  </sheetPr>
  <sheetViews>
    <sheetView workbookViewId="0">
      <pane xSplit="10.0" ySplit="8.0" topLeftCell="K9" activePane="bottomRight" state="frozen"/>
      <selection activeCell="K1" sqref="K1" pane="topRight"/>
      <selection activeCell="A9" sqref="A9" pane="bottomLeft"/>
      <selection activeCell="K9" sqref="K9" pane="bottomRight"/>
    </sheetView>
  </sheetViews>
  <sheetFormatPr customHeight="1" defaultColWidth="12.63" defaultRowHeight="15.0" outlineLevelCol="1" outlineLevelRow="2"/>
  <cols>
    <col customWidth="1" min="1" max="1" width="5.25"/>
    <col customWidth="1" min="2" max="2" width="4.75"/>
    <col customWidth="1" min="3" max="3" width="3.88"/>
    <col customWidth="1" min="4" max="4" width="4.38"/>
    <col customWidth="1" min="5" max="5" width="14.13"/>
    <col customWidth="1" min="6" max="6" width="13.38"/>
    <col customWidth="1" min="7" max="8" width="10.5" outlineLevel="1"/>
    <col customWidth="1" min="9" max="9" width="1.0" outlineLevel="1"/>
    <col customWidth="1" min="10" max="10" width="5.38" outlineLevel="1"/>
    <col customWidth="1" min="11" max="11" width="13.88" outlineLevel="1"/>
    <col customWidth="1" min="12" max="12" width="14.25" outlineLevel="1"/>
    <col customWidth="1" min="13" max="13" width="16.25"/>
    <col customWidth="1" min="14" max="15" width="16.75"/>
    <col customWidth="1" min="16" max="16" width="17.0"/>
    <col customWidth="1" min="17" max="17" width="17.88"/>
    <col customWidth="1" min="18" max="18" width="16.75"/>
    <col customWidth="1" min="19" max="19" width="17.38"/>
    <col customWidth="1" min="20" max="20" width="17.75"/>
    <col customWidth="1" min="21" max="21" width="18.38"/>
    <col customWidth="1" min="22" max="22" width="18.88"/>
    <col customWidth="1" min="23" max="23" width="19.13"/>
    <col customWidth="1" min="24" max="24" width="18.88"/>
    <col customWidth="1" min="25" max="25" width="19.25"/>
    <col customWidth="1" min="26" max="26" width="19.0"/>
    <col customWidth="1" min="27" max="27" width="20.0"/>
    <col customWidth="1" min="28" max="28" width="19.75"/>
    <col customWidth="1" min="29" max="30" width="20.13"/>
    <col customWidth="1" min="31" max="31" width="19.88"/>
    <col customWidth="1" min="32" max="32" width="19.75"/>
    <col customWidth="1" min="33" max="33" width="20.38"/>
    <col customWidth="1" min="34" max="34" width="21.38"/>
    <col customWidth="1" min="35" max="35" width="21.13"/>
    <col customWidth="1" min="36" max="36" width="22.75"/>
    <col customWidth="1" min="37" max="37" width="22.0"/>
    <col customWidth="1" min="38" max="38" width="22.38"/>
    <col customWidth="1" min="39" max="39" width="22.38" outlineLevel="1"/>
    <col customWidth="1" min="40" max="40" width="22.88" outlineLevel="1"/>
    <col customWidth="1" min="41" max="41" width="21.88" outlineLevel="1"/>
    <col customWidth="1" min="42" max="42" width="22.75" outlineLevel="1"/>
    <col customWidth="1" min="43" max="44" width="16.25" outlineLevel="1"/>
    <col customWidth="1" min="45" max="48" width="15.0" outlineLevel="1"/>
  </cols>
  <sheetData>
    <row r="1" ht="12.75" customHeight="1">
      <c r="A1" s="158" t="s">
        <v>255</v>
      </c>
      <c r="B1" s="95"/>
      <c r="C1" s="95"/>
      <c r="D1" s="95"/>
      <c r="E1" s="95"/>
      <c r="F1" s="159"/>
      <c r="G1" s="95"/>
      <c r="H1" s="160"/>
      <c r="I1" s="160"/>
      <c r="J1" s="160"/>
      <c r="K1" s="160">
        <f t="shared" ref="K1:AP1" si="1">J1+1</f>
        <v>1</v>
      </c>
      <c r="L1" s="161">
        <f t="shared" si="1"/>
        <v>2</v>
      </c>
      <c r="M1" s="162">
        <f t="shared" si="1"/>
        <v>3</v>
      </c>
      <c r="N1" s="160">
        <f t="shared" si="1"/>
        <v>4</v>
      </c>
      <c r="O1" s="160">
        <f t="shared" si="1"/>
        <v>5</v>
      </c>
      <c r="P1" s="160">
        <f t="shared" si="1"/>
        <v>6</v>
      </c>
      <c r="Q1" s="160">
        <f t="shared" si="1"/>
        <v>7</v>
      </c>
      <c r="R1" s="160">
        <f t="shared" si="1"/>
        <v>8</v>
      </c>
      <c r="S1" s="160">
        <f t="shared" si="1"/>
        <v>9</v>
      </c>
      <c r="T1" s="160">
        <f t="shared" si="1"/>
        <v>10</v>
      </c>
      <c r="U1" s="160">
        <f t="shared" si="1"/>
        <v>11</v>
      </c>
      <c r="V1" s="160">
        <f t="shared" si="1"/>
        <v>12</v>
      </c>
      <c r="W1" s="160">
        <f t="shared" si="1"/>
        <v>13</v>
      </c>
      <c r="X1" s="160">
        <f t="shared" si="1"/>
        <v>14</v>
      </c>
      <c r="Y1" s="160">
        <f t="shared" si="1"/>
        <v>15</v>
      </c>
      <c r="Z1" s="160">
        <f t="shared" si="1"/>
        <v>16</v>
      </c>
      <c r="AA1" s="160">
        <f t="shared" si="1"/>
        <v>17</v>
      </c>
      <c r="AB1" s="160">
        <f t="shared" si="1"/>
        <v>18</v>
      </c>
      <c r="AC1" s="160">
        <f t="shared" si="1"/>
        <v>19</v>
      </c>
      <c r="AD1" s="160">
        <f t="shared" si="1"/>
        <v>20</v>
      </c>
      <c r="AE1" s="160">
        <f t="shared" si="1"/>
        <v>21</v>
      </c>
      <c r="AF1" s="160">
        <f t="shared" si="1"/>
        <v>22</v>
      </c>
      <c r="AG1" s="160">
        <f t="shared" si="1"/>
        <v>23</v>
      </c>
      <c r="AH1" s="160">
        <f t="shared" si="1"/>
        <v>24</v>
      </c>
      <c r="AI1" s="160">
        <f t="shared" si="1"/>
        <v>25</v>
      </c>
      <c r="AJ1" s="160">
        <f t="shared" si="1"/>
        <v>26</v>
      </c>
      <c r="AK1" s="160">
        <f t="shared" si="1"/>
        <v>27</v>
      </c>
      <c r="AL1" s="160">
        <f t="shared" si="1"/>
        <v>28</v>
      </c>
      <c r="AM1" s="160">
        <f t="shared" si="1"/>
        <v>29</v>
      </c>
      <c r="AN1" s="160">
        <f t="shared" si="1"/>
        <v>30</v>
      </c>
      <c r="AO1" s="160">
        <f t="shared" si="1"/>
        <v>31</v>
      </c>
      <c r="AP1" s="160">
        <f t="shared" si="1"/>
        <v>32</v>
      </c>
      <c r="AQ1" s="160"/>
      <c r="AR1" s="160"/>
      <c r="AS1" s="160"/>
      <c r="AT1" s="160"/>
      <c r="AU1" s="161"/>
      <c r="AV1" s="161"/>
    </row>
    <row r="2" ht="12.75" customHeight="1">
      <c r="A2" s="96" t="s">
        <v>186</v>
      </c>
      <c r="B2" s="97"/>
      <c r="C2" s="97"/>
      <c r="D2" s="97"/>
      <c r="E2" s="97"/>
      <c r="F2" s="163"/>
      <c r="G2" s="97"/>
      <c r="H2" s="164"/>
      <c r="I2" s="165"/>
      <c r="J2" s="166"/>
      <c r="K2" s="166">
        <v>2009.0</v>
      </c>
      <c r="L2" s="167">
        <f t="shared" ref="L2:AP2" si="2">K2+1</f>
        <v>2010</v>
      </c>
      <c r="M2" s="168">
        <f t="shared" si="2"/>
        <v>2011</v>
      </c>
      <c r="N2" s="166">
        <f t="shared" si="2"/>
        <v>2012</v>
      </c>
      <c r="O2" s="166">
        <f t="shared" si="2"/>
        <v>2013</v>
      </c>
      <c r="P2" s="166">
        <f t="shared" si="2"/>
        <v>2014</v>
      </c>
      <c r="Q2" s="166">
        <f t="shared" si="2"/>
        <v>2015</v>
      </c>
      <c r="R2" s="166">
        <f t="shared" si="2"/>
        <v>2016</v>
      </c>
      <c r="S2" s="166">
        <f t="shared" si="2"/>
        <v>2017</v>
      </c>
      <c r="T2" s="166">
        <f t="shared" si="2"/>
        <v>2018</v>
      </c>
      <c r="U2" s="166">
        <f t="shared" si="2"/>
        <v>2019</v>
      </c>
      <c r="V2" s="166">
        <f t="shared" si="2"/>
        <v>2020</v>
      </c>
      <c r="W2" s="166">
        <f t="shared" si="2"/>
        <v>2021</v>
      </c>
      <c r="X2" s="166">
        <f t="shared" si="2"/>
        <v>2022</v>
      </c>
      <c r="Y2" s="166">
        <f t="shared" si="2"/>
        <v>2023</v>
      </c>
      <c r="Z2" s="166">
        <f t="shared" si="2"/>
        <v>2024</v>
      </c>
      <c r="AA2" s="166">
        <f t="shared" si="2"/>
        <v>2025</v>
      </c>
      <c r="AB2" s="166">
        <f t="shared" si="2"/>
        <v>2026</v>
      </c>
      <c r="AC2" s="166">
        <f t="shared" si="2"/>
        <v>2027</v>
      </c>
      <c r="AD2" s="166">
        <f t="shared" si="2"/>
        <v>2028</v>
      </c>
      <c r="AE2" s="166">
        <f t="shared" si="2"/>
        <v>2029</v>
      </c>
      <c r="AF2" s="166">
        <f t="shared" si="2"/>
        <v>2030</v>
      </c>
      <c r="AG2" s="166">
        <f t="shared" si="2"/>
        <v>2031</v>
      </c>
      <c r="AH2" s="166">
        <f t="shared" si="2"/>
        <v>2032</v>
      </c>
      <c r="AI2" s="166">
        <f t="shared" si="2"/>
        <v>2033</v>
      </c>
      <c r="AJ2" s="166">
        <f t="shared" si="2"/>
        <v>2034</v>
      </c>
      <c r="AK2" s="166">
        <f t="shared" si="2"/>
        <v>2035</v>
      </c>
      <c r="AL2" s="166">
        <f t="shared" si="2"/>
        <v>2036</v>
      </c>
      <c r="AM2" s="166">
        <f t="shared" si="2"/>
        <v>2037</v>
      </c>
      <c r="AN2" s="166">
        <f t="shared" si="2"/>
        <v>2038</v>
      </c>
      <c r="AO2" s="166">
        <f t="shared" si="2"/>
        <v>2039</v>
      </c>
      <c r="AP2" s="166">
        <f t="shared" si="2"/>
        <v>2040</v>
      </c>
      <c r="AQ2" s="166" t="s">
        <v>256</v>
      </c>
      <c r="AR2" s="166"/>
      <c r="AS2" s="166"/>
      <c r="AT2" s="166"/>
      <c r="AU2" s="167"/>
      <c r="AV2" s="167"/>
    </row>
    <row r="3" ht="12.75" customHeight="1">
      <c r="A3" s="169"/>
      <c r="B3" s="90"/>
      <c r="C3" s="90"/>
      <c r="D3" s="90"/>
      <c r="E3" s="67"/>
      <c r="F3" s="90"/>
      <c r="G3" s="90"/>
      <c r="H3" s="90"/>
      <c r="I3" s="90"/>
      <c r="J3" s="63"/>
      <c r="K3" s="63"/>
      <c r="L3" s="63"/>
      <c r="M3" s="63"/>
      <c r="N3" s="63"/>
      <c r="O3" s="63"/>
      <c r="P3" s="63"/>
      <c r="Q3" s="63"/>
      <c r="R3" s="63"/>
      <c r="S3" s="63"/>
      <c r="T3" s="63"/>
      <c r="U3" s="63"/>
      <c r="V3" s="63"/>
      <c r="W3" s="63"/>
      <c r="X3" s="63"/>
      <c r="Y3" s="63"/>
      <c r="Z3" s="63"/>
      <c r="AA3" s="63"/>
      <c r="AB3" s="63"/>
      <c r="AC3" s="63"/>
      <c r="AD3" s="63"/>
    </row>
    <row r="4" ht="12.75" customHeight="1">
      <c r="A4" s="170" t="s">
        <v>257</v>
      </c>
      <c r="B4" s="171"/>
      <c r="C4" s="171"/>
      <c r="D4" s="171"/>
      <c r="E4" s="171"/>
      <c r="F4" s="171"/>
      <c r="G4" s="171"/>
      <c r="H4" s="171"/>
      <c r="I4" s="171"/>
      <c r="J4" s="171"/>
      <c r="K4" s="171"/>
      <c r="L4" s="171"/>
      <c r="M4" s="171"/>
      <c r="N4" s="171"/>
      <c r="O4" s="171"/>
      <c r="P4" s="171"/>
      <c r="Q4" s="171"/>
      <c r="R4" s="171"/>
      <c r="S4" s="171"/>
      <c r="T4" s="171"/>
      <c r="U4" s="171"/>
      <c r="V4" s="171"/>
      <c r="W4" s="171"/>
      <c r="X4" s="171"/>
      <c r="Y4" s="171"/>
      <c r="Z4" s="171"/>
      <c r="AA4" s="171"/>
      <c r="AB4" s="171"/>
      <c r="AC4" s="171"/>
      <c r="AD4" s="171"/>
      <c r="AE4" s="171"/>
      <c r="AF4" s="171"/>
      <c r="AG4" s="171"/>
      <c r="AH4" s="171"/>
      <c r="AI4" s="171"/>
      <c r="AJ4" s="171"/>
      <c r="AK4" s="171"/>
      <c r="AL4" s="171"/>
      <c r="AM4" s="171"/>
      <c r="AN4" s="171"/>
      <c r="AO4" s="171"/>
      <c r="AP4" s="171"/>
      <c r="AQ4" s="171"/>
      <c r="AR4" s="171"/>
      <c r="AS4" s="171"/>
      <c r="AT4" s="171"/>
      <c r="AU4" s="171"/>
      <c r="AV4" s="171"/>
    </row>
    <row r="5" ht="12.75" customHeight="1">
      <c r="A5" s="172" t="s">
        <v>258</v>
      </c>
      <c r="B5" s="173"/>
      <c r="C5" s="106"/>
      <c r="D5" s="106"/>
      <c r="E5" s="106"/>
      <c r="F5" s="106"/>
      <c r="G5" s="106"/>
      <c r="H5" s="106"/>
      <c r="I5" s="174"/>
      <c r="J5" s="175"/>
      <c r="K5" s="175"/>
      <c r="L5" s="175"/>
      <c r="M5" s="175"/>
      <c r="N5" s="175"/>
      <c r="O5" s="175"/>
      <c r="P5" s="175"/>
      <c r="Q5" s="175"/>
      <c r="R5" s="175"/>
      <c r="S5" s="175"/>
      <c r="T5" s="175"/>
      <c r="U5" s="175"/>
      <c r="V5" s="175"/>
      <c r="W5" s="175"/>
      <c r="X5" s="175"/>
      <c r="Y5" s="175"/>
      <c r="Z5" s="175"/>
      <c r="AA5" s="175"/>
      <c r="AB5" s="175"/>
      <c r="AC5" s="175"/>
      <c r="AD5" s="175"/>
      <c r="AE5" s="175"/>
      <c r="AF5" s="175"/>
      <c r="AG5" s="175"/>
      <c r="AH5" s="175"/>
      <c r="AI5" s="175"/>
      <c r="AJ5" s="175"/>
      <c r="AK5" s="175"/>
      <c r="AL5" s="175"/>
      <c r="AM5" s="175"/>
      <c r="AN5" s="175"/>
      <c r="AO5" s="175"/>
      <c r="AP5" s="175"/>
      <c r="AQ5" s="175"/>
      <c r="AR5" s="175"/>
      <c r="AS5" s="175"/>
      <c r="AT5" s="175"/>
      <c r="AU5" s="175"/>
      <c r="AV5" s="175"/>
    </row>
    <row r="6" ht="12.75" customHeight="1">
      <c r="A6" s="67"/>
      <c r="B6" s="67"/>
      <c r="C6" s="67" t="s">
        <v>259</v>
      </c>
      <c r="D6" s="67"/>
      <c r="E6" s="67"/>
      <c r="F6" s="67"/>
      <c r="G6" s="67"/>
      <c r="H6" s="67"/>
      <c r="I6" s="67"/>
      <c r="J6" s="67"/>
      <c r="K6" s="101">
        <f>'All Schools Roll-up'!K16</f>
        <v>1</v>
      </c>
      <c r="L6" s="101">
        <f>'All Schools Roll-up'!L16</f>
        <v>2</v>
      </c>
      <c r="M6" s="101">
        <f>'All Schools Roll-up'!M16</f>
        <v>3</v>
      </c>
      <c r="N6" s="101">
        <f>'All Schools Roll-up'!N16</f>
        <v>5</v>
      </c>
      <c r="O6" s="101">
        <f>'All Schools Roll-up'!O16</f>
        <v>8</v>
      </c>
      <c r="P6" s="101">
        <f>'All Schools Roll-up'!P16</f>
        <v>13</v>
      </c>
      <c r="Q6" s="101">
        <f>'All Schools Roll-up'!Q16</f>
        <v>21</v>
      </c>
      <c r="R6" s="101">
        <f>'All Schools Roll-up'!R16</f>
        <v>34</v>
      </c>
      <c r="S6" s="101">
        <f>'All Schools Roll-up'!S16</f>
        <v>56</v>
      </c>
      <c r="T6" s="101">
        <f>'All Schools Roll-up'!T16</f>
        <v>90</v>
      </c>
      <c r="U6" s="101">
        <f>'All Schools Roll-up'!U16</f>
        <v>135</v>
      </c>
      <c r="V6" s="101">
        <f>'All Schools Roll-up'!V16</f>
        <v>180</v>
      </c>
      <c r="W6" s="101">
        <f>'All Schools Roll-up'!W16</f>
        <v>246</v>
      </c>
      <c r="X6" s="101">
        <f>'All Schools Roll-up'!X16</f>
        <v>326</v>
      </c>
      <c r="Y6" s="101">
        <f>'All Schools Roll-up'!Y16</f>
        <v>468</v>
      </c>
      <c r="Z6" s="101">
        <f>'All Schools Roll-up'!Z16</f>
        <v>661</v>
      </c>
      <c r="AA6" s="101">
        <f>'All Schools Roll-up'!AA16</f>
        <v>903</v>
      </c>
      <c r="AB6" s="101">
        <f>'All Schools Roll-up'!AB16</f>
        <v>1176</v>
      </c>
      <c r="AC6" s="101">
        <f>'All Schools Roll-up'!AC16</f>
        <v>1500</v>
      </c>
      <c r="AD6" s="101">
        <f>'All Schools Roll-up'!AD16</f>
        <v>1850</v>
      </c>
      <c r="AE6" s="101">
        <f>'All Schools Roll-up'!AE16</f>
        <v>2195</v>
      </c>
      <c r="AF6" s="101">
        <f>'All Schools Roll-up'!AF16</f>
        <v>2467</v>
      </c>
      <c r="AG6" s="101">
        <f>'All Schools Roll-up'!AG16</f>
        <v>2500</v>
      </c>
      <c r="AH6" s="101">
        <f>'All Schools Roll-up'!AH16</f>
        <v>2500</v>
      </c>
      <c r="AI6" s="101">
        <f>'All Schools Roll-up'!AI16</f>
        <v>2500</v>
      </c>
      <c r="AJ6" s="101">
        <f>'All Schools Roll-up'!AJ16</f>
        <v>2500</v>
      </c>
      <c r="AK6" s="101">
        <f>'All Schools Roll-up'!AK16</f>
        <v>2500</v>
      </c>
      <c r="AL6" s="101">
        <f>'All Schools Roll-up'!AL16</f>
        <v>2500</v>
      </c>
      <c r="AM6" s="101">
        <f>'All Schools Roll-up'!AM16</f>
        <v>2500</v>
      </c>
      <c r="AN6" s="101">
        <f>'All Schools Roll-up'!AN16</f>
        <v>2500</v>
      </c>
      <c r="AO6" s="101">
        <f>'All Schools Roll-up'!AO16</f>
        <v>2500</v>
      </c>
      <c r="AP6" s="101">
        <f>'All Schools Roll-up'!AP16</f>
        <v>2500</v>
      </c>
      <c r="AQ6" s="72"/>
      <c r="AR6" s="72"/>
      <c r="AS6" s="72"/>
      <c r="AT6" s="72"/>
      <c r="AU6" s="72"/>
      <c r="AV6" s="72"/>
    </row>
    <row r="7" ht="12.75" customHeight="1">
      <c r="A7" s="67"/>
      <c r="B7" s="67"/>
      <c r="C7" s="67" t="s">
        <v>165</v>
      </c>
      <c r="D7" s="67"/>
      <c r="E7" s="67"/>
      <c r="F7" s="67"/>
      <c r="G7" s="67"/>
      <c r="H7" s="67"/>
      <c r="I7" s="67"/>
      <c r="J7" s="67"/>
      <c r="K7" s="72">
        <v>321.0</v>
      </c>
      <c r="L7" s="103">
        <f>ROUND('All Schools Roll-up'!L18,0)</f>
        <v>874</v>
      </c>
      <c r="M7" s="103">
        <f>ROUND('All Schools Roll-up'!M18,0)</f>
        <v>1352</v>
      </c>
      <c r="N7" s="103">
        <f>ROUND('All Schools Roll-up'!N18,0)</f>
        <v>2228</v>
      </c>
      <c r="O7" s="103">
        <f>ROUND('All Schools Roll-up'!O18,0)</f>
        <v>3584</v>
      </c>
      <c r="P7" s="103">
        <f>ROUND('All Schools Roll-up'!P18,0)</f>
        <v>5832</v>
      </c>
      <c r="Q7" s="103">
        <f>ROUND('All Schools Roll-up'!Q18,0)</f>
        <v>9436</v>
      </c>
      <c r="R7" s="103">
        <f>ROUND('All Schools Roll-up'!R18,0)</f>
        <v>15288</v>
      </c>
      <c r="S7" s="103">
        <f>ROUND('All Schools Roll-up'!S18,0)</f>
        <v>25136</v>
      </c>
      <c r="T7" s="103">
        <f>ROUND('All Schools Roll-up'!T18,0)</f>
        <v>40516</v>
      </c>
      <c r="U7" s="103">
        <f>ROUND('All Schools Roll-up'!U18,0)</f>
        <v>61396</v>
      </c>
      <c r="V7" s="103">
        <f>ROUND('All Schools Roll-up'!V18,0)</f>
        <v>83500</v>
      </c>
      <c r="W7" s="103">
        <f>ROUND('All Schools Roll-up'!W18,0)</f>
        <v>114232</v>
      </c>
      <c r="X7" s="103">
        <f>ROUND('All Schools Roll-up'!X18,0)</f>
        <v>151964</v>
      </c>
      <c r="Y7" s="103">
        <f>ROUND('All Schools Roll-up'!Y18,0)</f>
        <v>215764</v>
      </c>
      <c r="Z7" s="103">
        <f>ROUND('All Schools Roll-up'!Z18,0)</f>
        <v>304524</v>
      </c>
      <c r="AA7" s="103">
        <f>ROUND('All Schools Roll-up'!AA18,0)</f>
        <v>418396</v>
      </c>
      <c r="AB7" s="103">
        <f>ROUND('All Schools Roll-up'!AB18,0)</f>
        <v>549784</v>
      </c>
      <c r="AC7" s="103">
        <f>ROUND('All Schools Roll-up'!AC18,0)</f>
        <v>705160</v>
      </c>
      <c r="AD7" s="103">
        <f>ROUND('All Schools Roll-up'!AD18,0)</f>
        <v>875516</v>
      </c>
      <c r="AE7" s="103">
        <f>ROUND('All Schools Roll-up'!AE18,0)</f>
        <v>1047620</v>
      </c>
      <c r="AF7" s="103">
        <f>ROUND('All Schools Roll-up'!AF18,0)</f>
        <v>1191684</v>
      </c>
      <c r="AG7" s="103">
        <f>ROUND('All Schools Roll-up'!AG18,0)</f>
        <v>1236624</v>
      </c>
      <c r="AH7" s="103">
        <f>ROUND('All Schools Roll-up'!AH18,0)</f>
        <v>1248792</v>
      </c>
      <c r="AI7" s="103">
        <f>ROUND('All Schools Roll-up'!AI18,0)</f>
        <v>1249980</v>
      </c>
      <c r="AJ7" s="103">
        <f>ROUND('All Schools Roll-up'!AJ18,0)</f>
        <v>1249980</v>
      </c>
      <c r="AK7" s="103">
        <f>ROUND('All Schools Roll-up'!AK18,0)</f>
        <v>1249980</v>
      </c>
      <c r="AL7" s="103">
        <f>ROUND('All Schools Roll-up'!AL18,0)</f>
        <v>1249980</v>
      </c>
      <c r="AM7" s="103">
        <f>ROUND('All Schools Roll-up'!AM18,0)</f>
        <v>1249980</v>
      </c>
      <c r="AN7" s="103">
        <f>ROUND('All Schools Roll-up'!AN18,0)</f>
        <v>1249980</v>
      </c>
      <c r="AO7" s="103">
        <f>ROUND('All Schools Roll-up'!AO18,0)</f>
        <v>1249980</v>
      </c>
      <c r="AP7" s="103" t="str">
        <f>ROUND('All Schools Roll-up'!AP18,0)</f>
        <v>#REF!</v>
      </c>
      <c r="AQ7" s="103"/>
      <c r="AR7" s="103"/>
      <c r="AS7" s="103"/>
      <c r="AT7" s="103"/>
      <c r="AU7" s="103"/>
      <c r="AV7" s="103"/>
    </row>
    <row r="8" ht="12.75" customHeight="1">
      <c r="A8" s="67"/>
      <c r="B8" s="67"/>
      <c r="C8" s="67" t="s">
        <v>260</v>
      </c>
      <c r="D8" s="90"/>
      <c r="E8" s="90"/>
      <c r="F8" s="90"/>
      <c r="G8" s="90"/>
      <c r="H8" s="90"/>
      <c r="I8" s="90"/>
      <c r="J8" s="90"/>
      <c r="K8" s="72">
        <v>1.0</v>
      </c>
      <c r="L8" s="72">
        <v>1.0</v>
      </c>
      <c r="M8" s="72">
        <f>'Growth Model'!F10</f>
        <v>1</v>
      </c>
      <c r="N8" s="72">
        <f>'Growth Model'!G10</f>
        <v>1</v>
      </c>
      <c r="O8" s="72">
        <f>'Growth Model'!H10</f>
        <v>1</v>
      </c>
      <c r="P8" s="72">
        <f>'Growth Model'!I10</f>
        <v>2</v>
      </c>
      <c r="Q8" s="72">
        <f>'Growth Model'!J10</f>
        <v>2</v>
      </c>
      <c r="R8" s="72">
        <f>'Growth Model'!K10</f>
        <v>4</v>
      </c>
      <c r="S8" s="72">
        <f>'Growth Model'!L10</f>
        <v>7</v>
      </c>
      <c r="T8" s="72">
        <f>'Growth Model'!M10</f>
        <v>12</v>
      </c>
      <c r="U8" s="72">
        <f>'Growth Model'!N10</f>
        <v>20</v>
      </c>
      <c r="V8" s="72">
        <f>'Growth Model'!O10</f>
        <v>33</v>
      </c>
      <c r="W8" s="72">
        <f>'Growth Model'!P10</f>
        <v>50</v>
      </c>
      <c r="X8" s="72">
        <f>'Growth Model'!Q10</f>
        <v>50</v>
      </c>
      <c r="Y8" s="72">
        <f>'Growth Model'!R10</f>
        <v>50</v>
      </c>
      <c r="Z8" s="72">
        <f>'Growth Model'!S10</f>
        <v>50</v>
      </c>
      <c r="AA8" s="72">
        <f>'Growth Model'!T10</f>
        <v>50</v>
      </c>
      <c r="AB8" s="72">
        <f>'Growth Model'!U10</f>
        <v>50</v>
      </c>
      <c r="AC8" s="72">
        <f>'Growth Model'!V10</f>
        <v>50</v>
      </c>
      <c r="AD8" s="72">
        <f>'Growth Model'!W10</f>
        <v>50</v>
      </c>
      <c r="AE8" s="72">
        <f>'Growth Model'!X10</f>
        <v>50</v>
      </c>
      <c r="AF8" s="72">
        <f>'Growth Model'!Y10</f>
        <v>50</v>
      </c>
      <c r="AG8" s="72">
        <f>'Growth Model'!Z10</f>
        <v>50</v>
      </c>
      <c r="AH8" s="72">
        <f>'Growth Model'!AA10</f>
        <v>50</v>
      </c>
      <c r="AI8" s="72">
        <f t="shared" ref="AI8:AP8" si="3">AH8</f>
        <v>50</v>
      </c>
      <c r="AJ8" s="72">
        <f t="shared" si="3"/>
        <v>50</v>
      </c>
      <c r="AK8" s="72">
        <f t="shared" si="3"/>
        <v>50</v>
      </c>
      <c r="AL8" s="72">
        <f t="shared" si="3"/>
        <v>50</v>
      </c>
      <c r="AM8" s="72">
        <f t="shared" si="3"/>
        <v>50</v>
      </c>
      <c r="AN8" s="72">
        <f t="shared" si="3"/>
        <v>50</v>
      </c>
      <c r="AO8" s="72">
        <f t="shared" si="3"/>
        <v>50</v>
      </c>
      <c r="AP8" s="72">
        <f t="shared" si="3"/>
        <v>50</v>
      </c>
      <c r="AQ8" s="72"/>
      <c r="AR8" s="72"/>
      <c r="AS8" s="72"/>
      <c r="AT8" s="72"/>
      <c r="AU8" s="72"/>
      <c r="AV8" s="72"/>
    </row>
    <row r="9" ht="12.75" hidden="1" customHeight="1" outlineLevel="1">
      <c r="A9" s="90"/>
      <c r="B9" s="67"/>
      <c r="C9" s="90"/>
      <c r="D9" s="90"/>
      <c r="E9" s="90"/>
      <c r="F9" s="90"/>
      <c r="G9" s="90"/>
      <c r="H9" s="90"/>
      <c r="I9" s="176"/>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row>
    <row r="10" ht="12.75" hidden="1" customHeight="1" outlineLevel="1">
      <c r="A10" s="90"/>
      <c r="B10" s="67" t="s">
        <v>261</v>
      </c>
      <c r="C10" s="90"/>
      <c r="D10" s="90"/>
      <c r="E10" s="90"/>
      <c r="F10" s="90"/>
      <c r="G10" s="90"/>
      <c r="H10" s="90"/>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I10" s="176"/>
      <c r="AJ10" s="176"/>
      <c r="AK10" s="176"/>
      <c r="AL10" s="176"/>
      <c r="AM10" s="176"/>
      <c r="AN10" s="176"/>
      <c r="AO10" s="176"/>
      <c r="AP10" s="176"/>
      <c r="AQ10" s="176"/>
      <c r="AR10" s="176"/>
      <c r="AS10" s="176"/>
      <c r="AT10" s="176"/>
      <c r="AU10" s="176"/>
      <c r="AV10" s="176"/>
    </row>
    <row r="11" ht="12.75" hidden="1" customHeight="1" outlineLevel="2">
      <c r="A11" s="90" t="s">
        <v>262</v>
      </c>
      <c r="B11" s="67"/>
      <c r="C11" s="90" t="s">
        <v>263</v>
      </c>
      <c r="D11" s="90"/>
      <c r="E11" s="90"/>
      <c r="F11" s="90"/>
      <c r="G11" s="90"/>
      <c r="H11" s="90"/>
      <c r="I11" s="176"/>
      <c r="J11" s="176"/>
      <c r="L11" s="177">
        <f>'All Schools Roll-up'!L29</f>
        <v>7873935.46</v>
      </c>
      <c r="M11" s="177">
        <f>'All Schools Roll-up'!M29</f>
        <v>10963844.83</v>
      </c>
      <c r="N11" s="177">
        <f>'All Schools Roll-up'!N29</f>
        <v>17871906.93</v>
      </c>
      <c r="O11" s="177">
        <f>'All Schools Roll-up'!O29</f>
        <v>28898894.36</v>
      </c>
      <c r="P11" s="177">
        <f>'All Schools Roll-up'!P29</f>
        <v>47344885.11</v>
      </c>
      <c r="Q11" s="177">
        <f>'All Schools Roll-up'!Q29</f>
        <v>77919176.93</v>
      </c>
      <c r="R11" s="177">
        <f>'All Schools Roll-up'!R29</f>
        <v>128760940.5</v>
      </c>
      <c r="S11" s="177">
        <f>'All Schools Roll-up'!S29</f>
        <v>217196635.8</v>
      </c>
      <c r="T11" s="177">
        <f>'All Schools Roll-up'!T29</f>
        <v>353859496.6</v>
      </c>
      <c r="U11" s="177">
        <f>'All Schools Roll-up'!U29</f>
        <v>528930241.8</v>
      </c>
      <c r="V11" s="177">
        <f>'All Schools Roll-up'!V29</f>
        <v>726368610</v>
      </c>
      <c r="W11" s="177">
        <f>'All Schools Roll-up'!W29</f>
        <v>1009920994</v>
      </c>
      <c r="X11" s="177">
        <f>'All Schools Roll-up'!X29</f>
        <v>1377489397</v>
      </c>
      <c r="Y11" s="177">
        <f>'All Schools Roll-up'!Y29</f>
        <v>1999111967</v>
      </c>
      <c r="Z11" s="177">
        <f>'All Schools Roll-up'!Z29</f>
        <v>2871773330</v>
      </c>
      <c r="AA11" s="177">
        <f>'All Schools Roll-up'!AA29</f>
        <v>4000577229</v>
      </c>
      <c r="AB11" s="177">
        <f>'All Schools Roll-up'!AB29</f>
        <v>5335969872</v>
      </c>
      <c r="AC11" s="177">
        <f>'All Schools Roll-up'!AC29</f>
        <v>6947824739</v>
      </c>
      <c r="AD11" s="177">
        <f>'All Schools Roll-up'!AD29</f>
        <v>8752308496</v>
      </c>
      <c r="AE11" s="177">
        <f>'All Schools Roll-up'!AE29</f>
        <v>10607555708</v>
      </c>
      <c r="AF11" s="177">
        <f>'All Schools Roll-up'!AF29</f>
        <v>12171304954</v>
      </c>
      <c r="AG11" s="177">
        <f>'All Schools Roll-up'!AG29</f>
        <v>12760639949</v>
      </c>
      <c r="AH11" s="177">
        <f>'All Schools Roll-up'!AH29</f>
        <v>13080712337</v>
      </c>
      <c r="AI11" s="177">
        <f>'All Schools Roll-up'!AI29</f>
        <v>13338788996</v>
      </c>
      <c r="AJ11" s="177">
        <f>'All Schools Roll-up'!AJ29</f>
        <v>13591847101</v>
      </c>
      <c r="AK11" s="177">
        <f>'All Schools Roll-up'!AK29</f>
        <v>13852749320</v>
      </c>
      <c r="AL11" s="177">
        <f>'All Schools Roll-up'!AL29</f>
        <v>14122662018</v>
      </c>
      <c r="AM11" s="177">
        <f>'All Schools Roll-up'!AM29</f>
        <v>14401703289</v>
      </c>
      <c r="AN11" s="177">
        <f>'All Schools Roll-up'!AN29</f>
        <v>14689357735</v>
      </c>
      <c r="AO11" s="177" t="str">
        <f>'All Schools Roll-up'!AO29</f>
        <v>#REF!</v>
      </c>
      <c r="AP11" s="177" t="str">
        <f>'All Schools Roll-up'!AP29</f>
        <v>#REF!</v>
      </c>
      <c r="AQ11" s="177"/>
      <c r="AR11" s="177"/>
      <c r="AS11" s="177"/>
      <c r="AT11" s="177"/>
      <c r="AU11" s="177"/>
      <c r="AV11" s="177"/>
    </row>
    <row r="12" ht="12.75" hidden="1" customHeight="1" outlineLevel="1">
      <c r="A12" s="178">
        <v>0.004</v>
      </c>
      <c r="B12" s="152">
        <v>0.005</v>
      </c>
      <c r="C12" s="90"/>
      <c r="D12" s="90" t="s">
        <v>264</v>
      </c>
      <c r="E12" s="90"/>
      <c r="F12" s="90"/>
      <c r="G12" s="90"/>
      <c r="H12" s="90"/>
      <c r="I12" s="176"/>
      <c r="J12" s="176"/>
      <c r="K12" s="176"/>
      <c r="L12" s="91"/>
      <c r="M12" s="179" t="str">
        <f t="shared" ref="M12:AL12" si="4">M148/M11</f>
        <v>#REF!</v>
      </c>
      <c r="N12" s="179" t="str">
        <f t="shared" si="4"/>
        <v>#REF!</v>
      </c>
      <c r="O12" s="179" t="str">
        <f t="shared" si="4"/>
        <v>#REF!</v>
      </c>
      <c r="P12" s="179" t="str">
        <f t="shared" si="4"/>
        <v>#REF!</v>
      </c>
      <c r="Q12" s="179" t="str">
        <f t="shared" si="4"/>
        <v>#REF!</v>
      </c>
      <c r="R12" s="180" t="str">
        <f t="shared" si="4"/>
        <v>#REF!</v>
      </c>
      <c r="S12" s="179" t="str">
        <f t="shared" si="4"/>
        <v>#REF!</v>
      </c>
      <c r="T12" s="179" t="str">
        <f t="shared" si="4"/>
        <v>#REF!</v>
      </c>
      <c r="U12" s="179" t="str">
        <f t="shared" si="4"/>
        <v>#REF!</v>
      </c>
      <c r="V12" s="179" t="str">
        <f t="shared" si="4"/>
        <v>#REF!</v>
      </c>
      <c r="W12" s="179" t="str">
        <f t="shared" si="4"/>
        <v>#REF!</v>
      </c>
      <c r="X12" s="179" t="str">
        <f t="shared" si="4"/>
        <v>#REF!</v>
      </c>
      <c r="Y12" s="179" t="str">
        <f t="shared" si="4"/>
        <v>#REF!</v>
      </c>
      <c r="Z12" s="179" t="str">
        <f t="shared" si="4"/>
        <v>#REF!</v>
      </c>
      <c r="AA12" s="179" t="str">
        <f t="shared" si="4"/>
        <v>#REF!</v>
      </c>
      <c r="AB12" s="179" t="str">
        <f t="shared" si="4"/>
        <v>#REF!</v>
      </c>
      <c r="AC12" s="179" t="str">
        <f t="shared" si="4"/>
        <v>#REF!</v>
      </c>
      <c r="AD12" s="179" t="str">
        <f t="shared" si="4"/>
        <v>#REF!</v>
      </c>
      <c r="AE12" s="179" t="str">
        <f t="shared" si="4"/>
        <v>#REF!</v>
      </c>
      <c r="AF12" s="179" t="str">
        <f t="shared" si="4"/>
        <v>#REF!</v>
      </c>
      <c r="AG12" s="179" t="str">
        <f t="shared" si="4"/>
        <v>#REF!</v>
      </c>
      <c r="AH12" s="179" t="str">
        <f t="shared" si="4"/>
        <v>#REF!</v>
      </c>
      <c r="AI12" s="179" t="str">
        <f t="shared" si="4"/>
        <v>#REF!</v>
      </c>
      <c r="AJ12" s="179" t="str">
        <f t="shared" si="4"/>
        <v>#REF!</v>
      </c>
      <c r="AK12" s="179" t="str">
        <f t="shared" si="4"/>
        <v>#REF!</v>
      </c>
      <c r="AL12" s="179" t="str">
        <f t="shared" si="4"/>
        <v>#REF!</v>
      </c>
      <c r="AM12" s="91" t="str">
        <f t="shared" ref="AM12:AP12" si="5">AM138/AM$11</f>
        <v>#REF!</v>
      </c>
      <c r="AN12" s="91" t="str">
        <f t="shared" si="5"/>
        <v>#REF!</v>
      </c>
      <c r="AO12" s="91" t="str">
        <f t="shared" si="5"/>
        <v>#REF!</v>
      </c>
      <c r="AP12" s="91" t="str">
        <f t="shared" si="5"/>
        <v>#REF!</v>
      </c>
      <c r="AQ12" s="91"/>
      <c r="AR12" s="91"/>
      <c r="AS12" s="91"/>
      <c r="AT12" s="91"/>
      <c r="AU12" s="91"/>
      <c r="AV12" s="91"/>
    </row>
    <row r="13" ht="12.75" hidden="1" customHeight="1" outlineLevel="1">
      <c r="A13" s="178">
        <v>0.0175</v>
      </c>
      <c r="B13" s="152">
        <v>0.02</v>
      </c>
      <c r="D13" s="90" t="s">
        <v>137</v>
      </c>
      <c r="E13" s="90"/>
      <c r="F13" s="90"/>
      <c r="G13" s="90"/>
      <c r="H13" s="90"/>
      <c r="I13" s="176"/>
      <c r="J13" s="176"/>
      <c r="K13" s="176"/>
      <c r="L13" s="91"/>
      <c r="M13" s="179">
        <f t="shared" ref="M13:AL13" si="6">SUM(M138:M140)/M11</f>
        <v>0.08881482866</v>
      </c>
      <c r="N13" s="179">
        <f t="shared" si="6"/>
        <v>0.06287385023</v>
      </c>
      <c r="O13" s="179">
        <f t="shared" si="6"/>
        <v>0.04305701257</v>
      </c>
      <c r="P13" s="179">
        <f t="shared" si="6"/>
        <v>0.0346873066</v>
      </c>
      <c r="Q13" s="179">
        <f t="shared" si="6"/>
        <v>0.02372476487</v>
      </c>
      <c r="R13" s="180">
        <f t="shared" si="6"/>
        <v>0.01773519473</v>
      </c>
      <c r="S13" s="179">
        <f t="shared" si="6"/>
        <v>0.0137359972</v>
      </c>
      <c r="T13" s="179">
        <f t="shared" si="6"/>
        <v>0.01157726855</v>
      </c>
      <c r="U13" s="179">
        <f t="shared" si="6"/>
        <v>0.009815917171</v>
      </c>
      <c r="V13" s="179">
        <f t="shared" si="6"/>
        <v>0.01061473353</v>
      </c>
      <c r="W13" s="179" t="str">
        <f t="shared" si="6"/>
        <v>#REF!</v>
      </c>
      <c r="X13" s="179" t="str">
        <f t="shared" si="6"/>
        <v>#REF!</v>
      </c>
      <c r="Y13" s="179" t="str">
        <f t="shared" si="6"/>
        <v>#REF!</v>
      </c>
      <c r="Z13" s="179" t="str">
        <f t="shared" si="6"/>
        <v>#REF!</v>
      </c>
      <c r="AA13" s="179" t="str">
        <f t="shared" si="6"/>
        <v>#REF!</v>
      </c>
      <c r="AB13" s="179" t="str">
        <f t="shared" si="6"/>
        <v>#REF!</v>
      </c>
      <c r="AC13" s="179" t="str">
        <f t="shared" si="6"/>
        <v>#REF!</v>
      </c>
      <c r="AD13" s="179" t="str">
        <f t="shared" si="6"/>
        <v>#REF!</v>
      </c>
      <c r="AE13" s="179" t="str">
        <f t="shared" si="6"/>
        <v>#REF!</v>
      </c>
      <c r="AF13" s="179" t="str">
        <f t="shared" si="6"/>
        <v>#REF!</v>
      </c>
      <c r="AG13" s="179" t="str">
        <f t="shared" si="6"/>
        <v>#REF!</v>
      </c>
      <c r="AH13" s="179" t="str">
        <f t="shared" si="6"/>
        <v>#REF!</v>
      </c>
      <c r="AI13" s="179" t="str">
        <f t="shared" si="6"/>
        <v>#REF!</v>
      </c>
      <c r="AJ13" s="179" t="str">
        <f t="shared" si="6"/>
        <v>#REF!</v>
      </c>
      <c r="AK13" s="179" t="str">
        <f t="shared" si="6"/>
        <v>#REF!</v>
      </c>
      <c r="AL13" s="179" t="str">
        <f t="shared" si="6"/>
        <v>#REF!</v>
      </c>
      <c r="AM13" s="179">
        <f t="shared" ref="AM13:AP13" si="7">AM148/AM$11</f>
        <v>0.002548034106</v>
      </c>
      <c r="AN13" s="179">
        <f t="shared" si="7"/>
        <v>0.00254757621</v>
      </c>
      <c r="AO13" s="179" t="str">
        <f t="shared" si="7"/>
        <v>#REF!</v>
      </c>
      <c r="AP13" s="179" t="str">
        <f t="shared" si="7"/>
        <v>#REF!</v>
      </c>
      <c r="AQ13" s="179"/>
      <c r="AR13" s="179"/>
      <c r="AS13" s="91"/>
      <c r="AT13" s="91"/>
      <c r="AU13" s="91"/>
      <c r="AV13" s="91"/>
    </row>
    <row r="14" ht="12.75" hidden="1" customHeight="1" outlineLevel="1">
      <c r="A14" s="178">
        <v>0.031</v>
      </c>
      <c r="B14" s="152">
        <v>0.04</v>
      </c>
      <c r="D14" s="90" t="s">
        <v>265</v>
      </c>
      <c r="E14" s="90"/>
      <c r="F14" s="90"/>
      <c r="G14" s="90"/>
      <c r="H14" s="90"/>
      <c r="I14" s="176"/>
      <c r="J14" s="176"/>
      <c r="K14" s="176"/>
      <c r="L14" s="91"/>
      <c r="M14" s="179" t="str">
        <f t="shared" ref="M14:AL14" si="8">SUM(M142:M145)/M11</f>
        <v>#REF!</v>
      </c>
      <c r="N14" s="179" t="str">
        <f t="shared" si="8"/>
        <v>#REF!</v>
      </c>
      <c r="O14" s="179" t="str">
        <f t="shared" si="8"/>
        <v>#REF!</v>
      </c>
      <c r="P14" s="179" t="str">
        <f t="shared" si="8"/>
        <v>#REF!</v>
      </c>
      <c r="Q14" s="179" t="str">
        <f t="shared" si="8"/>
        <v>#REF!</v>
      </c>
      <c r="R14" s="180" t="str">
        <f t="shared" si="8"/>
        <v>#REF!</v>
      </c>
      <c r="S14" s="179" t="str">
        <f t="shared" si="8"/>
        <v>#REF!</v>
      </c>
      <c r="T14" s="179" t="str">
        <f t="shared" si="8"/>
        <v>#REF!</v>
      </c>
      <c r="U14" s="179" t="str">
        <f t="shared" si="8"/>
        <v>#REF!</v>
      </c>
      <c r="V14" s="179" t="str">
        <f t="shared" si="8"/>
        <v>#REF!</v>
      </c>
      <c r="W14" s="179" t="str">
        <f t="shared" si="8"/>
        <v>#REF!</v>
      </c>
      <c r="X14" s="179" t="str">
        <f t="shared" si="8"/>
        <v>#REF!</v>
      </c>
      <c r="Y14" s="179" t="str">
        <f t="shared" si="8"/>
        <v>#REF!</v>
      </c>
      <c r="Z14" s="179" t="str">
        <f t="shared" si="8"/>
        <v>#REF!</v>
      </c>
      <c r="AA14" s="179" t="str">
        <f t="shared" si="8"/>
        <v>#REF!</v>
      </c>
      <c r="AB14" s="179" t="str">
        <f t="shared" si="8"/>
        <v>#REF!</v>
      </c>
      <c r="AC14" s="179" t="str">
        <f t="shared" si="8"/>
        <v>#REF!</v>
      </c>
      <c r="AD14" s="179" t="str">
        <f t="shared" si="8"/>
        <v>#REF!</v>
      </c>
      <c r="AE14" s="179" t="str">
        <f t="shared" si="8"/>
        <v>#REF!</v>
      </c>
      <c r="AF14" s="179" t="str">
        <f t="shared" si="8"/>
        <v>#REF!</v>
      </c>
      <c r="AG14" s="179" t="str">
        <f t="shared" si="8"/>
        <v>#REF!</v>
      </c>
      <c r="AH14" s="179" t="str">
        <f t="shared" si="8"/>
        <v>#REF!</v>
      </c>
      <c r="AI14" s="179" t="str">
        <f t="shared" si="8"/>
        <v>#REF!</v>
      </c>
      <c r="AJ14" s="179" t="str">
        <f t="shared" si="8"/>
        <v>#REF!</v>
      </c>
      <c r="AK14" s="179" t="str">
        <f t="shared" si="8"/>
        <v>#REF!</v>
      </c>
      <c r="AL14" s="179" t="str">
        <f t="shared" si="8"/>
        <v>#REF!</v>
      </c>
      <c r="AM14" s="179" t="str">
        <f t="shared" ref="AM14:AP14" si="9">AM149/AM$11</f>
        <v>#REF!</v>
      </c>
      <c r="AN14" s="179" t="str">
        <f t="shared" si="9"/>
        <v>#REF!</v>
      </c>
      <c r="AO14" s="179" t="str">
        <f t="shared" si="9"/>
        <v>#REF!</v>
      </c>
      <c r="AP14" s="179" t="str">
        <f t="shared" si="9"/>
        <v>#REF!</v>
      </c>
      <c r="AQ14" s="179"/>
      <c r="AR14" s="179"/>
      <c r="AS14" s="91"/>
      <c r="AT14" s="91"/>
      <c r="AU14" s="91"/>
      <c r="AV14" s="91"/>
    </row>
    <row r="15" ht="12.75" hidden="1" customHeight="1" outlineLevel="1">
      <c r="A15" s="178">
        <v>0.0175</v>
      </c>
      <c r="B15" s="152">
        <v>0.02</v>
      </c>
      <c r="D15" s="90" t="s">
        <v>266</v>
      </c>
      <c r="E15" s="90"/>
      <c r="F15" s="90"/>
      <c r="G15" s="90"/>
      <c r="H15" s="90"/>
      <c r="I15" s="176"/>
      <c r="J15" s="176"/>
      <c r="K15" s="176"/>
      <c r="L15" s="91"/>
      <c r="M15" s="179" t="str">
        <f t="shared" ref="M15:AL15" si="10">M141/M11</f>
        <v>#REF!</v>
      </c>
      <c r="N15" s="179" t="str">
        <f t="shared" si="10"/>
        <v>#REF!</v>
      </c>
      <c r="O15" s="179" t="str">
        <f t="shared" si="10"/>
        <v>#REF!</v>
      </c>
      <c r="P15" s="179" t="str">
        <f t="shared" si="10"/>
        <v>#REF!</v>
      </c>
      <c r="Q15" s="179" t="str">
        <f t="shared" si="10"/>
        <v>#REF!</v>
      </c>
      <c r="R15" s="180" t="str">
        <f t="shared" si="10"/>
        <v>#REF!</v>
      </c>
      <c r="S15" s="179" t="str">
        <f t="shared" si="10"/>
        <v>#REF!</v>
      </c>
      <c r="T15" s="179" t="str">
        <f t="shared" si="10"/>
        <v>#REF!</v>
      </c>
      <c r="U15" s="179" t="str">
        <f t="shared" si="10"/>
        <v>#REF!</v>
      </c>
      <c r="V15" s="179" t="str">
        <f t="shared" si="10"/>
        <v>#REF!</v>
      </c>
      <c r="W15" s="179" t="str">
        <f t="shared" si="10"/>
        <v>#REF!</v>
      </c>
      <c r="X15" s="179" t="str">
        <f t="shared" si="10"/>
        <v>#REF!</v>
      </c>
      <c r="Y15" s="179" t="str">
        <f t="shared" si="10"/>
        <v>#REF!</v>
      </c>
      <c r="Z15" s="179" t="str">
        <f t="shared" si="10"/>
        <v>#REF!</v>
      </c>
      <c r="AA15" s="179" t="str">
        <f t="shared" si="10"/>
        <v>#REF!</v>
      </c>
      <c r="AB15" s="179" t="str">
        <f t="shared" si="10"/>
        <v>#REF!</v>
      </c>
      <c r="AC15" s="179" t="str">
        <f t="shared" si="10"/>
        <v>#REF!</v>
      </c>
      <c r="AD15" s="179" t="str">
        <f t="shared" si="10"/>
        <v>#REF!</v>
      </c>
      <c r="AE15" s="179" t="str">
        <f t="shared" si="10"/>
        <v>#REF!</v>
      </c>
      <c r="AF15" s="179" t="str">
        <f t="shared" si="10"/>
        <v>#REF!</v>
      </c>
      <c r="AG15" s="179" t="str">
        <f t="shared" si="10"/>
        <v>#REF!</v>
      </c>
      <c r="AH15" s="179" t="str">
        <f t="shared" si="10"/>
        <v>#REF!</v>
      </c>
      <c r="AI15" s="179" t="str">
        <f t="shared" si="10"/>
        <v>#REF!</v>
      </c>
      <c r="AJ15" s="179" t="str">
        <f t="shared" si="10"/>
        <v>#REF!</v>
      </c>
      <c r="AK15" s="179" t="str">
        <f t="shared" si="10"/>
        <v>#REF!</v>
      </c>
      <c r="AL15" s="179" t="str">
        <f t="shared" si="10"/>
        <v>#REF!</v>
      </c>
      <c r="AM15" s="179" t="str">
        <f t="shared" ref="AM15:AP15" si="11">#REF!/AM$11</f>
        <v>#REF!</v>
      </c>
      <c r="AN15" s="179" t="str">
        <f t="shared" si="11"/>
        <v>#REF!</v>
      </c>
      <c r="AO15" s="179" t="str">
        <f t="shared" si="11"/>
        <v>#REF!</v>
      </c>
      <c r="AP15" s="179" t="str">
        <f t="shared" si="11"/>
        <v>#REF!</v>
      </c>
      <c r="AQ15" s="179"/>
      <c r="AR15" s="179"/>
      <c r="AS15" s="91"/>
      <c r="AT15" s="91"/>
      <c r="AU15" s="91"/>
      <c r="AV15" s="91"/>
    </row>
    <row r="16" ht="12.75" hidden="1" customHeight="1" outlineLevel="1">
      <c r="A16" s="178">
        <v>0.0075</v>
      </c>
      <c r="B16" s="152"/>
      <c r="D16" s="90" t="s">
        <v>267</v>
      </c>
      <c r="E16" s="90"/>
      <c r="F16" s="90"/>
      <c r="G16" s="90"/>
      <c r="H16" s="90"/>
      <c r="I16" s="176"/>
      <c r="J16" s="176"/>
      <c r="K16" s="176"/>
      <c r="L16" s="91"/>
      <c r="M16" s="179" t="str">
        <f t="shared" ref="M16:AL16" si="12">M147/M11</f>
        <v>#REF!</v>
      </c>
      <c r="N16" s="179" t="str">
        <f t="shared" si="12"/>
        <v>#REF!</v>
      </c>
      <c r="O16" s="179" t="str">
        <f t="shared" si="12"/>
        <v>#REF!</v>
      </c>
      <c r="P16" s="179" t="str">
        <f t="shared" si="12"/>
        <v>#REF!</v>
      </c>
      <c r="Q16" s="179" t="str">
        <f t="shared" si="12"/>
        <v>#REF!</v>
      </c>
      <c r="R16" s="180" t="str">
        <f t="shared" si="12"/>
        <v>#REF!</v>
      </c>
      <c r="S16" s="179" t="str">
        <f t="shared" si="12"/>
        <v>#REF!</v>
      </c>
      <c r="T16" s="179" t="str">
        <f t="shared" si="12"/>
        <v>#REF!</v>
      </c>
      <c r="U16" s="179" t="str">
        <f t="shared" si="12"/>
        <v>#REF!</v>
      </c>
      <c r="V16" s="179" t="str">
        <f t="shared" si="12"/>
        <v>#REF!</v>
      </c>
      <c r="W16" s="179" t="str">
        <f t="shared" si="12"/>
        <v>#REF!</v>
      </c>
      <c r="X16" s="179" t="str">
        <f t="shared" si="12"/>
        <v>#REF!</v>
      </c>
      <c r="Y16" s="179" t="str">
        <f t="shared" si="12"/>
        <v>#REF!</v>
      </c>
      <c r="Z16" s="179" t="str">
        <f t="shared" si="12"/>
        <v>#REF!</v>
      </c>
      <c r="AA16" s="179" t="str">
        <f t="shared" si="12"/>
        <v>#REF!</v>
      </c>
      <c r="AB16" s="179" t="str">
        <f t="shared" si="12"/>
        <v>#REF!</v>
      </c>
      <c r="AC16" s="179" t="str">
        <f t="shared" si="12"/>
        <v>#REF!</v>
      </c>
      <c r="AD16" s="179" t="str">
        <f t="shared" si="12"/>
        <v>#REF!</v>
      </c>
      <c r="AE16" s="179" t="str">
        <f t="shared" si="12"/>
        <v>#REF!</v>
      </c>
      <c r="AF16" s="179" t="str">
        <f t="shared" si="12"/>
        <v>#REF!</v>
      </c>
      <c r="AG16" s="179" t="str">
        <f t="shared" si="12"/>
        <v>#REF!</v>
      </c>
      <c r="AH16" s="179" t="str">
        <f t="shared" si="12"/>
        <v>#REF!</v>
      </c>
      <c r="AI16" s="179" t="str">
        <f t="shared" si="12"/>
        <v>#REF!</v>
      </c>
      <c r="AJ16" s="179" t="str">
        <f t="shared" si="12"/>
        <v>#REF!</v>
      </c>
      <c r="AK16" s="179" t="str">
        <f t="shared" si="12"/>
        <v>#REF!</v>
      </c>
      <c r="AL16" s="179" t="str">
        <f t="shared" si="12"/>
        <v>#REF!</v>
      </c>
      <c r="AM16" s="179"/>
      <c r="AN16" s="179"/>
      <c r="AO16" s="179"/>
      <c r="AP16" s="179"/>
      <c r="AQ16" s="179"/>
      <c r="AR16" s="179"/>
      <c r="AS16" s="91"/>
      <c r="AT16" s="91"/>
      <c r="AU16" s="91"/>
      <c r="AV16" s="91"/>
    </row>
    <row r="17" ht="12.75" hidden="1" customHeight="1" outlineLevel="1">
      <c r="A17" s="178">
        <v>0.005</v>
      </c>
      <c r="B17" s="178">
        <v>0.005</v>
      </c>
      <c r="D17" s="87" t="s">
        <v>268</v>
      </c>
      <c r="E17" s="87"/>
      <c r="F17" s="87"/>
      <c r="G17" s="87"/>
      <c r="H17" s="87"/>
      <c r="I17" s="181"/>
      <c r="J17" s="181"/>
      <c r="K17" s="181"/>
      <c r="L17" s="182"/>
      <c r="M17" s="183">
        <f t="shared" ref="M17:AL17" si="13">M146/M11</f>
        <v>0.1167387919</v>
      </c>
      <c r="N17" s="183">
        <f t="shared" si="13"/>
        <v>0.07234141968</v>
      </c>
      <c r="O17" s="183">
        <f t="shared" si="13"/>
        <v>0.04531217306</v>
      </c>
      <c r="P17" s="183">
        <f t="shared" si="13"/>
        <v>0.02815903203</v>
      </c>
      <c r="Q17" s="183">
        <f t="shared" si="13"/>
        <v>0.01755055576</v>
      </c>
      <c r="R17" s="184">
        <f t="shared" si="13"/>
        <v>0.004518143112</v>
      </c>
      <c r="S17" s="183">
        <f t="shared" si="13"/>
        <v>0.003406316502</v>
      </c>
      <c r="T17" s="183">
        <f t="shared" si="13"/>
        <v>0.002608698839</v>
      </c>
      <c r="U17" s="183">
        <f t="shared" si="13"/>
        <v>0.002304200063</v>
      </c>
      <c r="V17" s="183">
        <f t="shared" si="13"/>
        <v>0.002510158937</v>
      </c>
      <c r="W17" s="183">
        <f t="shared" si="13"/>
        <v>0.002402496593</v>
      </c>
      <c r="X17" s="183">
        <f t="shared" si="13"/>
        <v>0.001964106561</v>
      </c>
      <c r="Y17" s="183">
        <f t="shared" si="13"/>
        <v>0.001552640465</v>
      </c>
      <c r="Z17" s="183">
        <f t="shared" si="13"/>
        <v>0.001346243987</v>
      </c>
      <c r="AA17" s="183">
        <f t="shared" si="13"/>
        <v>0.001170200479</v>
      </c>
      <c r="AB17" s="183">
        <f t="shared" si="13"/>
        <v>0.001027975171</v>
      </c>
      <c r="AC17" s="183">
        <f t="shared" si="13"/>
        <v>0.0009628391139</v>
      </c>
      <c r="AD17" s="183">
        <f t="shared" si="13"/>
        <v>0.0009049914259</v>
      </c>
      <c r="AE17" s="183">
        <f t="shared" si="13"/>
        <v>0.0008561751333</v>
      </c>
      <c r="AF17" s="183">
        <f t="shared" si="13"/>
        <v>0.0008479187632</v>
      </c>
      <c r="AG17" s="183">
        <f t="shared" si="13"/>
        <v>0.0008302590101</v>
      </c>
      <c r="AH17" s="183">
        <f t="shared" si="13"/>
        <v>0.0008261422421</v>
      </c>
      <c r="AI17" s="183">
        <f t="shared" si="13"/>
        <v>0.0008263613437</v>
      </c>
      <c r="AJ17" s="183">
        <f t="shared" si="13"/>
        <v>0.0008271953552</v>
      </c>
      <c r="AK17" s="183">
        <f t="shared" si="13"/>
        <v>0.0008278483052</v>
      </c>
      <c r="AL17" s="183">
        <f t="shared" si="13"/>
        <v>0.0008282669749</v>
      </c>
      <c r="AM17" s="182" t="str">
        <f t="shared" ref="AM17:AP17" si="14">AM307/AM11</f>
        <v>#REF!</v>
      </c>
      <c r="AN17" s="182" t="str">
        <f t="shared" si="14"/>
        <v>#REF!</v>
      </c>
      <c r="AO17" s="182" t="str">
        <f t="shared" si="14"/>
        <v>#REF!</v>
      </c>
      <c r="AP17" s="182" t="str">
        <f t="shared" si="14"/>
        <v>#REF!</v>
      </c>
      <c r="AQ17" s="179"/>
      <c r="AR17" s="179"/>
      <c r="AS17" s="91"/>
      <c r="AT17" s="91"/>
      <c r="AU17" s="91"/>
      <c r="AV17" s="91"/>
    </row>
    <row r="18" ht="12.75" hidden="1" customHeight="1" outlineLevel="1">
      <c r="A18" s="185">
        <f t="shared" ref="A18:B18" si="15">SUM(A12:A17)</f>
        <v>0.0825</v>
      </c>
      <c r="B18" s="185">
        <f t="shared" si="15"/>
        <v>0.09</v>
      </c>
      <c r="C18" s="67" t="s">
        <v>269</v>
      </c>
      <c r="D18" s="67"/>
      <c r="E18" s="67"/>
      <c r="F18" s="67"/>
      <c r="G18" s="67"/>
      <c r="H18" s="67"/>
      <c r="I18" s="186"/>
      <c r="J18" s="186"/>
      <c r="K18" s="186"/>
      <c r="L18" s="187">
        <f>SUM(L12:L15)</f>
        <v>0</v>
      </c>
      <c r="M18" s="187" t="str">
        <f t="shared" ref="M18:AP18" si="16">SUM(M12:M17)</f>
        <v>#REF!</v>
      </c>
      <c r="N18" s="187" t="str">
        <f t="shared" si="16"/>
        <v>#REF!</v>
      </c>
      <c r="O18" s="187" t="str">
        <f t="shared" si="16"/>
        <v>#REF!</v>
      </c>
      <c r="P18" s="187" t="str">
        <f t="shared" si="16"/>
        <v>#REF!</v>
      </c>
      <c r="Q18" s="188" t="str">
        <f t="shared" si="16"/>
        <v>#REF!</v>
      </c>
      <c r="R18" s="189" t="str">
        <f t="shared" si="16"/>
        <v>#REF!</v>
      </c>
      <c r="S18" s="188" t="str">
        <f t="shared" si="16"/>
        <v>#REF!</v>
      </c>
      <c r="T18" s="189" t="str">
        <f t="shared" si="16"/>
        <v>#REF!</v>
      </c>
      <c r="U18" s="189" t="str">
        <f t="shared" si="16"/>
        <v>#REF!</v>
      </c>
      <c r="V18" s="189" t="str">
        <f t="shared" si="16"/>
        <v>#REF!</v>
      </c>
      <c r="W18" s="189" t="str">
        <f t="shared" si="16"/>
        <v>#REF!</v>
      </c>
      <c r="X18" s="189" t="str">
        <f t="shared" si="16"/>
        <v>#REF!</v>
      </c>
      <c r="Y18" s="189" t="str">
        <f t="shared" si="16"/>
        <v>#REF!</v>
      </c>
      <c r="Z18" s="189" t="str">
        <f t="shared" si="16"/>
        <v>#REF!</v>
      </c>
      <c r="AA18" s="189" t="str">
        <f t="shared" si="16"/>
        <v>#REF!</v>
      </c>
      <c r="AB18" s="189" t="str">
        <f t="shared" si="16"/>
        <v>#REF!</v>
      </c>
      <c r="AC18" s="189" t="str">
        <f t="shared" si="16"/>
        <v>#REF!</v>
      </c>
      <c r="AD18" s="189" t="str">
        <f t="shared" si="16"/>
        <v>#REF!</v>
      </c>
      <c r="AE18" s="189" t="str">
        <f t="shared" si="16"/>
        <v>#REF!</v>
      </c>
      <c r="AF18" s="189" t="str">
        <f t="shared" si="16"/>
        <v>#REF!</v>
      </c>
      <c r="AG18" s="189" t="str">
        <f t="shared" si="16"/>
        <v>#REF!</v>
      </c>
      <c r="AH18" s="189" t="str">
        <f t="shared" si="16"/>
        <v>#REF!</v>
      </c>
      <c r="AI18" s="189" t="str">
        <f t="shared" si="16"/>
        <v>#REF!</v>
      </c>
      <c r="AJ18" s="189" t="str">
        <f t="shared" si="16"/>
        <v>#REF!</v>
      </c>
      <c r="AK18" s="189" t="str">
        <f t="shared" si="16"/>
        <v>#REF!</v>
      </c>
      <c r="AL18" s="189" t="str">
        <f t="shared" si="16"/>
        <v>#REF!</v>
      </c>
      <c r="AM18" s="189" t="str">
        <f t="shared" si="16"/>
        <v>#REF!</v>
      </c>
      <c r="AN18" s="189" t="str">
        <f t="shared" si="16"/>
        <v>#REF!</v>
      </c>
      <c r="AO18" s="189" t="str">
        <f t="shared" si="16"/>
        <v>#REF!</v>
      </c>
      <c r="AP18" s="189" t="str">
        <f t="shared" si="16"/>
        <v>#REF!</v>
      </c>
      <c r="AQ18" s="187"/>
      <c r="AR18" s="187"/>
      <c r="AS18" s="187"/>
      <c r="AT18" s="187"/>
      <c r="AU18" s="187"/>
      <c r="AV18" s="187"/>
    </row>
    <row r="19" ht="12.75" customHeight="1" collapsed="1">
      <c r="A19" s="90"/>
      <c r="B19" s="67"/>
      <c r="C19" s="90"/>
      <c r="D19" s="90"/>
      <c r="E19" s="67"/>
      <c r="F19" s="90"/>
      <c r="G19" s="90"/>
      <c r="H19" s="90"/>
      <c r="I19" s="176"/>
      <c r="J19" s="176"/>
      <c r="K19" s="176"/>
      <c r="L19" s="188"/>
      <c r="M19" s="188"/>
      <c r="N19" s="188"/>
      <c r="O19" s="188"/>
      <c r="P19" s="188"/>
      <c r="Q19" s="188"/>
      <c r="R19" s="189"/>
      <c r="S19" s="190"/>
      <c r="T19" s="191"/>
      <c r="U19" s="190"/>
      <c r="V19" s="190"/>
      <c r="W19" s="190"/>
      <c r="X19" s="190"/>
      <c r="Y19" s="190"/>
      <c r="Z19" s="188"/>
      <c r="AA19" s="188"/>
      <c r="AB19" s="188"/>
      <c r="AC19" s="188"/>
      <c r="AD19" s="188"/>
      <c r="AE19" s="188"/>
      <c r="AF19" s="188"/>
      <c r="AG19" s="188"/>
      <c r="AH19" s="188"/>
      <c r="AI19" s="188"/>
      <c r="AJ19" s="188"/>
      <c r="AK19" s="188"/>
      <c r="AL19" s="188"/>
      <c r="AM19" s="176"/>
      <c r="AN19" s="176"/>
      <c r="AO19" s="176"/>
      <c r="AP19" s="176"/>
      <c r="AQ19" s="176"/>
      <c r="AR19" s="176"/>
      <c r="AS19" s="176"/>
      <c r="AT19" s="176"/>
      <c r="AU19" s="176"/>
      <c r="AV19" s="176"/>
    </row>
    <row r="20" ht="12.75" customHeight="1">
      <c r="A20" s="90"/>
      <c r="B20" s="67"/>
      <c r="C20" s="90"/>
      <c r="D20" s="90"/>
      <c r="E20" s="67"/>
      <c r="F20" s="90"/>
      <c r="G20" s="90"/>
      <c r="H20" s="90"/>
      <c r="I20" s="176"/>
      <c r="J20" s="176"/>
      <c r="K20" s="176"/>
      <c r="L20" s="176"/>
      <c r="M20" s="91"/>
      <c r="N20" s="91"/>
      <c r="O20" s="91"/>
      <c r="P20" s="91"/>
      <c r="Q20" s="91"/>
      <c r="R20" s="91"/>
      <c r="S20" s="180"/>
      <c r="T20" s="180"/>
      <c r="U20" s="180"/>
      <c r="V20" s="180"/>
      <c r="W20" s="180"/>
      <c r="X20" s="180"/>
      <c r="Y20" s="180"/>
      <c r="Z20" s="176"/>
      <c r="AA20" s="176"/>
      <c r="AB20" s="176"/>
      <c r="AC20" s="176"/>
      <c r="AD20" s="176"/>
      <c r="AE20" s="176"/>
      <c r="AF20" s="176"/>
      <c r="AG20" s="176"/>
      <c r="AH20" s="176"/>
      <c r="AI20" s="176"/>
      <c r="AJ20" s="176"/>
      <c r="AK20" s="176"/>
      <c r="AL20" s="176"/>
      <c r="AM20" s="176"/>
      <c r="AN20" s="176"/>
      <c r="AO20" s="176"/>
      <c r="AP20" s="176"/>
      <c r="AQ20" s="176"/>
      <c r="AR20" s="176"/>
      <c r="AS20" s="176"/>
      <c r="AT20" s="176"/>
      <c r="AU20" s="176"/>
      <c r="AV20" s="176"/>
    </row>
    <row r="21" ht="12.75" hidden="1" customHeight="1" outlineLevel="1">
      <c r="A21" s="67"/>
      <c r="B21" s="67" t="s">
        <v>190</v>
      </c>
      <c r="C21" s="67"/>
      <c r="D21" s="67"/>
      <c r="E21" s="67"/>
      <c r="F21" s="67"/>
      <c r="G21" s="67"/>
      <c r="H21" s="67"/>
      <c r="I21" s="86"/>
      <c r="J21" s="192"/>
      <c r="K21" s="192"/>
      <c r="L21" s="192"/>
      <c r="M21" s="193"/>
      <c r="N21" s="193"/>
      <c r="O21" s="193"/>
      <c r="P21" s="193"/>
      <c r="Q21" s="193"/>
      <c r="R21" s="193"/>
      <c r="S21" s="194"/>
      <c r="T21" s="194"/>
      <c r="U21" s="194"/>
      <c r="V21" s="194"/>
      <c r="W21" s="194"/>
      <c r="X21" s="194"/>
      <c r="Y21" s="194"/>
      <c r="Z21" s="193"/>
      <c r="AA21" s="193"/>
      <c r="AB21" s="193"/>
      <c r="AC21" s="193"/>
      <c r="AD21" s="193"/>
      <c r="AE21" s="193"/>
      <c r="AF21" s="193"/>
      <c r="AG21" s="193"/>
      <c r="AH21" s="193"/>
      <c r="AI21" s="193"/>
      <c r="AJ21" s="193"/>
      <c r="AK21" s="193"/>
      <c r="AL21" s="193"/>
      <c r="AM21" s="193"/>
      <c r="AN21" s="193"/>
      <c r="AO21" s="193"/>
      <c r="AP21" s="193"/>
      <c r="AQ21" s="192"/>
      <c r="AR21" s="192"/>
      <c r="AS21" s="192"/>
      <c r="AT21" s="192"/>
      <c r="AU21" s="192"/>
      <c r="AV21" s="192"/>
    </row>
    <row r="22" ht="12.75" hidden="1" customHeight="1" outlineLevel="1">
      <c r="A22" s="90"/>
      <c r="B22" s="195"/>
      <c r="C22" s="90" t="s">
        <v>270</v>
      </c>
      <c r="D22" s="90"/>
      <c r="E22" s="90"/>
      <c r="F22" s="90"/>
      <c r="G22" s="90"/>
      <c r="H22" s="90"/>
      <c r="I22" s="196"/>
      <c r="J22" s="102"/>
      <c r="K22" s="102"/>
      <c r="L22" s="196">
        <v>12.0</v>
      </c>
      <c r="M22" s="196" t="str">
        <f>'National Staffing'!K11</f>
        <v>#REF!</v>
      </c>
      <c r="N22" s="196" t="str">
        <f>'National Staffing'!L11</f>
        <v>#REF!</v>
      </c>
      <c r="O22" s="196" t="str">
        <f>'National Staffing'!M11</f>
        <v>#REF!</v>
      </c>
      <c r="P22" s="196" t="str">
        <f>'National Staffing'!N11</f>
        <v>#REF!</v>
      </c>
      <c r="Q22" s="196" t="str">
        <f>'National Staffing'!O11</f>
        <v>#REF!</v>
      </c>
      <c r="R22" s="196" t="str">
        <f>'National Staffing'!P11</f>
        <v>#REF!</v>
      </c>
      <c r="S22" s="196" t="str">
        <f>'National Staffing'!Q11</f>
        <v>#REF!</v>
      </c>
      <c r="T22" s="196" t="str">
        <f>'National Staffing'!R11</f>
        <v>#REF!</v>
      </c>
      <c r="U22" s="196" t="str">
        <f>'National Staffing'!S11</f>
        <v>#REF!</v>
      </c>
      <c r="V22" s="196" t="str">
        <f>'National Staffing'!T11</f>
        <v>#REF!</v>
      </c>
      <c r="W22" s="196" t="str">
        <f>'National Staffing'!U11</f>
        <v>#REF!</v>
      </c>
      <c r="X22" s="196" t="str">
        <f>'National Staffing'!V11</f>
        <v>#REF!</v>
      </c>
      <c r="Y22" s="196" t="str">
        <f>'National Staffing'!W11</f>
        <v>#REF!</v>
      </c>
      <c r="Z22" s="196" t="str">
        <f>'National Staffing'!X11</f>
        <v>#REF!</v>
      </c>
      <c r="AA22" s="196" t="str">
        <f>'National Staffing'!Y11</f>
        <v>#REF!</v>
      </c>
      <c r="AB22" s="196" t="str">
        <f>'National Staffing'!Z11</f>
        <v>#REF!</v>
      </c>
      <c r="AC22" s="196" t="str">
        <f>'National Staffing'!AA11</f>
        <v>#REF!</v>
      </c>
      <c r="AD22" s="196" t="str">
        <f>'National Staffing'!AB11</f>
        <v>#REF!</v>
      </c>
      <c r="AE22" s="196" t="str">
        <f>'National Staffing'!AC11</f>
        <v>#REF!</v>
      </c>
      <c r="AF22" s="196" t="str">
        <f>'National Staffing'!AD11</f>
        <v>#REF!</v>
      </c>
      <c r="AG22" s="196" t="str">
        <f>'National Staffing'!AE11</f>
        <v>#REF!</v>
      </c>
      <c r="AH22" s="196" t="str">
        <f>'National Staffing'!AF11</f>
        <v>#REF!</v>
      </c>
      <c r="AI22" s="196" t="str">
        <f>'National Staffing'!AG11</f>
        <v>#REF!</v>
      </c>
      <c r="AJ22" s="196" t="str">
        <f>'National Staffing'!AH11</f>
        <v>#REF!</v>
      </c>
      <c r="AK22" s="196" t="str">
        <f>'National Staffing'!AI11</f>
        <v>#REF!</v>
      </c>
      <c r="AL22" s="196" t="str">
        <f>'National Staffing'!AJ11</f>
        <v>#REF!</v>
      </c>
      <c r="AM22" s="196" t="str">
        <f>'National Staffing'!AK11</f>
        <v>#REF!</v>
      </c>
      <c r="AN22" s="196" t="str">
        <f>'National Staffing'!AL11</f>
        <v>#REF!</v>
      </c>
      <c r="AO22" s="196" t="str">
        <f>'National Staffing'!AM11</f>
        <v>#REF!</v>
      </c>
      <c r="AP22" s="196" t="str">
        <f>'National Staffing'!AN11</f>
        <v>#REF!</v>
      </c>
      <c r="AQ22" s="196"/>
      <c r="AR22" s="196"/>
      <c r="AS22" s="196"/>
      <c r="AT22" s="196"/>
      <c r="AU22" s="196"/>
      <c r="AV22" s="196"/>
    </row>
    <row r="23" ht="12.75" hidden="1" customHeight="1" outlineLevel="1">
      <c r="A23" s="90"/>
      <c r="B23" s="195"/>
      <c r="C23" s="90" t="s">
        <v>271</v>
      </c>
      <c r="D23" s="90"/>
      <c r="E23" s="90"/>
      <c r="F23" s="90"/>
      <c r="G23" s="90"/>
      <c r="H23" s="90"/>
      <c r="I23" s="196"/>
      <c r="J23" s="102"/>
      <c r="K23" s="102"/>
      <c r="L23" s="196">
        <f>'National Staffing'!J12</f>
        <v>0</v>
      </c>
      <c r="M23" s="196">
        <f>'National Staffing'!K12</f>
        <v>2</v>
      </c>
      <c r="N23" s="196">
        <f>'National Staffing'!L12</f>
        <v>3</v>
      </c>
      <c r="O23" s="196">
        <f>'National Staffing'!M12</f>
        <v>7</v>
      </c>
      <c r="P23" s="196">
        <f>'National Staffing'!N12</f>
        <v>14</v>
      </c>
      <c r="Q23" s="196">
        <f>'National Staffing'!O12</f>
        <v>21</v>
      </c>
      <c r="R23" s="196">
        <f>'National Staffing'!P12</f>
        <v>29</v>
      </c>
      <c r="S23" s="196">
        <f>'National Staffing'!Q12</f>
        <v>38</v>
      </c>
      <c r="T23" s="196">
        <f>'National Staffing'!R12</f>
        <v>55</v>
      </c>
      <c r="U23" s="196">
        <f>'National Staffing'!S12</f>
        <v>70</v>
      </c>
      <c r="V23" s="196">
        <f>'National Staffing'!T12</f>
        <v>73</v>
      </c>
      <c r="W23" s="196">
        <f>'National Staffing'!U12</f>
        <v>73</v>
      </c>
      <c r="X23" s="196">
        <f>'National Staffing'!V12</f>
        <v>73</v>
      </c>
      <c r="Y23" s="196">
        <f>'National Staffing'!W12</f>
        <v>73</v>
      </c>
      <c r="Z23" s="196">
        <f>'National Staffing'!X12</f>
        <v>73</v>
      </c>
      <c r="AA23" s="196">
        <f>'National Staffing'!Y12</f>
        <v>73</v>
      </c>
      <c r="AB23" s="196">
        <f>'National Staffing'!Z12</f>
        <v>73</v>
      </c>
      <c r="AC23" s="196">
        <f>'National Staffing'!AA12</f>
        <v>73</v>
      </c>
      <c r="AD23" s="196">
        <f>'National Staffing'!AB12</f>
        <v>73</v>
      </c>
      <c r="AE23" s="196">
        <f>'National Staffing'!AC12</f>
        <v>73</v>
      </c>
      <c r="AF23" s="196">
        <f>'National Staffing'!AD12</f>
        <v>73</v>
      </c>
      <c r="AG23" s="196">
        <f>'National Staffing'!AE12</f>
        <v>73</v>
      </c>
      <c r="AH23" s="196">
        <f>'National Staffing'!AF12</f>
        <v>73</v>
      </c>
      <c r="AI23" s="196">
        <f>'National Staffing'!AG12</f>
        <v>73</v>
      </c>
      <c r="AJ23" s="196">
        <f>'National Staffing'!AH12</f>
        <v>73</v>
      </c>
      <c r="AK23" s="196">
        <f>'National Staffing'!AI12</f>
        <v>73</v>
      </c>
      <c r="AL23" s="196">
        <f>'National Staffing'!AJ12</f>
        <v>73</v>
      </c>
      <c r="AM23" s="196">
        <f>'National Staffing'!AK12</f>
        <v>73</v>
      </c>
      <c r="AN23" s="196">
        <f>'National Staffing'!AL12</f>
        <v>73</v>
      </c>
      <c r="AO23" s="196">
        <f>'National Staffing'!AM12</f>
        <v>73</v>
      </c>
      <c r="AP23" s="196">
        <f>'National Staffing'!AN12</f>
        <v>73</v>
      </c>
      <c r="AQ23" s="196"/>
      <c r="AR23" s="196"/>
      <c r="AS23" s="196"/>
      <c r="AT23" s="196"/>
      <c r="AU23" s="196"/>
      <c r="AV23" s="196"/>
    </row>
    <row r="24" ht="12.75" hidden="1" customHeight="1" outlineLevel="1">
      <c r="A24" s="90"/>
      <c r="C24" s="68" t="s">
        <v>272</v>
      </c>
      <c r="L24" s="196">
        <f>'Regional Roll-up'!N8</f>
        <v>0</v>
      </c>
      <c r="M24" s="196">
        <f>'Regional Roll-up'!O8</f>
        <v>0</v>
      </c>
      <c r="N24" s="196">
        <f>'Regional Roll-up'!P8</f>
        <v>0</v>
      </c>
      <c r="O24" s="196">
        <f>'Regional Roll-up'!Q8</f>
        <v>3</v>
      </c>
      <c r="P24" s="196">
        <f>'Regional Roll-up'!R8</f>
        <v>4</v>
      </c>
      <c r="Q24" s="196">
        <f>'Regional Roll-up'!S8</f>
        <v>10</v>
      </c>
      <c r="R24" s="196">
        <f>'Regional Roll-up'!T8</f>
        <v>21</v>
      </c>
      <c r="S24" s="196">
        <f>'Regional Roll-up'!U8</f>
        <v>42</v>
      </c>
      <c r="T24" s="196">
        <f>'Regional Roll-up'!V8</f>
        <v>71</v>
      </c>
      <c r="U24" s="196">
        <f>'Regional Roll-up'!W8</f>
        <v>128</v>
      </c>
      <c r="V24" s="196">
        <f>'Regional Roll-up'!X8</f>
        <v>208</v>
      </c>
      <c r="W24" s="196">
        <f>'Regional Roll-up'!Y8</f>
        <v>248</v>
      </c>
      <c r="X24" s="196">
        <f>'Regional Roll-up'!Z8</f>
        <v>298</v>
      </c>
      <c r="Y24" s="196">
        <f>'Regional Roll-up'!AA8</f>
        <v>378</v>
      </c>
      <c r="Z24" s="196">
        <f>'Regional Roll-up'!AB8</f>
        <v>496</v>
      </c>
      <c r="AA24" s="196">
        <f>'Regional Roll-up'!AC8</f>
        <v>604</v>
      </c>
      <c r="AB24" s="196">
        <f>'Regional Roll-up'!AD8</f>
        <v>793</v>
      </c>
      <c r="AC24" s="196">
        <f>'Regional Roll-up'!AE8</f>
        <v>996</v>
      </c>
      <c r="AD24" s="196">
        <f>'Regional Roll-up'!AF8</f>
        <v>1202</v>
      </c>
      <c r="AE24" s="196">
        <f>'Regional Roll-up'!AG8</f>
        <v>1384</v>
      </c>
      <c r="AF24" s="196">
        <f>'Regional Roll-up'!AH8</f>
        <v>1456</v>
      </c>
      <c r="AG24" s="196">
        <f>'Regional Roll-up'!AI8</f>
        <v>1456</v>
      </c>
      <c r="AH24" s="196">
        <f>'Regional Roll-up'!AJ8</f>
        <v>1456</v>
      </c>
      <c r="AI24" s="196">
        <f>'Regional Roll-up'!AK8</f>
        <v>1456</v>
      </c>
      <c r="AJ24" s="196">
        <f>'Regional Roll-up'!AL8</f>
        <v>1456</v>
      </c>
      <c r="AK24" s="196">
        <f>'Regional Roll-up'!AM8</f>
        <v>1456</v>
      </c>
      <c r="AL24" s="196">
        <f>'Regional Roll-up'!AN8</f>
        <v>1456</v>
      </c>
      <c r="AM24" s="196">
        <f>'Regional Roll-up'!AO8</f>
        <v>1456</v>
      </c>
      <c r="AN24" s="196">
        <f>'Regional Roll-up'!AP8</f>
        <v>1456</v>
      </c>
      <c r="AO24" s="196">
        <f>'Regional Roll-up'!AQ8</f>
        <v>1456</v>
      </c>
      <c r="AP24" s="196">
        <f>'Regional Roll-up'!AR8</f>
        <v>1456</v>
      </c>
      <c r="AQ24" s="196"/>
      <c r="AR24" s="196"/>
      <c r="AS24" s="196"/>
      <c r="AT24" s="196"/>
      <c r="AU24" s="196"/>
      <c r="AV24" s="196"/>
    </row>
    <row r="25" ht="12.75" hidden="1" customHeight="1" outlineLevel="1">
      <c r="A25" s="90"/>
      <c r="C25" s="87" t="s">
        <v>48</v>
      </c>
      <c r="D25" s="87"/>
      <c r="E25" s="87"/>
      <c r="F25" s="87"/>
      <c r="G25" s="87"/>
      <c r="H25" s="87"/>
      <c r="I25" s="87"/>
      <c r="J25" s="87"/>
      <c r="K25" s="87"/>
      <c r="L25" s="197">
        <f>'All Schools Roll-up'!L20</f>
        <v>48</v>
      </c>
      <c r="M25" s="197">
        <f>'All Schools Roll-up'!M20</f>
        <v>73.75</v>
      </c>
      <c r="N25" s="197">
        <f>'All Schools Roll-up'!N20</f>
        <v>115.75</v>
      </c>
      <c r="O25" s="197">
        <f>'All Schools Roll-up'!O20</f>
        <v>174.5</v>
      </c>
      <c r="P25" s="197">
        <f>'All Schools Roll-up'!P20</f>
        <v>268.25</v>
      </c>
      <c r="Q25" s="197">
        <f>'All Schools Roll-up'!Q20</f>
        <v>418.75</v>
      </c>
      <c r="R25" s="197">
        <f>'All Schools Roll-up'!R20</f>
        <v>666.5</v>
      </c>
      <c r="S25" s="197">
        <f>'All Schools Roll-up'!S20</f>
        <v>1094</v>
      </c>
      <c r="T25" s="197">
        <f>'All Schools Roll-up'!T20</f>
        <v>1744</v>
      </c>
      <c r="U25" s="197">
        <f>'All Schools Roll-up'!U20</f>
        <v>2587.25</v>
      </c>
      <c r="V25" s="197">
        <f>'All Schools Roll-up'!V20</f>
        <v>3474</v>
      </c>
      <c r="W25" s="197">
        <f>'All Schools Roll-up'!W20</f>
        <v>4744.5</v>
      </c>
      <c r="X25" s="197">
        <f>'All Schools Roll-up'!X20</f>
        <v>6342.5</v>
      </c>
      <c r="Y25" s="197">
        <f>'All Schools Roll-up'!Y20</f>
        <v>9076.5</v>
      </c>
      <c r="Z25" s="197">
        <f>'All Schools Roll-up'!Z20</f>
        <v>12752.25</v>
      </c>
      <c r="AA25" s="197">
        <f>'All Schools Roll-up'!AA20</f>
        <v>17357.25</v>
      </c>
      <c r="AB25" s="197">
        <f>'All Schools Roll-up'!AB20</f>
        <v>22609</v>
      </c>
      <c r="AC25" s="197">
        <f>'All Schools Roll-up'!AC20</f>
        <v>28803</v>
      </c>
      <c r="AD25" s="197">
        <f>'All Schools Roll-up'!AD20</f>
        <v>35456</v>
      </c>
      <c r="AE25" s="197">
        <f>'All Schools Roll-up'!AE20</f>
        <v>41966.75</v>
      </c>
      <c r="AF25" s="197">
        <f>'All Schools Roll-up'!AF20</f>
        <v>46922.25</v>
      </c>
      <c r="AG25" s="197">
        <f>'All Schools Roll-up'!AG20</f>
        <v>47820</v>
      </c>
      <c r="AH25" s="197">
        <f>'All Schools Roll-up'!AH20</f>
        <v>48092</v>
      </c>
      <c r="AI25" s="197">
        <f>'All Schools Roll-up'!AI20</f>
        <v>48125</v>
      </c>
      <c r="AJ25" s="197">
        <f>'All Schools Roll-up'!AJ20</f>
        <v>48125</v>
      </c>
      <c r="AK25" s="197">
        <f>'All Schools Roll-up'!AK20</f>
        <v>48125</v>
      </c>
      <c r="AL25" s="197">
        <f>'All Schools Roll-up'!AL20</f>
        <v>48125</v>
      </c>
      <c r="AM25" s="197">
        <f>'All Schools Roll-up'!AM20</f>
        <v>48125</v>
      </c>
      <c r="AN25" s="197">
        <f>'All Schools Roll-up'!AN20</f>
        <v>48125</v>
      </c>
      <c r="AO25" s="197">
        <f>'All Schools Roll-up'!AO20</f>
        <v>48125</v>
      </c>
      <c r="AP25" s="197" t="str">
        <f>'All Schools Roll-up'!AP20</f>
        <v>#REF!</v>
      </c>
      <c r="AQ25" s="197"/>
      <c r="AR25" s="197"/>
      <c r="AS25" s="197"/>
      <c r="AT25" s="197"/>
      <c r="AU25" s="197"/>
      <c r="AV25" s="197"/>
    </row>
    <row r="26" ht="12.75" hidden="1" customHeight="1" outlineLevel="1">
      <c r="A26" s="90"/>
      <c r="C26" s="67" t="s">
        <v>273</v>
      </c>
      <c r="L26" s="86">
        <f t="shared" ref="L26:AP26" si="17">SUM(L22:L25)</f>
        <v>60</v>
      </c>
      <c r="M26" s="86" t="str">
        <f t="shared" si="17"/>
        <v>#REF!</v>
      </c>
      <c r="N26" s="86" t="str">
        <f t="shared" si="17"/>
        <v>#REF!</v>
      </c>
      <c r="O26" s="86" t="str">
        <f t="shared" si="17"/>
        <v>#REF!</v>
      </c>
      <c r="P26" s="86" t="str">
        <f t="shared" si="17"/>
        <v>#REF!</v>
      </c>
      <c r="Q26" s="86" t="str">
        <f t="shared" si="17"/>
        <v>#REF!</v>
      </c>
      <c r="R26" s="86" t="str">
        <f t="shared" si="17"/>
        <v>#REF!</v>
      </c>
      <c r="S26" s="86" t="str">
        <f t="shared" si="17"/>
        <v>#REF!</v>
      </c>
      <c r="T26" s="86" t="str">
        <f t="shared" si="17"/>
        <v>#REF!</v>
      </c>
      <c r="U26" s="86" t="str">
        <f t="shared" si="17"/>
        <v>#REF!</v>
      </c>
      <c r="V26" s="86" t="str">
        <f t="shared" si="17"/>
        <v>#REF!</v>
      </c>
      <c r="W26" s="86" t="str">
        <f t="shared" si="17"/>
        <v>#REF!</v>
      </c>
      <c r="X26" s="86" t="str">
        <f t="shared" si="17"/>
        <v>#REF!</v>
      </c>
      <c r="Y26" s="86" t="str">
        <f t="shared" si="17"/>
        <v>#REF!</v>
      </c>
      <c r="Z26" s="86" t="str">
        <f t="shared" si="17"/>
        <v>#REF!</v>
      </c>
      <c r="AA26" s="86" t="str">
        <f t="shared" si="17"/>
        <v>#REF!</v>
      </c>
      <c r="AB26" s="86" t="str">
        <f t="shared" si="17"/>
        <v>#REF!</v>
      </c>
      <c r="AC26" s="86" t="str">
        <f t="shared" si="17"/>
        <v>#REF!</v>
      </c>
      <c r="AD26" s="86" t="str">
        <f t="shared" si="17"/>
        <v>#REF!</v>
      </c>
      <c r="AE26" s="86" t="str">
        <f t="shared" si="17"/>
        <v>#REF!</v>
      </c>
      <c r="AF26" s="86" t="str">
        <f t="shared" si="17"/>
        <v>#REF!</v>
      </c>
      <c r="AG26" s="86" t="str">
        <f t="shared" si="17"/>
        <v>#REF!</v>
      </c>
      <c r="AH26" s="86" t="str">
        <f t="shared" si="17"/>
        <v>#REF!</v>
      </c>
      <c r="AI26" s="86" t="str">
        <f t="shared" si="17"/>
        <v>#REF!</v>
      </c>
      <c r="AJ26" s="86" t="str">
        <f t="shared" si="17"/>
        <v>#REF!</v>
      </c>
      <c r="AK26" s="86" t="str">
        <f t="shared" si="17"/>
        <v>#REF!</v>
      </c>
      <c r="AL26" s="86" t="str">
        <f t="shared" si="17"/>
        <v>#REF!</v>
      </c>
      <c r="AM26" s="86" t="str">
        <f t="shared" si="17"/>
        <v>#REF!</v>
      </c>
      <c r="AN26" s="86" t="str">
        <f t="shared" si="17"/>
        <v>#REF!</v>
      </c>
      <c r="AO26" s="86" t="str">
        <f t="shared" si="17"/>
        <v>#REF!</v>
      </c>
      <c r="AP26" s="86" t="str">
        <f t="shared" si="17"/>
        <v>#REF!</v>
      </c>
      <c r="AQ26" s="86"/>
      <c r="AR26" s="86"/>
      <c r="AS26" s="86"/>
      <c r="AT26" s="86"/>
      <c r="AU26" s="86"/>
      <c r="AV26" s="86"/>
    </row>
    <row r="27" ht="12.75" customHeight="1">
      <c r="A27" s="90"/>
      <c r="C27" s="67"/>
      <c r="L27" s="86"/>
      <c r="M27" s="86"/>
      <c r="N27" s="86"/>
      <c r="O27" s="86"/>
      <c r="P27" s="86"/>
      <c r="Q27" s="86"/>
      <c r="R27" s="188"/>
      <c r="S27" s="188"/>
      <c r="T27" s="188"/>
      <c r="U27" s="188"/>
      <c r="V27" s="188"/>
      <c r="W27" s="188"/>
      <c r="X27" s="188"/>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row>
    <row r="28" ht="12.75" hidden="1" customHeight="1" outlineLevel="1">
      <c r="A28" s="90"/>
      <c r="B28" s="90"/>
      <c r="C28" s="90"/>
      <c r="D28" s="90"/>
      <c r="E28" s="90"/>
      <c r="F28" s="67" t="s">
        <v>274</v>
      </c>
      <c r="G28" s="90"/>
      <c r="I28" s="176"/>
      <c r="J28" s="90"/>
      <c r="K28" s="90"/>
      <c r="L28" s="90"/>
      <c r="M28" s="91">
        <v>1.0</v>
      </c>
      <c r="N28" s="91">
        <v>1.0</v>
      </c>
      <c r="O28" s="91">
        <v>1.0</v>
      </c>
      <c r="P28" s="91">
        <v>1.0</v>
      </c>
      <c r="Q28" s="91">
        <v>1.0</v>
      </c>
      <c r="R28" s="91">
        <f>1+Assumptions!$I$59</f>
        <v>1.02</v>
      </c>
      <c r="S28" s="91">
        <f>R28*(1+Assumptions!$I$59)</f>
        <v>1.0404</v>
      </c>
      <c r="T28" s="91">
        <f>S28*(1+Assumptions!$I$59)</f>
        <v>1.061208</v>
      </c>
      <c r="U28" s="91">
        <f>T28*(1+Assumptions!$I$59)</f>
        <v>1.08243216</v>
      </c>
      <c r="V28" s="91">
        <f>U28*(1+Assumptions!$I$59)</f>
        <v>1.104080803</v>
      </c>
      <c r="W28" s="91">
        <f>V28*(1+Assumptions!$I$59)</f>
        <v>1.126162419</v>
      </c>
      <c r="X28" s="91">
        <f>W28*(1+Assumptions!$I$59)</f>
        <v>1.148685668</v>
      </c>
      <c r="Y28" s="91">
        <f>X28*(1+Assumptions!$I$59)</f>
        <v>1.171659381</v>
      </c>
      <c r="Z28" s="91">
        <f>Y28*(1+Assumptions!$I$59)</f>
        <v>1.195092569</v>
      </c>
      <c r="AA28" s="91">
        <f>Z28*(1+Assumptions!$I$59)</f>
        <v>1.21899442</v>
      </c>
      <c r="AB28" s="91">
        <f>AA28*(1+Assumptions!$I$59)</f>
        <v>1.243374308</v>
      </c>
      <c r="AC28" s="91">
        <f>AB28*(1+Assumptions!$I$59)</f>
        <v>1.268241795</v>
      </c>
      <c r="AD28" s="91">
        <f>AC28*(1+Assumptions!$I$59)</f>
        <v>1.29360663</v>
      </c>
      <c r="AE28" s="91">
        <f>AD28*(1+Assumptions!$I$59)</f>
        <v>1.319478763</v>
      </c>
      <c r="AF28" s="91">
        <f>AE28*(1+Assumptions!$I$59)</f>
        <v>1.345868338</v>
      </c>
      <c r="AG28" s="91">
        <f>AF28*(1+Assumptions!$I$59)</f>
        <v>1.372785705</v>
      </c>
      <c r="AH28" s="91">
        <f>AG28*(1+Assumptions!$I$59)</f>
        <v>1.400241419</v>
      </c>
      <c r="AI28" s="91">
        <f>AH28*(1+Assumptions!$I$59)</f>
        <v>1.428246248</v>
      </c>
      <c r="AJ28" s="91">
        <f>AI28*(1+Assumptions!$I$59)</f>
        <v>1.456811173</v>
      </c>
      <c r="AK28" s="91">
        <f>AJ28*(1+Assumptions!$I$59)</f>
        <v>1.485947396</v>
      </c>
      <c r="AL28" s="91">
        <f>AK28*(1+Assumptions!$I$59)</f>
        <v>1.515666344</v>
      </c>
      <c r="AM28" s="91">
        <f>AL28*(1+Assumptions!$I$59)</f>
        <v>1.545979671</v>
      </c>
      <c r="AN28" s="91">
        <f>AM28*(1+Assumptions!$I$59)</f>
        <v>1.576899264</v>
      </c>
      <c r="AO28" s="91">
        <f>AN28*(1+Assumptions!$I$59)</f>
        <v>1.608437249</v>
      </c>
      <c r="AP28" s="91">
        <f>AO28*(1+Assumptions!$I$59)</f>
        <v>1.640605994</v>
      </c>
      <c r="AQ28" s="152"/>
      <c r="AR28" s="152"/>
      <c r="AS28" s="152"/>
      <c r="AT28" s="152"/>
      <c r="AU28" s="152"/>
      <c r="AV28" s="152"/>
    </row>
    <row r="29" ht="12.75" hidden="1" customHeight="1" outlineLevel="1">
      <c r="A29" s="90"/>
      <c r="B29" s="90"/>
      <c r="C29" s="90"/>
      <c r="D29" s="90"/>
      <c r="E29" s="90"/>
      <c r="F29" s="90"/>
      <c r="G29" s="90"/>
      <c r="H29" s="67"/>
      <c r="I29" s="176"/>
      <c r="J29" s="90"/>
      <c r="K29" s="90"/>
      <c r="L29" s="90"/>
      <c r="M29" s="91"/>
      <c r="N29" s="91"/>
      <c r="O29" s="91"/>
      <c r="P29" s="91"/>
      <c r="Q29" s="91"/>
      <c r="R29" s="91"/>
      <c r="S29" s="91"/>
      <c r="T29" s="91"/>
      <c r="U29" s="91"/>
      <c r="V29" s="91"/>
      <c r="W29" s="91"/>
      <c r="X29" s="91"/>
      <c r="Y29" s="91"/>
      <c r="Z29" s="91"/>
      <c r="AA29" s="91"/>
      <c r="AB29" s="91"/>
      <c r="AC29" s="91"/>
      <c r="AD29" s="91"/>
      <c r="AE29" s="91"/>
      <c r="AF29" s="91"/>
      <c r="AG29" s="91"/>
      <c r="AH29" s="91"/>
      <c r="AI29" s="91"/>
      <c r="AJ29" s="91"/>
      <c r="AK29" s="91"/>
      <c r="AL29" s="91"/>
      <c r="AM29" s="91"/>
      <c r="AN29" s="91"/>
      <c r="AO29" s="91"/>
      <c r="AP29" s="91"/>
      <c r="AQ29" s="91"/>
      <c r="AR29" s="91"/>
      <c r="AS29" s="91"/>
      <c r="AT29" s="91"/>
      <c r="AU29" s="91"/>
      <c r="AV29" s="91"/>
    </row>
    <row r="30" ht="12.75" customHeight="1">
      <c r="A30" s="198" t="s">
        <v>191</v>
      </c>
      <c r="B30" s="106"/>
      <c r="C30" s="106"/>
      <c r="D30" s="106"/>
      <c r="E30" s="106"/>
      <c r="F30" s="106"/>
      <c r="G30" s="106"/>
      <c r="H30" s="106"/>
      <c r="I30" s="174"/>
      <c r="J30" s="175"/>
      <c r="K30" s="175"/>
      <c r="L30" s="175"/>
      <c r="M30" s="199"/>
      <c r="N30" s="199"/>
      <c r="O30" s="199"/>
      <c r="P30" s="199"/>
      <c r="Q30" s="199"/>
      <c r="R30" s="199"/>
      <c r="S30" s="199"/>
      <c r="T30" s="199"/>
      <c r="U30" s="199"/>
      <c r="V30" s="199"/>
      <c r="W30" s="199"/>
      <c r="X30" s="199"/>
      <c r="Y30" s="199"/>
      <c r="Z30" s="199"/>
      <c r="AA30" s="199"/>
      <c r="AB30" s="199"/>
      <c r="AC30" s="199"/>
      <c r="AD30" s="199"/>
      <c r="AE30" s="199"/>
      <c r="AF30" s="199"/>
      <c r="AG30" s="199"/>
      <c r="AH30" s="199"/>
      <c r="AI30" s="199"/>
      <c r="AJ30" s="199"/>
      <c r="AK30" s="199"/>
      <c r="AL30" s="199"/>
      <c r="AM30" s="199"/>
      <c r="AN30" s="199"/>
      <c r="AO30" s="199"/>
      <c r="AP30" s="199"/>
      <c r="AQ30" s="175"/>
      <c r="AR30" s="175"/>
      <c r="AS30" s="175"/>
      <c r="AT30" s="175"/>
      <c r="AU30" s="175"/>
      <c r="AV30" s="175"/>
    </row>
    <row r="31" ht="12.75" hidden="1" customHeight="1" outlineLevel="1">
      <c r="A31" s="90"/>
      <c r="B31" s="67" t="s">
        <v>275</v>
      </c>
      <c r="M31" s="72"/>
      <c r="N31" s="72"/>
      <c r="O31" s="72"/>
      <c r="P31" s="72"/>
      <c r="Q31" s="72"/>
      <c r="Y31" s="72"/>
      <c r="Z31" s="72"/>
      <c r="AA31" s="72"/>
      <c r="AB31" s="72"/>
      <c r="AC31" s="72"/>
      <c r="AD31" s="72"/>
      <c r="AE31" s="72"/>
      <c r="AF31" s="72"/>
      <c r="AG31" s="72"/>
      <c r="AH31" s="72"/>
      <c r="AI31" s="72"/>
      <c r="AJ31" s="72"/>
      <c r="AK31" s="72"/>
      <c r="AL31" s="72"/>
      <c r="AM31" s="72"/>
      <c r="AN31" s="72"/>
      <c r="AO31" s="72"/>
      <c r="AP31" s="72"/>
    </row>
    <row r="32" ht="12.75" hidden="1" customHeight="1" outlineLevel="1">
      <c r="A32" s="90"/>
      <c r="C32" s="68" t="s">
        <v>276</v>
      </c>
      <c r="K32" s="65">
        <f>'All Schools Roll-up'!K37</f>
        <v>335709.6975</v>
      </c>
      <c r="L32" s="65">
        <f>'All Schools Roll-up'!L37</f>
        <v>1123269.08</v>
      </c>
      <c r="M32" s="93">
        <f t="shared" ref="M32:AP32" si="18">M52</f>
        <v>1255682.424</v>
      </c>
      <c r="N32" s="93">
        <f t="shared" si="18"/>
        <v>1996440.79</v>
      </c>
      <c r="O32" s="93">
        <f t="shared" si="18"/>
        <v>3222630.277</v>
      </c>
      <c r="P32" s="93">
        <f t="shared" si="18"/>
        <v>5137166.911</v>
      </c>
      <c r="Q32" s="93">
        <f t="shared" si="18"/>
        <v>8313599.494</v>
      </c>
      <c r="R32" s="93">
        <f t="shared" si="18"/>
        <v>13629862.48</v>
      </c>
      <c r="S32" s="93">
        <f t="shared" si="18"/>
        <v>23038622.82</v>
      </c>
      <c r="T32" s="93">
        <f t="shared" si="18"/>
        <v>36549832.32</v>
      </c>
      <c r="U32" s="93">
        <f t="shared" si="18"/>
        <v>48487643.98</v>
      </c>
      <c r="V32" s="93">
        <f t="shared" si="18"/>
        <v>67084918.99</v>
      </c>
      <c r="W32" s="93">
        <f t="shared" si="18"/>
        <v>93195979.57</v>
      </c>
      <c r="X32" s="93">
        <f t="shared" si="18"/>
        <v>128320500.9</v>
      </c>
      <c r="Y32" s="93">
        <f t="shared" si="18"/>
        <v>180706670.9</v>
      </c>
      <c r="Z32" s="93">
        <f t="shared" si="18"/>
        <v>261440523.2</v>
      </c>
      <c r="AA32" s="93">
        <f t="shared" si="18"/>
        <v>369494620.5</v>
      </c>
      <c r="AB32" s="93">
        <f t="shared" si="18"/>
        <v>504086924.3</v>
      </c>
      <c r="AC32" s="93">
        <f t="shared" si="18"/>
        <v>665800757</v>
      </c>
      <c r="AD32" s="93">
        <f t="shared" si="18"/>
        <v>855361269.6</v>
      </c>
      <c r="AE32" s="93">
        <f t="shared" si="18"/>
        <v>1060145684</v>
      </c>
      <c r="AF32" s="93">
        <f t="shared" si="18"/>
        <v>1257461006</v>
      </c>
      <c r="AG32" s="93">
        <f t="shared" si="18"/>
        <v>1387449195</v>
      </c>
      <c r="AH32" s="93">
        <f t="shared" si="18"/>
        <v>1445312764</v>
      </c>
      <c r="AI32" s="93">
        <f t="shared" si="18"/>
        <v>1487141214</v>
      </c>
      <c r="AJ32" s="93">
        <f t="shared" si="18"/>
        <v>1516914055</v>
      </c>
      <c r="AK32" s="93">
        <f t="shared" si="18"/>
        <v>1545940574</v>
      </c>
      <c r="AL32" s="93">
        <f t="shared" si="18"/>
        <v>1576002716</v>
      </c>
      <c r="AM32" s="93">
        <f t="shared" si="18"/>
        <v>1607113739</v>
      </c>
      <c r="AN32" s="93">
        <f t="shared" si="18"/>
        <v>1639210864</v>
      </c>
      <c r="AO32" s="93" t="str">
        <f t="shared" si="18"/>
        <v>#REF!</v>
      </c>
      <c r="AP32" s="93" t="str">
        <f t="shared" si="18"/>
        <v>#REF!</v>
      </c>
      <c r="AQ32" s="65"/>
      <c r="AR32" s="65"/>
      <c r="AS32" s="65"/>
      <c r="AT32" s="65"/>
      <c r="AU32" s="65"/>
      <c r="AV32" s="65"/>
    </row>
    <row r="33" ht="12.75" hidden="1" customHeight="1" outlineLevel="1">
      <c r="A33" s="90"/>
      <c r="C33" s="68" t="s">
        <v>277</v>
      </c>
      <c r="K33" s="65">
        <f>'All Schools Roll-up'!K38</f>
        <v>111903.2325</v>
      </c>
      <c r="L33" s="65">
        <f>'All Schools Roll-up'!L38</f>
        <v>0</v>
      </c>
      <c r="M33" s="93">
        <f t="shared" ref="M33:AP33" si="19">M74</f>
        <v>313920.2009</v>
      </c>
      <c r="N33" s="93">
        <f t="shared" si="19"/>
        <v>503040.0706</v>
      </c>
      <c r="O33" s="93">
        <f t="shared" si="19"/>
        <v>838465.749</v>
      </c>
      <c r="P33" s="93">
        <f t="shared" si="19"/>
        <v>1396736.964</v>
      </c>
      <c r="Q33" s="93">
        <f t="shared" si="19"/>
        <v>2501790.926</v>
      </c>
      <c r="R33" s="93">
        <f t="shared" si="19"/>
        <v>3934639.12</v>
      </c>
      <c r="S33" s="93">
        <f t="shared" si="19"/>
        <v>6343512.078</v>
      </c>
      <c r="T33" s="93">
        <f t="shared" si="19"/>
        <v>9502868.167</v>
      </c>
      <c r="U33" s="93">
        <f t="shared" si="19"/>
        <v>12897702.92</v>
      </c>
      <c r="V33" s="93">
        <f t="shared" si="19"/>
        <v>13407469.41</v>
      </c>
      <c r="W33" s="93">
        <f t="shared" si="19"/>
        <v>12923476.6</v>
      </c>
      <c r="X33" s="93">
        <f t="shared" si="19"/>
        <v>12200999.46</v>
      </c>
      <c r="Y33" s="93">
        <f t="shared" si="19"/>
        <v>12222267.14</v>
      </c>
      <c r="Z33" s="93">
        <f t="shared" si="19"/>
        <v>12448074.39</v>
      </c>
      <c r="AA33" s="93">
        <f t="shared" si="19"/>
        <v>12682959.52</v>
      </c>
      <c r="AB33" s="93">
        <f t="shared" si="19"/>
        <v>12928527.66</v>
      </c>
      <c r="AC33" s="93">
        <f t="shared" si="19"/>
        <v>13185720.05</v>
      </c>
      <c r="AD33" s="93">
        <f t="shared" si="19"/>
        <v>13449432.29</v>
      </c>
      <c r="AE33" s="93">
        <f t="shared" si="19"/>
        <v>13718418.56</v>
      </c>
      <c r="AF33" s="93">
        <f t="shared" si="19"/>
        <v>13992784.27</v>
      </c>
      <c r="AG33" s="93">
        <f t="shared" si="19"/>
        <v>14272637.94</v>
      </c>
      <c r="AH33" s="93">
        <f t="shared" si="19"/>
        <v>14558088.2</v>
      </c>
      <c r="AI33" s="93">
        <f t="shared" si="19"/>
        <v>14849247.86</v>
      </c>
      <c r="AJ33" s="93">
        <f t="shared" si="19"/>
        <v>15146229.96</v>
      </c>
      <c r="AK33" s="93">
        <f t="shared" si="19"/>
        <v>15449151.78</v>
      </c>
      <c r="AL33" s="93">
        <f t="shared" si="19"/>
        <v>15758132.91</v>
      </c>
      <c r="AM33" s="93">
        <f t="shared" si="19"/>
        <v>16073293.31</v>
      </c>
      <c r="AN33" s="93">
        <f t="shared" si="19"/>
        <v>16394756.32</v>
      </c>
      <c r="AO33" s="93">
        <f t="shared" si="19"/>
        <v>16722649.72</v>
      </c>
      <c r="AP33" s="93">
        <f t="shared" si="19"/>
        <v>17057099.82</v>
      </c>
      <c r="AQ33" s="65"/>
      <c r="AR33" s="65"/>
      <c r="AS33" s="65"/>
      <c r="AT33" s="65"/>
      <c r="AU33" s="65"/>
      <c r="AV33" s="65"/>
    </row>
    <row r="34" ht="12.75" hidden="1" customHeight="1" outlineLevel="1">
      <c r="A34" s="90"/>
      <c r="C34" s="87" t="s">
        <v>238</v>
      </c>
      <c r="D34" s="87"/>
      <c r="E34" s="87"/>
      <c r="F34" s="87"/>
      <c r="G34" s="87"/>
      <c r="H34" s="87"/>
      <c r="I34" s="87"/>
      <c r="J34" s="87"/>
      <c r="K34" s="200">
        <v>571902.39</v>
      </c>
      <c r="L34" s="200" t="str">
        <f>L82+L84+L86</f>
        <v>#REF!</v>
      </c>
      <c r="M34" s="119">
        <f t="shared" ref="M34:AP34" si="20">M82</f>
        <v>2937746.007</v>
      </c>
      <c r="N34" s="119">
        <f t="shared" si="20"/>
        <v>2455255.847</v>
      </c>
      <c r="O34" s="119">
        <f t="shared" si="20"/>
        <v>3467943.424</v>
      </c>
      <c r="P34" s="119">
        <f t="shared" si="20"/>
        <v>500000</v>
      </c>
      <c r="Q34" s="119">
        <f t="shared" si="20"/>
        <v>0</v>
      </c>
      <c r="R34" s="119">
        <f t="shared" si="20"/>
        <v>0</v>
      </c>
      <c r="S34" s="119">
        <f t="shared" si="20"/>
        <v>0</v>
      </c>
      <c r="T34" s="119">
        <f t="shared" si="20"/>
        <v>0</v>
      </c>
      <c r="U34" s="119">
        <f t="shared" si="20"/>
        <v>0</v>
      </c>
      <c r="V34" s="119">
        <f t="shared" si="20"/>
        <v>0</v>
      </c>
      <c r="W34" s="119">
        <f t="shared" si="20"/>
        <v>0</v>
      </c>
      <c r="X34" s="119">
        <f t="shared" si="20"/>
        <v>0</v>
      </c>
      <c r="Y34" s="119">
        <f t="shared" si="20"/>
        <v>0</v>
      </c>
      <c r="Z34" s="119">
        <f t="shared" si="20"/>
        <v>0</v>
      </c>
      <c r="AA34" s="119">
        <f t="shared" si="20"/>
        <v>0</v>
      </c>
      <c r="AB34" s="119">
        <f t="shared" si="20"/>
        <v>0</v>
      </c>
      <c r="AC34" s="119">
        <f t="shared" si="20"/>
        <v>0</v>
      </c>
      <c r="AD34" s="119">
        <f t="shared" si="20"/>
        <v>0</v>
      </c>
      <c r="AE34" s="119">
        <f t="shared" si="20"/>
        <v>0</v>
      </c>
      <c r="AF34" s="119">
        <f t="shared" si="20"/>
        <v>0</v>
      </c>
      <c r="AG34" s="119">
        <f t="shared" si="20"/>
        <v>0</v>
      </c>
      <c r="AH34" s="119">
        <f t="shared" si="20"/>
        <v>0</v>
      </c>
      <c r="AI34" s="119">
        <f t="shared" si="20"/>
        <v>0</v>
      </c>
      <c r="AJ34" s="119">
        <f t="shared" si="20"/>
        <v>0</v>
      </c>
      <c r="AK34" s="119">
        <f t="shared" si="20"/>
        <v>0</v>
      </c>
      <c r="AL34" s="119">
        <f t="shared" si="20"/>
        <v>0</v>
      </c>
      <c r="AM34" s="119">
        <f t="shared" si="20"/>
        <v>0</v>
      </c>
      <c r="AN34" s="119">
        <f t="shared" si="20"/>
        <v>0</v>
      </c>
      <c r="AO34" s="119">
        <f t="shared" si="20"/>
        <v>0</v>
      </c>
      <c r="AP34" s="119">
        <f t="shared" si="20"/>
        <v>0</v>
      </c>
      <c r="AQ34" s="200"/>
      <c r="AR34" s="200"/>
      <c r="AS34" s="200"/>
      <c r="AT34" s="200"/>
      <c r="AU34" s="200"/>
      <c r="AV34" s="200"/>
    </row>
    <row r="35" ht="12.75" hidden="1" customHeight="1" outlineLevel="1">
      <c r="A35" s="90"/>
      <c r="B35" s="67" t="s">
        <v>239</v>
      </c>
      <c r="C35" s="201"/>
      <c r="D35" s="67"/>
      <c r="E35" s="67"/>
      <c r="F35" s="67"/>
      <c r="G35" s="67"/>
      <c r="H35" s="67"/>
      <c r="I35" s="86"/>
      <c r="J35" s="102"/>
      <c r="K35" s="76">
        <f t="shared" ref="K35:AP35" si="21">SUM(K32:K34)</f>
        <v>1019515.32</v>
      </c>
      <c r="L35" s="76" t="str">
        <f t="shared" si="21"/>
        <v>#REF!</v>
      </c>
      <c r="M35" s="115">
        <f t="shared" si="21"/>
        <v>4507348.632</v>
      </c>
      <c r="N35" s="115">
        <f t="shared" si="21"/>
        <v>4954736.708</v>
      </c>
      <c r="O35" s="115">
        <f t="shared" si="21"/>
        <v>7529039.45</v>
      </c>
      <c r="P35" s="115">
        <f t="shared" si="21"/>
        <v>7033903.876</v>
      </c>
      <c r="Q35" s="115">
        <f t="shared" si="21"/>
        <v>10815390.42</v>
      </c>
      <c r="R35" s="115">
        <f t="shared" si="21"/>
        <v>17564501.6</v>
      </c>
      <c r="S35" s="115">
        <f t="shared" si="21"/>
        <v>29382134.9</v>
      </c>
      <c r="T35" s="115">
        <f t="shared" si="21"/>
        <v>46052700.48</v>
      </c>
      <c r="U35" s="115">
        <f t="shared" si="21"/>
        <v>61385346.91</v>
      </c>
      <c r="V35" s="115">
        <f t="shared" si="21"/>
        <v>80492388.4</v>
      </c>
      <c r="W35" s="115">
        <f t="shared" si="21"/>
        <v>106119456.2</v>
      </c>
      <c r="X35" s="115">
        <f t="shared" si="21"/>
        <v>140521500.3</v>
      </c>
      <c r="Y35" s="115">
        <f t="shared" si="21"/>
        <v>192928938</v>
      </c>
      <c r="Z35" s="115">
        <f t="shared" si="21"/>
        <v>273888597.6</v>
      </c>
      <c r="AA35" s="115">
        <f t="shared" si="21"/>
        <v>382177580</v>
      </c>
      <c r="AB35" s="115">
        <f t="shared" si="21"/>
        <v>517015452</v>
      </c>
      <c r="AC35" s="115">
        <f t="shared" si="21"/>
        <v>678986477.1</v>
      </c>
      <c r="AD35" s="115">
        <f t="shared" si="21"/>
        <v>868810701.8</v>
      </c>
      <c r="AE35" s="115">
        <f t="shared" si="21"/>
        <v>1073864103</v>
      </c>
      <c r="AF35" s="115">
        <f t="shared" si="21"/>
        <v>1271453790</v>
      </c>
      <c r="AG35" s="115">
        <f t="shared" si="21"/>
        <v>1401721833</v>
      </c>
      <c r="AH35" s="115">
        <f t="shared" si="21"/>
        <v>1459870853</v>
      </c>
      <c r="AI35" s="115">
        <f t="shared" si="21"/>
        <v>1501990462</v>
      </c>
      <c r="AJ35" s="115">
        <f t="shared" si="21"/>
        <v>1532060285</v>
      </c>
      <c r="AK35" s="115">
        <f t="shared" si="21"/>
        <v>1561389726</v>
      </c>
      <c r="AL35" s="115">
        <f t="shared" si="21"/>
        <v>1591760849</v>
      </c>
      <c r="AM35" s="115">
        <f t="shared" si="21"/>
        <v>1623187032</v>
      </c>
      <c r="AN35" s="115">
        <f t="shared" si="21"/>
        <v>1655605621</v>
      </c>
      <c r="AO35" s="115" t="str">
        <f t="shared" si="21"/>
        <v>#REF!</v>
      </c>
      <c r="AP35" s="115" t="str">
        <f t="shared" si="21"/>
        <v>#REF!</v>
      </c>
      <c r="AQ35" s="76"/>
      <c r="AR35" s="76"/>
      <c r="AS35" s="76"/>
      <c r="AT35" s="76"/>
      <c r="AU35" s="76"/>
      <c r="AV35" s="76"/>
    </row>
    <row r="36" ht="12.75" hidden="1" customHeight="1" outlineLevel="1">
      <c r="A36" s="90"/>
      <c r="B36" s="90"/>
      <c r="C36" s="201"/>
      <c r="D36" s="67"/>
      <c r="E36" s="67"/>
      <c r="F36" s="67"/>
      <c r="G36" s="67"/>
      <c r="H36" s="67"/>
      <c r="I36" s="86"/>
      <c r="J36" s="102"/>
      <c r="K36" s="102"/>
      <c r="L36" s="102"/>
      <c r="M36" s="93"/>
      <c r="N36" s="93"/>
      <c r="O36" s="93"/>
      <c r="P36" s="93"/>
      <c r="Q36" s="91"/>
      <c r="R36" s="93"/>
      <c r="S36" s="93"/>
      <c r="T36" s="93"/>
      <c r="U36" s="93"/>
      <c r="V36" s="93"/>
      <c r="W36" s="93"/>
      <c r="X36" s="93"/>
      <c r="Y36" s="93"/>
      <c r="Z36" s="93"/>
      <c r="AA36" s="93"/>
      <c r="AB36" s="93"/>
      <c r="AC36" s="93"/>
      <c r="AD36" s="93"/>
      <c r="AE36" s="93"/>
      <c r="AF36" s="93"/>
      <c r="AG36" s="93"/>
      <c r="AH36" s="93"/>
      <c r="AI36" s="93"/>
      <c r="AJ36" s="93"/>
      <c r="AK36" s="93"/>
      <c r="AL36" s="93"/>
      <c r="AM36" s="93"/>
      <c r="AN36" s="93"/>
      <c r="AO36" s="93"/>
      <c r="AP36" s="93"/>
      <c r="AQ36" s="102"/>
      <c r="AR36" s="102"/>
      <c r="AS36" s="102"/>
      <c r="AT36" s="102"/>
      <c r="AU36" s="102"/>
      <c r="AV36" s="102"/>
    </row>
    <row r="37" ht="12.75" hidden="1" customHeight="1" outlineLevel="1">
      <c r="A37" s="90"/>
      <c r="B37" s="67" t="s">
        <v>178</v>
      </c>
      <c r="C37" s="201"/>
      <c r="D37" s="67"/>
      <c r="E37" s="67"/>
      <c r="F37" s="67"/>
      <c r="G37" s="67"/>
      <c r="H37" s="67"/>
      <c r="I37" s="86"/>
      <c r="J37" s="102"/>
      <c r="K37" s="102"/>
      <c r="L37" s="152"/>
      <c r="M37" s="113"/>
      <c r="N37" s="113"/>
      <c r="O37" s="113"/>
      <c r="P37" s="113"/>
      <c r="Q37" s="113"/>
      <c r="R37" s="113"/>
      <c r="S37" s="113"/>
      <c r="T37" s="113"/>
      <c r="U37" s="113"/>
      <c r="V37" s="113"/>
      <c r="W37" s="113"/>
      <c r="X37" s="113"/>
      <c r="Y37" s="113"/>
      <c r="Z37" s="113"/>
      <c r="AA37" s="113"/>
      <c r="AB37" s="113"/>
      <c r="AC37" s="113"/>
      <c r="AD37" s="113"/>
      <c r="AE37" s="113"/>
      <c r="AF37" s="93"/>
      <c r="AG37" s="93"/>
      <c r="AH37" s="93"/>
      <c r="AI37" s="93"/>
      <c r="AJ37" s="93"/>
      <c r="AK37" s="93"/>
      <c r="AL37" s="93"/>
      <c r="AM37" s="93"/>
      <c r="AN37" s="93"/>
      <c r="AO37" s="93"/>
      <c r="AP37" s="93"/>
      <c r="AQ37" s="102"/>
      <c r="AR37" s="102"/>
      <c r="AS37" s="102"/>
      <c r="AT37" s="102"/>
      <c r="AU37" s="102"/>
      <c r="AV37" s="102"/>
    </row>
    <row r="38" ht="12.75" hidden="1" customHeight="1" outlineLevel="1">
      <c r="A38" s="90"/>
      <c r="B38" s="90"/>
      <c r="C38" s="90" t="s">
        <v>278</v>
      </c>
      <c r="D38" s="67"/>
      <c r="E38" s="67"/>
      <c r="F38" s="67"/>
      <c r="G38" s="67"/>
      <c r="H38" s="67"/>
      <c r="I38" s="86"/>
      <c r="J38" s="102"/>
      <c r="K38" s="177">
        <v>157489.5</v>
      </c>
      <c r="L38" s="177">
        <f t="shared" ref="L38:AP38" si="22">L106</f>
        <v>990940.77</v>
      </c>
      <c r="M38" s="93" t="str">
        <f t="shared" si="22"/>
        <v>#REF!</v>
      </c>
      <c r="N38" s="93" t="str">
        <f t="shared" si="22"/>
        <v>#REF!</v>
      </c>
      <c r="O38" s="93" t="str">
        <f t="shared" si="22"/>
        <v>#REF!</v>
      </c>
      <c r="P38" s="93" t="str">
        <f t="shared" si="22"/>
        <v>#REF!</v>
      </c>
      <c r="Q38" s="93" t="str">
        <f t="shared" si="22"/>
        <v>#REF!</v>
      </c>
      <c r="R38" s="93" t="str">
        <f t="shared" si="22"/>
        <v>#REF!</v>
      </c>
      <c r="S38" s="93" t="str">
        <f t="shared" si="22"/>
        <v>#REF!</v>
      </c>
      <c r="T38" s="93" t="str">
        <f t="shared" si="22"/>
        <v>#REF!</v>
      </c>
      <c r="U38" s="93" t="str">
        <f t="shared" si="22"/>
        <v>#REF!</v>
      </c>
      <c r="V38" s="93" t="str">
        <f t="shared" si="22"/>
        <v>#REF!</v>
      </c>
      <c r="W38" s="93" t="str">
        <f t="shared" si="22"/>
        <v>#REF!</v>
      </c>
      <c r="X38" s="93" t="str">
        <f t="shared" si="22"/>
        <v>#REF!</v>
      </c>
      <c r="Y38" s="93" t="str">
        <f t="shared" si="22"/>
        <v>#REF!</v>
      </c>
      <c r="Z38" s="93" t="str">
        <f t="shared" si="22"/>
        <v>#REF!</v>
      </c>
      <c r="AA38" s="93" t="str">
        <f t="shared" si="22"/>
        <v>#REF!</v>
      </c>
      <c r="AB38" s="93" t="str">
        <f t="shared" si="22"/>
        <v>#REF!</v>
      </c>
      <c r="AC38" s="93" t="str">
        <f t="shared" si="22"/>
        <v>#REF!</v>
      </c>
      <c r="AD38" s="93" t="str">
        <f t="shared" si="22"/>
        <v>#REF!</v>
      </c>
      <c r="AE38" s="93" t="str">
        <f t="shared" si="22"/>
        <v>#REF!</v>
      </c>
      <c r="AF38" s="93" t="str">
        <f t="shared" si="22"/>
        <v>#REF!</v>
      </c>
      <c r="AG38" s="93" t="str">
        <f t="shared" si="22"/>
        <v>#REF!</v>
      </c>
      <c r="AH38" s="93" t="str">
        <f t="shared" si="22"/>
        <v>#REF!</v>
      </c>
      <c r="AI38" s="93" t="str">
        <f t="shared" si="22"/>
        <v>#REF!</v>
      </c>
      <c r="AJ38" s="93" t="str">
        <f t="shared" si="22"/>
        <v>#REF!</v>
      </c>
      <c r="AK38" s="93" t="str">
        <f t="shared" si="22"/>
        <v>#REF!</v>
      </c>
      <c r="AL38" s="93" t="str">
        <f t="shared" si="22"/>
        <v>#REF!</v>
      </c>
      <c r="AM38" s="93" t="str">
        <f t="shared" si="22"/>
        <v>#REF!</v>
      </c>
      <c r="AN38" s="93" t="str">
        <f t="shared" si="22"/>
        <v>#REF!</v>
      </c>
      <c r="AO38" s="93" t="str">
        <f t="shared" si="22"/>
        <v>#REF!</v>
      </c>
      <c r="AP38" s="93" t="str">
        <f t="shared" si="22"/>
        <v>#REF!</v>
      </c>
      <c r="AQ38" s="65"/>
      <c r="AR38" s="65"/>
      <c r="AS38" s="65"/>
      <c r="AT38" s="65"/>
      <c r="AU38" s="65"/>
      <c r="AV38" s="65"/>
    </row>
    <row r="39" ht="12.75" hidden="1" customHeight="1" outlineLevel="1">
      <c r="A39" s="90"/>
      <c r="B39" s="90"/>
      <c r="C39" s="90" t="s">
        <v>133</v>
      </c>
      <c r="D39" s="67"/>
      <c r="E39" s="67"/>
      <c r="F39" s="67"/>
      <c r="G39" s="67"/>
      <c r="H39" s="67"/>
      <c r="I39" s="86"/>
      <c r="J39" s="102"/>
      <c r="K39" s="177">
        <v>29190.27</v>
      </c>
      <c r="L39" s="177">
        <f t="shared" ref="L39:AP39" si="23">L120</f>
        <v>156013.39</v>
      </c>
      <c r="M39" s="93" t="str">
        <f t="shared" si="23"/>
        <v>#REF!</v>
      </c>
      <c r="N39" s="93" t="str">
        <f t="shared" si="23"/>
        <v>#REF!</v>
      </c>
      <c r="O39" s="93" t="str">
        <f t="shared" si="23"/>
        <v>#REF!</v>
      </c>
      <c r="P39" s="93" t="str">
        <f t="shared" si="23"/>
        <v>#REF!</v>
      </c>
      <c r="Q39" s="93" t="str">
        <f t="shared" si="23"/>
        <v>#REF!</v>
      </c>
      <c r="R39" s="93" t="str">
        <f t="shared" si="23"/>
        <v>#REF!</v>
      </c>
      <c r="S39" s="93" t="str">
        <f t="shared" si="23"/>
        <v>#REF!</v>
      </c>
      <c r="T39" s="93" t="str">
        <f t="shared" si="23"/>
        <v>#REF!</v>
      </c>
      <c r="U39" s="93" t="str">
        <f t="shared" si="23"/>
        <v>#REF!</v>
      </c>
      <c r="V39" s="93" t="str">
        <f t="shared" si="23"/>
        <v>#REF!</v>
      </c>
      <c r="W39" s="93" t="str">
        <f t="shared" si="23"/>
        <v>#REF!</v>
      </c>
      <c r="X39" s="93" t="str">
        <f t="shared" si="23"/>
        <v>#REF!</v>
      </c>
      <c r="Y39" s="93" t="str">
        <f t="shared" si="23"/>
        <v>#REF!</v>
      </c>
      <c r="Z39" s="93" t="str">
        <f t="shared" si="23"/>
        <v>#REF!</v>
      </c>
      <c r="AA39" s="93" t="str">
        <f t="shared" si="23"/>
        <v>#REF!</v>
      </c>
      <c r="AB39" s="93" t="str">
        <f t="shared" si="23"/>
        <v>#REF!</v>
      </c>
      <c r="AC39" s="93" t="str">
        <f t="shared" si="23"/>
        <v>#REF!</v>
      </c>
      <c r="AD39" s="93" t="str">
        <f t="shared" si="23"/>
        <v>#REF!</v>
      </c>
      <c r="AE39" s="93" t="str">
        <f t="shared" si="23"/>
        <v>#REF!</v>
      </c>
      <c r="AF39" s="93" t="str">
        <f t="shared" si="23"/>
        <v>#REF!</v>
      </c>
      <c r="AG39" s="93" t="str">
        <f t="shared" si="23"/>
        <v>#REF!</v>
      </c>
      <c r="AH39" s="93" t="str">
        <f t="shared" si="23"/>
        <v>#REF!</v>
      </c>
      <c r="AI39" s="93" t="str">
        <f t="shared" si="23"/>
        <v>#REF!</v>
      </c>
      <c r="AJ39" s="93" t="str">
        <f t="shared" si="23"/>
        <v>#REF!</v>
      </c>
      <c r="AK39" s="93" t="str">
        <f t="shared" si="23"/>
        <v>#REF!</v>
      </c>
      <c r="AL39" s="93" t="str">
        <f t="shared" si="23"/>
        <v>#REF!</v>
      </c>
      <c r="AM39" s="93" t="str">
        <f t="shared" si="23"/>
        <v>#REF!</v>
      </c>
      <c r="AN39" s="93" t="str">
        <f t="shared" si="23"/>
        <v>#REF!</v>
      </c>
      <c r="AO39" s="93" t="str">
        <f t="shared" si="23"/>
        <v>#REF!</v>
      </c>
      <c r="AP39" s="93" t="str">
        <f t="shared" si="23"/>
        <v>#REF!</v>
      </c>
      <c r="AQ39" s="65"/>
      <c r="AR39" s="65"/>
      <c r="AS39" s="65"/>
      <c r="AT39" s="65"/>
      <c r="AU39" s="65"/>
      <c r="AV39" s="65"/>
    </row>
    <row r="40" ht="12.75" hidden="1" customHeight="1" outlineLevel="1">
      <c r="A40" s="90"/>
      <c r="B40" s="90"/>
      <c r="C40" s="87" t="s">
        <v>279</v>
      </c>
      <c r="D40" s="139"/>
      <c r="E40" s="139"/>
      <c r="F40" s="139"/>
      <c r="G40" s="139"/>
      <c r="H40" s="139"/>
      <c r="I40" s="202"/>
      <c r="J40" s="203"/>
      <c r="K40" s="204">
        <v>466167.02</v>
      </c>
      <c r="L40" s="204">
        <f t="shared" ref="L40:AP40" si="24">L135</f>
        <v>917467.38</v>
      </c>
      <c r="M40" s="119" t="str">
        <f t="shared" si="24"/>
        <v>#REF!</v>
      </c>
      <c r="N40" s="119" t="str">
        <f t="shared" si="24"/>
        <v>#REF!</v>
      </c>
      <c r="O40" s="119" t="str">
        <f t="shared" si="24"/>
        <v>#REF!</v>
      </c>
      <c r="P40" s="119" t="str">
        <f t="shared" si="24"/>
        <v>#REF!</v>
      </c>
      <c r="Q40" s="119" t="str">
        <f t="shared" si="24"/>
        <v>#REF!</v>
      </c>
      <c r="R40" s="119" t="str">
        <f t="shared" si="24"/>
        <v>#REF!</v>
      </c>
      <c r="S40" s="119" t="str">
        <f t="shared" si="24"/>
        <v>#REF!</v>
      </c>
      <c r="T40" s="119" t="str">
        <f t="shared" si="24"/>
        <v>#REF!</v>
      </c>
      <c r="U40" s="119" t="str">
        <f t="shared" si="24"/>
        <v>#REF!</v>
      </c>
      <c r="V40" s="119" t="str">
        <f t="shared" si="24"/>
        <v>#REF!</v>
      </c>
      <c r="W40" s="119" t="str">
        <f t="shared" si="24"/>
        <v>#REF!</v>
      </c>
      <c r="X40" s="119" t="str">
        <f t="shared" si="24"/>
        <v>#REF!</v>
      </c>
      <c r="Y40" s="119" t="str">
        <f t="shared" si="24"/>
        <v>#REF!</v>
      </c>
      <c r="Z40" s="119" t="str">
        <f t="shared" si="24"/>
        <v>#REF!</v>
      </c>
      <c r="AA40" s="119" t="str">
        <f t="shared" si="24"/>
        <v>#REF!</v>
      </c>
      <c r="AB40" s="119" t="str">
        <f t="shared" si="24"/>
        <v>#REF!</v>
      </c>
      <c r="AC40" s="119" t="str">
        <f t="shared" si="24"/>
        <v>#REF!</v>
      </c>
      <c r="AD40" s="119" t="str">
        <f t="shared" si="24"/>
        <v>#REF!</v>
      </c>
      <c r="AE40" s="119" t="str">
        <f t="shared" si="24"/>
        <v>#REF!</v>
      </c>
      <c r="AF40" s="119" t="str">
        <f t="shared" si="24"/>
        <v>#REF!</v>
      </c>
      <c r="AG40" s="119" t="str">
        <f t="shared" si="24"/>
        <v>#REF!</v>
      </c>
      <c r="AH40" s="119" t="str">
        <f t="shared" si="24"/>
        <v>#REF!</v>
      </c>
      <c r="AI40" s="119" t="str">
        <f t="shared" si="24"/>
        <v>#REF!</v>
      </c>
      <c r="AJ40" s="119" t="str">
        <f t="shared" si="24"/>
        <v>#REF!</v>
      </c>
      <c r="AK40" s="119" t="str">
        <f t="shared" si="24"/>
        <v>#REF!</v>
      </c>
      <c r="AL40" s="119" t="str">
        <f t="shared" si="24"/>
        <v>#REF!</v>
      </c>
      <c r="AM40" s="119">
        <f t="shared" si="24"/>
        <v>49144850.87</v>
      </c>
      <c r="AN40" s="119">
        <f t="shared" si="24"/>
        <v>50120048.4</v>
      </c>
      <c r="AO40" s="119" t="str">
        <f t="shared" si="24"/>
        <v>#REF!</v>
      </c>
      <c r="AP40" s="119" t="str">
        <f t="shared" si="24"/>
        <v>#REF!</v>
      </c>
      <c r="AQ40" s="65"/>
      <c r="AR40" s="65"/>
      <c r="AS40" s="200"/>
      <c r="AT40" s="200"/>
      <c r="AU40" s="200"/>
      <c r="AV40" s="200"/>
    </row>
    <row r="41" ht="12.75" hidden="1" customHeight="1" outlineLevel="1">
      <c r="A41" s="90"/>
      <c r="B41" s="67" t="s">
        <v>231</v>
      </c>
      <c r="C41" s="90"/>
      <c r="D41" s="67"/>
      <c r="E41" s="67"/>
      <c r="F41" s="67"/>
      <c r="G41" s="67"/>
      <c r="H41" s="67"/>
      <c r="I41" s="86"/>
      <c r="J41" s="102"/>
      <c r="K41" s="205">
        <f t="shared" ref="K41:AP41" si="25">SUM(K38:K40)</f>
        <v>652846.79</v>
      </c>
      <c r="L41" s="205">
        <f t="shared" si="25"/>
        <v>2064421.54</v>
      </c>
      <c r="M41" s="115" t="str">
        <f t="shared" si="25"/>
        <v>#REF!</v>
      </c>
      <c r="N41" s="115" t="str">
        <f t="shared" si="25"/>
        <v>#REF!</v>
      </c>
      <c r="O41" s="115" t="str">
        <f t="shared" si="25"/>
        <v>#REF!</v>
      </c>
      <c r="P41" s="115" t="str">
        <f t="shared" si="25"/>
        <v>#REF!</v>
      </c>
      <c r="Q41" s="115" t="str">
        <f t="shared" si="25"/>
        <v>#REF!</v>
      </c>
      <c r="R41" s="115" t="str">
        <f t="shared" si="25"/>
        <v>#REF!</v>
      </c>
      <c r="S41" s="115" t="str">
        <f t="shared" si="25"/>
        <v>#REF!</v>
      </c>
      <c r="T41" s="115" t="str">
        <f t="shared" si="25"/>
        <v>#REF!</v>
      </c>
      <c r="U41" s="115" t="str">
        <f t="shared" si="25"/>
        <v>#REF!</v>
      </c>
      <c r="V41" s="115" t="str">
        <f t="shared" si="25"/>
        <v>#REF!</v>
      </c>
      <c r="W41" s="115" t="str">
        <f t="shared" si="25"/>
        <v>#REF!</v>
      </c>
      <c r="X41" s="115" t="str">
        <f t="shared" si="25"/>
        <v>#REF!</v>
      </c>
      <c r="Y41" s="115" t="str">
        <f t="shared" si="25"/>
        <v>#REF!</v>
      </c>
      <c r="Z41" s="115" t="str">
        <f t="shared" si="25"/>
        <v>#REF!</v>
      </c>
      <c r="AA41" s="115" t="str">
        <f t="shared" si="25"/>
        <v>#REF!</v>
      </c>
      <c r="AB41" s="115" t="str">
        <f t="shared" si="25"/>
        <v>#REF!</v>
      </c>
      <c r="AC41" s="115" t="str">
        <f t="shared" si="25"/>
        <v>#REF!</v>
      </c>
      <c r="AD41" s="115" t="str">
        <f t="shared" si="25"/>
        <v>#REF!</v>
      </c>
      <c r="AE41" s="115" t="str">
        <f t="shared" si="25"/>
        <v>#REF!</v>
      </c>
      <c r="AF41" s="115" t="str">
        <f t="shared" si="25"/>
        <v>#REF!</v>
      </c>
      <c r="AG41" s="115" t="str">
        <f t="shared" si="25"/>
        <v>#REF!</v>
      </c>
      <c r="AH41" s="115" t="str">
        <f t="shared" si="25"/>
        <v>#REF!</v>
      </c>
      <c r="AI41" s="115" t="str">
        <f t="shared" si="25"/>
        <v>#REF!</v>
      </c>
      <c r="AJ41" s="115" t="str">
        <f t="shared" si="25"/>
        <v>#REF!</v>
      </c>
      <c r="AK41" s="115" t="str">
        <f t="shared" si="25"/>
        <v>#REF!</v>
      </c>
      <c r="AL41" s="115" t="str">
        <f t="shared" si="25"/>
        <v>#REF!</v>
      </c>
      <c r="AM41" s="115" t="str">
        <f t="shared" si="25"/>
        <v>#REF!</v>
      </c>
      <c r="AN41" s="115" t="str">
        <f t="shared" si="25"/>
        <v>#REF!</v>
      </c>
      <c r="AO41" s="115" t="str">
        <f t="shared" si="25"/>
        <v>#REF!</v>
      </c>
      <c r="AP41" s="115" t="str">
        <f t="shared" si="25"/>
        <v>#REF!</v>
      </c>
      <c r="AQ41" s="76"/>
      <c r="AR41" s="76"/>
      <c r="AS41" s="76"/>
      <c r="AT41" s="76"/>
      <c r="AU41" s="76"/>
      <c r="AV41" s="76"/>
    </row>
    <row r="42" ht="12.75" hidden="1" customHeight="1" outlineLevel="1">
      <c r="A42" s="90"/>
      <c r="B42" s="67"/>
      <c r="C42" s="90"/>
      <c r="D42" s="67"/>
      <c r="E42" s="67"/>
      <c r="F42" s="67"/>
      <c r="G42" s="67"/>
      <c r="H42" s="67"/>
      <c r="I42" s="86"/>
      <c r="J42" s="102"/>
      <c r="K42" s="176"/>
      <c r="L42" s="20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76"/>
      <c r="AR42" s="76"/>
      <c r="AS42" s="76"/>
      <c r="AT42" s="76"/>
      <c r="AU42" s="76"/>
      <c r="AV42" s="76"/>
    </row>
    <row r="43" ht="12.75" hidden="1" customHeight="1" outlineLevel="1">
      <c r="A43" s="90"/>
      <c r="B43" s="67" t="s">
        <v>194</v>
      </c>
      <c r="C43" s="90"/>
      <c r="D43" s="67"/>
      <c r="E43" s="67"/>
      <c r="F43" s="67"/>
      <c r="G43" s="67"/>
      <c r="H43" s="67"/>
      <c r="I43" s="86"/>
      <c r="J43" s="102"/>
      <c r="K43" s="115">
        <f t="shared" ref="K43:AP43" si="26">K35-K41</f>
        <v>366668.53</v>
      </c>
      <c r="L43" s="115" t="str">
        <f t="shared" si="26"/>
        <v>#REF!</v>
      </c>
      <c r="M43" s="115" t="str">
        <f t="shared" si="26"/>
        <v>#REF!</v>
      </c>
      <c r="N43" s="115" t="str">
        <f t="shared" si="26"/>
        <v>#REF!</v>
      </c>
      <c r="O43" s="115" t="str">
        <f t="shared" si="26"/>
        <v>#REF!</v>
      </c>
      <c r="P43" s="115" t="str">
        <f t="shared" si="26"/>
        <v>#REF!</v>
      </c>
      <c r="Q43" s="115" t="str">
        <f t="shared" si="26"/>
        <v>#REF!</v>
      </c>
      <c r="R43" s="115" t="str">
        <f t="shared" si="26"/>
        <v>#REF!</v>
      </c>
      <c r="S43" s="115" t="str">
        <f t="shared" si="26"/>
        <v>#REF!</v>
      </c>
      <c r="T43" s="115" t="str">
        <f t="shared" si="26"/>
        <v>#REF!</v>
      </c>
      <c r="U43" s="115" t="str">
        <f t="shared" si="26"/>
        <v>#REF!</v>
      </c>
      <c r="V43" s="115" t="str">
        <f t="shared" si="26"/>
        <v>#REF!</v>
      </c>
      <c r="W43" s="115" t="str">
        <f t="shared" si="26"/>
        <v>#REF!</v>
      </c>
      <c r="X43" s="115" t="str">
        <f t="shared" si="26"/>
        <v>#REF!</v>
      </c>
      <c r="Y43" s="115" t="str">
        <f t="shared" si="26"/>
        <v>#REF!</v>
      </c>
      <c r="Z43" s="115" t="str">
        <f t="shared" si="26"/>
        <v>#REF!</v>
      </c>
      <c r="AA43" s="115" t="str">
        <f t="shared" si="26"/>
        <v>#REF!</v>
      </c>
      <c r="AB43" s="115" t="str">
        <f t="shared" si="26"/>
        <v>#REF!</v>
      </c>
      <c r="AC43" s="115" t="str">
        <f t="shared" si="26"/>
        <v>#REF!</v>
      </c>
      <c r="AD43" s="115" t="str">
        <f t="shared" si="26"/>
        <v>#REF!</v>
      </c>
      <c r="AE43" s="115" t="str">
        <f t="shared" si="26"/>
        <v>#REF!</v>
      </c>
      <c r="AF43" s="115" t="str">
        <f t="shared" si="26"/>
        <v>#REF!</v>
      </c>
      <c r="AG43" s="115" t="str">
        <f t="shared" si="26"/>
        <v>#REF!</v>
      </c>
      <c r="AH43" s="115" t="str">
        <f t="shared" si="26"/>
        <v>#REF!</v>
      </c>
      <c r="AI43" s="115" t="str">
        <f t="shared" si="26"/>
        <v>#REF!</v>
      </c>
      <c r="AJ43" s="115" t="str">
        <f t="shared" si="26"/>
        <v>#REF!</v>
      </c>
      <c r="AK43" s="115" t="str">
        <f t="shared" si="26"/>
        <v>#REF!</v>
      </c>
      <c r="AL43" s="115" t="str">
        <f t="shared" si="26"/>
        <v>#REF!</v>
      </c>
      <c r="AM43" s="115" t="str">
        <f t="shared" si="26"/>
        <v>#REF!</v>
      </c>
      <c r="AN43" s="115" t="str">
        <f t="shared" si="26"/>
        <v>#REF!</v>
      </c>
      <c r="AO43" s="115" t="str">
        <f t="shared" si="26"/>
        <v>#REF!</v>
      </c>
      <c r="AP43" s="115" t="str">
        <f t="shared" si="26"/>
        <v>#REF!</v>
      </c>
      <c r="AQ43" s="142"/>
      <c r="AR43" s="142"/>
      <c r="AS43" s="142"/>
      <c r="AT43" s="142"/>
      <c r="AU43" s="142"/>
      <c r="AV43" s="142"/>
    </row>
    <row r="44" ht="12.75" hidden="1" customHeight="1" outlineLevel="1">
      <c r="A44" s="67"/>
      <c r="B44" s="67"/>
      <c r="C44" s="206" t="s">
        <v>195</v>
      </c>
      <c r="D44" s="67"/>
      <c r="E44" s="67"/>
      <c r="F44" s="67"/>
      <c r="G44" s="67"/>
      <c r="H44" s="67"/>
      <c r="I44" s="86"/>
      <c r="J44" s="88"/>
      <c r="K44" s="207">
        <v>366668.53</v>
      </c>
      <c r="L44" s="207" t="str">
        <f t="shared" ref="L44:AP44" si="27">L43+K44</f>
        <v>#REF!</v>
      </c>
      <c r="M44" s="207" t="str">
        <f t="shared" si="27"/>
        <v>#REF!</v>
      </c>
      <c r="N44" s="207" t="str">
        <f t="shared" si="27"/>
        <v>#REF!</v>
      </c>
      <c r="O44" s="207" t="str">
        <f t="shared" si="27"/>
        <v>#REF!</v>
      </c>
      <c r="P44" s="207" t="str">
        <f t="shared" si="27"/>
        <v>#REF!</v>
      </c>
      <c r="Q44" s="207" t="str">
        <f t="shared" si="27"/>
        <v>#REF!</v>
      </c>
      <c r="R44" s="207" t="str">
        <f t="shared" si="27"/>
        <v>#REF!</v>
      </c>
      <c r="S44" s="207" t="str">
        <f t="shared" si="27"/>
        <v>#REF!</v>
      </c>
      <c r="T44" s="207" t="str">
        <f t="shared" si="27"/>
        <v>#REF!</v>
      </c>
      <c r="U44" s="207" t="str">
        <f t="shared" si="27"/>
        <v>#REF!</v>
      </c>
      <c r="V44" s="207" t="str">
        <f t="shared" si="27"/>
        <v>#REF!</v>
      </c>
      <c r="W44" s="207" t="str">
        <f t="shared" si="27"/>
        <v>#REF!</v>
      </c>
      <c r="X44" s="207" t="str">
        <f t="shared" si="27"/>
        <v>#REF!</v>
      </c>
      <c r="Y44" s="207" t="str">
        <f t="shared" si="27"/>
        <v>#REF!</v>
      </c>
      <c r="Z44" s="207" t="str">
        <f t="shared" si="27"/>
        <v>#REF!</v>
      </c>
      <c r="AA44" s="207" t="str">
        <f t="shared" si="27"/>
        <v>#REF!</v>
      </c>
      <c r="AB44" s="207" t="str">
        <f t="shared" si="27"/>
        <v>#REF!</v>
      </c>
      <c r="AC44" s="207" t="str">
        <f t="shared" si="27"/>
        <v>#REF!</v>
      </c>
      <c r="AD44" s="207" t="str">
        <f t="shared" si="27"/>
        <v>#REF!</v>
      </c>
      <c r="AE44" s="207" t="str">
        <f t="shared" si="27"/>
        <v>#REF!</v>
      </c>
      <c r="AF44" s="207" t="str">
        <f t="shared" si="27"/>
        <v>#REF!</v>
      </c>
      <c r="AG44" s="207" t="str">
        <f t="shared" si="27"/>
        <v>#REF!</v>
      </c>
      <c r="AH44" s="207" t="str">
        <f t="shared" si="27"/>
        <v>#REF!</v>
      </c>
      <c r="AI44" s="207" t="str">
        <f t="shared" si="27"/>
        <v>#REF!</v>
      </c>
      <c r="AJ44" s="207" t="str">
        <f t="shared" si="27"/>
        <v>#REF!</v>
      </c>
      <c r="AK44" s="207" t="str">
        <f t="shared" si="27"/>
        <v>#REF!</v>
      </c>
      <c r="AL44" s="207" t="str">
        <f t="shared" si="27"/>
        <v>#REF!</v>
      </c>
      <c r="AM44" s="207" t="str">
        <f t="shared" si="27"/>
        <v>#REF!</v>
      </c>
      <c r="AN44" s="207" t="str">
        <f t="shared" si="27"/>
        <v>#REF!</v>
      </c>
      <c r="AO44" s="207" t="str">
        <f t="shared" si="27"/>
        <v>#REF!</v>
      </c>
      <c r="AP44" s="207" t="str">
        <f t="shared" si="27"/>
        <v>#REF!</v>
      </c>
      <c r="AQ44" s="208"/>
      <c r="AR44" s="208"/>
      <c r="AS44" s="208"/>
      <c r="AT44" s="208"/>
      <c r="AU44" s="208"/>
      <c r="AV44" s="208"/>
    </row>
    <row r="45" ht="12.75" hidden="1" customHeight="1" outlineLevel="1">
      <c r="A45" s="67"/>
      <c r="B45" s="67"/>
      <c r="C45" s="206"/>
      <c r="D45" s="67"/>
      <c r="E45" s="67"/>
      <c r="F45" s="67"/>
      <c r="G45" s="67"/>
      <c r="H45" s="67"/>
      <c r="I45" s="86"/>
      <c r="J45" s="88"/>
      <c r="K45" s="207"/>
      <c r="L45" s="207"/>
      <c r="M45" s="207"/>
      <c r="N45" s="207"/>
      <c r="O45" s="207"/>
      <c r="P45" s="207"/>
      <c r="Q45" s="207"/>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8"/>
      <c r="AR45" s="208"/>
      <c r="AS45" s="208"/>
      <c r="AT45" s="208"/>
      <c r="AU45" s="208"/>
      <c r="AV45" s="208"/>
    </row>
    <row r="46" ht="12.75" hidden="1" customHeight="1" outlineLevel="1">
      <c r="A46" s="67"/>
      <c r="B46" s="67" t="s">
        <v>196</v>
      </c>
      <c r="C46" s="206"/>
      <c r="D46" s="67"/>
      <c r="E46" s="67"/>
      <c r="F46" s="67"/>
      <c r="G46" s="67"/>
      <c r="H46" s="67"/>
      <c r="I46" s="86"/>
      <c r="J46" s="88"/>
      <c r="K46" s="209">
        <f t="shared" ref="K46:AP46" si="28">SUM(K389:K390)</f>
        <v>2292714.07</v>
      </c>
      <c r="L46" s="209" t="str">
        <f t="shared" si="28"/>
        <v>#REF!</v>
      </c>
      <c r="M46" s="207" t="str">
        <f t="shared" si="28"/>
        <v>#REF!</v>
      </c>
      <c r="N46" s="207" t="str">
        <f t="shared" si="28"/>
        <v>#REF!</v>
      </c>
      <c r="O46" s="207" t="str">
        <f t="shared" si="28"/>
        <v>#REF!</v>
      </c>
      <c r="P46" s="207" t="str">
        <f t="shared" si="28"/>
        <v>#REF!</v>
      </c>
      <c r="Q46" s="207" t="str">
        <f t="shared" si="28"/>
        <v>#REF!</v>
      </c>
      <c r="R46" s="207" t="str">
        <f t="shared" si="28"/>
        <v>#REF!</v>
      </c>
      <c r="S46" s="207" t="str">
        <f t="shared" si="28"/>
        <v>#REF!</v>
      </c>
      <c r="T46" s="207" t="str">
        <f t="shared" si="28"/>
        <v>#REF!</v>
      </c>
      <c r="U46" s="207" t="str">
        <f t="shared" si="28"/>
        <v>#REF!</v>
      </c>
      <c r="V46" s="207" t="str">
        <f t="shared" si="28"/>
        <v>#REF!</v>
      </c>
      <c r="W46" s="207" t="str">
        <f t="shared" si="28"/>
        <v>#REF!</v>
      </c>
      <c r="X46" s="207" t="str">
        <f t="shared" si="28"/>
        <v>#REF!</v>
      </c>
      <c r="Y46" s="207" t="str">
        <f t="shared" si="28"/>
        <v>#REF!</v>
      </c>
      <c r="Z46" s="207" t="str">
        <f t="shared" si="28"/>
        <v>#REF!</v>
      </c>
      <c r="AA46" s="207" t="str">
        <f t="shared" si="28"/>
        <v>#REF!</v>
      </c>
      <c r="AB46" s="207" t="str">
        <f t="shared" si="28"/>
        <v>#REF!</v>
      </c>
      <c r="AC46" s="207" t="str">
        <f t="shared" si="28"/>
        <v>#REF!</v>
      </c>
      <c r="AD46" s="207" t="str">
        <f t="shared" si="28"/>
        <v>#REF!</v>
      </c>
      <c r="AE46" s="207" t="str">
        <f t="shared" si="28"/>
        <v>#REF!</v>
      </c>
      <c r="AF46" s="207" t="str">
        <f t="shared" si="28"/>
        <v>#REF!</v>
      </c>
      <c r="AG46" s="207" t="str">
        <f t="shared" si="28"/>
        <v>#REF!</v>
      </c>
      <c r="AH46" s="207" t="str">
        <f t="shared" si="28"/>
        <v>#REF!</v>
      </c>
      <c r="AI46" s="207" t="str">
        <f t="shared" si="28"/>
        <v>#REF!</v>
      </c>
      <c r="AJ46" s="207" t="str">
        <f t="shared" si="28"/>
        <v>#REF!</v>
      </c>
      <c r="AK46" s="207" t="str">
        <f t="shared" si="28"/>
        <v>#REF!</v>
      </c>
      <c r="AL46" s="207" t="str">
        <f t="shared" si="28"/>
        <v>#REF!</v>
      </c>
      <c r="AM46" s="207" t="str">
        <f t="shared" si="28"/>
        <v>#REF!</v>
      </c>
      <c r="AN46" s="207" t="str">
        <f t="shared" si="28"/>
        <v>#REF!</v>
      </c>
      <c r="AO46" s="207" t="str">
        <f t="shared" si="28"/>
        <v>#REF!</v>
      </c>
      <c r="AP46" s="207" t="str">
        <f t="shared" si="28"/>
        <v>#REF!</v>
      </c>
      <c r="AQ46" s="208"/>
      <c r="AR46" s="208"/>
      <c r="AS46" s="208"/>
      <c r="AT46" s="208"/>
      <c r="AU46" s="208"/>
      <c r="AV46" s="208"/>
    </row>
    <row r="47" ht="12.75" hidden="1" customHeight="1" outlineLevel="1">
      <c r="A47" s="90"/>
      <c r="B47" s="67" t="s">
        <v>280</v>
      </c>
      <c r="C47" s="201"/>
      <c r="D47" s="67"/>
      <c r="E47" s="67"/>
      <c r="F47" s="67"/>
      <c r="G47" s="67"/>
      <c r="H47" s="67"/>
      <c r="I47" s="86"/>
      <c r="J47" s="102"/>
      <c r="K47" s="205">
        <f t="shared" ref="K47:AP47" si="29">K389</f>
        <v>2238310.171</v>
      </c>
      <c r="L47" s="205" t="str">
        <f t="shared" si="29"/>
        <v>#REF!</v>
      </c>
      <c r="M47" s="115" t="str">
        <f t="shared" si="29"/>
        <v>#REF!</v>
      </c>
      <c r="N47" s="115" t="str">
        <f t="shared" si="29"/>
        <v>#REF!</v>
      </c>
      <c r="O47" s="115" t="str">
        <f t="shared" si="29"/>
        <v>#REF!</v>
      </c>
      <c r="P47" s="115" t="str">
        <f t="shared" si="29"/>
        <v>#REF!</v>
      </c>
      <c r="Q47" s="115" t="str">
        <f t="shared" si="29"/>
        <v>#REF!</v>
      </c>
      <c r="R47" s="115" t="str">
        <f t="shared" si="29"/>
        <v>#REF!</v>
      </c>
      <c r="S47" s="115" t="str">
        <f t="shared" si="29"/>
        <v>#REF!</v>
      </c>
      <c r="T47" s="115" t="str">
        <f t="shared" si="29"/>
        <v>#REF!</v>
      </c>
      <c r="U47" s="115" t="str">
        <f t="shared" si="29"/>
        <v>#REF!</v>
      </c>
      <c r="V47" s="115" t="str">
        <f t="shared" si="29"/>
        <v>#REF!</v>
      </c>
      <c r="W47" s="115" t="str">
        <f t="shared" si="29"/>
        <v>#REF!</v>
      </c>
      <c r="X47" s="115" t="str">
        <f t="shared" si="29"/>
        <v>#REF!</v>
      </c>
      <c r="Y47" s="115" t="str">
        <f t="shared" si="29"/>
        <v>#REF!</v>
      </c>
      <c r="Z47" s="115" t="str">
        <f t="shared" si="29"/>
        <v>#REF!</v>
      </c>
      <c r="AA47" s="115" t="str">
        <f t="shared" si="29"/>
        <v>#REF!</v>
      </c>
      <c r="AB47" s="115" t="str">
        <f t="shared" si="29"/>
        <v>#REF!</v>
      </c>
      <c r="AC47" s="115" t="str">
        <f t="shared" si="29"/>
        <v>#REF!</v>
      </c>
      <c r="AD47" s="115" t="str">
        <f t="shared" si="29"/>
        <v>#REF!</v>
      </c>
      <c r="AE47" s="115" t="str">
        <f t="shared" si="29"/>
        <v>#REF!</v>
      </c>
      <c r="AF47" s="115" t="str">
        <f t="shared" si="29"/>
        <v>#REF!</v>
      </c>
      <c r="AG47" s="115" t="str">
        <f t="shared" si="29"/>
        <v>#REF!</v>
      </c>
      <c r="AH47" s="115" t="str">
        <f t="shared" si="29"/>
        <v>#REF!</v>
      </c>
      <c r="AI47" s="115" t="str">
        <f t="shared" si="29"/>
        <v>#REF!</v>
      </c>
      <c r="AJ47" s="115" t="str">
        <f t="shared" si="29"/>
        <v>#REF!</v>
      </c>
      <c r="AK47" s="115" t="str">
        <f t="shared" si="29"/>
        <v>#REF!</v>
      </c>
      <c r="AL47" s="115" t="str">
        <f t="shared" si="29"/>
        <v>#REF!</v>
      </c>
      <c r="AM47" s="115" t="str">
        <f t="shared" si="29"/>
        <v>#REF!</v>
      </c>
      <c r="AN47" s="115" t="str">
        <f t="shared" si="29"/>
        <v>#REF!</v>
      </c>
      <c r="AO47" s="115" t="str">
        <f t="shared" si="29"/>
        <v>#REF!</v>
      </c>
      <c r="AP47" s="115" t="str">
        <f t="shared" si="29"/>
        <v>#REF!</v>
      </c>
      <c r="AQ47" s="88"/>
      <c r="AR47" s="88"/>
      <c r="AS47" s="102"/>
      <c r="AT47" s="102"/>
      <c r="AU47" s="102"/>
      <c r="AV47" s="102"/>
    </row>
    <row r="48" ht="12.75" customHeight="1">
      <c r="A48" s="90"/>
      <c r="B48" s="67"/>
      <c r="C48" s="201"/>
      <c r="D48" s="67"/>
      <c r="E48" s="67"/>
      <c r="F48" s="67"/>
      <c r="G48" s="67"/>
      <c r="H48" s="67"/>
      <c r="I48" s="86"/>
      <c r="J48" s="102"/>
      <c r="K48" s="205"/>
      <c r="L48" s="205"/>
      <c r="M48" s="205"/>
      <c r="N48" s="205"/>
      <c r="O48" s="205"/>
      <c r="P48" s="205"/>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88"/>
      <c r="AR48" s="88"/>
      <c r="AS48" s="102"/>
      <c r="AT48" s="102"/>
      <c r="AU48" s="102"/>
      <c r="AV48" s="102"/>
    </row>
    <row r="49" ht="12.75" customHeight="1">
      <c r="A49" s="198" t="s">
        <v>281</v>
      </c>
      <c r="B49" s="106"/>
      <c r="C49" s="106"/>
      <c r="D49" s="106"/>
      <c r="E49" s="106"/>
      <c r="F49" s="106"/>
      <c r="G49" s="106"/>
      <c r="H49" s="106"/>
      <c r="I49" s="174"/>
      <c r="J49" s="175"/>
      <c r="K49" s="175"/>
      <c r="L49" s="175"/>
      <c r="M49" s="199"/>
      <c r="N49" s="199"/>
      <c r="O49" s="199"/>
      <c r="P49" s="199"/>
      <c r="Q49" s="199"/>
      <c r="R49" s="199"/>
      <c r="S49" s="199"/>
      <c r="T49" s="199"/>
      <c r="U49" s="199"/>
      <c r="V49" s="199"/>
      <c r="W49" s="199"/>
      <c r="X49" s="199"/>
      <c r="Y49" s="199"/>
      <c r="Z49" s="199"/>
      <c r="AA49" s="199"/>
      <c r="AB49" s="199"/>
      <c r="AC49" s="199"/>
      <c r="AD49" s="199"/>
      <c r="AE49" s="199"/>
      <c r="AF49" s="199"/>
      <c r="AG49" s="199"/>
      <c r="AH49" s="199"/>
      <c r="AI49" s="199"/>
      <c r="AJ49" s="199"/>
      <c r="AK49" s="199"/>
      <c r="AL49" s="199"/>
      <c r="AM49" s="199"/>
      <c r="AN49" s="199"/>
      <c r="AO49" s="199"/>
      <c r="AP49" s="199"/>
      <c r="AQ49" s="175"/>
      <c r="AR49" s="175"/>
      <c r="AS49" s="175"/>
      <c r="AT49" s="175"/>
      <c r="AU49" s="175"/>
      <c r="AV49" s="175"/>
    </row>
    <row r="50" ht="12.75" hidden="1" customHeight="1" outlineLevel="1">
      <c r="A50" s="90"/>
      <c r="B50" s="67"/>
      <c r="C50" s="90"/>
      <c r="D50" s="90"/>
      <c r="E50" s="90"/>
      <c r="F50" s="90"/>
      <c r="G50" s="90"/>
      <c r="H50" s="90"/>
      <c r="I50" s="196"/>
      <c r="J50" s="210"/>
      <c r="K50" s="210"/>
      <c r="L50" s="210"/>
      <c r="M50" s="179"/>
      <c r="N50" s="179"/>
      <c r="O50" s="179"/>
      <c r="P50" s="179"/>
      <c r="Q50" s="179"/>
      <c r="R50" s="179"/>
      <c r="S50" s="179"/>
      <c r="T50" s="179"/>
      <c r="U50" s="179"/>
      <c r="V50" s="179"/>
      <c r="W50" s="179"/>
      <c r="X50" s="179"/>
      <c r="Y50" s="179"/>
      <c r="Z50" s="179"/>
      <c r="AA50" s="179"/>
      <c r="AB50" s="179"/>
      <c r="AC50" s="179"/>
      <c r="AD50" s="179"/>
      <c r="AE50" s="179"/>
      <c r="AF50" s="179"/>
      <c r="AG50" s="179"/>
      <c r="AH50" s="179"/>
      <c r="AI50" s="179"/>
      <c r="AJ50" s="179"/>
      <c r="AK50" s="179"/>
      <c r="AL50" s="179"/>
      <c r="AM50" s="179"/>
      <c r="AN50" s="179"/>
      <c r="AO50" s="179"/>
      <c r="AP50" s="179"/>
      <c r="AQ50" s="210"/>
      <c r="AR50" s="210"/>
      <c r="AS50" s="210"/>
      <c r="AT50" s="210"/>
      <c r="AU50" s="210"/>
      <c r="AV50" s="210"/>
    </row>
    <row r="51" ht="12.75" hidden="1" customHeight="1" outlineLevel="1">
      <c r="A51" s="90"/>
      <c r="B51" s="67" t="s">
        <v>275</v>
      </c>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row>
    <row r="52" ht="12.75" hidden="1" customHeight="1" outlineLevel="1">
      <c r="A52" s="90"/>
      <c r="C52" s="66" t="s">
        <v>282</v>
      </c>
      <c r="L52" s="76">
        <f>'All Schools Roll-up'!L37</f>
        <v>1123269.08</v>
      </c>
      <c r="M52" s="115">
        <f>'All Schools Roll-up'!M37</f>
        <v>1255682.424</v>
      </c>
      <c r="N52" s="115">
        <f>'All Schools Roll-up'!N37</f>
        <v>1996440.79</v>
      </c>
      <c r="O52" s="115">
        <f>'All Schools Roll-up'!O37</f>
        <v>3222630.277</v>
      </c>
      <c r="P52" s="115">
        <f>'All Schools Roll-up'!P37</f>
        <v>5137166.911</v>
      </c>
      <c r="Q52" s="115">
        <f>'All Schools Roll-up'!Q37</f>
        <v>8313599.494</v>
      </c>
      <c r="R52" s="115">
        <f>'All Schools Roll-up'!R37</f>
        <v>13629862.48</v>
      </c>
      <c r="S52" s="115">
        <f>'All Schools Roll-up'!S37</f>
        <v>23038622.82</v>
      </c>
      <c r="T52" s="115">
        <f>'All Schools Roll-up'!T37</f>
        <v>36549832.32</v>
      </c>
      <c r="U52" s="115">
        <f>'All Schools Roll-up'!U37</f>
        <v>48487643.98</v>
      </c>
      <c r="V52" s="115">
        <f>'All Schools Roll-up'!V37</f>
        <v>67084918.99</v>
      </c>
      <c r="W52" s="115">
        <f>'All Schools Roll-up'!W37</f>
        <v>93195979.57</v>
      </c>
      <c r="X52" s="115">
        <f>'All Schools Roll-up'!X37</f>
        <v>128320500.9</v>
      </c>
      <c r="Y52" s="115">
        <f>'All Schools Roll-up'!Y37</f>
        <v>180706670.9</v>
      </c>
      <c r="Z52" s="115">
        <f>'All Schools Roll-up'!Z37</f>
        <v>261440523.2</v>
      </c>
      <c r="AA52" s="115">
        <f>'All Schools Roll-up'!AA37</f>
        <v>369494620.5</v>
      </c>
      <c r="AB52" s="115">
        <f>'All Schools Roll-up'!AB37</f>
        <v>504086924.3</v>
      </c>
      <c r="AC52" s="115">
        <f>'All Schools Roll-up'!AC37</f>
        <v>665800757</v>
      </c>
      <c r="AD52" s="115">
        <f>'All Schools Roll-up'!AD37</f>
        <v>855361269.6</v>
      </c>
      <c r="AE52" s="115">
        <f>'All Schools Roll-up'!AE37</f>
        <v>1060145684</v>
      </c>
      <c r="AF52" s="115">
        <f>'All Schools Roll-up'!AF37</f>
        <v>1257461006</v>
      </c>
      <c r="AG52" s="115">
        <f>'All Schools Roll-up'!AG37</f>
        <v>1387449195</v>
      </c>
      <c r="AH52" s="115">
        <f>'All Schools Roll-up'!AH37</f>
        <v>1445312764</v>
      </c>
      <c r="AI52" s="115">
        <f>'All Schools Roll-up'!AI37</f>
        <v>1487141214</v>
      </c>
      <c r="AJ52" s="115">
        <f>'All Schools Roll-up'!AJ37</f>
        <v>1516914055</v>
      </c>
      <c r="AK52" s="115">
        <f>'All Schools Roll-up'!AK37</f>
        <v>1545940574</v>
      </c>
      <c r="AL52" s="115">
        <f>'All Schools Roll-up'!AL37</f>
        <v>1576002716</v>
      </c>
      <c r="AM52" s="115">
        <f>'All Schools Roll-up'!AM37</f>
        <v>1607113739</v>
      </c>
      <c r="AN52" s="115">
        <f>'All Schools Roll-up'!AN37</f>
        <v>1639210864</v>
      </c>
      <c r="AO52" s="115" t="str">
        <f>'All Schools Roll-up'!AO37</f>
        <v>#REF!</v>
      </c>
      <c r="AP52" s="115" t="str">
        <f>'All Schools Roll-up'!AP37</f>
        <v>#REF!</v>
      </c>
      <c r="AQ52" s="76"/>
      <c r="AR52" s="76"/>
      <c r="AS52" s="76"/>
      <c r="AT52" s="76"/>
      <c r="AU52" s="76"/>
      <c r="AV52" s="76"/>
    </row>
    <row r="53" ht="12.75" hidden="1" customHeight="1" outlineLevel="1">
      <c r="A53" s="90"/>
      <c r="C53" s="67"/>
      <c r="L53" s="65"/>
      <c r="M53" s="93"/>
      <c r="N53" s="93"/>
      <c r="O53" s="93"/>
      <c r="P53" s="93"/>
      <c r="Q53" s="93"/>
      <c r="R53" s="93"/>
      <c r="S53" s="93"/>
      <c r="T53" s="93"/>
      <c r="U53" s="93"/>
      <c r="V53" s="93"/>
      <c r="W53" s="93"/>
      <c r="X53" s="93"/>
      <c r="Y53" s="93"/>
      <c r="Z53" s="93"/>
      <c r="AA53" s="93"/>
      <c r="AB53" s="93"/>
      <c r="AC53" s="93"/>
      <c r="AD53" s="93"/>
      <c r="AE53" s="93"/>
      <c r="AF53" s="93"/>
      <c r="AG53" s="93"/>
      <c r="AH53" s="93"/>
      <c r="AI53" s="93"/>
      <c r="AJ53" s="93"/>
      <c r="AK53" s="93"/>
      <c r="AL53" s="93"/>
      <c r="AM53" s="93"/>
      <c r="AN53" s="93"/>
      <c r="AO53" s="93"/>
      <c r="AP53" s="93"/>
      <c r="AQ53" s="65"/>
      <c r="AR53" s="65"/>
      <c r="AS53" s="65"/>
      <c r="AT53" s="65"/>
      <c r="AU53" s="65"/>
      <c r="AV53" s="65"/>
    </row>
    <row r="54" ht="12.75" hidden="1" customHeight="1" outlineLevel="1">
      <c r="A54" s="90"/>
      <c r="C54" s="67" t="s">
        <v>283</v>
      </c>
      <c r="D54" s="90"/>
      <c r="E54" s="90"/>
      <c r="F54" s="90"/>
      <c r="G54" s="90"/>
      <c r="H54" s="90"/>
      <c r="I54" s="90"/>
      <c r="J54" s="90"/>
      <c r="K54" s="90"/>
      <c r="M54" s="93"/>
      <c r="N54" s="93"/>
      <c r="O54" s="93"/>
      <c r="P54" s="93"/>
      <c r="Q54" s="93"/>
      <c r="R54" s="93"/>
      <c r="S54" s="93"/>
      <c r="T54" s="93"/>
      <c r="U54" s="93"/>
      <c r="V54" s="93"/>
      <c r="W54" s="93"/>
      <c r="X54" s="93"/>
      <c r="Y54" s="93"/>
      <c r="Z54" s="93"/>
      <c r="AA54" s="93"/>
      <c r="AB54" s="93"/>
      <c r="AC54" s="93"/>
      <c r="AD54" s="93"/>
      <c r="AE54" s="93"/>
      <c r="AF54" s="93"/>
      <c r="AG54" s="93"/>
      <c r="AH54" s="93"/>
      <c r="AI54" s="93"/>
      <c r="AJ54" s="93"/>
      <c r="AK54" s="93"/>
      <c r="AL54" s="93"/>
      <c r="AM54" s="93"/>
      <c r="AN54" s="93"/>
      <c r="AO54" s="93"/>
      <c r="AP54" s="93"/>
    </row>
    <row r="55" ht="12.75" hidden="1" customHeight="1" outlineLevel="1">
      <c r="A55" s="90"/>
      <c r="C55" s="67"/>
      <c r="D55" s="90" t="s">
        <v>284</v>
      </c>
      <c r="E55" s="90"/>
      <c r="F55" s="90"/>
      <c r="G55" s="90"/>
      <c r="H55" s="90"/>
      <c r="I55" s="90"/>
      <c r="J55" s="90"/>
      <c r="K55" s="90"/>
      <c r="M55" s="93"/>
      <c r="N55" s="93"/>
      <c r="O55" s="93"/>
      <c r="P55" s="93"/>
      <c r="Q55" s="93"/>
      <c r="R55" s="93"/>
      <c r="S55" s="93"/>
      <c r="T55" s="93"/>
      <c r="U55" s="93"/>
      <c r="V55" s="93"/>
      <c r="W55" s="93"/>
      <c r="X55" s="93"/>
      <c r="Y55" s="93"/>
      <c r="Z55" s="93"/>
      <c r="AA55" s="93"/>
      <c r="AB55" s="93"/>
      <c r="AC55" s="93"/>
      <c r="AD55" s="93"/>
      <c r="AE55" s="93"/>
      <c r="AF55" s="93"/>
      <c r="AG55" s="93"/>
      <c r="AH55" s="93"/>
      <c r="AI55" s="93"/>
      <c r="AJ55" s="93"/>
      <c r="AK55" s="93"/>
      <c r="AL55" s="93"/>
      <c r="AM55" s="93"/>
      <c r="AN55" s="93"/>
      <c r="AO55" s="93"/>
      <c r="AP55" s="93"/>
    </row>
    <row r="56" ht="12.75" hidden="1" customHeight="1" outlineLevel="1">
      <c r="A56" s="90"/>
      <c r="C56" s="67"/>
      <c r="D56" s="90"/>
      <c r="E56" s="90" t="s">
        <v>71</v>
      </c>
      <c r="F56" s="90"/>
      <c r="G56" s="90"/>
      <c r="H56" s="90"/>
      <c r="I56" s="90"/>
      <c r="J56" s="90"/>
      <c r="K56" s="90"/>
      <c r="L56" s="113">
        <f>ROUND('RS1'!K383,0)</f>
        <v>0</v>
      </c>
      <c r="M56" s="93">
        <f>ROUND('RS1'!L383,0)</f>
        <v>98956</v>
      </c>
      <c r="N56" s="93">
        <f>ROUND('RS1'!M383,0)</f>
        <v>99891</v>
      </c>
      <c r="O56" s="93">
        <f>ROUND('RS1'!N383,0)</f>
        <v>100709</v>
      </c>
      <c r="P56" s="93">
        <f>ROUND('RS1'!O383,0)</f>
        <v>102207</v>
      </c>
      <c r="Q56" s="93">
        <f>ROUND('RS1'!P383,0)</f>
        <v>104033</v>
      </c>
      <c r="R56" s="93">
        <f>ROUND('RS1'!Q383,0)</f>
        <v>106111</v>
      </c>
      <c r="S56" s="93">
        <f>ROUND('RS1'!R383,0)</f>
        <v>109258</v>
      </c>
      <c r="T56" s="93">
        <f>ROUND('RS1'!S383,0)</f>
        <v>111440</v>
      </c>
      <c r="U56" s="93">
        <f>ROUND('RS1'!T383,0)</f>
        <v>113667</v>
      </c>
      <c r="V56" s="93">
        <f>ROUND('RS1'!U383,0)</f>
        <v>115938</v>
      </c>
      <c r="W56" s="93">
        <f>ROUND('RS1'!V383,0)</f>
        <v>118254</v>
      </c>
      <c r="X56" s="93">
        <f>ROUND('RS1'!W383,0)</f>
        <v>120617</v>
      </c>
      <c r="Y56" s="93">
        <f>ROUND('RS1'!X383,0)</f>
        <v>123027</v>
      </c>
      <c r="Z56" s="93">
        <f>ROUND('RS1'!Y383,0)</f>
        <v>125485</v>
      </c>
      <c r="AA56" s="93">
        <f>ROUND('RS1'!Z383,0)</f>
        <v>127992</v>
      </c>
      <c r="AB56" s="93">
        <f>ROUND('RS1'!AA383,0)</f>
        <v>130550</v>
      </c>
      <c r="AC56" s="93">
        <f>ROUND('RS1'!AB383,0)</f>
        <v>133158</v>
      </c>
      <c r="AD56" s="93">
        <f>ROUND('RS1'!AC383,0)</f>
        <v>135819</v>
      </c>
      <c r="AE56" s="93">
        <f>ROUND('RS1'!AD383,0)</f>
        <v>138533</v>
      </c>
      <c r="AF56" s="93">
        <f>ROUND('RS1'!AE383,0)</f>
        <v>141301</v>
      </c>
      <c r="AG56" s="93">
        <f>ROUND('RS1'!AF383,0)</f>
        <v>144125</v>
      </c>
      <c r="AH56" s="93">
        <f>ROUND('RS1'!AG383,0)</f>
        <v>147005</v>
      </c>
      <c r="AI56" s="93">
        <f>ROUND('RS1'!AH383,0)</f>
        <v>149943</v>
      </c>
      <c r="AJ56" s="93">
        <f>ROUND('RS1'!AI383,0)</f>
        <v>152939</v>
      </c>
      <c r="AK56" s="93">
        <f>ROUND('RS1'!AJ383,0)</f>
        <v>155995</v>
      </c>
      <c r="AL56" s="93">
        <f>ROUND('RS1'!AK383,0)</f>
        <v>159113</v>
      </c>
      <c r="AM56" s="93">
        <f>ROUND('RS1'!AL383,0)</f>
        <v>162293</v>
      </c>
      <c r="AN56" s="93">
        <f>ROUND('RS1'!AM383,0)</f>
        <v>165536</v>
      </c>
      <c r="AO56" s="93">
        <f>ROUND('RS1'!AN383,0)</f>
        <v>168845</v>
      </c>
      <c r="AP56" s="93">
        <f>ROUND('RS1'!AO383,0)</f>
        <v>172219</v>
      </c>
      <c r="AQ56" s="113"/>
      <c r="AR56" s="113"/>
      <c r="AS56" s="113"/>
      <c r="AT56" s="113"/>
      <c r="AU56" s="113"/>
      <c r="AV56" s="113"/>
    </row>
    <row r="57" ht="12.75" hidden="1" customHeight="1" outlineLevel="1">
      <c r="A57" s="90"/>
      <c r="C57" s="67"/>
      <c r="D57" s="90"/>
      <c r="E57" s="90" t="s">
        <v>72</v>
      </c>
      <c r="F57" s="90"/>
      <c r="G57" s="90"/>
      <c r="H57" s="90"/>
      <c r="I57" s="90"/>
      <c r="J57" s="90"/>
      <c r="K57" s="90"/>
      <c r="L57" s="113" t="str">
        <f>'RS2'!K381</f>
        <v/>
      </c>
      <c r="M57" s="93">
        <f>'RS2'!L381</f>
        <v>94317.9156</v>
      </c>
      <c r="N57" s="93">
        <f>'RS2'!M381</f>
        <v>99585.55301</v>
      </c>
      <c r="O57" s="93">
        <f>'RS2'!N381</f>
        <v>101469.1549</v>
      </c>
      <c r="P57" s="93">
        <f>'RS2'!O381</f>
        <v>103227.8719</v>
      </c>
      <c r="Q57" s="93">
        <f>'RS2'!P381</f>
        <v>105016.3499</v>
      </c>
      <c r="R57" s="93">
        <f>'RS2'!Q381</f>
        <v>106866.3649</v>
      </c>
      <c r="S57" s="93">
        <f>'RS2'!R381</f>
        <v>109775.5564</v>
      </c>
      <c r="T57" s="93">
        <f>'RS2'!S381</f>
        <v>111719.0145</v>
      </c>
      <c r="U57" s="93">
        <f>'RS2'!T381</f>
        <v>113718.6567</v>
      </c>
      <c r="V57" s="93">
        <f>'RS2'!U381</f>
        <v>115753.597</v>
      </c>
      <c r="W57" s="93">
        <f>'RS2'!V381</f>
        <v>117929.1138</v>
      </c>
      <c r="X57" s="93">
        <f>'RS2'!W381</f>
        <v>120287.6961</v>
      </c>
      <c r="Y57" s="93">
        <f>'RS2'!X381</f>
        <v>122693.45</v>
      </c>
      <c r="Z57" s="93">
        <f>'RS2'!Y381</f>
        <v>125147.319</v>
      </c>
      <c r="AA57" s="93">
        <f>'RS2'!Z381</f>
        <v>127650.2654</v>
      </c>
      <c r="AB57" s="93">
        <f>'RS2'!AA381</f>
        <v>130203.2707</v>
      </c>
      <c r="AC57" s="93">
        <f>'RS2'!AB381</f>
        <v>132807.3361</v>
      </c>
      <c r="AD57" s="93">
        <f>'RS2'!AC381</f>
        <v>135463.4828</v>
      </c>
      <c r="AE57" s="93">
        <f>'RS2'!AD381</f>
        <v>138172.7525</v>
      </c>
      <c r="AF57" s="93">
        <f>'RS2'!AE381</f>
        <v>140936.2075</v>
      </c>
      <c r="AG57" s="93">
        <f>'RS2'!AF381</f>
        <v>143754.9316</v>
      </c>
      <c r="AH57" s="93">
        <f>'RS2'!AG381</f>
        <v>146630.0303</v>
      </c>
      <c r="AI57" s="93">
        <f>'RS2'!AH381</f>
        <v>149562.6309</v>
      </c>
      <c r="AJ57" s="93">
        <f>'RS2'!AI381</f>
        <v>152553.8835</v>
      </c>
      <c r="AK57" s="93">
        <f>'RS2'!AJ381</f>
        <v>155604.9612</v>
      </c>
      <c r="AL57" s="93">
        <f>'RS2'!AK381</f>
        <v>158717.0604</v>
      </c>
      <c r="AM57" s="93">
        <f>'RS2'!AL381</f>
        <v>161891.4016</v>
      </c>
      <c r="AN57" s="93">
        <f>'RS2'!AM381</f>
        <v>165129.2296</v>
      </c>
      <c r="AO57" s="93">
        <f>'RS2'!AN381</f>
        <v>168431.8142</v>
      </c>
      <c r="AP57" s="93">
        <f>'RS2'!AO381</f>
        <v>171800.4505</v>
      </c>
      <c r="AQ57" s="113"/>
      <c r="AR57" s="113"/>
      <c r="AS57" s="113"/>
      <c r="AT57" s="113"/>
      <c r="AU57" s="113"/>
      <c r="AV57" s="113"/>
    </row>
    <row r="58" ht="12.75" hidden="1" customHeight="1" outlineLevel="1">
      <c r="A58" s="90"/>
      <c r="C58" s="67"/>
      <c r="D58" s="90"/>
      <c r="E58" s="90" t="s">
        <v>73</v>
      </c>
      <c r="F58" s="90"/>
      <c r="G58" s="90"/>
      <c r="H58" s="90"/>
      <c r="I58" s="90"/>
      <c r="J58" s="90"/>
      <c r="K58" s="90"/>
      <c r="L58" s="113">
        <f>'RS3'!K380</f>
        <v>0</v>
      </c>
      <c r="M58" s="93">
        <f>'RS3'!L380</f>
        <v>96146.28528</v>
      </c>
      <c r="N58" s="93">
        <f>'RS3'!M380</f>
        <v>94325.85762</v>
      </c>
      <c r="O58" s="93">
        <f>'RS3'!N380</f>
        <v>99636.96984</v>
      </c>
      <c r="P58" s="93">
        <f>'RS3'!O380</f>
        <v>101910.4</v>
      </c>
      <c r="Q58" s="93">
        <f>'RS3'!P380</f>
        <v>103703.2041</v>
      </c>
      <c r="R58" s="93">
        <f>'RS3'!Q380</f>
        <v>105547.8155</v>
      </c>
      <c r="S58" s="93">
        <f>'RS3'!R380</f>
        <v>108449.8682</v>
      </c>
      <c r="T58" s="93">
        <f>'RS3'!S380</f>
        <v>110388.7302</v>
      </c>
      <c r="U58" s="93">
        <f>'RS3'!T380</f>
        <v>112473.5468</v>
      </c>
      <c r="V58" s="93">
        <f>'RS3'!U380</f>
        <v>114723.0177</v>
      </c>
      <c r="W58" s="93">
        <f>'RS3'!V380</f>
        <v>117017.478</v>
      </c>
      <c r="X58" s="93">
        <f>'RS3'!W380</f>
        <v>119357.8276</v>
      </c>
      <c r="Y58" s="93">
        <f>'RS3'!X380</f>
        <v>121744.9842</v>
      </c>
      <c r="Z58" s="93">
        <f>'RS3'!Y380</f>
        <v>124179.8838</v>
      </c>
      <c r="AA58" s="93">
        <f>'RS3'!Z380</f>
        <v>126663.4815</v>
      </c>
      <c r="AB58" s="93">
        <f>'RS3'!AA380</f>
        <v>129196.7511</v>
      </c>
      <c r="AC58" s="93">
        <f>'RS3'!AB380</f>
        <v>131780.6862</v>
      </c>
      <c r="AD58" s="93">
        <f>'RS3'!AC380</f>
        <v>134416.2999</v>
      </c>
      <c r="AE58" s="93">
        <f>'RS3'!AD380</f>
        <v>137104.6259</v>
      </c>
      <c r="AF58" s="93">
        <f>'RS3'!AE380</f>
        <v>139846.7184</v>
      </c>
      <c r="AG58" s="93">
        <f>'RS3'!AF380</f>
        <v>142643.6528</v>
      </c>
      <c r="AH58" s="93">
        <f>'RS3'!AG380</f>
        <v>145496.5258</v>
      </c>
      <c r="AI58" s="93">
        <f>'RS3'!AH380</f>
        <v>148406.4563</v>
      </c>
      <c r="AJ58" s="93">
        <f>'RS3'!AI380</f>
        <v>151374.5855</v>
      </c>
      <c r="AK58" s="93">
        <f>'RS3'!AJ380</f>
        <v>154402.0772</v>
      </c>
      <c r="AL58" s="93">
        <f>'RS3'!AK380</f>
        <v>157490.1187</v>
      </c>
      <c r="AM58" s="93">
        <f>'RS3'!AL380</f>
        <v>160639.9211</v>
      </c>
      <c r="AN58" s="93">
        <f>'RS3'!AM380</f>
        <v>163852.7195</v>
      </c>
      <c r="AO58" s="93">
        <f>'RS3'!AN380</f>
        <v>167129.7739</v>
      </c>
      <c r="AP58" s="93">
        <f>'RS3'!AO380</f>
        <v>170472.3694</v>
      </c>
      <c r="AQ58" s="113"/>
      <c r="AR58" s="113"/>
      <c r="AS58" s="113"/>
      <c r="AT58" s="113"/>
      <c r="AU58" s="113"/>
      <c r="AV58" s="113"/>
    </row>
    <row r="59" ht="12.75" hidden="1" customHeight="1" outlineLevel="2">
      <c r="A59" s="90"/>
      <c r="C59" s="67"/>
      <c r="D59" s="90"/>
      <c r="F59" s="90"/>
      <c r="G59" s="90"/>
      <c r="H59" s="90"/>
      <c r="I59" s="90"/>
      <c r="J59" s="90"/>
      <c r="K59" s="90"/>
      <c r="L59" s="113"/>
      <c r="M59" s="93"/>
      <c r="N59" s="93"/>
      <c r="O59" s="93"/>
      <c r="P59" s="93"/>
      <c r="Q59" s="93"/>
      <c r="R59" s="93"/>
      <c r="S59" s="93"/>
      <c r="T59" s="93"/>
      <c r="U59" s="93"/>
      <c r="V59" s="93"/>
      <c r="W59" s="93"/>
      <c r="X59" s="93"/>
      <c r="Y59" s="93"/>
      <c r="Z59" s="93"/>
      <c r="AA59" s="93"/>
      <c r="AB59" s="93"/>
      <c r="AC59" s="93"/>
      <c r="AD59" s="93"/>
      <c r="AE59" s="93"/>
      <c r="AF59" s="93"/>
      <c r="AG59" s="93"/>
      <c r="AH59" s="93"/>
      <c r="AI59" s="93"/>
      <c r="AJ59" s="93"/>
      <c r="AK59" s="93"/>
      <c r="AL59" s="93"/>
      <c r="AM59" s="93"/>
      <c r="AN59" s="93"/>
      <c r="AO59" s="93"/>
      <c r="AP59" s="93"/>
      <c r="AQ59" s="113"/>
      <c r="AR59" s="113"/>
      <c r="AS59" s="113"/>
      <c r="AT59" s="113"/>
      <c r="AU59" s="113"/>
      <c r="AV59" s="113"/>
    </row>
    <row r="60" ht="12.75" hidden="1" customHeight="1" outlineLevel="2">
      <c r="A60" s="90"/>
      <c r="C60" s="67"/>
      <c r="D60" s="90"/>
      <c r="F60" s="67" t="s">
        <v>285</v>
      </c>
      <c r="G60" s="67" t="s">
        <v>285</v>
      </c>
      <c r="H60" s="90"/>
      <c r="I60" s="90"/>
      <c r="J60" s="90"/>
      <c r="K60" s="90" t="s">
        <v>88</v>
      </c>
      <c r="L60" s="113"/>
      <c r="M60" s="93"/>
      <c r="N60" s="93"/>
      <c r="O60" s="93"/>
      <c r="P60" s="93"/>
      <c r="Q60" s="93"/>
      <c r="R60" s="93"/>
      <c r="S60" s="93"/>
      <c r="T60" s="93"/>
      <c r="U60" s="93"/>
      <c r="V60" s="93"/>
      <c r="W60" s="93"/>
      <c r="X60" s="93"/>
      <c r="Y60" s="93"/>
      <c r="Z60" s="93"/>
      <c r="AA60" s="93"/>
      <c r="AB60" s="93"/>
      <c r="AC60" s="93"/>
      <c r="AD60" s="93"/>
      <c r="AE60" s="93"/>
      <c r="AF60" s="93"/>
      <c r="AG60" s="93"/>
      <c r="AH60" s="93"/>
      <c r="AI60" s="93"/>
      <c r="AJ60" s="93"/>
      <c r="AK60" s="93"/>
      <c r="AL60" s="93"/>
      <c r="AM60" s="93"/>
      <c r="AN60" s="93"/>
      <c r="AO60" s="93"/>
      <c r="AP60" s="93"/>
      <c r="AQ60" s="113"/>
      <c r="AR60" s="113"/>
      <c r="AS60" s="113"/>
      <c r="AT60" s="113"/>
      <c r="AU60" s="113"/>
      <c r="AV60" s="113"/>
    </row>
    <row r="61" ht="12.75" hidden="1" customHeight="1" outlineLevel="2">
      <c r="A61" s="90"/>
      <c r="C61" s="67"/>
      <c r="D61" s="90"/>
      <c r="E61" s="90" t="s">
        <v>286</v>
      </c>
      <c r="F61" s="113">
        <f>ROUND(OFFSET('RSGen 1-7'!$G$19,0,ROW(E61)-ROW($E$61)),0)</f>
        <v>6250</v>
      </c>
      <c r="G61" s="113">
        <f>OFFSET(RSGen_Walton!$G$19,0,ROW(F61)-ROW($F$61))</f>
        <v>0</v>
      </c>
      <c r="H61" s="90"/>
      <c r="I61" s="90"/>
      <c r="J61" s="90"/>
      <c r="K61" s="90"/>
      <c r="L61" s="211">
        <v>1.0</v>
      </c>
      <c r="M61" s="212">
        <f t="shared" ref="M61:AP61" si="30">N62</f>
        <v>3</v>
      </c>
      <c r="N61" s="101">
        <f t="shared" si="30"/>
        <v>4</v>
      </c>
      <c r="O61" s="101">
        <f t="shared" si="30"/>
        <v>8</v>
      </c>
      <c r="P61" s="101">
        <f t="shared" si="30"/>
        <v>10</v>
      </c>
      <c r="Q61" s="101">
        <f t="shared" si="30"/>
        <v>17</v>
      </c>
      <c r="R61" s="101">
        <f t="shared" si="30"/>
        <v>23</v>
      </c>
      <c r="S61" s="101">
        <f t="shared" si="30"/>
        <v>25</v>
      </c>
      <c r="T61" s="101">
        <f t="shared" si="30"/>
        <v>5</v>
      </c>
      <c r="U61" s="101">
        <f t="shared" si="30"/>
        <v>0</v>
      </c>
      <c r="V61" s="101">
        <f t="shared" si="30"/>
        <v>0</v>
      </c>
      <c r="W61" s="101">
        <f t="shared" si="30"/>
        <v>0</v>
      </c>
      <c r="X61" s="101">
        <f t="shared" si="30"/>
        <v>0</v>
      </c>
      <c r="Y61" s="101">
        <f t="shared" si="30"/>
        <v>0</v>
      </c>
      <c r="Z61" s="101">
        <f t="shared" si="30"/>
        <v>0</v>
      </c>
      <c r="AA61" s="101">
        <f t="shared" si="30"/>
        <v>0</v>
      </c>
      <c r="AB61" s="101">
        <f t="shared" si="30"/>
        <v>0</v>
      </c>
      <c r="AC61" s="101">
        <f t="shared" si="30"/>
        <v>0</v>
      </c>
      <c r="AD61" s="101">
        <f t="shared" si="30"/>
        <v>0</v>
      </c>
      <c r="AE61" s="101">
        <f t="shared" si="30"/>
        <v>0</v>
      </c>
      <c r="AF61" s="101">
        <f t="shared" si="30"/>
        <v>0</v>
      </c>
      <c r="AG61" s="101">
        <f t="shared" si="30"/>
        <v>0</v>
      </c>
      <c r="AH61" s="101">
        <f t="shared" si="30"/>
        <v>0</v>
      </c>
      <c r="AI61" s="101">
        <f t="shared" si="30"/>
        <v>0</v>
      </c>
      <c r="AJ61" s="101">
        <f t="shared" si="30"/>
        <v>0</v>
      </c>
      <c r="AK61" s="101">
        <f t="shared" si="30"/>
        <v>0</v>
      </c>
      <c r="AL61" s="101">
        <f t="shared" si="30"/>
        <v>0</v>
      </c>
      <c r="AM61" s="101">
        <f t="shared" si="30"/>
        <v>0</v>
      </c>
      <c r="AN61" s="101">
        <f t="shared" si="30"/>
        <v>0</v>
      </c>
      <c r="AO61" s="101" t="str">
        <f t="shared" si="30"/>
        <v/>
      </c>
      <c r="AP61" s="101" t="str">
        <f t="shared" si="30"/>
        <v/>
      </c>
      <c r="AQ61" s="123"/>
      <c r="AR61" s="123"/>
      <c r="AS61" s="123"/>
      <c r="AT61" s="123"/>
      <c r="AU61" s="123"/>
      <c r="AV61" s="123"/>
    </row>
    <row r="62" ht="12.75" hidden="1" customHeight="1" outlineLevel="2">
      <c r="A62" s="90"/>
      <c r="C62" s="67"/>
      <c r="D62" s="90"/>
      <c r="E62" s="90" t="s">
        <v>287</v>
      </c>
      <c r="F62" s="113">
        <f>ROUND(OFFSET('RSGen 1-7'!$G$19,0,ROW(E62)-ROW($E$61)),0)</f>
        <v>6000</v>
      </c>
      <c r="G62" s="113">
        <f>OFFSET(RSGen_Walton!$G$19,0,ROW(F62)-ROW($F$61))</f>
        <v>6000</v>
      </c>
      <c r="H62" s="90"/>
      <c r="I62" s="90"/>
      <c r="J62" s="90"/>
      <c r="K62" s="90"/>
      <c r="L62" s="211">
        <v>0.0</v>
      </c>
      <c r="M62" s="212">
        <f t="shared" ref="M62:AP62" si="31">N63</f>
        <v>2</v>
      </c>
      <c r="N62" s="212">
        <f t="shared" si="31"/>
        <v>3</v>
      </c>
      <c r="O62" s="101">
        <f t="shared" si="31"/>
        <v>4</v>
      </c>
      <c r="P62" s="101">
        <f t="shared" si="31"/>
        <v>8</v>
      </c>
      <c r="Q62" s="101">
        <f t="shared" si="31"/>
        <v>10</v>
      </c>
      <c r="R62" s="101">
        <f t="shared" si="31"/>
        <v>17</v>
      </c>
      <c r="S62" s="101">
        <f t="shared" si="31"/>
        <v>23</v>
      </c>
      <c r="T62" s="101">
        <f t="shared" si="31"/>
        <v>25</v>
      </c>
      <c r="U62" s="101">
        <f t="shared" si="31"/>
        <v>5</v>
      </c>
      <c r="V62" s="101">
        <f t="shared" si="31"/>
        <v>0</v>
      </c>
      <c r="W62" s="101">
        <f t="shared" si="31"/>
        <v>0</v>
      </c>
      <c r="X62" s="101">
        <f t="shared" si="31"/>
        <v>0</v>
      </c>
      <c r="Y62" s="101">
        <f t="shared" si="31"/>
        <v>0</v>
      </c>
      <c r="Z62" s="101">
        <f t="shared" si="31"/>
        <v>0</v>
      </c>
      <c r="AA62" s="101">
        <f t="shared" si="31"/>
        <v>0</v>
      </c>
      <c r="AB62" s="101">
        <f t="shared" si="31"/>
        <v>0</v>
      </c>
      <c r="AC62" s="101">
        <f t="shared" si="31"/>
        <v>0</v>
      </c>
      <c r="AD62" s="101">
        <f t="shared" si="31"/>
        <v>0</v>
      </c>
      <c r="AE62" s="101">
        <f t="shared" si="31"/>
        <v>0</v>
      </c>
      <c r="AF62" s="101">
        <f t="shared" si="31"/>
        <v>0</v>
      </c>
      <c r="AG62" s="101">
        <f t="shared" si="31"/>
        <v>0</v>
      </c>
      <c r="AH62" s="101">
        <f t="shared" si="31"/>
        <v>0</v>
      </c>
      <c r="AI62" s="101">
        <f t="shared" si="31"/>
        <v>0</v>
      </c>
      <c r="AJ62" s="101">
        <f t="shared" si="31"/>
        <v>0</v>
      </c>
      <c r="AK62" s="101">
        <f t="shared" si="31"/>
        <v>0</v>
      </c>
      <c r="AL62" s="101">
        <f t="shared" si="31"/>
        <v>0</v>
      </c>
      <c r="AM62" s="101">
        <f t="shared" si="31"/>
        <v>0</v>
      </c>
      <c r="AN62" s="101">
        <f t="shared" si="31"/>
        <v>0</v>
      </c>
      <c r="AO62" s="101">
        <f t="shared" si="31"/>
        <v>0</v>
      </c>
      <c r="AP62" s="101" t="str">
        <f t="shared" si="31"/>
        <v/>
      </c>
      <c r="AQ62" s="123"/>
      <c r="AR62" s="123"/>
      <c r="AS62" s="123"/>
      <c r="AT62" s="123"/>
      <c r="AU62" s="123"/>
      <c r="AV62" s="123"/>
    </row>
    <row r="63" ht="12.75" hidden="1" customHeight="1" outlineLevel="2">
      <c r="A63" s="90"/>
      <c r="C63" s="67"/>
      <c r="D63" s="90"/>
      <c r="E63" s="90" t="s">
        <v>288</v>
      </c>
      <c r="F63" s="113">
        <f>ROUND(OFFSET('RSGen 1-7'!$G$19,0,ROW(E63)-ROW($E$61)),0)</f>
        <v>94583</v>
      </c>
      <c r="G63" s="113">
        <f>OFFSET(RSGen_Walton!$G$19,0,ROW(F63)-ROW($F$61))</f>
        <v>121110.8742</v>
      </c>
      <c r="H63" s="90"/>
      <c r="I63" s="90"/>
      <c r="J63" s="90"/>
      <c r="K63" s="90"/>
      <c r="L63" s="211">
        <f>'All Schools Roll-up'!L8</f>
        <v>1</v>
      </c>
      <c r="M63" s="212">
        <v>0.0</v>
      </c>
      <c r="N63" s="101">
        <f>'All Schools Roll-up'!N8-('Regional Roll-up'!P6-'Regional Roll-up'!O6)</f>
        <v>2</v>
      </c>
      <c r="O63" s="212">
        <f>'All Schools Roll-up'!O8-('Regional Roll-up'!Q6-'Regional Roll-up'!P6)</f>
        <v>3</v>
      </c>
      <c r="P63" s="101">
        <f>'All Schools Roll-up'!P8-('Regional Roll-up'!R6-'Regional Roll-up'!Q6)</f>
        <v>4</v>
      </c>
      <c r="Q63" s="101">
        <f>'All Schools Roll-up'!Q8-('Regional Roll-up'!S6-'Regional Roll-up'!R6)</f>
        <v>8</v>
      </c>
      <c r="R63" s="101">
        <f>'All Schools Roll-up'!R8-('Regional Roll-up'!T6-'Regional Roll-up'!S6)</f>
        <v>10</v>
      </c>
      <c r="S63" s="101">
        <f>'All Schools Roll-up'!S8-('Regional Roll-up'!U6-'Regional Roll-up'!T6)</f>
        <v>17</v>
      </c>
      <c r="T63" s="101">
        <f>'All Schools Roll-up'!T8-('Regional Roll-up'!V6-'Regional Roll-up'!U6)</f>
        <v>23</v>
      </c>
      <c r="U63" s="101">
        <f>'All Schools Roll-up'!U8-('Regional Roll-up'!W6-'Regional Roll-up'!V6)</f>
        <v>25</v>
      </c>
      <c r="V63" s="101">
        <f>'All Schools Roll-up'!V8-('Regional Roll-up'!X6-'Regional Roll-up'!W6)</f>
        <v>5</v>
      </c>
      <c r="W63" s="101">
        <f>'All Schools Roll-up'!W8-('Regional Roll-up'!Y6-'Regional Roll-up'!X6)</f>
        <v>0</v>
      </c>
      <c r="X63" s="101">
        <f>'All Schools Roll-up'!X8-('Regional Roll-up'!Z6-'Regional Roll-up'!Y6)</f>
        <v>0</v>
      </c>
      <c r="Y63" s="101">
        <f>'All Schools Roll-up'!Y8-('Regional Roll-up'!AA6-'Regional Roll-up'!Z6)</f>
        <v>0</v>
      </c>
      <c r="Z63" s="101">
        <f>'All Schools Roll-up'!Z8-('Regional Roll-up'!AB6-'Regional Roll-up'!AA6)</f>
        <v>0</v>
      </c>
      <c r="AA63" s="101">
        <f>'All Schools Roll-up'!AA8-('Regional Roll-up'!AC6-'Regional Roll-up'!AB6)</f>
        <v>0</v>
      </c>
      <c r="AB63" s="101">
        <f>'All Schools Roll-up'!AB8-('Regional Roll-up'!AD6-'Regional Roll-up'!AC6)</f>
        <v>0</v>
      </c>
      <c r="AC63" s="101">
        <f>'All Schools Roll-up'!AC8-('Regional Roll-up'!AE6-'Regional Roll-up'!AD6)</f>
        <v>0</v>
      </c>
      <c r="AD63" s="101">
        <f>'All Schools Roll-up'!AD8-('Regional Roll-up'!AF6-'Regional Roll-up'!AE6)</f>
        <v>0</v>
      </c>
      <c r="AE63" s="101">
        <f>'All Schools Roll-up'!AE8-('Regional Roll-up'!AG6-'Regional Roll-up'!AF6)</f>
        <v>0</v>
      </c>
      <c r="AF63" s="101">
        <f>'All Schools Roll-up'!AF8-('Regional Roll-up'!AH6-'Regional Roll-up'!AG6)</f>
        <v>0</v>
      </c>
      <c r="AG63" s="101">
        <f>'All Schools Roll-up'!AG8-('Regional Roll-up'!AI6-'Regional Roll-up'!AH6)</f>
        <v>0</v>
      </c>
      <c r="AH63" s="101">
        <f>'All Schools Roll-up'!AH8-('Regional Roll-up'!AJ6-'Regional Roll-up'!AI6)</f>
        <v>0</v>
      </c>
      <c r="AI63" s="101">
        <f>'All Schools Roll-up'!AI8-('Regional Roll-up'!AK6-'Regional Roll-up'!AJ6)</f>
        <v>0</v>
      </c>
      <c r="AJ63" s="101">
        <f>'All Schools Roll-up'!AJ8-('Regional Roll-up'!AL6-'Regional Roll-up'!AK6)</f>
        <v>0</v>
      </c>
      <c r="AK63" s="101">
        <f>'All Schools Roll-up'!AK8-('Regional Roll-up'!AM6-'Regional Roll-up'!AL6)</f>
        <v>0</v>
      </c>
      <c r="AL63" s="101">
        <f>'All Schools Roll-up'!AL8-('Regional Roll-up'!AN6-'Regional Roll-up'!AM6)</f>
        <v>0</v>
      </c>
      <c r="AM63" s="101">
        <f>'All Schools Roll-up'!AM8-('Regional Roll-up'!AO6-'Regional Roll-up'!AN6)</f>
        <v>0</v>
      </c>
      <c r="AN63" s="101">
        <f>'All Schools Roll-up'!AN8-('Regional Roll-up'!AP6-'Regional Roll-up'!AO6)</f>
        <v>0</v>
      </c>
      <c r="AO63" s="101">
        <f>'All Schools Roll-up'!AO8-('Regional Roll-up'!AQ6-'Regional Roll-up'!AP6)</f>
        <v>0</v>
      </c>
      <c r="AP63" s="101">
        <f>'All Schools Roll-up'!AP8-('Regional Roll-up'!AR6-'Regional Roll-up'!AQ6)</f>
        <v>0</v>
      </c>
      <c r="AQ63" s="123"/>
      <c r="AR63" s="123"/>
      <c r="AS63" s="123"/>
      <c r="AT63" s="123"/>
      <c r="AU63" s="123"/>
      <c r="AV63" s="123"/>
    </row>
    <row r="64" ht="12.75" hidden="1" customHeight="1" outlineLevel="2">
      <c r="A64" s="90"/>
      <c r="C64" s="67"/>
      <c r="D64" s="90"/>
      <c r="E64" s="90" t="s">
        <v>289</v>
      </c>
      <c r="F64" s="113">
        <f>ROUND(OFFSET('RSGen 1-7'!$G$19,0,ROW(E64)-ROW($E$61)),0)</f>
        <v>93321</v>
      </c>
      <c r="G64" s="113">
        <f>OFFSET(RSGen_Walton!$G$19,0,ROW(F64)-ROW($F$61))</f>
        <v>124428.5677</v>
      </c>
      <c r="H64" s="90"/>
      <c r="I64" s="90"/>
      <c r="J64" s="90"/>
      <c r="K64" s="90"/>
      <c r="L64" s="211">
        <v>0.0</v>
      </c>
      <c r="M64" s="212">
        <v>0.0</v>
      </c>
      <c r="N64" s="101">
        <v>0.0</v>
      </c>
      <c r="O64" s="101">
        <f t="shared" ref="O64:AP64" si="32">N63</f>
        <v>2</v>
      </c>
      <c r="P64" s="212">
        <f t="shared" si="32"/>
        <v>3</v>
      </c>
      <c r="Q64" s="101">
        <f t="shared" si="32"/>
        <v>4</v>
      </c>
      <c r="R64" s="101">
        <f t="shared" si="32"/>
        <v>8</v>
      </c>
      <c r="S64" s="101">
        <f t="shared" si="32"/>
        <v>10</v>
      </c>
      <c r="T64" s="101">
        <f t="shared" si="32"/>
        <v>17</v>
      </c>
      <c r="U64" s="101">
        <f t="shared" si="32"/>
        <v>23</v>
      </c>
      <c r="V64" s="101">
        <f t="shared" si="32"/>
        <v>25</v>
      </c>
      <c r="W64" s="101">
        <f t="shared" si="32"/>
        <v>5</v>
      </c>
      <c r="X64" s="101">
        <f t="shared" si="32"/>
        <v>0</v>
      </c>
      <c r="Y64" s="101">
        <f t="shared" si="32"/>
        <v>0</v>
      </c>
      <c r="Z64" s="101">
        <f t="shared" si="32"/>
        <v>0</v>
      </c>
      <c r="AA64" s="101">
        <f t="shared" si="32"/>
        <v>0</v>
      </c>
      <c r="AB64" s="101">
        <f t="shared" si="32"/>
        <v>0</v>
      </c>
      <c r="AC64" s="101">
        <f t="shared" si="32"/>
        <v>0</v>
      </c>
      <c r="AD64" s="101">
        <f t="shared" si="32"/>
        <v>0</v>
      </c>
      <c r="AE64" s="101">
        <f t="shared" si="32"/>
        <v>0</v>
      </c>
      <c r="AF64" s="101">
        <f t="shared" si="32"/>
        <v>0</v>
      </c>
      <c r="AG64" s="101">
        <f t="shared" si="32"/>
        <v>0</v>
      </c>
      <c r="AH64" s="101">
        <f t="shared" si="32"/>
        <v>0</v>
      </c>
      <c r="AI64" s="101">
        <f t="shared" si="32"/>
        <v>0</v>
      </c>
      <c r="AJ64" s="101">
        <f t="shared" si="32"/>
        <v>0</v>
      </c>
      <c r="AK64" s="101">
        <f t="shared" si="32"/>
        <v>0</v>
      </c>
      <c r="AL64" s="101">
        <f t="shared" si="32"/>
        <v>0</v>
      </c>
      <c r="AM64" s="101">
        <f t="shared" si="32"/>
        <v>0</v>
      </c>
      <c r="AN64" s="101">
        <f t="shared" si="32"/>
        <v>0</v>
      </c>
      <c r="AO64" s="101">
        <f t="shared" si="32"/>
        <v>0</v>
      </c>
      <c r="AP64" s="101">
        <f t="shared" si="32"/>
        <v>0</v>
      </c>
      <c r="AQ64" s="123"/>
      <c r="AR64" s="123"/>
      <c r="AS64" s="123"/>
      <c r="AT64" s="123"/>
      <c r="AU64" s="123"/>
      <c r="AV64" s="123"/>
    </row>
    <row r="65" ht="12.75" hidden="1" customHeight="1" outlineLevel="2">
      <c r="A65" s="90"/>
      <c r="C65" s="67"/>
      <c r="D65" s="90"/>
      <c r="E65" s="90" t="s">
        <v>290</v>
      </c>
      <c r="F65" s="113">
        <f>ROUND(OFFSET('RSGen 1-7'!$G$19,0,ROW(E65)-ROW($E$61)),0)</f>
        <v>96604</v>
      </c>
      <c r="G65" s="113">
        <f>OFFSET(RSGen_Walton!$G$19,0,ROW(F65)-ROW($F$61))</f>
        <v>128804.9223</v>
      </c>
      <c r="H65" s="90"/>
      <c r="I65" s="90"/>
      <c r="J65" s="90"/>
      <c r="K65" s="90"/>
      <c r="L65" s="211">
        <v>0.0</v>
      </c>
      <c r="M65" s="212">
        <v>0.0</v>
      </c>
      <c r="N65" s="101">
        <v>0.0</v>
      </c>
      <c r="O65" s="101">
        <v>0.0</v>
      </c>
      <c r="P65" s="101">
        <f t="shared" ref="P65:AP65" si="33">O64</f>
        <v>2</v>
      </c>
      <c r="Q65" s="212">
        <f t="shared" si="33"/>
        <v>3</v>
      </c>
      <c r="R65" s="101">
        <f t="shared" si="33"/>
        <v>4</v>
      </c>
      <c r="S65" s="101">
        <f t="shared" si="33"/>
        <v>8</v>
      </c>
      <c r="T65" s="101">
        <f t="shared" si="33"/>
        <v>10</v>
      </c>
      <c r="U65" s="101">
        <f t="shared" si="33"/>
        <v>17</v>
      </c>
      <c r="V65" s="101">
        <f t="shared" si="33"/>
        <v>23</v>
      </c>
      <c r="W65" s="101">
        <f t="shared" si="33"/>
        <v>25</v>
      </c>
      <c r="X65" s="101">
        <f t="shared" si="33"/>
        <v>5</v>
      </c>
      <c r="Y65" s="101">
        <f t="shared" si="33"/>
        <v>0</v>
      </c>
      <c r="Z65" s="101">
        <f t="shared" si="33"/>
        <v>0</v>
      </c>
      <c r="AA65" s="101">
        <f t="shared" si="33"/>
        <v>0</v>
      </c>
      <c r="AB65" s="101">
        <f t="shared" si="33"/>
        <v>0</v>
      </c>
      <c r="AC65" s="101">
        <f t="shared" si="33"/>
        <v>0</v>
      </c>
      <c r="AD65" s="101">
        <f t="shared" si="33"/>
        <v>0</v>
      </c>
      <c r="AE65" s="101">
        <f t="shared" si="33"/>
        <v>0</v>
      </c>
      <c r="AF65" s="101">
        <f t="shared" si="33"/>
        <v>0</v>
      </c>
      <c r="AG65" s="101">
        <f t="shared" si="33"/>
        <v>0</v>
      </c>
      <c r="AH65" s="101">
        <f t="shared" si="33"/>
        <v>0</v>
      </c>
      <c r="AI65" s="101">
        <f t="shared" si="33"/>
        <v>0</v>
      </c>
      <c r="AJ65" s="101">
        <f t="shared" si="33"/>
        <v>0</v>
      </c>
      <c r="AK65" s="101">
        <f t="shared" si="33"/>
        <v>0</v>
      </c>
      <c r="AL65" s="101">
        <f t="shared" si="33"/>
        <v>0</v>
      </c>
      <c r="AM65" s="101">
        <f t="shared" si="33"/>
        <v>0</v>
      </c>
      <c r="AN65" s="101">
        <f t="shared" si="33"/>
        <v>0</v>
      </c>
      <c r="AO65" s="101">
        <f t="shared" si="33"/>
        <v>0</v>
      </c>
      <c r="AP65" s="101">
        <f t="shared" si="33"/>
        <v>0</v>
      </c>
      <c r="AQ65" s="123"/>
      <c r="AR65" s="123"/>
      <c r="AS65" s="123"/>
      <c r="AT65" s="123"/>
      <c r="AU65" s="123"/>
      <c r="AV65" s="123"/>
    </row>
    <row r="66" ht="12.75" hidden="1" customHeight="1" outlineLevel="2">
      <c r="A66" s="90"/>
      <c r="C66" s="67"/>
      <c r="D66" s="90"/>
      <c r="E66" s="90" t="s">
        <v>291</v>
      </c>
      <c r="F66" s="113">
        <f>ROUND(OFFSET('RSGen 1-7'!$G$19,0,ROW(E66)-ROW($E$61)),0)</f>
        <v>96871</v>
      </c>
      <c r="G66" s="113">
        <f>OFFSET(RSGen_Walton!$G$19,0,ROW(F66)-ROW($F$61))</f>
        <v>96870.81175</v>
      </c>
      <c r="H66" s="90"/>
      <c r="I66" s="90"/>
      <c r="J66" s="90"/>
      <c r="K66" s="90"/>
      <c r="L66" s="211">
        <v>0.0</v>
      </c>
      <c r="M66" s="212">
        <v>0.0</v>
      </c>
      <c r="N66" s="101">
        <v>0.0</v>
      </c>
      <c r="O66" s="101">
        <v>0.0</v>
      </c>
      <c r="P66" s="101">
        <v>0.0</v>
      </c>
      <c r="Q66" s="101">
        <f t="shared" ref="Q66:AP66" si="34">P65</f>
        <v>2</v>
      </c>
      <c r="R66" s="212">
        <f t="shared" si="34"/>
        <v>3</v>
      </c>
      <c r="S66" s="101">
        <f t="shared" si="34"/>
        <v>4</v>
      </c>
      <c r="T66" s="101">
        <f t="shared" si="34"/>
        <v>8</v>
      </c>
      <c r="U66" s="101">
        <f t="shared" si="34"/>
        <v>10</v>
      </c>
      <c r="V66" s="101">
        <f t="shared" si="34"/>
        <v>17</v>
      </c>
      <c r="W66" s="101">
        <f t="shared" si="34"/>
        <v>23</v>
      </c>
      <c r="X66" s="101">
        <f t="shared" si="34"/>
        <v>25</v>
      </c>
      <c r="Y66" s="101">
        <f t="shared" si="34"/>
        <v>5</v>
      </c>
      <c r="Z66" s="101">
        <f t="shared" si="34"/>
        <v>0</v>
      </c>
      <c r="AA66" s="101">
        <f t="shared" si="34"/>
        <v>0</v>
      </c>
      <c r="AB66" s="101">
        <f t="shared" si="34"/>
        <v>0</v>
      </c>
      <c r="AC66" s="101">
        <f t="shared" si="34"/>
        <v>0</v>
      </c>
      <c r="AD66" s="101">
        <f t="shared" si="34"/>
        <v>0</v>
      </c>
      <c r="AE66" s="101">
        <f t="shared" si="34"/>
        <v>0</v>
      </c>
      <c r="AF66" s="101">
        <f t="shared" si="34"/>
        <v>0</v>
      </c>
      <c r="AG66" s="101">
        <f t="shared" si="34"/>
        <v>0</v>
      </c>
      <c r="AH66" s="101">
        <f t="shared" si="34"/>
        <v>0</v>
      </c>
      <c r="AI66" s="101">
        <f t="shared" si="34"/>
        <v>0</v>
      </c>
      <c r="AJ66" s="101">
        <f t="shared" si="34"/>
        <v>0</v>
      </c>
      <c r="AK66" s="101">
        <f t="shared" si="34"/>
        <v>0</v>
      </c>
      <c r="AL66" s="101">
        <f t="shared" si="34"/>
        <v>0</v>
      </c>
      <c r="AM66" s="101">
        <f t="shared" si="34"/>
        <v>0</v>
      </c>
      <c r="AN66" s="101">
        <f t="shared" si="34"/>
        <v>0</v>
      </c>
      <c r="AO66" s="101">
        <f t="shared" si="34"/>
        <v>0</v>
      </c>
      <c r="AP66" s="101">
        <f t="shared" si="34"/>
        <v>0</v>
      </c>
      <c r="AQ66" s="123"/>
      <c r="AR66" s="123"/>
      <c r="AS66" s="123"/>
      <c r="AT66" s="123"/>
      <c r="AU66" s="123"/>
      <c r="AV66" s="123"/>
    </row>
    <row r="67" ht="12.75" hidden="1" customHeight="1" outlineLevel="2">
      <c r="A67" s="90"/>
      <c r="C67" s="67"/>
      <c r="D67" s="90"/>
      <c r="E67" s="90" t="s">
        <v>292</v>
      </c>
      <c r="F67" s="113">
        <f>ROUND(OFFSET('RSGen 1-7'!$G$19,0,ROW(E67)-ROW($E$61)),0)</f>
        <v>96642</v>
      </c>
      <c r="G67" s="113">
        <f>OFFSET(RSGen_Walton!$G$19,0,ROW(F67)-ROW($F$61))</f>
        <v>96641.85175</v>
      </c>
      <c r="H67" s="90"/>
      <c r="I67" s="90"/>
      <c r="J67" s="90"/>
      <c r="K67" s="90"/>
      <c r="L67" s="211">
        <v>0.0</v>
      </c>
      <c r="M67" s="212">
        <v>0.0</v>
      </c>
      <c r="N67" s="101">
        <v>0.0</v>
      </c>
      <c r="O67" s="101">
        <v>0.0</v>
      </c>
      <c r="P67" s="101">
        <v>0.0</v>
      </c>
      <c r="Q67" s="101">
        <v>0.0</v>
      </c>
      <c r="R67" s="101">
        <f t="shared" ref="R67:AP67" si="35">Q66</f>
        <v>2</v>
      </c>
      <c r="S67" s="212">
        <f t="shared" si="35"/>
        <v>3</v>
      </c>
      <c r="T67" s="101">
        <f t="shared" si="35"/>
        <v>4</v>
      </c>
      <c r="U67" s="101">
        <f t="shared" si="35"/>
        <v>8</v>
      </c>
      <c r="V67" s="101">
        <f t="shared" si="35"/>
        <v>10</v>
      </c>
      <c r="W67" s="101">
        <f t="shared" si="35"/>
        <v>17</v>
      </c>
      <c r="X67" s="101">
        <f t="shared" si="35"/>
        <v>23</v>
      </c>
      <c r="Y67" s="101">
        <f t="shared" si="35"/>
        <v>25</v>
      </c>
      <c r="Z67" s="101">
        <f t="shared" si="35"/>
        <v>5</v>
      </c>
      <c r="AA67" s="101">
        <f t="shared" si="35"/>
        <v>0</v>
      </c>
      <c r="AB67" s="101">
        <f t="shared" si="35"/>
        <v>0</v>
      </c>
      <c r="AC67" s="101">
        <f t="shared" si="35"/>
        <v>0</v>
      </c>
      <c r="AD67" s="101">
        <f t="shared" si="35"/>
        <v>0</v>
      </c>
      <c r="AE67" s="101">
        <f t="shared" si="35"/>
        <v>0</v>
      </c>
      <c r="AF67" s="101">
        <f t="shared" si="35"/>
        <v>0</v>
      </c>
      <c r="AG67" s="101">
        <f t="shared" si="35"/>
        <v>0</v>
      </c>
      <c r="AH67" s="101">
        <f t="shared" si="35"/>
        <v>0</v>
      </c>
      <c r="AI67" s="101">
        <f t="shared" si="35"/>
        <v>0</v>
      </c>
      <c r="AJ67" s="101">
        <f t="shared" si="35"/>
        <v>0</v>
      </c>
      <c r="AK67" s="101">
        <f t="shared" si="35"/>
        <v>0</v>
      </c>
      <c r="AL67" s="101">
        <f t="shared" si="35"/>
        <v>0</v>
      </c>
      <c r="AM67" s="101">
        <f t="shared" si="35"/>
        <v>0</v>
      </c>
      <c r="AN67" s="101">
        <f t="shared" si="35"/>
        <v>0</v>
      </c>
      <c r="AO67" s="101">
        <f t="shared" si="35"/>
        <v>0</v>
      </c>
      <c r="AP67" s="101">
        <f t="shared" si="35"/>
        <v>0</v>
      </c>
      <c r="AQ67" s="123"/>
      <c r="AR67" s="123"/>
      <c r="AS67" s="123"/>
      <c r="AT67" s="123"/>
      <c r="AU67" s="123"/>
      <c r="AV67" s="123"/>
    </row>
    <row r="68" ht="12.75" hidden="1" customHeight="1" outlineLevel="2">
      <c r="A68" s="90"/>
      <c r="C68" s="67"/>
      <c r="D68" s="90"/>
      <c r="E68" s="90" t="s">
        <v>293</v>
      </c>
      <c r="F68" s="113">
        <f>ROUND(OFFSET('RSGen 1-7'!$G$19,0,ROW(E68)-ROW($E$61)),0)</f>
        <v>96432</v>
      </c>
      <c r="G68" s="113">
        <f>OFFSET(RSGen_Walton!$G$19,0,ROW(F68)-ROW($F$61))</f>
        <v>96431.97175</v>
      </c>
      <c r="H68" s="90"/>
      <c r="I68" s="90"/>
      <c r="J68" s="90"/>
      <c r="K68" s="90"/>
      <c r="L68" s="211">
        <v>0.0</v>
      </c>
      <c r="M68" s="212">
        <v>0.0</v>
      </c>
      <c r="N68" s="101">
        <v>0.0</v>
      </c>
      <c r="O68" s="101">
        <v>0.0</v>
      </c>
      <c r="P68" s="101">
        <v>0.0</v>
      </c>
      <c r="Q68" s="101">
        <v>0.0</v>
      </c>
      <c r="R68" s="101">
        <v>0.0</v>
      </c>
      <c r="S68" s="101">
        <f t="shared" ref="S68:AP68" si="36">R67</f>
        <v>2</v>
      </c>
      <c r="T68" s="212">
        <f t="shared" si="36"/>
        <v>3</v>
      </c>
      <c r="U68" s="101">
        <f t="shared" si="36"/>
        <v>4</v>
      </c>
      <c r="V68" s="101">
        <f t="shared" si="36"/>
        <v>8</v>
      </c>
      <c r="W68" s="101">
        <f t="shared" si="36"/>
        <v>10</v>
      </c>
      <c r="X68" s="101">
        <f t="shared" si="36"/>
        <v>17</v>
      </c>
      <c r="Y68" s="101">
        <f t="shared" si="36"/>
        <v>23</v>
      </c>
      <c r="Z68" s="101">
        <f t="shared" si="36"/>
        <v>25</v>
      </c>
      <c r="AA68" s="101">
        <f t="shared" si="36"/>
        <v>5</v>
      </c>
      <c r="AB68" s="101">
        <f t="shared" si="36"/>
        <v>0</v>
      </c>
      <c r="AC68" s="101">
        <f t="shared" si="36"/>
        <v>0</v>
      </c>
      <c r="AD68" s="101">
        <f t="shared" si="36"/>
        <v>0</v>
      </c>
      <c r="AE68" s="101">
        <f t="shared" si="36"/>
        <v>0</v>
      </c>
      <c r="AF68" s="101">
        <f t="shared" si="36"/>
        <v>0</v>
      </c>
      <c r="AG68" s="101">
        <f t="shared" si="36"/>
        <v>0</v>
      </c>
      <c r="AH68" s="101">
        <f t="shared" si="36"/>
        <v>0</v>
      </c>
      <c r="AI68" s="101">
        <f t="shared" si="36"/>
        <v>0</v>
      </c>
      <c r="AJ68" s="101">
        <f t="shared" si="36"/>
        <v>0</v>
      </c>
      <c r="AK68" s="101">
        <f t="shared" si="36"/>
        <v>0</v>
      </c>
      <c r="AL68" s="101">
        <f t="shared" si="36"/>
        <v>0</v>
      </c>
      <c r="AM68" s="101">
        <f t="shared" si="36"/>
        <v>0</v>
      </c>
      <c r="AN68" s="101">
        <f t="shared" si="36"/>
        <v>0</v>
      </c>
      <c r="AO68" s="101">
        <f t="shared" si="36"/>
        <v>0</v>
      </c>
      <c r="AP68" s="101">
        <f t="shared" si="36"/>
        <v>0</v>
      </c>
      <c r="AQ68" s="123"/>
      <c r="AR68" s="123"/>
      <c r="AS68" s="123"/>
      <c r="AT68" s="123"/>
      <c r="AU68" s="123"/>
      <c r="AV68" s="123"/>
    </row>
    <row r="69" ht="12.75" hidden="1" customHeight="1" outlineLevel="2">
      <c r="A69" s="90"/>
      <c r="C69" s="67"/>
      <c r="D69" s="90"/>
      <c r="E69" s="90" t="s">
        <v>294</v>
      </c>
      <c r="F69" s="113">
        <f>ROUND(OFFSET('RSGen 1-7'!$G$19,0,ROW(E69)-ROW($E$61)),0)</f>
        <v>96232</v>
      </c>
      <c r="G69" s="113">
        <f>OFFSET(RSGen_Walton!$G$19,0,ROW(F69)-ROW($F$61))</f>
        <v>96231.63175</v>
      </c>
      <c r="H69" s="90"/>
      <c r="I69" s="90"/>
      <c r="J69" s="90"/>
      <c r="K69" s="90"/>
      <c r="L69" s="211">
        <v>0.0</v>
      </c>
      <c r="M69" s="212">
        <v>0.0</v>
      </c>
      <c r="N69" s="101">
        <v>0.0</v>
      </c>
      <c r="O69" s="101">
        <v>0.0</v>
      </c>
      <c r="P69" s="101">
        <v>0.0</v>
      </c>
      <c r="Q69" s="101">
        <v>0.0</v>
      </c>
      <c r="R69" s="101">
        <v>0.0</v>
      </c>
      <c r="S69" s="101">
        <v>0.0</v>
      </c>
      <c r="T69" s="101">
        <f t="shared" ref="T69:AP69" si="37">S68</f>
        <v>2</v>
      </c>
      <c r="U69" s="212">
        <f t="shared" si="37"/>
        <v>3</v>
      </c>
      <c r="V69" s="101">
        <f t="shared" si="37"/>
        <v>4</v>
      </c>
      <c r="W69" s="101">
        <f t="shared" si="37"/>
        <v>8</v>
      </c>
      <c r="X69" s="101">
        <f t="shared" si="37"/>
        <v>10</v>
      </c>
      <c r="Y69" s="101">
        <f t="shared" si="37"/>
        <v>17</v>
      </c>
      <c r="Z69" s="101">
        <f t="shared" si="37"/>
        <v>23</v>
      </c>
      <c r="AA69" s="101">
        <f t="shared" si="37"/>
        <v>25</v>
      </c>
      <c r="AB69" s="101">
        <f t="shared" si="37"/>
        <v>5</v>
      </c>
      <c r="AC69" s="101">
        <f t="shared" si="37"/>
        <v>0</v>
      </c>
      <c r="AD69" s="101">
        <f t="shared" si="37"/>
        <v>0</v>
      </c>
      <c r="AE69" s="101">
        <f t="shared" si="37"/>
        <v>0</v>
      </c>
      <c r="AF69" s="101">
        <f t="shared" si="37"/>
        <v>0</v>
      </c>
      <c r="AG69" s="101">
        <f t="shared" si="37"/>
        <v>0</v>
      </c>
      <c r="AH69" s="101">
        <f t="shared" si="37"/>
        <v>0</v>
      </c>
      <c r="AI69" s="101">
        <f t="shared" si="37"/>
        <v>0</v>
      </c>
      <c r="AJ69" s="101">
        <f t="shared" si="37"/>
        <v>0</v>
      </c>
      <c r="AK69" s="101">
        <f t="shared" si="37"/>
        <v>0</v>
      </c>
      <c r="AL69" s="101">
        <f t="shared" si="37"/>
        <v>0</v>
      </c>
      <c r="AM69" s="101">
        <f t="shared" si="37"/>
        <v>0</v>
      </c>
      <c r="AN69" s="101">
        <f t="shared" si="37"/>
        <v>0</v>
      </c>
      <c r="AO69" s="101">
        <f t="shared" si="37"/>
        <v>0</v>
      </c>
      <c r="AP69" s="101">
        <f t="shared" si="37"/>
        <v>0</v>
      </c>
      <c r="AQ69" s="123"/>
      <c r="AR69" s="123"/>
      <c r="AS69" s="123"/>
      <c r="AT69" s="123"/>
      <c r="AU69" s="123"/>
      <c r="AV69" s="123"/>
    </row>
    <row r="70" ht="12.75" hidden="1" customHeight="1" outlineLevel="2">
      <c r="A70" s="90"/>
      <c r="C70" s="67"/>
      <c r="D70" s="90"/>
      <c r="E70" s="90" t="s">
        <v>295</v>
      </c>
      <c r="F70" s="113">
        <f>ROUND(OFFSET('RSGen 1-7'!$G$19,0,ROW(E70)-ROW($E$61)),0)</f>
        <v>96031</v>
      </c>
      <c r="G70" s="113">
        <f>OFFSET(RSGen_Walton!$G$19,0,ROW(F70)-ROW($F$61))</f>
        <v>96031.29175</v>
      </c>
      <c r="I70" s="90"/>
      <c r="J70" s="90"/>
      <c r="K70" s="90"/>
      <c r="L70" s="211">
        <v>0.0</v>
      </c>
      <c r="M70" s="212">
        <v>0.0</v>
      </c>
      <c r="N70" s="101">
        <v>0.0</v>
      </c>
      <c r="O70" s="101">
        <v>0.0</v>
      </c>
      <c r="P70" s="101">
        <v>0.0</v>
      </c>
      <c r="Q70" s="101">
        <v>0.0</v>
      </c>
      <c r="R70" s="101">
        <v>0.0</v>
      </c>
      <c r="S70" s="101">
        <v>0.0</v>
      </c>
      <c r="T70" s="101">
        <v>0.0</v>
      </c>
      <c r="U70" s="101">
        <f>T69</f>
        <v>2</v>
      </c>
      <c r="V70" s="212">
        <f t="shared" ref="V70:AP70" si="38">U70+U69</f>
        <v>5</v>
      </c>
      <c r="W70" s="101">
        <f t="shared" si="38"/>
        <v>9</v>
      </c>
      <c r="X70" s="101">
        <f t="shared" si="38"/>
        <v>17</v>
      </c>
      <c r="Y70" s="101">
        <f t="shared" si="38"/>
        <v>27</v>
      </c>
      <c r="Z70" s="101">
        <f t="shared" si="38"/>
        <v>44</v>
      </c>
      <c r="AA70" s="101">
        <f t="shared" si="38"/>
        <v>67</v>
      </c>
      <c r="AB70" s="101">
        <f t="shared" si="38"/>
        <v>92</v>
      </c>
      <c r="AC70" s="101">
        <f t="shared" si="38"/>
        <v>97</v>
      </c>
      <c r="AD70" s="101">
        <f t="shared" si="38"/>
        <v>97</v>
      </c>
      <c r="AE70" s="101">
        <f t="shared" si="38"/>
        <v>97</v>
      </c>
      <c r="AF70" s="101">
        <f t="shared" si="38"/>
        <v>97</v>
      </c>
      <c r="AG70" s="101">
        <f t="shared" si="38"/>
        <v>97</v>
      </c>
      <c r="AH70" s="101">
        <f t="shared" si="38"/>
        <v>97</v>
      </c>
      <c r="AI70" s="101">
        <f t="shared" si="38"/>
        <v>97</v>
      </c>
      <c r="AJ70" s="101">
        <f t="shared" si="38"/>
        <v>97</v>
      </c>
      <c r="AK70" s="101">
        <f t="shared" si="38"/>
        <v>97</v>
      </c>
      <c r="AL70" s="101">
        <f t="shared" si="38"/>
        <v>97</v>
      </c>
      <c r="AM70" s="101">
        <f t="shared" si="38"/>
        <v>97</v>
      </c>
      <c r="AN70" s="101">
        <f t="shared" si="38"/>
        <v>97</v>
      </c>
      <c r="AO70" s="101">
        <f t="shared" si="38"/>
        <v>97</v>
      </c>
      <c r="AP70" s="101">
        <f t="shared" si="38"/>
        <v>97</v>
      </c>
      <c r="AQ70" s="123"/>
      <c r="AR70" s="123"/>
      <c r="AS70" s="123"/>
      <c r="AT70" s="123"/>
      <c r="AU70" s="123"/>
      <c r="AV70" s="123"/>
    </row>
    <row r="71" ht="12.75" hidden="1" customHeight="1" outlineLevel="2">
      <c r="A71" s="90"/>
      <c r="C71" s="67"/>
      <c r="D71" s="90"/>
      <c r="E71" s="90"/>
      <c r="F71" s="90"/>
      <c r="G71" s="90"/>
      <c r="I71" s="90"/>
      <c r="J71" s="90"/>
      <c r="K71" s="90"/>
      <c r="L71" s="123"/>
      <c r="M71" s="72"/>
      <c r="N71" s="72"/>
      <c r="O71" s="72"/>
      <c r="P71" s="72"/>
      <c r="Q71" s="72"/>
      <c r="R71" s="72"/>
      <c r="S71" s="72"/>
      <c r="T71" s="72"/>
      <c r="U71" s="72"/>
      <c r="V71" s="72"/>
      <c r="W71" s="72"/>
      <c r="X71" s="72"/>
      <c r="Y71" s="72"/>
      <c r="Z71" s="72"/>
      <c r="AA71" s="72"/>
      <c r="AB71" s="72"/>
      <c r="AC71" s="72"/>
      <c r="AD71" s="72"/>
      <c r="AE71" s="213">
        <f>AE70*AE72*G70</f>
        <v>13304608.18</v>
      </c>
      <c r="AF71" s="213">
        <f>AF70*AF72*G70</f>
        <v>13570700.35</v>
      </c>
      <c r="AG71" s="72"/>
      <c r="AH71" s="72"/>
      <c r="AI71" s="72"/>
      <c r="AJ71" s="72"/>
      <c r="AK71" s="72"/>
      <c r="AL71" s="72"/>
      <c r="AM71" s="72"/>
      <c r="AN71" s="72"/>
      <c r="AO71" s="72"/>
      <c r="AP71" s="72"/>
    </row>
    <row r="72" ht="12.75" hidden="1" customHeight="1" outlineLevel="2">
      <c r="A72" s="90"/>
      <c r="C72" s="67"/>
      <c r="D72" s="90"/>
      <c r="E72" s="90"/>
      <c r="F72" s="90"/>
      <c r="G72" s="90"/>
      <c r="H72" s="90" t="s">
        <v>274</v>
      </c>
      <c r="I72" s="90"/>
      <c r="J72" s="90"/>
      <c r="K72" s="90"/>
      <c r="L72" s="89">
        <f>'All Schools Roll-up'!L107</f>
        <v>1</v>
      </c>
      <c r="M72" s="180">
        <f>'All Schools Roll-up'!M107</f>
        <v>1</v>
      </c>
      <c r="N72" s="180">
        <f>'All Schools Roll-up'!N107</f>
        <v>1.01</v>
      </c>
      <c r="O72" s="180">
        <f>'All Schools Roll-up'!O107</f>
        <v>1.0302</v>
      </c>
      <c r="P72" s="180">
        <f>'All Schools Roll-up'!P107</f>
        <v>1.050804</v>
      </c>
      <c r="Q72" s="180">
        <f>'All Schools Roll-up'!Q107</f>
        <v>1.07182008</v>
      </c>
      <c r="R72" s="180">
        <f>'All Schools Roll-up'!R107</f>
        <v>1.093256482</v>
      </c>
      <c r="S72" s="180">
        <f>'All Schools Roll-up'!S107</f>
        <v>1.1262</v>
      </c>
      <c r="T72" s="180">
        <f>'All Schools Roll-up'!T107</f>
        <v>1.148724</v>
      </c>
      <c r="U72" s="180">
        <f>'All Schools Roll-up'!U107</f>
        <v>1.17169848</v>
      </c>
      <c r="V72" s="180">
        <f>'All Schools Roll-up'!V107</f>
        <v>1.19513245</v>
      </c>
      <c r="W72" s="180">
        <f>'All Schools Roll-up'!W107</f>
        <v>1.219035099</v>
      </c>
      <c r="X72" s="180">
        <f>'All Schools Roll-up'!X107</f>
        <v>1.243415801</v>
      </c>
      <c r="Y72" s="180">
        <f>'All Schools Roll-up'!Y107</f>
        <v>1.268284117</v>
      </c>
      <c r="Z72" s="180">
        <f>'All Schools Roll-up'!Z107</f>
        <v>1.293649799</v>
      </c>
      <c r="AA72" s="180">
        <f>'All Schools Roll-up'!AA107</f>
        <v>1.319522795</v>
      </c>
      <c r="AB72" s="180">
        <f>'All Schools Roll-up'!AB107</f>
        <v>1.345913251</v>
      </c>
      <c r="AC72" s="180">
        <f>'All Schools Roll-up'!AC107</f>
        <v>1.372831516</v>
      </c>
      <c r="AD72" s="180">
        <f>'All Schools Roll-up'!AD107</f>
        <v>1.400288146</v>
      </c>
      <c r="AE72" s="180">
        <f>'All Schools Roll-up'!AE107</f>
        <v>1.428293909</v>
      </c>
      <c r="AF72" s="180">
        <f>'All Schools Roll-up'!AF107</f>
        <v>1.456859787</v>
      </c>
      <c r="AG72" s="180">
        <f>'All Schools Roll-up'!AG107</f>
        <v>1.485996983</v>
      </c>
      <c r="AH72" s="180">
        <f>'All Schools Roll-up'!AH107</f>
        <v>1.515716923</v>
      </c>
      <c r="AI72" s="180">
        <f>'All Schools Roll-up'!AI107</f>
        <v>1.546031261</v>
      </c>
      <c r="AJ72" s="180">
        <f>'All Schools Roll-up'!AJ107</f>
        <v>1.576951886</v>
      </c>
      <c r="AK72" s="180">
        <f>'All Schools Roll-up'!AK107</f>
        <v>1.608490924</v>
      </c>
      <c r="AL72" s="180">
        <f>'All Schools Roll-up'!AL107</f>
        <v>1.640660743</v>
      </c>
      <c r="AM72" s="180">
        <f>'All Schools Roll-up'!AM107</f>
        <v>1.673473957</v>
      </c>
      <c r="AN72" s="180">
        <f>'All Schools Roll-up'!AN107</f>
        <v>1.706943436</v>
      </c>
      <c r="AO72" s="180">
        <f>'All Schools Roll-up'!AO107</f>
        <v>1.741082305</v>
      </c>
      <c r="AP72" s="180">
        <f>'All Schools Roll-up'!AP107</f>
        <v>1.775903951</v>
      </c>
      <c r="AQ72" s="89"/>
      <c r="AR72" s="89"/>
      <c r="AS72" s="89"/>
      <c r="AT72" s="89"/>
      <c r="AU72" s="89"/>
      <c r="AV72" s="89"/>
    </row>
    <row r="73" ht="12.75" hidden="1" customHeight="1" outlineLevel="1">
      <c r="A73" s="90"/>
      <c r="B73" s="90"/>
      <c r="C73" s="90"/>
      <c r="D73" s="87"/>
      <c r="E73" s="87" t="s">
        <v>296</v>
      </c>
      <c r="F73" s="87"/>
      <c r="G73" s="87"/>
      <c r="H73" s="214" t="s">
        <v>297</v>
      </c>
      <c r="I73" s="87"/>
      <c r="J73" s="87"/>
      <c r="K73" s="87"/>
      <c r="L73" s="200">
        <v>0.0</v>
      </c>
      <c r="M73" s="119">
        <f>M72*SUMPRODUCT(M62:M70,$F$62:$F$70)+M72*(2*F61+1*G61)</f>
        <v>24500</v>
      </c>
      <c r="N73" s="119">
        <f>N72*(SUMPRODUCT(N63:N70,$F$63:$F$70)+2*F62+G62+N61*G61)</f>
        <v>209237.66</v>
      </c>
      <c r="O73" s="119">
        <f>O$72*(SUMPRODUCT(O61:O62,$G$61:$G$62)+2*$F63+(O63-2)*$G63+O64*$F64)</f>
        <v>536650.6242</v>
      </c>
      <c r="P73" s="119">
        <f>P$72*(SUMPRODUCT(P61:P63,$G$61:$G$63)+2*$F64+(P64-2)*$G64+P65*$F65)</f>
        <v>1089391.692</v>
      </c>
      <c r="Q73" s="119">
        <f>Q$72*(SUMPRODUCT(Q61:Q64,$G$61:$G$64)+2*$F65+(Q65-2)*$G65+Q66*$F66)</f>
        <v>2189038.372</v>
      </c>
      <c r="R73" s="119">
        <f>R$72*(SUMPRODUCT(R61:R65,$G$61:$G$65)+2*$F66+(R66-2)*$G66+R67*$F67)</f>
        <v>3616113.939</v>
      </c>
      <c r="S73" s="119">
        <f>S$72*(SUMPRODUCT(S61:S66,$G$61:$G$66)+2*$F67+(S67-2)*$G67+S68*$F68)</f>
        <v>6016028.653</v>
      </c>
      <c r="T73" s="119">
        <f>T$72*(SUMPRODUCT(T61:T67,$G$61:$G$67)+2*$F68+(T68-2)*$G68+T69*$F69)</f>
        <v>9169320.422</v>
      </c>
      <c r="U73" s="119">
        <f>U$72*(SUMPRODUCT(U61:U68,$G$61:$G$68)+2*$F69+(U69-2)*$G69+U70*$F70)</f>
        <v>12557843.72</v>
      </c>
      <c r="V73" s="119">
        <f>V72*(SUMPRODUCT(V61:V69,$G$61:$G$69)+(4*'RSED National'!$F70)+('RSED National'!$V70-4)*'RSED National'!$G70)</f>
        <v>13061054.8</v>
      </c>
      <c r="W73" s="119">
        <f t="shared" ref="W73:AP73" si="39">W72*SUMPRODUCT(W61:W70,$G$61:$G$70)</f>
        <v>12570276.01</v>
      </c>
      <c r="X73" s="119">
        <f t="shared" si="39"/>
        <v>11840736.94</v>
      </c>
      <c r="Y73" s="119">
        <f t="shared" si="39"/>
        <v>11854801.7</v>
      </c>
      <c r="Z73" s="119">
        <f t="shared" si="39"/>
        <v>12073262.19</v>
      </c>
      <c r="AA73" s="119">
        <f t="shared" si="39"/>
        <v>12300653.78</v>
      </c>
      <c r="AB73" s="119">
        <f t="shared" si="39"/>
        <v>12538577.64</v>
      </c>
      <c r="AC73" s="119">
        <f t="shared" si="39"/>
        <v>12787974.03</v>
      </c>
      <c r="AD73" s="119">
        <f t="shared" si="39"/>
        <v>13043733.51</v>
      </c>
      <c r="AE73" s="119">
        <f t="shared" si="39"/>
        <v>13304608.18</v>
      </c>
      <c r="AF73" s="119">
        <f t="shared" si="39"/>
        <v>13570700.35</v>
      </c>
      <c r="AG73" s="119">
        <f t="shared" si="39"/>
        <v>13842114.35</v>
      </c>
      <c r="AH73" s="119">
        <f t="shared" si="39"/>
        <v>14118956.64</v>
      </c>
      <c r="AI73" s="119">
        <f t="shared" si="39"/>
        <v>14401335.77</v>
      </c>
      <c r="AJ73" s="119">
        <f t="shared" si="39"/>
        <v>14689362.49</v>
      </c>
      <c r="AK73" s="119">
        <f t="shared" si="39"/>
        <v>14983149.74</v>
      </c>
      <c r="AL73" s="119">
        <f t="shared" si="39"/>
        <v>15282812.73</v>
      </c>
      <c r="AM73" s="119">
        <f t="shared" si="39"/>
        <v>15588468.99</v>
      </c>
      <c r="AN73" s="119">
        <f t="shared" si="39"/>
        <v>15900238.37</v>
      </c>
      <c r="AO73" s="119">
        <f t="shared" si="39"/>
        <v>16218243.13</v>
      </c>
      <c r="AP73" s="119">
        <f t="shared" si="39"/>
        <v>16542608</v>
      </c>
      <c r="AQ73" s="200"/>
      <c r="AR73" s="200"/>
      <c r="AS73" s="200"/>
      <c r="AT73" s="200"/>
      <c r="AU73" s="200"/>
      <c r="AV73" s="200"/>
    </row>
    <row r="74" ht="12.75" hidden="1" customHeight="1" outlineLevel="1">
      <c r="A74" s="90"/>
      <c r="C74" s="67" t="s">
        <v>298</v>
      </c>
      <c r="D74" s="90"/>
      <c r="E74" s="90"/>
      <c r="F74" s="90"/>
      <c r="G74" s="90"/>
      <c r="H74" s="90"/>
      <c r="I74" s="90"/>
      <c r="J74" s="90"/>
      <c r="K74" s="90"/>
      <c r="L74" s="76">
        <f t="shared" ref="L74:AP74" si="40">L73+SUM(L56:L58)</f>
        <v>0</v>
      </c>
      <c r="M74" s="115">
        <f t="shared" si="40"/>
        <v>313920.2009</v>
      </c>
      <c r="N74" s="115">
        <f t="shared" si="40"/>
        <v>503040.0706</v>
      </c>
      <c r="O74" s="115">
        <f t="shared" si="40"/>
        <v>838465.749</v>
      </c>
      <c r="P74" s="115">
        <f t="shared" si="40"/>
        <v>1396736.964</v>
      </c>
      <c r="Q74" s="115">
        <f t="shared" si="40"/>
        <v>2501790.926</v>
      </c>
      <c r="R74" s="115">
        <f t="shared" si="40"/>
        <v>3934639.12</v>
      </c>
      <c r="S74" s="115">
        <f t="shared" si="40"/>
        <v>6343512.078</v>
      </c>
      <c r="T74" s="115">
        <f t="shared" si="40"/>
        <v>9502868.167</v>
      </c>
      <c r="U74" s="115">
        <f t="shared" si="40"/>
        <v>12897702.92</v>
      </c>
      <c r="V74" s="115">
        <f t="shared" si="40"/>
        <v>13407469.41</v>
      </c>
      <c r="W74" s="115">
        <f t="shared" si="40"/>
        <v>12923476.6</v>
      </c>
      <c r="X74" s="115">
        <f t="shared" si="40"/>
        <v>12200999.46</v>
      </c>
      <c r="Y74" s="115">
        <f t="shared" si="40"/>
        <v>12222267.14</v>
      </c>
      <c r="Z74" s="115">
        <f t="shared" si="40"/>
        <v>12448074.39</v>
      </c>
      <c r="AA74" s="115">
        <f t="shared" si="40"/>
        <v>12682959.52</v>
      </c>
      <c r="AB74" s="115">
        <f t="shared" si="40"/>
        <v>12928527.66</v>
      </c>
      <c r="AC74" s="115">
        <f t="shared" si="40"/>
        <v>13185720.05</v>
      </c>
      <c r="AD74" s="115">
        <f t="shared" si="40"/>
        <v>13449432.29</v>
      </c>
      <c r="AE74" s="115">
        <f t="shared" si="40"/>
        <v>13718418.56</v>
      </c>
      <c r="AF74" s="115">
        <f t="shared" si="40"/>
        <v>13992784.27</v>
      </c>
      <c r="AG74" s="115">
        <f t="shared" si="40"/>
        <v>14272637.94</v>
      </c>
      <c r="AH74" s="115">
        <f t="shared" si="40"/>
        <v>14558088.2</v>
      </c>
      <c r="AI74" s="115">
        <f t="shared" si="40"/>
        <v>14849247.86</v>
      </c>
      <c r="AJ74" s="115">
        <f t="shared" si="40"/>
        <v>15146229.96</v>
      </c>
      <c r="AK74" s="115">
        <f t="shared" si="40"/>
        <v>15449151.78</v>
      </c>
      <c r="AL74" s="115">
        <f t="shared" si="40"/>
        <v>15758132.91</v>
      </c>
      <c r="AM74" s="115">
        <f t="shared" si="40"/>
        <v>16073293.31</v>
      </c>
      <c r="AN74" s="115">
        <f t="shared" si="40"/>
        <v>16394756.32</v>
      </c>
      <c r="AO74" s="115">
        <f t="shared" si="40"/>
        <v>16722649.72</v>
      </c>
      <c r="AP74" s="115">
        <f t="shared" si="40"/>
        <v>17057099.82</v>
      </c>
      <c r="AQ74" s="76"/>
      <c r="AR74" s="76"/>
      <c r="AS74" s="76"/>
      <c r="AT74" s="76"/>
      <c r="AU74" s="76"/>
      <c r="AV74" s="76"/>
    </row>
    <row r="75" ht="12.75" hidden="1" customHeight="1" outlineLevel="1">
      <c r="A75" s="90"/>
      <c r="C75" s="67"/>
      <c r="D75" s="90"/>
      <c r="E75" s="90"/>
      <c r="F75" s="90"/>
      <c r="G75" s="90"/>
      <c r="H75" s="90"/>
      <c r="I75" s="90"/>
      <c r="J75" s="90"/>
      <c r="K75" s="90"/>
      <c r="L75" s="76"/>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76"/>
      <c r="AR75" s="76"/>
      <c r="AS75" s="76"/>
      <c r="AT75" s="76"/>
      <c r="AU75" s="76"/>
      <c r="AV75" s="76"/>
    </row>
    <row r="76" ht="12.75" hidden="1" customHeight="1" outlineLevel="1">
      <c r="A76" s="67"/>
      <c r="B76" s="67"/>
      <c r="C76" s="109" t="s">
        <v>299</v>
      </c>
      <c r="D76" s="109"/>
      <c r="E76" s="109"/>
      <c r="F76" s="109"/>
      <c r="G76" s="109"/>
      <c r="H76" s="109"/>
      <c r="I76" s="109"/>
      <c r="J76" s="109"/>
      <c r="K76" s="109"/>
      <c r="L76" s="215">
        <f t="shared" ref="L76:AP76" si="41">L74+L52</f>
        <v>1123269.08</v>
      </c>
      <c r="M76" s="112">
        <f t="shared" si="41"/>
        <v>1569602.625</v>
      </c>
      <c r="N76" s="112">
        <f t="shared" si="41"/>
        <v>2499480.86</v>
      </c>
      <c r="O76" s="112">
        <f t="shared" si="41"/>
        <v>4061096.026</v>
      </c>
      <c r="P76" s="112">
        <f t="shared" si="41"/>
        <v>6533903.876</v>
      </c>
      <c r="Q76" s="112">
        <f t="shared" si="41"/>
        <v>10815390.42</v>
      </c>
      <c r="R76" s="112">
        <f t="shared" si="41"/>
        <v>17564501.6</v>
      </c>
      <c r="S76" s="112">
        <f t="shared" si="41"/>
        <v>29382134.9</v>
      </c>
      <c r="T76" s="112">
        <f t="shared" si="41"/>
        <v>46052700.48</v>
      </c>
      <c r="U76" s="112">
        <f t="shared" si="41"/>
        <v>61385346.91</v>
      </c>
      <c r="V76" s="112">
        <f t="shared" si="41"/>
        <v>80492388.4</v>
      </c>
      <c r="W76" s="112">
        <f t="shared" si="41"/>
        <v>106119456.2</v>
      </c>
      <c r="X76" s="112">
        <f t="shared" si="41"/>
        <v>140521500.3</v>
      </c>
      <c r="Y76" s="112">
        <f t="shared" si="41"/>
        <v>192928938</v>
      </c>
      <c r="Z76" s="112">
        <f t="shared" si="41"/>
        <v>273888597.6</v>
      </c>
      <c r="AA76" s="112">
        <f t="shared" si="41"/>
        <v>382177580</v>
      </c>
      <c r="AB76" s="112">
        <f t="shared" si="41"/>
        <v>517015452</v>
      </c>
      <c r="AC76" s="112">
        <f t="shared" si="41"/>
        <v>678986477.1</v>
      </c>
      <c r="AD76" s="112">
        <f t="shared" si="41"/>
        <v>868810701.8</v>
      </c>
      <c r="AE76" s="112">
        <f t="shared" si="41"/>
        <v>1073864103</v>
      </c>
      <c r="AF76" s="112">
        <f t="shared" si="41"/>
        <v>1271453790</v>
      </c>
      <c r="AG76" s="112">
        <f t="shared" si="41"/>
        <v>1401721833</v>
      </c>
      <c r="AH76" s="112">
        <f t="shared" si="41"/>
        <v>1459870853</v>
      </c>
      <c r="AI76" s="112">
        <f t="shared" si="41"/>
        <v>1501990462</v>
      </c>
      <c r="AJ76" s="112">
        <f t="shared" si="41"/>
        <v>1532060285</v>
      </c>
      <c r="AK76" s="112">
        <f t="shared" si="41"/>
        <v>1561389726</v>
      </c>
      <c r="AL76" s="112">
        <f t="shared" si="41"/>
        <v>1591760849</v>
      </c>
      <c r="AM76" s="112">
        <f t="shared" si="41"/>
        <v>1623187032</v>
      </c>
      <c r="AN76" s="112">
        <f t="shared" si="41"/>
        <v>1655605621</v>
      </c>
      <c r="AO76" s="112" t="str">
        <f t="shared" si="41"/>
        <v>#REF!</v>
      </c>
      <c r="AP76" s="112" t="str">
        <f t="shared" si="41"/>
        <v>#REF!</v>
      </c>
      <c r="AQ76" s="215"/>
      <c r="AR76" s="215"/>
      <c r="AS76" s="215"/>
      <c r="AT76" s="215"/>
      <c r="AU76" s="215"/>
      <c r="AV76" s="215"/>
    </row>
    <row r="77" ht="12.75" hidden="1" customHeight="1" outlineLevel="1">
      <c r="A77" s="90"/>
      <c r="M77" s="93"/>
      <c r="N77" s="93"/>
      <c r="O77" s="93"/>
      <c r="P77" s="93"/>
      <c r="Q77" s="93"/>
      <c r="R77" s="93"/>
      <c r="S77" s="93"/>
      <c r="T77" s="93"/>
      <c r="U77" s="93"/>
      <c r="V77" s="93"/>
      <c r="W77" s="93"/>
      <c r="X77" s="93"/>
      <c r="Y77" s="93"/>
      <c r="Z77" s="93"/>
      <c r="AA77" s="93"/>
      <c r="AB77" s="93"/>
      <c r="AC77" s="93"/>
      <c r="AD77" s="93"/>
      <c r="AE77" s="93"/>
      <c r="AF77" s="93"/>
      <c r="AG77" s="93"/>
      <c r="AH77" s="93"/>
      <c r="AI77" s="93"/>
      <c r="AJ77" s="93"/>
      <c r="AK77" s="93"/>
      <c r="AL77" s="93"/>
      <c r="AM77" s="93"/>
      <c r="AN77" s="93"/>
      <c r="AO77" s="93"/>
      <c r="AP77" s="93"/>
    </row>
    <row r="78" ht="12.75" hidden="1" customHeight="1" outlineLevel="1">
      <c r="A78" s="90"/>
      <c r="C78" s="67" t="s">
        <v>212</v>
      </c>
      <c r="M78" s="93"/>
      <c r="N78" s="93"/>
      <c r="O78" s="93"/>
      <c r="P78" s="93"/>
      <c r="Q78" s="93"/>
      <c r="R78" s="93"/>
      <c r="S78" s="93"/>
      <c r="T78" s="93"/>
      <c r="U78" s="93"/>
      <c r="V78" s="93"/>
      <c r="W78" s="93"/>
      <c r="X78" s="93"/>
      <c r="Y78" s="93"/>
      <c r="Z78" s="93"/>
      <c r="AA78" s="93"/>
      <c r="AB78" s="93"/>
      <c r="AC78" s="93"/>
      <c r="AD78" s="93"/>
      <c r="AE78" s="93"/>
      <c r="AF78" s="93"/>
      <c r="AG78" s="93"/>
      <c r="AH78" s="93"/>
      <c r="AI78" s="93"/>
      <c r="AJ78" s="93"/>
      <c r="AK78" s="93"/>
      <c r="AL78" s="93"/>
      <c r="AM78" s="93"/>
      <c r="AN78" s="93"/>
      <c r="AO78" s="93"/>
      <c r="AP78" s="93"/>
    </row>
    <row r="79" ht="12.75" hidden="1" customHeight="1" outlineLevel="1">
      <c r="A79" s="90"/>
      <c r="D79" s="68" t="s">
        <v>300</v>
      </c>
      <c r="L79" s="93">
        <v>420909.589041096</v>
      </c>
      <c r="M79" s="93">
        <f t="shared" ref="M79:N79" si="42">-M361</f>
        <v>437746.0071</v>
      </c>
      <c r="N79" s="93">
        <f t="shared" si="42"/>
        <v>455255.8474</v>
      </c>
      <c r="O79" s="93">
        <f>400000*1.04^4</f>
        <v>467943.424</v>
      </c>
      <c r="P79" s="93">
        <v>0.0</v>
      </c>
      <c r="Q79" s="93">
        <v>0.0</v>
      </c>
      <c r="R79" s="93"/>
      <c r="S79" s="93"/>
      <c r="T79" s="93">
        <v>0.0</v>
      </c>
      <c r="U79" s="93">
        <v>0.0</v>
      </c>
      <c r="V79" s="93">
        <v>0.0</v>
      </c>
      <c r="W79" s="93">
        <v>0.0</v>
      </c>
      <c r="X79" s="93">
        <v>0.0</v>
      </c>
      <c r="Y79" s="93">
        <v>0.0</v>
      </c>
      <c r="Z79" s="93">
        <v>0.0</v>
      </c>
      <c r="AA79" s="93">
        <v>0.0</v>
      </c>
      <c r="AB79" s="93">
        <v>0.0</v>
      </c>
      <c r="AC79" s="93">
        <v>0.0</v>
      </c>
      <c r="AD79" s="93">
        <v>0.0</v>
      </c>
      <c r="AE79" s="93">
        <v>0.0</v>
      </c>
      <c r="AF79" s="93">
        <v>0.0</v>
      </c>
      <c r="AG79" s="93">
        <v>0.0</v>
      </c>
      <c r="AH79" s="93">
        <v>0.0</v>
      </c>
      <c r="AI79" s="93">
        <v>0.0</v>
      </c>
      <c r="AJ79" s="93">
        <v>0.0</v>
      </c>
      <c r="AK79" s="93">
        <v>0.0</v>
      </c>
      <c r="AL79" s="93">
        <v>0.0</v>
      </c>
      <c r="AM79" s="93">
        <v>0.0</v>
      </c>
      <c r="AN79" s="93">
        <v>0.0</v>
      </c>
      <c r="AO79" s="93">
        <v>0.0</v>
      </c>
      <c r="AP79" s="93">
        <v>0.0</v>
      </c>
    </row>
    <row r="80" ht="12.75" hidden="1" customHeight="1" outlineLevel="1">
      <c r="A80" s="90"/>
      <c r="D80" s="90" t="s">
        <v>199</v>
      </c>
      <c r="L80" s="93"/>
      <c r="M80" s="93">
        <f>Summary!I21</f>
        <v>1500000</v>
      </c>
      <c r="N80" s="93">
        <f>Summary!J21</f>
        <v>1000000</v>
      </c>
      <c r="O80" s="93">
        <f>Summary!K21</f>
        <v>1250000</v>
      </c>
      <c r="P80" s="93">
        <f>Summary!L21</f>
        <v>500000</v>
      </c>
      <c r="Q80" s="93">
        <f>Summary!M21</f>
        <v>0</v>
      </c>
      <c r="R80" s="93"/>
      <c r="S80" s="93"/>
      <c r="T80" s="93"/>
      <c r="U80" s="93"/>
      <c r="V80" s="93"/>
      <c r="W80" s="93"/>
      <c r="X80" s="93"/>
      <c r="Y80" s="93"/>
      <c r="Z80" s="93"/>
      <c r="AA80" s="93"/>
      <c r="AB80" s="93"/>
      <c r="AC80" s="93"/>
      <c r="AD80" s="93"/>
      <c r="AE80" s="93"/>
      <c r="AF80" s="93"/>
      <c r="AG80" s="93"/>
      <c r="AH80" s="93"/>
      <c r="AI80" s="93"/>
      <c r="AJ80" s="93"/>
      <c r="AK80" s="93"/>
      <c r="AL80" s="93"/>
      <c r="AM80" s="93"/>
      <c r="AN80" s="93"/>
      <c r="AO80" s="93"/>
      <c r="AP80" s="93"/>
    </row>
    <row r="81" ht="12.75" hidden="1" customHeight="1" outlineLevel="1">
      <c r="A81" s="90"/>
      <c r="B81" s="90"/>
      <c r="C81" s="90"/>
      <c r="D81" s="87" t="s">
        <v>301</v>
      </c>
      <c r="E81" s="87"/>
      <c r="F81" s="87"/>
      <c r="G81" s="87"/>
      <c r="H81" s="87"/>
      <c r="I81" s="87"/>
      <c r="J81" s="87"/>
      <c r="K81" s="87"/>
      <c r="L81" s="119" t="str">
        <f>'[6]Profit &amp; Loss'!$N$31+'[6]Profit &amp; Loss'!$N$40-L79</f>
        <v>#REF!</v>
      </c>
      <c r="M81" s="119">
        <f>Summary!I24</f>
        <v>1000000</v>
      </c>
      <c r="N81" s="119">
        <f>Summary!J24</f>
        <v>1000000</v>
      </c>
      <c r="O81" s="119">
        <f>Summary!K24</f>
        <v>1750000</v>
      </c>
      <c r="P81" s="119">
        <f>Summary!L24</f>
        <v>0</v>
      </c>
      <c r="Q81" s="119">
        <f>Summary!M24</f>
        <v>0</v>
      </c>
      <c r="R81" s="119"/>
      <c r="S81" s="119"/>
      <c r="T81" s="119">
        <v>0.0</v>
      </c>
      <c r="U81" s="119">
        <v>0.0</v>
      </c>
      <c r="V81" s="119">
        <v>0.0</v>
      </c>
      <c r="W81" s="119">
        <v>0.0</v>
      </c>
      <c r="X81" s="119">
        <v>0.0</v>
      </c>
      <c r="Y81" s="119">
        <v>0.0</v>
      </c>
      <c r="Z81" s="119">
        <v>0.0</v>
      </c>
      <c r="AA81" s="119">
        <v>0.0</v>
      </c>
      <c r="AB81" s="119">
        <v>0.0</v>
      </c>
      <c r="AC81" s="119">
        <v>0.0</v>
      </c>
      <c r="AD81" s="119">
        <v>0.0</v>
      </c>
      <c r="AE81" s="119">
        <v>0.0</v>
      </c>
      <c r="AF81" s="119">
        <v>0.0</v>
      </c>
      <c r="AG81" s="119">
        <v>0.0</v>
      </c>
      <c r="AH81" s="119">
        <v>0.0</v>
      </c>
      <c r="AI81" s="119">
        <v>0.0</v>
      </c>
      <c r="AJ81" s="119">
        <v>0.0</v>
      </c>
      <c r="AK81" s="119">
        <v>0.0</v>
      </c>
      <c r="AL81" s="119">
        <v>0.0</v>
      </c>
      <c r="AM81" s="119">
        <v>0.0</v>
      </c>
      <c r="AN81" s="119">
        <v>0.0</v>
      </c>
      <c r="AO81" s="119">
        <v>0.0</v>
      </c>
      <c r="AP81" s="119">
        <v>0.0</v>
      </c>
      <c r="AQ81" s="90"/>
      <c r="AR81" s="90"/>
      <c r="AS81" s="90"/>
      <c r="AT81" s="90"/>
      <c r="AU81" s="90"/>
      <c r="AV81" s="90"/>
    </row>
    <row r="82" ht="12.75" hidden="1" customHeight="1" outlineLevel="1">
      <c r="A82" s="67"/>
      <c r="B82" s="67"/>
      <c r="C82" s="67" t="s">
        <v>203</v>
      </c>
      <c r="D82" s="67"/>
      <c r="E82" s="67"/>
      <c r="F82" s="67"/>
      <c r="G82" s="67"/>
      <c r="H82" s="67"/>
      <c r="I82" s="67"/>
      <c r="J82" s="67"/>
      <c r="K82" s="67"/>
      <c r="L82" s="115" t="str">
        <f t="shared" ref="L82:AP82" si="43">SUM(L79:L81)</f>
        <v>#REF!</v>
      </c>
      <c r="M82" s="115">
        <f t="shared" si="43"/>
        <v>2937746.007</v>
      </c>
      <c r="N82" s="115">
        <f t="shared" si="43"/>
        <v>2455255.847</v>
      </c>
      <c r="O82" s="115">
        <f t="shared" si="43"/>
        <v>3467943.424</v>
      </c>
      <c r="P82" s="115">
        <f t="shared" si="43"/>
        <v>500000</v>
      </c>
      <c r="Q82" s="115">
        <f t="shared" si="43"/>
        <v>0</v>
      </c>
      <c r="R82" s="115">
        <f t="shared" si="43"/>
        <v>0</v>
      </c>
      <c r="S82" s="115">
        <f t="shared" si="43"/>
        <v>0</v>
      </c>
      <c r="T82" s="115">
        <f t="shared" si="43"/>
        <v>0</v>
      </c>
      <c r="U82" s="115">
        <f t="shared" si="43"/>
        <v>0</v>
      </c>
      <c r="V82" s="115">
        <f t="shared" si="43"/>
        <v>0</v>
      </c>
      <c r="W82" s="115">
        <f t="shared" si="43"/>
        <v>0</v>
      </c>
      <c r="X82" s="115">
        <f t="shared" si="43"/>
        <v>0</v>
      </c>
      <c r="Y82" s="115">
        <f t="shared" si="43"/>
        <v>0</v>
      </c>
      <c r="Z82" s="115">
        <f t="shared" si="43"/>
        <v>0</v>
      </c>
      <c r="AA82" s="115">
        <f t="shared" si="43"/>
        <v>0</v>
      </c>
      <c r="AB82" s="115">
        <f t="shared" si="43"/>
        <v>0</v>
      </c>
      <c r="AC82" s="115">
        <f t="shared" si="43"/>
        <v>0</v>
      </c>
      <c r="AD82" s="115">
        <f t="shared" si="43"/>
        <v>0</v>
      </c>
      <c r="AE82" s="115">
        <f t="shared" si="43"/>
        <v>0</v>
      </c>
      <c r="AF82" s="115">
        <f t="shared" si="43"/>
        <v>0</v>
      </c>
      <c r="AG82" s="115">
        <f t="shared" si="43"/>
        <v>0</v>
      </c>
      <c r="AH82" s="115">
        <f t="shared" si="43"/>
        <v>0</v>
      </c>
      <c r="AI82" s="115">
        <f t="shared" si="43"/>
        <v>0</v>
      </c>
      <c r="AJ82" s="115">
        <f t="shared" si="43"/>
        <v>0</v>
      </c>
      <c r="AK82" s="115">
        <f t="shared" si="43"/>
        <v>0</v>
      </c>
      <c r="AL82" s="115">
        <f t="shared" si="43"/>
        <v>0</v>
      </c>
      <c r="AM82" s="115">
        <f t="shared" si="43"/>
        <v>0</v>
      </c>
      <c r="AN82" s="115">
        <f t="shared" si="43"/>
        <v>0</v>
      </c>
      <c r="AO82" s="115">
        <f t="shared" si="43"/>
        <v>0</v>
      </c>
      <c r="AP82" s="115">
        <f t="shared" si="43"/>
        <v>0</v>
      </c>
      <c r="AQ82" s="142"/>
      <c r="AR82" s="142"/>
      <c r="AS82" s="142"/>
      <c r="AT82" s="142"/>
      <c r="AU82" s="142"/>
      <c r="AV82" s="142"/>
    </row>
    <row r="83" ht="12.75" hidden="1" customHeight="1" outlineLevel="1">
      <c r="A83" s="67"/>
      <c r="B83" s="67"/>
      <c r="C83" s="67"/>
      <c r="D83" s="67"/>
      <c r="E83" s="67"/>
      <c r="F83" s="67"/>
      <c r="G83" s="67"/>
      <c r="H83" s="67"/>
      <c r="I83" s="67"/>
      <c r="J83" s="67"/>
      <c r="K83" s="67"/>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42"/>
      <c r="AR83" s="142"/>
      <c r="AS83" s="142"/>
      <c r="AT83" s="142"/>
      <c r="AU83" s="142"/>
      <c r="AV83" s="142"/>
    </row>
    <row r="84" ht="12.75" hidden="1" customHeight="1" outlineLevel="1">
      <c r="A84" s="67"/>
      <c r="B84" s="67"/>
      <c r="C84" s="67" t="s">
        <v>302</v>
      </c>
      <c r="D84" s="67"/>
      <c r="E84" s="67"/>
      <c r="F84" s="67"/>
      <c r="G84" s="67"/>
      <c r="H84" s="67"/>
      <c r="I84" s="67"/>
      <c r="J84" s="67"/>
      <c r="K84" s="67"/>
      <c r="L84" s="115">
        <v>462279.0</v>
      </c>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42"/>
      <c r="AR84" s="142"/>
      <c r="AS84" s="142"/>
      <c r="AT84" s="142"/>
      <c r="AU84" s="142"/>
      <c r="AV84" s="142"/>
    </row>
    <row r="85" ht="12.75" hidden="1" customHeight="1" outlineLevel="1">
      <c r="A85" s="67"/>
      <c r="B85" s="67"/>
      <c r="C85" s="67"/>
      <c r="D85" s="67"/>
      <c r="E85" s="67"/>
      <c r="F85" s="67"/>
      <c r="G85" s="67"/>
      <c r="H85" s="67"/>
      <c r="I85" s="67"/>
      <c r="J85" s="67"/>
      <c r="K85" s="67"/>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42"/>
      <c r="AR85" s="142"/>
      <c r="AS85" s="142"/>
      <c r="AT85" s="142"/>
      <c r="AU85" s="142"/>
      <c r="AV85" s="142"/>
    </row>
    <row r="86" ht="12.75" hidden="1" customHeight="1" outlineLevel="1">
      <c r="A86" s="67"/>
      <c r="B86" s="67"/>
      <c r="C86" s="67" t="s">
        <v>303</v>
      </c>
      <c r="D86" s="67"/>
      <c r="E86" s="67"/>
      <c r="F86" s="67"/>
      <c r="G86" s="67"/>
      <c r="H86" s="67"/>
      <c r="I86" s="67"/>
      <c r="J86" s="67"/>
      <c r="K86" s="67"/>
      <c r="L86" s="115">
        <v>5723.17</v>
      </c>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42"/>
      <c r="AR86" s="142"/>
      <c r="AS86" s="142"/>
      <c r="AT86" s="142"/>
      <c r="AU86" s="142"/>
      <c r="AV86" s="142"/>
    </row>
    <row r="87" ht="12.75" hidden="1" customHeight="1" outlineLevel="1">
      <c r="A87" s="90"/>
      <c r="M87" s="93"/>
      <c r="N87" s="93"/>
      <c r="O87" s="93"/>
      <c r="P87" s="93"/>
      <c r="Q87" s="93"/>
      <c r="R87" s="93"/>
      <c r="S87" s="93"/>
      <c r="T87" s="93"/>
      <c r="U87" s="93"/>
      <c r="V87" s="93"/>
      <c r="W87" s="93"/>
      <c r="X87" s="93"/>
      <c r="Y87" s="93"/>
      <c r="Z87" s="93"/>
      <c r="AA87" s="93"/>
      <c r="AB87" s="93"/>
      <c r="AC87" s="93"/>
      <c r="AD87" s="93"/>
      <c r="AE87" s="93"/>
      <c r="AF87" s="93"/>
      <c r="AG87" s="93"/>
      <c r="AH87" s="93"/>
      <c r="AI87" s="93"/>
      <c r="AJ87" s="93"/>
      <c r="AK87" s="93"/>
      <c r="AL87" s="93"/>
      <c r="AM87" s="93"/>
      <c r="AN87" s="93"/>
      <c r="AO87" s="93"/>
      <c r="AP87" s="93"/>
    </row>
    <row r="88" ht="12.75" hidden="1" customHeight="1" outlineLevel="1">
      <c r="A88" s="90"/>
      <c r="B88" s="109" t="s">
        <v>239</v>
      </c>
      <c r="C88" s="143"/>
      <c r="D88" s="143"/>
      <c r="E88" s="143"/>
      <c r="F88" s="143"/>
      <c r="G88" s="143"/>
      <c r="H88" s="143"/>
      <c r="I88" s="143"/>
      <c r="J88" s="143"/>
      <c r="K88" s="143"/>
      <c r="L88" s="216" t="str">
        <f>L76+L82+L84+L86</f>
        <v>#REF!</v>
      </c>
      <c r="M88" s="112">
        <f t="shared" ref="M88:AP88" si="44">M82+M76</f>
        <v>4507348.632</v>
      </c>
      <c r="N88" s="112">
        <f t="shared" si="44"/>
        <v>4954736.708</v>
      </c>
      <c r="O88" s="112">
        <f t="shared" si="44"/>
        <v>7529039.45</v>
      </c>
      <c r="P88" s="112">
        <f t="shared" si="44"/>
        <v>7033903.876</v>
      </c>
      <c r="Q88" s="112">
        <f t="shared" si="44"/>
        <v>10815390.42</v>
      </c>
      <c r="R88" s="112">
        <f t="shared" si="44"/>
        <v>17564501.6</v>
      </c>
      <c r="S88" s="112">
        <f t="shared" si="44"/>
        <v>29382134.9</v>
      </c>
      <c r="T88" s="112">
        <f t="shared" si="44"/>
        <v>46052700.48</v>
      </c>
      <c r="U88" s="112">
        <f t="shared" si="44"/>
        <v>61385346.91</v>
      </c>
      <c r="V88" s="112">
        <f t="shared" si="44"/>
        <v>80492388.4</v>
      </c>
      <c r="W88" s="112">
        <f t="shared" si="44"/>
        <v>106119456.2</v>
      </c>
      <c r="X88" s="112">
        <f t="shared" si="44"/>
        <v>140521500.3</v>
      </c>
      <c r="Y88" s="112">
        <f t="shared" si="44"/>
        <v>192928938</v>
      </c>
      <c r="Z88" s="112">
        <f t="shared" si="44"/>
        <v>273888597.6</v>
      </c>
      <c r="AA88" s="112">
        <f t="shared" si="44"/>
        <v>382177580</v>
      </c>
      <c r="AB88" s="112">
        <f t="shared" si="44"/>
        <v>517015452</v>
      </c>
      <c r="AC88" s="112">
        <f t="shared" si="44"/>
        <v>678986477.1</v>
      </c>
      <c r="AD88" s="112">
        <f t="shared" si="44"/>
        <v>868810701.8</v>
      </c>
      <c r="AE88" s="112">
        <f t="shared" si="44"/>
        <v>1073864103</v>
      </c>
      <c r="AF88" s="112">
        <f t="shared" si="44"/>
        <v>1271453790</v>
      </c>
      <c r="AG88" s="112">
        <f t="shared" si="44"/>
        <v>1401721833</v>
      </c>
      <c r="AH88" s="112">
        <f t="shared" si="44"/>
        <v>1459870853</v>
      </c>
      <c r="AI88" s="112">
        <f t="shared" si="44"/>
        <v>1501990462</v>
      </c>
      <c r="AJ88" s="112">
        <f t="shared" si="44"/>
        <v>1532060285</v>
      </c>
      <c r="AK88" s="112">
        <f t="shared" si="44"/>
        <v>1561389726</v>
      </c>
      <c r="AL88" s="112">
        <f t="shared" si="44"/>
        <v>1591760849</v>
      </c>
      <c r="AM88" s="112">
        <f t="shared" si="44"/>
        <v>1623187032</v>
      </c>
      <c r="AN88" s="112">
        <f t="shared" si="44"/>
        <v>1655605621</v>
      </c>
      <c r="AO88" s="112" t="str">
        <f t="shared" si="44"/>
        <v>#REF!</v>
      </c>
      <c r="AP88" s="112" t="str">
        <f t="shared" si="44"/>
        <v>#REF!</v>
      </c>
      <c r="AQ88" s="216"/>
      <c r="AR88" s="216"/>
      <c r="AS88" s="216"/>
      <c r="AT88" s="216"/>
      <c r="AU88" s="216"/>
      <c r="AV88" s="216"/>
    </row>
    <row r="89" ht="12.75" hidden="1" customHeight="1" outlineLevel="1">
      <c r="A89" s="90"/>
      <c r="B89" s="67"/>
      <c r="L89" s="142"/>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42"/>
      <c r="AR89" s="142"/>
      <c r="AS89" s="142"/>
      <c r="AT89" s="142"/>
      <c r="AU89" s="142"/>
      <c r="AV89" s="142"/>
    </row>
    <row r="90" ht="12.75" hidden="1" customHeight="1" outlineLevel="1">
      <c r="A90" s="90"/>
      <c r="B90" s="67" t="s">
        <v>304</v>
      </c>
      <c r="L90" s="113"/>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row>
    <row r="91" ht="12.75" hidden="1" customHeight="1" outlineLevel="2">
      <c r="A91" s="90"/>
      <c r="B91" s="67"/>
      <c r="E91" s="68" t="s">
        <v>305</v>
      </c>
      <c r="L91" s="152">
        <f>Assumptions!D59</f>
        <v>0</v>
      </c>
      <c r="M91" s="91">
        <f>Assumptions!E59</f>
        <v>0.02</v>
      </c>
      <c r="N91" s="91">
        <f>Assumptions!F59</f>
        <v>0.02</v>
      </c>
      <c r="O91" s="91">
        <f>Assumptions!G59</f>
        <v>0.02</v>
      </c>
      <c r="P91" s="91">
        <f>Assumptions!H59</f>
        <v>0.02</v>
      </c>
      <c r="Q91" s="91">
        <f>Assumptions!I59</f>
        <v>0.02</v>
      </c>
      <c r="R91" s="91">
        <f t="shared" ref="R91:AP91" si="45">Q91</f>
        <v>0.02</v>
      </c>
      <c r="S91" s="91">
        <f t="shared" si="45"/>
        <v>0.02</v>
      </c>
      <c r="T91" s="91">
        <f t="shared" si="45"/>
        <v>0.02</v>
      </c>
      <c r="U91" s="91">
        <f t="shared" si="45"/>
        <v>0.02</v>
      </c>
      <c r="V91" s="91">
        <f t="shared" si="45"/>
        <v>0.02</v>
      </c>
      <c r="W91" s="91">
        <f t="shared" si="45"/>
        <v>0.02</v>
      </c>
      <c r="X91" s="91">
        <f t="shared" si="45"/>
        <v>0.02</v>
      </c>
      <c r="Y91" s="91">
        <f t="shared" si="45"/>
        <v>0.02</v>
      </c>
      <c r="Z91" s="91">
        <f t="shared" si="45"/>
        <v>0.02</v>
      </c>
      <c r="AA91" s="91">
        <f t="shared" si="45"/>
        <v>0.02</v>
      </c>
      <c r="AB91" s="91">
        <f t="shared" si="45"/>
        <v>0.02</v>
      </c>
      <c r="AC91" s="91">
        <f t="shared" si="45"/>
        <v>0.02</v>
      </c>
      <c r="AD91" s="91">
        <f t="shared" si="45"/>
        <v>0.02</v>
      </c>
      <c r="AE91" s="91">
        <f t="shared" si="45"/>
        <v>0.02</v>
      </c>
      <c r="AF91" s="91">
        <f t="shared" si="45"/>
        <v>0.02</v>
      </c>
      <c r="AG91" s="91">
        <f t="shared" si="45"/>
        <v>0.02</v>
      </c>
      <c r="AH91" s="91">
        <f t="shared" si="45"/>
        <v>0.02</v>
      </c>
      <c r="AI91" s="91">
        <f t="shared" si="45"/>
        <v>0.02</v>
      </c>
      <c r="AJ91" s="91">
        <f t="shared" si="45"/>
        <v>0.02</v>
      </c>
      <c r="AK91" s="91">
        <f t="shared" si="45"/>
        <v>0.02</v>
      </c>
      <c r="AL91" s="91">
        <f t="shared" si="45"/>
        <v>0.02</v>
      </c>
      <c r="AM91" s="91">
        <f t="shared" si="45"/>
        <v>0.02</v>
      </c>
      <c r="AN91" s="91">
        <f t="shared" si="45"/>
        <v>0.02</v>
      </c>
      <c r="AO91" s="91">
        <f t="shared" si="45"/>
        <v>0.02</v>
      </c>
      <c r="AP91" s="91">
        <f t="shared" si="45"/>
        <v>0.02</v>
      </c>
      <c r="AQ91" s="152"/>
      <c r="AR91" s="152"/>
    </row>
    <row r="92" ht="12.75" hidden="1" customHeight="1" outlineLevel="2">
      <c r="A92" s="90"/>
      <c r="B92" s="67"/>
      <c r="E92" s="68" t="s">
        <v>306</v>
      </c>
      <c r="L92" s="152">
        <f>1+L91</f>
        <v>1</v>
      </c>
      <c r="M92" s="91">
        <f t="shared" ref="M92:AP92" si="46">L92*(1+M91)</f>
        <v>1.02</v>
      </c>
      <c r="N92" s="91">
        <f t="shared" si="46"/>
        <v>1.0404</v>
      </c>
      <c r="O92" s="91">
        <f t="shared" si="46"/>
        <v>1.061208</v>
      </c>
      <c r="P92" s="91">
        <f t="shared" si="46"/>
        <v>1.08243216</v>
      </c>
      <c r="Q92" s="91">
        <f t="shared" si="46"/>
        <v>1.104080803</v>
      </c>
      <c r="R92" s="91">
        <f t="shared" si="46"/>
        <v>1.126162419</v>
      </c>
      <c r="S92" s="91">
        <f t="shared" si="46"/>
        <v>1.148685668</v>
      </c>
      <c r="T92" s="91">
        <f t="shared" si="46"/>
        <v>1.171659381</v>
      </c>
      <c r="U92" s="91">
        <f t="shared" si="46"/>
        <v>1.195092569</v>
      </c>
      <c r="V92" s="91">
        <f t="shared" si="46"/>
        <v>1.21899442</v>
      </c>
      <c r="W92" s="91">
        <f t="shared" si="46"/>
        <v>1.243374308</v>
      </c>
      <c r="X92" s="91">
        <f t="shared" si="46"/>
        <v>1.268241795</v>
      </c>
      <c r="Y92" s="91">
        <f t="shared" si="46"/>
        <v>1.29360663</v>
      </c>
      <c r="Z92" s="91">
        <f t="shared" si="46"/>
        <v>1.319478763</v>
      </c>
      <c r="AA92" s="91">
        <f t="shared" si="46"/>
        <v>1.345868338</v>
      </c>
      <c r="AB92" s="91">
        <f t="shared" si="46"/>
        <v>1.372785705</v>
      </c>
      <c r="AC92" s="91">
        <f t="shared" si="46"/>
        <v>1.400241419</v>
      </c>
      <c r="AD92" s="91">
        <f t="shared" si="46"/>
        <v>1.428246248</v>
      </c>
      <c r="AE92" s="91">
        <f t="shared" si="46"/>
        <v>1.456811173</v>
      </c>
      <c r="AF92" s="91">
        <f t="shared" si="46"/>
        <v>1.485947396</v>
      </c>
      <c r="AG92" s="91">
        <f t="shared" si="46"/>
        <v>1.515666344</v>
      </c>
      <c r="AH92" s="91">
        <f t="shared" si="46"/>
        <v>1.545979671</v>
      </c>
      <c r="AI92" s="91">
        <f t="shared" si="46"/>
        <v>1.576899264</v>
      </c>
      <c r="AJ92" s="91">
        <f t="shared" si="46"/>
        <v>1.608437249</v>
      </c>
      <c r="AK92" s="91">
        <f t="shared" si="46"/>
        <v>1.640605994</v>
      </c>
      <c r="AL92" s="91">
        <f t="shared" si="46"/>
        <v>1.673418114</v>
      </c>
      <c r="AM92" s="91">
        <f t="shared" si="46"/>
        <v>1.706886477</v>
      </c>
      <c r="AN92" s="91">
        <f t="shared" si="46"/>
        <v>1.741024206</v>
      </c>
      <c r="AO92" s="91">
        <f t="shared" si="46"/>
        <v>1.77584469</v>
      </c>
      <c r="AP92" s="91">
        <f t="shared" si="46"/>
        <v>1.811361584</v>
      </c>
      <c r="AQ92" s="152"/>
      <c r="AR92" s="152"/>
    </row>
    <row r="93" ht="12.75" hidden="1" customHeight="1" outlineLevel="1">
      <c r="A93" s="90"/>
      <c r="B93" s="67"/>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row>
    <row r="94" ht="12.75" hidden="1" customHeight="1" outlineLevel="1">
      <c r="A94" s="67"/>
      <c r="B94" s="67" t="s">
        <v>278</v>
      </c>
      <c r="C94" s="67"/>
      <c r="D94" s="67"/>
      <c r="E94" s="67"/>
      <c r="F94" s="67"/>
      <c r="G94" s="67"/>
      <c r="H94" s="67"/>
      <c r="I94" s="86"/>
      <c r="J94" s="217"/>
      <c r="K94" s="218"/>
      <c r="L94" s="218"/>
      <c r="M94" s="188"/>
      <c r="N94" s="188"/>
      <c r="O94" s="188"/>
      <c r="P94" s="188"/>
      <c r="Q94" s="188"/>
      <c r="R94" s="188"/>
      <c r="S94" s="188"/>
      <c r="T94" s="188"/>
      <c r="U94" s="188"/>
      <c r="V94" s="188"/>
      <c r="W94" s="188"/>
      <c r="X94" s="188"/>
      <c r="Y94" s="188"/>
      <c r="Z94" s="188"/>
      <c r="AA94" s="188"/>
      <c r="AB94" s="188"/>
      <c r="AC94" s="188"/>
      <c r="AD94" s="188"/>
      <c r="AE94" s="63"/>
      <c r="AF94" s="63"/>
      <c r="AG94" s="63"/>
      <c r="AH94" s="63"/>
      <c r="AI94" s="63"/>
      <c r="AJ94" s="63"/>
      <c r="AK94" s="63"/>
      <c r="AL94" s="63"/>
      <c r="AM94" s="63"/>
      <c r="AN94" s="63"/>
      <c r="AO94" s="63"/>
      <c r="AP94" s="63"/>
      <c r="AQ94" s="67"/>
      <c r="AR94" s="67"/>
      <c r="AS94" s="67"/>
      <c r="AT94" s="67"/>
      <c r="AU94" s="67"/>
      <c r="AV94" s="67"/>
    </row>
    <row r="95" ht="12.75" hidden="1" customHeight="1" outlineLevel="1">
      <c r="A95" s="67"/>
      <c r="B95" s="67"/>
      <c r="C95" s="102" t="s">
        <v>307</v>
      </c>
      <c r="D95" s="67"/>
      <c r="E95" s="67"/>
      <c r="F95" s="67"/>
      <c r="G95" s="67"/>
      <c r="H95" s="67"/>
      <c r="I95" s="86"/>
      <c r="J95" s="217"/>
      <c r="K95" s="218"/>
      <c r="L95" s="218"/>
      <c r="M95" s="93">
        <f>'National Staffing'!K15</f>
        <v>224400</v>
      </c>
      <c r="N95" s="93">
        <f>'National Staffing'!L15</f>
        <v>291312</v>
      </c>
      <c r="O95" s="93">
        <f>'National Staffing'!M15</f>
        <v>297138.24</v>
      </c>
      <c r="P95" s="93">
        <f>'National Staffing'!N15</f>
        <v>432972.864</v>
      </c>
      <c r="Q95" s="93">
        <f>'National Staffing'!O15</f>
        <v>507877.1695</v>
      </c>
      <c r="R95" s="93">
        <f>'National Staffing'!P15</f>
        <v>653174.2032</v>
      </c>
      <c r="S95" s="93">
        <f>'National Staffing'!Q15</f>
        <v>804079.9674</v>
      </c>
      <c r="T95" s="93">
        <f>'National Staffing'!R15</f>
        <v>1054493.443</v>
      </c>
      <c r="U95" s="93">
        <f>'National Staffing'!S15</f>
        <v>1458012.934</v>
      </c>
      <c r="V95" s="93">
        <f>'National Staffing'!T15</f>
        <v>2218569.844</v>
      </c>
      <c r="W95" s="93">
        <f>'National Staffing'!U15</f>
        <v>2959230.854</v>
      </c>
      <c r="X95" s="93">
        <f>'National Staffing'!V15</f>
        <v>3018415.471</v>
      </c>
      <c r="Y95" s="93">
        <f>'National Staffing'!W15</f>
        <v>3078783.78</v>
      </c>
      <c r="Z95" s="93">
        <f>'National Staffing'!X15</f>
        <v>3140359.456</v>
      </c>
      <c r="AA95" s="93">
        <f>'National Staffing'!Y15</f>
        <v>3203166.645</v>
      </c>
      <c r="AB95" s="93">
        <f>'National Staffing'!Z15</f>
        <v>3267229.978</v>
      </c>
      <c r="AC95" s="93">
        <f>'National Staffing'!AA15</f>
        <v>3332574.578</v>
      </c>
      <c r="AD95" s="93">
        <f>'National Staffing'!AB15</f>
        <v>3399226.069</v>
      </c>
      <c r="AE95" s="93">
        <f>'National Staffing'!AC15</f>
        <v>3467210.591</v>
      </c>
      <c r="AF95" s="93">
        <f>'National Staffing'!AD15</f>
        <v>3536554.802</v>
      </c>
      <c r="AG95" s="93">
        <f>'National Staffing'!AE15</f>
        <v>3607285.898</v>
      </c>
      <c r="AH95" s="93">
        <f>'National Staffing'!AF15</f>
        <v>3679431.616</v>
      </c>
      <c r="AI95" s="93">
        <f>'National Staffing'!AG15</f>
        <v>3753020.249</v>
      </c>
      <c r="AJ95" s="93">
        <f>'National Staffing'!AH15</f>
        <v>3828080.654</v>
      </c>
      <c r="AK95" s="93">
        <f>'National Staffing'!AI15</f>
        <v>3904642.267</v>
      </c>
      <c r="AL95" s="93">
        <f>'National Staffing'!AJ15</f>
        <v>3982735.112</v>
      </c>
      <c r="AM95" s="63"/>
      <c r="AN95" s="63"/>
      <c r="AO95" s="63"/>
      <c r="AP95" s="63"/>
      <c r="AQ95" s="67"/>
      <c r="AR95" s="67"/>
      <c r="AS95" s="67"/>
      <c r="AT95" s="67"/>
      <c r="AU95" s="67"/>
      <c r="AV95" s="67"/>
    </row>
    <row r="96" ht="12.75" hidden="1" customHeight="1" outlineLevel="1">
      <c r="A96" s="67"/>
      <c r="B96" s="67"/>
      <c r="C96" s="102" t="s">
        <v>308</v>
      </c>
      <c r="D96" s="67"/>
      <c r="E96" s="67"/>
      <c r="F96" s="67"/>
      <c r="G96" s="67"/>
      <c r="H96" s="67"/>
      <c r="I96" s="86"/>
      <c r="J96" s="217"/>
      <c r="K96" s="218"/>
      <c r="L96" s="218"/>
      <c r="M96" s="93">
        <f>'National Staffing'!K16</f>
        <v>224400</v>
      </c>
      <c r="N96" s="93">
        <f>'National Staffing'!L16</f>
        <v>291312</v>
      </c>
      <c r="O96" s="93">
        <f>'National Staffing'!M16</f>
        <v>297138.24</v>
      </c>
      <c r="P96" s="93">
        <f>'National Staffing'!N16</f>
        <v>389675.5776</v>
      </c>
      <c r="Q96" s="93">
        <f>'National Staffing'!O16</f>
        <v>397469.0892</v>
      </c>
      <c r="R96" s="93">
        <f>'National Staffing'!P16</f>
        <v>472988.2161</v>
      </c>
      <c r="S96" s="93">
        <f>'National Staffing'!Q16</f>
        <v>620290.2605</v>
      </c>
      <c r="T96" s="93">
        <f>'National Staffing'!R16</f>
        <v>913894.3172</v>
      </c>
      <c r="U96" s="93">
        <f>'National Staffing'!S16</f>
        <v>1003877.758</v>
      </c>
      <c r="V96" s="93">
        <f>'National Staffing'!T16</f>
        <v>1779731.853</v>
      </c>
      <c r="W96" s="93">
        <f>'National Staffing'!U16</f>
        <v>2561351.075</v>
      </c>
      <c r="X96" s="93">
        <f>'National Staffing'!V16</f>
        <v>2612578.097</v>
      </c>
      <c r="Y96" s="93">
        <f>'National Staffing'!W16</f>
        <v>2664829.659</v>
      </c>
      <c r="Z96" s="93">
        <f>'National Staffing'!X16</f>
        <v>2718126.252</v>
      </c>
      <c r="AA96" s="93">
        <f>'National Staffing'!Y16</f>
        <v>2772488.777</v>
      </c>
      <c r="AB96" s="93">
        <f>'National Staffing'!Z16</f>
        <v>2827938.552</v>
      </c>
      <c r="AC96" s="93">
        <f>'National Staffing'!AA16</f>
        <v>2884497.324</v>
      </c>
      <c r="AD96" s="93">
        <f>'National Staffing'!AB16</f>
        <v>2942187.27</v>
      </c>
      <c r="AE96" s="93">
        <f>'National Staffing'!AC16</f>
        <v>3001031.015</v>
      </c>
      <c r="AF96" s="93">
        <f>'National Staffing'!AD16</f>
        <v>3061051.636</v>
      </c>
      <c r="AG96" s="93">
        <f>'National Staffing'!AE16</f>
        <v>3122272.668</v>
      </c>
      <c r="AH96" s="93">
        <f>'National Staffing'!AF16</f>
        <v>3184718.122</v>
      </c>
      <c r="AI96" s="93">
        <f>'National Staffing'!AG16</f>
        <v>3248412.484</v>
      </c>
      <c r="AJ96" s="93">
        <f>'National Staffing'!AH16</f>
        <v>3313380.734</v>
      </c>
      <c r="AK96" s="93">
        <f>'National Staffing'!AI16</f>
        <v>3379648.349</v>
      </c>
      <c r="AL96" s="93">
        <f>'National Staffing'!AJ16</f>
        <v>3447241.316</v>
      </c>
      <c r="AM96" s="63"/>
      <c r="AN96" s="63"/>
      <c r="AO96" s="63"/>
      <c r="AP96" s="63"/>
      <c r="AQ96" s="67"/>
      <c r="AR96" s="67"/>
      <c r="AS96" s="67"/>
      <c r="AT96" s="67"/>
      <c r="AU96" s="67"/>
      <c r="AV96" s="67"/>
    </row>
    <row r="97" ht="12.75" hidden="1" customHeight="1" outlineLevel="1">
      <c r="A97" s="67"/>
      <c r="B97" s="67"/>
      <c r="C97" s="219" t="s">
        <v>137</v>
      </c>
      <c r="D97" s="67"/>
      <c r="E97" s="67"/>
      <c r="F97" s="67"/>
      <c r="G97" s="67"/>
      <c r="H97" s="67"/>
      <c r="I97" s="86"/>
      <c r="J97" s="217"/>
      <c r="K97" s="218"/>
      <c r="L97" s="218"/>
      <c r="M97" s="93">
        <f>'National Staffing'!K17</f>
        <v>142800</v>
      </c>
      <c r="N97" s="93">
        <f>'National Staffing'!L17</f>
        <v>145656</v>
      </c>
      <c r="O97" s="93">
        <f>'National Staffing'!M17</f>
        <v>212241.6</v>
      </c>
      <c r="P97" s="93">
        <f>'National Staffing'!N17</f>
        <v>216486.432</v>
      </c>
      <c r="Q97" s="93">
        <f>'National Staffing'!O17</f>
        <v>220816.1606</v>
      </c>
      <c r="R97" s="93">
        <f>'National Staffing'!P17</f>
        <v>225232.4839</v>
      </c>
      <c r="S97" s="93">
        <f>'National Staffing'!Q17</f>
        <v>229737.1335</v>
      </c>
      <c r="T97" s="93">
        <f>'National Staffing'!R17</f>
        <v>234331.8762</v>
      </c>
      <c r="U97" s="93">
        <f>'National Staffing'!S17</f>
        <v>239018.5137</v>
      </c>
      <c r="V97" s="93">
        <f>'National Staffing'!T17</f>
        <v>243798.884</v>
      </c>
      <c r="W97" s="93">
        <f>'National Staffing'!U17</f>
        <v>248674.8617</v>
      </c>
      <c r="X97" s="93">
        <f>'National Staffing'!V17</f>
        <v>253648.3589</v>
      </c>
      <c r="Y97" s="93">
        <f>'National Staffing'!W17</f>
        <v>258721.3261</v>
      </c>
      <c r="Z97" s="93">
        <f>'National Staffing'!X17</f>
        <v>263895.7526</v>
      </c>
      <c r="AA97" s="93">
        <f>'National Staffing'!Y17</f>
        <v>269173.6677</v>
      </c>
      <c r="AB97" s="93">
        <f>'National Staffing'!Z17</f>
        <v>274557.141</v>
      </c>
      <c r="AC97" s="93">
        <f>'National Staffing'!AA17</f>
        <v>280048.2838</v>
      </c>
      <c r="AD97" s="93">
        <f>'National Staffing'!AB17</f>
        <v>285649.2495</v>
      </c>
      <c r="AE97" s="93">
        <f>'National Staffing'!AC17</f>
        <v>291362.2345</v>
      </c>
      <c r="AF97" s="93">
        <f>'National Staffing'!AD17</f>
        <v>297189.4792</v>
      </c>
      <c r="AG97" s="93">
        <f>'National Staffing'!AE17</f>
        <v>303133.2688</v>
      </c>
      <c r="AH97" s="93">
        <f>'National Staffing'!AF17</f>
        <v>309195.9342</v>
      </c>
      <c r="AI97" s="93">
        <f>'National Staffing'!AG17</f>
        <v>315379.8528</v>
      </c>
      <c r="AJ97" s="93">
        <f>'National Staffing'!AH17</f>
        <v>321687.4499</v>
      </c>
      <c r="AK97" s="93">
        <f>'National Staffing'!AI17</f>
        <v>328121.1989</v>
      </c>
      <c r="AL97" s="93">
        <f>'National Staffing'!AJ17</f>
        <v>334683.6229</v>
      </c>
      <c r="AM97" s="63"/>
      <c r="AN97" s="63"/>
      <c r="AO97" s="63"/>
      <c r="AP97" s="63"/>
      <c r="AQ97" s="67"/>
      <c r="AR97" s="67"/>
      <c r="AS97" s="67"/>
      <c r="AT97" s="67"/>
      <c r="AU97" s="67"/>
      <c r="AV97" s="67"/>
    </row>
    <row r="98" ht="12.75" hidden="1" customHeight="1" outlineLevel="1">
      <c r="A98" s="67"/>
      <c r="B98" s="67"/>
      <c r="C98" s="219" t="s">
        <v>266</v>
      </c>
      <c r="D98" s="67"/>
      <c r="E98" s="67"/>
      <c r="F98" s="67"/>
      <c r="G98" s="67"/>
      <c r="H98" s="67"/>
      <c r="I98" s="86"/>
      <c r="J98" s="217"/>
      <c r="K98" s="218"/>
      <c r="L98" s="218"/>
      <c r="M98" s="93">
        <f>'National Staffing'!K18</f>
        <v>0</v>
      </c>
      <c r="N98" s="93">
        <f>'National Staffing'!L18</f>
        <v>312120</v>
      </c>
      <c r="O98" s="93">
        <f>'National Staffing'!M18</f>
        <v>509379.84</v>
      </c>
      <c r="P98" s="93">
        <f>'National Staffing'!N18</f>
        <v>692756.5824</v>
      </c>
      <c r="Q98" s="93">
        <f>'National Staffing'!O18</f>
        <v>905346.2586</v>
      </c>
      <c r="R98" s="93">
        <f>'National Staffing'!P18</f>
        <v>1103639.171</v>
      </c>
      <c r="S98" s="93">
        <f>'National Staffing'!Q18</f>
        <v>1458830.798</v>
      </c>
      <c r="T98" s="93">
        <f>'National Staffing'!R18</f>
        <v>1628606.54</v>
      </c>
      <c r="U98" s="93">
        <f>'National Staffing'!S18</f>
        <v>2079461.069</v>
      </c>
      <c r="V98" s="93">
        <f>'National Staffing'!T18</f>
        <v>1767541.909</v>
      </c>
      <c r="W98" s="93">
        <f>'National Staffing'!U18</f>
        <v>1467181.684</v>
      </c>
      <c r="X98" s="93">
        <f>'National Staffing'!V18</f>
        <v>1775538.512</v>
      </c>
      <c r="Y98" s="93">
        <f>'National Staffing'!W18</f>
        <v>2147387.007</v>
      </c>
      <c r="Z98" s="93">
        <f>'National Staffing'!X18</f>
        <v>2850074.128</v>
      </c>
      <c r="AA98" s="93">
        <f>'National Staffing'!Y18</f>
        <v>3701137.93</v>
      </c>
      <c r="AB98" s="93">
        <f>'National Staffing'!Z18</f>
        <v>4543920.684</v>
      </c>
      <c r="AC98" s="93">
        <f>'National Staffing'!AA18</f>
        <v>5390929.464</v>
      </c>
      <c r="AD98" s="93">
        <f>'National Staffing'!AB18</f>
        <v>6884146.913</v>
      </c>
      <c r="AE98" s="93">
        <f>'National Staffing'!AC18</f>
        <v>8129006.343</v>
      </c>
      <c r="AF98" s="93">
        <f>'National Staffing'!AD18</f>
        <v>9093998.063</v>
      </c>
      <c r="AG98" s="93">
        <f>'National Staffing'!AE18</f>
        <v>9275878.025</v>
      </c>
      <c r="AH98" s="93">
        <f>'National Staffing'!AF18</f>
        <v>9461395.585</v>
      </c>
      <c r="AI98" s="93">
        <f>'National Staffing'!AG18</f>
        <v>9650623.497</v>
      </c>
      <c r="AJ98" s="93">
        <f>'National Staffing'!AH18</f>
        <v>9843635.967</v>
      </c>
      <c r="AK98" s="93">
        <f>'National Staffing'!AI18</f>
        <v>10040508.69</v>
      </c>
      <c r="AL98" s="93">
        <f>'National Staffing'!AJ18</f>
        <v>10241318.86</v>
      </c>
      <c r="AM98" s="63"/>
      <c r="AN98" s="63"/>
      <c r="AO98" s="63"/>
      <c r="AP98" s="63"/>
      <c r="AQ98" s="67"/>
      <c r="AR98" s="67"/>
      <c r="AS98" s="67"/>
      <c r="AT98" s="67"/>
      <c r="AU98" s="67"/>
      <c r="AV98" s="67"/>
    </row>
    <row r="99" ht="12.75" hidden="1" customHeight="1" outlineLevel="1">
      <c r="A99" s="67"/>
      <c r="B99" s="67"/>
      <c r="C99" s="219" t="s">
        <v>265</v>
      </c>
      <c r="D99" s="67"/>
      <c r="E99" s="67"/>
      <c r="F99" s="67"/>
      <c r="G99" s="67"/>
      <c r="H99" s="67"/>
      <c r="I99" s="86"/>
      <c r="J99" s="217"/>
      <c r="K99" s="218"/>
      <c r="L99" s="218"/>
      <c r="M99" s="93">
        <f>'National Staffing'!K19</f>
        <v>0</v>
      </c>
      <c r="N99" s="93">
        <f>'National Staffing'!L19</f>
        <v>145656</v>
      </c>
      <c r="O99" s="93">
        <f>'National Staffing'!M19</f>
        <v>148569.12</v>
      </c>
      <c r="P99" s="93">
        <f>'National Staffing'!N19</f>
        <v>151540.5024</v>
      </c>
      <c r="Q99" s="93">
        <f>'National Staffing'!O19</f>
        <v>154571.3124</v>
      </c>
      <c r="R99" s="93">
        <f>'National Staffing'!P19</f>
        <v>157662.7387</v>
      </c>
      <c r="S99" s="93">
        <f>'National Staffing'!Q19</f>
        <v>160815.9935</v>
      </c>
      <c r="T99" s="93">
        <f>'National Staffing'!R19</f>
        <v>164032.3133</v>
      </c>
      <c r="U99" s="93">
        <f>'National Staffing'!S19</f>
        <v>167312.9596</v>
      </c>
      <c r="V99" s="93">
        <f>'National Staffing'!T19</f>
        <v>170659.2188</v>
      </c>
      <c r="W99" s="93">
        <f>'National Staffing'!U19</f>
        <v>174072.4032</v>
      </c>
      <c r="X99" s="93">
        <f>'National Staffing'!V19</f>
        <v>177553.8512</v>
      </c>
      <c r="Y99" s="93">
        <f>'National Staffing'!W19</f>
        <v>181104.9283</v>
      </c>
      <c r="Z99" s="93">
        <f>'National Staffing'!X19</f>
        <v>184727.0268</v>
      </c>
      <c r="AA99" s="93">
        <f>'National Staffing'!Y19</f>
        <v>188421.5674</v>
      </c>
      <c r="AB99" s="93">
        <f>'National Staffing'!Z19</f>
        <v>192189.9987</v>
      </c>
      <c r="AC99" s="93">
        <f>'National Staffing'!AA19</f>
        <v>196033.7987</v>
      </c>
      <c r="AD99" s="93">
        <f>'National Staffing'!AB19</f>
        <v>199954.4747</v>
      </c>
      <c r="AE99" s="93">
        <f>'National Staffing'!AC19</f>
        <v>203953.5642</v>
      </c>
      <c r="AF99" s="93">
        <f>'National Staffing'!AD19</f>
        <v>208032.6354</v>
      </c>
      <c r="AG99" s="93">
        <f>'National Staffing'!AE19</f>
        <v>212193.2881</v>
      </c>
      <c r="AH99" s="93">
        <f>'National Staffing'!AF19</f>
        <v>216437.1539</v>
      </c>
      <c r="AI99" s="93">
        <f>'National Staffing'!AG19</f>
        <v>220765.897</v>
      </c>
      <c r="AJ99" s="93">
        <f>'National Staffing'!AH19</f>
        <v>225181.2149</v>
      </c>
      <c r="AK99" s="93">
        <f>'National Staffing'!AI19</f>
        <v>229684.8392</v>
      </c>
      <c r="AL99" s="93">
        <f>'National Staffing'!AJ19</f>
        <v>234278.536</v>
      </c>
      <c r="AM99" s="63"/>
      <c r="AN99" s="63"/>
      <c r="AO99" s="63"/>
      <c r="AP99" s="63"/>
      <c r="AQ99" s="67"/>
      <c r="AR99" s="67"/>
      <c r="AS99" s="67"/>
      <c r="AT99" s="67"/>
      <c r="AU99" s="67"/>
      <c r="AV99" s="67"/>
    </row>
    <row r="100" ht="12.75" hidden="1" customHeight="1" outlineLevel="1">
      <c r="A100" s="67"/>
      <c r="B100" s="67"/>
      <c r="C100" s="219" t="s">
        <v>138</v>
      </c>
      <c r="D100" s="67"/>
      <c r="E100" s="67"/>
      <c r="F100" s="67"/>
      <c r="G100" s="67"/>
      <c r="H100" s="67"/>
      <c r="I100" s="86"/>
      <c r="J100" s="217"/>
      <c r="K100" s="218"/>
      <c r="L100" s="65"/>
      <c r="M100" s="93" t="str">
        <f>'National Staffing'!K20</f>
        <v>#REF!</v>
      </c>
      <c r="N100" s="93" t="str">
        <f>'National Staffing'!L20</f>
        <v>#REF!</v>
      </c>
      <c r="O100" s="93" t="str">
        <f>'National Staffing'!M20</f>
        <v>#REF!</v>
      </c>
      <c r="P100" s="93" t="str">
        <f>'National Staffing'!N20</f>
        <v>#REF!</v>
      </c>
      <c r="Q100" s="93" t="str">
        <f>'National Staffing'!O20</f>
        <v>#REF!</v>
      </c>
      <c r="R100" s="93" t="str">
        <f>'National Staffing'!P20</f>
        <v>#REF!</v>
      </c>
      <c r="S100" s="93" t="str">
        <f>'National Staffing'!Q20</f>
        <v>#REF!</v>
      </c>
      <c r="T100" s="93" t="str">
        <f>'National Staffing'!R20</f>
        <v>#REF!</v>
      </c>
      <c r="U100" s="93" t="str">
        <f>'National Staffing'!S20</f>
        <v>#REF!</v>
      </c>
      <c r="V100" s="93" t="str">
        <f>'National Staffing'!T20</f>
        <v>#REF!</v>
      </c>
      <c r="W100" s="93" t="str">
        <f>'National Staffing'!U20</f>
        <v>#REF!</v>
      </c>
      <c r="X100" s="93" t="str">
        <f>'National Staffing'!V20</f>
        <v>#REF!</v>
      </c>
      <c r="Y100" s="93" t="str">
        <f>'National Staffing'!W20</f>
        <v>#REF!</v>
      </c>
      <c r="Z100" s="93" t="str">
        <f>'National Staffing'!X20</f>
        <v>#REF!</v>
      </c>
      <c r="AA100" s="93" t="str">
        <f>'National Staffing'!Y20</f>
        <v>#REF!</v>
      </c>
      <c r="AB100" s="93" t="str">
        <f>'National Staffing'!Z20</f>
        <v>#REF!</v>
      </c>
      <c r="AC100" s="93" t="str">
        <f>'National Staffing'!AA20</f>
        <v>#REF!</v>
      </c>
      <c r="AD100" s="93" t="str">
        <f>'National Staffing'!AB20</f>
        <v>#REF!</v>
      </c>
      <c r="AE100" s="93" t="str">
        <f>'National Staffing'!AC20</f>
        <v>#REF!</v>
      </c>
      <c r="AF100" s="93" t="str">
        <f>'National Staffing'!AD20</f>
        <v>#REF!</v>
      </c>
      <c r="AG100" s="93" t="str">
        <f>'National Staffing'!AE20</f>
        <v>#REF!</v>
      </c>
      <c r="AH100" s="93" t="str">
        <f>'National Staffing'!AF20</f>
        <v>#REF!</v>
      </c>
      <c r="AI100" s="93" t="str">
        <f>'National Staffing'!AG20</f>
        <v>#REF!</v>
      </c>
      <c r="AJ100" s="93" t="str">
        <f>'National Staffing'!AH20</f>
        <v>#REF!</v>
      </c>
      <c r="AK100" s="93" t="str">
        <f>'National Staffing'!AI20</f>
        <v>#REF!</v>
      </c>
      <c r="AL100" s="93" t="str">
        <f>'National Staffing'!AJ20</f>
        <v>#REF!</v>
      </c>
      <c r="AM100" s="93" t="str">
        <f>'National Staffing'!AK24</f>
        <v>#REF!</v>
      </c>
      <c r="AN100" s="93" t="str">
        <f>'National Staffing'!AL24</f>
        <v>#REF!</v>
      </c>
      <c r="AO100" s="93" t="str">
        <f>'National Staffing'!AM24</f>
        <v>#REF!</v>
      </c>
      <c r="AP100" s="93" t="str">
        <f>'National Staffing'!AN24</f>
        <v>#REF!</v>
      </c>
      <c r="AQ100" s="65"/>
      <c r="AR100" s="65"/>
      <c r="AS100" s="65"/>
      <c r="AT100" s="65"/>
      <c r="AU100" s="65"/>
      <c r="AV100" s="65"/>
    </row>
    <row r="101" ht="12.75" hidden="1" customHeight="1" outlineLevel="1">
      <c r="A101" s="67"/>
      <c r="B101" s="67"/>
      <c r="C101" s="219" t="s">
        <v>309</v>
      </c>
      <c r="D101" s="67"/>
      <c r="E101" s="67"/>
      <c r="F101" s="67"/>
      <c r="G101" s="67"/>
      <c r="H101" s="67"/>
      <c r="I101" s="86"/>
      <c r="J101" s="217"/>
      <c r="K101" s="218"/>
      <c r="L101" s="65"/>
      <c r="M101" s="93">
        <f>'National Staffing'!K21</f>
        <v>326400</v>
      </c>
      <c r="N101" s="93">
        <f>'National Staffing'!L21</f>
        <v>332928</v>
      </c>
      <c r="O101" s="93">
        <f>'National Staffing'!M21</f>
        <v>403259.04</v>
      </c>
      <c r="P101" s="93">
        <f>'National Staffing'!N21</f>
        <v>497918.7936</v>
      </c>
      <c r="Q101" s="93">
        <f>'National Staffing'!O21</f>
        <v>927427.8747</v>
      </c>
      <c r="R101" s="93">
        <f>'National Staffing'!P21</f>
        <v>1126162.419</v>
      </c>
      <c r="S101" s="93">
        <f>'National Staffing'!Q21</f>
        <v>1723028.501</v>
      </c>
      <c r="T101" s="93">
        <f>'National Staffing'!R21</f>
        <v>2413618.325</v>
      </c>
      <c r="U101" s="93">
        <f>'National Staffing'!S21</f>
        <v>3202848.084</v>
      </c>
      <c r="V101" s="93">
        <f>'National Staffing'!T21</f>
        <v>3583843.595</v>
      </c>
      <c r="W101" s="93">
        <f>'National Staffing'!U21</f>
        <v>4351810.079</v>
      </c>
      <c r="X101" s="93">
        <f>'National Staffing'!V21</f>
        <v>5453439.717</v>
      </c>
      <c r="Y101" s="93">
        <f>'National Staffing'!W21</f>
        <v>7787511.915</v>
      </c>
      <c r="Z101" s="93">
        <f>'National Staffing'!X21</f>
        <v>10819725.86</v>
      </c>
      <c r="AA101" s="93">
        <f>'National Staffing'!Y21</f>
        <v>14777634.35</v>
      </c>
      <c r="AB101" s="93">
        <f>'National Staffing'!Z21</f>
        <v>18999354.16</v>
      </c>
      <c r="AC101" s="93">
        <f>'National Staffing'!AA21</f>
        <v>24420210.35</v>
      </c>
      <c r="AD101" s="93">
        <f>'National Staffing'!AB21</f>
        <v>30535904.77</v>
      </c>
      <c r="AE101" s="93">
        <f>'National Staffing'!AC21</f>
        <v>36216325.75</v>
      </c>
      <c r="AF101" s="93">
        <f>'National Staffing'!AD21</f>
        <v>41101304.97</v>
      </c>
      <c r="AG101" s="93">
        <f>'National Staffing'!AE21</f>
        <v>41165497.9</v>
      </c>
      <c r="AH101" s="93">
        <f>'National Staffing'!AF21</f>
        <v>41896049.08</v>
      </c>
      <c r="AI101" s="93">
        <f>'National Staffing'!AG21</f>
        <v>42733970.06</v>
      </c>
      <c r="AJ101" s="93">
        <f>'National Staffing'!AH21</f>
        <v>43588649.46</v>
      </c>
      <c r="AK101" s="93">
        <f>'National Staffing'!AI21</f>
        <v>44460422.45</v>
      </c>
      <c r="AL101" s="93">
        <f>'National Staffing'!AJ21</f>
        <v>45349630.9</v>
      </c>
      <c r="AM101" s="93">
        <f>'National Staffing'!AK17</f>
        <v>341377.2953</v>
      </c>
      <c r="AN101" s="93">
        <f>'National Staffing'!AL17</f>
        <v>348204.8412</v>
      </c>
      <c r="AO101" s="93">
        <f>'National Staffing'!AM17</f>
        <v>355168.9381</v>
      </c>
      <c r="AP101" s="93">
        <f>'National Staffing'!AN17</f>
        <v>362272.3168</v>
      </c>
      <c r="AQ101" s="65"/>
      <c r="AR101" s="65"/>
      <c r="AS101" s="65"/>
      <c r="AT101" s="65"/>
      <c r="AU101" s="65"/>
      <c r="AV101" s="65"/>
    </row>
    <row r="102" ht="12.75" hidden="1" customHeight="1" outlineLevel="1">
      <c r="A102" s="67"/>
      <c r="B102" s="67"/>
      <c r="C102" s="219" t="s">
        <v>310</v>
      </c>
      <c r="D102" s="67"/>
      <c r="E102" s="67"/>
      <c r="F102" s="67"/>
      <c r="G102" s="67"/>
      <c r="H102" s="67"/>
      <c r="I102" s="86"/>
      <c r="J102" s="217"/>
      <c r="K102" s="218"/>
      <c r="L102" s="65"/>
      <c r="M102" s="93">
        <f>'National Staffing'!K22</f>
        <v>163200</v>
      </c>
      <c r="N102" s="93">
        <f>'National Staffing'!L22</f>
        <v>228888</v>
      </c>
      <c r="O102" s="93">
        <f>'National Staffing'!M22</f>
        <v>297138.24</v>
      </c>
      <c r="P102" s="93">
        <f>'National Staffing'!N22</f>
        <v>497918.7936</v>
      </c>
      <c r="Q102" s="93">
        <f>'National Staffing'!O22</f>
        <v>706611.714</v>
      </c>
      <c r="R102" s="93">
        <f>'National Staffing'!P22</f>
        <v>991022.929</v>
      </c>
      <c r="S102" s="93">
        <f>'National Staffing'!Q22</f>
        <v>1608159.935</v>
      </c>
      <c r="T102" s="93">
        <f>'National Staffing'!R22</f>
        <v>2155853.261</v>
      </c>
      <c r="U102" s="93">
        <f>'National Staffing'!S22</f>
        <v>2270675.88</v>
      </c>
      <c r="V102" s="93">
        <f>'National Staffing'!T22</f>
        <v>2462368.728</v>
      </c>
      <c r="W102" s="93">
        <f>'National Staffing'!U22</f>
        <v>3158170.743</v>
      </c>
      <c r="X102" s="93">
        <f>'National Staffing'!V22</f>
        <v>4261292.43</v>
      </c>
      <c r="Y102" s="93">
        <f>'National Staffing'!W22</f>
        <v>5226170.787</v>
      </c>
      <c r="Z102" s="93">
        <f>'National Staffing'!X22</f>
        <v>6201550.186</v>
      </c>
      <c r="AA102" s="93">
        <f>'National Staffing'!Y22</f>
        <v>7079267.46</v>
      </c>
      <c r="AB102" s="93">
        <f>'National Staffing'!Z22</f>
        <v>7989612.804</v>
      </c>
      <c r="AC102" s="93">
        <f>'National Staffing'!AA22</f>
        <v>8317434.03</v>
      </c>
      <c r="AD102" s="93">
        <f>'National Staffing'!AB22</f>
        <v>7683964.812</v>
      </c>
      <c r="AE102" s="93">
        <f>'National Staffing'!AC22</f>
        <v>4516114.635</v>
      </c>
      <c r="AF102" s="93">
        <f>'National Staffing'!AD22</f>
        <v>1842574.771</v>
      </c>
      <c r="AG102" s="93">
        <f>'National Staffing'!AE22</f>
        <v>1606606.325</v>
      </c>
      <c r="AH102" s="93">
        <f>'National Staffing'!AF22</f>
        <v>1638738.451</v>
      </c>
      <c r="AI102" s="93">
        <f>'National Staffing'!AG22</f>
        <v>1671513.22</v>
      </c>
      <c r="AJ102" s="93">
        <f>'National Staffing'!AH22</f>
        <v>1704943.484</v>
      </c>
      <c r="AK102" s="93">
        <f>'National Staffing'!AI22</f>
        <v>1739042.354</v>
      </c>
      <c r="AL102" s="93">
        <f>'National Staffing'!AJ22</f>
        <v>1773823.201</v>
      </c>
      <c r="AM102" s="93" t="str">
        <f>'National Staffing'!AK20</f>
        <v>#REF!</v>
      </c>
      <c r="AN102" s="93" t="str">
        <f>'National Staffing'!AL20</f>
        <v>#REF!</v>
      </c>
      <c r="AO102" s="93" t="str">
        <f>'National Staffing'!AM20</f>
        <v>#REF!</v>
      </c>
      <c r="AP102" s="93" t="str">
        <f>'National Staffing'!AN20</f>
        <v>#REF!</v>
      </c>
      <c r="AQ102" s="65"/>
      <c r="AR102" s="65"/>
      <c r="AS102" s="65"/>
      <c r="AT102" s="65"/>
      <c r="AU102" s="65"/>
      <c r="AV102" s="65"/>
    </row>
    <row r="103" ht="12.75" hidden="1" customHeight="1" outlineLevel="1">
      <c r="A103" s="67"/>
      <c r="B103" s="67"/>
      <c r="C103" s="219" t="s">
        <v>268</v>
      </c>
      <c r="D103" s="67"/>
      <c r="E103" s="67"/>
      <c r="F103" s="67"/>
      <c r="G103" s="67"/>
      <c r="H103" s="67"/>
      <c r="I103" s="86"/>
      <c r="J103" s="217"/>
      <c r="K103" s="218"/>
      <c r="L103" s="65"/>
      <c r="M103" s="93">
        <f>'National Staffing'!K23</f>
        <v>244800</v>
      </c>
      <c r="N103" s="93">
        <f>'National Staffing'!L23</f>
        <v>249696</v>
      </c>
      <c r="O103" s="93">
        <f>'National Staffing'!M23</f>
        <v>254689.92</v>
      </c>
      <c r="P103" s="93">
        <f>'National Staffing'!N23</f>
        <v>259783.7184</v>
      </c>
      <c r="Q103" s="93">
        <f>'National Staffing'!O23</f>
        <v>264979.3928</v>
      </c>
      <c r="R103" s="93">
        <f>'National Staffing'!P23</f>
        <v>270278.9806</v>
      </c>
      <c r="S103" s="93">
        <f>'National Staffing'!Q23</f>
        <v>367579.4136</v>
      </c>
      <c r="T103" s="93">
        <f>'National Staffing'!R23</f>
        <v>468663.7524</v>
      </c>
      <c r="U103" s="93">
        <f>'National Staffing'!S23</f>
        <v>645349.9871</v>
      </c>
      <c r="V103" s="93">
        <f>'National Staffing'!T23</f>
        <v>1072715.09</v>
      </c>
      <c r="W103" s="93">
        <f>'National Staffing'!U23</f>
        <v>1467181.684</v>
      </c>
      <c r="X103" s="93">
        <f>'National Staffing'!V23</f>
        <v>1572619.825</v>
      </c>
      <c r="Y103" s="93">
        <f>'National Staffing'!W23</f>
        <v>1681688.62</v>
      </c>
      <c r="Z103" s="93">
        <f>'National Staffing'!X23</f>
        <v>2005607.72</v>
      </c>
      <c r="AA103" s="93">
        <f>'National Staffing'!Y23</f>
        <v>2287976.175</v>
      </c>
      <c r="AB103" s="93">
        <f>'National Staffing'!Z23</f>
        <v>2498469.983</v>
      </c>
      <c r="AC103" s="93">
        <f>'National Staffing'!AA23</f>
        <v>2940506.98</v>
      </c>
      <c r="AD103" s="93">
        <f>'National Staffing'!AB23</f>
        <v>3342096.219</v>
      </c>
      <c r="AE103" s="93">
        <f>'National Staffing'!AC23</f>
        <v>3671164.155</v>
      </c>
      <c r="AF103" s="93">
        <f>'National Staffing'!AD23</f>
        <v>4160652.709</v>
      </c>
      <c r="AG103" s="93">
        <f>'National Staffing'!AE23</f>
        <v>4243865.763</v>
      </c>
      <c r="AH103" s="93">
        <f>'National Staffing'!AF23</f>
        <v>4328743.078</v>
      </c>
      <c r="AI103" s="93">
        <f>'National Staffing'!AG23</f>
        <v>4415317.94</v>
      </c>
      <c r="AJ103" s="93">
        <f>'National Staffing'!AH23</f>
        <v>4503624.299</v>
      </c>
      <c r="AK103" s="93">
        <f>'National Staffing'!AI23</f>
        <v>4593696.785</v>
      </c>
      <c r="AL103" s="93">
        <f>'National Staffing'!AJ23</f>
        <v>4685570.72</v>
      </c>
      <c r="AM103" s="93">
        <f>'National Staffing'!AK18</f>
        <v>10446145.24</v>
      </c>
      <c r="AN103" s="93">
        <f>'National Staffing'!AL18</f>
        <v>10655068.14</v>
      </c>
      <c r="AO103" s="93">
        <f>'National Staffing'!AM18</f>
        <v>10761618.82</v>
      </c>
      <c r="AP103" s="93">
        <f>'National Staffing'!AN18</f>
        <v>10976851.2</v>
      </c>
      <c r="AQ103" s="65"/>
      <c r="AR103" s="65"/>
      <c r="AS103" s="65"/>
      <c r="AT103" s="65"/>
      <c r="AU103" s="65"/>
      <c r="AV103" s="65"/>
    </row>
    <row r="104" ht="12.75" hidden="1" customHeight="1" outlineLevel="1">
      <c r="A104" s="67"/>
      <c r="B104" s="67"/>
      <c r="C104" s="219" t="s">
        <v>264</v>
      </c>
      <c r="D104" s="67"/>
      <c r="E104" s="67"/>
      <c r="F104" s="67"/>
      <c r="G104" s="67"/>
      <c r="H104" s="67"/>
      <c r="I104" s="86"/>
      <c r="J104" s="217"/>
      <c r="K104" s="218"/>
      <c r="L104" s="65"/>
      <c r="M104" s="93" t="str">
        <f>'National Staffing'!K24</f>
        <v>#REF!</v>
      </c>
      <c r="N104" s="93" t="str">
        <f>'National Staffing'!L24</f>
        <v>#REF!</v>
      </c>
      <c r="O104" s="93" t="str">
        <f>'National Staffing'!M24</f>
        <v>#REF!</v>
      </c>
      <c r="P104" s="93" t="str">
        <f>'National Staffing'!N24</f>
        <v>#REF!</v>
      </c>
      <c r="Q104" s="93" t="str">
        <f>'National Staffing'!O24</f>
        <v>#REF!</v>
      </c>
      <c r="R104" s="93" t="str">
        <f>'National Staffing'!P24</f>
        <v>#REF!</v>
      </c>
      <c r="S104" s="93" t="str">
        <f>'National Staffing'!Q24</f>
        <v>#REF!</v>
      </c>
      <c r="T104" s="93" t="str">
        <f>'National Staffing'!R24</f>
        <v>#REF!</v>
      </c>
      <c r="U104" s="93" t="str">
        <f>'National Staffing'!S24</f>
        <v>#REF!</v>
      </c>
      <c r="V104" s="93" t="str">
        <f>'National Staffing'!T24</f>
        <v>#REF!</v>
      </c>
      <c r="W104" s="93" t="str">
        <f>'National Staffing'!U24</f>
        <v>#REF!</v>
      </c>
      <c r="X104" s="93" t="str">
        <f>'National Staffing'!V24</f>
        <v>#REF!</v>
      </c>
      <c r="Y104" s="93" t="str">
        <f>'National Staffing'!W24</f>
        <v>#REF!</v>
      </c>
      <c r="Z104" s="93" t="str">
        <f>'National Staffing'!X24</f>
        <v>#REF!</v>
      </c>
      <c r="AA104" s="93" t="str">
        <f>'National Staffing'!Y24</f>
        <v>#REF!</v>
      </c>
      <c r="AB104" s="93" t="str">
        <f>'National Staffing'!Z24</f>
        <v>#REF!</v>
      </c>
      <c r="AC104" s="93" t="str">
        <f>'National Staffing'!AA24</f>
        <v>#REF!</v>
      </c>
      <c r="AD104" s="93" t="str">
        <f>'National Staffing'!AB24</f>
        <v>#REF!</v>
      </c>
      <c r="AE104" s="93" t="str">
        <f>'National Staffing'!AC24</f>
        <v>#REF!</v>
      </c>
      <c r="AF104" s="93" t="str">
        <f>'National Staffing'!AD24</f>
        <v>#REF!</v>
      </c>
      <c r="AG104" s="93" t="str">
        <f>'National Staffing'!AE24</f>
        <v>#REF!</v>
      </c>
      <c r="AH104" s="93" t="str">
        <f>'National Staffing'!AF24</f>
        <v>#REF!</v>
      </c>
      <c r="AI104" s="93" t="str">
        <f>'National Staffing'!AG24</f>
        <v>#REF!</v>
      </c>
      <c r="AJ104" s="93" t="str">
        <f>'National Staffing'!AH24</f>
        <v>#REF!</v>
      </c>
      <c r="AK104" s="93" t="str">
        <f>'National Staffing'!AI24</f>
        <v>#REF!</v>
      </c>
      <c r="AL104" s="93" t="str">
        <f>'National Staffing'!AJ24</f>
        <v>#REF!</v>
      </c>
      <c r="AM104" s="93">
        <f>'National Staffing'!AK23</f>
        <v>4779282.135</v>
      </c>
      <c r="AN104" s="93">
        <f>'National Staffing'!AL23</f>
        <v>4874867.777</v>
      </c>
      <c r="AO104" s="93">
        <f>'National Staffing'!AM23</f>
        <v>4972365.133</v>
      </c>
      <c r="AP104" s="93">
        <f>'National Staffing'!AN23</f>
        <v>5071812.435</v>
      </c>
      <c r="AQ104" s="65"/>
      <c r="AR104" s="65"/>
      <c r="AS104" s="65"/>
      <c r="AT104" s="65"/>
      <c r="AU104" s="65"/>
      <c r="AV104" s="65"/>
    </row>
    <row r="105" ht="12.75" hidden="1" customHeight="1" outlineLevel="1">
      <c r="A105" s="67"/>
      <c r="B105" s="67"/>
      <c r="C105" s="203" t="s">
        <v>311</v>
      </c>
      <c r="D105" s="139"/>
      <c r="E105" s="139"/>
      <c r="F105" s="139"/>
      <c r="G105" s="139"/>
      <c r="H105" s="139"/>
      <c r="I105" s="202"/>
      <c r="J105" s="220"/>
      <c r="K105" s="221"/>
      <c r="L105" s="200"/>
      <c r="M105" s="119">
        <f>'National Staffing'!K25</f>
        <v>122400</v>
      </c>
      <c r="N105" s="119">
        <f>'National Staffing'!L25</f>
        <v>270504</v>
      </c>
      <c r="O105" s="119">
        <f>'National Staffing'!M25</f>
        <v>657948.96</v>
      </c>
      <c r="P105" s="119">
        <f>'National Staffing'!N25</f>
        <v>1212324.019</v>
      </c>
      <c r="Q105" s="119">
        <f>'National Staffing'!O25</f>
        <v>1921100.598</v>
      </c>
      <c r="R105" s="119">
        <f>'National Staffing'!P25</f>
        <v>2635220.061</v>
      </c>
      <c r="S105" s="119">
        <f>'National Staffing'!Q25</f>
        <v>3629846.71</v>
      </c>
      <c r="T105" s="119">
        <f>'National Staffing'!R25</f>
        <v>5249034.027</v>
      </c>
      <c r="U105" s="119">
        <f>'National Staffing'!S25</f>
        <v>6764223.938</v>
      </c>
      <c r="V105" s="119">
        <f>'National Staffing'!T25</f>
        <v>7338346.408</v>
      </c>
      <c r="W105" s="119">
        <f>'National Staffing'!U25</f>
        <v>7485113.337</v>
      </c>
      <c r="X105" s="119">
        <f>'National Staffing'!V25</f>
        <v>7634815.603</v>
      </c>
      <c r="Y105" s="119">
        <f>'National Staffing'!W25</f>
        <v>7787511.915</v>
      </c>
      <c r="Z105" s="119">
        <f>'National Staffing'!X25</f>
        <v>7943262.154</v>
      </c>
      <c r="AA105" s="119">
        <f>'National Staffing'!Y25</f>
        <v>8102127.397</v>
      </c>
      <c r="AB105" s="119">
        <f>'National Staffing'!Z25</f>
        <v>8264169.945</v>
      </c>
      <c r="AC105" s="119">
        <f>'National Staffing'!AA25</f>
        <v>8429453.344</v>
      </c>
      <c r="AD105" s="119">
        <f>'National Staffing'!AB25</f>
        <v>8598042.41</v>
      </c>
      <c r="AE105" s="119">
        <f>'National Staffing'!AC25</f>
        <v>8770003.259</v>
      </c>
      <c r="AF105" s="119">
        <f>'National Staffing'!AD25</f>
        <v>8945403.324</v>
      </c>
      <c r="AG105" s="119">
        <f>'National Staffing'!AE25</f>
        <v>9124311.39</v>
      </c>
      <c r="AH105" s="119">
        <f>'National Staffing'!AF25</f>
        <v>9306797.618</v>
      </c>
      <c r="AI105" s="119">
        <f>'National Staffing'!AG25</f>
        <v>9492933.57</v>
      </c>
      <c r="AJ105" s="119">
        <f>'National Staffing'!AH25</f>
        <v>9682792.242</v>
      </c>
      <c r="AK105" s="119">
        <f>'National Staffing'!AI25</f>
        <v>9876448.087</v>
      </c>
      <c r="AL105" s="119">
        <f>'National Staffing'!AJ25</f>
        <v>10073977.05</v>
      </c>
      <c r="AM105" s="119">
        <f>'National Staffing'!AK25</f>
        <v>10275456.59</v>
      </c>
      <c r="AN105" s="119">
        <f>'National Staffing'!AL25</f>
        <v>10480965.72</v>
      </c>
      <c r="AO105" s="119">
        <f>'National Staffing'!AM25</f>
        <v>10690585.04</v>
      </c>
      <c r="AP105" s="119">
        <f>'National Staffing'!AN25</f>
        <v>10904396.74</v>
      </c>
      <c r="AQ105" s="200"/>
      <c r="AR105" s="200"/>
      <c r="AS105" s="200"/>
      <c r="AT105" s="200"/>
      <c r="AU105" s="200"/>
      <c r="AV105" s="200"/>
    </row>
    <row r="106" ht="12.75" hidden="1" customHeight="1" outlineLevel="1">
      <c r="A106" s="90"/>
      <c r="B106" s="67" t="s">
        <v>312</v>
      </c>
      <c r="C106" s="67"/>
      <c r="D106" s="67"/>
      <c r="E106" s="67"/>
      <c r="F106" s="67"/>
      <c r="G106" s="67"/>
      <c r="H106" s="67"/>
      <c r="I106" s="86"/>
      <c r="J106" s="222"/>
      <c r="K106" s="79"/>
      <c r="L106" s="79">
        <v>990940.77</v>
      </c>
      <c r="M106" s="115" t="str">
        <f t="shared" ref="M106:AL106" si="47">SUM(M95:M105)</f>
        <v>#REF!</v>
      </c>
      <c r="N106" s="115" t="str">
        <f t="shared" si="47"/>
        <v>#REF!</v>
      </c>
      <c r="O106" s="115" t="str">
        <f t="shared" si="47"/>
        <v>#REF!</v>
      </c>
      <c r="P106" s="115" t="str">
        <f t="shared" si="47"/>
        <v>#REF!</v>
      </c>
      <c r="Q106" s="115" t="str">
        <f t="shared" si="47"/>
        <v>#REF!</v>
      </c>
      <c r="R106" s="115" t="str">
        <f t="shared" si="47"/>
        <v>#REF!</v>
      </c>
      <c r="S106" s="115" t="str">
        <f t="shared" si="47"/>
        <v>#REF!</v>
      </c>
      <c r="T106" s="115" t="str">
        <f t="shared" si="47"/>
        <v>#REF!</v>
      </c>
      <c r="U106" s="115" t="str">
        <f t="shared" si="47"/>
        <v>#REF!</v>
      </c>
      <c r="V106" s="115" t="str">
        <f t="shared" si="47"/>
        <v>#REF!</v>
      </c>
      <c r="W106" s="115" t="str">
        <f t="shared" si="47"/>
        <v>#REF!</v>
      </c>
      <c r="X106" s="115" t="str">
        <f t="shared" si="47"/>
        <v>#REF!</v>
      </c>
      <c r="Y106" s="115" t="str">
        <f t="shared" si="47"/>
        <v>#REF!</v>
      </c>
      <c r="Z106" s="115" t="str">
        <f t="shared" si="47"/>
        <v>#REF!</v>
      </c>
      <c r="AA106" s="115" t="str">
        <f t="shared" si="47"/>
        <v>#REF!</v>
      </c>
      <c r="AB106" s="115" t="str">
        <f t="shared" si="47"/>
        <v>#REF!</v>
      </c>
      <c r="AC106" s="115" t="str">
        <f t="shared" si="47"/>
        <v>#REF!</v>
      </c>
      <c r="AD106" s="115" t="str">
        <f t="shared" si="47"/>
        <v>#REF!</v>
      </c>
      <c r="AE106" s="115" t="str">
        <f t="shared" si="47"/>
        <v>#REF!</v>
      </c>
      <c r="AF106" s="115" t="str">
        <f t="shared" si="47"/>
        <v>#REF!</v>
      </c>
      <c r="AG106" s="115" t="str">
        <f t="shared" si="47"/>
        <v>#REF!</v>
      </c>
      <c r="AH106" s="115" t="str">
        <f t="shared" si="47"/>
        <v>#REF!</v>
      </c>
      <c r="AI106" s="115" t="str">
        <f t="shared" si="47"/>
        <v>#REF!</v>
      </c>
      <c r="AJ106" s="115" t="str">
        <f t="shared" si="47"/>
        <v>#REF!</v>
      </c>
      <c r="AK106" s="115" t="str">
        <f t="shared" si="47"/>
        <v>#REF!</v>
      </c>
      <c r="AL106" s="115" t="str">
        <f t="shared" si="47"/>
        <v>#REF!</v>
      </c>
      <c r="AM106" s="115" t="str">
        <f t="shared" ref="AM106:AP106" si="48">SUM(AM100:AM105)</f>
        <v>#REF!</v>
      </c>
      <c r="AN106" s="115" t="str">
        <f t="shared" si="48"/>
        <v>#REF!</v>
      </c>
      <c r="AO106" s="115" t="str">
        <f t="shared" si="48"/>
        <v>#REF!</v>
      </c>
      <c r="AP106" s="115" t="str">
        <f t="shared" si="48"/>
        <v>#REF!</v>
      </c>
      <c r="AQ106" s="79"/>
      <c r="AR106" s="79"/>
      <c r="AS106" s="79"/>
      <c r="AT106" s="79"/>
      <c r="AU106" s="79"/>
      <c r="AV106" s="79"/>
    </row>
    <row r="107" ht="12.75" hidden="1" customHeight="1" outlineLevel="1">
      <c r="A107" s="90"/>
      <c r="B107" s="195"/>
      <c r="C107" s="90"/>
      <c r="D107" s="90"/>
      <c r="E107" s="90"/>
      <c r="F107" s="90"/>
      <c r="G107" s="90"/>
      <c r="H107" s="90"/>
      <c r="I107" s="196"/>
      <c r="J107" s="223"/>
      <c r="K107" s="223"/>
      <c r="L107" s="223"/>
      <c r="M107" s="93"/>
      <c r="N107" s="93"/>
      <c r="O107" s="93"/>
      <c r="P107" s="93"/>
      <c r="Q107" s="93"/>
      <c r="R107" s="93"/>
      <c r="S107" s="93"/>
      <c r="T107" s="93"/>
      <c r="U107" s="93"/>
      <c r="V107" s="93"/>
      <c r="W107" s="93"/>
      <c r="X107" s="93"/>
      <c r="Y107" s="93"/>
      <c r="Z107" s="93"/>
      <c r="AA107" s="93"/>
      <c r="AB107" s="93"/>
      <c r="AC107" s="93"/>
      <c r="AD107" s="93"/>
      <c r="AE107" s="93"/>
      <c r="AF107" s="93"/>
      <c r="AG107" s="93"/>
      <c r="AH107" s="93"/>
      <c r="AI107" s="93"/>
      <c r="AJ107" s="93"/>
      <c r="AK107" s="93"/>
      <c r="AL107" s="93"/>
      <c r="AM107" s="93"/>
      <c r="AN107" s="93"/>
      <c r="AO107" s="93"/>
      <c r="AP107" s="93"/>
      <c r="AQ107" s="223"/>
      <c r="AR107" s="223"/>
      <c r="AS107" s="223"/>
      <c r="AT107" s="223"/>
      <c r="AU107" s="223"/>
      <c r="AV107" s="223"/>
    </row>
    <row r="108" ht="12.75" hidden="1" customHeight="1" outlineLevel="1">
      <c r="A108" s="90"/>
      <c r="B108" s="67" t="s">
        <v>133</v>
      </c>
      <c r="M108" s="93"/>
      <c r="N108" s="93"/>
      <c r="O108" s="93"/>
      <c r="P108" s="93"/>
      <c r="Q108" s="93"/>
      <c r="R108" s="93"/>
      <c r="S108" s="93"/>
      <c r="T108" s="93"/>
      <c r="U108" s="93"/>
      <c r="V108" s="93"/>
      <c r="W108" s="93"/>
      <c r="X108" s="93"/>
      <c r="Y108" s="93"/>
      <c r="Z108" s="93"/>
      <c r="AA108" s="93"/>
      <c r="AB108" s="93"/>
      <c r="AC108" s="93"/>
      <c r="AD108" s="93"/>
      <c r="AE108" s="93"/>
      <c r="AF108" s="93"/>
      <c r="AG108" s="93"/>
      <c r="AH108" s="93"/>
      <c r="AI108" s="93"/>
      <c r="AJ108" s="93"/>
      <c r="AK108" s="93"/>
      <c r="AL108" s="93"/>
      <c r="AM108" s="93"/>
      <c r="AN108" s="93"/>
      <c r="AO108" s="93"/>
      <c r="AP108" s="93"/>
    </row>
    <row r="109" ht="12.75" hidden="1" customHeight="1" outlineLevel="1">
      <c r="A109" s="67"/>
      <c r="B109" s="224">
        <f>Assumptions!$D$15</f>
        <v>0.22</v>
      </c>
      <c r="C109" s="102" t="s">
        <v>307</v>
      </c>
      <c r="D109" s="67"/>
      <c r="E109" s="67"/>
      <c r="F109" s="67"/>
      <c r="G109" s="67"/>
      <c r="H109" s="67"/>
      <c r="I109" s="86"/>
      <c r="J109" s="217"/>
      <c r="K109" s="218"/>
      <c r="L109" s="65"/>
      <c r="M109" s="93">
        <f t="shared" ref="M109:AL109" si="49">M95*$B$109</f>
        <v>49368</v>
      </c>
      <c r="N109" s="93">
        <f t="shared" si="49"/>
        <v>64088.64</v>
      </c>
      <c r="O109" s="93">
        <f t="shared" si="49"/>
        <v>65370.4128</v>
      </c>
      <c r="P109" s="93">
        <f t="shared" si="49"/>
        <v>95254.03008</v>
      </c>
      <c r="Q109" s="93">
        <f t="shared" si="49"/>
        <v>111732.9773</v>
      </c>
      <c r="R109" s="93">
        <f t="shared" si="49"/>
        <v>143698.3247</v>
      </c>
      <c r="S109" s="93">
        <f t="shared" si="49"/>
        <v>176897.5928</v>
      </c>
      <c r="T109" s="93">
        <f t="shared" si="49"/>
        <v>231988.5574</v>
      </c>
      <c r="U109" s="93">
        <f t="shared" si="49"/>
        <v>320762.8454</v>
      </c>
      <c r="V109" s="93">
        <f t="shared" si="49"/>
        <v>488085.3658</v>
      </c>
      <c r="W109" s="93">
        <f t="shared" si="49"/>
        <v>651030.7879</v>
      </c>
      <c r="X109" s="93">
        <f t="shared" si="49"/>
        <v>664051.4036</v>
      </c>
      <c r="Y109" s="93">
        <f t="shared" si="49"/>
        <v>677332.4317</v>
      </c>
      <c r="Z109" s="93">
        <f t="shared" si="49"/>
        <v>690879.0803</v>
      </c>
      <c r="AA109" s="93">
        <f t="shared" si="49"/>
        <v>704696.6619</v>
      </c>
      <c r="AB109" s="93">
        <f t="shared" si="49"/>
        <v>718790.5952</v>
      </c>
      <c r="AC109" s="93">
        <f t="shared" si="49"/>
        <v>733166.4071</v>
      </c>
      <c r="AD109" s="93">
        <f t="shared" si="49"/>
        <v>747829.7352</v>
      </c>
      <c r="AE109" s="93">
        <f t="shared" si="49"/>
        <v>762786.3299</v>
      </c>
      <c r="AF109" s="93">
        <f t="shared" si="49"/>
        <v>778042.0565</v>
      </c>
      <c r="AG109" s="93">
        <f t="shared" si="49"/>
        <v>793602.8977</v>
      </c>
      <c r="AH109" s="93">
        <f t="shared" si="49"/>
        <v>809474.9556</v>
      </c>
      <c r="AI109" s="93">
        <f t="shared" si="49"/>
        <v>825664.4547</v>
      </c>
      <c r="AJ109" s="93">
        <f t="shared" si="49"/>
        <v>842177.7438</v>
      </c>
      <c r="AK109" s="93">
        <f t="shared" si="49"/>
        <v>859021.2987</v>
      </c>
      <c r="AL109" s="93">
        <f t="shared" si="49"/>
        <v>876201.7247</v>
      </c>
      <c r="AM109" s="93" t="str">
        <f t="shared" ref="AM109:AP109" si="50">AM100*$B$109</f>
        <v>#REF!</v>
      </c>
      <c r="AN109" s="93" t="str">
        <f t="shared" si="50"/>
        <v>#REF!</v>
      </c>
      <c r="AO109" s="93" t="str">
        <f t="shared" si="50"/>
        <v>#REF!</v>
      </c>
      <c r="AP109" s="93" t="str">
        <f t="shared" si="50"/>
        <v>#REF!</v>
      </c>
      <c r="AQ109" s="65"/>
      <c r="AR109" s="65"/>
      <c r="AS109" s="65"/>
      <c r="AT109" s="65"/>
      <c r="AU109" s="65"/>
      <c r="AV109" s="65"/>
    </row>
    <row r="110" ht="12.75" hidden="1" customHeight="1" outlineLevel="1">
      <c r="A110" s="67"/>
      <c r="B110" s="224"/>
      <c r="C110" s="102" t="s">
        <v>308</v>
      </c>
      <c r="D110" s="67"/>
      <c r="E110" s="67"/>
      <c r="F110" s="67"/>
      <c r="G110" s="67"/>
      <c r="H110" s="67"/>
      <c r="I110" s="86"/>
      <c r="J110" s="217"/>
      <c r="K110" s="218"/>
      <c r="L110" s="65"/>
      <c r="M110" s="93">
        <f t="shared" ref="M110:AL110" si="51">M96*$B$109</f>
        <v>49368</v>
      </c>
      <c r="N110" s="93">
        <f t="shared" si="51"/>
        <v>64088.64</v>
      </c>
      <c r="O110" s="93">
        <f t="shared" si="51"/>
        <v>65370.4128</v>
      </c>
      <c r="P110" s="93">
        <f t="shared" si="51"/>
        <v>85728.62707</v>
      </c>
      <c r="Q110" s="93">
        <f t="shared" si="51"/>
        <v>87443.19961</v>
      </c>
      <c r="R110" s="93">
        <f t="shared" si="51"/>
        <v>104057.4075</v>
      </c>
      <c r="S110" s="93">
        <f t="shared" si="51"/>
        <v>136463.8573</v>
      </c>
      <c r="T110" s="93">
        <f t="shared" si="51"/>
        <v>201056.7498</v>
      </c>
      <c r="U110" s="93">
        <f t="shared" si="51"/>
        <v>220853.1067</v>
      </c>
      <c r="V110" s="93">
        <f t="shared" si="51"/>
        <v>391541.0077</v>
      </c>
      <c r="W110" s="93">
        <f t="shared" si="51"/>
        <v>563497.2366</v>
      </c>
      <c r="X110" s="93">
        <f t="shared" si="51"/>
        <v>574767.1813</v>
      </c>
      <c r="Y110" s="93">
        <f t="shared" si="51"/>
        <v>586262.5249</v>
      </c>
      <c r="Z110" s="93">
        <f t="shared" si="51"/>
        <v>597987.7754</v>
      </c>
      <c r="AA110" s="93">
        <f t="shared" si="51"/>
        <v>609947.5309</v>
      </c>
      <c r="AB110" s="93">
        <f t="shared" si="51"/>
        <v>622146.4815</v>
      </c>
      <c r="AC110" s="93">
        <f t="shared" si="51"/>
        <v>634589.4112</v>
      </c>
      <c r="AD110" s="93">
        <f t="shared" si="51"/>
        <v>647281.1994</v>
      </c>
      <c r="AE110" s="93">
        <f t="shared" si="51"/>
        <v>660226.8234</v>
      </c>
      <c r="AF110" s="93">
        <f t="shared" si="51"/>
        <v>673431.3599</v>
      </c>
      <c r="AG110" s="93">
        <f t="shared" si="51"/>
        <v>686899.9871</v>
      </c>
      <c r="AH110" s="93">
        <f t="shared" si="51"/>
        <v>700637.9868</v>
      </c>
      <c r="AI110" s="93">
        <f t="shared" si="51"/>
        <v>714650.7465</v>
      </c>
      <c r="AJ110" s="93">
        <f t="shared" si="51"/>
        <v>728943.7615</v>
      </c>
      <c r="AK110" s="93">
        <f t="shared" si="51"/>
        <v>743522.6367</v>
      </c>
      <c r="AL110" s="93">
        <f t="shared" si="51"/>
        <v>758393.0894</v>
      </c>
      <c r="AM110" s="93"/>
      <c r="AN110" s="93"/>
      <c r="AO110" s="93"/>
      <c r="AP110" s="93"/>
      <c r="AQ110" s="65"/>
      <c r="AR110" s="65"/>
      <c r="AS110" s="65"/>
      <c r="AT110" s="65"/>
      <c r="AU110" s="65"/>
      <c r="AV110" s="65"/>
    </row>
    <row r="111" ht="12.75" hidden="1" customHeight="1" outlineLevel="1">
      <c r="A111" s="67"/>
      <c r="B111" s="224"/>
      <c r="C111" s="219" t="s">
        <v>137</v>
      </c>
      <c r="D111" s="67"/>
      <c r="E111" s="67"/>
      <c r="F111" s="67"/>
      <c r="G111" s="67"/>
      <c r="H111" s="67"/>
      <c r="I111" s="86"/>
      <c r="J111" s="217"/>
      <c r="K111" s="218"/>
      <c r="L111" s="65"/>
      <c r="M111" s="93">
        <f t="shared" ref="M111:AL111" si="52">M97*$B$109</f>
        <v>31416</v>
      </c>
      <c r="N111" s="93">
        <f t="shared" si="52"/>
        <v>32044.32</v>
      </c>
      <c r="O111" s="93">
        <f t="shared" si="52"/>
        <v>46693.152</v>
      </c>
      <c r="P111" s="93">
        <f t="shared" si="52"/>
        <v>47627.01504</v>
      </c>
      <c r="Q111" s="93">
        <f t="shared" si="52"/>
        <v>48579.55534</v>
      </c>
      <c r="R111" s="93">
        <f t="shared" si="52"/>
        <v>49551.14645</v>
      </c>
      <c r="S111" s="93">
        <f t="shared" si="52"/>
        <v>50542.16938</v>
      </c>
      <c r="T111" s="93">
        <f t="shared" si="52"/>
        <v>51553.01276</v>
      </c>
      <c r="U111" s="93">
        <f t="shared" si="52"/>
        <v>52584.07302</v>
      </c>
      <c r="V111" s="93">
        <f t="shared" si="52"/>
        <v>53635.75448</v>
      </c>
      <c r="W111" s="93">
        <f t="shared" si="52"/>
        <v>54708.46957</v>
      </c>
      <c r="X111" s="93">
        <f t="shared" si="52"/>
        <v>55802.63896</v>
      </c>
      <c r="Y111" s="93">
        <f t="shared" si="52"/>
        <v>56918.69174</v>
      </c>
      <c r="Z111" s="93">
        <f t="shared" si="52"/>
        <v>58057.06557</v>
      </c>
      <c r="AA111" s="93">
        <f t="shared" si="52"/>
        <v>59218.20689</v>
      </c>
      <c r="AB111" s="93">
        <f t="shared" si="52"/>
        <v>60402.57102</v>
      </c>
      <c r="AC111" s="93">
        <f t="shared" si="52"/>
        <v>61610.62244</v>
      </c>
      <c r="AD111" s="93">
        <f t="shared" si="52"/>
        <v>62842.83489</v>
      </c>
      <c r="AE111" s="93">
        <f t="shared" si="52"/>
        <v>64099.69159</v>
      </c>
      <c r="AF111" s="93">
        <f t="shared" si="52"/>
        <v>65381.68542</v>
      </c>
      <c r="AG111" s="93">
        <f t="shared" si="52"/>
        <v>66689.31913</v>
      </c>
      <c r="AH111" s="93">
        <f t="shared" si="52"/>
        <v>68023.10551</v>
      </c>
      <c r="AI111" s="93">
        <f t="shared" si="52"/>
        <v>69383.56762</v>
      </c>
      <c r="AJ111" s="93">
        <f t="shared" si="52"/>
        <v>70771.23898</v>
      </c>
      <c r="AK111" s="93">
        <f t="shared" si="52"/>
        <v>72186.66376</v>
      </c>
      <c r="AL111" s="93">
        <f t="shared" si="52"/>
        <v>73630.39703</v>
      </c>
      <c r="AM111" s="93"/>
      <c r="AN111" s="93"/>
      <c r="AO111" s="93"/>
      <c r="AP111" s="93"/>
      <c r="AQ111" s="65"/>
      <c r="AR111" s="65"/>
      <c r="AS111" s="65"/>
      <c r="AT111" s="65"/>
      <c r="AU111" s="65"/>
      <c r="AV111" s="65"/>
    </row>
    <row r="112" ht="12.75" hidden="1" customHeight="1" outlineLevel="1">
      <c r="A112" s="67"/>
      <c r="B112" s="224"/>
      <c r="C112" s="219" t="s">
        <v>266</v>
      </c>
      <c r="D112" s="67"/>
      <c r="E112" s="67"/>
      <c r="F112" s="67"/>
      <c r="G112" s="67"/>
      <c r="H112" s="67"/>
      <c r="I112" s="86"/>
      <c r="J112" s="217"/>
      <c r="K112" s="218"/>
      <c r="L112" s="65"/>
      <c r="M112" s="93">
        <f t="shared" ref="M112:AL112" si="53">M98*$B$109</f>
        <v>0</v>
      </c>
      <c r="N112" s="93">
        <f t="shared" si="53"/>
        <v>68666.4</v>
      </c>
      <c r="O112" s="93">
        <f t="shared" si="53"/>
        <v>112063.5648</v>
      </c>
      <c r="P112" s="93">
        <f t="shared" si="53"/>
        <v>152406.4481</v>
      </c>
      <c r="Q112" s="93">
        <f t="shared" si="53"/>
        <v>199176.1769</v>
      </c>
      <c r="R112" s="93">
        <f t="shared" si="53"/>
        <v>242800.6176</v>
      </c>
      <c r="S112" s="93">
        <f t="shared" si="53"/>
        <v>320942.7755</v>
      </c>
      <c r="T112" s="93">
        <f t="shared" si="53"/>
        <v>358293.4387</v>
      </c>
      <c r="U112" s="93">
        <f t="shared" si="53"/>
        <v>457481.4353</v>
      </c>
      <c r="V112" s="93">
        <f t="shared" si="53"/>
        <v>388859.22</v>
      </c>
      <c r="W112" s="93">
        <f t="shared" si="53"/>
        <v>322779.9705</v>
      </c>
      <c r="X112" s="93">
        <f t="shared" si="53"/>
        <v>390618.4727</v>
      </c>
      <c r="Y112" s="93">
        <f t="shared" si="53"/>
        <v>472425.1414</v>
      </c>
      <c r="Z112" s="93">
        <f t="shared" si="53"/>
        <v>627016.3082</v>
      </c>
      <c r="AA112" s="93">
        <f t="shared" si="53"/>
        <v>814250.3447</v>
      </c>
      <c r="AB112" s="93">
        <f t="shared" si="53"/>
        <v>999662.5504</v>
      </c>
      <c r="AC112" s="93">
        <f t="shared" si="53"/>
        <v>1186004.482</v>
      </c>
      <c r="AD112" s="93">
        <f t="shared" si="53"/>
        <v>1514512.321</v>
      </c>
      <c r="AE112" s="93">
        <f t="shared" si="53"/>
        <v>1788381.395</v>
      </c>
      <c r="AF112" s="93">
        <f t="shared" si="53"/>
        <v>2000679.574</v>
      </c>
      <c r="AG112" s="93">
        <f t="shared" si="53"/>
        <v>2040693.165</v>
      </c>
      <c r="AH112" s="93">
        <f t="shared" si="53"/>
        <v>2081507.029</v>
      </c>
      <c r="AI112" s="93">
        <f t="shared" si="53"/>
        <v>2123137.169</v>
      </c>
      <c r="AJ112" s="93">
        <f t="shared" si="53"/>
        <v>2165599.913</v>
      </c>
      <c r="AK112" s="93">
        <f t="shared" si="53"/>
        <v>2208911.911</v>
      </c>
      <c r="AL112" s="93">
        <f t="shared" si="53"/>
        <v>2253090.149</v>
      </c>
      <c r="AM112" s="93"/>
      <c r="AN112" s="93"/>
      <c r="AO112" s="93"/>
      <c r="AP112" s="93"/>
      <c r="AQ112" s="65"/>
      <c r="AR112" s="65"/>
      <c r="AS112" s="65"/>
      <c r="AT112" s="65"/>
      <c r="AU112" s="65"/>
      <c r="AV112" s="65"/>
    </row>
    <row r="113" ht="12.75" hidden="1" customHeight="1" outlineLevel="1">
      <c r="A113" s="67"/>
      <c r="B113" s="224"/>
      <c r="C113" s="219" t="s">
        <v>265</v>
      </c>
      <c r="D113" s="67"/>
      <c r="E113" s="67"/>
      <c r="F113" s="67"/>
      <c r="G113" s="67"/>
      <c r="H113" s="67"/>
      <c r="I113" s="86"/>
      <c r="J113" s="217"/>
      <c r="K113" s="218"/>
      <c r="L113" s="65"/>
      <c r="M113" s="93">
        <f t="shared" ref="M113:AL113" si="54">M99*$B$109</f>
        <v>0</v>
      </c>
      <c r="N113" s="93">
        <f t="shared" si="54"/>
        <v>32044.32</v>
      </c>
      <c r="O113" s="93">
        <f t="shared" si="54"/>
        <v>32685.2064</v>
      </c>
      <c r="P113" s="93">
        <f t="shared" si="54"/>
        <v>33338.91053</v>
      </c>
      <c r="Q113" s="93">
        <f t="shared" si="54"/>
        <v>34005.68874</v>
      </c>
      <c r="R113" s="93">
        <f t="shared" si="54"/>
        <v>34685.80251</v>
      </c>
      <c r="S113" s="93">
        <f t="shared" si="54"/>
        <v>35379.51856</v>
      </c>
      <c r="T113" s="93">
        <f t="shared" si="54"/>
        <v>36087.10893</v>
      </c>
      <c r="U113" s="93">
        <f t="shared" si="54"/>
        <v>36808.85111</v>
      </c>
      <c r="V113" s="93">
        <f t="shared" si="54"/>
        <v>37545.02814</v>
      </c>
      <c r="W113" s="93">
        <f t="shared" si="54"/>
        <v>38295.9287</v>
      </c>
      <c r="X113" s="93">
        <f t="shared" si="54"/>
        <v>39061.84727</v>
      </c>
      <c r="Y113" s="93">
        <f t="shared" si="54"/>
        <v>39843.08422</v>
      </c>
      <c r="Z113" s="93">
        <f t="shared" si="54"/>
        <v>40639.9459</v>
      </c>
      <c r="AA113" s="93">
        <f t="shared" si="54"/>
        <v>41452.74482</v>
      </c>
      <c r="AB113" s="93">
        <f t="shared" si="54"/>
        <v>42281.79972</v>
      </c>
      <c r="AC113" s="93">
        <f t="shared" si="54"/>
        <v>43127.43571</v>
      </c>
      <c r="AD113" s="93">
        <f t="shared" si="54"/>
        <v>43989.98443</v>
      </c>
      <c r="AE113" s="93">
        <f t="shared" si="54"/>
        <v>44869.78411</v>
      </c>
      <c r="AF113" s="93">
        <f t="shared" si="54"/>
        <v>45767.1798</v>
      </c>
      <c r="AG113" s="93">
        <f t="shared" si="54"/>
        <v>46682.52339</v>
      </c>
      <c r="AH113" s="93">
        <f t="shared" si="54"/>
        <v>47616.17386</v>
      </c>
      <c r="AI113" s="93">
        <f t="shared" si="54"/>
        <v>48568.49734</v>
      </c>
      <c r="AJ113" s="93">
        <f t="shared" si="54"/>
        <v>49539.86728</v>
      </c>
      <c r="AK113" s="93">
        <f t="shared" si="54"/>
        <v>50530.66463</v>
      </c>
      <c r="AL113" s="93">
        <f t="shared" si="54"/>
        <v>51541.27792</v>
      </c>
      <c r="AM113" s="93"/>
      <c r="AN113" s="93"/>
      <c r="AO113" s="93"/>
      <c r="AP113" s="93"/>
      <c r="AQ113" s="65"/>
      <c r="AR113" s="65"/>
      <c r="AS113" s="65"/>
      <c r="AT113" s="65"/>
      <c r="AU113" s="65"/>
      <c r="AV113" s="65"/>
    </row>
    <row r="114" ht="12.75" hidden="1" customHeight="1" outlineLevel="1">
      <c r="A114" s="67"/>
      <c r="B114" s="224"/>
      <c r="C114" s="219" t="s">
        <v>138</v>
      </c>
      <c r="D114" s="67"/>
      <c r="E114" s="67"/>
      <c r="F114" s="67"/>
      <c r="G114" s="67"/>
      <c r="H114" s="67"/>
      <c r="I114" s="86"/>
      <c r="J114" s="217"/>
      <c r="K114" s="218"/>
      <c r="L114" s="65"/>
      <c r="M114" s="93" t="str">
        <f t="shared" ref="M114:AL114" si="55">M100*$B$109</f>
        <v>#REF!</v>
      </c>
      <c r="N114" s="93" t="str">
        <f t="shared" si="55"/>
        <v>#REF!</v>
      </c>
      <c r="O114" s="93" t="str">
        <f t="shared" si="55"/>
        <v>#REF!</v>
      </c>
      <c r="P114" s="93" t="str">
        <f t="shared" si="55"/>
        <v>#REF!</v>
      </c>
      <c r="Q114" s="93" t="str">
        <f t="shared" si="55"/>
        <v>#REF!</v>
      </c>
      <c r="R114" s="93" t="str">
        <f t="shared" si="55"/>
        <v>#REF!</v>
      </c>
      <c r="S114" s="93" t="str">
        <f t="shared" si="55"/>
        <v>#REF!</v>
      </c>
      <c r="T114" s="93" t="str">
        <f t="shared" si="55"/>
        <v>#REF!</v>
      </c>
      <c r="U114" s="93" t="str">
        <f t="shared" si="55"/>
        <v>#REF!</v>
      </c>
      <c r="V114" s="93" t="str">
        <f t="shared" si="55"/>
        <v>#REF!</v>
      </c>
      <c r="W114" s="93" t="str">
        <f t="shared" si="55"/>
        <v>#REF!</v>
      </c>
      <c r="X114" s="93" t="str">
        <f t="shared" si="55"/>
        <v>#REF!</v>
      </c>
      <c r="Y114" s="93" t="str">
        <f t="shared" si="55"/>
        <v>#REF!</v>
      </c>
      <c r="Z114" s="93" t="str">
        <f t="shared" si="55"/>
        <v>#REF!</v>
      </c>
      <c r="AA114" s="93" t="str">
        <f t="shared" si="55"/>
        <v>#REF!</v>
      </c>
      <c r="AB114" s="93" t="str">
        <f t="shared" si="55"/>
        <v>#REF!</v>
      </c>
      <c r="AC114" s="93" t="str">
        <f t="shared" si="55"/>
        <v>#REF!</v>
      </c>
      <c r="AD114" s="93" t="str">
        <f t="shared" si="55"/>
        <v>#REF!</v>
      </c>
      <c r="AE114" s="93" t="str">
        <f t="shared" si="55"/>
        <v>#REF!</v>
      </c>
      <c r="AF114" s="93" t="str">
        <f t="shared" si="55"/>
        <v>#REF!</v>
      </c>
      <c r="AG114" s="93" t="str">
        <f t="shared" si="55"/>
        <v>#REF!</v>
      </c>
      <c r="AH114" s="93" t="str">
        <f t="shared" si="55"/>
        <v>#REF!</v>
      </c>
      <c r="AI114" s="93" t="str">
        <f t="shared" si="55"/>
        <v>#REF!</v>
      </c>
      <c r="AJ114" s="93" t="str">
        <f t="shared" si="55"/>
        <v>#REF!</v>
      </c>
      <c r="AK114" s="93" t="str">
        <f t="shared" si="55"/>
        <v>#REF!</v>
      </c>
      <c r="AL114" s="93" t="str">
        <f t="shared" si="55"/>
        <v>#REF!</v>
      </c>
      <c r="AM114" s="93"/>
      <c r="AN114" s="93"/>
      <c r="AO114" s="93"/>
      <c r="AP114" s="93"/>
      <c r="AQ114" s="65"/>
      <c r="AR114" s="65"/>
      <c r="AS114" s="65"/>
      <c r="AT114" s="65"/>
      <c r="AU114" s="65"/>
      <c r="AV114" s="65"/>
    </row>
    <row r="115" ht="12.75" customHeight="1" outlineLevel="1">
      <c r="A115" s="67"/>
      <c r="B115" s="224"/>
      <c r="C115" s="219" t="s">
        <v>309</v>
      </c>
      <c r="D115" s="67"/>
      <c r="E115" s="67"/>
      <c r="F115" s="67"/>
      <c r="G115" s="67"/>
      <c r="H115" s="67"/>
      <c r="I115" s="86"/>
      <c r="J115" s="217"/>
      <c r="K115" s="218"/>
      <c r="L115" s="65"/>
      <c r="M115" s="93">
        <f t="shared" ref="M115:AL115" si="56">M101*$B$109</f>
        <v>71808</v>
      </c>
      <c r="N115" s="93">
        <f t="shared" si="56"/>
        <v>73244.16</v>
      </c>
      <c r="O115" s="93">
        <f t="shared" si="56"/>
        <v>88716.9888</v>
      </c>
      <c r="P115" s="93">
        <f t="shared" si="56"/>
        <v>109542.1346</v>
      </c>
      <c r="Q115" s="93">
        <f t="shared" si="56"/>
        <v>204034.1324</v>
      </c>
      <c r="R115" s="93">
        <f t="shared" si="56"/>
        <v>247755.7322</v>
      </c>
      <c r="S115" s="93">
        <f t="shared" si="56"/>
        <v>379066.2703</v>
      </c>
      <c r="T115" s="93">
        <f t="shared" si="56"/>
        <v>530996.0315</v>
      </c>
      <c r="U115" s="93">
        <f t="shared" si="56"/>
        <v>704626.5785</v>
      </c>
      <c r="V115" s="93">
        <f t="shared" si="56"/>
        <v>788445.5909</v>
      </c>
      <c r="W115" s="93">
        <f t="shared" si="56"/>
        <v>957398.2175</v>
      </c>
      <c r="X115" s="93">
        <f t="shared" si="56"/>
        <v>1199756.738</v>
      </c>
      <c r="Y115" s="93">
        <f t="shared" si="56"/>
        <v>1713252.621</v>
      </c>
      <c r="Z115" s="93">
        <f t="shared" si="56"/>
        <v>2380339.689</v>
      </c>
      <c r="AA115" s="93">
        <f t="shared" si="56"/>
        <v>3251079.558</v>
      </c>
      <c r="AB115" s="93">
        <f t="shared" si="56"/>
        <v>4179857.915</v>
      </c>
      <c r="AC115" s="93">
        <f t="shared" si="56"/>
        <v>5372446.277</v>
      </c>
      <c r="AD115" s="93">
        <f t="shared" si="56"/>
        <v>6717899.05</v>
      </c>
      <c r="AE115" s="93">
        <f t="shared" si="56"/>
        <v>7967591.665</v>
      </c>
      <c r="AF115" s="93">
        <f t="shared" si="56"/>
        <v>9042287.094</v>
      </c>
      <c r="AG115" s="93">
        <f t="shared" si="56"/>
        <v>9056409.538</v>
      </c>
      <c r="AH115" s="93">
        <f t="shared" si="56"/>
        <v>9217130.797</v>
      </c>
      <c r="AI115" s="93">
        <f t="shared" si="56"/>
        <v>9401473.413</v>
      </c>
      <c r="AJ115" s="93">
        <f t="shared" si="56"/>
        <v>9589502.881</v>
      </c>
      <c r="AK115" s="93">
        <f t="shared" si="56"/>
        <v>9781292.939</v>
      </c>
      <c r="AL115" s="93">
        <f t="shared" si="56"/>
        <v>9976918.798</v>
      </c>
      <c r="AM115" s="93"/>
      <c r="AN115" s="93"/>
      <c r="AO115" s="93"/>
      <c r="AP115" s="93"/>
      <c r="AQ115" s="65"/>
      <c r="AR115" s="65"/>
      <c r="AS115" s="65"/>
      <c r="AT115" s="65"/>
      <c r="AU115" s="65"/>
      <c r="AV115" s="65"/>
    </row>
    <row r="116" ht="12.75" customHeight="1" outlineLevel="1">
      <c r="A116" s="67"/>
      <c r="B116" s="224"/>
      <c r="C116" s="219" t="s">
        <v>310</v>
      </c>
      <c r="D116" s="67"/>
      <c r="E116" s="67"/>
      <c r="F116" s="67"/>
      <c r="G116" s="67"/>
      <c r="H116" s="67"/>
      <c r="I116" s="86"/>
      <c r="J116" s="217"/>
      <c r="K116" s="218"/>
      <c r="L116" s="65"/>
      <c r="M116" s="93">
        <f t="shared" ref="M116:AL116" si="57">M102*$B$109</f>
        <v>35904</v>
      </c>
      <c r="N116" s="93">
        <f t="shared" si="57"/>
        <v>50355.36</v>
      </c>
      <c r="O116" s="93">
        <f t="shared" si="57"/>
        <v>65370.4128</v>
      </c>
      <c r="P116" s="93">
        <f t="shared" si="57"/>
        <v>109542.1346</v>
      </c>
      <c r="Q116" s="93">
        <f t="shared" si="57"/>
        <v>155454.5771</v>
      </c>
      <c r="R116" s="93">
        <f t="shared" si="57"/>
        <v>218025.0444</v>
      </c>
      <c r="S116" s="93">
        <f t="shared" si="57"/>
        <v>353795.1856</v>
      </c>
      <c r="T116" s="93">
        <f t="shared" si="57"/>
        <v>474287.7174</v>
      </c>
      <c r="U116" s="93">
        <f t="shared" si="57"/>
        <v>499548.6937</v>
      </c>
      <c r="V116" s="93">
        <f t="shared" si="57"/>
        <v>541721.1202</v>
      </c>
      <c r="W116" s="93">
        <f t="shared" si="57"/>
        <v>694797.5635</v>
      </c>
      <c r="X116" s="93">
        <f t="shared" si="57"/>
        <v>937484.3345</v>
      </c>
      <c r="Y116" s="93">
        <f t="shared" si="57"/>
        <v>1149757.573</v>
      </c>
      <c r="Z116" s="93">
        <f t="shared" si="57"/>
        <v>1364341.041</v>
      </c>
      <c r="AA116" s="93">
        <f t="shared" si="57"/>
        <v>1557438.841</v>
      </c>
      <c r="AB116" s="93">
        <f t="shared" si="57"/>
        <v>1757714.817</v>
      </c>
      <c r="AC116" s="93">
        <f t="shared" si="57"/>
        <v>1829835.487</v>
      </c>
      <c r="AD116" s="93">
        <f t="shared" si="57"/>
        <v>1690472.259</v>
      </c>
      <c r="AE116" s="93">
        <f t="shared" si="57"/>
        <v>993545.2197</v>
      </c>
      <c r="AF116" s="93">
        <f t="shared" si="57"/>
        <v>405366.4496</v>
      </c>
      <c r="AG116" s="93">
        <f t="shared" si="57"/>
        <v>353453.3914</v>
      </c>
      <c r="AH116" s="93">
        <f t="shared" si="57"/>
        <v>360522.4592</v>
      </c>
      <c r="AI116" s="93">
        <f t="shared" si="57"/>
        <v>367732.9084</v>
      </c>
      <c r="AJ116" s="93">
        <f t="shared" si="57"/>
        <v>375087.5666</v>
      </c>
      <c r="AK116" s="93">
        <f t="shared" si="57"/>
        <v>382589.3179</v>
      </c>
      <c r="AL116" s="93">
        <f t="shared" si="57"/>
        <v>390241.1043</v>
      </c>
      <c r="AM116" s="93"/>
      <c r="AN116" s="93"/>
      <c r="AO116" s="93"/>
      <c r="AP116" s="93"/>
      <c r="AQ116" s="65"/>
      <c r="AR116" s="65"/>
      <c r="AS116" s="65"/>
      <c r="AT116" s="65"/>
      <c r="AU116" s="65"/>
      <c r="AV116" s="65"/>
    </row>
    <row r="117" ht="12.75" customHeight="1" outlineLevel="1">
      <c r="A117" s="67"/>
      <c r="B117" s="224"/>
      <c r="C117" s="219" t="s">
        <v>268</v>
      </c>
      <c r="D117" s="67"/>
      <c r="E117" s="67"/>
      <c r="F117" s="67"/>
      <c r="G117" s="67"/>
      <c r="H117" s="67"/>
      <c r="I117" s="86"/>
      <c r="J117" s="217"/>
      <c r="K117" s="218"/>
      <c r="L117" s="65"/>
      <c r="M117" s="93">
        <f t="shared" ref="M117:AL117" si="58">M103*$B$109</f>
        <v>53856</v>
      </c>
      <c r="N117" s="93">
        <f t="shared" si="58"/>
        <v>54933.12</v>
      </c>
      <c r="O117" s="93">
        <f t="shared" si="58"/>
        <v>56031.7824</v>
      </c>
      <c r="P117" s="93">
        <f t="shared" si="58"/>
        <v>57152.41805</v>
      </c>
      <c r="Q117" s="93">
        <f t="shared" si="58"/>
        <v>58295.46641</v>
      </c>
      <c r="R117" s="93">
        <f t="shared" si="58"/>
        <v>59461.37574</v>
      </c>
      <c r="S117" s="93">
        <f t="shared" si="58"/>
        <v>80867.471</v>
      </c>
      <c r="T117" s="93">
        <f t="shared" si="58"/>
        <v>103106.0255</v>
      </c>
      <c r="U117" s="93">
        <f t="shared" si="58"/>
        <v>141976.9972</v>
      </c>
      <c r="V117" s="93">
        <f t="shared" si="58"/>
        <v>235997.3197</v>
      </c>
      <c r="W117" s="93">
        <f t="shared" si="58"/>
        <v>322779.9705</v>
      </c>
      <c r="X117" s="93">
        <f t="shared" si="58"/>
        <v>345976.3616</v>
      </c>
      <c r="Y117" s="93">
        <f t="shared" si="58"/>
        <v>369971.4963</v>
      </c>
      <c r="Z117" s="93">
        <f t="shared" si="58"/>
        <v>441233.6984</v>
      </c>
      <c r="AA117" s="93">
        <f t="shared" si="58"/>
        <v>503354.7585</v>
      </c>
      <c r="AB117" s="93">
        <f t="shared" si="58"/>
        <v>549663.3963</v>
      </c>
      <c r="AC117" s="93">
        <f t="shared" si="58"/>
        <v>646911.5357</v>
      </c>
      <c r="AD117" s="93">
        <f t="shared" si="58"/>
        <v>735261.1683</v>
      </c>
      <c r="AE117" s="93">
        <f t="shared" si="58"/>
        <v>807656.114</v>
      </c>
      <c r="AF117" s="93">
        <f t="shared" si="58"/>
        <v>915343.5959</v>
      </c>
      <c r="AG117" s="93">
        <f t="shared" si="58"/>
        <v>933650.4678</v>
      </c>
      <c r="AH117" s="93">
        <f t="shared" si="58"/>
        <v>952323.4772</v>
      </c>
      <c r="AI117" s="93">
        <f t="shared" si="58"/>
        <v>971369.9467</v>
      </c>
      <c r="AJ117" s="93">
        <f t="shared" si="58"/>
        <v>990797.3457</v>
      </c>
      <c r="AK117" s="93">
        <f t="shared" si="58"/>
        <v>1010613.293</v>
      </c>
      <c r="AL117" s="93">
        <f t="shared" si="58"/>
        <v>1030825.558</v>
      </c>
      <c r="AM117" s="93"/>
      <c r="AN117" s="93"/>
      <c r="AO117" s="93"/>
      <c r="AP117" s="93"/>
      <c r="AQ117" s="65"/>
      <c r="AR117" s="65"/>
      <c r="AS117" s="65"/>
      <c r="AT117" s="65"/>
      <c r="AU117" s="65"/>
      <c r="AV117" s="65"/>
    </row>
    <row r="118" ht="12.75" customHeight="1" outlineLevel="1">
      <c r="A118" s="67"/>
      <c r="B118" s="67"/>
      <c r="C118" s="219" t="s">
        <v>264</v>
      </c>
      <c r="D118" s="67"/>
      <c r="E118" s="67"/>
      <c r="F118" s="67"/>
      <c r="G118" s="67"/>
      <c r="H118" s="67"/>
      <c r="I118" s="86"/>
      <c r="J118" s="217"/>
      <c r="K118" s="218"/>
      <c r="L118" s="65"/>
      <c r="M118" s="93" t="str">
        <f t="shared" ref="M118:AL118" si="59">M104*$B$109</f>
        <v>#REF!</v>
      </c>
      <c r="N118" s="93" t="str">
        <f t="shared" si="59"/>
        <v>#REF!</v>
      </c>
      <c r="O118" s="93" t="str">
        <f t="shared" si="59"/>
        <v>#REF!</v>
      </c>
      <c r="P118" s="93" t="str">
        <f t="shared" si="59"/>
        <v>#REF!</v>
      </c>
      <c r="Q118" s="93" t="str">
        <f t="shared" si="59"/>
        <v>#REF!</v>
      </c>
      <c r="R118" s="93" t="str">
        <f t="shared" si="59"/>
        <v>#REF!</v>
      </c>
      <c r="S118" s="93" t="str">
        <f t="shared" si="59"/>
        <v>#REF!</v>
      </c>
      <c r="T118" s="93" t="str">
        <f t="shared" si="59"/>
        <v>#REF!</v>
      </c>
      <c r="U118" s="93" t="str">
        <f t="shared" si="59"/>
        <v>#REF!</v>
      </c>
      <c r="V118" s="93" t="str">
        <f t="shared" si="59"/>
        <v>#REF!</v>
      </c>
      <c r="W118" s="93" t="str">
        <f t="shared" si="59"/>
        <v>#REF!</v>
      </c>
      <c r="X118" s="93" t="str">
        <f t="shared" si="59"/>
        <v>#REF!</v>
      </c>
      <c r="Y118" s="93" t="str">
        <f t="shared" si="59"/>
        <v>#REF!</v>
      </c>
      <c r="Z118" s="93" t="str">
        <f t="shared" si="59"/>
        <v>#REF!</v>
      </c>
      <c r="AA118" s="93" t="str">
        <f t="shared" si="59"/>
        <v>#REF!</v>
      </c>
      <c r="AB118" s="93" t="str">
        <f t="shared" si="59"/>
        <v>#REF!</v>
      </c>
      <c r="AC118" s="93" t="str">
        <f t="shared" si="59"/>
        <v>#REF!</v>
      </c>
      <c r="AD118" s="93" t="str">
        <f t="shared" si="59"/>
        <v>#REF!</v>
      </c>
      <c r="AE118" s="93" t="str">
        <f t="shared" si="59"/>
        <v>#REF!</v>
      </c>
      <c r="AF118" s="93" t="str">
        <f t="shared" si="59"/>
        <v>#REF!</v>
      </c>
      <c r="AG118" s="93" t="str">
        <f t="shared" si="59"/>
        <v>#REF!</v>
      </c>
      <c r="AH118" s="93" t="str">
        <f t="shared" si="59"/>
        <v>#REF!</v>
      </c>
      <c r="AI118" s="93" t="str">
        <f t="shared" si="59"/>
        <v>#REF!</v>
      </c>
      <c r="AJ118" s="93" t="str">
        <f t="shared" si="59"/>
        <v>#REF!</v>
      </c>
      <c r="AK118" s="93" t="str">
        <f t="shared" si="59"/>
        <v>#REF!</v>
      </c>
      <c r="AL118" s="93" t="str">
        <f t="shared" si="59"/>
        <v>#REF!</v>
      </c>
      <c r="AM118" s="93">
        <f t="shared" ref="AM118:AP118" si="60">AM101*$B$109</f>
        <v>75103.00497</v>
      </c>
      <c r="AN118" s="93">
        <f t="shared" si="60"/>
        <v>76605.06507</v>
      </c>
      <c r="AO118" s="93">
        <f t="shared" si="60"/>
        <v>78137.16637</v>
      </c>
      <c r="AP118" s="93">
        <f t="shared" si="60"/>
        <v>79699.9097</v>
      </c>
      <c r="AQ118" s="65"/>
      <c r="AR118" s="65"/>
      <c r="AS118" s="65"/>
      <c r="AT118" s="65"/>
      <c r="AU118" s="65"/>
      <c r="AV118" s="65"/>
    </row>
    <row r="119" ht="12.75" customHeight="1" outlineLevel="1">
      <c r="A119" s="67"/>
      <c r="B119" s="67"/>
      <c r="C119" s="203" t="s">
        <v>311</v>
      </c>
      <c r="D119" s="139"/>
      <c r="E119" s="139"/>
      <c r="F119" s="139"/>
      <c r="G119" s="139"/>
      <c r="H119" s="139"/>
      <c r="I119" s="202"/>
      <c r="J119" s="220"/>
      <c r="K119" s="221"/>
      <c r="L119" s="200"/>
      <c r="M119" s="119">
        <f t="shared" ref="M119:AL119" si="61">M105*$B$109</f>
        <v>26928</v>
      </c>
      <c r="N119" s="119">
        <f t="shared" si="61"/>
        <v>59510.88</v>
      </c>
      <c r="O119" s="119">
        <f t="shared" si="61"/>
        <v>144748.7712</v>
      </c>
      <c r="P119" s="119">
        <f t="shared" si="61"/>
        <v>266711.2842</v>
      </c>
      <c r="Q119" s="119">
        <f t="shared" si="61"/>
        <v>422642.1315</v>
      </c>
      <c r="R119" s="119">
        <f t="shared" si="61"/>
        <v>579748.4134</v>
      </c>
      <c r="S119" s="119">
        <f t="shared" si="61"/>
        <v>798566.2761</v>
      </c>
      <c r="T119" s="119">
        <f t="shared" si="61"/>
        <v>1154787.486</v>
      </c>
      <c r="U119" s="119">
        <f t="shared" si="61"/>
        <v>1488129.266</v>
      </c>
      <c r="V119" s="119">
        <f t="shared" si="61"/>
        <v>1614436.21</v>
      </c>
      <c r="W119" s="119">
        <f t="shared" si="61"/>
        <v>1646724.934</v>
      </c>
      <c r="X119" s="119">
        <f t="shared" si="61"/>
        <v>1679659.433</v>
      </c>
      <c r="Y119" s="119">
        <f t="shared" si="61"/>
        <v>1713252.621</v>
      </c>
      <c r="Z119" s="119">
        <f t="shared" si="61"/>
        <v>1747517.674</v>
      </c>
      <c r="AA119" s="119">
        <f t="shared" si="61"/>
        <v>1782468.027</v>
      </c>
      <c r="AB119" s="119">
        <f t="shared" si="61"/>
        <v>1818117.388</v>
      </c>
      <c r="AC119" s="119">
        <f t="shared" si="61"/>
        <v>1854479.736</v>
      </c>
      <c r="AD119" s="119">
        <f t="shared" si="61"/>
        <v>1891569.33</v>
      </c>
      <c r="AE119" s="119">
        <f t="shared" si="61"/>
        <v>1929400.717</v>
      </c>
      <c r="AF119" s="119">
        <f t="shared" si="61"/>
        <v>1967988.731</v>
      </c>
      <c r="AG119" s="119">
        <f t="shared" si="61"/>
        <v>2007348.506</v>
      </c>
      <c r="AH119" s="119">
        <f t="shared" si="61"/>
        <v>2047495.476</v>
      </c>
      <c r="AI119" s="119">
        <f t="shared" si="61"/>
        <v>2088445.385</v>
      </c>
      <c r="AJ119" s="119">
        <f t="shared" si="61"/>
        <v>2130214.293</v>
      </c>
      <c r="AK119" s="119">
        <f t="shared" si="61"/>
        <v>2172818.579</v>
      </c>
      <c r="AL119" s="119">
        <f t="shared" si="61"/>
        <v>2216274.951</v>
      </c>
      <c r="AM119" s="93" t="str">
        <f t="shared" ref="AM119:AP119" si="62">AM102*$B$109</f>
        <v>#REF!</v>
      </c>
      <c r="AN119" s="93" t="str">
        <f t="shared" si="62"/>
        <v>#REF!</v>
      </c>
      <c r="AO119" s="93" t="str">
        <f t="shared" si="62"/>
        <v>#REF!</v>
      </c>
      <c r="AP119" s="93" t="str">
        <f t="shared" si="62"/>
        <v>#REF!</v>
      </c>
      <c r="AQ119" s="65"/>
      <c r="AR119" s="65"/>
      <c r="AS119" s="65"/>
      <c r="AT119" s="65"/>
      <c r="AU119" s="65"/>
      <c r="AV119" s="65"/>
    </row>
    <row r="120" ht="12.75" customHeight="1" outlineLevel="1">
      <c r="A120" s="67"/>
      <c r="B120" s="67" t="s">
        <v>313</v>
      </c>
      <c r="C120" s="67"/>
      <c r="D120" s="67"/>
      <c r="E120" s="67"/>
      <c r="F120" s="67"/>
      <c r="G120" s="67"/>
      <c r="H120" s="67"/>
      <c r="I120" s="67"/>
      <c r="J120" s="67"/>
      <c r="K120" s="67"/>
      <c r="L120" s="76">
        <v>156013.39</v>
      </c>
      <c r="M120" s="115" t="str">
        <f t="shared" ref="M120:AP120" si="63">SUM(M109:M119)</f>
        <v>#REF!</v>
      </c>
      <c r="N120" s="115" t="str">
        <f t="shared" si="63"/>
        <v>#REF!</v>
      </c>
      <c r="O120" s="115" t="str">
        <f t="shared" si="63"/>
        <v>#REF!</v>
      </c>
      <c r="P120" s="115" t="str">
        <f t="shared" si="63"/>
        <v>#REF!</v>
      </c>
      <c r="Q120" s="115" t="str">
        <f t="shared" si="63"/>
        <v>#REF!</v>
      </c>
      <c r="R120" s="115" t="str">
        <f t="shared" si="63"/>
        <v>#REF!</v>
      </c>
      <c r="S120" s="115" t="str">
        <f t="shared" si="63"/>
        <v>#REF!</v>
      </c>
      <c r="T120" s="115" t="str">
        <f t="shared" si="63"/>
        <v>#REF!</v>
      </c>
      <c r="U120" s="115" t="str">
        <f t="shared" si="63"/>
        <v>#REF!</v>
      </c>
      <c r="V120" s="115" t="str">
        <f t="shared" si="63"/>
        <v>#REF!</v>
      </c>
      <c r="W120" s="115" t="str">
        <f t="shared" si="63"/>
        <v>#REF!</v>
      </c>
      <c r="X120" s="115" t="str">
        <f t="shared" si="63"/>
        <v>#REF!</v>
      </c>
      <c r="Y120" s="115" t="str">
        <f t="shared" si="63"/>
        <v>#REF!</v>
      </c>
      <c r="Z120" s="115" t="str">
        <f t="shared" si="63"/>
        <v>#REF!</v>
      </c>
      <c r="AA120" s="115" t="str">
        <f t="shared" si="63"/>
        <v>#REF!</v>
      </c>
      <c r="AB120" s="115" t="str">
        <f t="shared" si="63"/>
        <v>#REF!</v>
      </c>
      <c r="AC120" s="115" t="str">
        <f t="shared" si="63"/>
        <v>#REF!</v>
      </c>
      <c r="AD120" s="115" t="str">
        <f t="shared" si="63"/>
        <v>#REF!</v>
      </c>
      <c r="AE120" s="115" t="str">
        <f t="shared" si="63"/>
        <v>#REF!</v>
      </c>
      <c r="AF120" s="115" t="str">
        <f t="shared" si="63"/>
        <v>#REF!</v>
      </c>
      <c r="AG120" s="115" t="str">
        <f t="shared" si="63"/>
        <v>#REF!</v>
      </c>
      <c r="AH120" s="115" t="str">
        <f t="shared" si="63"/>
        <v>#REF!</v>
      </c>
      <c r="AI120" s="115" t="str">
        <f t="shared" si="63"/>
        <v>#REF!</v>
      </c>
      <c r="AJ120" s="115" t="str">
        <f t="shared" si="63"/>
        <v>#REF!</v>
      </c>
      <c r="AK120" s="115" t="str">
        <f t="shared" si="63"/>
        <v>#REF!</v>
      </c>
      <c r="AL120" s="115" t="str">
        <f t="shared" si="63"/>
        <v>#REF!</v>
      </c>
      <c r="AM120" s="115" t="str">
        <f t="shared" si="63"/>
        <v>#REF!</v>
      </c>
      <c r="AN120" s="115" t="str">
        <f t="shared" si="63"/>
        <v>#REF!</v>
      </c>
      <c r="AO120" s="115" t="str">
        <f t="shared" si="63"/>
        <v>#REF!</v>
      </c>
      <c r="AP120" s="115" t="str">
        <f t="shared" si="63"/>
        <v>#REF!</v>
      </c>
      <c r="AQ120" s="76"/>
      <c r="AR120" s="76"/>
      <c r="AS120" s="76"/>
      <c r="AT120" s="76"/>
      <c r="AU120" s="76"/>
      <c r="AV120" s="76"/>
    </row>
    <row r="121" ht="12.75" customHeight="1" outlineLevel="1">
      <c r="A121" s="67"/>
      <c r="B121" s="67"/>
      <c r="C121" s="67"/>
      <c r="D121" s="67"/>
      <c r="E121" s="67"/>
      <c r="F121" s="67"/>
      <c r="G121" s="67"/>
      <c r="H121" s="67"/>
      <c r="I121" s="67"/>
      <c r="J121" s="67"/>
      <c r="K121" s="67"/>
      <c r="L121" s="76"/>
      <c r="M121" s="115"/>
      <c r="N121" s="188"/>
      <c r="O121" s="188"/>
      <c r="P121" s="188"/>
      <c r="Q121" s="188"/>
      <c r="R121" s="115"/>
      <c r="S121" s="115"/>
      <c r="T121" s="115"/>
      <c r="U121" s="115"/>
      <c r="V121" s="115"/>
      <c r="W121" s="115"/>
      <c r="X121" s="115"/>
      <c r="Y121" s="115"/>
      <c r="Z121" s="115"/>
      <c r="AA121" s="115"/>
      <c r="AB121" s="115"/>
      <c r="AC121" s="115"/>
      <c r="AD121" s="115"/>
      <c r="AE121" s="115"/>
      <c r="AF121" s="115"/>
      <c r="AG121" s="115"/>
      <c r="AH121" s="115"/>
      <c r="AI121" s="115"/>
      <c r="AJ121" s="115"/>
      <c r="AK121" s="115"/>
      <c r="AL121" s="115"/>
      <c r="AM121" s="115"/>
      <c r="AN121" s="115"/>
      <c r="AO121" s="115"/>
      <c r="AP121" s="115"/>
      <c r="AQ121" s="76"/>
      <c r="AR121" s="76"/>
      <c r="AS121" s="76"/>
      <c r="AT121" s="76"/>
      <c r="AU121" s="76"/>
      <c r="AV121" s="76"/>
    </row>
    <row r="122" ht="12.75" customHeight="1" outlineLevel="1">
      <c r="A122" s="90"/>
      <c r="B122" s="67" t="s">
        <v>314</v>
      </c>
      <c r="M122" s="93"/>
      <c r="N122" s="93"/>
      <c r="O122" s="93"/>
      <c r="P122" s="93"/>
      <c r="Q122" s="93"/>
      <c r="R122" s="93"/>
      <c r="S122" s="93"/>
      <c r="T122" s="93"/>
      <c r="U122" s="93"/>
      <c r="V122" s="93"/>
      <c r="W122" s="93"/>
      <c r="X122" s="93"/>
      <c r="Y122" s="93"/>
      <c r="Z122" s="93"/>
      <c r="AA122" s="93"/>
      <c r="AB122" s="93"/>
      <c r="AC122" s="93"/>
      <c r="AD122" s="93"/>
      <c r="AE122" s="93"/>
      <c r="AF122" s="93"/>
      <c r="AG122" s="93"/>
      <c r="AH122" s="93"/>
      <c r="AI122" s="93"/>
      <c r="AJ122" s="93"/>
      <c r="AK122" s="93"/>
      <c r="AL122" s="93"/>
      <c r="AM122" s="93"/>
      <c r="AN122" s="93"/>
      <c r="AO122" s="93"/>
      <c r="AP122" s="93"/>
    </row>
    <row r="123" ht="12.75" customHeight="1" outlineLevel="1">
      <c r="A123" s="90"/>
      <c r="B123" s="67"/>
      <c r="C123" s="68" t="s">
        <v>307</v>
      </c>
      <c r="M123" s="93">
        <f t="shared" ref="M123:AL123" si="64">M162+M170+M177</f>
        <v>123500</v>
      </c>
      <c r="N123" s="93">
        <f t="shared" si="64"/>
        <v>132000</v>
      </c>
      <c r="O123" s="93">
        <f t="shared" si="64"/>
        <v>182000</v>
      </c>
      <c r="P123" s="93">
        <f t="shared" si="64"/>
        <v>245000</v>
      </c>
      <c r="Q123" s="93">
        <f t="shared" si="64"/>
        <v>297500</v>
      </c>
      <c r="R123" s="93">
        <f t="shared" si="64"/>
        <v>389102.8571</v>
      </c>
      <c r="S123" s="93">
        <f t="shared" si="64"/>
        <v>574037.6</v>
      </c>
      <c r="T123" s="93">
        <f t="shared" si="64"/>
        <v>818164.0066</v>
      </c>
      <c r="U123" s="93">
        <f t="shared" si="64"/>
        <v>1080169.806</v>
      </c>
      <c r="V123" s="93">
        <f t="shared" si="64"/>
        <v>1483944.07</v>
      </c>
      <c r="W123" s="93">
        <f t="shared" si="64"/>
        <v>1968615.595</v>
      </c>
      <c r="X123" s="93">
        <f t="shared" si="64"/>
        <v>2786518.212</v>
      </c>
      <c r="Y123" s="93">
        <f t="shared" si="64"/>
        <v>3854036.447</v>
      </c>
      <c r="Z123" s="93">
        <f t="shared" si="64"/>
        <v>5194222.489</v>
      </c>
      <c r="AA123" s="93">
        <f t="shared" si="64"/>
        <v>6799051.355</v>
      </c>
      <c r="AB123" s="93">
        <f t="shared" si="64"/>
        <v>8739712.256</v>
      </c>
      <c r="AC123" s="93">
        <f t="shared" si="64"/>
        <v>11133767.97</v>
      </c>
      <c r="AD123" s="93">
        <f t="shared" si="64"/>
        <v>13930686.04</v>
      </c>
      <c r="AE123" s="93">
        <f t="shared" si="64"/>
        <v>17042353.72</v>
      </c>
      <c r="AF123" s="93">
        <f t="shared" si="64"/>
        <v>20158417.63</v>
      </c>
      <c r="AG123" s="93">
        <f t="shared" si="64"/>
        <v>22962217.1</v>
      </c>
      <c r="AH123" s="93">
        <f t="shared" si="64"/>
        <v>26754566.01</v>
      </c>
      <c r="AI123" s="93">
        <f t="shared" si="64"/>
        <v>32300595.01</v>
      </c>
      <c r="AJ123" s="93">
        <f t="shared" si="64"/>
        <v>40604276.52</v>
      </c>
      <c r="AK123" s="93">
        <f t="shared" si="64"/>
        <v>53316309.98</v>
      </c>
      <c r="AL123" s="93">
        <f t="shared" si="64"/>
        <v>73193224.52</v>
      </c>
      <c r="AM123" s="93"/>
      <c r="AN123" s="93"/>
      <c r="AO123" s="93"/>
      <c r="AP123" s="93"/>
    </row>
    <row r="124" ht="12.75" customHeight="1" outlineLevel="1">
      <c r="A124" s="90"/>
      <c r="B124" s="67"/>
      <c r="C124" s="68" t="s">
        <v>308</v>
      </c>
      <c r="M124" s="93">
        <f t="shared" ref="M124:AL124" si="65">M189</f>
        <v>95000</v>
      </c>
      <c r="N124" s="93">
        <f t="shared" si="65"/>
        <v>95674</v>
      </c>
      <c r="O124" s="93">
        <f t="shared" si="65"/>
        <v>63348</v>
      </c>
      <c r="P124" s="93">
        <f t="shared" si="65"/>
        <v>107022</v>
      </c>
      <c r="Q124" s="93">
        <f t="shared" si="65"/>
        <v>139696</v>
      </c>
      <c r="R124" s="93">
        <f t="shared" si="65"/>
        <v>184595.7143</v>
      </c>
      <c r="S124" s="93">
        <f t="shared" si="65"/>
        <v>289924.8</v>
      </c>
      <c r="T124" s="93">
        <f t="shared" si="65"/>
        <v>455940.4371</v>
      </c>
      <c r="U124" s="93">
        <f t="shared" si="65"/>
        <v>681352.3864</v>
      </c>
      <c r="V124" s="93">
        <f t="shared" si="65"/>
        <v>915598.4375</v>
      </c>
      <c r="W124" s="93">
        <f t="shared" si="65"/>
        <v>1263956.435</v>
      </c>
      <c r="X124" s="93">
        <f t="shared" si="65"/>
        <v>1697292.473</v>
      </c>
      <c r="Y124" s="93">
        <f t="shared" si="65"/>
        <v>2470025.355</v>
      </c>
      <c r="Z124" s="93">
        <f t="shared" si="65"/>
        <v>3543634.421</v>
      </c>
      <c r="AA124" s="93">
        <f t="shared" si="65"/>
        <v>4924432.708</v>
      </c>
      <c r="AB124" s="93">
        <f t="shared" si="65"/>
        <v>6530201.868</v>
      </c>
      <c r="AC124" s="93">
        <f t="shared" si="65"/>
        <v>8485443.493</v>
      </c>
      <c r="AD124" s="93">
        <f t="shared" si="65"/>
        <v>10665632.67</v>
      </c>
      <c r="AE124" s="93">
        <f t="shared" si="65"/>
        <v>12900339.66</v>
      </c>
      <c r="AF124" s="93">
        <f t="shared" si="65"/>
        <v>14783899.05</v>
      </c>
      <c r="AG124" s="93">
        <f t="shared" si="65"/>
        <v>15280739.17</v>
      </c>
      <c r="AH124" s="93">
        <f t="shared" si="65"/>
        <v>15586353.95</v>
      </c>
      <c r="AI124" s="93">
        <f t="shared" si="65"/>
        <v>15898081.03</v>
      </c>
      <c r="AJ124" s="93">
        <f t="shared" si="65"/>
        <v>16216042.65</v>
      </c>
      <c r="AK124" s="93">
        <f t="shared" si="65"/>
        <v>16540363.5</v>
      </c>
      <c r="AL124" s="93">
        <f t="shared" si="65"/>
        <v>16871170.77</v>
      </c>
      <c r="AM124" s="93"/>
      <c r="AN124" s="93"/>
      <c r="AO124" s="93"/>
      <c r="AP124" s="93"/>
    </row>
    <row r="125" ht="12.75" customHeight="1" outlineLevel="1">
      <c r="A125" s="90"/>
      <c r="B125" s="67"/>
      <c r="C125" s="68" t="s">
        <v>137</v>
      </c>
      <c r="M125" s="93">
        <f t="shared" ref="M125:AL125" si="66">M196</f>
        <v>33500</v>
      </c>
      <c r="N125" s="93">
        <f t="shared" si="66"/>
        <v>7500</v>
      </c>
      <c r="O125" s="93">
        <f t="shared" si="66"/>
        <v>15000</v>
      </c>
      <c r="P125" s="93">
        <f t="shared" si="66"/>
        <v>22500</v>
      </c>
      <c r="Q125" s="93">
        <f t="shared" si="66"/>
        <v>37500</v>
      </c>
      <c r="R125" s="93">
        <f t="shared" si="66"/>
        <v>61200</v>
      </c>
      <c r="S125" s="93">
        <f t="shared" si="66"/>
        <v>101439</v>
      </c>
      <c r="T125" s="93">
        <f t="shared" si="66"/>
        <v>135304.02</v>
      </c>
      <c r="U125" s="93">
        <f t="shared" si="66"/>
        <v>135304.02</v>
      </c>
      <c r="V125" s="93">
        <f t="shared" si="66"/>
        <v>135304.02</v>
      </c>
      <c r="W125" s="93" t="str">
        <f t="shared" si="66"/>
        <v>#REF!</v>
      </c>
      <c r="X125" s="93" t="str">
        <f t="shared" si="66"/>
        <v>#REF!</v>
      </c>
      <c r="Y125" s="93" t="str">
        <f t="shared" si="66"/>
        <v>#REF!</v>
      </c>
      <c r="Z125" s="93" t="str">
        <f t="shared" si="66"/>
        <v>#REF!</v>
      </c>
      <c r="AA125" s="93" t="str">
        <f t="shared" si="66"/>
        <v>#REF!</v>
      </c>
      <c r="AB125" s="93" t="str">
        <f t="shared" si="66"/>
        <v>#REF!</v>
      </c>
      <c r="AC125" s="93" t="str">
        <f t="shared" si="66"/>
        <v>#REF!</v>
      </c>
      <c r="AD125" s="93" t="str">
        <f t="shared" si="66"/>
        <v>#REF!</v>
      </c>
      <c r="AE125" s="93" t="str">
        <f t="shared" si="66"/>
        <v>#REF!</v>
      </c>
      <c r="AF125" s="93" t="str">
        <f t="shared" si="66"/>
        <v>#REF!</v>
      </c>
      <c r="AG125" s="93" t="str">
        <f t="shared" si="66"/>
        <v>#REF!</v>
      </c>
      <c r="AH125" s="93" t="str">
        <f t="shared" si="66"/>
        <v>#REF!</v>
      </c>
      <c r="AI125" s="93" t="str">
        <f t="shared" si="66"/>
        <v>#REF!</v>
      </c>
      <c r="AJ125" s="93" t="str">
        <f t="shared" si="66"/>
        <v>#REF!</v>
      </c>
      <c r="AK125" s="93" t="str">
        <f t="shared" si="66"/>
        <v>#REF!</v>
      </c>
      <c r="AL125" s="93" t="str">
        <f t="shared" si="66"/>
        <v>#REF!</v>
      </c>
      <c r="AM125" s="93"/>
      <c r="AN125" s="93"/>
      <c r="AO125" s="93"/>
      <c r="AP125" s="93"/>
    </row>
    <row r="126" ht="12.75" customHeight="1" outlineLevel="1">
      <c r="A126" s="90"/>
      <c r="B126" s="67"/>
      <c r="C126" s="68" t="s">
        <v>266</v>
      </c>
      <c r="M126" s="93" t="str">
        <f t="shared" ref="M126:AL126" si="67">M279</f>
        <v>#REF!</v>
      </c>
      <c r="N126" s="93" t="str">
        <f t="shared" si="67"/>
        <v>#REF!</v>
      </c>
      <c r="O126" s="93" t="str">
        <f t="shared" si="67"/>
        <v>#REF!</v>
      </c>
      <c r="P126" s="93" t="str">
        <f t="shared" si="67"/>
        <v>#REF!</v>
      </c>
      <c r="Q126" s="93" t="str">
        <f t="shared" si="67"/>
        <v>#REF!</v>
      </c>
      <c r="R126" s="93" t="str">
        <f t="shared" si="67"/>
        <v>#REF!</v>
      </c>
      <c r="S126" s="93" t="str">
        <f t="shared" si="67"/>
        <v>#REF!</v>
      </c>
      <c r="T126" s="93" t="str">
        <f t="shared" si="67"/>
        <v>#REF!</v>
      </c>
      <c r="U126" s="93" t="str">
        <f t="shared" si="67"/>
        <v>#REF!</v>
      </c>
      <c r="V126" s="93" t="str">
        <f t="shared" si="67"/>
        <v>#REF!</v>
      </c>
      <c r="W126" s="93" t="str">
        <f t="shared" si="67"/>
        <v>#REF!</v>
      </c>
      <c r="X126" s="93" t="str">
        <f t="shared" si="67"/>
        <v>#REF!</v>
      </c>
      <c r="Y126" s="93" t="str">
        <f t="shared" si="67"/>
        <v>#REF!</v>
      </c>
      <c r="Z126" s="93" t="str">
        <f t="shared" si="67"/>
        <v>#REF!</v>
      </c>
      <c r="AA126" s="93" t="str">
        <f t="shared" si="67"/>
        <v>#REF!</v>
      </c>
      <c r="AB126" s="93" t="str">
        <f t="shared" si="67"/>
        <v>#REF!</v>
      </c>
      <c r="AC126" s="93" t="str">
        <f t="shared" si="67"/>
        <v>#REF!</v>
      </c>
      <c r="AD126" s="93" t="str">
        <f t="shared" si="67"/>
        <v>#REF!</v>
      </c>
      <c r="AE126" s="93" t="str">
        <f t="shared" si="67"/>
        <v>#REF!</v>
      </c>
      <c r="AF126" s="93" t="str">
        <f t="shared" si="67"/>
        <v>#REF!</v>
      </c>
      <c r="AG126" s="93" t="str">
        <f t="shared" si="67"/>
        <v>#REF!</v>
      </c>
      <c r="AH126" s="93" t="str">
        <f t="shared" si="67"/>
        <v>#REF!</v>
      </c>
      <c r="AI126" s="93" t="str">
        <f t="shared" si="67"/>
        <v>#REF!</v>
      </c>
      <c r="AJ126" s="93" t="str">
        <f t="shared" si="67"/>
        <v>#REF!</v>
      </c>
      <c r="AK126" s="93" t="str">
        <f t="shared" si="67"/>
        <v>#REF!</v>
      </c>
      <c r="AL126" s="93" t="str">
        <f t="shared" si="67"/>
        <v>#REF!</v>
      </c>
      <c r="AM126" s="93"/>
      <c r="AN126" s="93"/>
      <c r="AO126" s="93"/>
      <c r="AP126" s="93"/>
    </row>
    <row r="127" ht="12.75" customHeight="1" outlineLevel="1">
      <c r="A127" s="90"/>
      <c r="B127" s="67"/>
      <c r="C127" s="68" t="s">
        <v>265</v>
      </c>
      <c r="M127" s="93" t="str">
        <f t="shared" ref="M127:AL127" si="68">M229</f>
        <v>#REF!</v>
      </c>
      <c r="N127" s="93" t="str">
        <f t="shared" si="68"/>
        <v>#REF!</v>
      </c>
      <c r="O127" s="93" t="str">
        <f t="shared" si="68"/>
        <v>#REF!</v>
      </c>
      <c r="P127" s="93" t="str">
        <f t="shared" si="68"/>
        <v>#REF!</v>
      </c>
      <c r="Q127" s="93" t="str">
        <f t="shared" si="68"/>
        <v>#REF!</v>
      </c>
      <c r="R127" s="93" t="str">
        <f t="shared" si="68"/>
        <v>#REF!</v>
      </c>
      <c r="S127" s="93" t="str">
        <f t="shared" si="68"/>
        <v>#REF!</v>
      </c>
      <c r="T127" s="93">
        <f t="shared" si="68"/>
        <v>0</v>
      </c>
      <c r="U127" s="93">
        <f t="shared" si="68"/>
        <v>0</v>
      </c>
      <c r="V127" s="93">
        <f t="shared" si="68"/>
        <v>0</v>
      </c>
      <c r="W127" s="93" t="str">
        <f t="shared" si="68"/>
        <v>#REF!</v>
      </c>
      <c r="X127" s="93" t="str">
        <f t="shared" si="68"/>
        <v>#REF!</v>
      </c>
      <c r="Y127" s="93" t="str">
        <f t="shared" si="68"/>
        <v>#REF!</v>
      </c>
      <c r="Z127" s="93" t="str">
        <f t="shared" si="68"/>
        <v>#REF!</v>
      </c>
      <c r="AA127" s="93" t="str">
        <f t="shared" si="68"/>
        <v>#REF!</v>
      </c>
      <c r="AB127" s="93" t="str">
        <f t="shared" si="68"/>
        <v>#REF!</v>
      </c>
      <c r="AC127" s="93" t="str">
        <f t="shared" si="68"/>
        <v>#REF!</v>
      </c>
      <c r="AD127" s="93" t="str">
        <f t="shared" si="68"/>
        <v>#REF!</v>
      </c>
      <c r="AE127" s="93" t="str">
        <f t="shared" si="68"/>
        <v>#REF!</v>
      </c>
      <c r="AF127" s="93" t="str">
        <f t="shared" si="68"/>
        <v>#REF!</v>
      </c>
      <c r="AG127" s="93" t="str">
        <f t="shared" si="68"/>
        <v>#REF!</v>
      </c>
      <c r="AH127" s="93" t="str">
        <f t="shared" si="68"/>
        <v>#REF!</v>
      </c>
      <c r="AI127" s="93" t="str">
        <f t="shared" si="68"/>
        <v>#REF!</v>
      </c>
      <c r="AJ127" s="93" t="str">
        <f t="shared" si="68"/>
        <v>#REF!</v>
      </c>
      <c r="AK127" s="93" t="str">
        <f t="shared" si="68"/>
        <v>#REF!</v>
      </c>
      <c r="AL127" s="93" t="str">
        <f t="shared" si="68"/>
        <v>#REF!</v>
      </c>
      <c r="AM127" s="93"/>
      <c r="AN127" s="93"/>
      <c r="AO127" s="93"/>
      <c r="AP127" s="93"/>
    </row>
    <row r="128" ht="12.75" customHeight="1" outlineLevel="1">
      <c r="A128" s="90"/>
      <c r="B128" s="67"/>
      <c r="C128" s="68" t="s">
        <v>138</v>
      </c>
      <c r="M128" s="93">
        <f t="shared" ref="M128:AL128" si="69">M212</f>
        <v>94000</v>
      </c>
      <c r="N128" s="93">
        <f t="shared" si="69"/>
        <v>100000</v>
      </c>
      <c r="O128" s="93">
        <f t="shared" si="69"/>
        <v>84000</v>
      </c>
      <c r="P128" s="93">
        <f t="shared" si="69"/>
        <v>133000</v>
      </c>
      <c r="Q128" s="93">
        <f t="shared" si="69"/>
        <v>211000</v>
      </c>
      <c r="R128" s="93">
        <f t="shared" si="69"/>
        <v>391578</v>
      </c>
      <c r="S128" s="93">
        <f t="shared" si="69"/>
        <v>653787.36</v>
      </c>
      <c r="T128" s="93">
        <f t="shared" si="69"/>
        <v>1000188.54</v>
      </c>
      <c r="U128" s="93">
        <f t="shared" si="69"/>
        <v>1487261.788</v>
      </c>
      <c r="V128" s="93">
        <f t="shared" si="69"/>
        <v>2033716.839</v>
      </c>
      <c r="W128" s="93">
        <f t="shared" si="69"/>
        <v>2978812.215</v>
      </c>
      <c r="X128" s="93">
        <f t="shared" si="69"/>
        <v>3801460.349</v>
      </c>
      <c r="Y128" s="93">
        <f t="shared" si="69"/>
        <v>5265320.092</v>
      </c>
      <c r="Z128" s="93">
        <f t="shared" si="69"/>
        <v>6969301.823</v>
      </c>
      <c r="AA128" s="93">
        <f t="shared" si="69"/>
        <v>8993740.831</v>
      </c>
      <c r="AB128" s="93">
        <f t="shared" si="69"/>
        <v>11190368.78</v>
      </c>
      <c r="AC128" s="93">
        <f t="shared" si="69"/>
        <v>13770062.11</v>
      </c>
      <c r="AD128" s="93">
        <f t="shared" si="69"/>
        <v>16223120.75</v>
      </c>
      <c r="AE128" s="93">
        <f t="shared" si="69"/>
        <v>18015635.24</v>
      </c>
      <c r="AF128" s="93">
        <f t="shared" si="69"/>
        <v>18877149.31</v>
      </c>
      <c r="AG128" s="93">
        <f t="shared" si="69"/>
        <v>17543134.53</v>
      </c>
      <c r="AH128" s="93">
        <f t="shared" si="69"/>
        <v>17652957.39</v>
      </c>
      <c r="AI128" s="93">
        <f t="shared" si="69"/>
        <v>17996016.53</v>
      </c>
      <c r="AJ128" s="93">
        <f t="shared" si="69"/>
        <v>18345936.86</v>
      </c>
      <c r="AK128" s="93">
        <f t="shared" si="69"/>
        <v>18702855.6</v>
      </c>
      <c r="AL128" s="93">
        <f t="shared" si="69"/>
        <v>19066912.71</v>
      </c>
      <c r="AM128" s="93"/>
      <c r="AN128" s="93"/>
      <c r="AO128" s="93"/>
      <c r="AP128" s="93"/>
    </row>
    <row r="129" ht="12.75" customHeight="1" outlineLevel="1">
      <c r="A129" s="90"/>
      <c r="B129" s="67"/>
      <c r="C129" s="68" t="s">
        <v>309</v>
      </c>
      <c r="M129" s="93">
        <f t="shared" ref="M129:AL129" si="70">M222</f>
        <v>74004</v>
      </c>
      <c r="N129" s="93">
        <f t="shared" si="70"/>
        <v>75204</v>
      </c>
      <c r="O129" s="93">
        <f t="shared" si="70"/>
        <v>72205</v>
      </c>
      <c r="P129" s="93">
        <f t="shared" si="70"/>
        <v>75206</v>
      </c>
      <c r="Q129" s="93">
        <f t="shared" si="70"/>
        <v>118511</v>
      </c>
      <c r="R129" s="93">
        <f t="shared" si="70"/>
        <v>159943</v>
      </c>
      <c r="S129" s="93">
        <f t="shared" si="70"/>
        <v>242596.08</v>
      </c>
      <c r="T129" s="93">
        <f t="shared" si="70"/>
        <v>368119.2034</v>
      </c>
      <c r="U129" s="93">
        <f t="shared" si="70"/>
        <v>564380.2938</v>
      </c>
      <c r="V129" s="93">
        <f t="shared" si="70"/>
        <v>767063.3346</v>
      </c>
      <c r="W129" s="93">
        <f t="shared" si="70"/>
        <v>884242.7779</v>
      </c>
      <c r="X129" s="93">
        <f t="shared" si="70"/>
        <v>1207566.851</v>
      </c>
      <c r="Y129" s="93">
        <f t="shared" si="70"/>
        <v>1722301.385</v>
      </c>
      <c r="Z129" s="93">
        <f t="shared" si="70"/>
        <v>2488765.079</v>
      </c>
      <c r="AA129" s="93">
        <f t="shared" si="70"/>
        <v>3631055.801</v>
      </c>
      <c r="AB129" s="93">
        <f t="shared" si="70"/>
        <v>5265656.551</v>
      </c>
      <c r="AC129" s="93">
        <f t="shared" si="70"/>
        <v>7633913.927</v>
      </c>
      <c r="AD129" s="93">
        <f t="shared" si="70"/>
        <v>11036569.61</v>
      </c>
      <c r="AE129" s="93">
        <f t="shared" si="70"/>
        <v>15846297.58</v>
      </c>
      <c r="AF129" s="93">
        <f t="shared" si="70"/>
        <v>21241310.77</v>
      </c>
      <c r="AG129" s="93">
        <f t="shared" si="70"/>
        <v>21287624.75</v>
      </c>
      <c r="AH129" s="93">
        <f t="shared" si="70"/>
        <v>21367460.36</v>
      </c>
      <c r="AI129" s="93">
        <f t="shared" si="70"/>
        <v>21479279.93</v>
      </c>
      <c r="AJ129" s="93">
        <f t="shared" si="70"/>
        <v>21637956.02</v>
      </c>
      <c r="AK129" s="93">
        <f t="shared" si="70"/>
        <v>21871324.39</v>
      </c>
      <c r="AL129" s="93">
        <f t="shared" si="70"/>
        <v>22225863.66</v>
      </c>
      <c r="AM129" s="93"/>
      <c r="AN129" s="93"/>
      <c r="AO129" s="93"/>
      <c r="AP129" s="93"/>
    </row>
    <row r="130" ht="12.75" customHeight="1" outlineLevel="1">
      <c r="A130" s="90"/>
      <c r="B130" s="67"/>
      <c r="C130" s="68" t="s">
        <v>310</v>
      </c>
      <c r="M130" s="93">
        <f t="shared" ref="M130:AL130" si="71">M227</f>
        <v>22500</v>
      </c>
      <c r="N130" s="93">
        <f t="shared" si="71"/>
        <v>33240</v>
      </c>
      <c r="O130" s="93">
        <f t="shared" si="71"/>
        <v>43980</v>
      </c>
      <c r="P130" s="93">
        <f t="shared" si="71"/>
        <v>69720</v>
      </c>
      <c r="Q130" s="93">
        <f t="shared" si="71"/>
        <v>110460</v>
      </c>
      <c r="R130" s="93">
        <f t="shared" si="71"/>
        <v>153000</v>
      </c>
      <c r="S130" s="93">
        <f t="shared" si="71"/>
        <v>273105</v>
      </c>
      <c r="T130" s="93">
        <f t="shared" si="71"/>
        <v>374075.82</v>
      </c>
      <c r="U130" s="93">
        <f t="shared" si="71"/>
        <v>194837.7888</v>
      </c>
      <c r="V130" s="93">
        <f t="shared" si="71"/>
        <v>115928.4843</v>
      </c>
      <c r="W130" s="93">
        <f t="shared" si="71"/>
        <v>33784.87258</v>
      </c>
      <c r="X130" s="93">
        <f t="shared" si="71"/>
        <v>34460.57003</v>
      </c>
      <c r="Y130" s="93">
        <f t="shared" si="71"/>
        <v>35149.78143</v>
      </c>
      <c r="Z130" s="93">
        <f t="shared" si="71"/>
        <v>35852.77706</v>
      </c>
      <c r="AA130" s="93">
        <f t="shared" si="71"/>
        <v>36569.8326</v>
      </c>
      <c r="AB130" s="93">
        <f t="shared" si="71"/>
        <v>37301.22925</v>
      </c>
      <c r="AC130" s="93">
        <f t="shared" si="71"/>
        <v>38047.25384</v>
      </c>
      <c r="AD130" s="93">
        <f t="shared" si="71"/>
        <v>38808.19891</v>
      </c>
      <c r="AE130" s="93">
        <f t="shared" si="71"/>
        <v>39584.36289</v>
      </c>
      <c r="AF130" s="93">
        <f t="shared" si="71"/>
        <v>40376.05015</v>
      </c>
      <c r="AG130" s="93">
        <f t="shared" si="71"/>
        <v>41183.57115</v>
      </c>
      <c r="AH130" s="93">
        <f t="shared" si="71"/>
        <v>42007.24258</v>
      </c>
      <c r="AI130" s="93">
        <f t="shared" si="71"/>
        <v>42847.38743</v>
      </c>
      <c r="AJ130" s="93">
        <f t="shared" si="71"/>
        <v>43704.33518</v>
      </c>
      <c r="AK130" s="93">
        <f t="shared" si="71"/>
        <v>44578.42188</v>
      </c>
      <c r="AL130" s="93">
        <f t="shared" si="71"/>
        <v>45469.99032</v>
      </c>
      <c r="AM130" s="93"/>
      <c r="AN130" s="93"/>
      <c r="AO130" s="93"/>
      <c r="AP130" s="93"/>
    </row>
    <row r="131" ht="12.75" customHeight="1" outlineLevel="1">
      <c r="A131" s="90"/>
      <c r="B131" s="67"/>
      <c r="C131" s="68" t="s">
        <v>268</v>
      </c>
      <c r="M131" s="93">
        <f t="shared" ref="M131:AL131" si="72">M307</f>
        <v>981250</v>
      </c>
      <c r="N131" s="93">
        <f t="shared" si="72"/>
        <v>988250</v>
      </c>
      <c r="O131" s="93">
        <f t="shared" si="72"/>
        <v>998750</v>
      </c>
      <c r="P131" s="93">
        <f t="shared" si="72"/>
        <v>1016250</v>
      </c>
      <c r="Q131" s="93">
        <f t="shared" si="72"/>
        <v>1044250</v>
      </c>
      <c r="R131" s="93">
        <f t="shared" si="72"/>
        <v>252020</v>
      </c>
      <c r="S131" s="93">
        <f t="shared" si="72"/>
        <v>291393.6</v>
      </c>
      <c r="T131" s="93">
        <f t="shared" si="72"/>
        <v>351343.08</v>
      </c>
      <c r="U131" s="93">
        <f t="shared" si="72"/>
        <v>431434.1124</v>
      </c>
      <c r="V131" s="93">
        <f t="shared" si="72"/>
        <v>514588.2489</v>
      </c>
      <c r="W131" s="93">
        <f t="shared" si="72"/>
        <v>636370.0933</v>
      </c>
      <c r="X131" s="93">
        <f t="shared" si="72"/>
        <v>786939.7753</v>
      </c>
      <c r="Y131" s="93">
        <f t="shared" si="72"/>
        <v>1052242.019</v>
      </c>
      <c r="Z131" s="93">
        <f t="shared" si="72"/>
        <v>1419266.158</v>
      </c>
      <c r="AA131" s="93">
        <f t="shared" si="72"/>
        <v>1890146.456</v>
      </c>
      <c r="AB131" s="93">
        <f t="shared" si="72"/>
        <v>2437111.164</v>
      </c>
      <c r="AC131" s="93">
        <f t="shared" si="72"/>
        <v>3102218.899</v>
      </c>
      <c r="AD131" s="93">
        <f t="shared" si="72"/>
        <v>3843406.758</v>
      </c>
      <c r="AE131" s="93">
        <f t="shared" si="72"/>
        <v>4603105.153</v>
      </c>
      <c r="AF131" s="93">
        <f t="shared" si="72"/>
        <v>5244281.539</v>
      </c>
      <c r="AG131" s="93">
        <f t="shared" si="72"/>
        <v>5417120.062</v>
      </c>
      <c r="AH131" s="93">
        <f t="shared" si="72"/>
        <v>5525462.463</v>
      </c>
      <c r="AI131" s="93">
        <f t="shared" si="72"/>
        <v>5635971.712</v>
      </c>
      <c r="AJ131" s="93">
        <f t="shared" si="72"/>
        <v>5748691.146</v>
      </c>
      <c r="AK131" s="93">
        <f t="shared" si="72"/>
        <v>5863664.969</v>
      </c>
      <c r="AL131" s="93">
        <f t="shared" si="72"/>
        <v>5980938.269</v>
      </c>
      <c r="AM131" s="93"/>
      <c r="AN131" s="93"/>
      <c r="AO131" s="93"/>
      <c r="AP131" s="93"/>
    </row>
    <row r="132" ht="12.75" customHeight="1" outlineLevel="1">
      <c r="A132" s="90"/>
      <c r="B132" s="67"/>
      <c r="C132" s="68" t="s">
        <v>267</v>
      </c>
      <c r="M132" s="93" t="str">
        <f t="shared" ref="M132:AL132" si="73">M244</f>
        <v>#REF!</v>
      </c>
      <c r="N132" s="93" t="str">
        <f t="shared" si="73"/>
        <v>#REF!</v>
      </c>
      <c r="O132" s="93" t="str">
        <f t="shared" si="73"/>
        <v>#REF!</v>
      </c>
      <c r="P132" s="93" t="str">
        <f t="shared" si="73"/>
        <v>#REF!</v>
      </c>
      <c r="Q132" s="93" t="str">
        <f t="shared" si="73"/>
        <v>#REF!</v>
      </c>
      <c r="R132" s="93" t="str">
        <f t="shared" si="73"/>
        <v>#REF!</v>
      </c>
      <c r="S132" s="93" t="str">
        <f t="shared" si="73"/>
        <v>#REF!</v>
      </c>
      <c r="T132" s="93" t="str">
        <f t="shared" si="73"/>
        <v>#REF!</v>
      </c>
      <c r="U132" s="93" t="str">
        <f t="shared" si="73"/>
        <v>#REF!</v>
      </c>
      <c r="V132" s="93" t="str">
        <f t="shared" si="73"/>
        <v>#REF!</v>
      </c>
      <c r="W132" s="93" t="str">
        <f t="shared" si="73"/>
        <v>#REF!</v>
      </c>
      <c r="X132" s="93" t="str">
        <f t="shared" si="73"/>
        <v>#REF!</v>
      </c>
      <c r="Y132" s="93" t="str">
        <f t="shared" si="73"/>
        <v>#REF!</v>
      </c>
      <c r="Z132" s="93" t="str">
        <f t="shared" si="73"/>
        <v>#REF!</v>
      </c>
      <c r="AA132" s="93" t="str">
        <f t="shared" si="73"/>
        <v>#REF!</v>
      </c>
      <c r="AB132" s="93" t="str">
        <f t="shared" si="73"/>
        <v>#REF!</v>
      </c>
      <c r="AC132" s="93" t="str">
        <f t="shared" si="73"/>
        <v>#REF!</v>
      </c>
      <c r="AD132" s="93" t="str">
        <f t="shared" si="73"/>
        <v>#REF!</v>
      </c>
      <c r="AE132" s="93" t="str">
        <f t="shared" si="73"/>
        <v>#REF!</v>
      </c>
      <c r="AF132" s="93" t="str">
        <f t="shared" si="73"/>
        <v>#REF!</v>
      </c>
      <c r="AG132" s="93" t="str">
        <f t="shared" si="73"/>
        <v>#REF!</v>
      </c>
      <c r="AH132" s="93" t="str">
        <f t="shared" si="73"/>
        <v>#REF!</v>
      </c>
      <c r="AI132" s="93" t="str">
        <f t="shared" si="73"/>
        <v>#REF!</v>
      </c>
      <c r="AJ132" s="93" t="str">
        <f t="shared" si="73"/>
        <v>#REF!</v>
      </c>
      <c r="AK132" s="93" t="str">
        <f t="shared" si="73"/>
        <v>#REF!</v>
      </c>
      <c r="AL132" s="93" t="str">
        <f t="shared" si="73"/>
        <v>#REF!</v>
      </c>
      <c r="AM132" s="93"/>
      <c r="AN132" s="93"/>
      <c r="AO132" s="93"/>
      <c r="AP132" s="93"/>
    </row>
    <row r="133" ht="12.75" customHeight="1" outlineLevel="1">
      <c r="A133" s="67"/>
      <c r="B133" s="67"/>
      <c r="C133" s="90" t="s">
        <v>264</v>
      </c>
      <c r="D133" s="67"/>
      <c r="E133" s="67"/>
      <c r="F133" s="67"/>
      <c r="G133" s="67"/>
      <c r="H133" s="67"/>
      <c r="I133" s="86"/>
      <c r="J133" s="217"/>
      <c r="K133" s="218"/>
      <c r="L133" s="65"/>
      <c r="M133" s="93">
        <f t="shared" ref="M133:AP133" si="74">M253</f>
        <v>110000</v>
      </c>
      <c r="N133" s="93">
        <f t="shared" si="74"/>
        <v>50000</v>
      </c>
      <c r="O133" s="93">
        <f t="shared" si="74"/>
        <v>50000</v>
      </c>
      <c r="P133" s="93">
        <f t="shared" si="74"/>
        <v>60000</v>
      </c>
      <c r="Q133" s="93">
        <f t="shared" si="74"/>
        <v>70000</v>
      </c>
      <c r="R133" s="93">
        <f t="shared" si="74"/>
        <v>115500</v>
      </c>
      <c r="S133" s="93">
        <f t="shared" si="74"/>
        <v>194000</v>
      </c>
      <c r="T133" s="93">
        <f t="shared" si="74"/>
        <v>318000</v>
      </c>
      <c r="U133" s="93">
        <f t="shared" si="74"/>
        <v>486600</v>
      </c>
      <c r="V133" s="93">
        <f t="shared" si="74"/>
        <v>661700</v>
      </c>
      <c r="W133" s="93">
        <f t="shared" si="74"/>
        <v>922300</v>
      </c>
      <c r="X133" s="93">
        <f t="shared" si="74"/>
        <v>1246600</v>
      </c>
      <c r="Y133" s="93">
        <f t="shared" si="74"/>
        <v>1825300</v>
      </c>
      <c r="Z133" s="93">
        <f t="shared" si="74"/>
        <v>2629500</v>
      </c>
      <c r="AA133" s="93">
        <f t="shared" si="74"/>
        <v>3664100</v>
      </c>
      <c r="AB133" s="93">
        <f t="shared" si="74"/>
        <v>4867300</v>
      </c>
      <c r="AC133" s="93">
        <f t="shared" si="74"/>
        <v>6332500</v>
      </c>
      <c r="AD133" s="93">
        <f t="shared" si="74"/>
        <v>7966300</v>
      </c>
      <c r="AE133" s="93">
        <f t="shared" si="74"/>
        <v>9641000</v>
      </c>
      <c r="AF133" s="93">
        <f t="shared" si="74"/>
        <v>11052300</v>
      </c>
      <c r="AG133" s="93">
        <f t="shared" si="74"/>
        <v>11424200</v>
      </c>
      <c r="AH133" s="93">
        <f t="shared" si="74"/>
        <v>11652600</v>
      </c>
      <c r="AI133" s="93">
        <f t="shared" si="74"/>
        <v>11885700</v>
      </c>
      <c r="AJ133" s="93">
        <f t="shared" si="74"/>
        <v>12123400</v>
      </c>
      <c r="AK133" s="93">
        <f t="shared" si="74"/>
        <v>12365800</v>
      </c>
      <c r="AL133" s="93">
        <f t="shared" si="74"/>
        <v>12613100</v>
      </c>
      <c r="AM133" s="93">
        <f t="shared" si="74"/>
        <v>12865300</v>
      </c>
      <c r="AN133" s="93">
        <f t="shared" si="74"/>
        <v>13122600</v>
      </c>
      <c r="AO133" s="93">
        <f t="shared" si="74"/>
        <v>13385100</v>
      </c>
      <c r="AP133" s="93">
        <f t="shared" si="74"/>
        <v>13652700</v>
      </c>
      <c r="AQ133" s="65"/>
      <c r="AR133" s="65"/>
      <c r="AS133" s="65"/>
      <c r="AT133" s="65"/>
      <c r="AU133" s="65"/>
      <c r="AV133" s="65"/>
    </row>
    <row r="134" ht="12.75" customHeight="1" outlineLevel="1">
      <c r="A134" s="67"/>
      <c r="B134" s="67"/>
      <c r="C134" s="87" t="s">
        <v>311</v>
      </c>
      <c r="D134" s="139"/>
      <c r="E134" s="139"/>
      <c r="F134" s="139"/>
      <c r="G134" s="139"/>
      <c r="H134" s="139"/>
      <c r="I134" s="202"/>
      <c r="J134" s="220"/>
      <c r="K134" s="221"/>
      <c r="L134" s="200"/>
      <c r="M134" s="119">
        <f t="shared" ref="M134:AL134" si="75">M324</f>
        <v>0</v>
      </c>
      <c r="N134" s="119">
        <f t="shared" si="75"/>
        <v>0</v>
      </c>
      <c r="O134" s="119">
        <f t="shared" si="75"/>
        <v>192500</v>
      </c>
      <c r="P134" s="119">
        <f t="shared" si="75"/>
        <v>290000</v>
      </c>
      <c r="Q134" s="119">
        <f t="shared" si="75"/>
        <v>400000</v>
      </c>
      <c r="R134" s="119">
        <f t="shared" si="75"/>
        <v>543150</v>
      </c>
      <c r="S134" s="119">
        <f t="shared" si="75"/>
        <v>738684</v>
      </c>
      <c r="T134" s="119">
        <f t="shared" si="75"/>
        <v>1077126.12</v>
      </c>
      <c r="U134" s="119">
        <f t="shared" si="75"/>
        <v>1390925.326</v>
      </c>
      <c r="V134" s="119">
        <f t="shared" si="75"/>
        <v>1446345.852</v>
      </c>
      <c r="W134" s="119">
        <f t="shared" si="75"/>
        <v>1466826.551</v>
      </c>
      <c r="X134" s="119">
        <f t="shared" si="75"/>
        <v>1496163.082</v>
      </c>
      <c r="Y134" s="119">
        <f t="shared" si="75"/>
        <v>1526086.344</v>
      </c>
      <c r="Z134" s="119">
        <f t="shared" si="75"/>
        <v>1556608.071</v>
      </c>
      <c r="AA134" s="119">
        <f t="shared" si="75"/>
        <v>1587740.232</v>
      </c>
      <c r="AB134" s="119">
        <f t="shared" si="75"/>
        <v>1619495.037</v>
      </c>
      <c r="AC134" s="119">
        <f t="shared" si="75"/>
        <v>1651884.937</v>
      </c>
      <c r="AD134" s="119">
        <f t="shared" si="75"/>
        <v>1684922.636</v>
      </c>
      <c r="AE134" s="119">
        <f t="shared" si="75"/>
        <v>1718621.089</v>
      </c>
      <c r="AF134" s="119">
        <f t="shared" si="75"/>
        <v>1752993.511</v>
      </c>
      <c r="AG134" s="119">
        <f t="shared" si="75"/>
        <v>1788053.381</v>
      </c>
      <c r="AH134" s="119">
        <f t="shared" si="75"/>
        <v>1823814.448</v>
      </c>
      <c r="AI134" s="119">
        <f t="shared" si="75"/>
        <v>1860290.737</v>
      </c>
      <c r="AJ134" s="119">
        <f t="shared" si="75"/>
        <v>1897496.552</v>
      </c>
      <c r="AK134" s="119">
        <f t="shared" si="75"/>
        <v>1935446.483</v>
      </c>
      <c r="AL134" s="119">
        <f t="shared" si="75"/>
        <v>1974155.413</v>
      </c>
      <c r="AM134" s="93">
        <f t="shared" ref="AM134:AP134" si="76">AM198</f>
        <v>36279550.87</v>
      </c>
      <c r="AN134" s="93">
        <f t="shared" si="76"/>
        <v>36997448.4</v>
      </c>
      <c r="AO134" s="93" t="str">
        <f t="shared" si="76"/>
        <v>#REF!</v>
      </c>
      <c r="AP134" s="93" t="str">
        <f t="shared" si="76"/>
        <v>#REF!</v>
      </c>
      <c r="AQ134" s="65"/>
      <c r="AR134" s="65"/>
      <c r="AS134" s="65"/>
      <c r="AT134" s="65"/>
      <c r="AU134" s="65"/>
      <c r="AV134" s="65"/>
    </row>
    <row r="135" ht="12.75" customHeight="1" outlineLevel="1">
      <c r="A135" s="67"/>
      <c r="B135" s="67" t="s">
        <v>315</v>
      </c>
      <c r="C135" s="67"/>
      <c r="D135" s="67"/>
      <c r="E135" s="67"/>
      <c r="F135" s="67"/>
      <c r="G135" s="67"/>
      <c r="H135" s="67"/>
      <c r="I135" s="67"/>
      <c r="J135" s="67"/>
      <c r="K135" s="67"/>
      <c r="L135" s="76">
        <v>917467.38</v>
      </c>
      <c r="M135" s="115" t="str">
        <f t="shared" ref="M135:AL135" si="77">SUM(M123:M134)</f>
        <v>#REF!</v>
      </c>
      <c r="N135" s="115" t="str">
        <f t="shared" si="77"/>
        <v>#REF!</v>
      </c>
      <c r="O135" s="115" t="str">
        <f t="shared" si="77"/>
        <v>#REF!</v>
      </c>
      <c r="P135" s="115" t="str">
        <f t="shared" si="77"/>
        <v>#REF!</v>
      </c>
      <c r="Q135" s="115" t="str">
        <f t="shared" si="77"/>
        <v>#REF!</v>
      </c>
      <c r="R135" s="115" t="str">
        <f t="shared" si="77"/>
        <v>#REF!</v>
      </c>
      <c r="S135" s="115" t="str">
        <f t="shared" si="77"/>
        <v>#REF!</v>
      </c>
      <c r="T135" s="115" t="str">
        <f t="shared" si="77"/>
        <v>#REF!</v>
      </c>
      <c r="U135" s="115" t="str">
        <f t="shared" si="77"/>
        <v>#REF!</v>
      </c>
      <c r="V135" s="115" t="str">
        <f t="shared" si="77"/>
        <v>#REF!</v>
      </c>
      <c r="W135" s="115" t="str">
        <f t="shared" si="77"/>
        <v>#REF!</v>
      </c>
      <c r="X135" s="115" t="str">
        <f t="shared" si="77"/>
        <v>#REF!</v>
      </c>
      <c r="Y135" s="115" t="str">
        <f t="shared" si="77"/>
        <v>#REF!</v>
      </c>
      <c r="Z135" s="115" t="str">
        <f t="shared" si="77"/>
        <v>#REF!</v>
      </c>
      <c r="AA135" s="115" t="str">
        <f t="shared" si="77"/>
        <v>#REF!</v>
      </c>
      <c r="AB135" s="115" t="str">
        <f t="shared" si="77"/>
        <v>#REF!</v>
      </c>
      <c r="AC135" s="115" t="str">
        <f t="shared" si="77"/>
        <v>#REF!</v>
      </c>
      <c r="AD135" s="115" t="str">
        <f t="shared" si="77"/>
        <v>#REF!</v>
      </c>
      <c r="AE135" s="115" t="str">
        <f t="shared" si="77"/>
        <v>#REF!</v>
      </c>
      <c r="AF135" s="115" t="str">
        <f t="shared" si="77"/>
        <v>#REF!</v>
      </c>
      <c r="AG135" s="115" t="str">
        <f t="shared" si="77"/>
        <v>#REF!</v>
      </c>
      <c r="AH135" s="115" t="str">
        <f t="shared" si="77"/>
        <v>#REF!</v>
      </c>
      <c r="AI135" s="115" t="str">
        <f t="shared" si="77"/>
        <v>#REF!</v>
      </c>
      <c r="AJ135" s="115" t="str">
        <f t="shared" si="77"/>
        <v>#REF!</v>
      </c>
      <c r="AK135" s="115" t="str">
        <f t="shared" si="77"/>
        <v>#REF!</v>
      </c>
      <c r="AL135" s="115" t="str">
        <f t="shared" si="77"/>
        <v>#REF!</v>
      </c>
      <c r="AM135" s="115">
        <f t="shared" ref="AM135:AP135" si="78">SUM(AM133:AM134)</f>
        <v>49144850.87</v>
      </c>
      <c r="AN135" s="115">
        <f t="shared" si="78"/>
        <v>50120048.4</v>
      </c>
      <c r="AO135" s="115" t="str">
        <f t="shared" si="78"/>
        <v>#REF!</v>
      </c>
      <c r="AP135" s="115" t="str">
        <f t="shared" si="78"/>
        <v>#REF!</v>
      </c>
      <c r="AQ135" s="76"/>
      <c r="AR135" s="76"/>
      <c r="AS135" s="76"/>
      <c r="AT135" s="76"/>
      <c r="AU135" s="76"/>
      <c r="AV135" s="76"/>
    </row>
    <row r="136" ht="12.75" customHeight="1" outlineLevel="1">
      <c r="A136" s="90"/>
      <c r="M136" s="93"/>
      <c r="N136" s="93"/>
      <c r="O136" s="93"/>
      <c r="P136" s="93"/>
      <c r="Q136" s="93"/>
      <c r="R136" s="93"/>
      <c r="S136" s="93"/>
      <c r="T136" s="93"/>
      <c r="U136" s="93"/>
      <c r="V136" s="93"/>
      <c r="W136" s="93"/>
      <c r="X136" s="93"/>
      <c r="Y136" s="93"/>
      <c r="Z136" s="93"/>
      <c r="AA136" s="93"/>
      <c r="AB136" s="93"/>
      <c r="AC136" s="93"/>
      <c r="AD136" s="93"/>
      <c r="AE136" s="93"/>
      <c r="AF136" s="93"/>
      <c r="AG136" s="93"/>
      <c r="AH136" s="93"/>
      <c r="AI136" s="93"/>
      <c r="AJ136" s="93"/>
      <c r="AK136" s="93"/>
      <c r="AL136" s="93"/>
      <c r="AM136" s="93"/>
      <c r="AN136" s="93"/>
      <c r="AO136" s="93"/>
      <c r="AP136" s="93"/>
    </row>
    <row r="137" ht="12.75" customHeight="1" outlineLevel="1">
      <c r="A137" s="90"/>
      <c r="B137" s="67" t="s">
        <v>231</v>
      </c>
      <c r="M137" s="93"/>
      <c r="N137" s="93"/>
      <c r="O137" s="93"/>
      <c r="P137" s="93"/>
      <c r="Q137" s="93"/>
      <c r="R137" s="93"/>
      <c r="S137" s="93"/>
      <c r="T137" s="93"/>
      <c r="U137" s="93"/>
      <c r="V137" s="93"/>
      <c r="W137" s="93"/>
      <c r="X137" s="93"/>
      <c r="Y137" s="93"/>
      <c r="Z137" s="93"/>
      <c r="AA137" s="93"/>
      <c r="AB137" s="93"/>
      <c r="AC137" s="93"/>
      <c r="AD137" s="93"/>
      <c r="AE137" s="93"/>
      <c r="AF137" s="93"/>
      <c r="AG137" s="93"/>
      <c r="AH137" s="93"/>
      <c r="AI137" s="93"/>
      <c r="AJ137" s="93"/>
      <c r="AK137" s="93"/>
      <c r="AL137" s="93"/>
      <c r="AM137" s="93"/>
      <c r="AN137" s="93"/>
      <c r="AO137" s="93"/>
      <c r="AP137" s="93"/>
    </row>
    <row r="138" ht="12.75" customHeight="1" outlineLevel="1">
      <c r="A138" s="67"/>
      <c r="B138" s="67"/>
      <c r="C138" s="68" t="s">
        <v>307</v>
      </c>
      <c r="D138" s="67"/>
      <c r="E138" s="67"/>
      <c r="F138" s="67"/>
      <c r="G138" s="67"/>
      <c r="H138" s="67"/>
      <c r="I138" s="86"/>
      <c r="J138" s="217"/>
      <c r="K138" s="218"/>
      <c r="L138" s="65"/>
      <c r="M138" s="93">
        <f t="shared" ref="M138:AL138" si="79">M123+M109+M95</f>
        <v>397268</v>
      </c>
      <c r="N138" s="93">
        <f t="shared" si="79"/>
        <v>487400.64</v>
      </c>
      <c r="O138" s="93">
        <f t="shared" si="79"/>
        <v>544508.6528</v>
      </c>
      <c r="P138" s="93">
        <f t="shared" si="79"/>
        <v>773226.8941</v>
      </c>
      <c r="Q138" s="93">
        <f t="shared" si="79"/>
        <v>917110.1468</v>
      </c>
      <c r="R138" s="93">
        <f t="shared" si="79"/>
        <v>1185975.385</v>
      </c>
      <c r="S138" s="93">
        <f t="shared" si="79"/>
        <v>1555015.16</v>
      </c>
      <c r="T138" s="93">
        <f t="shared" si="79"/>
        <v>2104646.007</v>
      </c>
      <c r="U138" s="93">
        <f t="shared" si="79"/>
        <v>2858945.585</v>
      </c>
      <c r="V138" s="93">
        <f t="shared" si="79"/>
        <v>4190599.28</v>
      </c>
      <c r="W138" s="93">
        <f t="shared" si="79"/>
        <v>5578877.237</v>
      </c>
      <c r="X138" s="93">
        <f t="shared" si="79"/>
        <v>6468985.087</v>
      </c>
      <c r="Y138" s="93">
        <f t="shared" si="79"/>
        <v>7610152.66</v>
      </c>
      <c r="Z138" s="93">
        <f t="shared" si="79"/>
        <v>9025461.026</v>
      </c>
      <c r="AA138" s="93">
        <f t="shared" si="79"/>
        <v>10706914.66</v>
      </c>
      <c r="AB138" s="93">
        <f t="shared" si="79"/>
        <v>12725732.83</v>
      </c>
      <c r="AC138" s="93">
        <f t="shared" si="79"/>
        <v>15199508.96</v>
      </c>
      <c r="AD138" s="93">
        <f t="shared" si="79"/>
        <v>18077741.84</v>
      </c>
      <c r="AE138" s="93">
        <f t="shared" si="79"/>
        <v>21272350.64</v>
      </c>
      <c r="AF138" s="93">
        <f t="shared" si="79"/>
        <v>24473014.48</v>
      </c>
      <c r="AG138" s="93">
        <f t="shared" si="79"/>
        <v>27363105.9</v>
      </c>
      <c r="AH138" s="93">
        <f t="shared" si="79"/>
        <v>31243472.59</v>
      </c>
      <c r="AI138" s="93">
        <f t="shared" si="79"/>
        <v>36879279.71</v>
      </c>
      <c r="AJ138" s="93">
        <f t="shared" si="79"/>
        <v>45274534.92</v>
      </c>
      <c r="AK138" s="93">
        <f t="shared" si="79"/>
        <v>58079973.55</v>
      </c>
      <c r="AL138" s="93">
        <f t="shared" si="79"/>
        <v>78052161.35</v>
      </c>
      <c r="AM138" s="93" t="str">
        <f t="shared" ref="AM138:AP138" si="80">AM100+AM109+AM133</f>
        <v>#REF!</v>
      </c>
      <c r="AN138" s="93" t="str">
        <f t="shared" si="80"/>
        <v>#REF!</v>
      </c>
      <c r="AO138" s="93" t="str">
        <f t="shared" si="80"/>
        <v>#REF!</v>
      </c>
      <c r="AP138" s="93" t="str">
        <f t="shared" si="80"/>
        <v>#REF!</v>
      </c>
      <c r="AQ138" s="65"/>
      <c r="AR138" s="65"/>
      <c r="AS138" s="65"/>
      <c r="AT138" s="65"/>
      <c r="AU138" s="65"/>
      <c r="AV138" s="65"/>
    </row>
    <row r="139" ht="12.75" customHeight="1" outlineLevel="1">
      <c r="A139" s="67"/>
      <c r="B139" s="67"/>
      <c r="C139" s="68" t="s">
        <v>308</v>
      </c>
      <c r="D139" s="67"/>
      <c r="E139" s="67"/>
      <c r="F139" s="67"/>
      <c r="G139" s="67"/>
      <c r="H139" s="67"/>
      <c r="I139" s="86"/>
      <c r="J139" s="217"/>
      <c r="K139" s="218"/>
      <c r="L139" s="65"/>
      <c r="M139" s="93">
        <f t="shared" ref="M139:AL139" si="81">M124+M110+M96</f>
        <v>368768</v>
      </c>
      <c r="N139" s="93">
        <f t="shared" si="81"/>
        <v>451074.64</v>
      </c>
      <c r="O139" s="93">
        <f t="shared" si="81"/>
        <v>425856.6528</v>
      </c>
      <c r="P139" s="93">
        <f t="shared" si="81"/>
        <v>582426.2047</v>
      </c>
      <c r="Q139" s="93">
        <f t="shared" si="81"/>
        <v>624608.2888</v>
      </c>
      <c r="R139" s="93">
        <f t="shared" si="81"/>
        <v>761641.3379</v>
      </c>
      <c r="S139" s="93">
        <f t="shared" si="81"/>
        <v>1046678.918</v>
      </c>
      <c r="T139" s="93">
        <f t="shared" si="81"/>
        <v>1570891.504</v>
      </c>
      <c r="U139" s="93">
        <f t="shared" si="81"/>
        <v>1906083.251</v>
      </c>
      <c r="V139" s="93">
        <f t="shared" si="81"/>
        <v>3086871.298</v>
      </c>
      <c r="W139" s="93">
        <f t="shared" si="81"/>
        <v>4388804.747</v>
      </c>
      <c r="X139" s="93">
        <f t="shared" si="81"/>
        <v>4884637.751</v>
      </c>
      <c r="Y139" s="93">
        <f t="shared" si="81"/>
        <v>5721117.539</v>
      </c>
      <c r="Z139" s="93">
        <f t="shared" si="81"/>
        <v>6859748.448</v>
      </c>
      <c r="AA139" s="93">
        <f t="shared" si="81"/>
        <v>8306869.016</v>
      </c>
      <c r="AB139" s="93">
        <f t="shared" si="81"/>
        <v>9980286.902</v>
      </c>
      <c r="AC139" s="93">
        <f t="shared" si="81"/>
        <v>12004530.23</v>
      </c>
      <c r="AD139" s="93">
        <f t="shared" si="81"/>
        <v>14255101.14</v>
      </c>
      <c r="AE139" s="93">
        <f t="shared" si="81"/>
        <v>16561597.5</v>
      </c>
      <c r="AF139" s="93">
        <f t="shared" si="81"/>
        <v>18518382.05</v>
      </c>
      <c r="AG139" s="93">
        <f t="shared" si="81"/>
        <v>19089911.82</v>
      </c>
      <c r="AH139" s="93">
        <f t="shared" si="81"/>
        <v>19471710.06</v>
      </c>
      <c r="AI139" s="93">
        <f t="shared" si="81"/>
        <v>19861144.26</v>
      </c>
      <c r="AJ139" s="93">
        <f t="shared" si="81"/>
        <v>20258367.14</v>
      </c>
      <c r="AK139" s="93">
        <f t="shared" si="81"/>
        <v>20663534.49</v>
      </c>
      <c r="AL139" s="93">
        <f t="shared" si="81"/>
        <v>21076805.18</v>
      </c>
      <c r="AM139" s="93"/>
      <c r="AN139" s="93"/>
      <c r="AO139" s="93"/>
      <c r="AP139" s="93"/>
      <c r="AQ139" s="65"/>
      <c r="AR139" s="65"/>
      <c r="AS139" s="65"/>
      <c r="AT139" s="65"/>
      <c r="AU139" s="65"/>
      <c r="AV139" s="65"/>
    </row>
    <row r="140" ht="12.75" customHeight="1" outlineLevel="1">
      <c r="A140" s="67"/>
      <c r="B140" s="67"/>
      <c r="C140" s="68" t="s">
        <v>137</v>
      </c>
      <c r="D140" s="67"/>
      <c r="E140" s="67"/>
      <c r="F140" s="67"/>
      <c r="G140" s="67"/>
      <c r="H140" s="67"/>
      <c r="I140" s="86"/>
      <c r="J140" s="217"/>
      <c r="K140" s="218"/>
      <c r="L140" s="65"/>
      <c r="M140" s="93">
        <f t="shared" ref="M140:AL140" si="82">M125+M111+M97</f>
        <v>207716</v>
      </c>
      <c r="N140" s="93">
        <f t="shared" si="82"/>
        <v>185200.32</v>
      </c>
      <c r="O140" s="93">
        <f t="shared" si="82"/>
        <v>273934.752</v>
      </c>
      <c r="P140" s="93">
        <f t="shared" si="82"/>
        <v>286613.447</v>
      </c>
      <c r="Q140" s="93">
        <f t="shared" si="82"/>
        <v>306895.716</v>
      </c>
      <c r="R140" s="93">
        <f t="shared" si="82"/>
        <v>335983.6303</v>
      </c>
      <c r="S140" s="93">
        <f t="shared" si="82"/>
        <v>381718.3029</v>
      </c>
      <c r="T140" s="93">
        <f t="shared" si="82"/>
        <v>421188.909</v>
      </c>
      <c r="U140" s="93">
        <f t="shared" si="82"/>
        <v>426906.6067</v>
      </c>
      <c r="V140" s="93">
        <f t="shared" si="82"/>
        <v>432738.6585</v>
      </c>
      <c r="W140" s="93" t="str">
        <f t="shared" si="82"/>
        <v>#REF!</v>
      </c>
      <c r="X140" s="93" t="str">
        <f t="shared" si="82"/>
        <v>#REF!</v>
      </c>
      <c r="Y140" s="93" t="str">
        <f t="shared" si="82"/>
        <v>#REF!</v>
      </c>
      <c r="Z140" s="93" t="str">
        <f t="shared" si="82"/>
        <v>#REF!</v>
      </c>
      <c r="AA140" s="93" t="str">
        <f t="shared" si="82"/>
        <v>#REF!</v>
      </c>
      <c r="AB140" s="93" t="str">
        <f t="shared" si="82"/>
        <v>#REF!</v>
      </c>
      <c r="AC140" s="93" t="str">
        <f t="shared" si="82"/>
        <v>#REF!</v>
      </c>
      <c r="AD140" s="93" t="str">
        <f t="shared" si="82"/>
        <v>#REF!</v>
      </c>
      <c r="AE140" s="93" t="str">
        <f t="shared" si="82"/>
        <v>#REF!</v>
      </c>
      <c r="AF140" s="93" t="str">
        <f t="shared" si="82"/>
        <v>#REF!</v>
      </c>
      <c r="AG140" s="93" t="str">
        <f t="shared" si="82"/>
        <v>#REF!</v>
      </c>
      <c r="AH140" s="93" t="str">
        <f t="shared" si="82"/>
        <v>#REF!</v>
      </c>
      <c r="AI140" s="93" t="str">
        <f t="shared" si="82"/>
        <v>#REF!</v>
      </c>
      <c r="AJ140" s="93" t="str">
        <f t="shared" si="82"/>
        <v>#REF!</v>
      </c>
      <c r="AK140" s="93" t="str">
        <f t="shared" si="82"/>
        <v>#REF!</v>
      </c>
      <c r="AL140" s="93" t="str">
        <f t="shared" si="82"/>
        <v>#REF!</v>
      </c>
      <c r="AM140" s="93"/>
      <c r="AN140" s="93"/>
      <c r="AO140" s="93"/>
      <c r="AP140" s="93"/>
      <c r="AQ140" s="65"/>
      <c r="AR140" s="65"/>
      <c r="AS140" s="65"/>
      <c r="AT140" s="65"/>
      <c r="AU140" s="65"/>
      <c r="AV140" s="65"/>
    </row>
    <row r="141" ht="12.75" customHeight="1" outlineLevel="1">
      <c r="A141" s="67"/>
      <c r="B141" s="67"/>
      <c r="C141" s="68" t="s">
        <v>266</v>
      </c>
      <c r="D141" s="67"/>
      <c r="E141" s="67"/>
      <c r="F141" s="67"/>
      <c r="G141" s="67"/>
      <c r="H141" s="67"/>
      <c r="I141" s="86"/>
      <c r="J141" s="217"/>
      <c r="K141" s="218"/>
      <c r="L141" s="65"/>
      <c r="M141" s="93" t="str">
        <f t="shared" ref="M141:AL141" si="83">M126+M112+M98</f>
        <v>#REF!</v>
      </c>
      <c r="N141" s="93" t="str">
        <f t="shared" si="83"/>
        <v>#REF!</v>
      </c>
      <c r="O141" s="93" t="str">
        <f t="shared" si="83"/>
        <v>#REF!</v>
      </c>
      <c r="P141" s="93" t="str">
        <f t="shared" si="83"/>
        <v>#REF!</v>
      </c>
      <c r="Q141" s="93" t="str">
        <f t="shared" si="83"/>
        <v>#REF!</v>
      </c>
      <c r="R141" s="93" t="str">
        <f t="shared" si="83"/>
        <v>#REF!</v>
      </c>
      <c r="S141" s="93" t="str">
        <f t="shared" si="83"/>
        <v>#REF!</v>
      </c>
      <c r="T141" s="93" t="str">
        <f t="shared" si="83"/>
        <v>#REF!</v>
      </c>
      <c r="U141" s="93" t="str">
        <f t="shared" si="83"/>
        <v>#REF!</v>
      </c>
      <c r="V141" s="93" t="str">
        <f t="shared" si="83"/>
        <v>#REF!</v>
      </c>
      <c r="W141" s="93" t="str">
        <f t="shared" si="83"/>
        <v>#REF!</v>
      </c>
      <c r="X141" s="93" t="str">
        <f t="shared" si="83"/>
        <v>#REF!</v>
      </c>
      <c r="Y141" s="93" t="str">
        <f t="shared" si="83"/>
        <v>#REF!</v>
      </c>
      <c r="Z141" s="93" t="str">
        <f t="shared" si="83"/>
        <v>#REF!</v>
      </c>
      <c r="AA141" s="93" t="str">
        <f t="shared" si="83"/>
        <v>#REF!</v>
      </c>
      <c r="AB141" s="93" t="str">
        <f t="shared" si="83"/>
        <v>#REF!</v>
      </c>
      <c r="AC141" s="93" t="str">
        <f t="shared" si="83"/>
        <v>#REF!</v>
      </c>
      <c r="AD141" s="93" t="str">
        <f t="shared" si="83"/>
        <v>#REF!</v>
      </c>
      <c r="AE141" s="93" t="str">
        <f t="shared" si="83"/>
        <v>#REF!</v>
      </c>
      <c r="AF141" s="93" t="str">
        <f t="shared" si="83"/>
        <v>#REF!</v>
      </c>
      <c r="AG141" s="93" t="str">
        <f t="shared" si="83"/>
        <v>#REF!</v>
      </c>
      <c r="AH141" s="93" t="str">
        <f t="shared" si="83"/>
        <v>#REF!</v>
      </c>
      <c r="AI141" s="93" t="str">
        <f t="shared" si="83"/>
        <v>#REF!</v>
      </c>
      <c r="AJ141" s="93" t="str">
        <f t="shared" si="83"/>
        <v>#REF!</v>
      </c>
      <c r="AK141" s="93" t="str">
        <f t="shared" si="83"/>
        <v>#REF!</v>
      </c>
      <c r="AL141" s="93" t="str">
        <f t="shared" si="83"/>
        <v>#REF!</v>
      </c>
      <c r="AM141" s="93"/>
      <c r="AN141" s="93"/>
      <c r="AO141" s="93"/>
      <c r="AP141" s="93"/>
      <c r="AQ141" s="65"/>
      <c r="AR141" s="65"/>
      <c r="AS141" s="65"/>
      <c r="AT141" s="65"/>
      <c r="AU141" s="65"/>
      <c r="AV141" s="65"/>
    </row>
    <row r="142" ht="12.75" customHeight="1" outlineLevel="1">
      <c r="A142" s="67"/>
      <c r="B142" s="67"/>
      <c r="C142" s="68" t="s">
        <v>265</v>
      </c>
      <c r="D142" s="67"/>
      <c r="E142" s="67"/>
      <c r="F142" s="67"/>
      <c r="G142" s="67"/>
      <c r="H142" s="67"/>
      <c r="I142" s="86"/>
      <c r="J142" s="217"/>
      <c r="K142" s="218"/>
      <c r="L142" s="65"/>
      <c r="M142" s="93" t="str">
        <f t="shared" ref="M142:AL142" si="84">M127+M113+M99</f>
        <v>#REF!</v>
      </c>
      <c r="N142" s="93" t="str">
        <f t="shared" si="84"/>
        <v>#REF!</v>
      </c>
      <c r="O142" s="93" t="str">
        <f t="shared" si="84"/>
        <v>#REF!</v>
      </c>
      <c r="P142" s="93" t="str">
        <f t="shared" si="84"/>
        <v>#REF!</v>
      </c>
      <c r="Q142" s="93" t="str">
        <f t="shared" si="84"/>
        <v>#REF!</v>
      </c>
      <c r="R142" s="93" t="str">
        <f t="shared" si="84"/>
        <v>#REF!</v>
      </c>
      <c r="S142" s="93" t="str">
        <f t="shared" si="84"/>
        <v>#REF!</v>
      </c>
      <c r="T142" s="93">
        <f t="shared" si="84"/>
        <v>200119.4223</v>
      </c>
      <c r="U142" s="93">
        <f t="shared" si="84"/>
        <v>204121.8107</v>
      </c>
      <c r="V142" s="93">
        <f t="shared" si="84"/>
        <v>208204.2469</v>
      </c>
      <c r="W142" s="93" t="str">
        <f t="shared" si="84"/>
        <v>#REF!</v>
      </c>
      <c r="X142" s="93" t="str">
        <f t="shared" si="84"/>
        <v>#REF!</v>
      </c>
      <c r="Y142" s="93" t="str">
        <f t="shared" si="84"/>
        <v>#REF!</v>
      </c>
      <c r="Z142" s="93" t="str">
        <f t="shared" si="84"/>
        <v>#REF!</v>
      </c>
      <c r="AA142" s="93" t="str">
        <f t="shared" si="84"/>
        <v>#REF!</v>
      </c>
      <c r="AB142" s="93" t="str">
        <f t="shared" si="84"/>
        <v>#REF!</v>
      </c>
      <c r="AC142" s="93" t="str">
        <f t="shared" si="84"/>
        <v>#REF!</v>
      </c>
      <c r="AD142" s="93" t="str">
        <f t="shared" si="84"/>
        <v>#REF!</v>
      </c>
      <c r="AE142" s="93" t="str">
        <f t="shared" si="84"/>
        <v>#REF!</v>
      </c>
      <c r="AF142" s="93" t="str">
        <f t="shared" si="84"/>
        <v>#REF!</v>
      </c>
      <c r="AG142" s="93" t="str">
        <f t="shared" si="84"/>
        <v>#REF!</v>
      </c>
      <c r="AH142" s="93" t="str">
        <f t="shared" si="84"/>
        <v>#REF!</v>
      </c>
      <c r="AI142" s="93" t="str">
        <f t="shared" si="84"/>
        <v>#REF!</v>
      </c>
      <c r="AJ142" s="93" t="str">
        <f t="shared" si="84"/>
        <v>#REF!</v>
      </c>
      <c r="AK142" s="93" t="str">
        <f t="shared" si="84"/>
        <v>#REF!</v>
      </c>
      <c r="AL142" s="93" t="str">
        <f t="shared" si="84"/>
        <v>#REF!</v>
      </c>
      <c r="AM142" s="93"/>
      <c r="AN142" s="93"/>
      <c r="AO142" s="93"/>
      <c r="AP142" s="93"/>
      <c r="AQ142" s="65"/>
      <c r="AR142" s="65"/>
      <c r="AS142" s="65"/>
      <c r="AT142" s="65"/>
      <c r="AU142" s="65"/>
      <c r="AV142" s="65"/>
    </row>
    <row r="143" ht="12.75" customHeight="1" outlineLevel="1">
      <c r="A143" s="67"/>
      <c r="B143" s="67"/>
      <c r="C143" s="68" t="s">
        <v>138</v>
      </c>
      <c r="D143" s="67"/>
      <c r="E143" s="67"/>
      <c r="F143" s="67"/>
      <c r="G143" s="67"/>
      <c r="H143" s="67"/>
      <c r="I143" s="86"/>
      <c r="J143" s="217"/>
      <c r="K143" s="218"/>
      <c r="L143" s="65"/>
      <c r="M143" s="93" t="str">
        <f t="shared" ref="M143:AL143" si="85">M128+M114+M100</f>
        <v>#REF!</v>
      </c>
      <c r="N143" s="93" t="str">
        <f t="shared" si="85"/>
        <v>#REF!</v>
      </c>
      <c r="O143" s="93" t="str">
        <f t="shared" si="85"/>
        <v>#REF!</v>
      </c>
      <c r="P143" s="93" t="str">
        <f t="shared" si="85"/>
        <v>#REF!</v>
      </c>
      <c r="Q143" s="93" t="str">
        <f t="shared" si="85"/>
        <v>#REF!</v>
      </c>
      <c r="R143" s="93" t="str">
        <f t="shared" si="85"/>
        <v>#REF!</v>
      </c>
      <c r="S143" s="93" t="str">
        <f t="shared" si="85"/>
        <v>#REF!</v>
      </c>
      <c r="T143" s="93" t="str">
        <f t="shared" si="85"/>
        <v>#REF!</v>
      </c>
      <c r="U143" s="93" t="str">
        <f t="shared" si="85"/>
        <v>#REF!</v>
      </c>
      <c r="V143" s="93" t="str">
        <f t="shared" si="85"/>
        <v>#REF!</v>
      </c>
      <c r="W143" s="93" t="str">
        <f t="shared" si="85"/>
        <v>#REF!</v>
      </c>
      <c r="X143" s="93" t="str">
        <f t="shared" si="85"/>
        <v>#REF!</v>
      </c>
      <c r="Y143" s="93" t="str">
        <f t="shared" si="85"/>
        <v>#REF!</v>
      </c>
      <c r="Z143" s="93" t="str">
        <f t="shared" si="85"/>
        <v>#REF!</v>
      </c>
      <c r="AA143" s="93" t="str">
        <f t="shared" si="85"/>
        <v>#REF!</v>
      </c>
      <c r="AB143" s="93" t="str">
        <f t="shared" si="85"/>
        <v>#REF!</v>
      </c>
      <c r="AC143" s="93" t="str">
        <f t="shared" si="85"/>
        <v>#REF!</v>
      </c>
      <c r="AD143" s="93" t="str">
        <f t="shared" si="85"/>
        <v>#REF!</v>
      </c>
      <c r="AE143" s="93" t="str">
        <f t="shared" si="85"/>
        <v>#REF!</v>
      </c>
      <c r="AF143" s="93" t="str">
        <f t="shared" si="85"/>
        <v>#REF!</v>
      </c>
      <c r="AG143" s="93" t="str">
        <f t="shared" si="85"/>
        <v>#REF!</v>
      </c>
      <c r="AH143" s="93" t="str">
        <f t="shared" si="85"/>
        <v>#REF!</v>
      </c>
      <c r="AI143" s="93" t="str">
        <f t="shared" si="85"/>
        <v>#REF!</v>
      </c>
      <c r="AJ143" s="93" t="str">
        <f t="shared" si="85"/>
        <v>#REF!</v>
      </c>
      <c r="AK143" s="93" t="str">
        <f t="shared" si="85"/>
        <v>#REF!</v>
      </c>
      <c r="AL143" s="93" t="str">
        <f t="shared" si="85"/>
        <v>#REF!</v>
      </c>
      <c r="AM143" s="93"/>
      <c r="AN143" s="93"/>
      <c r="AO143" s="93"/>
      <c r="AP143" s="93"/>
      <c r="AQ143" s="65"/>
      <c r="AR143" s="65"/>
      <c r="AS143" s="65"/>
      <c r="AT143" s="65"/>
      <c r="AU143" s="65"/>
      <c r="AV143" s="65"/>
    </row>
    <row r="144" ht="12.75" customHeight="1" outlineLevel="1">
      <c r="A144" s="67"/>
      <c r="B144" s="67"/>
      <c r="C144" s="68" t="s">
        <v>309</v>
      </c>
      <c r="D144" s="67"/>
      <c r="E144" s="67"/>
      <c r="F144" s="67"/>
      <c r="G144" s="67"/>
      <c r="H144" s="67"/>
      <c r="I144" s="86"/>
      <c r="J144" s="217"/>
      <c r="K144" s="218"/>
      <c r="L144" s="65"/>
      <c r="M144" s="93">
        <f t="shared" ref="M144:AL144" si="86">M129+M115+M101</f>
        <v>472212</v>
      </c>
      <c r="N144" s="93">
        <f t="shared" si="86"/>
        <v>481376.16</v>
      </c>
      <c r="O144" s="93">
        <f t="shared" si="86"/>
        <v>564181.0288</v>
      </c>
      <c r="P144" s="93">
        <f t="shared" si="86"/>
        <v>682666.9282</v>
      </c>
      <c r="Q144" s="93">
        <f t="shared" si="86"/>
        <v>1249973.007</v>
      </c>
      <c r="R144" s="93">
        <f t="shared" si="86"/>
        <v>1533861.152</v>
      </c>
      <c r="S144" s="93">
        <f t="shared" si="86"/>
        <v>2344690.852</v>
      </c>
      <c r="T144" s="93">
        <f t="shared" si="86"/>
        <v>3312733.56</v>
      </c>
      <c r="U144" s="93">
        <f t="shared" si="86"/>
        <v>4471854.956</v>
      </c>
      <c r="V144" s="93">
        <f t="shared" si="86"/>
        <v>5139352.52</v>
      </c>
      <c r="W144" s="93">
        <f t="shared" si="86"/>
        <v>6193451.075</v>
      </c>
      <c r="X144" s="93">
        <f t="shared" si="86"/>
        <v>7860763.305</v>
      </c>
      <c r="Y144" s="93">
        <f t="shared" si="86"/>
        <v>11223065.92</v>
      </c>
      <c r="Z144" s="93">
        <f t="shared" si="86"/>
        <v>15688830.62</v>
      </c>
      <c r="AA144" s="93">
        <f t="shared" si="86"/>
        <v>21659769.71</v>
      </c>
      <c r="AB144" s="93">
        <f t="shared" si="86"/>
        <v>28444868.62</v>
      </c>
      <c r="AC144" s="93">
        <f t="shared" si="86"/>
        <v>37426570.55</v>
      </c>
      <c r="AD144" s="93">
        <f t="shared" si="86"/>
        <v>48290373.43</v>
      </c>
      <c r="AE144" s="93">
        <f t="shared" si="86"/>
        <v>60030214.99</v>
      </c>
      <c r="AF144" s="93">
        <f t="shared" si="86"/>
        <v>71384902.84</v>
      </c>
      <c r="AG144" s="93">
        <f t="shared" si="86"/>
        <v>71509532.19</v>
      </c>
      <c r="AH144" s="93">
        <f t="shared" si="86"/>
        <v>72480640.24</v>
      </c>
      <c r="AI144" s="93">
        <f t="shared" si="86"/>
        <v>73614723.41</v>
      </c>
      <c r="AJ144" s="93">
        <f t="shared" si="86"/>
        <v>74816108.36</v>
      </c>
      <c r="AK144" s="93">
        <f t="shared" si="86"/>
        <v>76113039.78</v>
      </c>
      <c r="AL144" s="93">
        <f t="shared" si="86"/>
        <v>77552413.36</v>
      </c>
      <c r="AM144" s="93"/>
      <c r="AN144" s="93"/>
      <c r="AO144" s="93"/>
      <c r="AP144" s="93"/>
      <c r="AQ144" s="65"/>
      <c r="AR144" s="65"/>
      <c r="AS144" s="65"/>
      <c r="AT144" s="65"/>
      <c r="AU144" s="65"/>
      <c r="AV144" s="65"/>
    </row>
    <row r="145" ht="12.75" customHeight="1" outlineLevel="1">
      <c r="A145" s="67"/>
      <c r="B145" s="67"/>
      <c r="C145" s="68" t="s">
        <v>310</v>
      </c>
      <c r="D145" s="67"/>
      <c r="E145" s="67"/>
      <c r="F145" s="67"/>
      <c r="G145" s="67"/>
      <c r="H145" s="67"/>
      <c r="I145" s="86"/>
      <c r="J145" s="217"/>
      <c r="K145" s="218"/>
      <c r="L145" s="65"/>
      <c r="M145" s="93">
        <f t="shared" ref="M145:AL145" si="87">M130+M116+M102</f>
        <v>221604</v>
      </c>
      <c r="N145" s="93">
        <f t="shared" si="87"/>
        <v>312483.36</v>
      </c>
      <c r="O145" s="93">
        <f t="shared" si="87"/>
        <v>406488.6528</v>
      </c>
      <c r="P145" s="93">
        <f t="shared" si="87"/>
        <v>677180.9282</v>
      </c>
      <c r="Q145" s="93">
        <f t="shared" si="87"/>
        <v>972526.2911</v>
      </c>
      <c r="R145" s="93">
        <f t="shared" si="87"/>
        <v>1362047.973</v>
      </c>
      <c r="S145" s="93">
        <f t="shared" si="87"/>
        <v>2235060.12</v>
      </c>
      <c r="T145" s="93">
        <f t="shared" si="87"/>
        <v>3004216.798</v>
      </c>
      <c r="U145" s="93">
        <f t="shared" si="87"/>
        <v>2965062.363</v>
      </c>
      <c r="V145" s="93">
        <f t="shared" si="87"/>
        <v>3120018.333</v>
      </c>
      <c r="W145" s="93">
        <f t="shared" si="87"/>
        <v>3886753.179</v>
      </c>
      <c r="X145" s="93">
        <f t="shared" si="87"/>
        <v>5233237.334</v>
      </c>
      <c r="Y145" s="93">
        <f t="shared" si="87"/>
        <v>6411078.142</v>
      </c>
      <c r="Z145" s="93">
        <f t="shared" si="87"/>
        <v>7601744.004</v>
      </c>
      <c r="AA145" s="93">
        <f t="shared" si="87"/>
        <v>8673276.133</v>
      </c>
      <c r="AB145" s="93">
        <f t="shared" si="87"/>
        <v>9784628.85</v>
      </c>
      <c r="AC145" s="93">
        <f t="shared" si="87"/>
        <v>10185316.77</v>
      </c>
      <c r="AD145" s="93">
        <f t="shared" si="87"/>
        <v>9413245.27</v>
      </c>
      <c r="AE145" s="93">
        <f t="shared" si="87"/>
        <v>5549244.217</v>
      </c>
      <c r="AF145" s="93">
        <f t="shared" si="87"/>
        <v>2288317.271</v>
      </c>
      <c r="AG145" s="93">
        <f t="shared" si="87"/>
        <v>2001243.287</v>
      </c>
      <c r="AH145" s="93">
        <f t="shared" si="87"/>
        <v>2041268.153</v>
      </c>
      <c r="AI145" s="93">
        <f t="shared" si="87"/>
        <v>2082093.516</v>
      </c>
      <c r="AJ145" s="93">
        <f t="shared" si="87"/>
        <v>2123735.386</v>
      </c>
      <c r="AK145" s="93">
        <f t="shared" si="87"/>
        <v>2166210.094</v>
      </c>
      <c r="AL145" s="93">
        <f t="shared" si="87"/>
        <v>2209534.296</v>
      </c>
      <c r="AM145" s="93"/>
      <c r="AN145" s="93"/>
      <c r="AO145" s="93"/>
      <c r="AP145" s="93"/>
      <c r="AQ145" s="65"/>
      <c r="AR145" s="65"/>
      <c r="AS145" s="65"/>
      <c r="AT145" s="65"/>
      <c r="AU145" s="65"/>
      <c r="AV145" s="65"/>
    </row>
    <row r="146" ht="12.75" customHeight="1" outlineLevel="1">
      <c r="A146" s="67"/>
      <c r="B146" s="67"/>
      <c r="C146" s="68" t="s">
        <v>268</v>
      </c>
      <c r="D146" s="67"/>
      <c r="E146" s="67"/>
      <c r="F146" s="67"/>
      <c r="G146" s="67"/>
      <c r="H146" s="67"/>
      <c r="I146" s="86"/>
      <c r="J146" s="217"/>
      <c r="K146" s="218"/>
      <c r="L146" s="65"/>
      <c r="M146" s="93">
        <f t="shared" ref="M146:AL146" si="88">M131+M117+M103</f>
        <v>1279906</v>
      </c>
      <c r="N146" s="93">
        <f t="shared" si="88"/>
        <v>1292879.12</v>
      </c>
      <c r="O146" s="93">
        <f t="shared" si="88"/>
        <v>1309471.702</v>
      </c>
      <c r="P146" s="93">
        <f t="shared" si="88"/>
        <v>1333186.136</v>
      </c>
      <c r="Q146" s="93">
        <f t="shared" si="88"/>
        <v>1367524.859</v>
      </c>
      <c r="R146" s="93">
        <f t="shared" si="88"/>
        <v>581760.3564</v>
      </c>
      <c r="S146" s="93">
        <f t="shared" si="88"/>
        <v>739840.4847</v>
      </c>
      <c r="T146" s="93">
        <f t="shared" si="88"/>
        <v>923112.8579</v>
      </c>
      <c r="U146" s="93">
        <f t="shared" si="88"/>
        <v>1218761.097</v>
      </c>
      <c r="V146" s="93">
        <f t="shared" si="88"/>
        <v>1823300.658</v>
      </c>
      <c r="W146" s="93">
        <f t="shared" si="88"/>
        <v>2426331.748</v>
      </c>
      <c r="X146" s="93">
        <f t="shared" si="88"/>
        <v>2705535.962</v>
      </c>
      <c r="Y146" s="93">
        <f t="shared" si="88"/>
        <v>3103902.135</v>
      </c>
      <c r="Z146" s="93">
        <f t="shared" si="88"/>
        <v>3866107.576</v>
      </c>
      <c r="AA146" s="93">
        <f t="shared" si="88"/>
        <v>4681477.389</v>
      </c>
      <c r="AB146" s="93">
        <f t="shared" si="88"/>
        <v>5485244.544</v>
      </c>
      <c r="AC146" s="93">
        <f t="shared" si="88"/>
        <v>6689637.415</v>
      </c>
      <c r="AD146" s="93">
        <f t="shared" si="88"/>
        <v>7920764.146</v>
      </c>
      <c r="AE146" s="93">
        <f t="shared" si="88"/>
        <v>9081925.422</v>
      </c>
      <c r="AF146" s="93">
        <f t="shared" si="88"/>
        <v>10320277.84</v>
      </c>
      <c r="AG146" s="93">
        <f t="shared" si="88"/>
        <v>10594636.29</v>
      </c>
      <c r="AH146" s="93">
        <f t="shared" si="88"/>
        <v>10806529.02</v>
      </c>
      <c r="AI146" s="93">
        <f t="shared" si="88"/>
        <v>11022659.6</v>
      </c>
      <c r="AJ146" s="93">
        <f t="shared" si="88"/>
        <v>11243112.79</v>
      </c>
      <c r="AK146" s="93">
        <f t="shared" si="88"/>
        <v>11467975.05</v>
      </c>
      <c r="AL146" s="93">
        <f t="shared" si="88"/>
        <v>11697334.55</v>
      </c>
      <c r="AM146" s="93"/>
      <c r="AN146" s="93"/>
      <c r="AO146" s="93"/>
      <c r="AP146" s="93"/>
      <c r="AQ146" s="65"/>
      <c r="AR146" s="65"/>
      <c r="AS146" s="65"/>
      <c r="AT146" s="65"/>
      <c r="AU146" s="65"/>
      <c r="AV146" s="65"/>
    </row>
    <row r="147" ht="12.75" customHeight="1" outlineLevel="1">
      <c r="A147" s="67"/>
      <c r="B147" s="67"/>
      <c r="C147" s="68" t="s">
        <v>267</v>
      </c>
      <c r="D147" s="67"/>
      <c r="E147" s="67"/>
      <c r="F147" s="67"/>
      <c r="G147" s="67"/>
      <c r="H147" s="67"/>
      <c r="I147" s="86"/>
      <c r="J147" s="217"/>
      <c r="K147" s="218"/>
      <c r="L147" s="65"/>
      <c r="M147" s="93" t="str">
        <f t="shared" ref="M147:AL147" si="89">M244</f>
        <v>#REF!</v>
      </c>
      <c r="N147" s="93" t="str">
        <f t="shared" si="89"/>
        <v>#REF!</v>
      </c>
      <c r="O147" s="93" t="str">
        <f t="shared" si="89"/>
        <v>#REF!</v>
      </c>
      <c r="P147" s="93" t="str">
        <f t="shared" si="89"/>
        <v>#REF!</v>
      </c>
      <c r="Q147" s="93" t="str">
        <f t="shared" si="89"/>
        <v>#REF!</v>
      </c>
      <c r="R147" s="93" t="str">
        <f t="shared" si="89"/>
        <v>#REF!</v>
      </c>
      <c r="S147" s="93" t="str">
        <f t="shared" si="89"/>
        <v>#REF!</v>
      </c>
      <c r="T147" s="93" t="str">
        <f t="shared" si="89"/>
        <v>#REF!</v>
      </c>
      <c r="U147" s="93" t="str">
        <f t="shared" si="89"/>
        <v>#REF!</v>
      </c>
      <c r="V147" s="93" t="str">
        <f t="shared" si="89"/>
        <v>#REF!</v>
      </c>
      <c r="W147" s="93" t="str">
        <f t="shared" si="89"/>
        <v>#REF!</v>
      </c>
      <c r="X147" s="93" t="str">
        <f t="shared" si="89"/>
        <v>#REF!</v>
      </c>
      <c r="Y147" s="93" t="str">
        <f t="shared" si="89"/>
        <v>#REF!</v>
      </c>
      <c r="Z147" s="93" t="str">
        <f t="shared" si="89"/>
        <v>#REF!</v>
      </c>
      <c r="AA147" s="93" t="str">
        <f t="shared" si="89"/>
        <v>#REF!</v>
      </c>
      <c r="AB147" s="93" t="str">
        <f t="shared" si="89"/>
        <v>#REF!</v>
      </c>
      <c r="AC147" s="93" t="str">
        <f t="shared" si="89"/>
        <v>#REF!</v>
      </c>
      <c r="AD147" s="93" t="str">
        <f t="shared" si="89"/>
        <v>#REF!</v>
      </c>
      <c r="AE147" s="93" t="str">
        <f t="shared" si="89"/>
        <v>#REF!</v>
      </c>
      <c r="AF147" s="93" t="str">
        <f t="shared" si="89"/>
        <v>#REF!</v>
      </c>
      <c r="AG147" s="93" t="str">
        <f t="shared" si="89"/>
        <v>#REF!</v>
      </c>
      <c r="AH147" s="93" t="str">
        <f t="shared" si="89"/>
        <v>#REF!</v>
      </c>
      <c r="AI147" s="93" t="str">
        <f t="shared" si="89"/>
        <v>#REF!</v>
      </c>
      <c r="AJ147" s="93" t="str">
        <f t="shared" si="89"/>
        <v>#REF!</v>
      </c>
      <c r="AK147" s="93" t="str">
        <f t="shared" si="89"/>
        <v>#REF!</v>
      </c>
      <c r="AL147" s="93" t="str">
        <f t="shared" si="89"/>
        <v>#REF!</v>
      </c>
      <c r="AM147" s="93"/>
      <c r="AN147" s="93"/>
      <c r="AO147" s="93"/>
      <c r="AP147" s="93"/>
      <c r="AQ147" s="65"/>
      <c r="AR147" s="65"/>
      <c r="AS147" s="65"/>
      <c r="AT147" s="65"/>
      <c r="AU147" s="65"/>
      <c r="AV147" s="65"/>
    </row>
    <row r="148" ht="12.75" customHeight="1" outlineLevel="1">
      <c r="A148" s="67"/>
      <c r="B148" s="67"/>
      <c r="C148" s="90" t="s">
        <v>264</v>
      </c>
      <c r="D148" s="67"/>
      <c r="E148" s="67"/>
      <c r="F148" s="67"/>
      <c r="G148" s="67"/>
      <c r="H148" s="67"/>
      <c r="I148" s="86"/>
      <c r="J148" s="217"/>
      <c r="K148" s="218"/>
      <c r="L148" s="65"/>
      <c r="M148" s="93" t="str">
        <f t="shared" ref="M148:AL148" si="90">M133+M118+M104</f>
        <v>#REF!</v>
      </c>
      <c r="N148" s="93" t="str">
        <f t="shared" si="90"/>
        <v>#REF!</v>
      </c>
      <c r="O148" s="93" t="str">
        <f t="shared" si="90"/>
        <v>#REF!</v>
      </c>
      <c r="P148" s="93" t="str">
        <f t="shared" si="90"/>
        <v>#REF!</v>
      </c>
      <c r="Q148" s="93" t="str">
        <f t="shared" si="90"/>
        <v>#REF!</v>
      </c>
      <c r="R148" s="93" t="str">
        <f t="shared" si="90"/>
        <v>#REF!</v>
      </c>
      <c r="S148" s="93" t="str">
        <f t="shared" si="90"/>
        <v>#REF!</v>
      </c>
      <c r="T148" s="93" t="str">
        <f t="shared" si="90"/>
        <v>#REF!</v>
      </c>
      <c r="U148" s="93" t="str">
        <f t="shared" si="90"/>
        <v>#REF!</v>
      </c>
      <c r="V148" s="93" t="str">
        <f t="shared" si="90"/>
        <v>#REF!</v>
      </c>
      <c r="W148" s="93" t="str">
        <f t="shared" si="90"/>
        <v>#REF!</v>
      </c>
      <c r="X148" s="93" t="str">
        <f t="shared" si="90"/>
        <v>#REF!</v>
      </c>
      <c r="Y148" s="93" t="str">
        <f t="shared" si="90"/>
        <v>#REF!</v>
      </c>
      <c r="Z148" s="93" t="str">
        <f t="shared" si="90"/>
        <v>#REF!</v>
      </c>
      <c r="AA148" s="93" t="str">
        <f t="shared" si="90"/>
        <v>#REF!</v>
      </c>
      <c r="AB148" s="93" t="str">
        <f t="shared" si="90"/>
        <v>#REF!</v>
      </c>
      <c r="AC148" s="93" t="str">
        <f t="shared" si="90"/>
        <v>#REF!</v>
      </c>
      <c r="AD148" s="93" t="str">
        <f t="shared" si="90"/>
        <v>#REF!</v>
      </c>
      <c r="AE148" s="93" t="str">
        <f t="shared" si="90"/>
        <v>#REF!</v>
      </c>
      <c r="AF148" s="93" t="str">
        <f t="shared" si="90"/>
        <v>#REF!</v>
      </c>
      <c r="AG148" s="93" t="str">
        <f t="shared" si="90"/>
        <v>#REF!</v>
      </c>
      <c r="AH148" s="93" t="str">
        <f t="shared" si="90"/>
        <v>#REF!</v>
      </c>
      <c r="AI148" s="93" t="str">
        <f t="shared" si="90"/>
        <v>#REF!</v>
      </c>
      <c r="AJ148" s="93" t="str">
        <f t="shared" si="90"/>
        <v>#REF!</v>
      </c>
      <c r="AK148" s="93" t="str">
        <f t="shared" si="90"/>
        <v>#REF!</v>
      </c>
      <c r="AL148" s="93" t="str">
        <f t="shared" si="90"/>
        <v>#REF!</v>
      </c>
      <c r="AM148" s="93">
        <f t="shared" ref="AM148:AP148" si="91">AM101+AM118+AM134</f>
        <v>36696031.17</v>
      </c>
      <c r="AN148" s="93">
        <f t="shared" si="91"/>
        <v>37422258.31</v>
      </c>
      <c r="AO148" s="93" t="str">
        <f t="shared" si="91"/>
        <v>#REF!</v>
      </c>
      <c r="AP148" s="93" t="str">
        <f t="shared" si="91"/>
        <v>#REF!</v>
      </c>
      <c r="AQ148" s="65"/>
      <c r="AR148" s="65"/>
      <c r="AS148" s="65"/>
      <c r="AT148" s="65"/>
      <c r="AU148" s="65"/>
      <c r="AV148" s="65"/>
    </row>
    <row r="149" ht="12.75" customHeight="1" outlineLevel="1">
      <c r="A149" s="67"/>
      <c r="B149" s="67"/>
      <c r="C149" s="87" t="s">
        <v>311</v>
      </c>
      <c r="D149" s="67"/>
      <c r="E149" s="67"/>
      <c r="F149" s="67"/>
      <c r="G149" s="67"/>
      <c r="H149" s="67"/>
      <c r="I149" s="86"/>
      <c r="J149" s="217"/>
      <c r="K149" s="218"/>
      <c r="L149" s="65"/>
      <c r="M149" s="93">
        <f t="shared" ref="M149:AL149" si="92">M134+M119+M105</f>
        <v>149328</v>
      </c>
      <c r="N149" s="93">
        <f t="shared" si="92"/>
        <v>330014.88</v>
      </c>
      <c r="O149" s="93">
        <f t="shared" si="92"/>
        <v>995197.7312</v>
      </c>
      <c r="P149" s="93">
        <f t="shared" si="92"/>
        <v>1769035.303</v>
      </c>
      <c r="Q149" s="93">
        <f t="shared" si="92"/>
        <v>2743742.729</v>
      </c>
      <c r="R149" s="93">
        <f t="shared" si="92"/>
        <v>3758118.475</v>
      </c>
      <c r="S149" s="93">
        <f t="shared" si="92"/>
        <v>5167096.986</v>
      </c>
      <c r="T149" s="93">
        <f t="shared" si="92"/>
        <v>7480947.633</v>
      </c>
      <c r="U149" s="93">
        <f t="shared" si="92"/>
        <v>9643278.53</v>
      </c>
      <c r="V149" s="93">
        <f t="shared" si="92"/>
        <v>10399128.47</v>
      </c>
      <c r="W149" s="93">
        <f t="shared" si="92"/>
        <v>10598664.82</v>
      </c>
      <c r="X149" s="93">
        <f t="shared" si="92"/>
        <v>10810638.12</v>
      </c>
      <c r="Y149" s="93">
        <f t="shared" si="92"/>
        <v>11026850.88</v>
      </c>
      <c r="Z149" s="93">
        <f t="shared" si="92"/>
        <v>11247387.9</v>
      </c>
      <c r="AA149" s="93">
        <f t="shared" si="92"/>
        <v>11472335.66</v>
      </c>
      <c r="AB149" s="93">
        <f t="shared" si="92"/>
        <v>11701782.37</v>
      </c>
      <c r="AC149" s="93">
        <f t="shared" si="92"/>
        <v>11935818.02</v>
      </c>
      <c r="AD149" s="93">
        <f t="shared" si="92"/>
        <v>12174534.38</v>
      </c>
      <c r="AE149" s="93">
        <f t="shared" si="92"/>
        <v>12418025.06</v>
      </c>
      <c r="AF149" s="93">
        <f t="shared" si="92"/>
        <v>12666385.57</v>
      </c>
      <c r="AG149" s="93">
        <f t="shared" si="92"/>
        <v>12919713.28</v>
      </c>
      <c r="AH149" s="93">
        <f t="shared" si="92"/>
        <v>13178107.54</v>
      </c>
      <c r="AI149" s="93">
        <f t="shared" si="92"/>
        <v>13441669.69</v>
      </c>
      <c r="AJ149" s="93">
        <f t="shared" si="92"/>
        <v>13710503.09</v>
      </c>
      <c r="AK149" s="93">
        <f t="shared" si="92"/>
        <v>13984713.15</v>
      </c>
      <c r="AL149" s="93">
        <f t="shared" si="92"/>
        <v>14264407.41</v>
      </c>
      <c r="AM149" s="93" t="str">
        <f t="shared" ref="AM149:AP149" si="93">AM102+AM119+#REF!</f>
        <v>#REF!</v>
      </c>
      <c r="AN149" s="93" t="str">
        <f t="shared" si="93"/>
        <v>#REF!</v>
      </c>
      <c r="AO149" s="93" t="str">
        <f t="shared" si="93"/>
        <v>#REF!</v>
      </c>
      <c r="AP149" s="93" t="str">
        <f t="shared" si="93"/>
        <v>#REF!</v>
      </c>
      <c r="AQ149" s="65"/>
      <c r="AR149" s="65"/>
      <c r="AS149" s="65"/>
      <c r="AT149" s="65"/>
      <c r="AU149" s="65"/>
      <c r="AV149" s="65"/>
    </row>
    <row r="150" ht="12.75" customHeight="1" outlineLevel="1">
      <c r="A150" s="67"/>
      <c r="B150" s="109" t="s">
        <v>231</v>
      </c>
      <c r="C150" s="109"/>
      <c r="D150" s="109"/>
      <c r="E150" s="109"/>
      <c r="F150" s="109"/>
      <c r="G150" s="109"/>
      <c r="H150" s="109"/>
      <c r="I150" s="109"/>
      <c r="J150" s="109"/>
      <c r="K150" s="109"/>
      <c r="L150" s="215">
        <f>L135+L120+L106</f>
        <v>2064421.54</v>
      </c>
      <c r="M150" s="112" t="str">
        <f t="shared" ref="M150:AP150" si="94">SUM(M138:M149)</f>
        <v>#REF!</v>
      </c>
      <c r="N150" s="112" t="str">
        <f t="shared" si="94"/>
        <v>#REF!</v>
      </c>
      <c r="O150" s="112" t="str">
        <f t="shared" si="94"/>
        <v>#REF!</v>
      </c>
      <c r="P150" s="112" t="str">
        <f t="shared" si="94"/>
        <v>#REF!</v>
      </c>
      <c r="Q150" s="112" t="str">
        <f t="shared" si="94"/>
        <v>#REF!</v>
      </c>
      <c r="R150" s="112" t="str">
        <f t="shared" si="94"/>
        <v>#REF!</v>
      </c>
      <c r="S150" s="112" t="str">
        <f t="shared" si="94"/>
        <v>#REF!</v>
      </c>
      <c r="T150" s="112" t="str">
        <f t="shared" si="94"/>
        <v>#REF!</v>
      </c>
      <c r="U150" s="112" t="str">
        <f t="shared" si="94"/>
        <v>#REF!</v>
      </c>
      <c r="V150" s="112" t="str">
        <f t="shared" si="94"/>
        <v>#REF!</v>
      </c>
      <c r="W150" s="112" t="str">
        <f t="shared" si="94"/>
        <v>#REF!</v>
      </c>
      <c r="X150" s="112" t="str">
        <f t="shared" si="94"/>
        <v>#REF!</v>
      </c>
      <c r="Y150" s="112" t="str">
        <f t="shared" si="94"/>
        <v>#REF!</v>
      </c>
      <c r="Z150" s="112" t="str">
        <f t="shared" si="94"/>
        <v>#REF!</v>
      </c>
      <c r="AA150" s="112" t="str">
        <f t="shared" si="94"/>
        <v>#REF!</v>
      </c>
      <c r="AB150" s="112" t="str">
        <f t="shared" si="94"/>
        <v>#REF!</v>
      </c>
      <c r="AC150" s="112" t="str">
        <f t="shared" si="94"/>
        <v>#REF!</v>
      </c>
      <c r="AD150" s="112" t="str">
        <f t="shared" si="94"/>
        <v>#REF!</v>
      </c>
      <c r="AE150" s="112" t="str">
        <f t="shared" si="94"/>
        <v>#REF!</v>
      </c>
      <c r="AF150" s="112" t="str">
        <f t="shared" si="94"/>
        <v>#REF!</v>
      </c>
      <c r="AG150" s="112" t="str">
        <f t="shared" si="94"/>
        <v>#REF!</v>
      </c>
      <c r="AH150" s="112" t="str">
        <f t="shared" si="94"/>
        <v>#REF!</v>
      </c>
      <c r="AI150" s="112" t="str">
        <f t="shared" si="94"/>
        <v>#REF!</v>
      </c>
      <c r="AJ150" s="112" t="str">
        <f t="shared" si="94"/>
        <v>#REF!</v>
      </c>
      <c r="AK150" s="112" t="str">
        <f t="shared" si="94"/>
        <v>#REF!</v>
      </c>
      <c r="AL150" s="112" t="str">
        <f t="shared" si="94"/>
        <v>#REF!</v>
      </c>
      <c r="AM150" s="112" t="str">
        <f t="shared" si="94"/>
        <v>#REF!</v>
      </c>
      <c r="AN150" s="112" t="str">
        <f t="shared" si="94"/>
        <v>#REF!</v>
      </c>
      <c r="AO150" s="112" t="str">
        <f t="shared" si="94"/>
        <v>#REF!</v>
      </c>
      <c r="AP150" s="112" t="str">
        <f t="shared" si="94"/>
        <v>#REF!</v>
      </c>
      <c r="AQ150" s="215"/>
      <c r="AR150" s="215"/>
      <c r="AS150" s="215"/>
      <c r="AT150" s="215"/>
      <c r="AU150" s="215"/>
      <c r="AV150" s="215"/>
    </row>
    <row r="151" ht="12.75" customHeight="1">
      <c r="A151" s="67"/>
      <c r="B151" s="67"/>
      <c r="C151" s="67"/>
      <c r="D151" s="67"/>
      <c r="E151" s="67"/>
      <c r="F151" s="67"/>
      <c r="G151" s="67"/>
      <c r="H151" s="67"/>
      <c r="I151" s="67"/>
      <c r="J151" s="67"/>
      <c r="K151" s="67"/>
      <c r="L151" s="76"/>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76"/>
      <c r="AR151" s="76"/>
      <c r="AS151" s="76"/>
      <c r="AT151" s="76"/>
      <c r="AU151" s="76"/>
      <c r="AV151" s="76"/>
    </row>
    <row r="152" ht="12.75" customHeight="1">
      <c r="A152" s="198" t="s">
        <v>316</v>
      </c>
      <c r="B152" s="106"/>
      <c r="C152" s="106"/>
      <c r="D152" s="106"/>
      <c r="E152" s="106"/>
      <c r="F152" s="106"/>
      <c r="G152" s="106"/>
      <c r="H152" s="106"/>
      <c r="I152" s="174"/>
      <c r="J152" s="175"/>
      <c r="K152" s="175"/>
      <c r="L152" s="175"/>
      <c r="M152" s="156"/>
      <c r="N152" s="156"/>
      <c r="O152" s="156"/>
      <c r="P152" s="156"/>
      <c r="Q152" s="156"/>
      <c r="R152" s="156"/>
      <c r="S152" s="156"/>
      <c r="T152" s="156"/>
      <c r="U152" s="156"/>
      <c r="V152" s="156"/>
      <c r="W152" s="156"/>
      <c r="X152" s="156"/>
      <c r="Y152" s="156"/>
      <c r="Z152" s="156"/>
      <c r="AA152" s="156"/>
      <c r="AB152" s="156"/>
      <c r="AC152" s="156"/>
      <c r="AD152" s="156"/>
      <c r="AE152" s="156"/>
      <c r="AF152" s="156"/>
      <c r="AG152" s="156"/>
      <c r="AH152" s="156"/>
      <c r="AI152" s="156"/>
      <c r="AJ152" s="156"/>
      <c r="AK152" s="156"/>
      <c r="AL152" s="156"/>
      <c r="AM152" s="156"/>
      <c r="AN152" s="156"/>
      <c r="AO152" s="156"/>
      <c r="AP152" s="156"/>
      <c r="AQ152" s="175"/>
      <c r="AR152" s="175"/>
      <c r="AS152" s="175"/>
      <c r="AT152" s="175"/>
      <c r="AU152" s="175"/>
      <c r="AV152" s="175"/>
    </row>
    <row r="153" ht="12.75" hidden="1" customHeight="1" outlineLevel="1">
      <c r="A153" s="90"/>
      <c r="B153" s="67" t="s">
        <v>279</v>
      </c>
      <c r="C153" s="90"/>
      <c r="D153" s="90"/>
      <c r="E153" s="90"/>
      <c r="F153" s="90"/>
      <c r="G153" s="90"/>
      <c r="H153" s="90"/>
      <c r="I153" s="196"/>
      <c r="J153" s="210"/>
      <c r="K153" s="210"/>
      <c r="L153" s="210"/>
      <c r="M153" s="93"/>
      <c r="N153" s="93"/>
      <c r="O153" s="93"/>
      <c r="P153" s="93"/>
      <c r="Q153" s="93"/>
      <c r="R153" s="93"/>
      <c r="S153" s="93"/>
      <c r="T153" s="93"/>
      <c r="U153" s="93"/>
      <c r="V153" s="93"/>
      <c r="W153" s="93"/>
      <c r="X153" s="93"/>
      <c r="Y153" s="93"/>
      <c r="Z153" s="93"/>
      <c r="AA153" s="93"/>
      <c r="AB153" s="93"/>
      <c r="AC153" s="93"/>
      <c r="AD153" s="93"/>
      <c r="AE153" s="93"/>
      <c r="AF153" s="93"/>
      <c r="AG153" s="93"/>
      <c r="AH153" s="93"/>
      <c r="AI153" s="93"/>
      <c r="AJ153" s="93"/>
      <c r="AK153" s="93"/>
      <c r="AL153" s="93"/>
      <c r="AM153" s="93"/>
      <c r="AN153" s="93"/>
      <c r="AO153" s="93"/>
      <c r="AP153" s="93"/>
      <c r="AQ153" s="210"/>
      <c r="AR153" s="210"/>
      <c r="AS153" s="210"/>
      <c r="AT153" s="210"/>
      <c r="AU153" s="210"/>
      <c r="AV153" s="210"/>
    </row>
    <row r="154" ht="12.75" hidden="1" customHeight="1" outlineLevel="1">
      <c r="A154" s="90"/>
      <c r="B154" s="67"/>
      <c r="C154" s="67" t="s">
        <v>137</v>
      </c>
      <c r="D154" s="90"/>
      <c r="E154" s="90"/>
      <c r="F154" s="90"/>
      <c r="G154" s="90"/>
      <c r="H154" s="90"/>
      <c r="I154" s="196"/>
      <c r="J154" s="210"/>
      <c r="K154" s="210"/>
      <c r="L154" s="210"/>
      <c r="M154" s="93"/>
      <c r="N154" s="93"/>
      <c r="O154" s="93"/>
      <c r="P154" s="93"/>
      <c r="Q154" s="93"/>
      <c r="R154" s="93"/>
      <c r="S154" s="93"/>
      <c r="T154" s="93"/>
      <c r="U154" s="93"/>
      <c r="V154" s="93"/>
      <c r="W154" s="93"/>
      <c r="X154" s="93"/>
      <c r="Y154" s="93"/>
      <c r="Z154" s="93"/>
      <c r="AA154" s="93"/>
      <c r="AB154" s="93"/>
      <c r="AC154" s="93"/>
      <c r="AD154" s="93"/>
      <c r="AE154" s="93"/>
      <c r="AF154" s="93"/>
      <c r="AG154" s="93"/>
      <c r="AH154" s="93"/>
      <c r="AI154" s="93"/>
      <c r="AJ154" s="93"/>
      <c r="AK154" s="93"/>
      <c r="AL154" s="93"/>
      <c r="AM154" s="93"/>
      <c r="AN154" s="93"/>
      <c r="AO154" s="93"/>
      <c r="AP154" s="93"/>
      <c r="AQ154" s="210"/>
      <c r="AR154" s="210"/>
      <c r="AS154" s="210"/>
      <c r="AT154" s="210"/>
      <c r="AU154" s="210"/>
      <c r="AV154" s="210"/>
    </row>
    <row r="155" ht="12.75" hidden="1" customHeight="1" outlineLevel="1">
      <c r="A155" s="90"/>
      <c r="B155" s="67"/>
      <c r="C155" s="90"/>
      <c r="D155" s="66" t="s">
        <v>317</v>
      </c>
      <c r="F155" s="90"/>
      <c r="G155" s="90" t="s">
        <v>318</v>
      </c>
      <c r="H155" s="90"/>
      <c r="M155" s="196">
        <f>SUM('National Staffing'!K66:K75)</f>
        <v>3</v>
      </c>
      <c r="N155" s="196">
        <f>SUM('National Staffing'!L66:L75)</f>
        <v>4</v>
      </c>
      <c r="O155" s="196">
        <f>SUM('National Staffing'!M66:M75)</f>
        <v>4</v>
      </c>
      <c r="P155" s="196">
        <f>SUM('National Staffing'!N66:N75)</f>
        <v>6</v>
      </c>
      <c r="Q155" s="196">
        <f>SUM('National Staffing'!O66:O75)</f>
        <v>7</v>
      </c>
      <c r="R155" s="196">
        <f>SUM('National Staffing'!P66:P75)</f>
        <v>9</v>
      </c>
      <c r="S155" s="196">
        <f>SUM('National Staffing'!Q66:Q75)</f>
        <v>11</v>
      </c>
      <c r="T155" s="196">
        <f>SUM('National Staffing'!R66:R75)</f>
        <v>14</v>
      </c>
      <c r="U155" s="196">
        <f>SUM('National Staffing'!S66:S75)</f>
        <v>19</v>
      </c>
      <c r="V155" s="196">
        <f>SUM('National Staffing'!T66:T75)</f>
        <v>28</v>
      </c>
      <c r="W155" s="196">
        <f>SUM('National Staffing'!U66:U75)</f>
        <v>37</v>
      </c>
      <c r="X155" s="196">
        <f>SUM('National Staffing'!V66:V75)</f>
        <v>37</v>
      </c>
      <c r="Y155" s="196">
        <f>SUM('National Staffing'!W66:W75)</f>
        <v>37</v>
      </c>
      <c r="Z155" s="196">
        <f>SUM('National Staffing'!X66:X75)</f>
        <v>37</v>
      </c>
      <c r="AA155" s="196">
        <f>SUM('National Staffing'!Y66:Y75)</f>
        <v>37</v>
      </c>
      <c r="AB155" s="196">
        <f>SUM('National Staffing'!Z66:Z75)</f>
        <v>37</v>
      </c>
      <c r="AC155" s="196">
        <f>SUM('National Staffing'!AA66:AA75)</f>
        <v>37</v>
      </c>
      <c r="AD155" s="196">
        <f>SUM('National Staffing'!AB66:AB75)</f>
        <v>37</v>
      </c>
      <c r="AE155" s="196">
        <f>SUM('National Staffing'!AC66:AC75)</f>
        <v>37</v>
      </c>
      <c r="AF155" s="196">
        <f>SUM('National Staffing'!AD66:AD75)</f>
        <v>37</v>
      </c>
      <c r="AG155" s="196">
        <f>SUM('National Staffing'!AE66:AE75)</f>
        <v>37</v>
      </c>
      <c r="AH155" s="196">
        <f>SUM('National Staffing'!AF66:AF75)</f>
        <v>37</v>
      </c>
      <c r="AI155" s="196">
        <f>SUM('National Staffing'!AG66:AG75)</f>
        <v>37</v>
      </c>
      <c r="AJ155" s="196">
        <f>SUM('National Staffing'!AH66:AH75)</f>
        <v>37</v>
      </c>
      <c r="AK155" s="196">
        <f>SUM('National Staffing'!AI66:AI75)</f>
        <v>37</v>
      </c>
      <c r="AL155" s="196">
        <f>SUM('National Staffing'!AJ66:AJ75)</f>
        <v>37</v>
      </c>
      <c r="AM155" s="93"/>
      <c r="AN155" s="93"/>
      <c r="AO155" s="93"/>
      <c r="AP155" s="93"/>
      <c r="AQ155" s="210"/>
      <c r="AR155" s="210"/>
      <c r="AS155" s="210"/>
      <c r="AT155" s="210"/>
      <c r="AU155" s="210"/>
      <c r="AV155" s="210"/>
    </row>
    <row r="156" ht="12.75" hidden="1" customHeight="1" outlineLevel="1">
      <c r="A156" s="90"/>
      <c r="B156" s="67"/>
      <c r="C156" s="90"/>
      <c r="E156" s="68" t="s">
        <v>319</v>
      </c>
      <c r="F156" s="90"/>
      <c r="G156" s="225">
        <v>30000.0</v>
      </c>
      <c r="H156" s="226" t="s">
        <v>320</v>
      </c>
      <c r="I156" s="113"/>
      <c r="J156" s="113"/>
      <c r="K156" s="113" t="str">
        <f>J156</f>
        <v/>
      </c>
      <c r="L156" s="113">
        <v>0.0</v>
      </c>
      <c r="M156" s="93">
        <f t="shared" ref="M156:AL156" si="95">$G156*M$28</f>
        <v>30000</v>
      </c>
      <c r="N156" s="93">
        <f t="shared" si="95"/>
        <v>30000</v>
      </c>
      <c r="O156" s="93">
        <f t="shared" si="95"/>
        <v>30000</v>
      </c>
      <c r="P156" s="93">
        <f t="shared" si="95"/>
        <v>30000</v>
      </c>
      <c r="Q156" s="93">
        <f t="shared" si="95"/>
        <v>30000</v>
      </c>
      <c r="R156" s="93">
        <f t="shared" si="95"/>
        <v>30600</v>
      </c>
      <c r="S156" s="93">
        <f t="shared" si="95"/>
        <v>31212</v>
      </c>
      <c r="T156" s="93">
        <f t="shared" si="95"/>
        <v>31836.24</v>
      </c>
      <c r="U156" s="93">
        <f t="shared" si="95"/>
        <v>32472.9648</v>
      </c>
      <c r="V156" s="93">
        <f t="shared" si="95"/>
        <v>33122.4241</v>
      </c>
      <c r="W156" s="93">
        <f t="shared" si="95"/>
        <v>33784.87258</v>
      </c>
      <c r="X156" s="93">
        <f t="shared" si="95"/>
        <v>34460.57003</v>
      </c>
      <c r="Y156" s="93">
        <f t="shared" si="95"/>
        <v>35149.78143</v>
      </c>
      <c r="Z156" s="93">
        <f t="shared" si="95"/>
        <v>35852.77706</v>
      </c>
      <c r="AA156" s="93">
        <f t="shared" si="95"/>
        <v>36569.8326</v>
      </c>
      <c r="AB156" s="93">
        <f t="shared" si="95"/>
        <v>37301.22925</v>
      </c>
      <c r="AC156" s="93">
        <f t="shared" si="95"/>
        <v>38047.25384</v>
      </c>
      <c r="AD156" s="93">
        <f t="shared" si="95"/>
        <v>38808.19891</v>
      </c>
      <c r="AE156" s="93">
        <f t="shared" si="95"/>
        <v>39584.36289</v>
      </c>
      <c r="AF156" s="93">
        <f t="shared" si="95"/>
        <v>40376.05015</v>
      </c>
      <c r="AG156" s="93">
        <f t="shared" si="95"/>
        <v>41183.57115</v>
      </c>
      <c r="AH156" s="93">
        <f t="shared" si="95"/>
        <v>42007.24258</v>
      </c>
      <c r="AI156" s="93">
        <f t="shared" si="95"/>
        <v>42847.38743</v>
      </c>
      <c r="AJ156" s="93">
        <f t="shared" si="95"/>
        <v>43704.33518</v>
      </c>
      <c r="AK156" s="93">
        <f t="shared" si="95"/>
        <v>44578.42188</v>
      </c>
      <c r="AL156" s="93">
        <f t="shared" si="95"/>
        <v>45469.99032</v>
      </c>
      <c r="AM156" s="93">
        <f t="shared" ref="AM156:AP156" si="96">$Q156*AM28</f>
        <v>46379.39012</v>
      </c>
      <c r="AN156" s="93">
        <f t="shared" si="96"/>
        <v>47306.97793</v>
      </c>
      <c r="AO156" s="93">
        <f t="shared" si="96"/>
        <v>48253.11748</v>
      </c>
      <c r="AP156" s="93">
        <f t="shared" si="96"/>
        <v>49218.17983</v>
      </c>
      <c r="AQ156" s="113"/>
      <c r="AR156" s="113"/>
      <c r="AS156" s="113"/>
      <c r="AT156" s="113"/>
      <c r="AU156" s="113"/>
      <c r="AV156" s="113"/>
    </row>
    <row r="157" ht="12.75" hidden="1" customHeight="1" outlineLevel="1">
      <c r="A157" s="90"/>
      <c r="B157" s="67"/>
      <c r="C157" s="90"/>
      <c r="E157" s="68" t="s">
        <v>321</v>
      </c>
      <c r="F157" s="90"/>
      <c r="G157" s="225">
        <v>750.0</v>
      </c>
      <c r="H157" s="226" t="s">
        <v>322</v>
      </c>
      <c r="I157" s="113"/>
      <c r="J157" s="113"/>
      <c r="K157" s="113">
        <v>0.0</v>
      </c>
      <c r="L157" s="113">
        <v>0.0</v>
      </c>
      <c r="M157" s="93">
        <f t="shared" ref="M157:P157" si="97">5000*(N6-M6)</f>
        <v>10000</v>
      </c>
      <c r="N157" s="93">
        <f t="shared" si="97"/>
        <v>15000</v>
      </c>
      <c r="O157" s="93">
        <f t="shared" si="97"/>
        <v>25000</v>
      </c>
      <c r="P157" s="93">
        <f t="shared" si="97"/>
        <v>40000</v>
      </c>
      <c r="Q157" s="93">
        <f>P157</f>
        <v>40000</v>
      </c>
      <c r="R157" s="93">
        <f t="shared" ref="R157:AO157" si="98">$G157*(S6-R6)*R28</f>
        <v>16830</v>
      </c>
      <c r="S157" s="93">
        <f t="shared" si="98"/>
        <v>26530.2</v>
      </c>
      <c r="T157" s="93">
        <f t="shared" si="98"/>
        <v>35815.77</v>
      </c>
      <c r="U157" s="93">
        <f t="shared" si="98"/>
        <v>36532.0854</v>
      </c>
      <c r="V157" s="93">
        <f t="shared" si="98"/>
        <v>54651.99976</v>
      </c>
      <c r="W157" s="93">
        <f t="shared" si="98"/>
        <v>67569.74516</v>
      </c>
      <c r="X157" s="93">
        <f t="shared" si="98"/>
        <v>122335.0236</v>
      </c>
      <c r="Y157" s="93">
        <f t="shared" si="98"/>
        <v>169597.6954</v>
      </c>
      <c r="Z157" s="93">
        <f t="shared" si="98"/>
        <v>216909.3012</v>
      </c>
      <c r="AA157" s="93">
        <f t="shared" si="98"/>
        <v>249589.1075</v>
      </c>
      <c r="AB157" s="93">
        <f t="shared" si="98"/>
        <v>302139.9569</v>
      </c>
      <c r="AC157" s="93">
        <f t="shared" si="98"/>
        <v>332913.4711</v>
      </c>
      <c r="AD157" s="93">
        <f t="shared" si="98"/>
        <v>334720.7156</v>
      </c>
      <c r="AE157" s="93">
        <f t="shared" si="98"/>
        <v>269173.6677</v>
      </c>
      <c r="AF157" s="93">
        <f t="shared" si="98"/>
        <v>33310.24137</v>
      </c>
      <c r="AG157" s="93">
        <f t="shared" si="98"/>
        <v>0</v>
      </c>
      <c r="AH157" s="93">
        <f t="shared" si="98"/>
        <v>0</v>
      </c>
      <c r="AI157" s="93">
        <f t="shared" si="98"/>
        <v>0</v>
      </c>
      <c r="AJ157" s="93">
        <f t="shared" si="98"/>
        <v>0</v>
      </c>
      <c r="AK157" s="93">
        <f t="shared" si="98"/>
        <v>0</v>
      </c>
      <c r="AL157" s="93">
        <f t="shared" si="98"/>
        <v>0</v>
      </c>
      <c r="AM157" s="93">
        <f t="shared" si="98"/>
        <v>0</v>
      </c>
      <c r="AN157" s="93">
        <f t="shared" si="98"/>
        <v>0</v>
      </c>
      <c r="AO157" s="93">
        <f t="shared" si="98"/>
        <v>0</v>
      </c>
      <c r="AP157" s="93">
        <f>AO157</f>
        <v>0</v>
      </c>
      <c r="AQ157" s="113"/>
      <c r="AR157" s="113"/>
      <c r="AS157" s="113"/>
      <c r="AT157" s="113"/>
      <c r="AU157" s="113"/>
      <c r="AV157" s="113"/>
    </row>
    <row r="158" ht="12.75" hidden="1" customHeight="1" outlineLevel="1">
      <c r="A158" s="90"/>
      <c r="B158" s="67"/>
      <c r="C158" s="90"/>
      <c r="E158" s="68" t="s">
        <v>323</v>
      </c>
      <c r="F158" s="90"/>
      <c r="G158" s="225">
        <v>5000.0</v>
      </c>
      <c r="H158" s="226" t="s">
        <v>324</v>
      </c>
      <c r="I158" s="113"/>
      <c r="J158" s="113"/>
      <c r="K158" s="113" t="str">
        <f t="shared" ref="K158:K161" si="101">J158</f>
        <v/>
      </c>
      <c r="L158" s="113">
        <v>0.0</v>
      </c>
      <c r="M158" s="93">
        <f t="shared" ref="M158:AL158" si="99">$G158*M155*M28</f>
        <v>15000</v>
      </c>
      <c r="N158" s="93">
        <f t="shared" si="99"/>
        <v>20000</v>
      </c>
      <c r="O158" s="93">
        <f t="shared" si="99"/>
        <v>20000</v>
      </c>
      <c r="P158" s="93">
        <f t="shared" si="99"/>
        <v>30000</v>
      </c>
      <c r="Q158" s="93">
        <f t="shared" si="99"/>
        <v>35000</v>
      </c>
      <c r="R158" s="93">
        <f t="shared" si="99"/>
        <v>45900</v>
      </c>
      <c r="S158" s="93">
        <f t="shared" si="99"/>
        <v>57222</v>
      </c>
      <c r="T158" s="93">
        <f t="shared" si="99"/>
        <v>74284.56</v>
      </c>
      <c r="U158" s="93">
        <f t="shared" si="99"/>
        <v>102831.0552</v>
      </c>
      <c r="V158" s="93">
        <f t="shared" si="99"/>
        <v>154571.3124</v>
      </c>
      <c r="W158" s="93">
        <f t="shared" si="99"/>
        <v>208340.0476</v>
      </c>
      <c r="X158" s="93">
        <f t="shared" si="99"/>
        <v>212506.8485</v>
      </c>
      <c r="Y158" s="93">
        <f t="shared" si="99"/>
        <v>216756.9855</v>
      </c>
      <c r="Z158" s="93">
        <f t="shared" si="99"/>
        <v>221092.1252</v>
      </c>
      <c r="AA158" s="93">
        <f t="shared" si="99"/>
        <v>225513.9677</v>
      </c>
      <c r="AB158" s="93">
        <f t="shared" si="99"/>
        <v>230024.2471</v>
      </c>
      <c r="AC158" s="93">
        <f t="shared" si="99"/>
        <v>234624.732</v>
      </c>
      <c r="AD158" s="93">
        <f t="shared" si="99"/>
        <v>239317.2266</v>
      </c>
      <c r="AE158" s="93">
        <f t="shared" si="99"/>
        <v>244103.5712</v>
      </c>
      <c r="AF158" s="93">
        <f t="shared" si="99"/>
        <v>248985.6426</v>
      </c>
      <c r="AG158" s="93">
        <f t="shared" si="99"/>
        <v>253965.3554</v>
      </c>
      <c r="AH158" s="93">
        <f t="shared" si="99"/>
        <v>259044.6626</v>
      </c>
      <c r="AI158" s="93">
        <f t="shared" si="99"/>
        <v>264225.5558</v>
      </c>
      <c r="AJ158" s="93">
        <f t="shared" si="99"/>
        <v>269510.0669</v>
      </c>
      <c r="AK158" s="93">
        <f t="shared" si="99"/>
        <v>274900.2683</v>
      </c>
      <c r="AL158" s="93">
        <f t="shared" si="99"/>
        <v>280398.2736</v>
      </c>
      <c r="AM158" s="93">
        <f t="shared" ref="AM158:AP158" si="100">AL158</f>
        <v>280398.2736</v>
      </c>
      <c r="AN158" s="93">
        <f t="shared" si="100"/>
        <v>280398.2736</v>
      </c>
      <c r="AO158" s="93">
        <f t="shared" si="100"/>
        <v>280398.2736</v>
      </c>
      <c r="AP158" s="93">
        <f t="shared" si="100"/>
        <v>280398.2736</v>
      </c>
      <c r="AQ158" s="113"/>
      <c r="AR158" s="113"/>
      <c r="AS158" s="113"/>
      <c r="AT158" s="113"/>
      <c r="AU158" s="113"/>
      <c r="AV158" s="113"/>
    </row>
    <row r="159" ht="12.75" hidden="1" customHeight="1" outlineLevel="1">
      <c r="A159" s="90"/>
      <c r="B159" s="67"/>
      <c r="C159" s="90"/>
      <c r="E159" s="68" t="s">
        <v>325</v>
      </c>
      <c r="F159" s="90"/>
      <c r="G159" s="225">
        <v>20000.0</v>
      </c>
      <c r="H159" s="226" t="s">
        <v>326</v>
      </c>
      <c r="I159" s="113"/>
      <c r="J159" s="113"/>
      <c r="K159" s="113" t="str">
        <f t="shared" si="101"/>
        <v/>
      </c>
      <c r="L159" s="113">
        <v>0.0</v>
      </c>
      <c r="M159" s="93">
        <f t="shared" ref="M159:AP159" si="102">$G159*M6/10*M28</f>
        <v>6000</v>
      </c>
      <c r="N159" s="93">
        <f t="shared" si="102"/>
        <v>10000</v>
      </c>
      <c r="O159" s="93">
        <f t="shared" si="102"/>
        <v>16000</v>
      </c>
      <c r="P159" s="93">
        <f t="shared" si="102"/>
        <v>26000</v>
      </c>
      <c r="Q159" s="93">
        <f t="shared" si="102"/>
        <v>42000</v>
      </c>
      <c r="R159" s="93">
        <f t="shared" si="102"/>
        <v>69360</v>
      </c>
      <c r="S159" s="93">
        <f t="shared" si="102"/>
        <v>116524.8</v>
      </c>
      <c r="T159" s="93">
        <f t="shared" si="102"/>
        <v>191017.44</v>
      </c>
      <c r="U159" s="93">
        <f t="shared" si="102"/>
        <v>292256.6832</v>
      </c>
      <c r="V159" s="93">
        <f t="shared" si="102"/>
        <v>397469.0892</v>
      </c>
      <c r="W159" s="93">
        <f t="shared" si="102"/>
        <v>554071.9103</v>
      </c>
      <c r="X159" s="93">
        <f t="shared" si="102"/>
        <v>748943.0553</v>
      </c>
      <c r="Y159" s="93">
        <f t="shared" si="102"/>
        <v>1096673.181</v>
      </c>
      <c r="Z159" s="93">
        <f t="shared" si="102"/>
        <v>1579912.376</v>
      </c>
      <c r="AA159" s="93">
        <f t="shared" si="102"/>
        <v>2201503.923</v>
      </c>
      <c r="AB159" s="93">
        <f t="shared" si="102"/>
        <v>2924416.373</v>
      </c>
      <c r="AC159" s="93">
        <f t="shared" si="102"/>
        <v>3804725.384</v>
      </c>
      <c r="AD159" s="93">
        <f t="shared" si="102"/>
        <v>4786344.533</v>
      </c>
      <c r="AE159" s="93">
        <f t="shared" si="102"/>
        <v>5792511.77</v>
      </c>
      <c r="AF159" s="93">
        <f t="shared" si="102"/>
        <v>6640514.381</v>
      </c>
      <c r="AG159" s="93">
        <f t="shared" si="102"/>
        <v>6863928.525</v>
      </c>
      <c r="AH159" s="93">
        <f t="shared" si="102"/>
        <v>7001207.096</v>
      </c>
      <c r="AI159" s="93">
        <f t="shared" si="102"/>
        <v>7141231.238</v>
      </c>
      <c r="AJ159" s="93">
        <f t="shared" si="102"/>
        <v>7284055.863</v>
      </c>
      <c r="AK159" s="93">
        <f t="shared" si="102"/>
        <v>7429736.98</v>
      </c>
      <c r="AL159" s="93">
        <f t="shared" si="102"/>
        <v>7578331.719</v>
      </c>
      <c r="AM159" s="93">
        <f t="shared" si="102"/>
        <v>7729898.354</v>
      </c>
      <c r="AN159" s="93">
        <f t="shared" si="102"/>
        <v>7884496.321</v>
      </c>
      <c r="AO159" s="93">
        <f t="shared" si="102"/>
        <v>8042186.247</v>
      </c>
      <c r="AP159" s="93">
        <f t="shared" si="102"/>
        <v>8203029.972</v>
      </c>
      <c r="AQ159" s="113"/>
      <c r="AR159" s="113"/>
      <c r="AS159" s="113"/>
      <c r="AT159" s="113"/>
      <c r="AU159" s="113"/>
      <c r="AV159" s="113"/>
    </row>
    <row r="160" ht="12.75" hidden="1" customHeight="1" outlineLevel="1">
      <c r="A160" s="90"/>
      <c r="B160" s="67"/>
      <c r="C160" s="90"/>
      <c r="E160" s="68" t="s">
        <v>327</v>
      </c>
      <c r="F160" s="90"/>
      <c r="G160" s="225">
        <v>1500.0</v>
      </c>
      <c r="H160" s="226" t="s">
        <v>324</v>
      </c>
      <c r="I160" s="113"/>
      <c r="J160" s="113"/>
      <c r="K160" s="113" t="str">
        <f t="shared" si="101"/>
        <v/>
      </c>
      <c r="L160" s="113">
        <v>0.0</v>
      </c>
      <c r="M160" s="93">
        <f t="shared" ref="M160:AL160" si="103">M155*$G160*M28</f>
        <v>4500</v>
      </c>
      <c r="N160" s="93">
        <f t="shared" si="103"/>
        <v>6000</v>
      </c>
      <c r="O160" s="93">
        <f t="shared" si="103"/>
        <v>6000</v>
      </c>
      <c r="P160" s="93">
        <f t="shared" si="103"/>
        <v>9000</v>
      </c>
      <c r="Q160" s="93">
        <f t="shared" si="103"/>
        <v>10500</v>
      </c>
      <c r="R160" s="93">
        <f t="shared" si="103"/>
        <v>13770</v>
      </c>
      <c r="S160" s="93">
        <f t="shared" si="103"/>
        <v>17166.6</v>
      </c>
      <c r="T160" s="93">
        <f t="shared" si="103"/>
        <v>22285.368</v>
      </c>
      <c r="U160" s="93">
        <f t="shared" si="103"/>
        <v>30849.31656</v>
      </c>
      <c r="V160" s="93">
        <f t="shared" si="103"/>
        <v>46371.39373</v>
      </c>
      <c r="W160" s="93">
        <f t="shared" si="103"/>
        <v>62502.01427</v>
      </c>
      <c r="X160" s="93">
        <f t="shared" si="103"/>
        <v>63752.05455</v>
      </c>
      <c r="Y160" s="93">
        <f t="shared" si="103"/>
        <v>65027.09565</v>
      </c>
      <c r="Z160" s="93">
        <f t="shared" si="103"/>
        <v>66327.63756</v>
      </c>
      <c r="AA160" s="93">
        <f t="shared" si="103"/>
        <v>67654.19031</v>
      </c>
      <c r="AB160" s="93">
        <f t="shared" si="103"/>
        <v>69007.27412</v>
      </c>
      <c r="AC160" s="93">
        <f t="shared" si="103"/>
        <v>70387.4196</v>
      </c>
      <c r="AD160" s="93">
        <f t="shared" si="103"/>
        <v>71795.16799</v>
      </c>
      <c r="AE160" s="93">
        <f t="shared" si="103"/>
        <v>73231.07135</v>
      </c>
      <c r="AF160" s="93">
        <f t="shared" si="103"/>
        <v>74695.69278</v>
      </c>
      <c r="AG160" s="93">
        <f t="shared" si="103"/>
        <v>76189.60663</v>
      </c>
      <c r="AH160" s="93">
        <f t="shared" si="103"/>
        <v>77713.39877</v>
      </c>
      <c r="AI160" s="93">
        <f t="shared" si="103"/>
        <v>79267.66674</v>
      </c>
      <c r="AJ160" s="93">
        <f t="shared" si="103"/>
        <v>80853.02008</v>
      </c>
      <c r="AK160" s="93">
        <f t="shared" si="103"/>
        <v>82470.08048</v>
      </c>
      <c r="AL160" s="93">
        <f t="shared" si="103"/>
        <v>84119.48209</v>
      </c>
      <c r="AM160" s="93">
        <f t="shared" ref="AM160:AP160" si="104">AL160</f>
        <v>84119.48209</v>
      </c>
      <c r="AN160" s="93">
        <f t="shared" si="104"/>
        <v>84119.48209</v>
      </c>
      <c r="AO160" s="93">
        <f t="shared" si="104"/>
        <v>84119.48209</v>
      </c>
      <c r="AP160" s="93">
        <f t="shared" si="104"/>
        <v>84119.48209</v>
      </c>
      <c r="AQ160" s="113"/>
      <c r="AR160" s="113"/>
      <c r="AS160" s="113"/>
      <c r="AT160" s="113"/>
      <c r="AU160" s="113"/>
      <c r="AV160" s="113"/>
    </row>
    <row r="161" ht="12.75" hidden="1" customHeight="1" outlineLevel="1">
      <c r="A161" s="90"/>
      <c r="B161" s="67"/>
      <c r="C161" s="90"/>
      <c r="D161" s="87"/>
      <c r="E161" s="87" t="s">
        <v>328</v>
      </c>
      <c r="F161" s="87"/>
      <c r="G161" s="227"/>
      <c r="H161" s="228"/>
      <c r="I161" s="117"/>
      <c r="J161" s="117"/>
      <c r="K161" s="117" t="str">
        <f t="shared" si="101"/>
        <v/>
      </c>
      <c r="L161" s="117" t="str">
        <f t="shared" ref="L161:M161" si="105">J161</f>
        <v/>
      </c>
      <c r="M161" s="119" t="str">
        <f t="shared" si="105"/>
        <v/>
      </c>
      <c r="N161" s="119">
        <v>0.0</v>
      </c>
      <c r="O161" s="119">
        <v>0.0</v>
      </c>
      <c r="P161" s="119">
        <v>0.0</v>
      </c>
      <c r="Q161" s="119">
        <v>0.0</v>
      </c>
      <c r="R161" s="119">
        <f t="shared" ref="R161:AP161" si="106">Q161</f>
        <v>0</v>
      </c>
      <c r="S161" s="119">
        <f t="shared" si="106"/>
        <v>0</v>
      </c>
      <c r="T161" s="119">
        <f t="shared" si="106"/>
        <v>0</v>
      </c>
      <c r="U161" s="119">
        <f t="shared" si="106"/>
        <v>0</v>
      </c>
      <c r="V161" s="119">
        <f t="shared" si="106"/>
        <v>0</v>
      </c>
      <c r="W161" s="119">
        <f t="shared" si="106"/>
        <v>0</v>
      </c>
      <c r="X161" s="119">
        <f t="shared" si="106"/>
        <v>0</v>
      </c>
      <c r="Y161" s="119">
        <f t="shared" si="106"/>
        <v>0</v>
      </c>
      <c r="Z161" s="119">
        <f t="shared" si="106"/>
        <v>0</v>
      </c>
      <c r="AA161" s="119">
        <f t="shared" si="106"/>
        <v>0</v>
      </c>
      <c r="AB161" s="119">
        <f t="shared" si="106"/>
        <v>0</v>
      </c>
      <c r="AC161" s="119">
        <f t="shared" si="106"/>
        <v>0</v>
      </c>
      <c r="AD161" s="119">
        <f t="shared" si="106"/>
        <v>0</v>
      </c>
      <c r="AE161" s="119">
        <f t="shared" si="106"/>
        <v>0</v>
      </c>
      <c r="AF161" s="119">
        <f t="shared" si="106"/>
        <v>0</v>
      </c>
      <c r="AG161" s="119">
        <f t="shared" si="106"/>
        <v>0</v>
      </c>
      <c r="AH161" s="119">
        <f t="shared" si="106"/>
        <v>0</v>
      </c>
      <c r="AI161" s="119">
        <f t="shared" si="106"/>
        <v>0</v>
      </c>
      <c r="AJ161" s="119">
        <f t="shared" si="106"/>
        <v>0</v>
      </c>
      <c r="AK161" s="119">
        <f t="shared" si="106"/>
        <v>0</v>
      </c>
      <c r="AL161" s="119">
        <f t="shared" si="106"/>
        <v>0</v>
      </c>
      <c r="AM161" s="119">
        <f t="shared" si="106"/>
        <v>0</v>
      </c>
      <c r="AN161" s="119">
        <f t="shared" si="106"/>
        <v>0</v>
      </c>
      <c r="AO161" s="119">
        <f t="shared" si="106"/>
        <v>0</v>
      </c>
      <c r="AP161" s="119">
        <f t="shared" si="106"/>
        <v>0</v>
      </c>
      <c r="AQ161" s="117"/>
      <c r="AR161" s="117"/>
      <c r="AS161" s="117"/>
      <c r="AT161" s="117"/>
      <c r="AU161" s="117"/>
      <c r="AV161" s="117"/>
    </row>
    <row r="162" ht="12.75" hidden="1" customHeight="1" outlineLevel="1">
      <c r="A162" s="90"/>
      <c r="B162" s="67"/>
      <c r="C162" s="90"/>
      <c r="D162" s="66" t="s">
        <v>329</v>
      </c>
      <c r="F162" s="229"/>
      <c r="G162" s="230"/>
      <c r="H162" s="142"/>
      <c r="I162" s="142"/>
      <c r="J162" s="142"/>
      <c r="K162" s="142">
        <f t="shared" ref="K162:AP162" si="107">SUM(K156:K161)</f>
        <v>0</v>
      </c>
      <c r="L162" s="142">
        <f t="shared" si="107"/>
        <v>0</v>
      </c>
      <c r="M162" s="115">
        <f t="shared" si="107"/>
        <v>65500</v>
      </c>
      <c r="N162" s="115">
        <f t="shared" si="107"/>
        <v>81000</v>
      </c>
      <c r="O162" s="115">
        <f t="shared" si="107"/>
        <v>97000</v>
      </c>
      <c r="P162" s="115">
        <f t="shared" si="107"/>
        <v>135000</v>
      </c>
      <c r="Q162" s="115">
        <f t="shared" si="107"/>
        <v>157500</v>
      </c>
      <c r="R162" s="115">
        <f t="shared" si="107"/>
        <v>176460</v>
      </c>
      <c r="S162" s="115">
        <f t="shared" si="107"/>
        <v>248655.6</v>
      </c>
      <c r="T162" s="115">
        <f t="shared" si="107"/>
        <v>355239.378</v>
      </c>
      <c r="U162" s="115">
        <f t="shared" si="107"/>
        <v>494942.1052</v>
      </c>
      <c r="V162" s="115">
        <f t="shared" si="107"/>
        <v>686186.2192</v>
      </c>
      <c r="W162" s="115">
        <f t="shared" si="107"/>
        <v>926268.5898</v>
      </c>
      <c r="X162" s="115">
        <f t="shared" si="107"/>
        <v>1181997.552</v>
      </c>
      <c r="Y162" s="115">
        <f t="shared" si="107"/>
        <v>1583204.739</v>
      </c>
      <c r="Z162" s="115">
        <f t="shared" si="107"/>
        <v>2120094.217</v>
      </c>
      <c r="AA162" s="115">
        <f t="shared" si="107"/>
        <v>2780831.021</v>
      </c>
      <c r="AB162" s="115">
        <f t="shared" si="107"/>
        <v>3562889.081</v>
      </c>
      <c r="AC162" s="115">
        <f t="shared" si="107"/>
        <v>4480698.26</v>
      </c>
      <c r="AD162" s="115">
        <f t="shared" si="107"/>
        <v>5470985.842</v>
      </c>
      <c r="AE162" s="115">
        <f t="shared" si="107"/>
        <v>6418604.443</v>
      </c>
      <c r="AF162" s="115">
        <f t="shared" si="107"/>
        <v>7037882.008</v>
      </c>
      <c r="AG162" s="115">
        <f t="shared" si="107"/>
        <v>7235267.059</v>
      </c>
      <c r="AH162" s="115">
        <f t="shared" si="107"/>
        <v>7379972.4</v>
      </c>
      <c r="AI162" s="115">
        <f t="shared" si="107"/>
        <v>7527571.848</v>
      </c>
      <c r="AJ162" s="115">
        <f t="shared" si="107"/>
        <v>7678123.285</v>
      </c>
      <c r="AK162" s="115">
        <f t="shared" si="107"/>
        <v>7831685.751</v>
      </c>
      <c r="AL162" s="115">
        <f t="shared" si="107"/>
        <v>7988319.466</v>
      </c>
      <c r="AM162" s="115">
        <f t="shared" si="107"/>
        <v>8140795.5</v>
      </c>
      <c r="AN162" s="115">
        <f t="shared" si="107"/>
        <v>8296321.055</v>
      </c>
      <c r="AO162" s="115">
        <f t="shared" si="107"/>
        <v>8454957.121</v>
      </c>
      <c r="AP162" s="115">
        <f t="shared" si="107"/>
        <v>8616765.908</v>
      </c>
      <c r="AQ162" s="142"/>
      <c r="AR162" s="142"/>
      <c r="AS162" s="142"/>
      <c r="AT162" s="142"/>
      <c r="AU162" s="142"/>
      <c r="AV162" s="142"/>
    </row>
    <row r="163" ht="12.75" hidden="1" customHeight="1" outlineLevel="1">
      <c r="A163" s="90"/>
      <c r="B163" s="67"/>
      <c r="C163" s="90"/>
      <c r="F163" s="90"/>
      <c r="G163" s="90"/>
      <c r="H163" s="90"/>
      <c r="J163" s="90"/>
      <c r="M163" s="93"/>
      <c r="N163" s="93"/>
      <c r="O163" s="93"/>
      <c r="P163" s="93"/>
      <c r="Q163" s="93"/>
      <c r="R163" s="93"/>
      <c r="S163" s="93"/>
      <c r="T163" s="93"/>
      <c r="U163" s="93"/>
      <c r="V163" s="93"/>
      <c r="W163" s="93"/>
      <c r="X163" s="93"/>
      <c r="Y163" s="93"/>
      <c r="Z163" s="93"/>
      <c r="AA163" s="93"/>
      <c r="AB163" s="93"/>
      <c r="AC163" s="93"/>
      <c r="AD163" s="93"/>
      <c r="AE163" s="93"/>
      <c r="AF163" s="93"/>
      <c r="AG163" s="93"/>
      <c r="AH163" s="93"/>
      <c r="AI163" s="93"/>
      <c r="AJ163" s="93"/>
      <c r="AK163" s="93"/>
      <c r="AL163" s="93"/>
      <c r="AM163" s="93"/>
      <c r="AN163" s="93"/>
      <c r="AO163" s="93"/>
      <c r="AP163" s="93"/>
    </row>
    <row r="164" ht="12.75" hidden="1" customHeight="1" outlineLevel="1">
      <c r="A164" s="90"/>
      <c r="B164" s="67"/>
      <c r="C164" s="90"/>
      <c r="D164" s="66" t="s">
        <v>330</v>
      </c>
      <c r="F164" s="90"/>
      <c r="G164" s="90"/>
      <c r="H164" s="90" t="s">
        <v>124</v>
      </c>
      <c r="J164" s="90"/>
      <c r="M164" s="196">
        <f>SUM('National Staffing'!K71:K73)</f>
        <v>1</v>
      </c>
      <c r="N164" s="196">
        <f>SUM('National Staffing'!L71:L73)</f>
        <v>1</v>
      </c>
      <c r="O164" s="196">
        <f>SUM('National Staffing'!M71:M73)</f>
        <v>1</v>
      </c>
      <c r="P164" s="196">
        <f>SUM('National Staffing'!N71:N73)</f>
        <v>2</v>
      </c>
      <c r="Q164" s="196">
        <f>SUM('National Staffing'!O71:O73)</f>
        <v>2</v>
      </c>
      <c r="R164" s="196">
        <f>SUM('National Staffing'!P71:P73)</f>
        <v>3</v>
      </c>
      <c r="S164" s="196">
        <f>SUM('National Staffing'!Q71:Q73)</f>
        <v>3</v>
      </c>
      <c r="T164" s="196">
        <f>SUM('National Staffing'!R71:R73)</f>
        <v>3</v>
      </c>
      <c r="U164" s="196">
        <f>SUM('National Staffing'!S71:S73)</f>
        <v>3</v>
      </c>
      <c r="V164" s="196">
        <f>SUM('National Staffing'!T71:T73)</f>
        <v>3</v>
      </c>
      <c r="W164" s="196">
        <f>SUM('National Staffing'!U71:U73)</f>
        <v>3</v>
      </c>
      <c r="X164" s="196">
        <f>SUM('National Staffing'!V71:V73)</f>
        <v>3</v>
      </c>
      <c r="Y164" s="196">
        <f>SUM('National Staffing'!W71:W73)</f>
        <v>3</v>
      </c>
      <c r="Z164" s="196">
        <f>SUM('National Staffing'!X71:X73)</f>
        <v>3</v>
      </c>
      <c r="AA164" s="196">
        <f>SUM('National Staffing'!Y71:Y73)</f>
        <v>3</v>
      </c>
      <c r="AB164" s="196">
        <f>SUM('National Staffing'!Z71:Z73)</f>
        <v>3</v>
      </c>
      <c r="AC164" s="196">
        <f>SUM('National Staffing'!AA71:AA73)</f>
        <v>3</v>
      </c>
      <c r="AD164" s="196">
        <f>SUM('National Staffing'!AB71:AB73)</f>
        <v>3</v>
      </c>
      <c r="AE164" s="196">
        <f>SUM('National Staffing'!AC71:AC73)</f>
        <v>3</v>
      </c>
      <c r="AF164" s="196">
        <f>SUM('National Staffing'!AD71:AD73)</f>
        <v>3</v>
      </c>
      <c r="AG164" s="196">
        <f>SUM('National Staffing'!AE71:AE73)</f>
        <v>3</v>
      </c>
      <c r="AH164" s="196">
        <f>SUM('National Staffing'!AF71:AF73)</f>
        <v>3</v>
      </c>
      <c r="AI164" s="196">
        <f>SUM('National Staffing'!AG71:AG73)</f>
        <v>3</v>
      </c>
      <c r="AJ164" s="196">
        <f>SUM('National Staffing'!AH71:AH73)</f>
        <v>3</v>
      </c>
      <c r="AK164" s="196">
        <f>SUM('National Staffing'!AI71:AI73)</f>
        <v>3</v>
      </c>
      <c r="AL164" s="196">
        <f>SUM('National Staffing'!AJ71:AJ73)</f>
        <v>3</v>
      </c>
      <c r="AM164" s="93"/>
      <c r="AN164" s="93"/>
      <c r="AO164" s="93"/>
      <c r="AP164" s="93"/>
    </row>
    <row r="165" ht="12.75" hidden="1" customHeight="1" outlineLevel="1">
      <c r="A165" s="90"/>
      <c r="B165" s="67"/>
      <c r="C165" s="90"/>
      <c r="E165" s="68" t="s">
        <v>331</v>
      </c>
      <c r="F165" s="229"/>
      <c r="G165" s="230"/>
      <c r="H165" s="113"/>
      <c r="I165" s="113"/>
      <c r="J165" s="113"/>
      <c r="K165" s="113" t="str">
        <f t="shared" ref="K165:K169" si="109">J165</f>
        <v/>
      </c>
      <c r="L165" s="113">
        <v>0.0</v>
      </c>
      <c r="M165" s="93">
        <v>5000.0</v>
      </c>
      <c r="N165" s="93">
        <v>5000.0</v>
      </c>
      <c r="O165" s="93">
        <v>5000.0</v>
      </c>
      <c r="P165" s="93">
        <v>5000.0</v>
      </c>
      <c r="Q165" s="93">
        <v>5000.0</v>
      </c>
      <c r="R165" s="93">
        <v>5000.0</v>
      </c>
      <c r="S165" s="93">
        <v>5000.0</v>
      </c>
      <c r="T165" s="93">
        <v>5000.0</v>
      </c>
      <c r="U165" s="93">
        <v>5000.0</v>
      </c>
      <c r="V165" s="93">
        <v>5000.0</v>
      </c>
      <c r="W165" s="93">
        <v>5000.0</v>
      </c>
      <c r="X165" s="93">
        <v>5000.0</v>
      </c>
      <c r="Y165" s="93">
        <v>5000.0</v>
      </c>
      <c r="Z165" s="93">
        <v>5000.0</v>
      </c>
      <c r="AA165" s="93">
        <v>5000.0</v>
      </c>
      <c r="AB165" s="93">
        <v>5000.0</v>
      </c>
      <c r="AC165" s="93">
        <v>5000.0</v>
      </c>
      <c r="AD165" s="93">
        <v>5000.0</v>
      </c>
      <c r="AE165" s="93">
        <v>5000.0</v>
      </c>
      <c r="AF165" s="93">
        <v>5000.0</v>
      </c>
      <c r="AG165" s="93">
        <v>5000.0</v>
      </c>
      <c r="AH165" s="93">
        <v>5000.0</v>
      </c>
      <c r="AI165" s="93">
        <v>5000.0</v>
      </c>
      <c r="AJ165" s="93">
        <v>5000.0</v>
      </c>
      <c r="AK165" s="93">
        <v>5000.0</v>
      </c>
      <c r="AL165" s="93">
        <v>5000.0</v>
      </c>
      <c r="AM165" s="93">
        <f t="shared" ref="AM165:AP165" si="108">AL165</f>
        <v>5000</v>
      </c>
      <c r="AN165" s="93">
        <f t="shared" si="108"/>
        <v>5000</v>
      </c>
      <c r="AO165" s="93">
        <f t="shared" si="108"/>
        <v>5000</v>
      </c>
      <c r="AP165" s="93">
        <f t="shared" si="108"/>
        <v>5000</v>
      </c>
      <c r="AQ165" s="113"/>
      <c r="AR165" s="113"/>
      <c r="AS165" s="113"/>
      <c r="AT165" s="113"/>
      <c r="AU165" s="113"/>
      <c r="AV165" s="113"/>
    </row>
    <row r="166" ht="12.75" hidden="1" customHeight="1" outlineLevel="1">
      <c r="A166" s="90"/>
      <c r="B166" s="67"/>
      <c r="C166" s="90"/>
      <c r="E166" s="68" t="s">
        <v>327</v>
      </c>
      <c r="F166" s="229"/>
      <c r="G166" s="225">
        <v>5000.0</v>
      </c>
      <c r="H166" s="226" t="s">
        <v>324</v>
      </c>
      <c r="I166" s="113"/>
      <c r="J166" s="113"/>
      <c r="K166" s="113" t="str">
        <f t="shared" si="109"/>
        <v/>
      </c>
      <c r="L166" s="113">
        <v>0.0</v>
      </c>
      <c r="M166" s="93">
        <f t="shared" ref="M166:AL166" si="110">M164*M28*$G166</f>
        <v>5000</v>
      </c>
      <c r="N166" s="93">
        <f t="shared" si="110"/>
        <v>5000</v>
      </c>
      <c r="O166" s="93">
        <f t="shared" si="110"/>
        <v>5000</v>
      </c>
      <c r="P166" s="93">
        <f t="shared" si="110"/>
        <v>10000</v>
      </c>
      <c r="Q166" s="93">
        <f t="shared" si="110"/>
        <v>10000</v>
      </c>
      <c r="R166" s="93">
        <f t="shared" si="110"/>
        <v>15300</v>
      </c>
      <c r="S166" s="93">
        <f t="shared" si="110"/>
        <v>15606</v>
      </c>
      <c r="T166" s="93">
        <f t="shared" si="110"/>
        <v>15918.12</v>
      </c>
      <c r="U166" s="93">
        <f t="shared" si="110"/>
        <v>16236.4824</v>
      </c>
      <c r="V166" s="93">
        <f t="shared" si="110"/>
        <v>16561.21205</v>
      </c>
      <c r="W166" s="93">
        <f t="shared" si="110"/>
        <v>16892.43629</v>
      </c>
      <c r="X166" s="93">
        <f t="shared" si="110"/>
        <v>17230.28501</v>
      </c>
      <c r="Y166" s="93">
        <f t="shared" si="110"/>
        <v>17574.89072</v>
      </c>
      <c r="Z166" s="93">
        <f t="shared" si="110"/>
        <v>17926.38853</v>
      </c>
      <c r="AA166" s="93">
        <f t="shared" si="110"/>
        <v>18284.9163</v>
      </c>
      <c r="AB166" s="93">
        <f t="shared" si="110"/>
        <v>18650.61463</v>
      </c>
      <c r="AC166" s="93">
        <f t="shared" si="110"/>
        <v>19023.62692</v>
      </c>
      <c r="AD166" s="93">
        <f t="shared" si="110"/>
        <v>19404.09946</v>
      </c>
      <c r="AE166" s="93">
        <f t="shared" si="110"/>
        <v>19792.18145</v>
      </c>
      <c r="AF166" s="93">
        <f t="shared" si="110"/>
        <v>20188.02507</v>
      </c>
      <c r="AG166" s="93">
        <f t="shared" si="110"/>
        <v>20591.78558</v>
      </c>
      <c r="AH166" s="93">
        <f t="shared" si="110"/>
        <v>21003.62129</v>
      </c>
      <c r="AI166" s="93">
        <f t="shared" si="110"/>
        <v>21423.69371</v>
      </c>
      <c r="AJ166" s="93">
        <f t="shared" si="110"/>
        <v>21852.16759</v>
      </c>
      <c r="AK166" s="93">
        <f t="shared" si="110"/>
        <v>22289.21094</v>
      </c>
      <c r="AL166" s="93">
        <f t="shared" si="110"/>
        <v>22734.99516</v>
      </c>
      <c r="AM166" s="93">
        <f t="shared" ref="AM166:AP166" si="111">AL166*AM25*AM28/(AL25*AL28)</f>
        <v>23189.69506</v>
      </c>
      <c r="AN166" s="93">
        <f t="shared" si="111"/>
        <v>23653.48896</v>
      </c>
      <c r="AO166" s="93">
        <f t="shared" si="111"/>
        <v>24126.55874</v>
      </c>
      <c r="AP166" s="93" t="str">
        <f t="shared" si="111"/>
        <v>#REF!</v>
      </c>
      <c r="AQ166" s="113"/>
      <c r="AR166" s="113"/>
      <c r="AS166" s="113"/>
      <c r="AT166" s="113"/>
      <c r="AU166" s="113"/>
      <c r="AV166" s="113"/>
    </row>
    <row r="167" ht="12.75" hidden="1" customHeight="1" outlineLevel="1">
      <c r="A167" s="90"/>
      <c r="B167" s="90"/>
      <c r="C167" s="90"/>
      <c r="E167" s="68" t="s">
        <v>247</v>
      </c>
      <c r="F167" s="229"/>
      <c r="G167" s="225">
        <v>10000.0</v>
      </c>
      <c r="H167" s="226" t="s">
        <v>320</v>
      </c>
      <c r="I167" s="113"/>
      <c r="J167" s="113"/>
      <c r="K167" s="113" t="str">
        <f t="shared" si="109"/>
        <v/>
      </c>
      <c r="L167" s="113">
        <v>0.0</v>
      </c>
      <c r="M167" s="93">
        <f t="shared" ref="M167:AL167" si="112">$G167*M28</f>
        <v>10000</v>
      </c>
      <c r="N167" s="93">
        <f t="shared" si="112"/>
        <v>10000</v>
      </c>
      <c r="O167" s="93">
        <f t="shared" si="112"/>
        <v>10000</v>
      </c>
      <c r="P167" s="93">
        <f t="shared" si="112"/>
        <v>10000</v>
      </c>
      <c r="Q167" s="93">
        <f t="shared" si="112"/>
        <v>10000</v>
      </c>
      <c r="R167" s="93">
        <f t="shared" si="112"/>
        <v>10200</v>
      </c>
      <c r="S167" s="93">
        <f t="shared" si="112"/>
        <v>10404</v>
      </c>
      <c r="T167" s="93">
        <f t="shared" si="112"/>
        <v>10612.08</v>
      </c>
      <c r="U167" s="93">
        <f t="shared" si="112"/>
        <v>10824.3216</v>
      </c>
      <c r="V167" s="93">
        <f t="shared" si="112"/>
        <v>11040.80803</v>
      </c>
      <c r="W167" s="93">
        <f t="shared" si="112"/>
        <v>11261.62419</v>
      </c>
      <c r="X167" s="93">
        <f t="shared" si="112"/>
        <v>11486.85668</v>
      </c>
      <c r="Y167" s="93">
        <f t="shared" si="112"/>
        <v>11716.59381</v>
      </c>
      <c r="Z167" s="93">
        <f t="shared" si="112"/>
        <v>11950.92569</v>
      </c>
      <c r="AA167" s="93">
        <f t="shared" si="112"/>
        <v>12189.9442</v>
      </c>
      <c r="AB167" s="93">
        <f t="shared" si="112"/>
        <v>12433.74308</v>
      </c>
      <c r="AC167" s="93">
        <f t="shared" si="112"/>
        <v>12682.41795</v>
      </c>
      <c r="AD167" s="93">
        <f t="shared" si="112"/>
        <v>12936.0663</v>
      </c>
      <c r="AE167" s="93">
        <f t="shared" si="112"/>
        <v>13194.78763</v>
      </c>
      <c r="AF167" s="93">
        <f t="shared" si="112"/>
        <v>13458.68338</v>
      </c>
      <c r="AG167" s="93">
        <f t="shared" si="112"/>
        <v>13727.85705</v>
      </c>
      <c r="AH167" s="93">
        <f t="shared" si="112"/>
        <v>14002.41419</v>
      </c>
      <c r="AI167" s="93">
        <f t="shared" si="112"/>
        <v>14282.46248</v>
      </c>
      <c r="AJ167" s="93">
        <f t="shared" si="112"/>
        <v>14568.11173</v>
      </c>
      <c r="AK167" s="93">
        <f t="shared" si="112"/>
        <v>14859.47396</v>
      </c>
      <c r="AL167" s="93">
        <f t="shared" si="112"/>
        <v>15156.66344</v>
      </c>
      <c r="AM167" s="93">
        <f t="shared" ref="AM167:AP167" si="113">AL167</f>
        <v>15156.66344</v>
      </c>
      <c r="AN167" s="93">
        <f t="shared" si="113"/>
        <v>15156.66344</v>
      </c>
      <c r="AO167" s="93">
        <f t="shared" si="113"/>
        <v>15156.66344</v>
      </c>
      <c r="AP167" s="93">
        <f t="shared" si="113"/>
        <v>15156.66344</v>
      </c>
      <c r="AQ167" s="113"/>
      <c r="AR167" s="113"/>
      <c r="AS167" s="113"/>
      <c r="AT167" s="113"/>
      <c r="AU167" s="113"/>
      <c r="AV167" s="113"/>
    </row>
    <row r="168" ht="12.75" hidden="1" customHeight="1" outlineLevel="1">
      <c r="A168" s="90"/>
      <c r="B168" s="90"/>
      <c r="C168" s="90"/>
      <c r="E168" s="68" t="s">
        <v>332</v>
      </c>
      <c r="F168" s="229"/>
      <c r="G168" s="225"/>
      <c r="H168" s="226"/>
      <c r="I168" s="113"/>
      <c r="J168" s="113"/>
      <c r="K168" s="113" t="str">
        <f t="shared" si="109"/>
        <v/>
      </c>
      <c r="L168" s="113">
        <v>0.0</v>
      </c>
      <c r="M168" s="93">
        <v>15000.0</v>
      </c>
      <c r="N168" s="93">
        <v>0.0</v>
      </c>
      <c r="O168" s="93">
        <v>0.0</v>
      </c>
      <c r="P168" s="93">
        <v>0.0</v>
      </c>
      <c r="Q168" s="93">
        <v>0.0</v>
      </c>
      <c r="R168" s="93">
        <v>0.0</v>
      </c>
      <c r="S168" s="93">
        <f t="shared" ref="S168:AP168" si="114">R168*S6/R6*S28/R28</f>
        <v>0</v>
      </c>
      <c r="T168" s="93">
        <f t="shared" si="114"/>
        <v>0</v>
      </c>
      <c r="U168" s="93">
        <f t="shared" si="114"/>
        <v>0</v>
      </c>
      <c r="V168" s="93">
        <f t="shared" si="114"/>
        <v>0</v>
      </c>
      <c r="W168" s="93">
        <f t="shared" si="114"/>
        <v>0</v>
      </c>
      <c r="X168" s="93">
        <f t="shared" si="114"/>
        <v>0</v>
      </c>
      <c r="Y168" s="93">
        <f t="shared" si="114"/>
        <v>0</v>
      </c>
      <c r="Z168" s="93">
        <f t="shared" si="114"/>
        <v>0</v>
      </c>
      <c r="AA168" s="93">
        <f t="shared" si="114"/>
        <v>0</v>
      </c>
      <c r="AB168" s="93">
        <f t="shared" si="114"/>
        <v>0</v>
      </c>
      <c r="AC168" s="93">
        <f t="shared" si="114"/>
        <v>0</v>
      </c>
      <c r="AD168" s="93">
        <f t="shared" si="114"/>
        <v>0</v>
      </c>
      <c r="AE168" s="93">
        <f t="shared" si="114"/>
        <v>0</v>
      </c>
      <c r="AF168" s="93">
        <f t="shared" si="114"/>
        <v>0</v>
      </c>
      <c r="AG168" s="93">
        <f t="shared" si="114"/>
        <v>0</v>
      </c>
      <c r="AH168" s="93">
        <f t="shared" si="114"/>
        <v>0</v>
      </c>
      <c r="AI168" s="93">
        <f t="shared" si="114"/>
        <v>0</v>
      </c>
      <c r="AJ168" s="93">
        <f t="shared" si="114"/>
        <v>0</v>
      </c>
      <c r="AK168" s="93">
        <f t="shared" si="114"/>
        <v>0</v>
      </c>
      <c r="AL168" s="93">
        <f t="shared" si="114"/>
        <v>0</v>
      </c>
      <c r="AM168" s="93">
        <f t="shared" si="114"/>
        <v>0</v>
      </c>
      <c r="AN168" s="93">
        <f t="shared" si="114"/>
        <v>0</v>
      </c>
      <c r="AO168" s="93">
        <f t="shared" si="114"/>
        <v>0</v>
      </c>
      <c r="AP168" s="93">
        <f t="shared" si="114"/>
        <v>0</v>
      </c>
      <c r="AQ168" s="113"/>
      <c r="AR168" s="113"/>
      <c r="AS168" s="113"/>
      <c r="AT168" s="113"/>
      <c r="AU168" s="113"/>
      <c r="AV168" s="113"/>
    </row>
    <row r="169" ht="12.75" hidden="1" customHeight="1" outlineLevel="1">
      <c r="A169" s="90"/>
      <c r="B169" s="67"/>
      <c r="C169" s="90"/>
      <c r="E169" s="87" t="s">
        <v>333</v>
      </c>
      <c r="F169" s="227"/>
      <c r="G169" s="231"/>
      <c r="H169" s="232"/>
      <c r="I169" s="117"/>
      <c r="J169" s="117"/>
      <c r="K169" s="117" t="str">
        <f t="shared" si="109"/>
        <v/>
      </c>
      <c r="L169" s="117">
        <v>0.0</v>
      </c>
      <c r="M169" s="119">
        <v>0.0</v>
      </c>
      <c r="N169" s="119">
        <v>0.0</v>
      </c>
      <c r="O169" s="119">
        <v>10000.0</v>
      </c>
      <c r="P169" s="119">
        <v>10000.0</v>
      </c>
      <c r="Q169" s="119">
        <v>0.0</v>
      </c>
      <c r="R169" s="119">
        <v>0.0</v>
      </c>
      <c r="S169" s="119">
        <v>0.0</v>
      </c>
      <c r="T169" s="119">
        <v>0.0</v>
      </c>
      <c r="U169" s="119">
        <v>0.0</v>
      </c>
      <c r="V169" s="119">
        <v>0.0</v>
      </c>
      <c r="W169" s="119">
        <f t="shared" ref="W169:AP169" si="115">V169</f>
        <v>0</v>
      </c>
      <c r="X169" s="119">
        <f t="shared" si="115"/>
        <v>0</v>
      </c>
      <c r="Y169" s="119">
        <f t="shared" si="115"/>
        <v>0</v>
      </c>
      <c r="Z169" s="119">
        <f t="shared" si="115"/>
        <v>0</v>
      </c>
      <c r="AA169" s="119">
        <f t="shared" si="115"/>
        <v>0</v>
      </c>
      <c r="AB169" s="119">
        <f t="shared" si="115"/>
        <v>0</v>
      </c>
      <c r="AC169" s="119">
        <f t="shared" si="115"/>
        <v>0</v>
      </c>
      <c r="AD169" s="119">
        <f t="shared" si="115"/>
        <v>0</v>
      </c>
      <c r="AE169" s="119">
        <f t="shared" si="115"/>
        <v>0</v>
      </c>
      <c r="AF169" s="119">
        <f t="shared" si="115"/>
        <v>0</v>
      </c>
      <c r="AG169" s="119">
        <f t="shared" si="115"/>
        <v>0</v>
      </c>
      <c r="AH169" s="119">
        <f t="shared" si="115"/>
        <v>0</v>
      </c>
      <c r="AI169" s="119">
        <f t="shared" si="115"/>
        <v>0</v>
      </c>
      <c r="AJ169" s="119">
        <f t="shared" si="115"/>
        <v>0</v>
      </c>
      <c r="AK169" s="119">
        <f t="shared" si="115"/>
        <v>0</v>
      </c>
      <c r="AL169" s="119">
        <f t="shared" si="115"/>
        <v>0</v>
      </c>
      <c r="AM169" s="119">
        <f t="shared" si="115"/>
        <v>0</v>
      </c>
      <c r="AN169" s="119">
        <f t="shared" si="115"/>
        <v>0</v>
      </c>
      <c r="AO169" s="119">
        <f t="shared" si="115"/>
        <v>0</v>
      </c>
      <c r="AP169" s="119">
        <f t="shared" si="115"/>
        <v>0</v>
      </c>
      <c r="AQ169" s="117"/>
      <c r="AR169" s="117"/>
      <c r="AS169" s="117"/>
      <c r="AT169" s="117"/>
      <c r="AU169" s="117"/>
      <c r="AV169" s="117"/>
    </row>
    <row r="170" ht="12.75" hidden="1" customHeight="1" outlineLevel="1">
      <c r="A170" s="90"/>
      <c r="B170" s="90"/>
      <c r="C170" s="90"/>
      <c r="D170" s="66" t="s">
        <v>334</v>
      </c>
      <c r="F170" s="229"/>
      <c r="G170" s="230"/>
      <c r="H170" s="142"/>
      <c r="I170" s="142"/>
      <c r="J170" s="142"/>
      <c r="K170" s="142">
        <f t="shared" ref="K170:AP170" si="116">SUM(K165:K169)</f>
        <v>0</v>
      </c>
      <c r="L170" s="142">
        <f t="shared" si="116"/>
        <v>0</v>
      </c>
      <c r="M170" s="115">
        <f t="shared" si="116"/>
        <v>35000</v>
      </c>
      <c r="N170" s="115">
        <f t="shared" si="116"/>
        <v>20000</v>
      </c>
      <c r="O170" s="115">
        <f t="shared" si="116"/>
        <v>30000</v>
      </c>
      <c r="P170" s="115">
        <f t="shared" si="116"/>
        <v>35000</v>
      </c>
      <c r="Q170" s="115">
        <f t="shared" si="116"/>
        <v>25000</v>
      </c>
      <c r="R170" s="115">
        <f t="shared" si="116"/>
        <v>30500</v>
      </c>
      <c r="S170" s="115">
        <f t="shared" si="116"/>
        <v>31010</v>
      </c>
      <c r="T170" s="115">
        <f t="shared" si="116"/>
        <v>31530.2</v>
      </c>
      <c r="U170" s="115">
        <f t="shared" si="116"/>
        <v>32060.804</v>
      </c>
      <c r="V170" s="115">
        <f t="shared" si="116"/>
        <v>32602.02008</v>
      </c>
      <c r="W170" s="115">
        <f t="shared" si="116"/>
        <v>33154.06048</v>
      </c>
      <c r="X170" s="115">
        <f t="shared" si="116"/>
        <v>33717.14169</v>
      </c>
      <c r="Y170" s="115">
        <f t="shared" si="116"/>
        <v>34291.48453</v>
      </c>
      <c r="Z170" s="115">
        <f t="shared" si="116"/>
        <v>34877.31422</v>
      </c>
      <c r="AA170" s="115">
        <f t="shared" si="116"/>
        <v>35474.8605</v>
      </c>
      <c r="AB170" s="115">
        <f t="shared" si="116"/>
        <v>36084.35771</v>
      </c>
      <c r="AC170" s="115">
        <f t="shared" si="116"/>
        <v>36706.04486</v>
      </c>
      <c r="AD170" s="115">
        <f t="shared" si="116"/>
        <v>37340.16576</v>
      </c>
      <c r="AE170" s="115">
        <f t="shared" si="116"/>
        <v>37986.96908</v>
      </c>
      <c r="AF170" s="115">
        <f t="shared" si="116"/>
        <v>38646.70846</v>
      </c>
      <c r="AG170" s="115">
        <f t="shared" si="116"/>
        <v>39319.64263</v>
      </c>
      <c r="AH170" s="115">
        <f t="shared" si="116"/>
        <v>40006.03548</v>
      </c>
      <c r="AI170" s="115">
        <f t="shared" si="116"/>
        <v>40706.15619</v>
      </c>
      <c r="AJ170" s="115">
        <f t="shared" si="116"/>
        <v>41420.27931</v>
      </c>
      <c r="AK170" s="115">
        <f t="shared" si="116"/>
        <v>42148.6849</v>
      </c>
      <c r="AL170" s="115">
        <f t="shared" si="116"/>
        <v>42891.6586</v>
      </c>
      <c r="AM170" s="115">
        <f t="shared" si="116"/>
        <v>43346.3585</v>
      </c>
      <c r="AN170" s="115">
        <f t="shared" si="116"/>
        <v>43810.1524</v>
      </c>
      <c r="AO170" s="115">
        <f t="shared" si="116"/>
        <v>44283.22218</v>
      </c>
      <c r="AP170" s="115" t="str">
        <f t="shared" si="116"/>
        <v>#REF!</v>
      </c>
      <c r="AQ170" s="142"/>
      <c r="AR170" s="142"/>
      <c r="AS170" s="142"/>
      <c r="AT170" s="142"/>
      <c r="AU170" s="142"/>
      <c r="AV170" s="142"/>
    </row>
    <row r="171" ht="12.75" hidden="1" customHeight="1" outlineLevel="1">
      <c r="A171" s="90"/>
      <c r="B171" s="90"/>
      <c r="C171" s="90"/>
      <c r="F171" s="90"/>
      <c r="G171" s="90"/>
      <c r="H171" s="90"/>
      <c r="M171" s="93"/>
      <c r="N171" s="93"/>
      <c r="O171" s="93"/>
      <c r="P171" s="93"/>
      <c r="Q171" s="93"/>
      <c r="R171" s="93"/>
      <c r="S171" s="93"/>
      <c r="T171" s="93"/>
      <c r="U171" s="93"/>
      <c r="V171" s="93"/>
      <c r="W171" s="93"/>
      <c r="X171" s="93"/>
      <c r="Y171" s="93"/>
      <c r="Z171" s="93"/>
      <c r="AA171" s="93"/>
      <c r="AB171" s="93"/>
      <c r="AC171" s="93"/>
      <c r="AD171" s="93"/>
      <c r="AE171" s="93"/>
      <c r="AF171" s="93"/>
      <c r="AG171" s="93"/>
      <c r="AH171" s="93"/>
      <c r="AI171" s="93"/>
      <c r="AJ171" s="93"/>
      <c r="AK171" s="93"/>
      <c r="AL171" s="93"/>
      <c r="AM171" s="93"/>
      <c r="AN171" s="93"/>
      <c r="AO171" s="93"/>
      <c r="AP171" s="93"/>
    </row>
    <row r="172" ht="12.75" hidden="1" customHeight="1" outlineLevel="1">
      <c r="A172" s="90"/>
      <c r="B172" s="90"/>
      <c r="C172" s="90"/>
      <c r="D172" s="66" t="s">
        <v>335</v>
      </c>
      <c r="F172" s="90"/>
      <c r="G172" s="90"/>
      <c r="H172" s="90"/>
      <c r="M172" s="93"/>
      <c r="N172" s="93"/>
      <c r="O172" s="93"/>
      <c r="P172" s="93"/>
      <c r="Q172" s="93"/>
      <c r="R172" s="93"/>
      <c r="S172" s="93"/>
      <c r="T172" s="93"/>
      <c r="U172" s="93"/>
      <c r="V172" s="93"/>
      <c r="W172" s="93"/>
      <c r="X172" s="93"/>
      <c r="Y172" s="93"/>
      <c r="Z172" s="93"/>
      <c r="AA172" s="93"/>
      <c r="AB172" s="93"/>
      <c r="AC172" s="93"/>
      <c r="AD172" s="93"/>
      <c r="AE172" s="93"/>
      <c r="AF172" s="93"/>
      <c r="AG172" s="93"/>
      <c r="AH172" s="93"/>
      <c r="AI172" s="93"/>
      <c r="AJ172" s="93"/>
      <c r="AK172" s="93"/>
      <c r="AL172" s="93"/>
      <c r="AM172" s="93"/>
      <c r="AN172" s="93"/>
      <c r="AO172" s="93"/>
      <c r="AP172" s="93"/>
    </row>
    <row r="173" ht="12.75" hidden="1" customHeight="1" outlineLevel="1">
      <c r="A173" s="90"/>
      <c r="B173" s="90"/>
      <c r="C173" s="90"/>
      <c r="E173" s="68" t="s">
        <v>336</v>
      </c>
      <c r="F173" s="229"/>
      <c r="G173" s="230"/>
      <c r="H173" s="113"/>
      <c r="I173" s="113"/>
      <c r="J173" s="113"/>
      <c r="K173" s="113" t="str">
        <f t="shared" ref="K173:L173" si="117">J173</f>
        <v/>
      </c>
      <c r="L173" s="113" t="str">
        <f t="shared" si="117"/>
        <v/>
      </c>
      <c r="M173" s="93">
        <v>5000.0</v>
      </c>
      <c r="N173" s="93">
        <v>6000.0</v>
      </c>
      <c r="O173" s="93">
        <v>10000.0</v>
      </c>
      <c r="P173" s="93">
        <v>15000.0</v>
      </c>
      <c r="Q173" s="93">
        <v>20000.0</v>
      </c>
      <c r="R173" s="93">
        <f>Q173*1.02</f>
        <v>20400</v>
      </c>
      <c r="S173" s="93">
        <f t="shared" ref="S173:AP173" si="118">R173*S$6/R$6*S$28/R$28</f>
        <v>34272</v>
      </c>
      <c r="T173" s="93">
        <f t="shared" si="118"/>
        <v>56181.6</v>
      </c>
      <c r="U173" s="93">
        <f t="shared" si="118"/>
        <v>85957.848</v>
      </c>
      <c r="V173" s="93">
        <f t="shared" si="118"/>
        <v>116902.6733</v>
      </c>
      <c r="W173" s="93">
        <f t="shared" si="118"/>
        <v>162962.3266</v>
      </c>
      <c r="X173" s="93">
        <f t="shared" si="118"/>
        <v>220277.3692</v>
      </c>
      <c r="Y173" s="93">
        <f t="shared" si="118"/>
        <v>322550.9355</v>
      </c>
      <c r="Z173" s="93">
        <f t="shared" si="118"/>
        <v>464680.1105</v>
      </c>
      <c r="AA173" s="93">
        <f t="shared" si="118"/>
        <v>647501.1537</v>
      </c>
      <c r="AB173" s="93">
        <f t="shared" si="118"/>
        <v>860122.4627</v>
      </c>
      <c r="AC173" s="93">
        <f t="shared" si="118"/>
        <v>1119036.878</v>
      </c>
      <c r="AD173" s="93">
        <f t="shared" si="118"/>
        <v>1407748.392</v>
      </c>
      <c r="AE173" s="93">
        <f t="shared" si="118"/>
        <v>1703679.932</v>
      </c>
      <c r="AF173" s="93">
        <f t="shared" si="118"/>
        <v>1953092.465</v>
      </c>
      <c r="AG173" s="93">
        <f t="shared" si="118"/>
        <v>2018802.507</v>
      </c>
      <c r="AH173" s="93">
        <f t="shared" si="118"/>
        <v>2059178.558</v>
      </c>
      <c r="AI173" s="93">
        <f t="shared" si="118"/>
        <v>2100362.129</v>
      </c>
      <c r="AJ173" s="93">
        <f t="shared" si="118"/>
        <v>2142369.371</v>
      </c>
      <c r="AK173" s="93">
        <f t="shared" si="118"/>
        <v>2185216.759</v>
      </c>
      <c r="AL173" s="93">
        <f t="shared" si="118"/>
        <v>2228921.094</v>
      </c>
      <c r="AM173" s="93">
        <f t="shared" si="118"/>
        <v>2273499.516</v>
      </c>
      <c r="AN173" s="93">
        <f t="shared" si="118"/>
        <v>2318969.506</v>
      </c>
      <c r="AO173" s="93">
        <f t="shared" si="118"/>
        <v>2365348.896</v>
      </c>
      <c r="AP173" s="93">
        <f t="shared" si="118"/>
        <v>2412655.874</v>
      </c>
      <c r="AQ173" s="113"/>
      <c r="AR173" s="113"/>
      <c r="AS173" s="113"/>
      <c r="AT173" s="113"/>
      <c r="AU173" s="113"/>
      <c r="AV173" s="113"/>
    </row>
    <row r="174" ht="12.75" hidden="1" customHeight="1" outlineLevel="1">
      <c r="A174" s="90"/>
      <c r="B174" s="67"/>
      <c r="C174" s="90"/>
      <c r="E174" s="68" t="s">
        <v>337</v>
      </c>
      <c r="F174" s="229"/>
      <c r="G174" s="230"/>
      <c r="H174" s="113"/>
      <c r="I174" s="113"/>
      <c r="J174" s="113"/>
      <c r="K174" s="113" t="str">
        <f t="shared" ref="K174:L174" si="119">J174</f>
        <v/>
      </c>
      <c r="L174" s="113" t="str">
        <f t="shared" si="119"/>
        <v/>
      </c>
      <c r="M174" s="93">
        <v>3000.0</v>
      </c>
      <c r="N174" s="93">
        <v>3000.0</v>
      </c>
      <c r="O174" s="93">
        <v>10000.0</v>
      </c>
      <c r="P174" s="93">
        <v>10000.0</v>
      </c>
      <c r="Q174" s="93">
        <v>15000.0</v>
      </c>
      <c r="R174" s="93">
        <f t="shared" ref="R174:AP174" si="120">Q174*R$6/Q$6*R$28/Q$28</f>
        <v>24771.42857</v>
      </c>
      <c r="S174" s="93">
        <f t="shared" si="120"/>
        <v>41616</v>
      </c>
      <c r="T174" s="93">
        <f t="shared" si="120"/>
        <v>68220.51429</v>
      </c>
      <c r="U174" s="93">
        <f t="shared" si="120"/>
        <v>104377.3869</v>
      </c>
      <c r="V174" s="93">
        <f t="shared" si="120"/>
        <v>141953.2461</v>
      </c>
      <c r="W174" s="93">
        <f t="shared" si="120"/>
        <v>197882.8251</v>
      </c>
      <c r="X174" s="93">
        <f t="shared" si="120"/>
        <v>267479.6626</v>
      </c>
      <c r="Y174" s="93">
        <f t="shared" si="120"/>
        <v>391668.9931</v>
      </c>
      <c r="Z174" s="93">
        <f t="shared" si="120"/>
        <v>564254.4199</v>
      </c>
      <c r="AA174" s="93">
        <f t="shared" si="120"/>
        <v>786251.4009</v>
      </c>
      <c r="AB174" s="93">
        <f t="shared" si="120"/>
        <v>1044434.419</v>
      </c>
      <c r="AC174" s="93">
        <f t="shared" si="120"/>
        <v>1358830.494</v>
      </c>
      <c r="AD174" s="93">
        <f t="shared" si="120"/>
        <v>1709408.762</v>
      </c>
      <c r="AE174" s="93">
        <f t="shared" si="120"/>
        <v>2068754.204</v>
      </c>
      <c r="AF174" s="93">
        <f t="shared" si="120"/>
        <v>2371612.279</v>
      </c>
      <c r="AG174" s="93">
        <f t="shared" si="120"/>
        <v>2451403.045</v>
      </c>
      <c r="AH174" s="93">
        <f t="shared" si="120"/>
        <v>2500431.106</v>
      </c>
      <c r="AI174" s="93">
        <f t="shared" si="120"/>
        <v>2550439.728</v>
      </c>
      <c r="AJ174" s="93">
        <f t="shared" si="120"/>
        <v>2601448.522</v>
      </c>
      <c r="AK174" s="93">
        <f t="shared" si="120"/>
        <v>2653477.493</v>
      </c>
      <c r="AL174" s="93">
        <f t="shared" si="120"/>
        <v>2706547.043</v>
      </c>
      <c r="AM174" s="93">
        <f t="shared" si="120"/>
        <v>2760677.984</v>
      </c>
      <c r="AN174" s="93">
        <f t="shared" si="120"/>
        <v>2815891.543</v>
      </c>
      <c r="AO174" s="93">
        <f t="shared" si="120"/>
        <v>2872209.374</v>
      </c>
      <c r="AP174" s="93">
        <f t="shared" si="120"/>
        <v>2929653.562</v>
      </c>
      <c r="AQ174" s="113"/>
      <c r="AR174" s="113"/>
      <c r="AS174" s="113"/>
      <c r="AT174" s="113"/>
      <c r="AU174" s="113"/>
      <c r="AV174" s="113"/>
    </row>
    <row r="175" ht="12.75" hidden="1" customHeight="1" outlineLevel="1">
      <c r="A175" s="90"/>
      <c r="B175" s="90"/>
      <c r="C175" s="90"/>
      <c r="E175" s="68" t="s">
        <v>338</v>
      </c>
      <c r="F175" s="229"/>
      <c r="G175" s="230"/>
      <c r="H175" s="113"/>
      <c r="I175" s="113"/>
      <c r="J175" s="113"/>
      <c r="K175" s="113" t="str">
        <f t="shared" ref="K175:L175" si="121">J175</f>
        <v/>
      </c>
      <c r="L175" s="113" t="str">
        <f t="shared" si="121"/>
        <v/>
      </c>
      <c r="M175" s="93">
        <v>5000.0</v>
      </c>
      <c r="N175" s="93">
        <v>7000.0</v>
      </c>
      <c r="O175" s="93">
        <v>10000.0</v>
      </c>
      <c r="P175" s="93">
        <v>10000.0</v>
      </c>
      <c r="Q175" s="93">
        <v>15000.0</v>
      </c>
      <c r="R175" s="93">
        <f t="shared" ref="R175:AP175" si="122">Q175*R$6/Q$6*R$28/Q$28</f>
        <v>24771.42857</v>
      </c>
      <c r="S175" s="93">
        <f t="shared" si="122"/>
        <v>41616</v>
      </c>
      <c r="T175" s="93">
        <f t="shared" si="122"/>
        <v>68220.51429</v>
      </c>
      <c r="U175" s="93">
        <f t="shared" si="122"/>
        <v>104377.3869</v>
      </c>
      <c r="V175" s="93">
        <f t="shared" si="122"/>
        <v>141953.2461</v>
      </c>
      <c r="W175" s="93">
        <f t="shared" si="122"/>
        <v>197882.8251</v>
      </c>
      <c r="X175" s="93">
        <f t="shared" si="122"/>
        <v>267479.6626</v>
      </c>
      <c r="Y175" s="93">
        <f t="shared" si="122"/>
        <v>391668.9931</v>
      </c>
      <c r="Z175" s="93">
        <f t="shared" si="122"/>
        <v>564254.4199</v>
      </c>
      <c r="AA175" s="93">
        <f t="shared" si="122"/>
        <v>786251.4009</v>
      </c>
      <c r="AB175" s="93">
        <f t="shared" si="122"/>
        <v>1044434.419</v>
      </c>
      <c r="AC175" s="93">
        <f t="shared" si="122"/>
        <v>1358830.494</v>
      </c>
      <c r="AD175" s="93">
        <f t="shared" si="122"/>
        <v>1709408.762</v>
      </c>
      <c r="AE175" s="93">
        <f t="shared" si="122"/>
        <v>2068754.204</v>
      </c>
      <c r="AF175" s="93">
        <f t="shared" si="122"/>
        <v>2371612.279</v>
      </c>
      <c r="AG175" s="93">
        <f t="shared" si="122"/>
        <v>2451403.045</v>
      </c>
      <c r="AH175" s="93">
        <f t="shared" si="122"/>
        <v>2500431.106</v>
      </c>
      <c r="AI175" s="93">
        <f t="shared" si="122"/>
        <v>2550439.728</v>
      </c>
      <c r="AJ175" s="93">
        <f t="shared" si="122"/>
        <v>2601448.522</v>
      </c>
      <c r="AK175" s="93">
        <f t="shared" si="122"/>
        <v>2653477.493</v>
      </c>
      <c r="AL175" s="93">
        <f t="shared" si="122"/>
        <v>2706547.043</v>
      </c>
      <c r="AM175" s="93">
        <f t="shared" si="122"/>
        <v>2760677.984</v>
      </c>
      <c r="AN175" s="93">
        <f t="shared" si="122"/>
        <v>2815891.543</v>
      </c>
      <c r="AO175" s="93">
        <f t="shared" si="122"/>
        <v>2872209.374</v>
      </c>
      <c r="AP175" s="93">
        <f t="shared" si="122"/>
        <v>2929653.562</v>
      </c>
      <c r="AQ175" s="113"/>
      <c r="AR175" s="113"/>
      <c r="AS175" s="113"/>
      <c r="AT175" s="113"/>
      <c r="AU175" s="113"/>
      <c r="AV175" s="113"/>
    </row>
    <row r="176" ht="12.75" hidden="1" customHeight="1" outlineLevel="1">
      <c r="A176" s="90"/>
      <c r="B176" s="90"/>
      <c r="C176" s="90"/>
      <c r="E176" s="87" t="s">
        <v>339</v>
      </c>
      <c r="F176" s="227"/>
      <c r="G176" s="231">
        <v>5000.0</v>
      </c>
      <c r="H176" s="232" t="s">
        <v>340</v>
      </c>
      <c r="I176" s="117"/>
      <c r="J176" s="117"/>
      <c r="K176" s="117" t="str">
        <f t="shared" ref="K176:L176" si="123">J176</f>
        <v/>
      </c>
      <c r="L176" s="117" t="str">
        <f t="shared" si="123"/>
        <v/>
      </c>
      <c r="M176" s="119">
        <f t="shared" ref="M176:AL176" si="124">MAX(L176,$G176*(N6-M6))*M28</f>
        <v>10000</v>
      </c>
      <c r="N176" s="119">
        <f t="shared" si="124"/>
        <v>15000</v>
      </c>
      <c r="O176" s="119">
        <f t="shared" si="124"/>
        <v>25000</v>
      </c>
      <c r="P176" s="119">
        <f t="shared" si="124"/>
        <v>40000</v>
      </c>
      <c r="Q176" s="119">
        <f t="shared" si="124"/>
        <v>65000</v>
      </c>
      <c r="R176" s="119">
        <f t="shared" si="124"/>
        <v>112200</v>
      </c>
      <c r="S176" s="119">
        <f t="shared" si="124"/>
        <v>176868</v>
      </c>
      <c r="T176" s="119">
        <f t="shared" si="124"/>
        <v>238771.8</v>
      </c>
      <c r="U176" s="119">
        <f t="shared" si="124"/>
        <v>258454.2752</v>
      </c>
      <c r="V176" s="119">
        <f t="shared" si="124"/>
        <v>364346.6651</v>
      </c>
      <c r="W176" s="119">
        <f t="shared" si="124"/>
        <v>450464.9677</v>
      </c>
      <c r="X176" s="119">
        <f t="shared" si="124"/>
        <v>815566.824</v>
      </c>
      <c r="Y176" s="119">
        <f t="shared" si="124"/>
        <v>1130651.303</v>
      </c>
      <c r="Z176" s="119">
        <f t="shared" si="124"/>
        <v>1446062.008</v>
      </c>
      <c r="AA176" s="119">
        <f t="shared" si="124"/>
        <v>1762741.519</v>
      </c>
      <c r="AB176" s="119">
        <f t="shared" si="124"/>
        <v>2191747.517</v>
      </c>
      <c r="AC176" s="119">
        <f t="shared" si="124"/>
        <v>2779665.804</v>
      </c>
      <c r="AD176" s="119">
        <f t="shared" si="124"/>
        <v>3595794.114</v>
      </c>
      <c r="AE176" s="119">
        <f t="shared" si="124"/>
        <v>4744573.97</v>
      </c>
      <c r="AF176" s="119">
        <f t="shared" si="124"/>
        <v>6385571.885</v>
      </c>
      <c r="AG176" s="119">
        <f t="shared" si="124"/>
        <v>8766021.803</v>
      </c>
      <c r="AH176" s="119">
        <f t="shared" si="124"/>
        <v>12274546.81</v>
      </c>
      <c r="AI176" s="119">
        <f t="shared" si="124"/>
        <v>17531075.42</v>
      </c>
      <c r="AJ176" s="119">
        <f t="shared" si="124"/>
        <v>25539466.54</v>
      </c>
      <c r="AK176" s="119">
        <f t="shared" si="124"/>
        <v>37950303.8</v>
      </c>
      <c r="AL176" s="119">
        <f t="shared" si="124"/>
        <v>57519998.21</v>
      </c>
      <c r="AM176" s="93">
        <f t="shared" ref="AM176:AP176" si="125">$G176*AM$6/10*AM$28</f>
        <v>1932474.588</v>
      </c>
      <c r="AN176" s="93">
        <f t="shared" si="125"/>
        <v>1971124.08</v>
      </c>
      <c r="AO176" s="93">
        <f t="shared" si="125"/>
        <v>2010546.562</v>
      </c>
      <c r="AP176" s="93">
        <f t="shared" si="125"/>
        <v>2050757.493</v>
      </c>
      <c r="AQ176" s="113"/>
      <c r="AR176" s="113"/>
      <c r="AS176" s="113"/>
      <c r="AT176" s="113"/>
      <c r="AU176" s="113"/>
      <c r="AV176" s="113"/>
    </row>
    <row r="177" ht="12.75" hidden="1" customHeight="1" outlineLevel="1">
      <c r="A177" s="90"/>
      <c r="B177" s="90"/>
      <c r="C177" s="90"/>
      <c r="D177" s="66" t="s">
        <v>341</v>
      </c>
      <c r="F177" s="229"/>
      <c r="G177" s="230"/>
      <c r="H177" s="142"/>
      <c r="I177" s="142"/>
      <c r="J177" s="142"/>
      <c r="K177" s="142">
        <f t="shared" ref="K177:AP177" si="126">SUM(K173:K176)</f>
        <v>0</v>
      </c>
      <c r="L177" s="142">
        <f t="shared" si="126"/>
        <v>0</v>
      </c>
      <c r="M177" s="115">
        <f t="shared" si="126"/>
        <v>23000</v>
      </c>
      <c r="N177" s="115">
        <f t="shared" si="126"/>
        <v>31000</v>
      </c>
      <c r="O177" s="115">
        <f t="shared" si="126"/>
        <v>55000</v>
      </c>
      <c r="P177" s="115">
        <f t="shared" si="126"/>
        <v>75000</v>
      </c>
      <c r="Q177" s="115">
        <f t="shared" si="126"/>
        <v>115000</v>
      </c>
      <c r="R177" s="115">
        <f t="shared" si="126"/>
        <v>182142.8571</v>
      </c>
      <c r="S177" s="115">
        <f t="shared" si="126"/>
        <v>294372</v>
      </c>
      <c r="T177" s="115">
        <f t="shared" si="126"/>
        <v>431394.4286</v>
      </c>
      <c r="U177" s="115">
        <f t="shared" si="126"/>
        <v>553166.8969</v>
      </c>
      <c r="V177" s="115">
        <f t="shared" si="126"/>
        <v>765155.8306</v>
      </c>
      <c r="W177" s="115">
        <f t="shared" si="126"/>
        <v>1009192.944</v>
      </c>
      <c r="X177" s="115">
        <f t="shared" si="126"/>
        <v>1570803.518</v>
      </c>
      <c r="Y177" s="115">
        <f t="shared" si="126"/>
        <v>2236540.224</v>
      </c>
      <c r="Z177" s="115">
        <f t="shared" si="126"/>
        <v>3039250.958</v>
      </c>
      <c r="AA177" s="115">
        <f t="shared" si="126"/>
        <v>3982745.474</v>
      </c>
      <c r="AB177" s="115">
        <f t="shared" si="126"/>
        <v>5140738.818</v>
      </c>
      <c r="AC177" s="115">
        <f t="shared" si="126"/>
        <v>6616363.67</v>
      </c>
      <c r="AD177" s="115">
        <f t="shared" si="126"/>
        <v>8422360.03</v>
      </c>
      <c r="AE177" s="115">
        <f t="shared" si="126"/>
        <v>10585762.31</v>
      </c>
      <c r="AF177" s="115">
        <f t="shared" si="126"/>
        <v>13081888.91</v>
      </c>
      <c r="AG177" s="115">
        <f t="shared" si="126"/>
        <v>15687630.4</v>
      </c>
      <c r="AH177" s="115">
        <f t="shared" si="126"/>
        <v>19334587.58</v>
      </c>
      <c r="AI177" s="115">
        <f t="shared" si="126"/>
        <v>24732317.01</v>
      </c>
      <c r="AJ177" s="115">
        <f t="shared" si="126"/>
        <v>32884732.96</v>
      </c>
      <c r="AK177" s="115">
        <f t="shared" si="126"/>
        <v>45442475.55</v>
      </c>
      <c r="AL177" s="115">
        <f t="shared" si="126"/>
        <v>65162013.39</v>
      </c>
      <c r="AM177" s="115">
        <f t="shared" si="126"/>
        <v>9727330.071</v>
      </c>
      <c r="AN177" s="115">
        <f t="shared" si="126"/>
        <v>9921876.673</v>
      </c>
      <c r="AO177" s="115">
        <f t="shared" si="126"/>
        <v>10120314.21</v>
      </c>
      <c r="AP177" s="115">
        <f t="shared" si="126"/>
        <v>10322720.49</v>
      </c>
      <c r="AQ177" s="142"/>
      <c r="AR177" s="142"/>
      <c r="AS177" s="142"/>
      <c r="AT177" s="142"/>
      <c r="AU177" s="142"/>
      <c r="AV177" s="142"/>
    </row>
    <row r="178" ht="12.75" hidden="1" customHeight="1" outlineLevel="1">
      <c r="A178" s="90"/>
      <c r="B178" s="90"/>
      <c r="C178" s="90"/>
      <c r="D178" s="90"/>
      <c r="E178" s="90"/>
      <c r="F178" s="90"/>
      <c r="G178" s="90"/>
      <c r="H178" s="90"/>
      <c r="I178" s="196"/>
      <c r="J178" s="99"/>
      <c r="K178" s="99"/>
      <c r="L178" s="99"/>
      <c r="M178" s="93"/>
      <c r="N178" s="93"/>
      <c r="O178" s="93"/>
      <c r="P178" s="93"/>
      <c r="Q178" s="93"/>
      <c r="R178" s="93"/>
      <c r="S178" s="93"/>
      <c r="T178" s="93"/>
      <c r="U178" s="93"/>
      <c r="V178" s="93"/>
      <c r="W178" s="93"/>
      <c r="X178" s="93"/>
      <c r="Y178" s="93"/>
      <c r="Z178" s="93"/>
      <c r="AA178" s="93"/>
      <c r="AB178" s="93"/>
      <c r="AC178" s="93"/>
      <c r="AD178" s="93"/>
      <c r="AE178" s="93"/>
      <c r="AF178" s="93"/>
      <c r="AG178" s="93"/>
      <c r="AH178" s="93"/>
      <c r="AI178" s="93"/>
      <c r="AJ178" s="93"/>
      <c r="AK178" s="93"/>
      <c r="AL178" s="93"/>
      <c r="AM178" s="93"/>
      <c r="AN178" s="93"/>
      <c r="AO178" s="93"/>
      <c r="AP178" s="93"/>
      <c r="AQ178" s="99"/>
      <c r="AR178" s="99"/>
      <c r="AS178" s="99"/>
      <c r="AT178" s="99"/>
      <c r="AU178" s="99"/>
      <c r="AV178" s="99"/>
    </row>
    <row r="179" ht="12.75" hidden="1" customHeight="1" outlineLevel="1">
      <c r="A179" s="90"/>
      <c r="B179" s="90"/>
      <c r="C179" s="90"/>
      <c r="D179" s="66" t="s">
        <v>342</v>
      </c>
      <c r="F179" s="90"/>
      <c r="G179" s="90" t="s">
        <v>318</v>
      </c>
      <c r="H179" s="90"/>
      <c r="I179" s="196"/>
      <c r="J179" s="99"/>
      <c r="K179" s="99"/>
      <c r="L179" s="99"/>
      <c r="M179" s="103">
        <f>SUM('National Staffing'!K55:K64)</f>
        <v>3</v>
      </c>
      <c r="N179" s="103">
        <f>SUM('National Staffing'!L55:L64)</f>
        <v>4</v>
      </c>
      <c r="O179" s="103">
        <f>SUM('National Staffing'!M55:M64)</f>
        <v>4</v>
      </c>
      <c r="P179" s="103">
        <f>SUM('National Staffing'!N55:N64)</f>
        <v>5</v>
      </c>
      <c r="Q179" s="103">
        <f>SUM('National Staffing'!O55:O64)</f>
        <v>5</v>
      </c>
      <c r="R179" s="103">
        <f>SUM('National Staffing'!P55:P64)</f>
        <v>6</v>
      </c>
      <c r="S179" s="103">
        <f>SUM('National Staffing'!Q55:Q64)</f>
        <v>8</v>
      </c>
      <c r="T179" s="103">
        <f>SUM('National Staffing'!R55:R64)</f>
        <v>12</v>
      </c>
      <c r="U179" s="103">
        <f>SUM('National Staffing'!S55:S64)</f>
        <v>13</v>
      </c>
      <c r="V179" s="103">
        <f>SUM('National Staffing'!T55:T64)</f>
        <v>23</v>
      </c>
      <c r="W179" s="103">
        <f>SUM('National Staffing'!U55:U64)</f>
        <v>32</v>
      </c>
      <c r="X179" s="103">
        <f>SUM('National Staffing'!V55:V64)</f>
        <v>32</v>
      </c>
      <c r="Y179" s="103">
        <f>SUM('National Staffing'!W55:W64)</f>
        <v>32</v>
      </c>
      <c r="Z179" s="103">
        <f>SUM('National Staffing'!X55:X64)</f>
        <v>32</v>
      </c>
      <c r="AA179" s="103">
        <f>SUM('National Staffing'!Y55:Y64)</f>
        <v>32</v>
      </c>
      <c r="AB179" s="103">
        <f>SUM('National Staffing'!Z55:Z64)</f>
        <v>32</v>
      </c>
      <c r="AC179" s="103">
        <f>SUM('National Staffing'!AA55:AA64)</f>
        <v>32</v>
      </c>
      <c r="AD179" s="103">
        <f>SUM('National Staffing'!AB55:AB64)</f>
        <v>32</v>
      </c>
      <c r="AE179" s="103">
        <f>SUM('National Staffing'!AC55:AC64)</f>
        <v>32</v>
      </c>
      <c r="AF179" s="103">
        <f>SUM('National Staffing'!AD55:AD64)</f>
        <v>32</v>
      </c>
      <c r="AG179" s="103">
        <f>SUM('National Staffing'!AE55:AE64)</f>
        <v>32</v>
      </c>
      <c r="AH179" s="103">
        <f>SUM('National Staffing'!AF55:AF64)</f>
        <v>32</v>
      </c>
      <c r="AI179" s="103">
        <f>SUM('National Staffing'!AG55:AG64)</f>
        <v>32</v>
      </c>
      <c r="AJ179" s="103">
        <f>SUM('National Staffing'!AH55:AH64)</f>
        <v>32</v>
      </c>
      <c r="AK179" s="103">
        <f>SUM('National Staffing'!AI55:AI64)</f>
        <v>32</v>
      </c>
      <c r="AL179" s="103">
        <f>SUM('National Staffing'!AJ55:AJ64)</f>
        <v>32</v>
      </c>
      <c r="AM179" s="93"/>
      <c r="AN179" s="93"/>
      <c r="AO179" s="93"/>
      <c r="AP179" s="93"/>
      <c r="AQ179" s="99"/>
      <c r="AR179" s="99"/>
      <c r="AS179" s="99"/>
      <c r="AT179" s="99"/>
      <c r="AU179" s="99"/>
      <c r="AV179" s="99"/>
    </row>
    <row r="180" ht="12.75" hidden="1" customHeight="1" outlineLevel="1">
      <c r="A180" s="90"/>
      <c r="B180" s="90"/>
      <c r="C180" s="90"/>
      <c r="E180" s="68" t="s">
        <v>343</v>
      </c>
      <c r="F180" s="90"/>
      <c r="G180" s="90"/>
      <c r="H180" s="90"/>
      <c r="I180" s="196"/>
      <c r="J180" s="99"/>
      <c r="K180" s="99"/>
      <c r="L180" s="99"/>
      <c r="M180" s="93">
        <v>3000.0</v>
      </c>
      <c r="N180" s="93">
        <v>0.0</v>
      </c>
      <c r="O180" s="93">
        <v>0.0</v>
      </c>
      <c r="P180" s="93">
        <v>0.0</v>
      </c>
      <c r="Q180" s="93">
        <v>0.0</v>
      </c>
      <c r="R180" s="93">
        <f t="shared" ref="R180:AP180" si="127">Q180</f>
        <v>0</v>
      </c>
      <c r="S180" s="93">
        <f t="shared" si="127"/>
        <v>0</v>
      </c>
      <c r="T180" s="93">
        <f t="shared" si="127"/>
        <v>0</v>
      </c>
      <c r="U180" s="93">
        <f t="shared" si="127"/>
        <v>0</v>
      </c>
      <c r="V180" s="93">
        <f t="shared" si="127"/>
        <v>0</v>
      </c>
      <c r="W180" s="93">
        <f t="shared" si="127"/>
        <v>0</v>
      </c>
      <c r="X180" s="93">
        <f t="shared" si="127"/>
        <v>0</v>
      </c>
      <c r="Y180" s="93">
        <f t="shared" si="127"/>
        <v>0</v>
      </c>
      <c r="Z180" s="93">
        <f t="shared" si="127"/>
        <v>0</v>
      </c>
      <c r="AA180" s="93">
        <f t="shared" si="127"/>
        <v>0</v>
      </c>
      <c r="AB180" s="93">
        <f t="shared" si="127"/>
        <v>0</v>
      </c>
      <c r="AC180" s="93">
        <f t="shared" si="127"/>
        <v>0</v>
      </c>
      <c r="AD180" s="93">
        <f t="shared" si="127"/>
        <v>0</v>
      </c>
      <c r="AE180" s="93">
        <f t="shared" si="127"/>
        <v>0</v>
      </c>
      <c r="AF180" s="93">
        <f t="shared" si="127"/>
        <v>0</v>
      </c>
      <c r="AG180" s="93">
        <f t="shared" si="127"/>
        <v>0</v>
      </c>
      <c r="AH180" s="93">
        <f t="shared" si="127"/>
        <v>0</v>
      </c>
      <c r="AI180" s="93">
        <f t="shared" si="127"/>
        <v>0</v>
      </c>
      <c r="AJ180" s="93">
        <f t="shared" si="127"/>
        <v>0</v>
      </c>
      <c r="AK180" s="93">
        <f t="shared" si="127"/>
        <v>0</v>
      </c>
      <c r="AL180" s="93">
        <f t="shared" si="127"/>
        <v>0</v>
      </c>
      <c r="AM180" s="93">
        <f t="shared" si="127"/>
        <v>0</v>
      </c>
      <c r="AN180" s="93">
        <f t="shared" si="127"/>
        <v>0</v>
      </c>
      <c r="AO180" s="93">
        <f t="shared" si="127"/>
        <v>0</v>
      </c>
      <c r="AP180" s="93">
        <f t="shared" si="127"/>
        <v>0</v>
      </c>
      <c r="AQ180" s="99"/>
      <c r="AR180" s="99"/>
      <c r="AS180" s="99"/>
      <c r="AT180" s="99"/>
      <c r="AU180" s="99"/>
      <c r="AV180" s="99"/>
    </row>
    <row r="181" ht="12.75" hidden="1" customHeight="1" outlineLevel="1">
      <c r="A181" s="90"/>
      <c r="B181" s="90"/>
      <c r="C181" s="90"/>
      <c r="E181" s="68" t="s">
        <v>344</v>
      </c>
      <c r="F181" s="90"/>
      <c r="G181" s="90"/>
      <c r="H181" s="90"/>
      <c r="I181" s="196"/>
      <c r="J181" s="99"/>
      <c r="K181" s="99"/>
      <c r="L181" s="99"/>
      <c r="M181" s="93">
        <v>0.0</v>
      </c>
      <c r="N181" s="93">
        <v>20000.0</v>
      </c>
      <c r="O181" s="93">
        <v>0.0</v>
      </c>
      <c r="P181" s="93">
        <v>0.0</v>
      </c>
      <c r="Q181" s="93">
        <v>0.0</v>
      </c>
      <c r="R181" s="93">
        <f t="shared" ref="R181:AP181" si="128">Q181</f>
        <v>0</v>
      </c>
      <c r="S181" s="93">
        <f t="shared" si="128"/>
        <v>0</v>
      </c>
      <c r="T181" s="93">
        <f t="shared" si="128"/>
        <v>0</v>
      </c>
      <c r="U181" s="93">
        <f t="shared" si="128"/>
        <v>0</v>
      </c>
      <c r="V181" s="93">
        <f t="shared" si="128"/>
        <v>0</v>
      </c>
      <c r="W181" s="93">
        <f t="shared" si="128"/>
        <v>0</v>
      </c>
      <c r="X181" s="93">
        <f t="shared" si="128"/>
        <v>0</v>
      </c>
      <c r="Y181" s="93">
        <f t="shared" si="128"/>
        <v>0</v>
      </c>
      <c r="Z181" s="93">
        <f t="shared" si="128"/>
        <v>0</v>
      </c>
      <c r="AA181" s="93">
        <f t="shared" si="128"/>
        <v>0</v>
      </c>
      <c r="AB181" s="93">
        <f t="shared" si="128"/>
        <v>0</v>
      </c>
      <c r="AC181" s="93">
        <f t="shared" si="128"/>
        <v>0</v>
      </c>
      <c r="AD181" s="93">
        <f t="shared" si="128"/>
        <v>0</v>
      </c>
      <c r="AE181" s="93">
        <f t="shared" si="128"/>
        <v>0</v>
      </c>
      <c r="AF181" s="93">
        <f t="shared" si="128"/>
        <v>0</v>
      </c>
      <c r="AG181" s="93">
        <f t="shared" si="128"/>
        <v>0</v>
      </c>
      <c r="AH181" s="93">
        <f t="shared" si="128"/>
        <v>0</v>
      </c>
      <c r="AI181" s="93">
        <f t="shared" si="128"/>
        <v>0</v>
      </c>
      <c r="AJ181" s="93">
        <f t="shared" si="128"/>
        <v>0</v>
      </c>
      <c r="AK181" s="93">
        <f t="shared" si="128"/>
        <v>0</v>
      </c>
      <c r="AL181" s="93">
        <f t="shared" si="128"/>
        <v>0</v>
      </c>
      <c r="AM181" s="93">
        <f t="shared" si="128"/>
        <v>0</v>
      </c>
      <c r="AN181" s="93">
        <f t="shared" si="128"/>
        <v>0</v>
      </c>
      <c r="AO181" s="93">
        <f t="shared" si="128"/>
        <v>0</v>
      </c>
      <c r="AP181" s="93">
        <f t="shared" si="128"/>
        <v>0</v>
      </c>
      <c r="AQ181" s="99"/>
      <c r="AR181" s="99"/>
      <c r="AS181" s="99"/>
      <c r="AT181" s="99"/>
      <c r="AU181" s="99"/>
      <c r="AV181" s="99"/>
    </row>
    <row r="182" ht="12.75" hidden="1" customHeight="1" outlineLevel="1">
      <c r="A182" s="90"/>
      <c r="B182" s="90"/>
      <c r="C182" s="90"/>
      <c r="E182" s="68" t="s">
        <v>345</v>
      </c>
      <c r="F182" s="90"/>
      <c r="G182" s="90"/>
      <c r="H182" s="90"/>
      <c r="I182" s="196"/>
      <c r="J182" s="99"/>
      <c r="K182" s="99"/>
      <c r="L182" s="99"/>
      <c r="M182" s="93">
        <v>60000.0</v>
      </c>
      <c r="N182" s="93">
        <v>38000.0</v>
      </c>
      <c r="O182" s="93">
        <v>10000.0</v>
      </c>
      <c r="P182" s="93">
        <v>8000.0</v>
      </c>
      <c r="Q182" s="93">
        <v>10000.0</v>
      </c>
      <c r="R182" s="93">
        <f t="shared" ref="R182:AP182" si="129">Q182*R$6/Q$6*R$28/Q$28</f>
        <v>16514.28571</v>
      </c>
      <c r="S182" s="93">
        <f t="shared" si="129"/>
        <v>27744</v>
      </c>
      <c r="T182" s="93">
        <f t="shared" si="129"/>
        <v>45480.34286</v>
      </c>
      <c r="U182" s="93">
        <f t="shared" si="129"/>
        <v>69584.92457</v>
      </c>
      <c r="V182" s="93">
        <f t="shared" si="129"/>
        <v>94635.49742</v>
      </c>
      <c r="W182" s="93">
        <f t="shared" si="129"/>
        <v>131921.8834</v>
      </c>
      <c r="X182" s="93">
        <f t="shared" si="129"/>
        <v>178319.7751</v>
      </c>
      <c r="Y182" s="93">
        <f t="shared" si="129"/>
        <v>261112.6621</v>
      </c>
      <c r="Z182" s="93">
        <f t="shared" si="129"/>
        <v>376169.6133</v>
      </c>
      <c r="AA182" s="93">
        <f t="shared" si="129"/>
        <v>524167.6006</v>
      </c>
      <c r="AB182" s="93">
        <f t="shared" si="129"/>
        <v>696289.6127</v>
      </c>
      <c r="AC182" s="93">
        <f t="shared" si="129"/>
        <v>905886.9961</v>
      </c>
      <c r="AD182" s="93">
        <f t="shared" si="129"/>
        <v>1139605.841</v>
      </c>
      <c r="AE182" s="93">
        <f t="shared" si="129"/>
        <v>1379169.469</v>
      </c>
      <c r="AF182" s="93">
        <f t="shared" si="129"/>
        <v>1581074.853</v>
      </c>
      <c r="AG182" s="93">
        <f t="shared" si="129"/>
        <v>1634268.697</v>
      </c>
      <c r="AH182" s="93">
        <f t="shared" si="129"/>
        <v>1666954.07</v>
      </c>
      <c r="AI182" s="93">
        <f t="shared" si="129"/>
        <v>1700293.152</v>
      </c>
      <c r="AJ182" s="93">
        <f t="shared" si="129"/>
        <v>1734299.015</v>
      </c>
      <c r="AK182" s="93">
        <f t="shared" si="129"/>
        <v>1768984.995</v>
      </c>
      <c r="AL182" s="93">
        <f t="shared" si="129"/>
        <v>1804364.695</v>
      </c>
      <c r="AM182" s="93">
        <f t="shared" si="129"/>
        <v>1840451.989</v>
      </c>
      <c r="AN182" s="93">
        <f t="shared" si="129"/>
        <v>1877261.029</v>
      </c>
      <c r="AO182" s="93">
        <f t="shared" si="129"/>
        <v>1914806.249</v>
      </c>
      <c r="AP182" s="93">
        <f t="shared" si="129"/>
        <v>1953102.374</v>
      </c>
      <c r="AQ182" s="99"/>
      <c r="AR182" s="99"/>
      <c r="AS182" s="99"/>
      <c r="AT182" s="99"/>
      <c r="AU182" s="99"/>
      <c r="AV182" s="99"/>
    </row>
    <row r="183" ht="12.75" hidden="1" customHeight="1" outlineLevel="1">
      <c r="A183" s="90"/>
      <c r="B183" s="90"/>
      <c r="C183" s="90"/>
      <c r="E183" s="90" t="s">
        <v>346</v>
      </c>
      <c r="F183" s="90"/>
      <c r="G183" s="90"/>
      <c r="H183" s="90"/>
      <c r="I183" s="196"/>
      <c r="J183" s="99"/>
      <c r="K183" s="99"/>
      <c r="L183" s="99"/>
      <c r="M183" s="93">
        <v>5000.0</v>
      </c>
      <c r="N183" s="93">
        <f t="shared" ref="N183:Q183" si="130">M183</f>
        <v>5000</v>
      </c>
      <c r="O183" s="93">
        <f t="shared" si="130"/>
        <v>5000</v>
      </c>
      <c r="P183" s="93">
        <f t="shared" si="130"/>
        <v>5000</v>
      </c>
      <c r="Q183" s="93">
        <f t="shared" si="130"/>
        <v>5000</v>
      </c>
      <c r="R183" s="93">
        <f t="shared" ref="R183:AL183" si="131">5000*R$6/10*R$28</f>
        <v>17340</v>
      </c>
      <c r="S183" s="93">
        <f t="shared" si="131"/>
        <v>29131.2</v>
      </c>
      <c r="T183" s="93">
        <f t="shared" si="131"/>
        <v>47754.36</v>
      </c>
      <c r="U183" s="93">
        <f t="shared" si="131"/>
        <v>73064.1708</v>
      </c>
      <c r="V183" s="93">
        <f t="shared" si="131"/>
        <v>99367.27229</v>
      </c>
      <c r="W183" s="93">
        <f t="shared" si="131"/>
        <v>138517.9776</v>
      </c>
      <c r="X183" s="93">
        <f t="shared" si="131"/>
        <v>187235.7638</v>
      </c>
      <c r="Y183" s="93">
        <f t="shared" si="131"/>
        <v>274168.2952</v>
      </c>
      <c r="Z183" s="93">
        <f t="shared" si="131"/>
        <v>394978.0939</v>
      </c>
      <c r="AA183" s="93">
        <f t="shared" si="131"/>
        <v>550375.9806</v>
      </c>
      <c r="AB183" s="93">
        <f t="shared" si="131"/>
        <v>731104.0933</v>
      </c>
      <c r="AC183" s="93">
        <f t="shared" si="131"/>
        <v>951181.3459</v>
      </c>
      <c r="AD183" s="93">
        <f t="shared" si="131"/>
        <v>1196586.133</v>
      </c>
      <c r="AE183" s="93">
        <f t="shared" si="131"/>
        <v>1448127.942</v>
      </c>
      <c r="AF183" s="93">
        <f t="shared" si="131"/>
        <v>1660128.595</v>
      </c>
      <c r="AG183" s="93">
        <f t="shared" si="131"/>
        <v>1715982.131</v>
      </c>
      <c r="AH183" s="93">
        <f t="shared" si="131"/>
        <v>1750301.774</v>
      </c>
      <c r="AI183" s="93">
        <f t="shared" si="131"/>
        <v>1785307.809</v>
      </c>
      <c r="AJ183" s="93">
        <f t="shared" si="131"/>
        <v>1821013.966</v>
      </c>
      <c r="AK183" s="93">
        <f t="shared" si="131"/>
        <v>1857434.245</v>
      </c>
      <c r="AL183" s="93">
        <f t="shared" si="131"/>
        <v>1894582.93</v>
      </c>
      <c r="AM183" s="93">
        <f t="shared" ref="AM183:AP183" si="132">8000*AM6/10*AM28</f>
        <v>3091959.342</v>
      </c>
      <c r="AN183" s="93">
        <f t="shared" si="132"/>
        <v>3153798.528</v>
      </c>
      <c r="AO183" s="93">
        <f t="shared" si="132"/>
        <v>3216874.499</v>
      </c>
      <c r="AP183" s="93">
        <f t="shared" si="132"/>
        <v>3281211.989</v>
      </c>
      <c r="AQ183" s="113"/>
      <c r="AR183" s="113"/>
      <c r="AS183" s="113"/>
      <c r="AT183" s="113"/>
      <c r="AU183" s="113"/>
      <c r="AV183" s="113"/>
    </row>
    <row r="184" ht="12.75" hidden="1" customHeight="1" outlineLevel="1">
      <c r="A184" s="90"/>
      <c r="B184" s="90"/>
      <c r="C184" s="90"/>
      <c r="E184" s="90" t="s">
        <v>347</v>
      </c>
      <c r="F184" s="90"/>
      <c r="G184" s="90"/>
      <c r="H184" s="90"/>
      <c r="I184" s="196"/>
      <c r="J184" s="99"/>
      <c r="K184" s="99"/>
      <c r="L184" s="99"/>
      <c r="M184" s="93">
        <v>10000.0</v>
      </c>
      <c r="N184" s="93">
        <v>0.0</v>
      </c>
      <c r="O184" s="93">
        <v>0.0</v>
      </c>
      <c r="P184" s="93">
        <v>0.0</v>
      </c>
      <c r="Q184" s="93">
        <v>0.0</v>
      </c>
      <c r="R184" s="93">
        <f t="shared" ref="R184:AP184" si="133">Q184</f>
        <v>0</v>
      </c>
      <c r="S184" s="93">
        <f t="shared" si="133"/>
        <v>0</v>
      </c>
      <c r="T184" s="93">
        <f t="shared" si="133"/>
        <v>0</v>
      </c>
      <c r="U184" s="93">
        <f t="shared" si="133"/>
        <v>0</v>
      </c>
      <c r="V184" s="93">
        <f t="shared" si="133"/>
        <v>0</v>
      </c>
      <c r="W184" s="93">
        <f t="shared" si="133"/>
        <v>0</v>
      </c>
      <c r="X184" s="93">
        <f t="shared" si="133"/>
        <v>0</v>
      </c>
      <c r="Y184" s="93">
        <f t="shared" si="133"/>
        <v>0</v>
      </c>
      <c r="Z184" s="93">
        <f t="shared" si="133"/>
        <v>0</v>
      </c>
      <c r="AA184" s="93">
        <f t="shared" si="133"/>
        <v>0</v>
      </c>
      <c r="AB184" s="93">
        <f t="shared" si="133"/>
        <v>0</v>
      </c>
      <c r="AC184" s="93">
        <f t="shared" si="133"/>
        <v>0</v>
      </c>
      <c r="AD184" s="93">
        <f t="shared" si="133"/>
        <v>0</v>
      </c>
      <c r="AE184" s="93">
        <f t="shared" si="133"/>
        <v>0</v>
      </c>
      <c r="AF184" s="93">
        <f t="shared" si="133"/>
        <v>0</v>
      </c>
      <c r="AG184" s="93">
        <f t="shared" si="133"/>
        <v>0</v>
      </c>
      <c r="AH184" s="93">
        <f t="shared" si="133"/>
        <v>0</v>
      </c>
      <c r="AI184" s="93">
        <f t="shared" si="133"/>
        <v>0</v>
      </c>
      <c r="AJ184" s="93">
        <f t="shared" si="133"/>
        <v>0</v>
      </c>
      <c r="AK184" s="93">
        <f t="shared" si="133"/>
        <v>0</v>
      </c>
      <c r="AL184" s="93">
        <f t="shared" si="133"/>
        <v>0</v>
      </c>
      <c r="AM184" s="93">
        <f t="shared" si="133"/>
        <v>0</v>
      </c>
      <c r="AN184" s="93">
        <f t="shared" si="133"/>
        <v>0</v>
      </c>
      <c r="AO184" s="93">
        <f t="shared" si="133"/>
        <v>0</v>
      </c>
      <c r="AP184" s="93">
        <f t="shared" si="133"/>
        <v>0</v>
      </c>
      <c r="AQ184" s="99"/>
      <c r="AR184" s="99"/>
      <c r="AS184" s="99"/>
      <c r="AT184" s="99"/>
      <c r="AU184" s="99"/>
      <c r="AV184" s="99"/>
    </row>
    <row r="185" ht="12.75" hidden="1" customHeight="1" outlineLevel="1">
      <c r="A185" s="90"/>
      <c r="B185" s="90"/>
      <c r="C185" s="90"/>
      <c r="E185" s="90" t="s">
        <v>348</v>
      </c>
      <c r="F185" s="90"/>
      <c r="G185" s="90"/>
      <c r="H185" s="90"/>
      <c r="I185" s="196"/>
      <c r="J185" s="99"/>
      <c r="K185" s="99"/>
      <c r="L185" s="99"/>
      <c r="M185" s="93">
        <v>0.0</v>
      </c>
      <c r="N185" s="93">
        <v>0.0</v>
      </c>
      <c r="O185" s="93">
        <v>0.0</v>
      </c>
      <c r="P185" s="93">
        <v>30000.0</v>
      </c>
      <c r="Q185" s="93">
        <v>30000.0</v>
      </c>
      <c r="R185" s="93">
        <f t="shared" ref="R185:AP185" si="134">Q185*1.02</f>
        <v>30600</v>
      </c>
      <c r="S185" s="93">
        <f t="shared" si="134"/>
        <v>31212</v>
      </c>
      <c r="T185" s="93">
        <f t="shared" si="134"/>
        <v>31836.24</v>
      </c>
      <c r="U185" s="93">
        <f t="shared" si="134"/>
        <v>32472.9648</v>
      </c>
      <c r="V185" s="93">
        <f t="shared" si="134"/>
        <v>33122.4241</v>
      </c>
      <c r="W185" s="93">
        <f t="shared" si="134"/>
        <v>33784.87258</v>
      </c>
      <c r="X185" s="93">
        <f t="shared" si="134"/>
        <v>34460.57003</v>
      </c>
      <c r="Y185" s="93">
        <f t="shared" si="134"/>
        <v>35149.78143</v>
      </c>
      <c r="Z185" s="93">
        <f t="shared" si="134"/>
        <v>35852.77706</v>
      </c>
      <c r="AA185" s="93">
        <f t="shared" si="134"/>
        <v>36569.8326</v>
      </c>
      <c r="AB185" s="93">
        <f t="shared" si="134"/>
        <v>37301.22925</v>
      </c>
      <c r="AC185" s="93">
        <f t="shared" si="134"/>
        <v>38047.25384</v>
      </c>
      <c r="AD185" s="93">
        <f t="shared" si="134"/>
        <v>38808.19891</v>
      </c>
      <c r="AE185" s="93">
        <f t="shared" si="134"/>
        <v>39584.36289</v>
      </c>
      <c r="AF185" s="93">
        <f t="shared" si="134"/>
        <v>40376.05015</v>
      </c>
      <c r="AG185" s="93">
        <f t="shared" si="134"/>
        <v>41183.57115</v>
      </c>
      <c r="AH185" s="93">
        <f t="shared" si="134"/>
        <v>42007.24258</v>
      </c>
      <c r="AI185" s="93">
        <f t="shared" si="134"/>
        <v>42847.38743</v>
      </c>
      <c r="AJ185" s="93">
        <f t="shared" si="134"/>
        <v>43704.33518</v>
      </c>
      <c r="AK185" s="93">
        <f t="shared" si="134"/>
        <v>44578.42188</v>
      </c>
      <c r="AL185" s="93">
        <f t="shared" si="134"/>
        <v>45469.99032</v>
      </c>
      <c r="AM185" s="93">
        <f t="shared" si="134"/>
        <v>46379.39012</v>
      </c>
      <c r="AN185" s="93">
        <f t="shared" si="134"/>
        <v>47306.97793</v>
      </c>
      <c r="AO185" s="93">
        <f t="shared" si="134"/>
        <v>48253.11748</v>
      </c>
      <c r="AP185" s="93">
        <f t="shared" si="134"/>
        <v>49218.17983</v>
      </c>
      <c r="AQ185" s="99"/>
      <c r="AR185" s="99"/>
      <c r="AS185" s="99"/>
      <c r="AT185" s="99"/>
      <c r="AU185" s="99"/>
      <c r="AV185" s="99"/>
    </row>
    <row r="186" ht="12.75" hidden="1" customHeight="1" outlineLevel="1">
      <c r="A186" s="90"/>
      <c r="B186" s="90"/>
      <c r="C186" s="90"/>
      <c r="E186" s="90" t="s">
        <v>349</v>
      </c>
      <c r="F186" s="90"/>
      <c r="G186" s="90"/>
      <c r="H186" s="90"/>
      <c r="I186" s="196"/>
      <c r="J186" s="99"/>
      <c r="K186" s="99"/>
      <c r="L186" s="99"/>
      <c r="M186" s="93">
        <v>0.0</v>
      </c>
      <c r="N186" s="93">
        <v>0.0</v>
      </c>
      <c r="O186" s="93">
        <v>0.0</v>
      </c>
      <c r="P186" s="93">
        <v>0.0</v>
      </c>
      <c r="Q186" s="93">
        <v>15000.0</v>
      </c>
      <c r="R186" s="93">
        <f t="shared" ref="R186:AP186" si="135">Q186*R$6/Q$6*R$28/Q$28</f>
        <v>24771.42857</v>
      </c>
      <c r="S186" s="93">
        <f t="shared" si="135"/>
        <v>41616</v>
      </c>
      <c r="T186" s="93">
        <f t="shared" si="135"/>
        <v>68220.51429</v>
      </c>
      <c r="U186" s="93">
        <f t="shared" si="135"/>
        <v>104377.3869</v>
      </c>
      <c r="V186" s="93">
        <f t="shared" si="135"/>
        <v>141953.2461</v>
      </c>
      <c r="W186" s="93">
        <f t="shared" si="135"/>
        <v>197882.8251</v>
      </c>
      <c r="X186" s="93">
        <f t="shared" si="135"/>
        <v>267479.6626</v>
      </c>
      <c r="Y186" s="93">
        <f t="shared" si="135"/>
        <v>391668.9931</v>
      </c>
      <c r="Z186" s="93">
        <f t="shared" si="135"/>
        <v>564254.4199</v>
      </c>
      <c r="AA186" s="93">
        <f t="shared" si="135"/>
        <v>786251.4009</v>
      </c>
      <c r="AB186" s="93">
        <f t="shared" si="135"/>
        <v>1044434.419</v>
      </c>
      <c r="AC186" s="93">
        <f t="shared" si="135"/>
        <v>1358830.494</v>
      </c>
      <c r="AD186" s="93">
        <f t="shared" si="135"/>
        <v>1709408.762</v>
      </c>
      <c r="AE186" s="93">
        <f t="shared" si="135"/>
        <v>2068754.204</v>
      </c>
      <c r="AF186" s="93">
        <f t="shared" si="135"/>
        <v>2371612.279</v>
      </c>
      <c r="AG186" s="93">
        <f t="shared" si="135"/>
        <v>2451403.045</v>
      </c>
      <c r="AH186" s="93">
        <f t="shared" si="135"/>
        <v>2500431.106</v>
      </c>
      <c r="AI186" s="93">
        <f t="shared" si="135"/>
        <v>2550439.728</v>
      </c>
      <c r="AJ186" s="93">
        <f t="shared" si="135"/>
        <v>2601448.522</v>
      </c>
      <c r="AK186" s="93">
        <f t="shared" si="135"/>
        <v>2653477.493</v>
      </c>
      <c r="AL186" s="93">
        <f t="shared" si="135"/>
        <v>2706547.043</v>
      </c>
      <c r="AM186" s="93">
        <f t="shared" si="135"/>
        <v>2760677.984</v>
      </c>
      <c r="AN186" s="93">
        <f t="shared" si="135"/>
        <v>2815891.543</v>
      </c>
      <c r="AO186" s="93">
        <f t="shared" si="135"/>
        <v>2872209.374</v>
      </c>
      <c r="AP186" s="93">
        <f t="shared" si="135"/>
        <v>2929653.562</v>
      </c>
      <c r="AQ186" s="99"/>
      <c r="AR186" s="99"/>
      <c r="AS186" s="99"/>
      <c r="AT186" s="99"/>
      <c r="AU186" s="99"/>
      <c r="AV186" s="99"/>
    </row>
    <row r="187" ht="12.75" hidden="1" customHeight="1" outlineLevel="1">
      <c r="A187" s="90"/>
      <c r="B187" s="90"/>
      <c r="C187" s="90"/>
      <c r="E187" s="90" t="s">
        <v>350</v>
      </c>
      <c r="F187" s="90"/>
      <c r="G187" s="90"/>
      <c r="H187" s="90"/>
      <c r="I187" s="196"/>
      <c r="J187" s="99"/>
      <c r="K187" s="99"/>
      <c r="L187" s="99"/>
      <c r="M187" s="93">
        <v>7000.0</v>
      </c>
      <c r="N187" s="93">
        <f t="shared" ref="N187:Q187" si="136">M187+($R187-$M187)/5</f>
        <v>19472</v>
      </c>
      <c r="O187" s="93">
        <f t="shared" si="136"/>
        <v>31944</v>
      </c>
      <c r="P187" s="93">
        <f t="shared" si="136"/>
        <v>44416</v>
      </c>
      <c r="Q187" s="93">
        <f t="shared" si="136"/>
        <v>56888</v>
      </c>
      <c r="R187" s="93">
        <f t="shared" ref="R187:AP187" si="137">20000*R$6/10*R$28</f>
        <v>69360</v>
      </c>
      <c r="S187" s="93">
        <f t="shared" si="137"/>
        <v>116524.8</v>
      </c>
      <c r="T187" s="93">
        <f t="shared" si="137"/>
        <v>191017.44</v>
      </c>
      <c r="U187" s="93">
        <f t="shared" si="137"/>
        <v>292256.6832</v>
      </c>
      <c r="V187" s="93">
        <f t="shared" si="137"/>
        <v>397469.0892</v>
      </c>
      <c r="W187" s="93">
        <f t="shared" si="137"/>
        <v>554071.9103</v>
      </c>
      <c r="X187" s="93">
        <f t="shared" si="137"/>
        <v>748943.0553</v>
      </c>
      <c r="Y187" s="93">
        <f t="shared" si="137"/>
        <v>1096673.181</v>
      </c>
      <c r="Z187" s="93">
        <f t="shared" si="137"/>
        <v>1579912.376</v>
      </c>
      <c r="AA187" s="93">
        <f t="shared" si="137"/>
        <v>2201503.923</v>
      </c>
      <c r="AB187" s="93">
        <f t="shared" si="137"/>
        <v>2924416.373</v>
      </c>
      <c r="AC187" s="93">
        <f t="shared" si="137"/>
        <v>3804725.384</v>
      </c>
      <c r="AD187" s="93">
        <f t="shared" si="137"/>
        <v>4786344.533</v>
      </c>
      <c r="AE187" s="93">
        <f t="shared" si="137"/>
        <v>5792511.77</v>
      </c>
      <c r="AF187" s="93">
        <f t="shared" si="137"/>
        <v>6640514.381</v>
      </c>
      <c r="AG187" s="93">
        <f t="shared" si="137"/>
        <v>6863928.525</v>
      </c>
      <c r="AH187" s="93">
        <f t="shared" si="137"/>
        <v>7001207.096</v>
      </c>
      <c r="AI187" s="93">
        <f t="shared" si="137"/>
        <v>7141231.238</v>
      </c>
      <c r="AJ187" s="93">
        <f t="shared" si="137"/>
        <v>7284055.863</v>
      </c>
      <c r="AK187" s="93">
        <f t="shared" si="137"/>
        <v>7429736.98</v>
      </c>
      <c r="AL187" s="93">
        <f t="shared" si="137"/>
        <v>7578331.719</v>
      </c>
      <c r="AM187" s="93">
        <f t="shared" si="137"/>
        <v>7729898.354</v>
      </c>
      <c r="AN187" s="93">
        <f t="shared" si="137"/>
        <v>7884496.321</v>
      </c>
      <c r="AO187" s="93">
        <f t="shared" si="137"/>
        <v>8042186.247</v>
      </c>
      <c r="AP187" s="93">
        <f t="shared" si="137"/>
        <v>8203029.972</v>
      </c>
      <c r="AQ187" s="99"/>
      <c r="AR187" s="99"/>
      <c r="AS187" s="99"/>
      <c r="AT187" s="99"/>
      <c r="AU187" s="99"/>
      <c r="AV187" s="99"/>
    </row>
    <row r="188" ht="12.75" hidden="1" customHeight="1" outlineLevel="1">
      <c r="A188" s="90"/>
      <c r="B188" s="90"/>
      <c r="C188" s="90"/>
      <c r="D188" s="90"/>
      <c r="E188" s="87" t="s">
        <v>351</v>
      </c>
      <c r="F188" s="87"/>
      <c r="G188" s="231">
        <v>750.0</v>
      </c>
      <c r="H188" s="232" t="s">
        <v>352</v>
      </c>
      <c r="I188" s="197"/>
      <c r="J188" s="125"/>
      <c r="K188" s="125"/>
      <c r="L188" s="125"/>
      <c r="M188" s="119">
        <v>10000.0</v>
      </c>
      <c r="N188" s="119">
        <f t="shared" ref="N188:Q188" si="138">M188+($R188-$M188)/5</f>
        <v>13202</v>
      </c>
      <c r="O188" s="119">
        <f t="shared" si="138"/>
        <v>16404</v>
      </c>
      <c r="P188" s="119">
        <f t="shared" si="138"/>
        <v>19606</v>
      </c>
      <c r="Q188" s="119">
        <f t="shared" si="138"/>
        <v>22808</v>
      </c>
      <c r="R188" s="119">
        <f t="shared" ref="R188:AL188" si="139">R6*$G188*R28</f>
        <v>26010</v>
      </c>
      <c r="S188" s="119">
        <f t="shared" si="139"/>
        <v>43696.8</v>
      </c>
      <c r="T188" s="119">
        <f t="shared" si="139"/>
        <v>71631.54</v>
      </c>
      <c r="U188" s="119">
        <f t="shared" si="139"/>
        <v>109596.2562</v>
      </c>
      <c r="V188" s="119">
        <f t="shared" si="139"/>
        <v>149050.9084</v>
      </c>
      <c r="W188" s="119">
        <f t="shared" si="139"/>
        <v>207776.9664</v>
      </c>
      <c r="X188" s="119">
        <f t="shared" si="139"/>
        <v>280853.6457</v>
      </c>
      <c r="Y188" s="119">
        <f t="shared" si="139"/>
        <v>411252.4427</v>
      </c>
      <c r="Z188" s="119">
        <f t="shared" si="139"/>
        <v>592467.1409</v>
      </c>
      <c r="AA188" s="119">
        <f t="shared" si="139"/>
        <v>825563.9709</v>
      </c>
      <c r="AB188" s="119">
        <f t="shared" si="139"/>
        <v>1096656.14</v>
      </c>
      <c r="AC188" s="119">
        <f t="shared" si="139"/>
        <v>1426772.019</v>
      </c>
      <c r="AD188" s="119">
        <f t="shared" si="139"/>
        <v>1794879.2</v>
      </c>
      <c r="AE188" s="119">
        <f t="shared" si="139"/>
        <v>2172191.914</v>
      </c>
      <c r="AF188" s="119">
        <f t="shared" si="139"/>
        <v>2490192.893</v>
      </c>
      <c r="AG188" s="119">
        <f t="shared" si="139"/>
        <v>2573973.197</v>
      </c>
      <c r="AH188" s="119">
        <f t="shared" si="139"/>
        <v>2625452.661</v>
      </c>
      <c r="AI188" s="119">
        <f t="shared" si="139"/>
        <v>2677961.714</v>
      </c>
      <c r="AJ188" s="119">
        <f t="shared" si="139"/>
        <v>2731520.948</v>
      </c>
      <c r="AK188" s="119">
        <f t="shared" si="139"/>
        <v>2786151.367</v>
      </c>
      <c r="AL188" s="119">
        <f t="shared" si="139"/>
        <v>2841874.395</v>
      </c>
      <c r="AM188" s="119">
        <f t="shared" ref="AM188:AP188" si="140">AL188*AM6/AL6*AM28/AL28</f>
        <v>2898711.883</v>
      </c>
      <c r="AN188" s="119">
        <f t="shared" si="140"/>
        <v>2956686.12</v>
      </c>
      <c r="AO188" s="119">
        <f t="shared" si="140"/>
        <v>3015819.843</v>
      </c>
      <c r="AP188" s="119">
        <f t="shared" si="140"/>
        <v>3076136.24</v>
      </c>
      <c r="AQ188" s="125"/>
      <c r="AR188" s="125"/>
      <c r="AS188" s="125"/>
      <c r="AT188" s="125"/>
      <c r="AU188" s="125"/>
      <c r="AV188" s="125"/>
    </row>
    <row r="189" ht="12.75" hidden="1" customHeight="1" outlineLevel="1">
      <c r="A189" s="90"/>
      <c r="B189" s="90"/>
      <c r="C189" s="90"/>
      <c r="D189" s="90"/>
      <c r="E189" s="66" t="s">
        <v>353</v>
      </c>
      <c r="F189" s="90"/>
      <c r="G189" s="90"/>
      <c r="H189" s="90"/>
      <c r="I189" s="196"/>
      <c r="J189" s="99"/>
      <c r="K189" s="99"/>
      <c r="L189" s="99"/>
      <c r="M189" s="115">
        <f t="shared" ref="M189:AP189" si="141">SUM(M180:M188)</f>
        <v>95000</v>
      </c>
      <c r="N189" s="115">
        <f t="shared" si="141"/>
        <v>95674</v>
      </c>
      <c r="O189" s="115">
        <f t="shared" si="141"/>
        <v>63348</v>
      </c>
      <c r="P189" s="115">
        <f t="shared" si="141"/>
        <v>107022</v>
      </c>
      <c r="Q189" s="115">
        <f t="shared" si="141"/>
        <v>139696</v>
      </c>
      <c r="R189" s="115">
        <f t="shared" si="141"/>
        <v>184595.7143</v>
      </c>
      <c r="S189" s="115">
        <f t="shared" si="141"/>
        <v>289924.8</v>
      </c>
      <c r="T189" s="115">
        <f t="shared" si="141"/>
        <v>455940.4371</v>
      </c>
      <c r="U189" s="115">
        <f t="shared" si="141"/>
        <v>681352.3864</v>
      </c>
      <c r="V189" s="115">
        <f t="shared" si="141"/>
        <v>915598.4375</v>
      </c>
      <c r="W189" s="115">
        <f t="shared" si="141"/>
        <v>1263956.435</v>
      </c>
      <c r="X189" s="115">
        <f t="shared" si="141"/>
        <v>1697292.473</v>
      </c>
      <c r="Y189" s="115">
        <f t="shared" si="141"/>
        <v>2470025.355</v>
      </c>
      <c r="Z189" s="115">
        <f t="shared" si="141"/>
        <v>3543634.421</v>
      </c>
      <c r="AA189" s="115">
        <f t="shared" si="141"/>
        <v>4924432.708</v>
      </c>
      <c r="AB189" s="115">
        <f t="shared" si="141"/>
        <v>6530201.868</v>
      </c>
      <c r="AC189" s="115">
        <f t="shared" si="141"/>
        <v>8485443.493</v>
      </c>
      <c r="AD189" s="115">
        <f t="shared" si="141"/>
        <v>10665632.67</v>
      </c>
      <c r="AE189" s="115">
        <f t="shared" si="141"/>
        <v>12900339.66</v>
      </c>
      <c r="AF189" s="115">
        <f t="shared" si="141"/>
        <v>14783899.05</v>
      </c>
      <c r="AG189" s="115">
        <f t="shared" si="141"/>
        <v>15280739.17</v>
      </c>
      <c r="AH189" s="115">
        <f t="shared" si="141"/>
        <v>15586353.95</v>
      </c>
      <c r="AI189" s="115">
        <f t="shared" si="141"/>
        <v>15898081.03</v>
      </c>
      <c r="AJ189" s="115">
        <f t="shared" si="141"/>
        <v>16216042.65</v>
      </c>
      <c r="AK189" s="115">
        <f t="shared" si="141"/>
        <v>16540363.5</v>
      </c>
      <c r="AL189" s="115">
        <f t="shared" si="141"/>
        <v>16871170.77</v>
      </c>
      <c r="AM189" s="115">
        <f t="shared" si="141"/>
        <v>18368078.94</v>
      </c>
      <c r="AN189" s="115">
        <f t="shared" si="141"/>
        <v>18735440.52</v>
      </c>
      <c r="AO189" s="115">
        <f t="shared" si="141"/>
        <v>19110149.33</v>
      </c>
      <c r="AP189" s="115">
        <f t="shared" si="141"/>
        <v>19492352.32</v>
      </c>
      <c r="AQ189" s="79"/>
      <c r="AR189" s="79"/>
      <c r="AS189" s="79"/>
      <c r="AT189" s="79"/>
      <c r="AU189" s="79"/>
      <c r="AV189" s="79"/>
    </row>
    <row r="190" ht="12.75" hidden="1" customHeight="1" outlineLevel="1">
      <c r="A190" s="90"/>
      <c r="B190" s="90"/>
      <c r="C190" s="90"/>
      <c r="D190" s="90"/>
      <c r="E190" s="90"/>
      <c r="F190" s="90"/>
      <c r="G190" s="90"/>
      <c r="H190" s="90"/>
      <c r="I190" s="196"/>
      <c r="J190" s="99"/>
      <c r="K190" s="99"/>
      <c r="L190" s="99"/>
      <c r="M190" s="93"/>
      <c r="N190" s="93"/>
      <c r="O190" s="93"/>
      <c r="P190" s="93"/>
      <c r="Q190" s="93"/>
      <c r="R190" s="93"/>
      <c r="S190" s="93"/>
      <c r="T190" s="93"/>
      <c r="U190" s="93"/>
      <c r="V190" s="93"/>
      <c r="W190" s="93"/>
      <c r="X190" s="93"/>
      <c r="Y190" s="93"/>
      <c r="Z190" s="93"/>
      <c r="AA190" s="93"/>
      <c r="AB190" s="93"/>
      <c r="AC190" s="93"/>
      <c r="AD190" s="93"/>
      <c r="AE190" s="93"/>
      <c r="AF190" s="93"/>
      <c r="AG190" s="93"/>
      <c r="AH190" s="93"/>
      <c r="AI190" s="93"/>
      <c r="AJ190" s="93"/>
      <c r="AK190" s="93"/>
      <c r="AL190" s="93"/>
      <c r="AM190" s="93"/>
      <c r="AN190" s="93"/>
      <c r="AO190" s="93"/>
      <c r="AP190" s="93"/>
      <c r="AQ190" s="99"/>
      <c r="AR190" s="99"/>
      <c r="AS190" s="99"/>
      <c r="AT190" s="99"/>
      <c r="AU190" s="99"/>
      <c r="AV190" s="99"/>
    </row>
    <row r="191" ht="12.75" hidden="1" customHeight="1" outlineLevel="1">
      <c r="A191" s="90"/>
      <c r="B191" s="90"/>
      <c r="C191" s="233"/>
      <c r="D191" s="66" t="s">
        <v>354</v>
      </c>
      <c r="E191" s="90"/>
      <c r="F191" s="90"/>
      <c r="G191" s="90"/>
      <c r="I191" s="196"/>
      <c r="J191" s="99"/>
      <c r="K191" s="99"/>
      <c r="L191" s="99"/>
      <c r="AM191" s="115">
        <f t="shared" ref="AM191:AP191" si="142">IF(AM101+AM118+AM162+AM170+AM177+AM189&lt;$C$191*AM11,$C$191*AM11-(AM101+AM118+AM162+AM170+AM177+AM189),0)</f>
        <v>0</v>
      </c>
      <c r="AN191" s="115">
        <f t="shared" si="142"/>
        <v>0</v>
      </c>
      <c r="AO191" s="115" t="str">
        <f t="shared" si="142"/>
        <v>#REF!</v>
      </c>
      <c r="AP191" s="115" t="str">
        <f t="shared" si="142"/>
        <v>#REF!</v>
      </c>
      <c r="AQ191" s="79"/>
      <c r="AR191" s="79"/>
      <c r="AS191" s="99"/>
      <c r="AT191" s="99"/>
      <c r="AU191" s="99"/>
      <c r="AV191" s="99"/>
    </row>
    <row r="192" ht="12.75" hidden="1" customHeight="1" outlineLevel="1">
      <c r="A192" s="90"/>
      <c r="B192" s="90"/>
      <c r="C192" s="233"/>
      <c r="D192" s="66"/>
      <c r="E192" s="90" t="s">
        <v>355</v>
      </c>
      <c r="F192" s="90"/>
      <c r="G192" s="90"/>
      <c r="I192" s="196"/>
      <c r="J192" s="99"/>
      <c r="K192" s="99"/>
      <c r="L192" s="99"/>
      <c r="M192" s="93">
        <v>5000.0</v>
      </c>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79"/>
      <c r="AR192" s="79"/>
      <c r="AS192" s="99"/>
      <c r="AT192" s="99"/>
      <c r="AU192" s="99"/>
      <c r="AV192" s="99"/>
    </row>
    <row r="193" ht="12.75" hidden="1" customHeight="1" outlineLevel="1">
      <c r="A193" s="90"/>
      <c r="B193" s="90"/>
      <c r="C193" s="233"/>
      <c r="D193" s="66"/>
      <c r="E193" s="90" t="s">
        <v>356</v>
      </c>
      <c r="F193" s="90"/>
      <c r="G193" s="90"/>
      <c r="I193" s="196"/>
      <c r="J193" s="99"/>
      <c r="K193" s="99"/>
      <c r="L193" s="99"/>
      <c r="M193" s="93">
        <v>21000.0</v>
      </c>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79"/>
      <c r="AR193" s="79"/>
      <c r="AS193" s="99"/>
      <c r="AT193" s="99"/>
      <c r="AU193" s="99"/>
      <c r="AV193" s="99"/>
    </row>
    <row r="194" ht="12.75" hidden="1" customHeight="1" outlineLevel="1">
      <c r="A194" s="90"/>
      <c r="B194" s="90"/>
      <c r="C194" s="233"/>
      <c r="D194" s="66"/>
      <c r="E194" s="90" t="s">
        <v>339</v>
      </c>
      <c r="F194" s="90"/>
      <c r="G194" s="90">
        <v>7500.0</v>
      </c>
      <c r="H194" s="68" t="s">
        <v>357</v>
      </c>
      <c r="I194" s="196"/>
      <c r="J194" s="99"/>
      <c r="K194" s="99"/>
      <c r="L194" s="99"/>
      <c r="M194" s="93">
        <f t="shared" ref="M194:AL194" si="143">MAX(L194,$G194*M28*(P8-O8))</f>
        <v>7500</v>
      </c>
      <c r="N194" s="93">
        <f t="shared" si="143"/>
        <v>7500</v>
      </c>
      <c r="O194" s="93">
        <f t="shared" si="143"/>
        <v>15000</v>
      </c>
      <c r="P194" s="93">
        <f t="shared" si="143"/>
        <v>22500</v>
      </c>
      <c r="Q194" s="93">
        <f t="shared" si="143"/>
        <v>37500</v>
      </c>
      <c r="R194" s="93">
        <f t="shared" si="143"/>
        <v>61200</v>
      </c>
      <c r="S194" s="93">
        <f t="shared" si="143"/>
        <v>101439</v>
      </c>
      <c r="T194" s="93">
        <f t="shared" si="143"/>
        <v>135304.02</v>
      </c>
      <c r="U194" s="93">
        <f t="shared" si="143"/>
        <v>135304.02</v>
      </c>
      <c r="V194" s="93">
        <f t="shared" si="143"/>
        <v>135304.02</v>
      </c>
      <c r="W194" s="93">
        <f t="shared" si="143"/>
        <v>135304.02</v>
      </c>
      <c r="X194" s="93">
        <f t="shared" si="143"/>
        <v>135304.02</v>
      </c>
      <c r="Y194" s="93">
        <f t="shared" si="143"/>
        <v>135304.02</v>
      </c>
      <c r="Z194" s="93">
        <f t="shared" si="143"/>
        <v>135304.02</v>
      </c>
      <c r="AA194" s="93">
        <f t="shared" si="143"/>
        <v>135304.02</v>
      </c>
      <c r="AB194" s="93">
        <f t="shared" si="143"/>
        <v>135304.02</v>
      </c>
      <c r="AC194" s="93">
        <f t="shared" si="143"/>
        <v>135304.02</v>
      </c>
      <c r="AD194" s="93">
        <f t="shared" si="143"/>
        <v>135304.02</v>
      </c>
      <c r="AE194" s="93">
        <f t="shared" si="143"/>
        <v>135304.02</v>
      </c>
      <c r="AF194" s="93">
        <f t="shared" si="143"/>
        <v>135304.02</v>
      </c>
      <c r="AG194" s="93">
        <f t="shared" si="143"/>
        <v>135304.02</v>
      </c>
      <c r="AH194" s="93">
        <f t="shared" si="143"/>
        <v>135304.02</v>
      </c>
      <c r="AI194" s="93">
        <f t="shared" si="143"/>
        <v>135304.02</v>
      </c>
      <c r="AJ194" s="93">
        <f t="shared" si="143"/>
        <v>135304.02</v>
      </c>
      <c r="AK194" s="93">
        <f t="shared" si="143"/>
        <v>135304.02</v>
      </c>
      <c r="AL194" s="93">
        <f t="shared" si="143"/>
        <v>135304.02</v>
      </c>
      <c r="AM194" s="115"/>
      <c r="AN194" s="115"/>
      <c r="AO194" s="115"/>
      <c r="AP194" s="115"/>
      <c r="AQ194" s="79"/>
      <c r="AR194" s="79"/>
      <c r="AS194" s="99"/>
      <c r="AT194" s="99"/>
      <c r="AU194" s="99"/>
      <c r="AV194" s="99"/>
    </row>
    <row r="195" ht="12.75" hidden="1" customHeight="1" outlineLevel="1">
      <c r="A195" s="90"/>
      <c r="B195" s="90"/>
      <c r="C195" s="233">
        <v>0.02</v>
      </c>
      <c r="D195" s="66"/>
      <c r="E195" s="90" t="s">
        <v>354</v>
      </c>
      <c r="F195" s="90"/>
      <c r="G195" s="90"/>
      <c r="I195" s="196"/>
      <c r="J195" s="99"/>
      <c r="K195" s="99"/>
      <c r="L195" s="99"/>
      <c r="M195" s="93">
        <v>0.0</v>
      </c>
      <c r="N195" s="93">
        <v>0.0</v>
      </c>
      <c r="O195" s="93">
        <v>0.0</v>
      </c>
      <c r="P195" s="93">
        <v>0.0</v>
      </c>
      <c r="Q195" s="93">
        <v>0.0</v>
      </c>
      <c r="R195" s="93">
        <v>0.0</v>
      </c>
      <c r="S195" s="93">
        <v>0.0</v>
      </c>
      <c r="T195" s="93">
        <v>0.0</v>
      </c>
      <c r="U195" s="93">
        <v>0.0</v>
      </c>
      <c r="V195" s="93">
        <v>0.0</v>
      </c>
      <c r="W195" s="93" t="str">
        <f>MAX(0,$C$195*W11-SUM(W95:W97,W109:W111,W123:W124,W192:W194)-SUM(W147:W148)/4)/2</f>
        <v>#REF!</v>
      </c>
      <c r="X195" s="93" t="str">
        <f t="shared" ref="X195:AL195" si="144">MAX(0,$C$195*X11-SUM(X95:X97,X109:X111,X123:X124,X192:X194)-SUM(X147:X148)/4)</f>
        <v>#REF!</v>
      </c>
      <c r="Y195" s="93" t="str">
        <f t="shared" si="144"/>
        <v>#REF!</v>
      </c>
      <c r="Z195" s="93" t="str">
        <f t="shared" si="144"/>
        <v>#REF!</v>
      </c>
      <c r="AA195" s="93" t="str">
        <f t="shared" si="144"/>
        <v>#REF!</v>
      </c>
      <c r="AB195" s="93" t="str">
        <f t="shared" si="144"/>
        <v>#REF!</v>
      </c>
      <c r="AC195" s="93" t="str">
        <f t="shared" si="144"/>
        <v>#REF!</v>
      </c>
      <c r="AD195" s="93" t="str">
        <f t="shared" si="144"/>
        <v>#REF!</v>
      </c>
      <c r="AE195" s="93" t="str">
        <f t="shared" si="144"/>
        <v>#REF!</v>
      </c>
      <c r="AF195" s="93" t="str">
        <f t="shared" si="144"/>
        <v>#REF!</v>
      </c>
      <c r="AG195" s="93" t="str">
        <f t="shared" si="144"/>
        <v>#REF!</v>
      </c>
      <c r="AH195" s="93" t="str">
        <f t="shared" si="144"/>
        <v>#REF!</v>
      </c>
      <c r="AI195" s="93" t="str">
        <f t="shared" si="144"/>
        <v>#REF!</v>
      </c>
      <c r="AJ195" s="93" t="str">
        <f t="shared" si="144"/>
        <v>#REF!</v>
      </c>
      <c r="AK195" s="93" t="str">
        <f t="shared" si="144"/>
        <v>#REF!</v>
      </c>
      <c r="AL195" s="93" t="str">
        <f t="shared" si="144"/>
        <v>#REF!</v>
      </c>
      <c r="AM195" s="115"/>
      <c r="AN195" s="115"/>
      <c r="AO195" s="115"/>
      <c r="AP195" s="115"/>
      <c r="AQ195" s="79"/>
      <c r="AR195" s="79"/>
      <c r="AS195" s="99"/>
      <c r="AT195" s="99"/>
      <c r="AU195" s="99"/>
      <c r="AV195" s="99"/>
    </row>
    <row r="196" ht="12.75" hidden="1" customHeight="1" outlineLevel="1">
      <c r="A196" s="90"/>
      <c r="B196" s="90"/>
      <c r="D196" s="66" t="s">
        <v>354</v>
      </c>
      <c r="E196" s="90"/>
      <c r="F196" s="90"/>
      <c r="G196" s="90"/>
      <c r="I196" s="196"/>
      <c r="J196" s="99"/>
      <c r="K196" s="99"/>
      <c r="L196" s="99"/>
      <c r="M196" s="115">
        <f t="shared" ref="M196:AL196" si="145">SUM(M192:M195)</f>
        <v>33500</v>
      </c>
      <c r="N196" s="115">
        <f t="shared" si="145"/>
        <v>7500</v>
      </c>
      <c r="O196" s="115">
        <f t="shared" si="145"/>
        <v>15000</v>
      </c>
      <c r="P196" s="115">
        <f t="shared" si="145"/>
        <v>22500</v>
      </c>
      <c r="Q196" s="115">
        <f t="shared" si="145"/>
        <v>37500</v>
      </c>
      <c r="R196" s="115">
        <f t="shared" si="145"/>
        <v>61200</v>
      </c>
      <c r="S196" s="115">
        <f t="shared" si="145"/>
        <v>101439</v>
      </c>
      <c r="T196" s="115">
        <f t="shared" si="145"/>
        <v>135304.02</v>
      </c>
      <c r="U196" s="115">
        <f t="shared" si="145"/>
        <v>135304.02</v>
      </c>
      <c r="V196" s="115">
        <f t="shared" si="145"/>
        <v>135304.02</v>
      </c>
      <c r="W196" s="115" t="str">
        <f t="shared" si="145"/>
        <v>#REF!</v>
      </c>
      <c r="X196" s="115" t="str">
        <f t="shared" si="145"/>
        <v>#REF!</v>
      </c>
      <c r="Y196" s="115" t="str">
        <f t="shared" si="145"/>
        <v>#REF!</v>
      </c>
      <c r="Z196" s="115" t="str">
        <f t="shared" si="145"/>
        <v>#REF!</v>
      </c>
      <c r="AA196" s="115" t="str">
        <f t="shared" si="145"/>
        <v>#REF!</v>
      </c>
      <c r="AB196" s="115" t="str">
        <f t="shared" si="145"/>
        <v>#REF!</v>
      </c>
      <c r="AC196" s="115" t="str">
        <f t="shared" si="145"/>
        <v>#REF!</v>
      </c>
      <c r="AD196" s="115" t="str">
        <f t="shared" si="145"/>
        <v>#REF!</v>
      </c>
      <c r="AE196" s="115" t="str">
        <f t="shared" si="145"/>
        <v>#REF!</v>
      </c>
      <c r="AF196" s="115" t="str">
        <f t="shared" si="145"/>
        <v>#REF!</v>
      </c>
      <c r="AG196" s="115" t="str">
        <f t="shared" si="145"/>
        <v>#REF!</v>
      </c>
      <c r="AH196" s="115" t="str">
        <f t="shared" si="145"/>
        <v>#REF!</v>
      </c>
      <c r="AI196" s="115" t="str">
        <f t="shared" si="145"/>
        <v>#REF!</v>
      </c>
      <c r="AJ196" s="115" t="str">
        <f t="shared" si="145"/>
        <v>#REF!</v>
      </c>
      <c r="AK196" s="115" t="str">
        <f t="shared" si="145"/>
        <v>#REF!</v>
      </c>
      <c r="AL196" s="115" t="str">
        <f t="shared" si="145"/>
        <v>#REF!</v>
      </c>
      <c r="AM196" s="115"/>
      <c r="AN196" s="115"/>
      <c r="AO196" s="115"/>
      <c r="AP196" s="115"/>
      <c r="AQ196" s="79"/>
      <c r="AR196" s="79"/>
      <c r="AS196" s="99"/>
      <c r="AT196" s="99"/>
      <c r="AU196" s="99"/>
      <c r="AV196" s="99"/>
    </row>
    <row r="197" ht="12.75" hidden="1" customHeight="1" outlineLevel="1">
      <c r="A197" s="90"/>
      <c r="B197" s="90"/>
      <c r="C197" s="90"/>
      <c r="D197" s="90"/>
      <c r="E197" s="90"/>
      <c r="F197" s="90"/>
      <c r="G197" s="90"/>
      <c r="H197" s="90"/>
      <c r="I197" s="196"/>
      <c r="J197" s="99"/>
      <c r="K197" s="99"/>
      <c r="L197" s="99"/>
      <c r="M197" s="93"/>
      <c r="N197" s="93"/>
      <c r="O197" s="93"/>
      <c r="P197" s="93"/>
      <c r="Q197" s="93"/>
      <c r="R197" s="93"/>
      <c r="S197" s="93"/>
      <c r="T197" s="93"/>
      <c r="U197" s="93"/>
      <c r="V197" s="93"/>
      <c r="W197" s="93"/>
      <c r="X197" s="93"/>
      <c r="Y197" s="93"/>
      <c r="Z197" s="93"/>
      <c r="AA197" s="93"/>
      <c r="AB197" s="93"/>
      <c r="AC197" s="93"/>
      <c r="AD197" s="93"/>
      <c r="AE197" s="93"/>
      <c r="AF197" s="93"/>
      <c r="AG197" s="93"/>
      <c r="AH197" s="93"/>
      <c r="AI197" s="93"/>
      <c r="AJ197" s="93"/>
      <c r="AK197" s="93"/>
      <c r="AL197" s="93"/>
      <c r="AM197" s="93"/>
      <c r="AN197" s="93"/>
      <c r="AO197" s="93"/>
      <c r="AP197" s="93"/>
      <c r="AQ197" s="99"/>
      <c r="AR197" s="99"/>
      <c r="AS197" s="99"/>
      <c r="AT197" s="99"/>
      <c r="AU197" s="99"/>
      <c r="AV197" s="99"/>
    </row>
    <row r="198" ht="12.75" hidden="1" customHeight="1" outlineLevel="1">
      <c r="A198" s="90"/>
      <c r="B198" s="90"/>
      <c r="C198" s="67" t="s">
        <v>358</v>
      </c>
      <c r="D198" s="90"/>
      <c r="E198" s="90"/>
      <c r="F198" s="90"/>
      <c r="G198" s="90"/>
      <c r="H198" s="90"/>
      <c r="I198" s="196"/>
      <c r="J198" s="99"/>
      <c r="K198" s="99"/>
      <c r="L198" s="99"/>
      <c r="M198" s="115">
        <f t="shared" ref="M198:AL198" si="146">M189+M177+M170+M162+M196</f>
        <v>252000</v>
      </c>
      <c r="N198" s="115">
        <f t="shared" si="146"/>
        <v>235174</v>
      </c>
      <c r="O198" s="115">
        <f t="shared" si="146"/>
        <v>260348</v>
      </c>
      <c r="P198" s="115">
        <f t="shared" si="146"/>
        <v>374522</v>
      </c>
      <c r="Q198" s="115">
        <f t="shared" si="146"/>
        <v>474696</v>
      </c>
      <c r="R198" s="115">
        <f t="shared" si="146"/>
        <v>634898.5714</v>
      </c>
      <c r="S198" s="115">
        <f t="shared" si="146"/>
        <v>965401.4</v>
      </c>
      <c r="T198" s="115">
        <f t="shared" si="146"/>
        <v>1409408.464</v>
      </c>
      <c r="U198" s="115">
        <f t="shared" si="146"/>
        <v>1896826.213</v>
      </c>
      <c r="V198" s="115">
        <f t="shared" si="146"/>
        <v>2534846.527</v>
      </c>
      <c r="W198" s="115" t="str">
        <f t="shared" si="146"/>
        <v>#REF!</v>
      </c>
      <c r="X198" s="115" t="str">
        <f t="shared" si="146"/>
        <v>#REF!</v>
      </c>
      <c r="Y198" s="115" t="str">
        <f t="shared" si="146"/>
        <v>#REF!</v>
      </c>
      <c r="Z198" s="115" t="str">
        <f t="shared" si="146"/>
        <v>#REF!</v>
      </c>
      <c r="AA198" s="115" t="str">
        <f t="shared" si="146"/>
        <v>#REF!</v>
      </c>
      <c r="AB198" s="115" t="str">
        <f t="shared" si="146"/>
        <v>#REF!</v>
      </c>
      <c r="AC198" s="115" t="str">
        <f t="shared" si="146"/>
        <v>#REF!</v>
      </c>
      <c r="AD198" s="115" t="str">
        <f t="shared" si="146"/>
        <v>#REF!</v>
      </c>
      <c r="AE198" s="115" t="str">
        <f t="shared" si="146"/>
        <v>#REF!</v>
      </c>
      <c r="AF198" s="115" t="str">
        <f t="shared" si="146"/>
        <v>#REF!</v>
      </c>
      <c r="AG198" s="115" t="str">
        <f t="shared" si="146"/>
        <v>#REF!</v>
      </c>
      <c r="AH198" s="115" t="str">
        <f t="shared" si="146"/>
        <v>#REF!</v>
      </c>
      <c r="AI198" s="115" t="str">
        <f t="shared" si="146"/>
        <v>#REF!</v>
      </c>
      <c r="AJ198" s="115" t="str">
        <f t="shared" si="146"/>
        <v>#REF!</v>
      </c>
      <c r="AK198" s="115" t="str">
        <f t="shared" si="146"/>
        <v>#REF!</v>
      </c>
      <c r="AL198" s="115" t="str">
        <f t="shared" si="146"/>
        <v>#REF!</v>
      </c>
      <c r="AM198" s="115">
        <f t="shared" ref="AM198:AP198" si="147">AM189+AM177+AM170+AM162+AM191</f>
        <v>36279550.87</v>
      </c>
      <c r="AN198" s="115">
        <f t="shared" si="147"/>
        <v>36997448.4</v>
      </c>
      <c r="AO198" s="115" t="str">
        <f t="shared" si="147"/>
        <v>#REF!</v>
      </c>
      <c r="AP198" s="115" t="str">
        <f t="shared" si="147"/>
        <v>#REF!</v>
      </c>
      <c r="AQ198" s="79"/>
      <c r="AR198" s="79"/>
      <c r="AS198" s="79"/>
      <c r="AT198" s="79"/>
      <c r="AU198" s="79"/>
      <c r="AV198" s="79"/>
    </row>
    <row r="199" ht="12.75" hidden="1" customHeight="1" outlineLevel="1">
      <c r="A199" s="90"/>
      <c r="B199" s="90"/>
      <c r="C199" s="67"/>
      <c r="D199" s="90"/>
      <c r="E199" s="90"/>
      <c r="F199" s="90"/>
      <c r="G199" s="90"/>
      <c r="H199" s="90"/>
      <c r="I199" s="196"/>
      <c r="J199" s="99"/>
      <c r="K199" s="99"/>
      <c r="L199" s="99"/>
      <c r="M199" s="115"/>
      <c r="N199" s="115"/>
      <c r="O199" s="115"/>
      <c r="P199" s="115"/>
      <c r="Q199" s="115"/>
      <c r="R199" s="115"/>
      <c r="S199" s="115"/>
      <c r="T199" s="115"/>
      <c r="U199" s="115"/>
      <c r="V199" s="115"/>
      <c r="W199" s="115"/>
      <c r="X199" s="115"/>
      <c r="Y199" s="115"/>
      <c r="Z199" s="115"/>
      <c r="AA199" s="115"/>
      <c r="AB199" s="115"/>
      <c r="AC199" s="115"/>
      <c r="AD199" s="115"/>
      <c r="AE199" s="115"/>
      <c r="AF199" s="115"/>
      <c r="AG199" s="93"/>
      <c r="AH199" s="93"/>
      <c r="AI199" s="93"/>
      <c r="AJ199" s="93"/>
      <c r="AK199" s="93"/>
      <c r="AL199" s="93"/>
      <c r="AM199" s="93"/>
      <c r="AN199" s="93"/>
      <c r="AO199" s="93"/>
      <c r="AP199" s="93"/>
      <c r="AQ199" s="99"/>
      <c r="AR199" s="99"/>
      <c r="AS199" s="99"/>
      <c r="AT199" s="99"/>
      <c r="AU199" s="99"/>
      <c r="AV199" s="99"/>
    </row>
    <row r="200" ht="12.75" hidden="1" customHeight="1" outlineLevel="1">
      <c r="A200" s="90"/>
      <c r="B200" s="90"/>
      <c r="C200" s="67" t="s">
        <v>265</v>
      </c>
      <c r="D200" s="90"/>
      <c r="E200" s="90"/>
      <c r="F200" s="90"/>
      <c r="G200" s="90"/>
      <c r="H200" s="90"/>
      <c r="I200" s="196"/>
      <c r="J200" s="99"/>
      <c r="K200" s="99"/>
      <c r="L200" s="99"/>
      <c r="M200" s="115"/>
      <c r="N200" s="115"/>
      <c r="O200" s="115"/>
      <c r="P200" s="115"/>
      <c r="Q200" s="115"/>
      <c r="R200" s="115"/>
      <c r="S200" s="115"/>
      <c r="T200" s="115"/>
      <c r="U200" s="115"/>
      <c r="V200" s="115"/>
      <c r="W200" s="115"/>
      <c r="X200" s="115"/>
      <c r="Y200" s="115"/>
      <c r="Z200" s="115"/>
      <c r="AA200" s="115"/>
      <c r="AB200" s="115"/>
      <c r="AC200" s="115"/>
      <c r="AD200" s="115"/>
      <c r="AE200" s="115"/>
      <c r="AF200" s="115"/>
      <c r="AG200" s="93"/>
      <c r="AH200" s="93"/>
      <c r="AI200" s="93"/>
      <c r="AJ200" s="93"/>
      <c r="AK200" s="93"/>
      <c r="AL200" s="93"/>
      <c r="AM200" s="93"/>
      <c r="AN200" s="93"/>
      <c r="AO200" s="93"/>
      <c r="AP200" s="93"/>
      <c r="AQ200" s="99"/>
      <c r="AR200" s="99"/>
      <c r="AS200" s="99"/>
      <c r="AT200" s="99"/>
      <c r="AU200" s="99"/>
      <c r="AV200" s="99"/>
    </row>
    <row r="201" ht="12.75" hidden="1" customHeight="1" outlineLevel="1">
      <c r="A201" s="90"/>
      <c r="B201" s="90"/>
      <c r="C201" s="67"/>
      <c r="D201" s="67" t="s">
        <v>138</v>
      </c>
      <c r="E201" s="90"/>
      <c r="F201" s="90"/>
      <c r="G201" s="90"/>
      <c r="H201" s="90"/>
      <c r="I201" s="196"/>
      <c r="J201" s="99"/>
      <c r="K201" s="99"/>
      <c r="L201" s="99"/>
      <c r="M201" s="115"/>
      <c r="N201" s="115"/>
      <c r="O201" s="115"/>
      <c r="P201" s="115"/>
      <c r="Q201" s="115"/>
      <c r="R201" s="115"/>
      <c r="S201" s="115"/>
      <c r="T201" s="115"/>
      <c r="U201" s="115"/>
      <c r="V201" s="115"/>
      <c r="W201" s="115"/>
      <c r="X201" s="115"/>
      <c r="Y201" s="115"/>
      <c r="Z201" s="115"/>
      <c r="AA201" s="115"/>
      <c r="AB201" s="115"/>
      <c r="AC201" s="115"/>
      <c r="AD201" s="115"/>
      <c r="AE201" s="115"/>
      <c r="AF201" s="115"/>
      <c r="AG201" s="93"/>
      <c r="AH201" s="93"/>
      <c r="AI201" s="93"/>
      <c r="AJ201" s="93"/>
      <c r="AK201" s="93"/>
      <c r="AL201" s="93"/>
      <c r="AM201" s="93"/>
      <c r="AN201" s="93"/>
      <c r="AO201" s="93"/>
      <c r="AP201" s="93"/>
      <c r="AQ201" s="99"/>
      <c r="AR201" s="99"/>
      <c r="AS201" s="99"/>
      <c r="AT201" s="99"/>
      <c r="AU201" s="99"/>
      <c r="AV201" s="99"/>
    </row>
    <row r="202" ht="12.75" hidden="1" customHeight="1" outlineLevel="1">
      <c r="A202" s="90"/>
      <c r="B202" s="90"/>
      <c r="C202" s="67"/>
      <c r="D202" s="90"/>
      <c r="E202" s="68" t="s">
        <v>359</v>
      </c>
      <c r="F202" s="90"/>
      <c r="G202" s="225">
        <v>6000.0</v>
      </c>
      <c r="H202" s="226" t="s">
        <v>326</v>
      </c>
      <c r="I202" s="196"/>
      <c r="J202" s="99"/>
      <c r="K202" s="99"/>
      <c r="L202" s="99"/>
      <c r="M202" s="93">
        <f t="shared" ref="M202:AP202" si="148">ROUNDUP(M6/10,0)*$G202*M28</f>
        <v>6000</v>
      </c>
      <c r="N202" s="93">
        <f t="shared" si="148"/>
        <v>6000</v>
      </c>
      <c r="O202" s="93">
        <f t="shared" si="148"/>
        <v>6000</v>
      </c>
      <c r="P202" s="93">
        <f t="shared" si="148"/>
        <v>12000</v>
      </c>
      <c r="Q202" s="93">
        <f t="shared" si="148"/>
        <v>18000</v>
      </c>
      <c r="R202" s="93">
        <f t="shared" si="148"/>
        <v>24480</v>
      </c>
      <c r="S202" s="93">
        <f t="shared" si="148"/>
        <v>37454.4</v>
      </c>
      <c r="T202" s="93">
        <f t="shared" si="148"/>
        <v>57305.232</v>
      </c>
      <c r="U202" s="93">
        <f t="shared" si="148"/>
        <v>90924.30144</v>
      </c>
      <c r="V202" s="93">
        <f t="shared" si="148"/>
        <v>119240.7267</v>
      </c>
      <c r="W202" s="93">
        <f t="shared" si="148"/>
        <v>168924.3629</v>
      </c>
      <c r="X202" s="93">
        <f t="shared" si="148"/>
        <v>227439.7622</v>
      </c>
      <c r="Y202" s="93">
        <f t="shared" si="148"/>
        <v>330407.9454</v>
      </c>
      <c r="Z202" s="93">
        <f t="shared" si="148"/>
        <v>480427.2126</v>
      </c>
      <c r="AA202" s="93">
        <f t="shared" si="148"/>
        <v>665570.9533</v>
      </c>
      <c r="AB202" s="93">
        <f t="shared" si="148"/>
        <v>880309.0103</v>
      </c>
      <c r="AC202" s="93">
        <f t="shared" si="148"/>
        <v>1141417.615</v>
      </c>
      <c r="AD202" s="93">
        <f t="shared" si="148"/>
        <v>1435903.36</v>
      </c>
      <c r="AE202" s="93">
        <f t="shared" si="148"/>
        <v>1741711.967</v>
      </c>
      <c r="AF202" s="93">
        <f t="shared" si="148"/>
        <v>1994576.877</v>
      </c>
      <c r="AG202" s="93">
        <f t="shared" si="148"/>
        <v>2059178.558</v>
      </c>
      <c r="AH202" s="93">
        <f t="shared" si="148"/>
        <v>2100362.129</v>
      </c>
      <c r="AI202" s="93">
        <f t="shared" si="148"/>
        <v>2142369.371</v>
      </c>
      <c r="AJ202" s="93">
        <f t="shared" si="148"/>
        <v>2185216.759</v>
      </c>
      <c r="AK202" s="93">
        <f t="shared" si="148"/>
        <v>2228921.094</v>
      </c>
      <c r="AL202" s="93">
        <f t="shared" si="148"/>
        <v>2273499.516</v>
      </c>
      <c r="AM202" s="93">
        <f t="shared" si="148"/>
        <v>2318969.506</v>
      </c>
      <c r="AN202" s="93">
        <f t="shared" si="148"/>
        <v>2365348.896</v>
      </c>
      <c r="AO202" s="93">
        <f t="shared" si="148"/>
        <v>2412655.874</v>
      </c>
      <c r="AP202" s="93">
        <f t="shared" si="148"/>
        <v>2460908.992</v>
      </c>
      <c r="AQ202" s="99"/>
      <c r="AR202" s="99"/>
      <c r="AS202" s="99"/>
      <c r="AT202" s="99"/>
      <c r="AU202" s="99"/>
      <c r="AV202" s="99"/>
    </row>
    <row r="203" ht="12.75" hidden="1" customHeight="1" outlineLevel="1">
      <c r="A203" s="90"/>
      <c r="B203" s="90"/>
      <c r="C203" s="67"/>
      <c r="D203" s="90"/>
      <c r="E203" s="68" t="s">
        <v>360</v>
      </c>
      <c r="F203" s="90"/>
      <c r="G203" s="225">
        <v>10000.0</v>
      </c>
      <c r="H203" s="226" t="s">
        <v>326</v>
      </c>
      <c r="I203" s="196"/>
      <c r="J203" s="99"/>
      <c r="K203" s="99"/>
      <c r="L203" s="99"/>
      <c r="M203" s="93">
        <v>10000.0</v>
      </c>
      <c r="N203" s="93">
        <v>10000.0</v>
      </c>
      <c r="O203" s="93">
        <v>10000.0</v>
      </c>
      <c r="P203" s="93">
        <v>10000.0</v>
      </c>
      <c r="Q203" s="93">
        <v>20000.0</v>
      </c>
      <c r="R203" s="93">
        <f t="shared" ref="R203:AP203" si="149">$G203*ROUNDDOWN(S$6/10,0)*R28</f>
        <v>51000</v>
      </c>
      <c r="S203" s="93">
        <f t="shared" si="149"/>
        <v>93636</v>
      </c>
      <c r="T203" s="93">
        <f t="shared" si="149"/>
        <v>137957.04</v>
      </c>
      <c r="U203" s="93">
        <f t="shared" si="149"/>
        <v>194837.7888</v>
      </c>
      <c r="V203" s="93">
        <f t="shared" si="149"/>
        <v>264979.3928</v>
      </c>
      <c r="W203" s="93">
        <f t="shared" si="149"/>
        <v>360371.9742</v>
      </c>
      <c r="X203" s="93">
        <f t="shared" si="149"/>
        <v>528395.4071</v>
      </c>
      <c r="Y203" s="93">
        <f t="shared" si="149"/>
        <v>773295.1915</v>
      </c>
      <c r="Z203" s="93">
        <f t="shared" si="149"/>
        <v>1075583.312</v>
      </c>
      <c r="AA203" s="93">
        <f t="shared" si="149"/>
        <v>1426223.471</v>
      </c>
      <c r="AB203" s="93">
        <f t="shared" si="149"/>
        <v>1865061.463</v>
      </c>
      <c r="AC203" s="93">
        <f t="shared" si="149"/>
        <v>2346247.32</v>
      </c>
      <c r="AD203" s="93">
        <f t="shared" si="149"/>
        <v>2832998.521</v>
      </c>
      <c r="AE203" s="93">
        <f t="shared" si="149"/>
        <v>3245917.757</v>
      </c>
      <c r="AF203" s="93">
        <f t="shared" si="149"/>
        <v>3364670.846</v>
      </c>
      <c r="AG203" s="93">
        <f t="shared" si="149"/>
        <v>3431964.263</v>
      </c>
      <c r="AH203" s="93">
        <f t="shared" si="149"/>
        <v>3500603.548</v>
      </c>
      <c r="AI203" s="93">
        <f t="shared" si="149"/>
        <v>3570615.619</v>
      </c>
      <c r="AJ203" s="93">
        <f t="shared" si="149"/>
        <v>3642027.931</v>
      </c>
      <c r="AK203" s="93">
        <f t="shared" si="149"/>
        <v>3714868.49</v>
      </c>
      <c r="AL203" s="93">
        <f t="shared" si="149"/>
        <v>3789165.86</v>
      </c>
      <c r="AM203" s="93">
        <f t="shared" si="149"/>
        <v>3864949.177</v>
      </c>
      <c r="AN203" s="93">
        <f t="shared" si="149"/>
        <v>3942248.16</v>
      </c>
      <c r="AO203" s="93">
        <f t="shared" si="149"/>
        <v>4021093.124</v>
      </c>
      <c r="AP203" s="93">
        <f t="shared" si="149"/>
        <v>0</v>
      </c>
      <c r="AQ203" s="99"/>
      <c r="AR203" s="99"/>
      <c r="AS203" s="99"/>
      <c r="AT203" s="99"/>
      <c r="AU203" s="99"/>
      <c r="AV203" s="99"/>
    </row>
    <row r="204" ht="12.75" hidden="1" customHeight="1" outlineLevel="1">
      <c r="A204" s="90"/>
      <c r="B204" s="90"/>
      <c r="C204" s="67"/>
      <c r="D204" s="90"/>
      <c r="E204" s="90" t="s">
        <v>361</v>
      </c>
      <c r="F204" s="90"/>
      <c r="G204" s="225">
        <v>5000.0</v>
      </c>
      <c r="H204" s="226" t="s">
        <v>322</v>
      </c>
      <c r="I204" s="196"/>
      <c r="J204" s="99"/>
      <c r="K204" s="99"/>
      <c r="L204" s="99"/>
      <c r="M204" s="93">
        <f t="shared" ref="M204:AP204" si="150">$G204*M$28*(M6-L6)</f>
        <v>5000</v>
      </c>
      <c r="N204" s="93">
        <f t="shared" si="150"/>
        <v>10000</v>
      </c>
      <c r="O204" s="93">
        <f t="shared" si="150"/>
        <v>15000</v>
      </c>
      <c r="P204" s="93">
        <f t="shared" si="150"/>
        <v>25000</v>
      </c>
      <c r="Q204" s="93">
        <f t="shared" si="150"/>
        <v>40000</v>
      </c>
      <c r="R204" s="93">
        <f t="shared" si="150"/>
        <v>66300</v>
      </c>
      <c r="S204" s="93">
        <f t="shared" si="150"/>
        <v>114444</v>
      </c>
      <c r="T204" s="93">
        <f t="shared" si="150"/>
        <v>180405.36</v>
      </c>
      <c r="U204" s="93">
        <f t="shared" si="150"/>
        <v>243547.236</v>
      </c>
      <c r="V204" s="93">
        <f t="shared" si="150"/>
        <v>248418.1807</v>
      </c>
      <c r="W204" s="93">
        <f t="shared" si="150"/>
        <v>371633.5984</v>
      </c>
      <c r="X204" s="93">
        <f t="shared" si="150"/>
        <v>459474.2671</v>
      </c>
      <c r="Y204" s="93">
        <f t="shared" si="150"/>
        <v>831878.1605</v>
      </c>
      <c r="Z204" s="93">
        <f t="shared" si="150"/>
        <v>1153264.329</v>
      </c>
      <c r="AA204" s="93">
        <f t="shared" si="150"/>
        <v>1474983.248</v>
      </c>
      <c r="AB204" s="93">
        <f t="shared" si="150"/>
        <v>1697205.931</v>
      </c>
      <c r="AC204" s="93">
        <f t="shared" si="150"/>
        <v>2054551.707</v>
      </c>
      <c r="AD204" s="93">
        <f t="shared" si="150"/>
        <v>2263811.603</v>
      </c>
      <c r="AE204" s="93">
        <f t="shared" si="150"/>
        <v>2276100.866</v>
      </c>
      <c r="AF204" s="93">
        <f t="shared" si="150"/>
        <v>1830380.94</v>
      </c>
      <c r="AG204" s="93">
        <f t="shared" si="150"/>
        <v>226509.6413</v>
      </c>
      <c r="AH204" s="93">
        <f t="shared" si="150"/>
        <v>0</v>
      </c>
      <c r="AI204" s="93">
        <f t="shared" si="150"/>
        <v>0</v>
      </c>
      <c r="AJ204" s="93">
        <f t="shared" si="150"/>
        <v>0</v>
      </c>
      <c r="AK204" s="93">
        <f t="shared" si="150"/>
        <v>0</v>
      </c>
      <c r="AL204" s="93">
        <f t="shared" si="150"/>
        <v>0</v>
      </c>
      <c r="AM204" s="93">
        <f t="shared" si="150"/>
        <v>0</v>
      </c>
      <c r="AN204" s="93">
        <f t="shared" si="150"/>
        <v>0</v>
      </c>
      <c r="AO204" s="93">
        <f t="shared" si="150"/>
        <v>0</v>
      </c>
      <c r="AP204" s="93">
        <f t="shared" si="150"/>
        <v>0</v>
      </c>
      <c r="AQ204" s="99"/>
      <c r="AR204" s="99"/>
      <c r="AS204" s="99"/>
      <c r="AT204" s="99"/>
      <c r="AU204" s="99"/>
      <c r="AV204" s="99"/>
    </row>
    <row r="205" ht="12.75" hidden="1" customHeight="1" outlineLevel="1">
      <c r="A205" s="90"/>
      <c r="B205" s="90"/>
      <c r="C205" s="67"/>
      <c r="D205" s="90"/>
      <c r="E205" s="90" t="s">
        <v>362</v>
      </c>
      <c r="F205" s="90"/>
      <c r="G205" s="225">
        <v>2000.0</v>
      </c>
      <c r="H205" s="226" t="s">
        <v>326</v>
      </c>
      <c r="I205" s="196"/>
      <c r="J205" s="99"/>
      <c r="K205" s="99"/>
      <c r="L205" s="99"/>
      <c r="M205" s="93">
        <v>5000.0</v>
      </c>
      <c r="N205" s="93">
        <v>2000.0</v>
      </c>
      <c r="O205" s="93">
        <v>2000.0</v>
      </c>
      <c r="P205" s="93">
        <v>2000.0</v>
      </c>
      <c r="Q205" s="93">
        <v>4000.0</v>
      </c>
      <c r="R205" s="93">
        <f t="shared" ref="R205:AF205" si="151">ROUNDDOWN(S6/10,0)*$G205*R28</f>
        <v>10200</v>
      </c>
      <c r="S205" s="93">
        <f t="shared" si="151"/>
        <v>18727.2</v>
      </c>
      <c r="T205" s="93">
        <f t="shared" si="151"/>
        <v>27591.408</v>
      </c>
      <c r="U205" s="93">
        <f t="shared" si="151"/>
        <v>38967.55776</v>
      </c>
      <c r="V205" s="93">
        <f t="shared" si="151"/>
        <v>52995.87855</v>
      </c>
      <c r="W205" s="93">
        <f t="shared" si="151"/>
        <v>72074.39483</v>
      </c>
      <c r="X205" s="93">
        <f t="shared" si="151"/>
        <v>105679.0814</v>
      </c>
      <c r="Y205" s="93">
        <f t="shared" si="151"/>
        <v>154659.0383</v>
      </c>
      <c r="Z205" s="93">
        <f t="shared" si="151"/>
        <v>215116.6624</v>
      </c>
      <c r="AA205" s="93">
        <f t="shared" si="151"/>
        <v>285244.6943</v>
      </c>
      <c r="AB205" s="93">
        <f t="shared" si="151"/>
        <v>373012.2925</v>
      </c>
      <c r="AC205" s="93">
        <f t="shared" si="151"/>
        <v>469249.464</v>
      </c>
      <c r="AD205" s="93">
        <f t="shared" si="151"/>
        <v>566599.7041</v>
      </c>
      <c r="AE205" s="93">
        <f t="shared" si="151"/>
        <v>649183.5514</v>
      </c>
      <c r="AF205" s="93">
        <f t="shared" si="151"/>
        <v>672934.1692</v>
      </c>
      <c r="AG205" s="93">
        <f t="shared" ref="AG205:AP205" si="152">ROUNDDOWN(AH6/10,0)*$G205</f>
        <v>500000</v>
      </c>
      <c r="AH205" s="93">
        <f t="shared" si="152"/>
        <v>500000</v>
      </c>
      <c r="AI205" s="93">
        <f t="shared" si="152"/>
        <v>500000</v>
      </c>
      <c r="AJ205" s="93">
        <f t="shared" si="152"/>
        <v>500000</v>
      </c>
      <c r="AK205" s="93">
        <f t="shared" si="152"/>
        <v>500000</v>
      </c>
      <c r="AL205" s="93">
        <f t="shared" si="152"/>
        <v>500000</v>
      </c>
      <c r="AM205" s="93">
        <f t="shared" si="152"/>
        <v>500000</v>
      </c>
      <c r="AN205" s="93">
        <f t="shared" si="152"/>
        <v>500000</v>
      </c>
      <c r="AO205" s="93">
        <f t="shared" si="152"/>
        <v>500000</v>
      </c>
      <c r="AP205" s="93">
        <f t="shared" si="152"/>
        <v>0</v>
      </c>
      <c r="AQ205" s="99"/>
      <c r="AR205" s="99"/>
      <c r="AS205" s="99"/>
      <c r="AT205" s="99"/>
      <c r="AU205" s="99"/>
      <c r="AV205" s="99"/>
    </row>
    <row r="206" ht="12.75" hidden="1" customHeight="1" outlineLevel="1">
      <c r="A206" s="90"/>
      <c r="B206" s="90"/>
      <c r="C206" s="67"/>
      <c r="D206" s="90"/>
      <c r="E206" s="90" t="s">
        <v>363</v>
      </c>
      <c r="F206" s="90"/>
      <c r="G206" s="225">
        <v>3000.0</v>
      </c>
      <c r="H206" s="226" t="s">
        <v>364</v>
      </c>
      <c r="I206" s="196"/>
      <c r="J206" s="99"/>
      <c r="K206" s="99"/>
      <c r="L206" s="99"/>
      <c r="M206" s="93">
        <v>3000.0</v>
      </c>
      <c r="N206" s="93">
        <v>3000.0</v>
      </c>
      <c r="O206" s="93">
        <v>3000.0</v>
      </c>
      <c r="P206" s="93">
        <v>3000.0</v>
      </c>
      <c r="Q206" s="93">
        <v>3000.0</v>
      </c>
      <c r="R206" s="93">
        <f t="shared" ref="R206:AF206" si="153">ROUND((S6-R6)/3,1)*$G206*R28</f>
        <v>22338</v>
      </c>
      <c r="S206" s="93">
        <f t="shared" si="153"/>
        <v>35269.56</v>
      </c>
      <c r="T206" s="93">
        <f t="shared" si="153"/>
        <v>47754.36</v>
      </c>
      <c r="U206" s="93">
        <f t="shared" si="153"/>
        <v>48709.4472</v>
      </c>
      <c r="V206" s="93">
        <f t="shared" si="153"/>
        <v>72869.33301</v>
      </c>
      <c r="W206" s="93">
        <f t="shared" si="153"/>
        <v>90205.60978</v>
      </c>
      <c r="X206" s="93">
        <f t="shared" si="153"/>
        <v>162998.4962</v>
      </c>
      <c r="Y206" s="93">
        <f t="shared" si="153"/>
        <v>226013.0946</v>
      </c>
      <c r="Z206" s="93">
        <f t="shared" si="153"/>
        <v>289331.9109</v>
      </c>
      <c r="AA206" s="93">
        <f t="shared" si="153"/>
        <v>332785.4767</v>
      </c>
      <c r="AB206" s="93">
        <f t="shared" si="153"/>
        <v>402853.2759</v>
      </c>
      <c r="AC206" s="93">
        <f t="shared" si="153"/>
        <v>444011.4523</v>
      </c>
      <c r="AD206" s="93">
        <f t="shared" si="153"/>
        <v>446294.2875</v>
      </c>
      <c r="AE206" s="93">
        <f t="shared" si="153"/>
        <v>359030.1714</v>
      </c>
      <c r="AF206" s="93">
        <f t="shared" si="153"/>
        <v>44413.65516</v>
      </c>
      <c r="AG206" s="93">
        <f t="shared" ref="AG206:AP206" si="154">ROUNDDOWN((AH6-AG6)/3,0)*$G206</f>
        <v>0</v>
      </c>
      <c r="AH206" s="93">
        <f t="shared" si="154"/>
        <v>0</v>
      </c>
      <c r="AI206" s="93">
        <f t="shared" si="154"/>
        <v>0</v>
      </c>
      <c r="AJ206" s="93">
        <f t="shared" si="154"/>
        <v>0</v>
      </c>
      <c r="AK206" s="93">
        <f t="shared" si="154"/>
        <v>0</v>
      </c>
      <c r="AL206" s="93">
        <f t="shared" si="154"/>
        <v>0</v>
      </c>
      <c r="AM206" s="93">
        <f t="shared" si="154"/>
        <v>0</v>
      </c>
      <c r="AN206" s="93">
        <f t="shared" si="154"/>
        <v>0</v>
      </c>
      <c r="AO206" s="93">
        <f t="shared" si="154"/>
        <v>0</v>
      </c>
      <c r="AP206" s="93">
        <f t="shared" si="154"/>
        <v>-2499000</v>
      </c>
      <c r="AQ206" s="99"/>
      <c r="AR206" s="99"/>
      <c r="AS206" s="99"/>
      <c r="AT206" s="99"/>
      <c r="AU206" s="99"/>
      <c r="AV206" s="99"/>
    </row>
    <row r="207" ht="12.75" hidden="1" customHeight="1" outlineLevel="1">
      <c r="A207" s="90"/>
      <c r="B207" s="90"/>
      <c r="C207" s="67"/>
      <c r="D207" s="90"/>
      <c r="E207" s="90" t="s">
        <v>365</v>
      </c>
      <c r="F207" s="90"/>
      <c r="G207" s="225">
        <v>3000.0</v>
      </c>
      <c r="H207" s="226" t="s">
        <v>352</v>
      </c>
      <c r="I207" s="196"/>
      <c r="J207" s="99"/>
      <c r="K207" s="99"/>
      <c r="L207" s="99"/>
      <c r="M207" s="93">
        <f t="shared" ref="M207:AP207" si="155">$G207*M6*M28</f>
        <v>9000</v>
      </c>
      <c r="N207" s="93">
        <f t="shared" si="155"/>
        <v>15000</v>
      </c>
      <c r="O207" s="93">
        <f t="shared" si="155"/>
        <v>24000</v>
      </c>
      <c r="P207" s="93">
        <f t="shared" si="155"/>
        <v>39000</v>
      </c>
      <c r="Q207" s="93">
        <f t="shared" si="155"/>
        <v>63000</v>
      </c>
      <c r="R207" s="93">
        <f t="shared" si="155"/>
        <v>104040</v>
      </c>
      <c r="S207" s="93">
        <f t="shared" si="155"/>
        <v>174787.2</v>
      </c>
      <c r="T207" s="93">
        <f t="shared" si="155"/>
        <v>286526.16</v>
      </c>
      <c r="U207" s="93">
        <f t="shared" si="155"/>
        <v>438385.0248</v>
      </c>
      <c r="V207" s="93">
        <f t="shared" si="155"/>
        <v>596203.6337</v>
      </c>
      <c r="W207" s="93">
        <f t="shared" si="155"/>
        <v>831107.8654</v>
      </c>
      <c r="X207" s="93">
        <f t="shared" si="155"/>
        <v>1123414.583</v>
      </c>
      <c r="Y207" s="93">
        <f t="shared" si="155"/>
        <v>1645009.771</v>
      </c>
      <c r="Z207" s="93">
        <f t="shared" si="155"/>
        <v>2369868.564</v>
      </c>
      <c r="AA207" s="93">
        <f t="shared" si="155"/>
        <v>3302255.884</v>
      </c>
      <c r="AB207" s="93">
        <f t="shared" si="155"/>
        <v>4386624.56</v>
      </c>
      <c r="AC207" s="93">
        <f t="shared" si="155"/>
        <v>5707088.076</v>
      </c>
      <c r="AD207" s="93">
        <f t="shared" si="155"/>
        <v>7179516.799</v>
      </c>
      <c r="AE207" s="93">
        <f t="shared" si="155"/>
        <v>8688767.655</v>
      </c>
      <c r="AF207" s="93">
        <f t="shared" si="155"/>
        <v>9960771.572</v>
      </c>
      <c r="AG207" s="93">
        <f t="shared" si="155"/>
        <v>10295892.79</v>
      </c>
      <c r="AH207" s="93">
        <f t="shared" si="155"/>
        <v>10501810.64</v>
      </c>
      <c r="AI207" s="93">
        <f t="shared" si="155"/>
        <v>10711846.86</v>
      </c>
      <c r="AJ207" s="93">
        <f t="shared" si="155"/>
        <v>10926083.79</v>
      </c>
      <c r="AK207" s="93">
        <f t="shared" si="155"/>
        <v>11144605.47</v>
      </c>
      <c r="AL207" s="93">
        <f t="shared" si="155"/>
        <v>11367497.58</v>
      </c>
      <c r="AM207" s="93">
        <f t="shared" si="155"/>
        <v>11594847.53</v>
      </c>
      <c r="AN207" s="93">
        <f t="shared" si="155"/>
        <v>11826744.48</v>
      </c>
      <c r="AO207" s="93">
        <f t="shared" si="155"/>
        <v>12063279.37</v>
      </c>
      <c r="AP207" s="93">
        <f t="shared" si="155"/>
        <v>12304544.96</v>
      </c>
      <c r="AQ207" s="125"/>
      <c r="AR207" s="125"/>
      <c r="AS207" s="125"/>
      <c r="AT207" s="125"/>
      <c r="AU207" s="125"/>
      <c r="AV207" s="125"/>
    </row>
    <row r="208" ht="12.75" hidden="1" customHeight="1" outlineLevel="1">
      <c r="A208" s="90"/>
      <c r="B208" s="90"/>
      <c r="C208" s="67"/>
      <c r="D208" s="90"/>
      <c r="E208" s="90" t="s">
        <v>366</v>
      </c>
      <c r="F208" s="90"/>
      <c r="G208" s="225">
        <v>3000.0</v>
      </c>
      <c r="H208" s="226" t="s">
        <v>367</v>
      </c>
      <c r="I208" s="196"/>
      <c r="J208" s="99"/>
      <c r="K208" s="99"/>
      <c r="L208" s="99"/>
      <c r="M208" s="93">
        <v>6000.0</v>
      </c>
      <c r="N208" s="93">
        <v>9000.0</v>
      </c>
      <c r="O208" s="93">
        <v>9000.0</v>
      </c>
      <c r="P208" s="93">
        <v>12000.0</v>
      </c>
      <c r="Q208" s="93">
        <f>(S6-R6)*$G208/2</f>
        <v>33000</v>
      </c>
      <c r="R208" s="93">
        <f t="shared" ref="R208:AF208" si="156">(T6-S6)*$G208*R28/2</f>
        <v>52020</v>
      </c>
      <c r="S208" s="93">
        <f t="shared" si="156"/>
        <v>70227</v>
      </c>
      <c r="T208" s="93">
        <f t="shared" si="156"/>
        <v>71631.54</v>
      </c>
      <c r="U208" s="93">
        <f t="shared" si="156"/>
        <v>107160.7838</v>
      </c>
      <c r="V208" s="93">
        <f t="shared" si="156"/>
        <v>132489.6964</v>
      </c>
      <c r="W208" s="93">
        <f t="shared" si="156"/>
        <v>239872.5953</v>
      </c>
      <c r="X208" s="93">
        <f t="shared" si="156"/>
        <v>332544.5008</v>
      </c>
      <c r="Y208" s="93">
        <f t="shared" si="156"/>
        <v>425312.3553</v>
      </c>
      <c r="Z208" s="93">
        <f t="shared" si="156"/>
        <v>489390.4069</v>
      </c>
      <c r="AA208" s="93">
        <f t="shared" si="156"/>
        <v>592431.2881</v>
      </c>
      <c r="AB208" s="93">
        <f t="shared" si="156"/>
        <v>652771.5119</v>
      </c>
      <c r="AC208" s="93">
        <f t="shared" si="156"/>
        <v>656315.1287</v>
      </c>
      <c r="AD208" s="93">
        <f t="shared" si="156"/>
        <v>527791.5052</v>
      </c>
      <c r="AE208" s="93">
        <f t="shared" si="156"/>
        <v>65314.19877</v>
      </c>
      <c r="AF208" s="93">
        <f t="shared" si="156"/>
        <v>0</v>
      </c>
      <c r="AG208" s="93">
        <f t="shared" ref="AG208:AP208" si="157">(AI6-AH6)*$G208/2</f>
        <v>0</v>
      </c>
      <c r="AH208" s="93">
        <f t="shared" si="157"/>
        <v>0</v>
      </c>
      <c r="AI208" s="93">
        <f t="shared" si="157"/>
        <v>0</v>
      </c>
      <c r="AJ208" s="93">
        <f t="shared" si="157"/>
        <v>0</v>
      </c>
      <c r="AK208" s="93">
        <f t="shared" si="157"/>
        <v>0</v>
      </c>
      <c r="AL208" s="93">
        <f t="shared" si="157"/>
        <v>0</v>
      </c>
      <c r="AM208" s="93">
        <f t="shared" si="157"/>
        <v>0</v>
      </c>
      <c r="AN208" s="93">
        <f t="shared" si="157"/>
        <v>0</v>
      </c>
      <c r="AO208" s="93">
        <f t="shared" si="157"/>
        <v>-3750000</v>
      </c>
      <c r="AP208" s="93">
        <f t="shared" si="157"/>
        <v>0</v>
      </c>
      <c r="AQ208" s="125"/>
      <c r="AR208" s="125"/>
      <c r="AS208" s="125"/>
      <c r="AT208" s="125"/>
      <c r="AU208" s="125"/>
      <c r="AV208" s="125"/>
    </row>
    <row r="209" ht="12.75" hidden="1" customHeight="1" outlineLevel="1">
      <c r="A209" s="90"/>
      <c r="B209" s="90"/>
      <c r="C209" s="67"/>
      <c r="D209" s="90"/>
      <c r="E209" s="90" t="s">
        <v>368</v>
      </c>
      <c r="F209" s="90"/>
      <c r="G209" s="225">
        <v>10000.0</v>
      </c>
      <c r="H209" s="226" t="s">
        <v>320</v>
      </c>
      <c r="I209" s="196"/>
      <c r="J209" s="99"/>
      <c r="K209" s="99"/>
      <c r="L209" s="99"/>
      <c r="M209" s="93">
        <v>10000.0</v>
      </c>
      <c r="N209" s="93">
        <v>10000.0</v>
      </c>
      <c r="O209" s="93">
        <v>0.0</v>
      </c>
      <c r="P209" s="93">
        <v>0.0</v>
      </c>
      <c r="Q209" s="93">
        <v>0.0</v>
      </c>
      <c r="R209" s="93">
        <v>0.0</v>
      </c>
      <c r="S209" s="93">
        <v>0.0</v>
      </c>
      <c r="T209" s="93">
        <v>0.0</v>
      </c>
      <c r="U209" s="93">
        <v>0.0</v>
      </c>
      <c r="V209" s="93">
        <v>0.0</v>
      </c>
      <c r="W209" s="93">
        <v>0.0</v>
      </c>
      <c r="X209" s="93">
        <v>0.0</v>
      </c>
      <c r="Y209" s="93">
        <v>0.0</v>
      </c>
      <c r="Z209" s="93">
        <v>0.0</v>
      </c>
      <c r="AA209" s="93">
        <v>0.0</v>
      </c>
      <c r="AB209" s="93">
        <v>0.0</v>
      </c>
      <c r="AC209" s="93">
        <v>0.0</v>
      </c>
      <c r="AD209" s="93">
        <v>0.0</v>
      </c>
      <c r="AE209" s="93">
        <v>0.0</v>
      </c>
      <c r="AF209" s="93">
        <v>0.0</v>
      </c>
      <c r="AG209" s="93">
        <v>0.0</v>
      </c>
      <c r="AH209" s="93">
        <v>0.0</v>
      </c>
      <c r="AI209" s="93">
        <v>0.0</v>
      </c>
      <c r="AJ209" s="93">
        <v>0.0</v>
      </c>
      <c r="AK209" s="93">
        <v>0.0</v>
      </c>
      <c r="AL209" s="93">
        <v>0.0</v>
      </c>
      <c r="AM209" s="93">
        <v>0.0</v>
      </c>
      <c r="AN209" s="93">
        <v>0.0</v>
      </c>
      <c r="AO209" s="93">
        <v>0.0</v>
      </c>
      <c r="AP209" s="93">
        <v>0.0</v>
      </c>
      <c r="AQ209" s="99"/>
      <c r="AR209" s="99"/>
      <c r="AS209" s="99"/>
      <c r="AT209" s="99"/>
      <c r="AU209" s="99"/>
      <c r="AV209" s="99"/>
    </row>
    <row r="210" ht="12.75" hidden="1" customHeight="1" outlineLevel="1">
      <c r="A210" s="90"/>
      <c r="B210" s="90"/>
      <c r="C210" s="67"/>
      <c r="D210" s="90"/>
      <c r="E210" s="90" t="s">
        <v>369</v>
      </c>
      <c r="F210" s="90"/>
      <c r="G210" s="225">
        <v>20000.0</v>
      </c>
      <c r="H210" s="226" t="s">
        <v>320</v>
      </c>
      <c r="I210" s="196"/>
      <c r="J210" s="99"/>
      <c r="K210" s="99"/>
      <c r="L210" s="99"/>
      <c r="M210" s="93">
        <v>20000.0</v>
      </c>
      <c r="N210" s="93">
        <v>20000.0</v>
      </c>
      <c r="O210" s="93">
        <v>0.0</v>
      </c>
      <c r="P210" s="93">
        <v>0.0</v>
      </c>
      <c r="Q210" s="93">
        <v>0.0</v>
      </c>
      <c r="R210" s="93">
        <v>0.0</v>
      </c>
      <c r="S210" s="93">
        <v>0.0</v>
      </c>
      <c r="T210" s="93">
        <v>0.0</v>
      </c>
      <c r="U210" s="93">
        <v>0.0</v>
      </c>
      <c r="V210" s="93">
        <v>0.0</v>
      </c>
      <c r="W210" s="93">
        <v>0.0</v>
      </c>
      <c r="X210" s="93">
        <v>0.0</v>
      </c>
      <c r="Y210" s="93">
        <v>0.0</v>
      </c>
      <c r="Z210" s="93">
        <v>0.0</v>
      </c>
      <c r="AA210" s="93">
        <v>0.0</v>
      </c>
      <c r="AB210" s="93">
        <v>0.0</v>
      </c>
      <c r="AC210" s="93">
        <v>0.0</v>
      </c>
      <c r="AD210" s="93">
        <v>0.0</v>
      </c>
      <c r="AE210" s="93">
        <v>0.0</v>
      </c>
      <c r="AF210" s="93">
        <v>0.0</v>
      </c>
      <c r="AG210" s="93">
        <v>0.0</v>
      </c>
      <c r="AH210" s="93">
        <v>0.0</v>
      </c>
      <c r="AI210" s="93">
        <v>0.0</v>
      </c>
      <c r="AJ210" s="93">
        <v>0.0</v>
      </c>
      <c r="AK210" s="93">
        <v>0.0</v>
      </c>
      <c r="AL210" s="93">
        <v>0.0</v>
      </c>
      <c r="AM210" s="93">
        <v>0.0</v>
      </c>
      <c r="AN210" s="93">
        <v>0.0</v>
      </c>
      <c r="AO210" s="93">
        <v>0.0</v>
      </c>
      <c r="AP210" s="93">
        <v>0.0</v>
      </c>
      <c r="AQ210" s="99"/>
      <c r="AR210" s="99"/>
      <c r="AS210" s="99"/>
      <c r="AT210" s="99"/>
      <c r="AU210" s="99"/>
      <c r="AV210" s="99"/>
    </row>
    <row r="211" ht="12.75" hidden="1" customHeight="1" outlineLevel="1">
      <c r="A211" s="90"/>
      <c r="B211" s="90"/>
      <c r="C211" s="67"/>
      <c r="D211" s="90"/>
      <c r="E211" s="90" t="s">
        <v>370</v>
      </c>
      <c r="F211" s="90"/>
      <c r="G211" s="225">
        <v>15000.0</v>
      </c>
      <c r="H211" s="226" t="s">
        <v>371</v>
      </c>
      <c r="I211" s="196"/>
      <c r="J211" s="99"/>
      <c r="K211" s="99"/>
      <c r="L211" s="99"/>
      <c r="M211" s="93">
        <v>20000.0</v>
      </c>
      <c r="N211" s="93">
        <f t="shared" ref="N211:AP211" si="158">$G211*N$8*N28</f>
        <v>15000</v>
      </c>
      <c r="O211" s="93">
        <f t="shared" si="158"/>
        <v>15000</v>
      </c>
      <c r="P211" s="93">
        <f t="shared" si="158"/>
        <v>30000</v>
      </c>
      <c r="Q211" s="93">
        <f t="shared" si="158"/>
        <v>30000</v>
      </c>
      <c r="R211" s="93">
        <f t="shared" si="158"/>
        <v>61200</v>
      </c>
      <c r="S211" s="93">
        <f t="shared" si="158"/>
        <v>109242</v>
      </c>
      <c r="T211" s="93">
        <f t="shared" si="158"/>
        <v>191017.44</v>
      </c>
      <c r="U211" s="93">
        <f t="shared" si="158"/>
        <v>324729.648</v>
      </c>
      <c r="V211" s="93">
        <f t="shared" si="158"/>
        <v>546519.9976</v>
      </c>
      <c r="W211" s="93">
        <f t="shared" si="158"/>
        <v>844621.8144</v>
      </c>
      <c r="X211" s="93">
        <f t="shared" si="158"/>
        <v>861514.2507</v>
      </c>
      <c r="Y211" s="93">
        <f t="shared" si="158"/>
        <v>878744.5358</v>
      </c>
      <c r="Z211" s="93">
        <f t="shared" si="158"/>
        <v>896319.4265</v>
      </c>
      <c r="AA211" s="93">
        <f t="shared" si="158"/>
        <v>914245.815</v>
      </c>
      <c r="AB211" s="93">
        <f t="shared" si="158"/>
        <v>932530.7313</v>
      </c>
      <c r="AC211" s="93">
        <f t="shared" si="158"/>
        <v>951181.3459</v>
      </c>
      <c r="AD211" s="93">
        <f t="shared" si="158"/>
        <v>970204.9728</v>
      </c>
      <c r="AE211" s="93">
        <f t="shared" si="158"/>
        <v>989609.0723</v>
      </c>
      <c r="AF211" s="93">
        <f t="shared" si="158"/>
        <v>1009401.254</v>
      </c>
      <c r="AG211" s="93">
        <f t="shared" si="158"/>
        <v>1029589.279</v>
      </c>
      <c r="AH211" s="93">
        <f t="shared" si="158"/>
        <v>1050181.064</v>
      </c>
      <c r="AI211" s="93">
        <f t="shared" si="158"/>
        <v>1071184.686</v>
      </c>
      <c r="AJ211" s="93">
        <f t="shared" si="158"/>
        <v>1092608.379</v>
      </c>
      <c r="AK211" s="93">
        <f t="shared" si="158"/>
        <v>1114460.547</v>
      </c>
      <c r="AL211" s="93">
        <f t="shared" si="158"/>
        <v>1136749.758</v>
      </c>
      <c r="AM211" s="93">
        <f t="shared" si="158"/>
        <v>1159484.753</v>
      </c>
      <c r="AN211" s="93">
        <f t="shared" si="158"/>
        <v>1182674.448</v>
      </c>
      <c r="AO211" s="93">
        <f t="shared" si="158"/>
        <v>1206327.937</v>
      </c>
      <c r="AP211" s="93">
        <f t="shared" si="158"/>
        <v>1230454.496</v>
      </c>
      <c r="AQ211" s="99"/>
      <c r="AR211" s="99"/>
      <c r="AS211" s="99"/>
      <c r="AT211" s="99"/>
      <c r="AU211" s="99"/>
      <c r="AV211" s="99"/>
    </row>
    <row r="212" ht="12.75" hidden="1" customHeight="1" outlineLevel="1">
      <c r="A212" s="67"/>
      <c r="B212" s="67"/>
      <c r="C212" s="67"/>
      <c r="D212" s="67" t="s">
        <v>372</v>
      </c>
      <c r="E212" s="67"/>
      <c r="F212" s="67"/>
      <c r="G212" s="234"/>
      <c r="H212" s="235"/>
      <c r="I212" s="86"/>
      <c r="J212" s="79"/>
      <c r="K212" s="79"/>
      <c r="L212" s="79"/>
      <c r="M212" s="115">
        <f t="shared" ref="M212:AP212" si="159">SUM(M202:M211)</f>
        <v>94000</v>
      </c>
      <c r="N212" s="115">
        <f t="shared" si="159"/>
        <v>100000</v>
      </c>
      <c r="O212" s="115">
        <f t="shared" si="159"/>
        <v>84000</v>
      </c>
      <c r="P212" s="115">
        <f t="shared" si="159"/>
        <v>133000</v>
      </c>
      <c r="Q212" s="115">
        <f t="shared" si="159"/>
        <v>211000</v>
      </c>
      <c r="R212" s="115">
        <f t="shared" si="159"/>
        <v>391578</v>
      </c>
      <c r="S212" s="115">
        <f t="shared" si="159"/>
        <v>653787.36</v>
      </c>
      <c r="T212" s="115">
        <f t="shared" si="159"/>
        <v>1000188.54</v>
      </c>
      <c r="U212" s="115">
        <f t="shared" si="159"/>
        <v>1487261.788</v>
      </c>
      <c r="V212" s="115">
        <f t="shared" si="159"/>
        <v>2033716.839</v>
      </c>
      <c r="W212" s="115">
        <f t="shared" si="159"/>
        <v>2978812.215</v>
      </c>
      <c r="X212" s="115">
        <f t="shared" si="159"/>
        <v>3801460.349</v>
      </c>
      <c r="Y212" s="115">
        <f t="shared" si="159"/>
        <v>5265320.092</v>
      </c>
      <c r="Z212" s="115">
        <f t="shared" si="159"/>
        <v>6969301.823</v>
      </c>
      <c r="AA212" s="115">
        <f t="shared" si="159"/>
        <v>8993740.831</v>
      </c>
      <c r="AB212" s="115">
        <f t="shared" si="159"/>
        <v>11190368.78</v>
      </c>
      <c r="AC212" s="115">
        <f t="shared" si="159"/>
        <v>13770062.11</v>
      </c>
      <c r="AD212" s="115">
        <f t="shared" si="159"/>
        <v>16223120.75</v>
      </c>
      <c r="AE212" s="115">
        <f t="shared" si="159"/>
        <v>18015635.24</v>
      </c>
      <c r="AF212" s="115">
        <f t="shared" si="159"/>
        <v>18877149.31</v>
      </c>
      <c r="AG212" s="115">
        <f t="shared" si="159"/>
        <v>17543134.53</v>
      </c>
      <c r="AH212" s="115">
        <f t="shared" si="159"/>
        <v>17652957.39</v>
      </c>
      <c r="AI212" s="115">
        <f t="shared" si="159"/>
        <v>17996016.53</v>
      </c>
      <c r="AJ212" s="115">
        <f t="shared" si="159"/>
        <v>18345936.86</v>
      </c>
      <c r="AK212" s="115">
        <f t="shared" si="159"/>
        <v>18702855.6</v>
      </c>
      <c r="AL212" s="115">
        <f t="shared" si="159"/>
        <v>19066912.71</v>
      </c>
      <c r="AM212" s="115">
        <f t="shared" si="159"/>
        <v>19438250.97</v>
      </c>
      <c r="AN212" s="115">
        <f t="shared" si="159"/>
        <v>19817015.99</v>
      </c>
      <c r="AO212" s="115">
        <f t="shared" si="159"/>
        <v>16453356.31</v>
      </c>
      <c r="AP212" s="115">
        <f t="shared" si="159"/>
        <v>13496908.45</v>
      </c>
      <c r="AQ212" s="79"/>
      <c r="AR212" s="79"/>
      <c r="AS212" s="79"/>
      <c r="AT212" s="79"/>
      <c r="AU212" s="79"/>
      <c r="AV212" s="79"/>
    </row>
    <row r="213" ht="12.75" hidden="1" customHeight="1" outlineLevel="1">
      <c r="A213" s="90"/>
      <c r="B213" s="90"/>
      <c r="C213" s="67"/>
      <c r="D213" s="90"/>
      <c r="E213" s="90"/>
      <c r="F213" s="90"/>
      <c r="G213" s="90"/>
      <c r="H213" s="90"/>
      <c r="I213" s="196"/>
      <c r="J213" s="99"/>
      <c r="K213" s="99"/>
      <c r="L213" s="99"/>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79"/>
      <c r="AR213" s="79"/>
      <c r="AS213" s="79"/>
      <c r="AT213" s="79"/>
      <c r="AU213" s="79"/>
      <c r="AV213" s="79"/>
    </row>
    <row r="214" ht="12.75" hidden="1" customHeight="1" outlineLevel="1">
      <c r="A214" s="90"/>
      <c r="B214" s="90"/>
      <c r="C214" s="67"/>
      <c r="D214" s="67" t="s">
        <v>309</v>
      </c>
      <c r="E214" s="90"/>
      <c r="F214" s="90"/>
      <c r="G214" s="90" t="s">
        <v>124</v>
      </c>
      <c r="H214" s="90"/>
      <c r="I214" s="196"/>
      <c r="J214" s="99"/>
      <c r="K214" s="99"/>
      <c r="L214" s="99"/>
      <c r="M214" s="236">
        <f>SUM('National Staffing'!K99:K112)</f>
        <v>4</v>
      </c>
      <c r="N214" s="236">
        <f>SUM('National Staffing'!L99:L112)</f>
        <v>4</v>
      </c>
      <c r="O214" s="236">
        <f>SUM('National Staffing'!M99:M112)</f>
        <v>5</v>
      </c>
      <c r="P214" s="236">
        <f>SUM('National Staffing'!N99:N112)</f>
        <v>6</v>
      </c>
      <c r="Q214" s="236">
        <f>SUM('National Staffing'!O99:O112)</f>
        <v>11</v>
      </c>
      <c r="R214" s="236">
        <f>SUM('National Staffing'!P99:P112)</f>
        <v>13</v>
      </c>
      <c r="S214" s="236">
        <f>SUM('National Staffing'!Q99:Q112)</f>
        <v>21</v>
      </c>
      <c r="T214" s="236">
        <f>SUM('National Staffing'!R99:R112)</f>
        <v>30</v>
      </c>
      <c r="U214" s="236">
        <f>SUM('National Staffing'!S99:S112)</f>
        <v>40</v>
      </c>
      <c r="V214" s="236">
        <f>SUM('National Staffing'!T99:T112)</f>
        <v>44</v>
      </c>
      <c r="W214" s="236">
        <f>SUM('National Staffing'!U99:U112)</f>
        <v>53</v>
      </c>
      <c r="X214" s="236">
        <f>SUM('National Staffing'!V99:V112)</f>
        <v>66</v>
      </c>
      <c r="Y214" s="236">
        <f>SUM('National Staffing'!W99:W112)</f>
        <v>93</v>
      </c>
      <c r="Z214" s="236">
        <f>SUM('National Staffing'!X99:X112)</f>
        <v>128</v>
      </c>
      <c r="AA214" s="236">
        <f>SUM('National Staffing'!Y99:Y112)</f>
        <v>172</v>
      </c>
      <c r="AB214" s="236">
        <f>SUM('National Staffing'!Z99:Z112)</f>
        <v>218</v>
      </c>
      <c r="AC214" s="236">
        <f>SUM('National Staffing'!AA99:AA112)</f>
        <v>275</v>
      </c>
      <c r="AD214" s="236">
        <f>SUM('National Staffing'!AB99:AB112)</f>
        <v>337</v>
      </c>
      <c r="AE214" s="236">
        <f>SUM('National Staffing'!AC99:AC112)</f>
        <v>393</v>
      </c>
      <c r="AF214" s="236">
        <f>SUM('National Staffing'!AD99:AD112)</f>
        <v>438</v>
      </c>
      <c r="AG214" s="236">
        <f>SUM('National Staffing'!AE99:AE112)</f>
        <v>430</v>
      </c>
      <c r="AH214" s="236">
        <f>SUM('National Staffing'!AF99:AF112)</f>
        <v>429</v>
      </c>
      <c r="AI214" s="236">
        <f>SUM('National Staffing'!AG99:AG112)</f>
        <v>429</v>
      </c>
      <c r="AJ214" s="236">
        <f>SUM('National Staffing'!AH99:AH112)</f>
        <v>429</v>
      </c>
      <c r="AK214" s="236">
        <f>SUM('National Staffing'!AI99:AI112)</f>
        <v>429</v>
      </c>
      <c r="AL214" s="236">
        <f>SUM('National Staffing'!AJ99:AJ112)</f>
        <v>429</v>
      </c>
      <c r="AM214" s="236">
        <f>SUM('National Staffing'!AK99:AK112)</f>
        <v>429</v>
      </c>
      <c r="AN214" s="236">
        <f>SUM('National Staffing'!AL99:AL112)</f>
        <v>429</v>
      </c>
      <c r="AO214" s="236">
        <f>SUM('National Staffing'!AM99:AM112)</f>
        <v>427</v>
      </c>
      <c r="AP214" s="236">
        <f>SUM('National Staffing'!AN99:AN112)</f>
        <v>427</v>
      </c>
      <c r="AQ214" s="79"/>
      <c r="AR214" s="79"/>
      <c r="AS214" s="79"/>
      <c r="AT214" s="79"/>
      <c r="AU214" s="79"/>
      <c r="AV214" s="79"/>
    </row>
    <row r="215" ht="12.75" hidden="1" customHeight="1" outlineLevel="1">
      <c r="A215" s="90"/>
      <c r="B215" s="90"/>
      <c r="C215" s="67"/>
      <c r="D215" s="90"/>
      <c r="E215" s="68" t="s">
        <v>373</v>
      </c>
      <c r="F215" s="90"/>
      <c r="G215" s="225">
        <v>30000.0</v>
      </c>
      <c r="H215" s="226" t="s">
        <v>320</v>
      </c>
      <c r="I215" s="196"/>
      <c r="J215" s="99"/>
      <c r="K215" s="99"/>
      <c r="L215" s="99"/>
      <c r="M215" s="93">
        <f>$G215</f>
        <v>30000</v>
      </c>
      <c r="N215" s="93">
        <f t="shared" ref="N215:AP215" si="160">MIN(20000000,(M215+600*(N6-3))*M28)</f>
        <v>31200</v>
      </c>
      <c r="O215" s="93">
        <f t="shared" si="160"/>
        <v>34200</v>
      </c>
      <c r="P215" s="93">
        <f t="shared" si="160"/>
        <v>40200</v>
      </c>
      <c r="Q215" s="93">
        <f t="shared" si="160"/>
        <v>51000</v>
      </c>
      <c r="R215" s="93">
        <f t="shared" si="160"/>
        <v>69600</v>
      </c>
      <c r="S215" s="93">
        <f t="shared" si="160"/>
        <v>103428</v>
      </c>
      <c r="T215" s="93">
        <f t="shared" si="160"/>
        <v>161915.3712</v>
      </c>
      <c r="U215" s="93">
        <f t="shared" si="160"/>
        <v>255873.5608</v>
      </c>
      <c r="V215" s="93">
        <f t="shared" si="160"/>
        <v>391920.0665</v>
      </c>
      <c r="W215" s="93">
        <f t="shared" si="160"/>
        <v>593686.403</v>
      </c>
      <c r="X215" s="93">
        <f t="shared" si="160"/>
        <v>886837.5927</v>
      </c>
      <c r="Y215" s="93">
        <f t="shared" si="160"/>
        <v>1339180.934</v>
      </c>
      <c r="Z215" s="93">
        <f t="shared" si="160"/>
        <v>2031635.027</v>
      </c>
      <c r="AA215" s="93">
        <f t="shared" si="160"/>
        <v>3073341.91</v>
      </c>
      <c r="AB215" s="93">
        <f t="shared" si="160"/>
        <v>4604314.912</v>
      </c>
      <c r="AC215" s="93">
        <f t="shared" si="160"/>
        <v>6841685.673</v>
      </c>
      <c r="AD215" s="93">
        <f t="shared" si="160"/>
        <v>10082377.27</v>
      </c>
      <c r="AE215" s="93">
        <f t="shared" si="160"/>
        <v>14743981.53</v>
      </c>
      <c r="AF215" s="93">
        <f t="shared" si="160"/>
        <v>20000000</v>
      </c>
      <c r="AG215" s="93">
        <f t="shared" si="160"/>
        <v>20000000</v>
      </c>
      <c r="AH215" s="93">
        <f t="shared" si="160"/>
        <v>20000000</v>
      </c>
      <c r="AI215" s="93">
        <f t="shared" si="160"/>
        <v>20000000</v>
      </c>
      <c r="AJ215" s="93">
        <f t="shared" si="160"/>
        <v>20000000</v>
      </c>
      <c r="AK215" s="93">
        <f t="shared" si="160"/>
        <v>20000000</v>
      </c>
      <c r="AL215" s="93">
        <f t="shared" si="160"/>
        <v>20000000</v>
      </c>
      <c r="AM215" s="93">
        <f t="shared" si="160"/>
        <v>20000000</v>
      </c>
      <c r="AN215" s="93">
        <f t="shared" si="160"/>
        <v>20000000</v>
      </c>
      <c r="AO215" s="93">
        <f t="shared" si="160"/>
        <v>20000000</v>
      </c>
      <c r="AP215" s="93">
        <f t="shared" si="160"/>
        <v>20000000</v>
      </c>
      <c r="AQ215" s="99"/>
      <c r="AR215" s="99"/>
      <c r="AS215" s="99"/>
      <c r="AT215" s="99"/>
      <c r="AU215" s="99"/>
      <c r="AV215" s="99"/>
    </row>
    <row r="216" ht="12.75" hidden="1" customHeight="1" outlineLevel="1">
      <c r="A216" s="90"/>
      <c r="B216" s="90"/>
      <c r="C216" s="67"/>
      <c r="D216" s="90"/>
      <c r="E216" s="68" t="s">
        <v>374</v>
      </c>
      <c r="F216" s="90"/>
      <c r="G216" s="225">
        <v>3000.0</v>
      </c>
      <c r="H216" s="226" t="s">
        <v>371</v>
      </c>
      <c r="I216" s="196"/>
      <c r="J216" s="99"/>
      <c r="K216" s="99"/>
      <c r="L216" s="99"/>
      <c r="M216" s="93">
        <f t="shared" ref="M216:AP216" si="161">$G216*M28*M8</f>
        <v>3000</v>
      </c>
      <c r="N216" s="93">
        <f t="shared" si="161"/>
        <v>3000</v>
      </c>
      <c r="O216" s="93">
        <f t="shared" si="161"/>
        <v>3000</v>
      </c>
      <c r="P216" s="93">
        <f t="shared" si="161"/>
        <v>6000</v>
      </c>
      <c r="Q216" s="93">
        <f t="shared" si="161"/>
        <v>6000</v>
      </c>
      <c r="R216" s="93">
        <f t="shared" si="161"/>
        <v>12240</v>
      </c>
      <c r="S216" s="93">
        <f t="shared" si="161"/>
        <v>21848.4</v>
      </c>
      <c r="T216" s="93">
        <f t="shared" si="161"/>
        <v>38203.488</v>
      </c>
      <c r="U216" s="93">
        <f t="shared" si="161"/>
        <v>64945.9296</v>
      </c>
      <c r="V216" s="93">
        <f t="shared" si="161"/>
        <v>109303.9995</v>
      </c>
      <c r="W216" s="93">
        <f t="shared" si="161"/>
        <v>168924.3629</v>
      </c>
      <c r="X216" s="93">
        <f t="shared" si="161"/>
        <v>172302.8501</v>
      </c>
      <c r="Y216" s="93">
        <f t="shared" si="161"/>
        <v>175748.9072</v>
      </c>
      <c r="Z216" s="93">
        <f t="shared" si="161"/>
        <v>179263.8853</v>
      </c>
      <c r="AA216" s="93">
        <f t="shared" si="161"/>
        <v>182849.163</v>
      </c>
      <c r="AB216" s="93">
        <f t="shared" si="161"/>
        <v>186506.1463</v>
      </c>
      <c r="AC216" s="93">
        <f t="shared" si="161"/>
        <v>190236.2692</v>
      </c>
      <c r="AD216" s="93">
        <f t="shared" si="161"/>
        <v>194040.9946</v>
      </c>
      <c r="AE216" s="93">
        <f t="shared" si="161"/>
        <v>197921.8145</v>
      </c>
      <c r="AF216" s="93">
        <f t="shared" si="161"/>
        <v>201880.2507</v>
      </c>
      <c r="AG216" s="93">
        <f t="shared" si="161"/>
        <v>205917.8558</v>
      </c>
      <c r="AH216" s="93">
        <f t="shared" si="161"/>
        <v>210036.2129</v>
      </c>
      <c r="AI216" s="93">
        <f t="shared" si="161"/>
        <v>214236.9371</v>
      </c>
      <c r="AJ216" s="93">
        <f t="shared" si="161"/>
        <v>218521.6759</v>
      </c>
      <c r="AK216" s="93">
        <f t="shared" si="161"/>
        <v>222892.1094</v>
      </c>
      <c r="AL216" s="93">
        <f t="shared" si="161"/>
        <v>227349.9516</v>
      </c>
      <c r="AM216" s="93">
        <f t="shared" si="161"/>
        <v>231896.9506</v>
      </c>
      <c r="AN216" s="93">
        <f t="shared" si="161"/>
        <v>236534.8896</v>
      </c>
      <c r="AO216" s="93">
        <f t="shared" si="161"/>
        <v>241265.5874</v>
      </c>
      <c r="AP216" s="93">
        <f t="shared" si="161"/>
        <v>246090.8992</v>
      </c>
      <c r="AQ216" s="99"/>
      <c r="AR216" s="99"/>
      <c r="AS216" s="99"/>
      <c r="AT216" s="99"/>
      <c r="AU216" s="99"/>
      <c r="AV216" s="99"/>
    </row>
    <row r="217" ht="12.75" hidden="1" customHeight="1" outlineLevel="1">
      <c r="A217" s="90"/>
      <c r="B217" s="90"/>
      <c r="C217" s="67"/>
      <c r="D217" s="90"/>
      <c r="E217" s="68" t="s">
        <v>375</v>
      </c>
      <c r="F217" s="90"/>
      <c r="G217" s="225">
        <v>1500.0</v>
      </c>
      <c r="H217" s="226" t="s">
        <v>324</v>
      </c>
      <c r="I217" s="196"/>
      <c r="J217" s="99"/>
      <c r="K217" s="99"/>
      <c r="L217" s="99"/>
      <c r="M217" s="93">
        <f t="shared" ref="M217:AP217" si="162">M214*$G217*M28</f>
        <v>6000</v>
      </c>
      <c r="N217" s="93">
        <f t="shared" si="162"/>
        <v>6000</v>
      </c>
      <c r="O217" s="93">
        <f t="shared" si="162"/>
        <v>7500</v>
      </c>
      <c r="P217" s="93">
        <f t="shared" si="162"/>
        <v>9000</v>
      </c>
      <c r="Q217" s="93">
        <f t="shared" si="162"/>
        <v>16500</v>
      </c>
      <c r="R217" s="93">
        <f t="shared" si="162"/>
        <v>19890</v>
      </c>
      <c r="S217" s="93">
        <f t="shared" si="162"/>
        <v>32772.6</v>
      </c>
      <c r="T217" s="93">
        <f t="shared" si="162"/>
        <v>47754.36</v>
      </c>
      <c r="U217" s="93">
        <f t="shared" si="162"/>
        <v>64945.9296</v>
      </c>
      <c r="V217" s="93">
        <f t="shared" si="162"/>
        <v>72869.33301</v>
      </c>
      <c r="W217" s="93">
        <f t="shared" si="162"/>
        <v>89529.91233</v>
      </c>
      <c r="X217" s="93">
        <f t="shared" si="162"/>
        <v>113719.8811</v>
      </c>
      <c r="Y217" s="93">
        <f t="shared" si="162"/>
        <v>163446.4836</v>
      </c>
      <c r="Z217" s="93">
        <f t="shared" si="162"/>
        <v>229457.7732</v>
      </c>
      <c r="AA217" s="93">
        <f t="shared" si="162"/>
        <v>314500.5604</v>
      </c>
      <c r="AB217" s="93">
        <f t="shared" si="162"/>
        <v>406583.3988</v>
      </c>
      <c r="AC217" s="93">
        <f t="shared" si="162"/>
        <v>523149.7403</v>
      </c>
      <c r="AD217" s="93">
        <f t="shared" si="162"/>
        <v>653918.1517</v>
      </c>
      <c r="AE217" s="93">
        <f t="shared" si="162"/>
        <v>777832.7308</v>
      </c>
      <c r="AF217" s="93">
        <f t="shared" si="162"/>
        <v>884235.4983</v>
      </c>
      <c r="AG217" s="93">
        <f t="shared" si="162"/>
        <v>885446.7798</v>
      </c>
      <c r="AH217" s="93">
        <f t="shared" si="162"/>
        <v>901055.3533</v>
      </c>
      <c r="AI217" s="93">
        <f t="shared" si="162"/>
        <v>919076.4603</v>
      </c>
      <c r="AJ217" s="93">
        <f t="shared" si="162"/>
        <v>937457.9895</v>
      </c>
      <c r="AK217" s="93">
        <f t="shared" si="162"/>
        <v>956207.1493</v>
      </c>
      <c r="AL217" s="93">
        <f t="shared" si="162"/>
        <v>975331.2923</v>
      </c>
      <c r="AM217" s="93">
        <f t="shared" si="162"/>
        <v>994837.9181</v>
      </c>
      <c r="AN217" s="93">
        <f t="shared" si="162"/>
        <v>1014734.677</v>
      </c>
      <c r="AO217" s="93">
        <f t="shared" si="162"/>
        <v>1030204.058</v>
      </c>
      <c r="AP217" s="93">
        <f t="shared" si="162"/>
        <v>1050808.139</v>
      </c>
      <c r="AQ217" s="99"/>
      <c r="AR217" s="99"/>
      <c r="AS217" s="99"/>
      <c r="AT217" s="99"/>
      <c r="AU217" s="99"/>
      <c r="AV217" s="99"/>
    </row>
    <row r="218" ht="12.75" hidden="1" customHeight="1" outlineLevel="1">
      <c r="A218" s="90"/>
      <c r="B218" s="90"/>
      <c r="C218" s="67"/>
      <c r="D218" s="90"/>
      <c r="E218" s="68" t="s">
        <v>339</v>
      </c>
      <c r="F218" s="90"/>
      <c r="G218" s="225">
        <v>5000.0</v>
      </c>
      <c r="H218" s="226" t="s">
        <v>371</v>
      </c>
      <c r="I218" s="196"/>
      <c r="J218" s="99"/>
      <c r="K218" s="99"/>
      <c r="L218" s="99"/>
      <c r="M218" s="93">
        <f>$G218*('National Staffing'!K99+'National Staffing'!K100+'National Staffing'!K103+'National Staffing'!K108)*M28</f>
        <v>5000</v>
      </c>
      <c r="N218" s="93">
        <f>$G218*('National Staffing'!L99+'National Staffing'!L100+'National Staffing'!L103+'National Staffing'!L108)*N28</f>
        <v>5000</v>
      </c>
      <c r="O218" s="93">
        <f>$G218*('National Staffing'!M99+'National Staffing'!M100+'National Staffing'!M103+'National Staffing'!M108)*O28</f>
        <v>10000</v>
      </c>
      <c r="P218" s="93">
        <f>$G218*('National Staffing'!N99+'National Staffing'!N100+'National Staffing'!N103+'National Staffing'!N108)*P28</f>
        <v>10000</v>
      </c>
      <c r="Q218" s="93">
        <f>$G218*('National Staffing'!O99+'National Staffing'!O100+'National Staffing'!O103+'National Staffing'!O108)*Q28</f>
        <v>20000</v>
      </c>
      <c r="R218" s="93">
        <f>$G218*('National Staffing'!P99+'National Staffing'!P100+'National Staffing'!P103+'National Staffing'!P108)*R28</f>
        <v>25500</v>
      </c>
      <c r="S218" s="93">
        <f>$G218*('National Staffing'!Q99+'National Staffing'!Q100+'National Staffing'!Q103+'National Staffing'!Q108)*S28</f>
        <v>36414</v>
      </c>
      <c r="T218" s="93">
        <f>$G218*('National Staffing'!R99+'National Staffing'!R100+'National Staffing'!R103+'National Staffing'!R108)*T28</f>
        <v>47754.36</v>
      </c>
      <c r="U218" s="93">
        <f>$G218*('National Staffing'!S99+'National Staffing'!S100+'National Staffing'!S103+'National Staffing'!S108)*U28</f>
        <v>64945.9296</v>
      </c>
      <c r="V218" s="93">
        <f>$G218*('National Staffing'!T99+'National Staffing'!T100+'National Staffing'!T103+'National Staffing'!T108)*V28</f>
        <v>44163.23213</v>
      </c>
      <c r="W218" s="93">
        <f>$G218*('National Staffing'!U99+'National Staffing'!U100+'National Staffing'!U103+'National Staffing'!U108)*W28</f>
        <v>16892.43629</v>
      </c>
      <c r="X218" s="93">
        <f>$G218*('National Staffing'!V99+'National Staffing'!V100+'National Staffing'!V103+'National Staffing'!V108)*X28</f>
        <v>17230.28501</v>
      </c>
      <c r="Y218" s="93">
        <f>$G218*('National Staffing'!W99+'National Staffing'!W100+'National Staffing'!W103+'National Staffing'!W108)*Y28</f>
        <v>23433.18762</v>
      </c>
      <c r="Z218" s="93">
        <f>$G218*('National Staffing'!X99+'National Staffing'!X100+'National Staffing'!X103+'National Staffing'!X108)*Z28</f>
        <v>23901.85137</v>
      </c>
      <c r="AA218" s="93">
        <f>$G218*('National Staffing'!Y99+'National Staffing'!Y100+'National Staffing'!Y103+'National Staffing'!Y108)*AA28</f>
        <v>30474.8605</v>
      </c>
      <c r="AB218" s="93">
        <f>$G218*('National Staffing'!Z99+'National Staffing'!Z100+'National Staffing'!Z103+'National Staffing'!Z108)*AB28</f>
        <v>31084.35771</v>
      </c>
      <c r="AC218" s="93">
        <f>$G218*('National Staffing'!AA99+'National Staffing'!AA100+'National Staffing'!AA103+'National Staffing'!AA108)*AC28</f>
        <v>31706.04486</v>
      </c>
      <c r="AD218" s="93">
        <f>$G218*('National Staffing'!AB99+'National Staffing'!AB100+'National Staffing'!AB103+'National Staffing'!AB108)*AD28</f>
        <v>45276.23207</v>
      </c>
      <c r="AE218" s="93">
        <f>$G218*('National Staffing'!AC99+'National Staffing'!AC100+'National Staffing'!AC103+'National Staffing'!AC108)*AE28</f>
        <v>46181.75671</v>
      </c>
      <c r="AF218" s="93">
        <f>$G218*('National Staffing'!AD99+'National Staffing'!AD100+'National Staffing'!AD103+'National Staffing'!AD108)*AF28</f>
        <v>47105.39184</v>
      </c>
      <c r="AG218" s="93">
        <f>$G218*('National Staffing'!AE99+'National Staffing'!AE100+'National Staffing'!AE103+'National Staffing'!AE108)*AG28</f>
        <v>48047.49968</v>
      </c>
      <c r="AH218" s="93">
        <f>$G218*('National Staffing'!AF99+'National Staffing'!AF100+'National Staffing'!AF103+'National Staffing'!AF108)*AH28</f>
        <v>49008.44967</v>
      </c>
      <c r="AI218" s="93">
        <f>$G218*('National Staffing'!AG99+'National Staffing'!AG100+'National Staffing'!AG103+'National Staffing'!AG108)*AI28</f>
        <v>49988.61867</v>
      </c>
      <c r="AJ218" s="93">
        <f>$G218*('National Staffing'!AH99+'National Staffing'!AH100+'National Staffing'!AH103+'National Staffing'!AH108)*AJ28</f>
        <v>50988.39104</v>
      </c>
      <c r="AK218" s="93">
        <f>$G218*('National Staffing'!AI99+'National Staffing'!AI100+'National Staffing'!AI103+'National Staffing'!AI108)*AK28</f>
        <v>52008.15886</v>
      </c>
      <c r="AL218" s="93">
        <f>$G218*('National Staffing'!AJ99+'National Staffing'!AJ100+'National Staffing'!AJ103+'National Staffing'!AJ108)*AL28</f>
        <v>53048.32204</v>
      </c>
      <c r="AM218" s="93">
        <f>$G218*('National Staffing'!AK99+'National Staffing'!AK100+'National Staffing'!AK103+'National Staffing'!AK108)*AM28</f>
        <v>54109.28848</v>
      </c>
      <c r="AN218" s="93">
        <f>$G218*('National Staffing'!AL99+'National Staffing'!AL100+'National Staffing'!AL103+'National Staffing'!AL108)*AN28</f>
        <v>55191.47425</v>
      </c>
      <c r="AO218" s="93">
        <f>$G218*('National Staffing'!AM99+'National Staffing'!AM100+'National Staffing'!AM103+'National Staffing'!AM108)*AO28</f>
        <v>48253.11748</v>
      </c>
      <c r="AP218" s="93">
        <f>$G218*('National Staffing'!AN99+'National Staffing'!AN100+'National Staffing'!AN103+'National Staffing'!AN108)*AP28</f>
        <v>49218.17983</v>
      </c>
      <c r="AQ218" s="99"/>
      <c r="AR218" s="99"/>
      <c r="AS218" s="99"/>
      <c r="AT218" s="99"/>
      <c r="AU218" s="99"/>
      <c r="AV218" s="99"/>
    </row>
    <row r="219" ht="12.75" hidden="1" customHeight="1" outlineLevel="1">
      <c r="A219" s="90"/>
      <c r="B219" s="90"/>
      <c r="C219" s="67"/>
      <c r="D219" s="90"/>
      <c r="E219" s="68" t="s">
        <v>376</v>
      </c>
      <c r="F219" s="90"/>
      <c r="G219" s="225">
        <v>10000.0</v>
      </c>
      <c r="H219" s="226"/>
      <c r="I219" s="196"/>
      <c r="J219" s="99"/>
      <c r="K219" s="99"/>
      <c r="L219" s="99"/>
      <c r="M219" s="93">
        <f>G219*M28</f>
        <v>10000</v>
      </c>
      <c r="N219" s="93">
        <f t="shared" ref="N219:AP219" si="163">M219*N28</f>
        <v>10000</v>
      </c>
      <c r="O219" s="93">
        <f t="shared" si="163"/>
        <v>10000</v>
      </c>
      <c r="P219" s="93">
        <f t="shared" si="163"/>
        <v>10000</v>
      </c>
      <c r="Q219" s="93">
        <f t="shared" si="163"/>
        <v>10000</v>
      </c>
      <c r="R219" s="93">
        <f t="shared" si="163"/>
        <v>10200</v>
      </c>
      <c r="S219" s="93">
        <f t="shared" si="163"/>
        <v>10612.08</v>
      </c>
      <c r="T219" s="93">
        <f t="shared" si="163"/>
        <v>11261.62419</v>
      </c>
      <c r="U219" s="93">
        <f t="shared" si="163"/>
        <v>12189.9442</v>
      </c>
      <c r="V219" s="93">
        <f t="shared" si="163"/>
        <v>13458.68338</v>
      </c>
      <c r="W219" s="93">
        <f t="shared" si="163"/>
        <v>15156.66344</v>
      </c>
      <c r="X219" s="93">
        <f t="shared" si="163"/>
        <v>17410.24206</v>
      </c>
      <c r="Y219" s="93">
        <f t="shared" si="163"/>
        <v>20398.87344</v>
      </c>
      <c r="Z219" s="93">
        <f t="shared" si="163"/>
        <v>24378.54205</v>
      </c>
      <c r="AA219" s="93">
        <f t="shared" si="163"/>
        <v>29717.30673</v>
      </c>
      <c r="AB219" s="93">
        <f t="shared" si="163"/>
        <v>36949.7357</v>
      </c>
      <c r="AC219" s="93">
        <f t="shared" si="163"/>
        <v>46861.19912</v>
      </c>
      <c r="AD219" s="93">
        <f t="shared" si="163"/>
        <v>60619.95789</v>
      </c>
      <c r="AE219" s="93">
        <f t="shared" si="163"/>
        <v>79986.74705</v>
      </c>
      <c r="AF219" s="93">
        <f t="shared" si="163"/>
        <v>107651.6303</v>
      </c>
      <c r="AG219" s="93">
        <f t="shared" si="163"/>
        <v>147782.6193</v>
      </c>
      <c r="AH219" s="93">
        <f t="shared" si="163"/>
        <v>206931.3445</v>
      </c>
      <c r="AI219" s="93">
        <f t="shared" si="163"/>
        <v>295548.9163</v>
      </c>
      <c r="AJ219" s="93">
        <f t="shared" si="163"/>
        <v>430558.9633</v>
      </c>
      <c r="AK219" s="93">
        <f t="shared" si="163"/>
        <v>639787.9704</v>
      </c>
      <c r="AL219" s="93">
        <f t="shared" si="163"/>
        <v>969705.0939</v>
      </c>
      <c r="AM219" s="93">
        <f t="shared" si="163"/>
        <v>1499144.362</v>
      </c>
      <c r="AN219" s="93">
        <f t="shared" si="163"/>
        <v>2363999.641</v>
      </c>
      <c r="AO219" s="93">
        <f t="shared" si="163"/>
        <v>3802345.081</v>
      </c>
      <c r="AP219" s="93">
        <f t="shared" si="163"/>
        <v>6238150.132</v>
      </c>
      <c r="AQ219" s="99"/>
      <c r="AR219" s="99"/>
      <c r="AS219" s="99"/>
      <c r="AT219" s="99"/>
      <c r="AU219" s="99"/>
      <c r="AV219" s="99"/>
    </row>
    <row r="220" ht="12.75" hidden="1" customHeight="1" outlineLevel="1">
      <c r="A220" s="90"/>
      <c r="B220" s="90"/>
      <c r="C220" s="67"/>
      <c r="D220" s="90"/>
      <c r="E220" s="68" t="s">
        <v>377</v>
      </c>
      <c r="F220" s="90"/>
      <c r="G220" s="225">
        <v>7500.0</v>
      </c>
      <c r="H220" s="226" t="s">
        <v>357</v>
      </c>
      <c r="I220" s="196"/>
      <c r="J220" s="99"/>
      <c r="K220" s="99"/>
      <c r="L220" s="99"/>
      <c r="M220" s="93">
        <v>20000.0</v>
      </c>
      <c r="N220" s="93">
        <f>M220</f>
        <v>20000</v>
      </c>
      <c r="O220" s="93">
        <f t="shared" ref="O220:AP220" si="164">MAX(0,$G220*(P8-O8)*M28)</f>
        <v>7500</v>
      </c>
      <c r="P220" s="93">
        <f t="shared" si="164"/>
        <v>0</v>
      </c>
      <c r="Q220" s="93">
        <f t="shared" si="164"/>
        <v>15000</v>
      </c>
      <c r="R220" s="93">
        <f t="shared" si="164"/>
        <v>22500</v>
      </c>
      <c r="S220" s="93">
        <f t="shared" si="164"/>
        <v>37500</v>
      </c>
      <c r="T220" s="93">
        <f t="shared" si="164"/>
        <v>61200</v>
      </c>
      <c r="U220" s="93">
        <f t="shared" si="164"/>
        <v>101439</v>
      </c>
      <c r="V220" s="93">
        <f t="shared" si="164"/>
        <v>135304.02</v>
      </c>
      <c r="W220" s="93">
        <f t="shared" si="164"/>
        <v>0</v>
      </c>
      <c r="X220" s="93">
        <f t="shared" si="164"/>
        <v>0</v>
      </c>
      <c r="Y220" s="93">
        <f t="shared" si="164"/>
        <v>0</v>
      </c>
      <c r="Z220" s="93">
        <f t="shared" si="164"/>
        <v>0</v>
      </c>
      <c r="AA220" s="93">
        <f t="shared" si="164"/>
        <v>0</v>
      </c>
      <c r="AB220" s="93">
        <f t="shared" si="164"/>
        <v>0</v>
      </c>
      <c r="AC220" s="93">
        <f t="shared" si="164"/>
        <v>0</v>
      </c>
      <c r="AD220" s="93">
        <f t="shared" si="164"/>
        <v>0</v>
      </c>
      <c r="AE220" s="93">
        <f t="shared" si="164"/>
        <v>0</v>
      </c>
      <c r="AF220" s="93">
        <f t="shared" si="164"/>
        <v>0</v>
      </c>
      <c r="AG220" s="93">
        <f t="shared" si="164"/>
        <v>0</v>
      </c>
      <c r="AH220" s="93">
        <f t="shared" si="164"/>
        <v>0</v>
      </c>
      <c r="AI220" s="93">
        <f t="shared" si="164"/>
        <v>0</v>
      </c>
      <c r="AJ220" s="93">
        <f t="shared" si="164"/>
        <v>0</v>
      </c>
      <c r="AK220" s="93">
        <f t="shared" si="164"/>
        <v>0</v>
      </c>
      <c r="AL220" s="93">
        <f t="shared" si="164"/>
        <v>0</v>
      </c>
      <c r="AM220" s="93">
        <f t="shared" si="164"/>
        <v>0</v>
      </c>
      <c r="AN220" s="93">
        <f t="shared" si="164"/>
        <v>0</v>
      </c>
      <c r="AO220" s="93">
        <f t="shared" si="164"/>
        <v>0</v>
      </c>
      <c r="AP220" s="93">
        <f t="shared" si="164"/>
        <v>0</v>
      </c>
      <c r="AQ220" s="79"/>
      <c r="AR220" s="79"/>
      <c r="AS220" s="79"/>
      <c r="AT220" s="79"/>
      <c r="AU220" s="79"/>
      <c r="AV220" s="79"/>
    </row>
    <row r="221" ht="12.75" customHeight="1"/>
    <row r="222" ht="12.75" customHeight="1" outlineLevel="1">
      <c r="A222" s="67"/>
      <c r="B222" s="67"/>
      <c r="C222" s="67"/>
      <c r="D222" s="67" t="s">
        <v>378</v>
      </c>
      <c r="E222" s="67"/>
      <c r="F222" s="67"/>
      <c r="G222" s="67"/>
      <c r="H222" s="67"/>
      <c r="I222" s="86"/>
      <c r="J222" s="79"/>
      <c r="K222" s="79"/>
      <c r="L222" s="79"/>
      <c r="M222" s="115">
        <f t="shared" ref="M222:AP222" si="165">SUM(M214:M221)</f>
        <v>74004</v>
      </c>
      <c r="N222" s="115">
        <f t="shared" si="165"/>
        <v>75204</v>
      </c>
      <c r="O222" s="115">
        <f t="shared" si="165"/>
        <v>72205</v>
      </c>
      <c r="P222" s="115">
        <f t="shared" si="165"/>
        <v>75206</v>
      </c>
      <c r="Q222" s="115">
        <f t="shared" si="165"/>
        <v>118511</v>
      </c>
      <c r="R222" s="115">
        <f t="shared" si="165"/>
        <v>159943</v>
      </c>
      <c r="S222" s="115">
        <f t="shared" si="165"/>
        <v>242596.08</v>
      </c>
      <c r="T222" s="115">
        <f t="shared" si="165"/>
        <v>368119.2034</v>
      </c>
      <c r="U222" s="115">
        <f t="shared" si="165"/>
        <v>564380.2938</v>
      </c>
      <c r="V222" s="115">
        <f t="shared" si="165"/>
        <v>767063.3346</v>
      </c>
      <c r="W222" s="115">
        <f t="shared" si="165"/>
        <v>884242.7779</v>
      </c>
      <c r="X222" s="115">
        <f t="shared" si="165"/>
        <v>1207566.851</v>
      </c>
      <c r="Y222" s="115">
        <f t="shared" si="165"/>
        <v>1722301.385</v>
      </c>
      <c r="Z222" s="115">
        <f t="shared" si="165"/>
        <v>2488765.079</v>
      </c>
      <c r="AA222" s="115">
        <f t="shared" si="165"/>
        <v>3631055.801</v>
      </c>
      <c r="AB222" s="115">
        <f t="shared" si="165"/>
        <v>5265656.551</v>
      </c>
      <c r="AC222" s="115">
        <f t="shared" si="165"/>
        <v>7633913.927</v>
      </c>
      <c r="AD222" s="115">
        <f t="shared" si="165"/>
        <v>11036569.61</v>
      </c>
      <c r="AE222" s="115">
        <f t="shared" si="165"/>
        <v>15846297.58</v>
      </c>
      <c r="AF222" s="115">
        <f t="shared" si="165"/>
        <v>21241310.77</v>
      </c>
      <c r="AG222" s="115">
        <f t="shared" si="165"/>
        <v>21287624.75</v>
      </c>
      <c r="AH222" s="115">
        <f t="shared" si="165"/>
        <v>21367460.36</v>
      </c>
      <c r="AI222" s="115">
        <f t="shared" si="165"/>
        <v>21479279.93</v>
      </c>
      <c r="AJ222" s="115">
        <f t="shared" si="165"/>
        <v>21637956.02</v>
      </c>
      <c r="AK222" s="115">
        <f t="shared" si="165"/>
        <v>21871324.39</v>
      </c>
      <c r="AL222" s="115">
        <f t="shared" si="165"/>
        <v>22225863.66</v>
      </c>
      <c r="AM222" s="115">
        <f t="shared" si="165"/>
        <v>22780417.52</v>
      </c>
      <c r="AN222" s="115">
        <f t="shared" si="165"/>
        <v>23670889.68</v>
      </c>
      <c r="AO222" s="115">
        <f t="shared" si="165"/>
        <v>25122494.84</v>
      </c>
      <c r="AP222" s="115">
        <f t="shared" si="165"/>
        <v>27584694.35</v>
      </c>
      <c r="AQ222" s="79"/>
      <c r="AR222" s="79"/>
      <c r="AS222" s="79"/>
      <c r="AT222" s="79"/>
      <c r="AU222" s="79"/>
      <c r="AV222" s="79"/>
    </row>
    <row r="223" ht="12.75" customHeight="1" outlineLevel="1"/>
    <row r="224" ht="12.75" customHeight="1" outlineLevel="1">
      <c r="A224" s="67"/>
      <c r="B224" s="67"/>
      <c r="C224" s="67"/>
      <c r="D224" s="67" t="s">
        <v>310</v>
      </c>
      <c r="E224" s="67"/>
      <c r="F224" s="67"/>
      <c r="G224" s="67"/>
      <c r="H224" s="67" t="s">
        <v>379</v>
      </c>
      <c r="I224" s="86"/>
      <c r="J224" s="79"/>
      <c r="K224" s="79"/>
      <c r="L224" s="79"/>
      <c r="M224" s="236">
        <f>SUM('National Staffing'!K117:K118)</f>
        <v>1</v>
      </c>
      <c r="N224" s="236">
        <f>SUM('National Staffing'!L117:L118)</f>
        <v>1</v>
      </c>
      <c r="O224" s="236">
        <f>SUM('National Staffing'!M117:M118)</f>
        <v>1</v>
      </c>
      <c r="P224" s="236">
        <f>SUM('National Staffing'!N117:N118)</f>
        <v>2</v>
      </c>
      <c r="Q224" s="236">
        <f>SUM('National Staffing'!O117:O118)</f>
        <v>4</v>
      </c>
      <c r="R224" s="236">
        <f>SUM('National Staffing'!P117:P118)</f>
        <v>6</v>
      </c>
      <c r="S224" s="236">
        <f>SUM('National Staffing'!Q117:Q118)</f>
        <v>11</v>
      </c>
      <c r="T224" s="236">
        <f>SUM('National Staffing'!R117:R118)</f>
        <v>15</v>
      </c>
      <c r="U224" s="236">
        <f>SUM('National Staffing'!S117:S118)</f>
        <v>12</v>
      </c>
      <c r="V224" s="236">
        <f>SUM('National Staffing'!T117:T118)</f>
        <v>7</v>
      </c>
      <c r="W224" s="236">
        <f>SUM('National Staffing'!U117:U118)</f>
        <v>2</v>
      </c>
      <c r="X224" s="236">
        <f>SUM('National Staffing'!V117:V118)</f>
        <v>2</v>
      </c>
      <c r="Y224" s="236">
        <f>SUM('National Staffing'!W117:W118)</f>
        <v>2</v>
      </c>
      <c r="Z224" s="236">
        <f>SUM('National Staffing'!X117:X118)</f>
        <v>2</v>
      </c>
      <c r="AA224" s="236">
        <f>SUM('National Staffing'!Y117:Y118)</f>
        <v>2</v>
      </c>
      <c r="AB224" s="236">
        <f>SUM('National Staffing'!Z117:Z118)</f>
        <v>2</v>
      </c>
      <c r="AC224" s="236">
        <f>SUM('National Staffing'!AA117:AA118)</f>
        <v>2</v>
      </c>
      <c r="AD224" s="236">
        <f>SUM('National Staffing'!AB117:AB118)</f>
        <v>2</v>
      </c>
      <c r="AE224" s="236">
        <f>SUM('National Staffing'!AC117:AC118)</f>
        <v>2</v>
      </c>
      <c r="AF224" s="236">
        <f>SUM('National Staffing'!AD117:AD118)</f>
        <v>2</v>
      </c>
      <c r="AG224" s="236">
        <f>SUM('National Staffing'!AE117:AE118)</f>
        <v>2</v>
      </c>
      <c r="AH224" s="236">
        <f>SUM('National Staffing'!AF117:AF118)</f>
        <v>2</v>
      </c>
      <c r="AI224" s="236">
        <f>SUM('National Staffing'!AG117:AG118)</f>
        <v>2</v>
      </c>
      <c r="AJ224" s="236">
        <f>SUM('National Staffing'!AH117:AH118)</f>
        <v>2</v>
      </c>
      <c r="AK224" s="236">
        <f>SUM('National Staffing'!AI117:AI118)</f>
        <v>2</v>
      </c>
      <c r="AL224" s="236">
        <f>SUM('National Staffing'!AJ117:AJ118)</f>
        <v>2</v>
      </c>
      <c r="AM224" s="115"/>
      <c r="AN224" s="115"/>
      <c r="AO224" s="115"/>
      <c r="AP224" s="115"/>
      <c r="AQ224" s="79"/>
      <c r="AR224" s="79"/>
      <c r="AS224" s="79"/>
      <c r="AT224" s="79"/>
      <c r="AU224" s="79"/>
      <c r="AV224" s="79"/>
    </row>
    <row r="225" ht="12.75" customHeight="1" outlineLevel="1">
      <c r="A225" s="90"/>
      <c r="B225" s="90"/>
      <c r="C225" s="67"/>
      <c r="D225" s="90"/>
      <c r="E225" s="68" t="s">
        <v>380</v>
      </c>
      <c r="F225" s="90"/>
      <c r="G225" s="225">
        <v>15000.0</v>
      </c>
      <c r="H225" s="226" t="s">
        <v>381</v>
      </c>
      <c r="I225" s="196"/>
      <c r="J225" s="99"/>
      <c r="K225" s="99"/>
      <c r="L225" s="99"/>
      <c r="M225" s="93">
        <f t="shared" ref="M225:AL225" si="166">M224*$G225*M28</f>
        <v>15000</v>
      </c>
      <c r="N225" s="93">
        <f t="shared" si="166"/>
        <v>15000</v>
      </c>
      <c r="O225" s="93">
        <f t="shared" si="166"/>
        <v>15000</v>
      </c>
      <c r="P225" s="93">
        <f t="shared" si="166"/>
        <v>30000</v>
      </c>
      <c r="Q225" s="93">
        <f t="shared" si="166"/>
        <v>60000</v>
      </c>
      <c r="R225" s="93">
        <f t="shared" si="166"/>
        <v>91800</v>
      </c>
      <c r="S225" s="93">
        <f t="shared" si="166"/>
        <v>171666</v>
      </c>
      <c r="T225" s="93">
        <f t="shared" si="166"/>
        <v>238771.8</v>
      </c>
      <c r="U225" s="93">
        <f t="shared" si="166"/>
        <v>194837.7888</v>
      </c>
      <c r="V225" s="93">
        <f t="shared" si="166"/>
        <v>115928.4843</v>
      </c>
      <c r="W225" s="93">
        <f t="shared" si="166"/>
        <v>33784.87258</v>
      </c>
      <c r="X225" s="93">
        <f t="shared" si="166"/>
        <v>34460.57003</v>
      </c>
      <c r="Y225" s="93">
        <f t="shared" si="166"/>
        <v>35149.78143</v>
      </c>
      <c r="Z225" s="93">
        <f t="shared" si="166"/>
        <v>35852.77706</v>
      </c>
      <c r="AA225" s="93">
        <f t="shared" si="166"/>
        <v>36569.8326</v>
      </c>
      <c r="AB225" s="93">
        <f t="shared" si="166"/>
        <v>37301.22925</v>
      </c>
      <c r="AC225" s="93">
        <f t="shared" si="166"/>
        <v>38047.25384</v>
      </c>
      <c r="AD225" s="93">
        <f t="shared" si="166"/>
        <v>38808.19891</v>
      </c>
      <c r="AE225" s="93">
        <f t="shared" si="166"/>
        <v>39584.36289</v>
      </c>
      <c r="AF225" s="93">
        <f t="shared" si="166"/>
        <v>40376.05015</v>
      </c>
      <c r="AG225" s="93">
        <f t="shared" si="166"/>
        <v>41183.57115</v>
      </c>
      <c r="AH225" s="93">
        <f t="shared" si="166"/>
        <v>42007.24258</v>
      </c>
      <c r="AI225" s="93">
        <f t="shared" si="166"/>
        <v>42847.38743</v>
      </c>
      <c r="AJ225" s="93">
        <f t="shared" si="166"/>
        <v>43704.33518</v>
      </c>
      <c r="AK225" s="93">
        <f t="shared" si="166"/>
        <v>44578.42188</v>
      </c>
      <c r="AL225" s="93">
        <f t="shared" si="166"/>
        <v>45469.99032</v>
      </c>
      <c r="AM225" s="93"/>
      <c r="AN225" s="93"/>
      <c r="AO225" s="93"/>
      <c r="AP225" s="93"/>
      <c r="AQ225" s="99"/>
      <c r="AR225" s="99"/>
      <c r="AS225" s="99"/>
      <c r="AT225" s="99"/>
      <c r="AU225" s="99"/>
      <c r="AV225" s="99"/>
    </row>
    <row r="226" ht="12.75" customHeight="1" outlineLevel="1">
      <c r="A226" s="90"/>
      <c r="B226" s="90"/>
      <c r="C226" s="67"/>
      <c r="D226" s="90"/>
      <c r="E226" s="68" t="s">
        <v>345</v>
      </c>
      <c r="F226" s="90"/>
      <c r="G226" s="225">
        <v>7500.0</v>
      </c>
      <c r="H226" s="226" t="s">
        <v>382</v>
      </c>
      <c r="I226" s="196"/>
      <c r="J226" s="99"/>
      <c r="K226" s="99"/>
      <c r="L226" s="99"/>
      <c r="M226" s="93">
        <f>$G226*(P8-O8)*M28</f>
        <v>7500</v>
      </c>
      <c r="N226" s="93">
        <f t="shared" ref="N226:Q226" si="167">(M226+($R226-$M226)/5)</f>
        <v>18240</v>
      </c>
      <c r="O226" s="93">
        <f t="shared" si="167"/>
        <v>28980</v>
      </c>
      <c r="P226" s="93">
        <f t="shared" si="167"/>
        <v>39720</v>
      </c>
      <c r="Q226" s="93">
        <f t="shared" si="167"/>
        <v>50460</v>
      </c>
      <c r="R226" s="93">
        <f t="shared" ref="R226:AL226" si="168">$G226*(U8-T8)*R28</f>
        <v>61200</v>
      </c>
      <c r="S226" s="93">
        <f t="shared" si="168"/>
        <v>101439</v>
      </c>
      <c r="T226" s="93">
        <f t="shared" si="168"/>
        <v>135304.02</v>
      </c>
      <c r="U226" s="93">
        <f t="shared" si="168"/>
        <v>0</v>
      </c>
      <c r="V226" s="93">
        <f t="shared" si="168"/>
        <v>0</v>
      </c>
      <c r="W226" s="93">
        <f t="shared" si="168"/>
        <v>0</v>
      </c>
      <c r="X226" s="93">
        <f t="shared" si="168"/>
        <v>0</v>
      </c>
      <c r="Y226" s="93">
        <f t="shared" si="168"/>
        <v>0</v>
      </c>
      <c r="Z226" s="93">
        <f t="shared" si="168"/>
        <v>0</v>
      </c>
      <c r="AA226" s="93">
        <f t="shared" si="168"/>
        <v>0</v>
      </c>
      <c r="AB226" s="93">
        <f t="shared" si="168"/>
        <v>0</v>
      </c>
      <c r="AC226" s="93">
        <f t="shared" si="168"/>
        <v>0</v>
      </c>
      <c r="AD226" s="93">
        <f t="shared" si="168"/>
        <v>0</v>
      </c>
      <c r="AE226" s="93">
        <f t="shared" si="168"/>
        <v>0</v>
      </c>
      <c r="AF226" s="93">
        <f t="shared" si="168"/>
        <v>0</v>
      </c>
      <c r="AG226" s="93">
        <f t="shared" si="168"/>
        <v>0</v>
      </c>
      <c r="AH226" s="93">
        <f t="shared" si="168"/>
        <v>0</v>
      </c>
      <c r="AI226" s="93">
        <f t="shared" si="168"/>
        <v>0</v>
      </c>
      <c r="AJ226" s="93">
        <f t="shared" si="168"/>
        <v>0</v>
      </c>
      <c r="AK226" s="93">
        <f t="shared" si="168"/>
        <v>0</v>
      </c>
      <c r="AL226" s="93">
        <f t="shared" si="168"/>
        <v>0</v>
      </c>
      <c r="AM226" s="93"/>
      <c r="AN226" s="93"/>
      <c r="AO226" s="93"/>
      <c r="AP226" s="93"/>
      <c r="AQ226" s="99"/>
      <c r="AR226" s="99"/>
      <c r="AS226" s="99"/>
      <c r="AT226" s="99"/>
      <c r="AU226" s="99"/>
      <c r="AV226" s="99"/>
    </row>
    <row r="227" ht="12.75" customHeight="1" outlineLevel="1">
      <c r="A227" s="67"/>
      <c r="B227" s="67"/>
      <c r="C227" s="67"/>
      <c r="D227" s="67" t="s">
        <v>383</v>
      </c>
      <c r="E227" s="67"/>
      <c r="F227" s="67"/>
      <c r="G227" s="67"/>
      <c r="H227" s="67"/>
      <c r="I227" s="86"/>
      <c r="J227" s="79"/>
      <c r="K227" s="79"/>
      <c r="L227" s="79"/>
      <c r="M227" s="115">
        <f t="shared" ref="M227:AL227" si="169">SUM(M225:M226)</f>
        <v>22500</v>
      </c>
      <c r="N227" s="115">
        <f t="shared" si="169"/>
        <v>33240</v>
      </c>
      <c r="O227" s="115">
        <f t="shared" si="169"/>
        <v>43980</v>
      </c>
      <c r="P227" s="115">
        <f t="shared" si="169"/>
        <v>69720</v>
      </c>
      <c r="Q227" s="115">
        <f t="shared" si="169"/>
        <v>110460</v>
      </c>
      <c r="R227" s="115">
        <f t="shared" si="169"/>
        <v>153000</v>
      </c>
      <c r="S227" s="115">
        <f t="shared" si="169"/>
        <v>273105</v>
      </c>
      <c r="T227" s="115">
        <f t="shared" si="169"/>
        <v>374075.82</v>
      </c>
      <c r="U227" s="115">
        <f t="shared" si="169"/>
        <v>194837.7888</v>
      </c>
      <c r="V227" s="115">
        <f t="shared" si="169"/>
        <v>115928.4843</v>
      </c>
      <c r="W227" s="115">
        <f t="shared" si="169"/>
        <v>33784.87258</v>
      </c>
      <c r="X227" s="115">
        <f t="shared" si="169"/>
        <v>34460.57003</v>
      </c>
      <c r="Y227" s="115">
        <f t="shared" si="169"/>
        <v>35149.78143</v>
      </c>
      <c r="Z227" s="115">
        <f t="shared" si="169"/>
        <v>35852.77706</v>
      </c>
      <c r="AA227" s="115">
        <f t="shared" si="169"/>
        <v>36569.8326</v>
      </c>
      <c r="AB227" s="115">
        <f t="shared" si="169"/>
        <v>37301.22925</v>
      </c>
      <c r="AC227" s="115">
        <f t="shared" si="169"/>
        <v>38047.25384</v>
      </c>
      <c r="AD227" s="115">
        <f t="shared" si="169"/>
        <v>38808.19891</v>
      </c>
      <c r="AE227" s="115">
        <f t="shared" si="169"/>
        <v>39584.36289</v>
      </c>
      <c r="AF227" s="115">
        <f t="shared" si="169"/>
        <v>40376.05015</v>
      </c>
      <c r="AG227" s="115">
        <f t="shared" si="169"/>
        <v>41183.57115</v>
      </c>
      <c r="AH227" s="115">
        <f t="shared" si="169"/>
        <v>42007.24258</v>
      </c>
      <c r="AI227" s="115">
        <f t="shared" si="169"/>
        <v>42847.38743</v>
      </c>
      <c r="AJ227" s="115">
        <f t="shared" si="169"/>
        <v>43704.33518</v>
      </c>
      <c r="AK227" s="115">
        <f t="shared" si="169"/>
        <v>44578.42188</v>
      </c>
      <c r="AL227" s="115">
        <f t="shared" si="169"/>
        <v>45469.99032</v>
      </c>
      <c r="AM227" s="115"/>
      <c r="AN227" s="115"/>
      <c r="AO227" s="115"/>
      <c r="AP227" s="115"/>
      <c r="AQ227" s="79"/>
      <c r="AR227" s="79"/>
      <c r="AS227" s="79"/>
      <c r="AT227" s="79"/>
      <c r="AU227" s="79"/>
      <c r="AV227" s="79"/>
    </row>
    <row r="228" ht="12.75" customHeight="1" outlineLevel="1">
      <c r="A228" s="67"/>
      <c r="B228" s="67"/>
      <c r="C228" s="67"/>
      <c r="D228" s="67"/>
      <c r="E228" s="67"/>
      <c r="F228" s="67"/>
      <c r="G228" s="67"/>
      <c r="H228" s="67"/>
      <c r="I228" s="86"/>
      <c r="J228" s="79"/>
      <c r="K228" s="79"/>
      <c r="L228" s="79"/>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79"/>
      <c r="AR228" s="79"/>
      <c r="AS228" s="79"/>
      <c r="AT228" s="79"/>
      <c r="AU228" s="79"/>
      <c r="AV228" s="79"/>
    </row>
    <row r="229" ht="12.75" customHeight="1" outlineLevel="1">
      <c r="A229" s="67"/>
      <c r="B229" s="67"/>
      <c r="C229" s="233">
        <v>0.04</v>
      </c>
      <c r="D229" s="67" t="s">
        <v>384</v>
      </c>
      <c r="E229" s="67"/>
      <c r="F229" s="67"/>
      <c r="G229" s="67"/>
      <c r="I229" s="86"/>
      <c r="J229" s="79"/>
      <c r="K229" s="79"/>
      <c r="L229" s="79"/>
      <c r="M229" s="115" t="str">
        <f t="shared" ref="M229:S229" si="170">MAX(0,M11*$C229-SUM(M143:M146)-SUM(M147:M148)/2-M99-M113)</f>
        <v>#REF!</v>
      </c>
      <c r="N229" s="115" t="str">
        <f t="shared" si="170"/>
        <v>#REF!</v>
      </c>
      <c r="O229" s="115" t="str">
        <f t="shared" si="170"/>
        <v>#REF!</v>
      </c>
      <c r="P229" s="115" t="str">
        <f t="shared" si="170"/>
        <v>#REF!</v>
      </c>
      <c r="Q229" s="115" t="str">
        <f t="shared" si="170"/>
        <v>#REF!</v>
      </c>
      <c r="R229" s="115" t="str">
        <f t="shared" si="170"/>
        <v>#REF!</v>
      </c>
      <c r="S229" s="115" t="str">
        <f t="shared" si="170"/>
        <v>#REF!</v>
      </c>
      <c r="T229" s="115">
        <v>0.0</v>
      </c>
      <c r="U229" s="115">
        <v>0.0</v>
      </c>
      <c r="V229" s="115">
        <v>0.0</v>
      </c>
      <c r="W229" s="115" t="str">
        <f>MAX(0,W11*$C229-SUM(W143:W146)-SUM(W147:W148)/2-W99-W113)/2</f>
        <v>#REF!</v>
      </c>
      <c r="X229" s="115" t="str">
        <f t="shared" ref="X229:AP229" si="171">MAX(0,X11*$C229-SUM(X143:X146)-SUM(X147:X148)/2-X99-X113)</f>
        <v>#REF!</v>
      </c>
      <c r="Y229" s="115" t="str">
        <f t="shared" si="171"/>
        <v>#REF!</v>
      </c>
      <c r="Z229" s="115" t="str">
        <f t="shared" si="171"/>
        <v>#REF!</v>
      </c>
      <c r="AA229" s="115" t="str">
        <f t="shared" si="171"/>
        <v>#REF!</v>
      </c>
      <c r="AB229" s="115" t="str">
        <f t="shared" si="171"/>
        <v>#REF!</v>
      </c>
      <c r="AC229" s="115" t="str">
        <f t="shared" si="171"/>
        <v>#REF!</v>
      </c>
      <c r="AD229" s="115" t="str">
        <f t="shared" si="171"/>
        <v>#REF!</v>
      </c>
      <c r="AE229" s="115" t="str">
        <f t="shared" si="171"/>
        <v>#REF!</v>
      </c>
      <c r="AF229" s="115" t="str">
        <f t="shared" si="171"/>
        <v>#REF!</v>
      </c>
      <c r="AG229" s="115" t="str">
        <f t="shared" si="171"/>
        <v>#REF!</v>
      </c>
      <c r="AH229" s="115" t="str">
        <f t="shared" si="171"/>
        <v>#REF!</v>
      </c>
      <c r="AI229" s="115" t="str">
        <f t="shared" si="171"/>
        <v>#REF!</v>
      </c>
      <c r="AJ229" s="115" t="str">
        <f t="shared" si="171"/>
        <v>#REF!</v>
      </c>
      <c r="AK229" s="115" t="str">
        <f t="shared" si="171"/>
        <v>#REF!</v>
      </c>
      <c r="AL229" s="115" t="str">
        <f t="shared" si="171"/>
        <v>#REF!</v>
      </c>
      <c r="AM229" s="115">
        <f t="shared" si="171"/>
        <v>557720116</v>
      </c>
      <c r="AN229" s="115">
        <f t="shared" si="171"/>
        <v>568863180.2</v>
      </c>
      <c r="AO229" s="115" t="str">
        <f t="shared" si="171"/>
        <v>#REF!</v>
      </c>
      <c r="AP229" s="115" t="str">
        <f t="shared" si="171"/>
        <v>#REF!</v>
      </c>
      <c r="AQ229" s="79"/>
      <c r="AR229" s="79"/>
      <c r="AS229" s="79"/>
      <c r="AT229" s="79"/>
      <c r="AU229" s="79"/>
      <c r="AV229" s="79"/>
    </row>
    <row r="230" ht="12.75" customHeight="1" outlineLevel="1">
      <c r="A230" s="90"/>
      <c r="B230" s="90"/>
      <c r="C230" s="90"/>
      <c r="D230" s="90"/>
      <c r="E230" s="90"/>
      <c r="F230" s="90"/>
      <c r="G230" s="90"/>
      <c r="H230" s="90"/>
      <c r="I230" s="196"/>
      <c r="J230" s="99"/>
      <c r="K230" s="99"/>
      <c r="L230" s="99"/>
      <c r="M230" s="93"/>
      <c r="N230" s="93"/>
      <c r="O230" s="93"/>
      <c r="P230" s="93"/>
      <c r="Q230" s="93"/>
      <c r="R230" s="93"/>
      <c r="S230" s="93"/>
      <c r="T230" s="93"/>
      <c r="U230" s="93"/>
      <c r="V230" s="93"/>
      <c r="W230" s="93"/>
      <c r="X230" s="93"/>
      <c r="Y230" s="93"/>
      <c r="Z230" s="93"/>
      <c r="AA230" s="93"/>
      <c r="AB230" s="93"/>
      <c r="AC230" s="93"/>
      <c r="AD230" s="93"/>
      <c r="AE230" s="93"/>
      <c r="AF230" s="93"/>
      <c r="AG230" s="93"/>
      <c r="AH230" s="93"/>
      <c r="AI230" s="93"/>
      <c r="AJ230" s="93"/>
      <c r="AK230" s="93"/>
      <c r="AL230" s="93"/>
      <c r="AM230" s="93"/>
      <c r="AN230" s="93"/>
      <c r="AO230" s="93"/>
      <c r="AP230" s="93"/>
      <c r="AQ230" s="99"/>
      <c r="AR230" s="99"/>
      <c r="AS230" s="99"/>
      <c r="AT230" s="99"/>
      <c r="AU230" s="99"/>
      <c r="AV230" s="99"/>
    </row>
    <row r="231" ht="12.75" customHeight="1" outlineLevel="1">
      <c r="A231" s="67"/>
      <c r="B231" s="67"/>
      <c r="C231" s="67" t="s">
        <v>385</v>
      </c>
      <c r="D231" s="67"/>
      <c r="E231" s="67"/>
      <c r="F231" s="67"/>
      <c r="G231" s="67"/>
      <c r="H231" s="67"/>
      <c r="I231" s="86"/>
      <c r="J231" s="79"/>
      <c r="K231" s="79"/>
      <c r="L231" s="79"/>
      <c r="M231" s="115" t="str">
        <f t="shared" ref="M231:AP231" si="172">M227+M222+M212+M229</f>
        <v>#REF!</v>
      </c>
      <c r="N231" s="115" t="str">
        <f t="shared" si="172"/>
        <v>#REF!</v>
      </c>
      <c r="O231" s="115" t="str">
        <f t="shared" si="172"/>
        <v>#REF!</v>
      </c>
      <c r="P231" s="115" t="str">
        <f t="shared" si="172"/>
        <v>#REF!</v>
      </c>
      <c r="Q231" s="115" t="str">
        <f t="shared" si="172"/>
        <v>#REF!</v>
      </c>
      <c r="R231" s="115" t="str">
        <f t="shared" si="172"/>
        <v>#REF!</v>
      </c>
      <c r="S231" s="115" t="str">
        <f t="shared" si="172"/>
        <v>#REF!</v>
      </c>
      <c r="T231" s="115">
        <f t="shared" si="172"/>
        <v>1742383.563</v>
      </c>
      <c r="U231" s="115">
        <f t="shared" si="172"/>
        <v>2246479.87</v>
      </c>
      <c r="V231" s="115">
        <f t="shared" si="172"/>
        <v>2916708.658</v>
      </c>
      <c r="W231" s="115" t="str">
        <f t="shared" si="172"/>
        <v>#REF!</v>
      </c>
      <c r="X231" s="115" t="str">
        <f t="shared" si="172"/>
        <v>#REF!</v>
      </c>
      <c r="Y231" s="115" t="str">
        <f t="shared" si="172"/>
        <v>#REF!</v>
      </c>
      <c r="Z231" s="115" t="str">
        <f t="shared" si="172"/>
        <v>#REF!</v>
      </c>
      <c r="AA231" s="115" t="str">
        <f t="shared" si="172"/>
        <v>#REF!</v>
      </c>
      <c r="AB231" s="115" t="str">
        <f t="shared" si="172"/>
        <v>#REF!</v>
      </c>
      <c r="AC231" s="115" t="str">
        <f t="shared" si="172"/>
        <v>#REF!</v>
      </c>
      <c r="AD231" s="115" t="str">
        <f t="shared" si="172"/>
        <v>#REF!</v>
      </c>
      <c r="AE231" s="115" t="str">
        <f t="shared" si="172"/>
        <v>#REF!</v>
      </c>
      <c r="AF231" s="115" t="str">
        <f t="shared" si="172"/>
        <v>#REF!</v>
      </c>
      <c r="AG231" s="115" t="str">
        <f t="shared" si="172"/>
        <v>#REF!</v>
      </c>
      <c r="AH231" s="115" t="str">
        <f t="shared" si="172"/>
        <v>#REF!</v>
      </c>
      <c r="AI231" s="115" t="str">
        <f t="shared" si="172"/>
        <v>#REF!</v>
      </c>
      <c r="AJ231" s="115" t="str">
        <f t="shared" si="172"/>
        <v>#REF!</v>
      </c>
      <c r="AK231" s="115" t="str">
        <f t="shared" si="172"/>
        <v>#REF!</v>
      </c>
      <c r="AL231" s="115" t="str">
        <f t="shared" si="172"/>
        <v>#REF!</v>
      </c>
      <c r="AM231" s="115">
        <f t="shared" si="172"/>
        <v>599938784.5</v>
      </c>
      <c r="AN231" s="115">
        <f t="shared" si="172"/>
        <v>612351085.9</v>
      </c>
      <c r="AO231" s="115" t="str">
        <f t="shared" si="172"/>
        <v>#REF!</v>
      </c>
      <c r="AP231" s="115" t="str">
        <f t="shared" si="172"/>
        <v>#REF!</v>
      </c>
      <c r="AQ231" s="79"/>
      <c r="AR231" s="79"/>
      <c r="AS231" s="79"/>
      <c r="AT231" s="79"/>
      <c r="AU231" s="79"/>
      <c r="AV231" s="79"/>
    </row>
    <row r="232" ht="12.75" customHeight="1" outlineLevel="1">
      <c r="A232" s="67"/>
      <c r="B232" s="67"/>
      <c r="C232" s="67"/>
      <c r="D232" s="67"/>
      <c r="E232" s="67"/>
      <c r="F232" s="67"/>
      <c r="G232" s="67"/>
      <c r="H232" s="67"/>
      <c r="I232" s="86"/>
      <c r="J232" s="79"/>
      <c r="K232" s="79"/>
      <c r="L232" s="79"/>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79"/>
      <c r="AR232" s="79"/>
      <c r="AS232" s="79"/>
      <c r="AT232" s="79"/>
      <c r="AU232" s="79"/>
      <c r="AV232" s="79"/>
    </row>
    <row r="233" ht="12.75" customHeight="1" outlineLevel="1">
      <c r="A233" s="67"/>
      <c r="B233" s="67"/>
      <c r="C233" s="67" t="s">
        <v>267</v>
      </c>
      <c r="D233" s="67"/>
      <c r="E233" s="67"/>
      <c r="F233" s="67"/>
      <c r="G233" s="67"/>
      <c r="H233" s="67"/>
      <c r="I233" s="86"/>
      <c r="J233" s="79"/>
      <c r="K233" s="79"/>
      <c r="L233" s="79"/>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79"/>
      <c r="AR233" s="79"/>
      <c r="AS233" s="79"/>
      <c r="AT233" s="79"/>
      <c r="AU233" s="79"/>
      <c r="AV233" s="79"/>
    </row>
    <row r="234" ht="12.75" customHeight="1" outlineLevel="1">
      <c r="A234" s="90"/>
      <c r="B234" s="90"/>
      <c r="C234" s="67"/>
      <c r="D234" s="90"/>
      <c r="E234" s="68" t="s">
        <v>386</v>
      </c>
      <c r="F234" s="90"/>
      <c r="G234" s="225">
        <v>5000.0</v>
      </c>
      <c r="H234" s="226" t="s">
        <v>387</v>
      </c>
      <c r="I234" s="196"/>
      <c r="J234" s="99"/>
      <c r="K234" s="99"/>
      <c r="L234" s="99"/>
      <c r="M234" s="93" t="str">
        <f t="shared" ref="M234:R234" si="173">$G234*(M22)*M28</f>
        <v>#REF!</v>
      </c>
      <c r="N234" s="93" t="str">
        <f t="shared" si="173"/>
        <v>#REF!</v>
      </c>
      <c r="O234" s="93" t="str">
        <f t="shared" si="173"/>
        <v>#REF!</v>
      </c>
      <c r="P234" s="93" t="str">
        <f t="shared" si="173"/>
        <v>#REF!</v>
      </c>
      <c r="Q234" s="93" t="str">
        <f t="shared" si="173"/>
        <v>#REF!</v>
      </c>
      <c r="R234" s="93" t="str">
        <f t="shared" si="173"/>
        <v>#REF!</v>
      </c>
      <c r="S234" s="93" t="str">
        <f t="shared" ref="S234:AF234" si="174">$G234*(S22+S23)*S28</f>
        <v>#REF!</v>
      </c>
      <c r="T234" s="93" t="str">
        <f t="shared" si="174"/>
        <v>#REF!</v>
      </c>
      <c r="U234" s="93" t="str">
        <f t="shared" si="174"/>
        <v>#REF!</v>
      </c>
      <c r="V234" s="93" t="str">
        <f t="shared" si="174"/>
        <v>#REF!</v>
      </c>
      <c r="W234" s="93" t="str">
        <f t="shared" si="174"/>
        <v>#REF!</v>
      </c>
      <c r="X234" s="93" t="str">
        <f t="shared" si="174"/>
        <v>#REF!</v>
      </c>
      <c r="Y234" s="93" t="str">
        <f t="shared" si="174"/>
        <v>#REF!</v>
      </c>
      <c r="Z234" s="93" t="str">
        <f t="shared" si="174"/>
        <v>#REF!</v>
      </c>
      <c r="AA234" s="93" t="str">
        <f t="shared" si="174"/>
        <v>#REF!</v>
      </c>
      <c r="AB234" s="93" t="str">
        <f t="shared" si="174"/>
        <v>#REF!</v>
      </c>
      <c r="AC234" s="93" t="str">
        <f t="shared" si="174"/>
        <v>#REF!</v>
      </c>
      <c r="AD234" s="93" t="str">
        <f t="shared" si="174"/>
        <v>#REF!</v>
      </c>
      <c r="AE234" s="93" t="str">
        <f t="shared" si="174"/>
        <v>#REF!</v>
      </c>
      <c r="AF234" s="93" t="str">
        <f t="shared" si="174"/>
        <v>#REF!</v>
      </c>
      <c r="AG234" s="93" t="str">
        <f t="shared" ref="AG234:AP234" si="175">$G234*(AG22+AG23)</f>
        <v>#REF!</v>
      </c>
      <c r="AH234" s="93" t="str">
        <f t="shared" si="175"/>
        <v>#REF!</v>
      </c>
      <c r="AI234" s="93" t="str">
        <f t="shared" si="175"/>
        <v>#REF!</v>
      </c>
      <c r="AJ234" s="93" t="str">
        <f t="shared" si="175"/>
        <v>#REF!</v>
      </c>
      <c r="AK234" s="93" t="str">
        <f t="shared" si="175"/>
        <v>#REF!</v>
      </c>
      <c r="AL234" s="93" t="str">
        <f t="shared" si="175"/>
        <v>#REF!</v>
      </c>
      <c r="AM234" s="93" t="str">
        <f t="shared" si="175"/>
        <v>#REF!</v>
      </c>
      <c r="AN234" s="93" t="str">
        <f t="shared" si="175"/>
        <v>#REF!</v>
      </c>
      <c r="AO234" s="93" t="str">
        <f t="shared" si="175"/>
        <v>#REF!</v>
      </c>
      <c r="AP234" s="93" t="str">
        <f t="shared" si="175"/>
        <v>#REF!</v>
      </c>
      <c r="AQ234" s="99"/>
      <c r="AR234" s="99"/>
      <c r="AS234" s="99"/>
      <c r="AT234" s="99"/>
      <c r="AU234" s="99"/>
      <c r="AV234" s="99"/>
    </row>
    <row r="235" ht="12.75" customHeight="1" outlineLevel="1">
      <c r="A235" s="90"/>
      <c r="B235" s="90"/>
      <c r="C235" s="67"/>
      <c r="D235" s="90"/>
      <c r="E235" s="68" t="s">
        <v>388</v>
      </c>
      <c r="F235" s="90"/>
      <c r="G235" s="225">
        <v>30.0</v>
      </c>
      <c r="H235" s="226" t="s">
        <v>387</v>
      </c>
      <c r="I235" s="196"/>
      <c r="J235" s="99"/>
      <c r="K235" s="99"/>
      <c r="L235" s="99"/>
      <c r="M235" s="93">
        <v>10000.0</v>
      </c>
      <c r="N235" s="93" t="str">
        <f t="shared" ref="N235:AP235" si="176">N$26*$G235*N28</f>
        <v>#REF!</v>
      </c>
      <c r="O235" s="93" t="str">
        <f t="shared" si="176"/>
        <v>#REF!</v>
      </c>
      <c r="P235" s="93" t="str">
        <f t="shared" si="176"/>
        <v>#REF!</v>
      </c>
      <c r="Q235" s="93" t="str">
        <f t="shared" si="176"/>
        <v>#REF!</v>
      </c>
      <c r="R235" s="93" t="str">
        <f t="shared" si="176"/>
        <v>#REF!</v>
      </c>
      <c r="S235" s="93" t="str">
        <f t="shared" si="176"/>
        <v>#REF!</v>
      </c>
      <c r="T235" s="93" t="str">
        <f t="shared" si="176"/>
        <v>#REF!</v>
      </c>
      <c r="U235" s="93" t="str">
        <f t="shared" si="176"/>
        <v>#REF!</v>
      </c>
      <c r="V235" s="93" t="str">
        <f t="shared" si="176"/>
        <v>#REF!</v>
      </c>
      <c r="W235" s="93" t="str">
        <f t="shared" si="176"/>
        <v>#REF!</v>
      </c>
      <c r="X235" s="93" t="str">
        <f t="shared" si="176"/>
        <v>#REF!</v>
      </c>
      <c r="Y235" s="93" t="str">
        <f t="shared" si="176"/>
        <v>#REF!</v>
      </c>
      <c r="Z235" s="93" t="str">
        <f t="shared" si="176"/>
        <v>#REF!</v>
      </c>
      <c r="AA235" s="93" t="str">
        <f t="shared" si="176"/>
        <v>#REF!</v>
      </c>
      <c r="AB235" s="93" t="str">
        <f t="shared" si="176"/>
        <v>#REF!</v>
      </c>
      <c r="AC235" s="93" t="str">
        <f t="shared" si="176"/>
        <v>#REF!</v>
      </c>
      <c r="AD235" s="93" t="str">
        <f t="shared" si="176"/>
        <v>#REF!</v>
      </c>
      <c r="AE235" s="93" t="str">
        <f t="shared" si="176"/>
        <v>#REF!</v>
      </c>
      <c r="AF235" s="93" t="str">
        <f t="shared" si="176"/>
        <v>#REF!</v>
      </c>
      <c r="AG235" s="93" t="str">
        <f t="shared" si="176"/>
        <v>#REF!</v>
      </c>
      <c r="AH235" s="93" t="str">
        <f t="shared" si="176"/>
        <v>#REF!</v>
      </c>
      <c r="AI235" s="93" t="str">
        <f t="shared" si="176"/>
        <v>#REF!</v>
      </c>
      <c r="AJ235" s="93" t="str">
        <f t="shared" si="176"/>
        <v>#REF!</v>
      </c>
      <c r="AK235" s="93" t="str">
        <f t="shared" si="176"/>
        <v>#REF!</v>
      </c>
      <c r="AL235" s="93" t="str">
        <f t="shared" si="176"/>
        <v>#REF!</v>
      </c>
      <c r="AM235" s="93" t="str">
        <f t="shared" si="176"/>
        <v>#REF!</v>
      </c>
      <c r="AN235" s="93" t="str">
        <f t="shared" si="176"/>
        <v>#REF!</v>
      </c>
      <c r="AO235" s="93" t="str">
        <f t="shared" si="176"/>
        <v>#REF!</v>
      </c>
      <c r="AP235" s="93" t="str">
        <f t="shared" si="176"/>
        <v>#REF!</v>
      </c>
      <c r="AQ235" s="99"/>
      <c r="AR235" s="99"/>
      <c r="AS235" s="99"/>
      <c r="AT235" s="99"/>
      <c r="AU235" s="99"/>
      <c r="AV235" s="99"/>
    </row>
    <row r="236" ht="12.75" customHeight="1" outlineLevel="1">
      <c r="A236" s="90"/>
      <c r="B236" s="90"/>
      <c r="C236" s="90"/>
      <c r="D236" s="90"/>
      <c r="E236" s="90" t="s">
        <v>389</v>
      </c>
      <c r="F236" s="90"/>
      <c r="G236" s="225">
        <v>30.0</v>
      </c>
      <c r="H236" s="226" t="s">
        <v>387</v>
      </c>
      <c r="I236" s="196"/>
      <c r="J236" s="99"/>
      <c r="K236" s="99"/>
      <c r="L236" s="99"/>
      <c r="M236" s="93" t="str">
        <f>M$26*$G236*M28+7500</f>
        <v>#REF!</v>
      </c>
      <c r="N236" s="93" t="str">
        <f t="shared" ref="N236:AP236" si="177">N$26*$G236*N28</f>
        <v>#REF!</v>
      </c>
      <c r="O236" s="93" t="str">
        <f t="shared" si="177"/>
        <v>#REF!</v>
      </c>
      <c r="P236" s="93" t="str">
        <f t="shared" si="177"/>
        <v>#REF!</v>
      </c>
      <c r="Q236" s="93" t="str">
        <f t="shared" si="177"/>
        <v>#REF!</v>
      </c>
      <c r="R236" s="93" t="str">
        <f t="shared" si="177"/>
        <v>#REF!</v>
      </c>
      <c r="S236" s="93" t="str">
        <f t="shared" si="177"/>
        <v>#REF!</v>
      </c>
      <c r="T236" s="93" t="str">
        <f t="shared" si="177"/>
        <v>#REF!</v>
      </c>
      <c r="U236" s="93" t="str">
        <f t="shared" si="177"/>
        <v>#REF!</v>
      </c>
      <c r="V236" s="93" t="str">
        <f t="shared" si="177"/>
        <v>#REF!</v>
      </c>
      <c r="W236" s="93" t="str">
        <f t="shared" si="177"/>
        <v>#REF!</v>
      </c>
      <c r="X236" s="93" t="str">
        <f t="shared" si="177"/>
        <v>#REF!</v>
      </c>
      <c r="Y236" s="93" t="str">
        <f t="shared" si="177"/>
        <v>#REF!</v>
      </c>
      <c r="Z236" s="93" t="str">
        <f t="shared" si="177"/>
        <v>#REF!</v>
      </c>
      <c r="AA236" s="93" t="str">
        <f t="shared" si="177"/>
        <v>#REF!</v>
      </c>
      <c r="AB236" s="93" t="str">
        <f t="shared" si="177"/>
        <v>#REF!</v>
      </c>
      <c r="AC236" s="93" t="str">
        <f t="shared" si="177"/>
        <v>#REF!</v>
      </c>
      <c r="AD236" s="93" t="str">
        <f t="shared" si="177"/>
        <v>#REF!</v>
      </c>
      <c r="AE236" s="93" t="str">
        <f t="shared" si="177"/>
        <v>#REF!</v>
      </c>
      <c r="AF236" s="93" t="str">
        <f t="shared" si="177"/>
        <v>#REF!</v>
      </c>
      <c r="AG236" s="93" t="str">
        <f t="shared" si="177"/>
        <v>#REF!</v>
      </c>
      <c r="AH236" s="93" t="str">
        <f t="shared" si="177"/>
        <v>#REF!</v>
      </c>
      <c r="AI236" s="93" t="str">
        <f t="shared" si="177"/>
        <v>#REF!</v>
      </c>
      <c r="AJ236" s="93" t="str">
        <f t="shared" si="177"/>
        <v>#REF!</v>
      </c>
      <c r="AK236" s="93" t="str">
        <f t="shared" si="177"/>
        <v>#REF!</v>
      </c>
      <c r="AL236" s="93" t="str">
        <f t="shared" si="177"/>
        <v>#REF!</v>
      </c>
      <c r="AM236" s="93" t="str">
        <f t="shared" si="177"/>
        <v>#REF!</v>
      </c>
      <c r="AN236" s="93" t="str">
        <f t="shared" si="177"/>
        <v>#REF!</v>
      </c>
      <c r="AO236" s="93" t="str">
        <f t="shared" si="177"/>
        <v>#REF!</v>
      </c>
      <c r="AP236" s="93" t="str">
        <f t="shared" si="177"/>
        <v>#REF!</v>
      </c>
      <c r="AQ236" s="99"/>
      <c r="AR236" s="99"/>
      <c r="AS236" s="99"/>
      <c r="AT236" s="99"/>
      <c r="AU236" s="99"/>
      <c r="AV236" s="99"/>
    </row>
    <row r="237" ht="12.75" customHeight="1" outlineLevel="1">
      <c r="A237" s="90"/>
      <c r="B237" s="90"/>
      <c r="C237" s="67"/>
      <c r="D237" s="90"/>
      <c r="E237" s="68" t="s">
        <v>390</v>
      </c>
      <c r="F237" s="90"/>
      <c r="G237" s="225">
        <v>20.0</v>
      </c>
      <c r="H237" s="226" t="s">
        <v>387</v>
      </c>
      <c r="I237" s="196"/>
      <c r="J237" s="99"/>
      <c r="K237" s="99"/>
      <c r="L237" s="99"/>
      <c r="M237" s="93" t="str">
        <f t="shared" ref="M237:AP237" si="178">2000+$G237*M26</f>
        <v>#REF!</v>
      </c>
      <c r="N237" s="93" t="str">
        <f t="shared" si="178"/>
        <v>#REF!</v>
      </c>
      <c r="O237" s="93" t="str">
        <f t="shared" si="178"/>
        <v>#REF!</v>
      </c>
      <c r="P237" s="93" t="str">
        <f t="shared" si="178"/>
        <v>#REF!</v>
      </c>
      <c r="Q237" s="93" t="str">
        <f t="shared" si="178"/>
        <v>#REF!</v>
      </c>
      <c r="R237" s="93" t="str">
        <f t="shared" si="178"/>
        <v>#REF!</v>
      </c>
      <c r="S237" s="93" t="str">
        <f t="shared" si="178"/>
        <v>#REF!</v>
      </c>
      <c r="T237" s="93" t="str">
        <f t="shared" si="178"/>
        <v>#REF!</v>
      </c>
      <c r="U237" s="93" t="str">
        <f t="shared" si="178"/>
        <v>#REF!</v>
      </c>
      <c r="V237" s="93" t="str">
        <f t="shared" si="178"/>
        <v>#REF!</v>
      </c>
      <c r="W237" s="93" t="str">
        <f t="shared" si="178"/>
        <v>#REF!</v>
      </c>
      <c r="X237" s="93" t="str">
        <f t="shared" si="178"/>
        <v>#REF!</v>
      </c>
      <c r="Y237" s="93" t="str">
        <f t="shared" si="178"/>
        <v>#REF!</v>
      </c>
      <c r="Z237" s="93" t="str">
        <f t="shared" si="178"/>
        <v>#REF!</v>
      </c>
      <c r="AA237" s="93" t="str">
        <f t="shared" si="178"/>
        <v>#REF!</v>
      </c>
      <c r="AB237" s="93" t="str">
        <f t="shared" si="178"/>
        <v>#REF!</v>
      </c>
      <c r="AC237" s="93" t="str">
        <f t="shared" si="178"/>
        <v>#REF!</v>
      </c>
      <c r="AD237" s="93" t="str">
        <f t="shared" si="178"/>
        <v>#REF!</v>
      </c>
      <c r="AE237" s="93" t="str">
        <f t="shared" si="178"/>
        <v>#REF!</v>
      </c>
      <c r="AF237" s="93" t="str">
        <f t="shared" si="178"/>
        <v>#REF!</v>
      </c>
      <c r="AG237" s="93" t="str">
        <f t="shared" si="178"/>
        <v>#REF!</v>
      </c>
      <c r="AH237" s="93" t="str">
        <f t="shared" si="178"/>
        <v>#REF!</v>
      </c>
      <c r="AI237" s="93" t="str">
        <f t="shared" si="178"/>
        <v>#REF!</v>
      </c>
      <c r="AJ237" s="93" t="str">
        <f t="shared" si="178"/>
        <v>#REF!</v>
      </c>
      <c r="AK237" s="93" t="str">
        <f t="shared" si="178"/>
        <v>#REF!</v>
      </c>
      <c r="AL237" s="93" t="str">
        <f t="shared" si="178"/>
        <v>#REF!</v>
      </c>
      <c r="AM237" s="93" t="str">
        <f t="shared" si="178"/>
        <v>#REF!</v>
      </c>
      <c r="AN237" s="93" t="str">
        <f t="shared" si="178"/>
        <v>#REF!</v>
      </c>
      <c r="AO237" s="93" t="str">
        <f t="shared" si="178"/>
        <v>#REF!</v>
      </c>
      <c r="AP237" s="93" t="str">
        <f t="shared" si="178"/>
        <v>#REF!</v>
      </c>
      <c r="AQ237" s="99"/>
      <c r="AR237" s="99"/>
      <c r="AS237" s="99"/>
      <c r="AT237" s="99"/>
      <c r="AU237" s="99"/>
      <c r="AV237" s="99"/>
    </row>
    <row r="238" ht="12.75" customHeight="1" outlineLevel="1">
      <c r="A238" s="90"/>
      <c r="B238" s="90"/>
      <c r="C238" s="67"/>
      <c r="D238" s="90"/>
      <c r="E238" s="68" t="s">
        <v>391</v>
      </c>
      <c r="F238" s="90"/>
      <c r="G238" s="225">
        <v>10000.0</v>
      </c>
      <c r="H238" s="226" t="s">
        <v>392</v>
      </c>
      <c r="I238" s="196"/>
      <c r="J238" s="99"/>
      <c r="K238" s="99"/>
      <c r="L238" s="99"/>
      <c r="M238" s="93" t="str">
        <f t="shared" ref="M238:AP238" si="179">ROUNDDOWN(SUM(N22)/30,0)*$G238*M28</f>
        <v>#REF!</v>
      </c>
      <c r="N238" s="93" t="str">
        <f t="shared" si="179"/>
        <v>#REF!</v>
      </c>
      <c r="O238" s="93" t="str">
        <f t="shared" si="179"/>
        <v>#REF!</v>
      </c>
      <c r="P238" s="93" t="str">
        <f t="shared" si="179"/>
        <v>#REF!</v>
      </c>
      <c r="Q238" s="93" t="str">
        <f t="shared" si="179"/>
        <v>#REF!</v>
      </c>
      <c r="R238" s="93" t="str">
        <f t="shared" si="179"/>
        <v>#REF!</v>
      </c>
      <c r="S238" s="93" t="str">
        <f t="shared" si="179"/>
        <v>#REF!</v>
      </c>
      <c r="T238" s="93" t="str">
        <f t="shared" si="179"/>
        <v>#REF!</v>
      </c>
      <c r="U238" s="93" t="str">
        <f t="shared" si="179"/>
        <v>#REF!</v>
      </c>
      <c r="V238" s="93" t="str">
        <f t="shared" si="179"/>
        <v>#REF!</v>
      </c>
      <c r="W238" s="93" t="str">
        <f t="shared" si="179"/>
        <v>#REF!</v>
      </c>
      <c r="X238" s="93" t="str">
        <f t="shared" si="179"/>
        <v>#REF!</v>
      </c>
      <c r="Y238" s="93" t="str">
        <f t="shared" si="179"/>
        <v>#REF!</v>
      </c>
      <c r="Z238" s="93" t="str">
        <f t="shared" si="179"/>
        <v>#REF!</v>
      </c>
      <c r="AA238" s="93" t="str">
        <f t="shared" si="179"/>
        <v>#REF!</v>
      </c>
      <c r="AB238" s="93" t="str">
        <f t="shared" si="179"/>
        <v>#REF!</v>
      </c>
      <c r="AC238" s="93" t="str">
        <f t="shared" si="179"/>
        <v>#REF!</v>
      </c>
      <c r="AD238" s="93" t="str">
        <f t="shared" si="179"/>
        <v>#REF!</v>
      </c>
      <c r="AE238" s="93" t="str">
        <f t="shared" si="179"/>
        <v>#REF!</v>
      </c>
      <c r="AF238" s="93" t="str">
        <f t="shared" si="179"/>
        <v>#REF!</v>
      </c>
      <c r="AG238" s="93" t="str">
        <f t="shared" si="179"/>
        <v>#REF!</v>
      </c>
      <c r="AH238" s="93" t="str">
        <f t="shared" si="179"/>
        <v>#REF!</v>
      </c>
      <c r="AI238" s="93" t="str">
        <f t="shared" si="179"/>
        <v>#REF!</v>
      </c>
      <c r="AJ238" s="93" t="str">
        <f t="shared" si="179"/>
        <v>#REF!</v>
      </c>
      <c r="AK238" s="93" t="str">
        <f t="shared" si="179"/>
        <v>#REF!</v>
      </c>
      <c r="AL238" s="93" t="str">
        <f t="shared" si="179"/>
        <v>#REF!</v>
      </c>
      <c r="AM238" s="93" t="str">
        <f t="shared" si="179"/>
        <v>#REF!</v>
      </c>
      <c r="AN238" s="93" t="str">
        <f t="shared" si="179"/>
        <v>#REF!</v>
      </c>
      <c r="AO238" s="93" t="str">
        <f t="shared" si="179"/>
        <v>#REF!</v>
      </c>
      <c r="AP238" s="93">
        <f t="shared" si="179"/>
        <v>0</v>
      </c>
      <c r="AQ238" s="99"/>
      <c r="AR238" s="99"/>
      <c r="AS238" s="99"/>
      <c r="AT238" s="99"/>
      <c r="AU238" s="99"/>
      <c r="AV238" s="99"/>
    </row>
    <row r="239" ht="12.75" customHeight="1" outlineLevel="1">
      <c r="A239" s="90"/>
      <c r="B239" s="90"/>
      <c r="C239" s="67"/>
      <c r="D239" s="90"/>
      <c r="E239" s="90" t="s">
        <v>393</v>
      </c>
      <c r="F239" s="90"/>
      <c r="G239" s="225">
        <v>100000.0</v>
      </c>
      <c r="H239" s="226" t="s">
        <v>371</v>
      </c>
      <c r="I239" s="196"/>
      <c r="J239" s="99"/>
      <c r="K239" s="99"/>
      <c r="L239" s="99"/>
      <c r="M239" s="93">
        <f t="shared" ref="M239:O239" si="180">$G239*(M8-1)*M28</f>
        <v>0</v>
      </c>
      <c r="N239" s="93">
        <f t="shared" si="180"/>
        <v>0</v>
      </c>
      <c r="O239" s="93">
        <f t="shared" si="180"/>
        <v>0</v>
      </c>
      <c r="P239" s="93">
        <v>0.0</v>
      </c>
      <c r="Q239" s="93">
        <v>0.0</v>
      </c>
      <c r="R239" s="93">
        <v>0.0</v>
      </c>
      <c r="S239" s="93">
        <f t="shared" ref="S239:AL239" si="181">$G239*(S8-1)*S28</f>
        <v>624240</v>
      </c>
      <c r="T239" s="93">
        <f t="shared" si="181"/>
        <v>1167328.8</v>
      </c>
      <c r="U239" s="93">
        <f t="shared" si="181"/>
        <v>2056621.104</v>
      </c>
      <c r="V239" s="93">
        <f t="shared" si="181"/>
        <v>3533058.57</v>
      </c>
      <c r="W239" s="93">
        <f t="shared" si="181"/>
        <v>5518195.854</v>
      </c>
      <c r="X239" s="93">
        <f t="shared" si="181"/>
        <v>5628559.771</v>
      </c>
      <c r="Y239" s="93">
        <f t="shared" si="181"/>
        <v>5741130.967</v>
      </c>
      <c r="Z239" s="93">
        <f t="shared" si="181"/>
        <v>5855953.586</v>
      </c>
      <c r="AA239" s="93">
        <f t="shared" si="181"/>
        <v>5973072.658</v>
      </c>
      <c r="AB239" s="93">
        <f t="shared" si="181"/>
        <v>6092534.111</v>
      </c>
      <c r="AC239" s="93">
        <f t="shared" si="181"/>
        <v>6214384.793</v>
      </c>
      <c r="AD239" s="93">
        <f t="shared" si="181"/>
        <v>6338672.489</v>
      </c>
      <c r="AE239" s="93">
        <f t="shared" si="181"/>
        <v>6465445.939</v>
      </c>
      <c r="AF239" s="93">
        <f t="shared" si="181"/>
        <v>6594754.858</v>
      </c>
      <c r="AG239" s="93">
        <f t="shared" si="181"/>
        <v>6726649.955</v>
      </c>
      <c r="AH239" s="93">
        <f t="shared" si="181"/>
        <v>6861182.954</v>
      </c>
      <c r="AI239" s="93">
        <f t="shared" si="181"/>
        <v>6998406.613</v>
      </c>
      <c r="AJ239" s="93">
        <f t="shared" si="181"/>
        <v>7138374.745</v>
      </c>
      <c r="AK239" s="93">
        <f t="shared" si="181"/>
        <v>7281142.24</v>
      </c>
      <c r="AL239" s="93">
        <f t="shared" si="181"/>
        <v>7426765.085</v>
      </c>
      <c r="AM239" s="93">
        <f t="shared" ref="AM239:AP239" si="182">$G239*AM$28</f>
        <v>154597.9671</v>
      </c>
      <c r="AN239" s="93">
        <f t="shared" si="182"/>
        <v>157689.9264</v>
      </c>
      <c r="AO239" s="93">
        <f t="shared" si="182"/>
        <v>160843.7249</v>
      </c>
      <c r="AP239" s="93">
        <f t="shared" si="182"/>
        <v>164060.5994</v>
      </c>
      <c r="AQ239" s="99"/>
      <c r="AR239" s="99"/>
      <c r="AS239" s="99"/>
      <c r="AT239" s="99"/>
      <c r="AU239" s="99"/>
      <c r="AV239" s="99"/>
    </row>
    <row r="240" ht="12.75" customHeight="1" outlineLevel="1">
      <c r="A240" s="90"/>
      <c r="B240" s="90"/>
      <c r="C240" s="67"/>
      <c r="D240" s="90"/>
      <c r="E240" s="90" t="s">
        <v>394</v>
      </c>
      <c r="F240" s="90"/>
      <c r="G240" s="225">
        <v>2000.0</v>
      </c>
      <c r="H240" s="226" t="s">
        <v>395</v>
      </c>
      <c r="I240" s="196"/>
      <c r="J240" s="99"/>
      <c r="K240" s="99"/>
      <c r="L240" s="99"/>
      <c r="M240" s="93" t="str">
        <f t="shared" ref="M240:AP240" si="183">MAX(0,$G240*(M22-L22)*M$28)</f>
        <v>#REF!</v>
      </c>
      <c r="N240" s="93" t="str">
        <f t="shared" si="183"/>
        <v>#REF!</v>
      </c>
      <c r="O240" s="93" t="str">
        <f t="shared" si="183"/>
        <v>#REF!</v>
      </c>
      <c r="P240" s="93" t="str">
        <f t="shared" si="183"/>
        <v>#REF!</v>
      </c>
      <c r="Q240" s="93" t="str">
        <f t="shared" si="183"/>
        <v>#REF!</v>
      </c>
      <c r="R240" s="93" t="str">
        <f t="shared" si="183"/>
        <v>#REF!</v>
      </c>
      <c r="S240" s="93" t="str">
        <f t="shared" si="183"/>
        <v>#REF!</v>
      </c>
      <c r="T240" s="93" t="str">
        <f t="shared" si="183"/>
        <v>#REF!</v>
      </c>
      <c r="U240" s="93" t="str">
        <f t="shared" si="183"/>
        <v>#REF!</v>
      </c>
      <c r="V240" s="93" t="str">
        <f t="shared" si="183"/>
        <v>#REF!</v>
      </c>
      <c r="W240" s="93" t="str">
        <f t="shared" si="183"/>
        <v>#REF!</v>
      </c>
      <c r="X240" s="93" t="str">
        <f t="shared" si="183"/>
        <v>#REF!</v>
      </c>
      <c r="Y240" s="93" t="str">
        <f t="shared" si="183"/>
        <v>#REF!</v>
      </c>
      <c r="Z240" s="93" t="str">
        <f t="shared" si="183"/>
        <v>#REF!</v>
      </c>
      <c r="AA240" s="93" t="str">
        <f t="shared" si="183"/>
        <v>#REF!</v>
      </c>
      <c r="AB240" s="93" t="str">
        <f t="shared" si="183"/>
        <v>#REF!</v>
      </c>
      <c r="AC240" s="93" t="str">
        <f t="shared" si="183"/>
        <v>#REF!</v>
      </c>
      <c r="AD240" s="93" t="str">
        <f t="shared" si="183"/>
        <v>#REF!</v>
      </c>
      <c r="AE240" s="93" t="str">
        <f t="shared" si="183"/>
        <v>#REF!</v>
      </c>
      <c r="AF240" s="93" t="str">
        <f t="shared" si="183"/>
        <v>#REF!</v>
      </c>
      <c r="AG240" s="93" t="str">
        <f t="shared" si="183"/>
        <v>#REF!</v>
      </c>
      <c r="AH240" s="93" t="str">
        <f t="shared" si="183"/>
        <v>#REF!</v>
      </c>
      <c r="AI240" s="93" t="str">
        <f t="shared" si="183"/>
        <v>#REF!</v>
      </c>
      <c r="AJ240" s="93" t="str">
        <f t="shared" si="183"/>
        <v>#REF!</v>
      </c>
      <c r="AK240" s="93" t="str">
        <f t="shared" si="183"/>
        <v>#REF!</v>
      </c>
      <c r="AL240" s="93" t="str">
        <f t="shared" si="183"/>
        <v>#REF!</v>
      </c>
      <c r="AM240" s="119" t="str">
        <f t="shared" si="183"/>
        <v>#REF!</v>
      </c>
      <c r="AN240" s="119" t="str">
        <f t="shared" si="183"/>
        <v>#REF!</v>
      </c>
      <c r="AO240" s="119" t="str">
        <f t="shared" si="183"/>
        <v>#REF!</v>
      </c>
      <c r="AP240" s="119" t="str">
        <f t="shared" si="183"/>
        <v>#REF!</v>
      </c>
      <c r="AQ240" s="125"/>
      <c r="AR240" s="125"/>
      <c r="AS240" s="125"/>
      <c r="AT240" s="125"/>
      <c r="AU240" s="125"/>
      <c r="AV240" s="125"/>
    </row>
    <row r="241" ht="12.75" customHeight="1" outlineLevel="1">
      <c r="A241" s="90"/>
      <c r="B241" s="90"/>
      <c r="C241" s="67"/>
      <c r="D241" s="152">
        <f>RSGen_none!I253</f>
        <v>0.04</v>
      </c>
      <c r="E241" s="68" t="s">
        <v>396</v>
      </c>
      <c r="F241" s="90"/>
      <c r="G241" s="225"/>
      <c r="H241" s="226"/>
      <c r="I241" s="196"/>
      <c r="J241" s="99"/>
      <c r="K241" s="99"/>
      <c r="L241" s="99"/>
      <c r="M241" s="93">
        <f t="shared" ref="M241:Q241" si="184">M360</f>
        <v>63944.3072</v>
      </c>
      <c r="N241" s="93">
        <f t="shared" si="184"/>
        <v>48992.2392</v>
      </c>
      <c r="O241" s="93">
        <f t="shared" si="184"/>
        <v>52741.69488</v>
      </c>
      <c r="P241" s="93">
        <f t="shared" si="184"/>
        <v>25912.71942</v>
      </c>
      <c r="Q241" s="93">
        <f t="shared" si="184"/>
        <v>31616</v>
      </c>
      <c r="R241" s="93">
        <f t="shared" ref="R241:AP241" si="185">$D241*R369</f>
        <v>0</v>
      </c>
      <c r="S241" s="93">
        <f t="shared" si="185"/>
        <v>0</v>
      </c>
      <c r="T241" s="93">
        <f t="shared" si="185"/>
        <v>0</v>
      </c>
      <c r="U241" s="93">
        <f t="shared" si="185"/>
        <v>0</v>
      </c>
      <c r="V241" s="93">
        <f t="shared" si="185"/>
        <v>0</v>
      </c>
      <c r="W241" s="93">
        <f t="shared" si="185"/>
        <v>200000</v>
      </c>
      <c r="X241" s="93">
        <f t="shared" si="185"/>
        <v>600000</v>
      </c>
      <c r="Y241" s="93">
        <f t="shared" si="185"/>
        <v>600000</v>
      </c>
      <c r="Z241" s="93">
        <f t="shared" si="185"/>
        <v>0</v>
      </c>
      <c r="AA241" s="93">
        <f t="shared" si="185"/>
        <v>0</v>
      </c>
      <c r="AB241" s="93">
        <f t="shared" si="185"/>
        <v>0</v>
      </c>
      <c r="AC241" s="93">
        <f t="shared" si="185"/>
        <v>0</v>
      </c>
      <c r="AD241" s="93">
        <f t="shared" si="185"/>
        <v>0</v>
      </c>
      <c r="AE241" s="93">
        <f t="shared" si="185"/>
        <v>0</v>
      </c>
      <c r="AF241" s="93">
        <f t="shared" si="185"/>
        <v>0</v>
      </c>
      <c r="AG241" s="93">
        <f t="shared" si="185"/>
        <v>0</v>
      </c>
      <c r="AH241" s="93">
        <f t="shared" si="185"/>
        <v>0</v>
      </c>
      <c r="AI241" s="93">
        <f t="shared" si="185"/>
        <v>0</v>
      </c>
      <c r="AJ241" s="93">
        <f t="shared" si="185"/>
        <v>0</v>
      </c>
      <c r="AK241" s="93">
        <f t="shared" si="185"/>
        <v>0</v>
      </c>
      <c r="AL241" s="93">
        <f t="shared" si="185"/>
        <v>0</v>
      </c>
      <c r="AM241" s="93">
        <f t="shared" si="185"/>
        <v>0</v>
      </c>
      <c r="AN241" s="93">
        <f t="shared" si="185"/>
        <v>0</v>
      </c>
      <c r="AO241" s="93">
        <f t="shared" si="185"/>
        <v>0</v>
      </c>
      <c r="AP241" s="93">
        <f t="shared" si="185"/>
        <v>0</v>
      </c>
      <c r="AQ241" s="79"/>
      <c r="AR241" s="79"/>
      <c r="AS241" s="79"/>
      <c r="AT241" s="79"/>
      <c r="AU241" s="79"/>
      <c r="AV241" s="79"/>
    </row>
    <row r="242" ht="12.75" customHeight="1" outlineLevel="1">
      <c r="A242" s="90"/>
      <c r="B242" s="90"/>
      <c r="C242" s="67"/>
      <c r="D242" s="90"/>
      <c r="E242" s="90" t="s">
        <v>397</v>
      </c>
      <c r="F242" s="90"/>
      <c r="G242" s="225">
        <v>1000.0</v>
      </c>
      <c r="H242" s="226" t="s">
        <v>387</v>
      </c>
      <c r="I242" s="196"/>
      <c r="J242" s="99"/>
      <c r="K242" s="99"/>
      <c r="L242" s="99"/>
      <c r="M242" s="93" t="str">
        <f t="shared" ref="M242:AP242" si="186">$G242*M28*SUM(M22)</f>
        <v>#REF!</v>
      </c>
      <c r="N242" s="93" t="str">
        <f t="shared" si="186"/>
        <v>#REF!</v>
      </c>
      <c r="O242" s="93" t="str">
        <f t="shared" si="186"/>
        <v>#REF!</v>
      </c>
      <c r="P242" s="93" t="str">
        <f t="shared" si="186"/>
        <v>#REF!</v>
      </c>
      <c r="Q242" s="93" t="str">
        <f t="shared" si="186"/>
        <v>#REF!</v>
      </c>
      <c r="R242" s="93" t="str">
        <f t="shared" si="186"/>
        <v>#REF!</v>
      </c>
      <c r="S242" s="93" t="str">
        <f t="shared" si="186"/>
        <v>#REF!</v>
      </c>
      <c r="T242" s="93" t="str">
        <f t="shared" si="186"/>
        <v>#REF!</v>
      </c>
      <c r="U242" s="93" t="str">
        <f t="shared" si="186"/>
        <v>#REF!</v>
      </c>
      <c r="V242" s="93" t="str">
        <f t="shared" si="186"/>
        <v>#REF!</v>
      </c>
      <c r="W242" s="93" t="str">
        <f t="shared" si="186"/>
        <v>#REF!</v>
      </c>
      <c r="X242" s="93" t="str">
        <f t="shared" si="186"/>
        <v>#REF!</v>
      </c>
      <c r="Y242" s="93" t="str">
        <f t="shared" si="186"/>
        <v>#REF!</v>
      </c>
      <c r="Z242" s="93" t="str">
        <f t="shared" si="186"/>
        <v>#REF!</v>
      </c>
      <c r="AA242" s="93" t="str">
        <f t="shared" si="186"/>
        <v>#REF!</v>
      </c>
      <c r="AB242" s="93" t="str">
        <f t="shared" si="186"/>
        <v>#REF!</v>
      </c>
      <c r="AC242" s="93" t="str">
        <f t="shared" si="186"/>
        <v>#REF!</v>
      </c>
      <c r="AD242" s="93" t="str">
        <f t="shared" si="186"/>
        <v>#REF!</v>
      </c>
      <c r="AE242" s="93" t="str">
        <f t="shared" si="186"/>
        <v>#REF!</v>
      </c>
      <c r="AF242" s="93" t="str">
        <f t="shared" si="186"/>
        <v>#REF!</v>
      </c>
      <c r="AG242" s="93" t="str">
        <f t="shared" si="186"/>
        <v>#REF!</v>
      </c>
      <c r="AH242" s="93" t="str">
        <f t="shared" si="186"/>
        <v>#REF!</v>
      </c>
      <c r="AI242" s="93" t="str">
        <f t="shared" si="186"/>
        <v>#REF!</v>
      </c>
      <c r="AJ242" s="93" t="str">
        <f t="shared" si="186"/>
        <v>#REF!</v>
      </c>
      <c r="AK242" s="93" t="str">
        <f t="shared" si="186"/>
        <v>#REF!</v>
      </c>
      <c r="AL242" s="93" t="str">
        <f t="shared" si="186"/>
        <v>#REF!</v>
      </c>
      <c r="AM242" s="119" t="str">
        <f t="shared" si="186"/>
        <v>#REF!</v>
      </c>
      <c r="AN242" s="119" t="str">
        <f t="shared" si="186"/>
        <v>#REF!</v>
      </c>
      <c r="AO242" s="119" t="str">
        <f t="shared" si="186"/>
        <v>#REF!</v>
      </c>
      <c r="AP242" s="119" t="str">
        <f t="shared" si="186"/>
        <v>#REF!</v>
      </c>
      <c r="AQ242" s="125"/>
      <c r="AR242" s="125"/>
      <c r="AS242" s="125"/>
      <c r="AT242" s="125"/>
      <c r="AU242" s="125"/>
      <c r="AV242" s="125"/>
    </row>
    <row r="243" ht="12.75" customHeight="1" outlineLevel="1">
      <c r="A243" s="237"/>
      <c r="B243" s="237"/>
      <c r="C243" s="238"/>
      <c r="D243" s="239">
        <f>Assumptions!H34</f>
        <v>0.01</v>
      </c>
      <c r="E243" s="240" t="s">
        <v>398</v>
      </c>
      <c r="F243" s="240"/>
      <c r="G243" s="241">
        <v>100000.0</v>
      </c>
      <c r="H243" s="242"/>
      <c r="I243" s="243"/>
      <c r="J243" s="244"/>
      <c r="K243" s="244"/>
      <c r="L243" s="244"/>
      <c r="M243" s="245">
        <f t="shared" ref="M243:AP243" si="187">MAX($G243,M11*0.08*$D243)</f>
        <v>100000</v>
      </c>
      <c r="N243" s="245">
        <f t="shared" si="187"/>
        <v>100000</v>
      </c>
      <c r="O243" s="245">
        <f t="shared" si="187"/>
        <v>100000</v>
      </c>
      <c r="P243" s="245">
        <f t="shared" si="187"/>
        <v>100000</v>
      </c>
      <c r="Q243" s="245">
        <f t="shared" si="187"/>
        <v>100000</v>
      </c>
      <c r="R243" s="245">
        <f t="shared" si="187"/>
        <v>103008.7524</v>
      </c>
      <c r="S243" s="245">
        <f t="shared" si="187"/>
        <v>173757.3086</v>
      </c>
      <c r="T243" s="245">
        <f t="shared" si="187"/>
        <v>283087.5973</v>
      </c>
      <c r="U243" s="245">
        <f t="shared" si="187"/>
        <v>423144.1934</v>
      </c>
      <c r="V243" s="245">
        <f t="shared" si="187"/>
        <v>581094.888</v>
      </c>
      <c r="W243" s="245">
        <f t="shared" si="187"/>
        <v>807936.7952</v>
      </c>
      <c r="X243" s="245">
        <f t="shared" si="187"/>
        <v>1101991.517</v>
      </c>
      <c r="Y243" s="245">
        <f t="shared" si="187"/>
        <v>1599289.574</v>
      </c>
      <c r="Z243" s="245">
        <f t="shared" si="187"/>
        <v>2297418.664</v>
      </c>
      <c r="AA243" s="245">
        <f t="shared" si="187"/>
        <v>3200461.783</v>
      </c>
      <c r="AB243" s="245">
        <f t="shared" si="187"/>
        <v>4268775.898</v>
      </c>
      <c r="AC243" s="245">
        <f t="shared" si="187"/>
        <v>5558259.791</v>
      </c>
      <c r="AD243" s="245">
        <f t="shared" si="187"/>
        <v>7001846.797</v>
      </c>
      <c r="AE243" s="245">
        <f t="shared" si="187"/>
        <v>8486044.566</v>
      </c>
      <c r="AF243" s="245">
        <f t="shared" si="187"/>
        <v>9737043.964</v>
      </c>
      <c r="AG243" s="245">
        <f t="shared" si="187"/>
        <v>10208511.96</v>
      </c>
      <c r="AH243" s="245">
        <f t="shared" si="187"/>
        <v>10464569.87</v>
      </c>
      <c r="AI243" s="245">
        <f t="shared" si="187"/>
        <v>10671031.2</v>
      </c>
      <c r="AJ243" s="245">
        <f t="shared" si="187"/>
        <v>10873477.68</v>
      </c>
      <c r="AK243" s="245">
        <f t="shared" si="187"/>
        <v>11082199.46</v>
      </c>
      <c r="AL243" s="245">
        <f t="shared" si="187"/>
        <v>11298129.61</v>
      </c>
      <c r="AM243" s="245">
        <f t="shared" si="187"/>
        <v>11521362.63</v>
      </c>
      <c r="AN243" s="245">
        <f t="shared" si="187"/>
        <v>11751486.19</v>
      </c>
      <c r="AO243" s="245" t="str">
        <f t="shared" si="187"/>
        <v>#REF!</v>
      </c>
      <c r="AP243" s="245" t="str">
        <f t="shared" si="187"/>
        <v>#REF!</v>
      </c>
      <c r="AQ243" s="244"/>
      <c r="AR243" s="244"/>
      <c r="AS243" s="244"/>
      <c r="AT243" s="244"/>
      <c r="AU243" s="244"/>
      <c r="AV243" s="244"/>
    </row>
    <row r="244" ht="12.75" customHeight="1" outlineLevel="1">
      <c r="A244" s="67"/>
      <c r="B244" s="67"/>
      <c r="C244" s="67" t="s">
        <v>399</v>
      </c>
      <c r="D244" s="67"/>
      <c r="E244" s="67"/>
      <c r="F244" s="67"/>
      <c r="G244" s="67"/>
      <c r="H244" s="67"/>
      <c r="I244" s="86"/>
      <c r="J244" s="79"/>
      <c r="K244" s="79"/>
      <c r="L244" s="79"/>
      <c r="M244" s="115" t="str">
        <f t="shared" ref="M244:AL244" si="188">SUM(M234:M243)</f>
        <v>#REF!</v>
      </c>
      <c r="N244" s="115" t="str">
        <f t="shared" si="188"/>
        <v>#REF!</v>
      </c>
      <c r="O244" s="115" t="str">
        <f t="shared" si="188"/>
        <v>#REF!</v>
      </c>
      <c r="P244" s="115" t="str">
        <f t="shared" si="188"/>
        <v>#REF!</v>
      </c>
      <c r="Q244" s="115" t="str">
        <f t="shared" si="188"/>
        <v>#REF!</v>
      </c>
      <c r="R244" s="115" t="str">
        <f t="shared" si="188"/>
        <v>#REF!</v>
      </c>
      <c r="S244" s="115" t="str">
        <f t="shared" si="188"/>
        <v>#REF!</v>
      </c>
      <c r="T244" s="115" t="str">
        <f t="shared" si="188"/>
        <v>#REF!</v>
      </c>
      <c r="U244" s="115" t="str">
        <f t="shared" si="188"/>
        <v>#REF!</v>
      </c>
      <c r="V244" s="115" t="str">
        <f t="shared" si="188"/>
        <v>#REF!</v>
      </c>
      <c r="W244" s="115" t="str">
        <f t="shared" si="188"/>
        <v>#REF!</v>
      </c>
      <c r="X244" s="115" t="str">
        <f t="shared" si="188"/>
        <v>#REF!</v>
      </c>
      <c r="Y244" s="115" t="str">
        <f t="shared" si="188"/>
        <v>#REF!</v>
      </c>
      <c r="Z244" s="115" t="str">
        <f t="shared" si="188"/>
        <v>#REF!</v>
      </c>
      <c r="AA244" s="115" t="str">
        <f t="shared" si="188"/>
        <v>#REF!</v>
      </c>
      <c r="AB244" s="115" t="str">
        <f t="shared" si="188"/>
        <v>#REF!</v>
      </c>
      <c r="AC244" s="115" t="str">
        <f t="shared" si="188"/>
        <v>#REF!</v>
      </c>
      <c r="AD244" s="115" t="str">
        <f t="shared" si="188"/>
        <v>#REF!</v>
      </c>
      <c r="AE244" s="115" t="str">
        <f t="shared" si="188"/>
        <v>#REF!</v>
      </c>
      <c r="AF244" s="115" t="str">
        <f t="shared" si="188"/>
        <v>#REF!</v>
      </c>
      <c r="AG244" s="115" t="str">
        <f t="shared" si="188"/>
        <v>#REF!</v>
      </c>
      <c r="AH244" s="115" t="str">
        <f t="shared" si="188"/>
        <v>#REF!</v>
      </c>
      <c r="AI244" s="115" t="str">
        <f t="shared" si="188"/>
        <v>#REF!</v>
      </c>
      <c r="AJ244" s="115" t="str">
        <f t="shared" si="188"/>
        <v>#REF!</v>
      </c>
      <c r="AK244" s="115" t="str">
        <f t="shared" si="188"/>
        <v>#REF!</v>
      </c>
      <c r="AL244" s="115" t="str">
        <f t="shared" si="188"/>
        <v>#REF!</v>
      </c>
      <c r="AM244" s="115"/>
      <c r="AN244" s="115"/>
      <c r="AO244" s="115"/>
      <c r="AP244" s="115"/>
      <c r="AQ244" s="79"/>
      <c r="AR244" s="79"/>
      <c r="AS244" s="79"/>
      <c r="AT244" s="79"/>
      <c r="AU244" s="79"/>
      <c r="AV244" s="79"/>
    </row>
    <row r="245" ht="12.75" customHeight="1" outlineLevel="1">
      <c r="A245" s="67"/>
      <c r="B245" s="67"/>
      <c r="C245" s="67"/>
      <c r="D245" s="67"/>
      <c r="E245" s="67"/>
      <c r="F245" s="67"/>
      <c r="G245" s="67"/>
      <c r="H245" s="67"/>
      <c r="I245" s="86"/>
      <c r="J245" s="79"/>
      <c r="K245" s="79"/>
      <c r="L245" s="79"/>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79"/>
      <c r="AR245" s="79"/>
      <c r="AS245" s="79"/>
      <c r="AT245" s="79"/>
      <c r="AU245" s="79"/>
      <c r="AV245" s="79"/>
    </row>
    <row r="246" ht="12.75" customHeight="1" outlineLevel="1">
      <c r="A246" s="90"/>
      <c r="B246" s="90"/>
      <c r="C246" s="90"/>
      <c r="D246" s="90"/>
      <c r="E246" s="90"/>
      <c r="F246" s="90"/>
      <c r="G246" s="90"/>
      <c r="H246" s="90"/>
      <c r="I246" s="196"/>
      <c r="J246" s="99"/>
      <c r="K246" s="99"/>
      <c r="L246" s="99"/>
      <c r="M246" s="93"/>
      <c r="N246" s="93"/>
      <c r="O246" s="93"/>
      <c r="P246" s="93"/>
      <c r="Q246" s="93"/>
      <c r="R246" s="93"/>
      <c r="S246" s="93"/>
      <c r="T246" s="93"/>
      <c r="U246" s="93"/>
      <c r="V246" s="93"/>
      <c r="W246" s="93"/>
      <c r="X246" s="93"/>
      <c r="Y246" s="93"/>
      <c r="Z246" s="93"/>
      <c r="AA246" s="93"/>
      <c r="AB246" s="93"/>
      <c r="AC246" s="93"/>
      <c r="AD246" s="93"/>
      <c r="AE246" s="93"/>
      <c r="AF246" s="93"/>
      <c r="AG246" s="93"/>
      <c r="AH246" s="93"/>
      <c r="AI246" s="93"/>
      <c r="AJ246" s="93"/>
      <c r="AK246" s="93"/>
      <c r="AL246" s="93"/>
      <c r="AM246" s="93"/>
      <c r="AN246" s="93"/>
      <c r="AO246" s="93"/>
      <c r="AP246" s="93"/>
      <c r="AQ246" s="99"/>
      <c r="AR246" s="99"/>
      <c r="AS246" s="99"/>
      <c r="AT246" s="99"/>
      <c r="AU246" s="99"/>
      <c r="AV246" s="99"/>
    </row>
    <row r="247" ht="12.75" customHeight="1" outlineLevel="1">
      <c r="A247" s="90"/>
      <c r="B247" s="90"/>
      <c r="C247" s="67" t="s">
        <v>264</v>
      </c>
      <c r="D247" s="90"/>
      <c r="E247" s="90"/>
      <c r="F247" s="90"/>
      <c r="G247" s="90"/>
      <c r="H247" s="90"/>
      <c r="I247" s="196"/>
      <c r="J247" s="99"/>
      <c r="K247" s="99"/>
      <c r="L247" s="99"/>
      <c r="M247" s="93"/>
      <c r="N247" s="93"/>
      <c r="O247" s="93"/>
      <c r="P247" s="93"/>
      <c r="Q247" s="93"/>
      <c r="R247" s="93"/>
      <c r="S247" s="93"/>
      <c r="T247" s="93"/>
      <c r="U247" s="93"/>
      <c r="V247" s="93"/>
      <c r="W247" s="93"/>
      <c r="X247" s="93"/>
      <c r="Y247" s="93"/>
      <c r="Z247" s="93"/>
      <c r="AA247" s="93"/>
      <c r="AB247" s="93"/>
      <c r="AC247" s="93"/>
      <c r="AD247" s="93"/>
      <c r="AE247" s="93"/>
      <c r="AF247" s="93"/>
      <c r="AG247" s="93"/>
      <c r="AH247" s="93"/>
      <c r="AI247" s="93"/>
      <c r="AJ247" s="93"/>
      <c r="AK247" s="93"/>
      <c r="AL247" s="93"/>
      <c r="AM247" s="93"/>
      <c r="AN247" s="93"/>
      <c r="AO247" s="93"/>
      <c r="AP247" s="93"/>
      <c r="AQ247" s="99"/>
      <c r="AR247" s="99"/>
      <c r="AS247" s="99"/>
      <c r="AT247" s="99"/>
      <c r="AU247" s="99"/>
      <c r="AV247" s="99"/>
    </row>
    <row r="248" ht="12.75" customHeight="1" outlineLevel="1">
      <c r="A248" s="90"/>
      <c r="D248" s="68" t="s">
        <v>400</v>
      </c>
      <c r="G248" s="225">
        <v>10000.0</v>
      </c>
      <c r="H248" s="226" t="s">
        <v>326</v>
      </c>
      <c r="M248" s="93">
        <f>ROUNDUP(M$6/10,0)*$G248*M28</f>
        <v>10000</v>
      </c>
      <c r="N248" s="93">
        <f t="shared" ref="N248:Q248" si="189">ROUNDUP(N$6/10,0)*$G248</f>
        <v>10000</v>
      </c>
      <c r="O248" s="93">
        <f t="shared" si="189"/>
        <v>10000</v>
      </c>
      <c r="P248" s="93">
        <f t="shared" si="189"/>
        <v>20000</v>
      </c>
      <c r="Q248" s="93">
        <f t="shared" si="189"/>
        <v>30000</v>
      </c>
      <c r="R248" s="93">
        <f t="shared" ref="R248:AP248" si="190">ROUND(Q248*R$6/Q$6*R$28/Q$28,-2)</f>
        <v>49500</v>
      </c>
      <c r="S248" s="93">
        <f t="shared" si="190"/>
        <v>83200</v>
      </c>
      <c r="T248" s="93">
        <f t="shared" si="190"/>
        <v>136400</v>
      </c>
      <c r="U248" s="93">
        <f t="shared" si="190"/>
        <v>208700</v>
      </c>
      <c r="V248" s="93">
        <f t="shared" si="190"/>
        <v>283800</v>
      </c>
      <c r="W248" s="93">
        <f t="shared" si="190"/>
        <v>395600</v>
      </c>
      <c r="X248" s="93">
        <f t="shared" si="190"/>
        <v>534700</v>
      </c>
      <c r="Y248" s="93">
        <f t="shared" si="190"/>
        <v>783000</v>
      </c>
      <c r="Z248" s="93">
        <f t="shared" si="190"/>
        <v>1128000</v>
      </c>
      <c r="AA248" s="93">
        <f t="shared" si="190"/>
        <v>1571800</v>
      </c>
      <c r="AB248" s="93">
        <f t="shared" si="190"/>
        <v>2087900</v>
      </c>
      <c r="AC248" s="93">
        <f t="shared" si="190"/>
        <v>2716400</v>
      </c>
      <c r="AD248" s="93">
        <f t="shared" si="190"/>
        <v>3417200</v>
      </c>
      <c r="AE248" s="93">
        <f t="shared" si="190"/>
        <v>4135600</v>
      </c>
      <c r="AF248" s="93">
        <f t="shared" si="190"/>
        <v>4741000</v>
      </c>
      <c r="AG248" s="93">
        <f t="shared" si="190"/>
        <v>4900500</v>
      </c>
      <c r="AH248" s="93">
        <f t="shared" si="190"/>
        <v>4998500</v>
      </c>
      <c r="AI248" s="93">
        <f t="shared" si="190"/>
        <v>5098500</v>
      </c>
      <c r="AJ248" s="93">
        <f t="shared" si="190"/>
        <v>5200500</v>
      </c>
      <c r="AK248" s="93">
        <f t="shared" si="190"/>
        <v>5304500</v>
      </c>
      <c r="AL248" s="93">
        <f t="shared" si="190"/>
        <v>5410600</v>
      </c>
      <c r="AM248" s="93">
        <f t="shared" si="190"/>
        <v>5518800</v>
      </c>
      <c r="AN248" s="93">
        <f t="shared" si="190"/>
        <v>5629200</v>
      </c>
      <c r="AO248" s="93">
        <f t="shared" si="190"/>
        <v>5741800</v>
      </c>
      <c r="AP248" s="93">
        <f t="shared" si="190"/>
        <v>5856600</v>
      </c>
      <c r="AQ248" s="113"/>
      <c r="AR248" s="113"/>
      <c r="AS248" s="113"/>
      <c r="AT248" s="113"/>
      <c r="AU248" s="113"/>
      <c r="AV248" s="113"/>
    </row>
    <row r="249" ht="12.75" customHeight="1" outlineLevel="1">
      <c r="A249" s="90"/>
      <c r="D249" s="68" t="s">
        <v>401</v>
      </c>
      <c r="G249" s="225">
        <v>60000.0</v>
      </c>
      <c r="H249" s="226"/>
      <c r="M249" s="93">
        <f>G249</f>
        <v>60000</v>
      </c>
      <c r="N249" s="93">
        <v>0.0</v>
      </c>
      <c r="O249" s="93">
        <v>0.0</v>
      </c>
      <c r="P249" s="93">
        <v>0.0</v>
      </c>
      <c r="Q249" s="93">
        <v>0.0</v>
      </c>
      <c r="R249" s="93">
        <v>0.0</v>
      </c>
      <c r="S249" s="93">
        <v>0.0</v>
      </c>
      <c r="T249" s="93">
        <v>0.0</v>
      </c>
      <c r="U249" s="93">
        <v>0.0</v>
      </c>
      <c r="V249" s="93">
        <v>0.0</v>
      </c>
      <c r="W249" s="93">
        <v>0.0</v>
      </c>
      <c r="X249" s="93">
        <v>0.0</v>
      </c>
      <c r="Y249" s="93">
        <v>0.0</v>
      </c>
      <c r="Z249" s="93">
        <v>0.0</v>
      </c>
      <c r="AA249" s="93">
        <v>0.0</v>
      </c>
      <c r="AB249" s="93">
        <v>0.0</v>
      </c>
      <c r="AC249" s="93">
        <v>0.0</v>
      </c>
      <c r="AD249" s="93">
        <v>0.0</v>
      </c>
      <c r="AE249" s="93">
        <v>0.0</v>
      </c>
      <c r="AF249" s="93">
        <v>0.0</v>
      </c>
      <c r="AG249" s="93">
        <v>0.0</v>
      </c>
      <c r="AH249" s="93">
        <v>0.0</v>
      </c>
      <c r="AI249" s="93">
        <v>0.0</v>
      </c>
      <c r="AJ249" s="93">
        <v>0.0</v>
      </c>
      <c r="AK249" s="93">
        <v>0.0</v>
      </c>
      <c r="AL249" s="93">
        <v>0.0</v>
      </c>
      <c r="AM249" s="93">
        <v>0.0</v>
      </c>
      <c r="AN249" s="93">
        <v>0.0</v>
      </c>
      <c r="AO249" s="93">
        <v>0.0</v>
      </c>
      <c r="AP249" s="93">
        <v>0.0</v>
      </c>
      <c r="AQ249" s="113"/>
      <c r="AR249" s="113"/>
      <c r="AS249" s="113"/>
      <c r="AT249" s="113"/>
      <c r="AU249" s="113"/>
      <c r="AV249" s="113"/>
    </row>
    <row r="250" ht="12.75" customHeight="1" outlineLevel="1">
      <c r="A250" s="90"/>
      <c r="D250" s="90" t="s">
        <v>402</v>
      </c>
      <c r="G250" s="225">
        <v>10000.0</v>
      </c>
      <c r="H250" s="226" t="s">
        <v>320</v>
      </c>
      <c r="M250" s="93">
        <f t="shared" ref="M250:Q250" si="191">$G250</f>
        <v>10000</v>
      </c>
      <c r="N250" s="93">
        <f t="shared" si="191"/>
        <v>10000</v>
      </c>
      <c r="O250" s="93">
        <f t="shared" si="191"/>
        <v>10000</v>
      </c>
      <c r="P250" s="93">
        <f t="shared" si="191"/>
        <v>10000</v>
      </c>
      <c r="Q250" s="93">
        <f t="shared" si="191"/>
        <v>10000</v>
      </c>
      <c r="R250" s="93">
        <f t="shared" ref="R250:AP250" si="192">ROUND(Q250*R$6/Q$6*R$28/Q$28,-2)</f>
        <v>16500</v>
      </c>
      <c r="S250" s="93">
        <f t="shared" si="192"/>
        <v>27700</v>
      </c>
      <c r="T250" s="93">
        <f t="shared" si="192"/>
        <v>45400</v>
      </c>
      <c r="U250" s="93">
        <f t="shared" si="192"/>
        <v>69500</v>
      </c>
      <c r="V250" s="93">
        <f t="shared" si="192"/>
        <v>94500</v>
      </c>
      <c r="W250" s="93">
        <f t="shared" si="192"/>
        <v>131700</v>
      </c>
      <c r="X250" s="93">
        <f t="shared" si="192"/>
        <v>178000</v>
      </c>
      <c r="Y250" s="93">
        <f t="shared" si="192"/>
        <v>260600</v>
      </c>
      <c r="Z250" s="93">
        <f t="shared" si="192"/>
        <v>375400</v>
      </c>
      <c r="AA250" s="93">
        <f t="shared" si="192"/>
        <v>523100</v>
      </c>
      <c r="AB250" s="93">
        <f t="shared" si="192"/>
        <v>694900</v>
      </c>
      <c r="AC250" s="93">
        <f t="shared" si="192"/>
        <v>904100</v>
      </c>
      <c r="AD250" s="93">
        <f t="shared" si="192"/>
        <v>1137400</v>
      </c>
      <c r="AE250" s="93">
        <f t="shared" si="192"/>
        <v>1376500</v>
      </c>
      <c r="AF250" s="93">
        <f t="shared" si="192"/>
        <v>1578000</v>
      </c>
      <c r="AG250" s="93">
        <f t="shared" si="192"/>
        <v>1631100</v>
      </c>
      <c r="AH250" s="93">
        <f t="shared" si="192"/>
        <v>1663700</v>
      </c>
      <c r="AI250" s="93">
        <f t="shared" si="192"/>
        <v>1697000</v>
      </c>
      <c r="AJ250" s="93">
        <f t="shared" si="192"/>
        <v>1730900</v>
      </c>
      <c r="AK250" s="93">
        <f t="shared" si="192"/>
        <v>1765500</v>
      </c>
      <c r="AL250" s="93">
        <f t="shared" si="192"/>
        <v>1800800</v>
      </c>
      <c r="AM250" s="93">
        <f t="shared" si="192"/>
        <v>1836800</v>
      </c>
      <c r="AN250" s="93">
        <f t="shared" si="192"/>
        <v>1873500</v>
      </c>
      <c r="AO250" s="93">
        <f t="shared" si="192"/>
        <v>1911000</v>
      </c>
      <c r="AP250" s="93">
        <f t="shared" si="192"/>
        <v>1949200</v>
      </c>
      <c r="AQ250" s="113"/>
      <c r="AR250" s="113"/>
      <c r="AS250" s="113"/>
      <c r="AT250" s="113"/>
      <c r="AU250" s="113"/>
      <c r="AV250" s="113"/>
    </row>
    <row r="251" ht="12.75" customHeight="1" outlineLevel="1">
      <c r="A251" s="90"/>
      <c r="D251" s="90" t="s">
        <v>403</v>
      </c>
      <c r="G251" s="225">
        <v>20000.0</v>
      </c>
      <c r="H251" s="226" t="s">
        <v>320</v>
      </c>
      <c r="M251" s="93">
        <f t="shared" ref="M251:Q251" si="193">$G251</f>
        <v>20000</v>
      </c>
      <c r="N251" s="93">
        <f t="shared" si="193"/>
        <v>20000</v>
      </c>
      <c r="O251" s="93">
        <f t="shared" si="193"/>
        <v>20000</v>
      </c>
      <c r="P251" s="93">
        <f t="shared" si="193"/>
        <v>20000</v>
      </c>
      <c r="Q251" s="93">
        <f t="shared" si="193"/>
        <v>20000</v>
      </c>
      <c r="R251" s="93">
        <f t="shared" ref="R251:AP251" si="194">ROUND(Q251*R$6/Q$6*R$28/Q$28,-2)</f>
        <v>33000</v>
      </c>
      <c r="S251" s="93">
        <f t="shared" si="194"/>
        <v>55400</v>
      </c>
      <c r="T251" s="93">
        <f t="shared" si="194"/>
        <v>90800</v>
      </c>
      <c r="U251" s="93">
        <f t="shared" si="194"/>
        <v>138900</v>
      </c>
      <c r="V251" s="93">
        <f t="shared" si="194"/>
        <v>188900</v>
      </c>
      <c r="W251" s="93">
        <f t="shared" si="194"/>
        <v>263300</v>
      </c>
      <c r="X251" s="93">
        <f t="shared" si="194"/>
        <v>355900</v>
      </c>
      <c r="Y251" s="93">
        <f t="shared" si="194"/>
        <v>521100</v>
      </c>
      <c r="Z251" s="93">
        <f t="shared" si="194"/>
        <v>750700</v>
      </c>
      <c r="AA251" s="93">
        <f t="shared" si="194"/>
        <v>1046100</v>
      </c>
      <c r="AB251" s="93">
        <f t="shared" si="194"/>
        <v>1389600</v>
      </c>
      <c r="AC251" s="93">
        <f t="shared" si="194"/>
        <v>1807900</v>
      </c>
      <c r="AD251" s="93">
        <f t="shared" si="194"/>
        <v>2274300</v>
      </c>
      <c r="AE251" s="93">
        <f t="shared" si="194"/>
        <v>2752400</v>
      </c>
      <c r="AF251" s="93">
        <f t="shared" si="194"/>
        <v>3155300</v>
      </c>
      <c r="AG251" s="93">
        <f t="shared" si="194"/>
        <v>3261500</v>
      </c>
      <c r="AH251" s="93">
        <f t="shared" si="194"/>
        <v>3326700</v>
      </c>
      <c r="AI251" s="93">
        <f t="shared" si="194"/>
        <v>3393200</v>
      </c>
      <c r="AJ251" s="93">
        <f t="shared" si="194"/>
        <v>3461100</v>
      </c>
      <c r="AK251" s="93">
        <f t="shared" si="194"/>
        <v>3530300</v>
      </c>
      <c r="AL251" s="93">
        <f t="shared" si="194"/>
        <v>3600900</v>
      </c>
      <c r="AM251" s="93">
        <f t="shared" si="194"/>
        <v>3672900</v>
      </c>
      <c r="AN251" s="93">
        <f t="shared" si="194"/>
        <v>3746400</v>
      </c>
      <c r="AO251" s="93">
        <f t="shared" si="194"/>
        <v>3821300</v>
      </c>
      <c r="AP251" s="93">
        <f t="shared" si="194"/>
        <v>3897700</v>
      </c>
      <c r="AQ251" s="113"/>
      <c r="AR251" s="113"/>
      <c r="AS251" s="113"/>
      <c r="AT251" s="113"/>
      <c r="AU251" s="113"/>
      <c r="AV251" s="113"/>
    </row>
    <row r="252" ht="12.75" customHeight="1" outlineLevel="1">
      <c r="A252" s="90"/>
      <c r="D252" s="87" t="s">
        <v>404</v>
      </c>
      <c r="E252" s="87"/>
      <c r="F252" s="87"/>
      <c r="G252" s="231">
        <v>10000.0</v>
      </c>
      <c r="H252" s="232" t="s">
        <v>320</v>
      </c>
      <c r="I252" s="87"/>
      <c r="J252" s="87"/>
      <c r="K252" s="87"/>
      <c r="L252" s="87"/>
      <c r="M252" s="119">
        <f t="shared" ref="M252:Q252" si="195">$G252</f>
        <v>10000</v>
      </c>
      <c r="N252" s="119">
        <f t="shared" si="195"/>
        <v>10000</v>
      </c>
      <c r="O252" s="119">
        <f t="shared" si="195"/>
        <v>10000</v>
      </c>
      <c r="P252" s="119">
        <f t="shared" si="195"/>
        <v>10000</v>
      </c>
      <c r="Q252" s="119">
        <f t="shared" si="195"/>
        <v>10000</v>
      </c>
      <c r="R252" s="119">
        <f t="shared" ref="R252:AP252" si="196">ROUND(Q252*R$6/Q$6*R$28/Q$28,-2)</f>
        <v>16500</v>
      </c>
      <c r="S252" s="119">
        <f t="shared" si="196"/>
        <v>27700</v>
      </c>
      <c r="T252" s="119">
        <f t="shared" si="196"/>
        <v>45400</v>
      </c>
      <c r="U252" s="119">
        <f t="shared" si="196"/>
        <v>69500</v>
      </c>
      <c r="V252" s="119">
        <f t="shared" si="196"/>
        <v>94500</v>
      </c>
      <c r="W252" s="119">
        <f t="shared" si="196"/>
        <v>131700</v>
      </c>
      <c r="X252" s="119">
        <f t="shared" si="196"/>
        <v>178000</v>
      </c>
      <c r="Y252" s="119">
        <f t="shared" si="196"/>
        <v>260600</v>
      </c>
      <c r="Z252" s="119">
        <f t="shared" si="196"/>
        <v>375400</v>
      </c>
      <c r="AA252" s="119">
        <f t="shared" si="196"/>
        <v>523100</v>
      </c>
      <c r="AB252" s="119">
        <f t="shared" si="196"/>
        <v>694900</v>
      </c>
      <c r="AC252" s="119">
        <f t="shared" si="196"/>
        <v>904100</v>
      </c>
      <c r="AD252" s="119">
        <f t="shared" si="196"/>
        <v>1137400</v>
      </c>
      <c r="AE252" s="119">
        <f t="shared" si="196"/>
        <v>1376500</v>
      </c>
      <c r="AF252" s="119">
        <f t="shared" si="196"/>
        <v>1578000</v>
      </c>
      <c r="AG252" s="119">
        <f t="shared" si="196"/>
        <v>1631100</v>
      </c>
      <c r="AH252" s="119">
        <f t="shared" si="196"/>
        <v>1663700</v>
      </c>
      <c r="AI252" s="119">
        <f t="shared" si="196"/>
        <v>1697000</v>
      </c>
      <c r="AJ252" s="119">
        <f t="shared" si="196"/>
        <v>1730900</v>
      </c>
      <c r="AK252" s="119">
        <f t="shared" si="196"/>
        <v>1765500</v>
      </c>
      <c r="AL252" s="119">
        <f t="shared" si="196"/>
        <v>1800800</v>
      </c>
      <c r="AM252" s="119">
        <f t="shared" si="196"/>
        <v>1836800</v>
      </c>
      <c r="AN252" s="119">
        <f t="shared" si="196"/>
        <v>1873500</v>
      </c>
      <c r="AO252" s="119">
        <f t="shared" si="196"/>
        <v>1911000</v>
      </c>
      <c r="AP252" s="119">
        <f t="shared" si="196"/>
        <v>1949200</v>
      </c>
      <c r="AQ252" s="117"/>
      <c r="AR252" s="117"/>
      <c r="AS252" s="117"/>
      <c r="AT252" s="117"/>
      <c r="AU252" s="117"/>
      <c r="AV252" s="117"/>
    </row>
    <row r="253" ht="12.75" customHeight="1" outlineLevel="1">
      <c r="A253" s="67"/>
      <c r="B253" s="67"/>
      <c r="C253" s="67" t="s">
        <v>405</v>
      </c>
      <c r="D253" s="67"/>
      <c r="E253" s="67"/>
      <c r="F253" s="67"/>
      <c r="G253" s="67"/>
      <c r="H253" s="67"/>
      <c r="I253" s="86"/>
      <c r="J253" s="79"/>
      <c r="K253" s="79"/>
      <c r="L253" s="79"/>
      <c r="M253" s="115">
        <f t="shared" ref="M253:AP253" si="197">SUM(M248:M252)</f>
        <v>110000</v>
      </c>
      <c r="N253" s="115">
        <f t="shared" si="197"/>
        <v>50000</v>
      </c>
      <c r="O253" s="115">
        <f t="shared" si="197"/>
        <v>50000</v>
      </c>
      <c r="P253" s="115">
        <f t="shared" si="197"/>
        <v>60000</v>
      </c>
      <c r="Q253" s="115">
        <f t="shared" si="197"/>
        <v>70000</v>
      </c>
      <c r="R253" s="115">
        <f t="shared" si="197"/>
        <v>115500</v>
      </c>
      <c r="S253" s="115">
        <f t="shared" si="197"/>
        <v>194000</v>
      </c>
      <c r="T253" s="115">
        <f t="shared" si="197"/>
        <v>318000</v>
      </c>
      <c r="U253" s="115">
        <f t="shared" si="197"/>
        <v>486600</v>
      </c>
      <c r="V253" s="115">
        <f t="shared" si="197"/>
        <v>661700</v>
      </c>
      <c r="W253" s="115">
        <f t="shared" si="197"/>
        <v>922300</v>
      </c>
      <c r="X253" s="115">
        <f t="shared" si="197"/>
        <v>1246600</v>
      </c>
      <c r="Y253" s="115">
        <f t="shared" si="197"/>
        <v>1825300</v>
      </c>
      <c r="Z253" s="115">
        <f t="shared" si="197"/>
        <v>2629500</v>
      </c>
      <c r="AA253" s="115">
        <f t="shared" si="197"/>
        <v>3664100</v>
      </c>
      <c r="AB253" s="115">
        <f t="shared" si="197"/>
        <v>4867300</v>
      </c>
      <c r="AC253" s="115">
        <f t="shared" si="197"/>
        <v>6332500</v>
      </c>
      <c r="AD253" s="115">
        <f t="shared" si="197"/>
        <v>7966300</v>
      </c>
      <c r="AE253" s="115">
        <f t="shared" si="197"/>
        <v>9641000</v>
      </c>
      <c r="AF253" s="115">
        <f t="shared" si="197"/>
        <v>11052300</v>
      </c>
      <c r="AG253" s="115">
        <f t="shared" si="197"/>
        <v>11424200</v>
      </c>
      <c r="AH253" s="115">
        <f t="shared" si="197"/>
        <v>11652600</v>
      </c>
      <c r="AI253" s="115">
        <f t="shared" si="197"/>
        <v>11885700</v>
      </c>
      <c r="AJ253" s="115">
        <f t="shared" si="197"/>
        <v>12123400</v>
      </c>
      <c r="AK253" s="115">
        <f t="shared" si="197"/>
        <v>12365800</v>
      </c>
      <c r="AL253" s="115">
        <f t="shared" si="197"/>
        <v>12613100</v>
      </c>
      <c r="AM253" s="115">
        <f t="shared" si="197"/>
        <v>12865300</v>
      </c>
      <c r="AN253" s="115">
        <f t="shared" si="197"/>
        <v>13122600</v>
      </c>
      <c r="AO253" s="115">
        <f t="shared" si="197"/>
        <v>13385100</v>
      </c>
      <c r="AP253" s="115">
        <f t="shared" si="197"/>
        <v>13652700</v>
      </c>
      <c r="AQ253" s="142"/>
      <c r="AR253" s="142"/>
      <c r="AS253" s="142"/>
      <c r="AT253" s="142"/>
      <c r="AU253" s="142"/>
      <c r="AV253" s="142"/>
    </row>
    <row r="254" ht="12.75" customHeight="1" outlineLevel="1">
      <c r="A254" s="90"/>
      <c r="M254" s="93"/>
      <c r="N254" s="93"/>
      <c r="O254" s="93"/>
      <c r="P254" s="93"/>
      <c r="Q254" s="93"/>
      <c r="R254" s="93"/>
      <c r="S254" s="93"/>
      <c r="T254" s="93"/>
      <c r="U254" s="93"/>
      <c r="V254" s="93"/>
      <c r="W254" s="93"/>
      <c r="X254" s="93"/>
      <c r="Y254" s="93"/>
      <c r="Z254" s="93"/>
      <c r="AA254" s="93"/>
      <c r="AB254" s="93"/>
      <c r="AC254" s="93"/>
      <c r="AD254" s="93"/>
      <c r="AE254" s="93"/>
      <c r="AF254" s="93"/>
      <c r="AG254" s="93"/>
      <c r="AH254" s="93"/>
      <c r="AI254" s="93"/>
      <c r="AJ254" s="93"/>
      <c r="AK254" s="93"/>
      <c r="AL254" s="93"/>
      <c r="AM254" s="93"/>
      <c r="AN254" s="93"/>
      <c r="AO254" s="93"/>
      <c r="AP254" s="93"/>
    </row>
    <row r="255" ht="12.75" customHeight="1" outlineLevel="1">
      <c r="A255" s="90"/>
      <c r="C255" s="67" t="s">
        <v>266</v>
      </c>
      <c r="G255" s="225"/>
      <c r="H255" s="226"/>
      <c r="M255" s="93"/>
      <c r="N255" s="93"/>
      <c r="O255" s="93"/>
      <c r="P255" s="93"/>
      <c r="Q255" s="93"/>
      <c r="R255" s="93"/>
      <c r="S255" s="93"/>
      <c r="T255" s="93"/>
      <c r="U255" s="93"/>
      <c r="V255" s="93"/>
      <c r="W255" s="93"/>
      <c r="X255" s="93"/>
      <c r="Y255" s="93"/>
      <c r="Z255" s="93"/>
      <c r="AA255" s="93"/>
      <c r="AB255" s="93"/>
      <c r="AC255" s="93"/>
      <c r="AD255" s="93"/>
      <c r="AE255" s="93"/>
      <c r="AF255" s="93"/>
      <c r="AG255" s="93"/>
      <c r="AH255" s="93"/>
      <c r="AI255" s="93"/>
      <c r="AJ255" s="93"/>
      <c r="AK255" s="93"/>
      <c r="AL255" s="93"/>
      <c r="AM255" s="93"/>
      <c r="AN255" s="93"/>
      <c r="AO255" s="93"/>
      <c r="AP255" s="93"/>
    </row>
    <row r="256" ht="12.75" customHeight="1" outlineLevel="1">
      <c r="A256" s="90"/>
      <c r="C256" s="67"/>
      <c r="G256" s="225"/>
      <c r="H256" s="226"/>
      <c r="M256" s="101"/>
      <c r="N256" s="101"/>
      <c r="O256" s="101"/>
      <c r="P256" s="101"/>
      <c r="Q256" s="101"/>
      <c r="R256" s="101"/>
      <c r="S256" s="101"/>
      <c r="T256" s="101"/>
      <c r="U256" s="101"/>
      <c r="V256" s="101"/>
      <c r="W256" s="101"/>
      <c r="X256" s="101"/>
      <c r="Y256" s="101"/>
      <c r="Z256" s="101"/>
      <c r="AA256" s="101"/>
      <c r="AB256" s="101"/>
      <c r="AC256" s="101"/>
      <c r="AD256" s="101"/>
      <c r="AE256" s="101"/>
      <c r="AF256" s="101"/>
      <c r="AG256" s="101"/>
      <c r="AH256" s="101"/>
      <c r="AI256" s="101"/>
      <c r="AJ256" s="101"/>
      <c r="AK256" s="101"/>
      <c r="AL256" s="101"/>
      <c r="AM256" s="101">
        <f>SUMIF('National Staffing'!$C$37:$C$139,'RSED National'!$C$255,'National Staffing'!AK$37:AK$139)</f>
        <v>84</v>
      </c>
      <c r="AN256" s="101">
        <f>SUMIF('National Staffing'!$C$37:$C$139,'RSED National'!$C$255,'National Staffing'!AL$37:AL$139)</f>
        <v>84</v>
      </c>
      <c r="AO256" s="101">
        <f>SUMIF('National Staffing'!$C$37:$C$139,'RSED National'!$C$255,'National Staffing'!AM$37:AM$139)</f>
        <v>83</v>
      </c>
      <c r="AP256" s="101">
        <f>SUMIF('National Staffing'!$C$37:$C$139,'RSED National'!$C$255,'National Staffing'!AN$37:AN$139)</f>
        <v>83</v>
      </c>
    </row>
    <row r="257" ht="12.75" customHeight="1" outlineLevel="1">
      <c r="A257" s="90"/>
      <c r="D257" s="67" t="s">
        <v>266</v>
      </c>
      <c r="G257" s="225"/>
      <c r="H257" s="226"/>
      <c r="M257" s="93"/>
      <c r="N257" s="93"/>
      <c r="O257" s="93"/>
      <c r="P257" s="93"/>
      <c r="Q257" s="93"/>
      <c r="R257" s="93"/>
      <c r="S257" s="93"/>
      <c r="T257" s="93"/>
      <c r="U257" s="93"/>
      <c r="V257" s="93"/>
      <c r="W257" s="93"/>
      <c r="X257" s="93"/>
      <c r="Y257" s="93"/>
      <c r="Z257" s="93"/>
      <c r="AA257" s="93"/>
      <c r="AB257" s="93"/>
      <c r="AC257" s="93"/>
      <c r="AD257" s="93"/>
      <c r="AE257" s="93"/>
      <c r="AF257" s="93"/>
      <c r="AG257" s="93"/>
      <c r="AH257" s="93"/>
      <c r="AI257" s="93"/>
      <c r="AJ257" s="93"/>
      <c r="AK257" s="93"/>
      <c r="AL257" s="93"/>
      <c r="AM257" s="93"/>
      <c r="AN257" s="93"/>
      <c r="AO257" s="93"/>
      <c r="AP257" s="93"/>
    </row>
    <row r="258" ht="12.75" customHeight="1" outlineLevel="1">
      <c r="A258" s="90"/>
      <c r="D258" s="67"/>
      <c r="E258" s="68" t="s">
        <v>406</v>
      </c>
      <c r="G258" s="225">
        <v>50000.0</v>
      </c>
      <c r="H258" s="226" t="s">
        <v>407</v>
      </c>
      <c r="M258" s="93">
        <f>$G258*SUM('National Staffing'!K44)*M$28</f>
        <v>0</v>
      </c>
      <c r="N258" s="93">
        <f>$G258*SUM('National Staffing'!L44)*N$28</f>
        <v>0</v>
      </c>
      <c r="O258" s="93">
        <f>$G258*SUM('National Staffing'!M44)*O$28</f>
        <v>0</v>
      </c>
      <c r="P258" s="93">
        <f>$G258*SUM('National Staffing'!N44)*P$28</f>
        <v>0</v>
      </c>
      <c r="Q258" s="93">
        <f>$G258*SUM('National Staffing'!O44)*Q$28</f>
        <v>0</v>
      </c>
      <c r="R258" s="93">
        <f>$G258*SUM('National Staffing'!P44)*R$28</f>
        <v>51000</v>
      </c>
      <c r="S258" s="93">
        <f>$G258*SUM('National Staffing'!Q44)*S$28</f>
        <v>52020</v>
      </c>
      <c r="T258" s="93">
        <f>$G258*SUM('National Staffing'!R44)*T$28</f>
        <v>53060.4</v>
      </c>
      <c r="U258" s="93">
        <f>$G258*SUM('National Staffing'!S44)*U$28</f>
        <v>54121.608</v>
      </c>
      <c r="V258" s="93">
        <f>$G258*SUM('National Staffing'!T44)*V$28</f>
        <v>55204.04016</v>
      </c>
      <c r="W258" s="93">
        <f>$G258*SUM('National Staffing'!U44)*W$28</f>
        <v>56308.12096</v>
      </c>
      <c r="X258" s="93">
        <f>$G258*SUM('National Staffing'!V44)*X$28</f>
        <v>114868.5668</v>
      </c>
      <c r="Y258" s="93">
        <f>$G258*SUM('National Staffing'!W44)*Y$28</f>
        <v>117165.9381</v>
      </c>
      <c r="Z258" s="93">
        <f>$G258*SUM('National Staffing'!X44)*Z$28</f>
        <v>179263.8853</v>
      </c>
      <c r="AA258" s="93">
        <f>$G258*SUM('National Staffing'!Y44)*AA$28</f>
        <v>243798.884</v>
      </c>
      <c r="AB258" s="93">
        <f>$G258*SUM('National Staffing'!Z44)*AB$28</f>
        <v>310843.5771</v>
      </c>
      <c r="AC258" s="93">
        <f>$G258*SUM('National Staffing'!AA44)*AC$28</f>
        <v>380472.5384</v>
      </c>
      <c r="AD258" s="93">
        <f>$G258*SUM('National Staffing'!AB44)*AD$28</f>
        <v>517442.6522</v>
      </c>
      <c r="AE258" s="93">
        <f>$G258*SUM('National Staffing'!AC44)*AE$28</f>
        <v>593765.4434</v>
      </c>
      <c r="AF258" s="93">
        <f>$G258*SUM('National Staffing'!AD44)*AF$28</f>
        <v>672934.1692</v>
      </c>
      <c r="AG258" s="93">
        <f>$G258*SUM('National Staffing'!AE44)*AG$28</f>
        <v>686392.8525</v>
      </c>
      <c r="AH258" s="93">
        <f>$G258*SUM('National Staffing'!AF44)*AH$28</f>
        <v>700120.7096</v>
      </c>
      <c r="AI258" s="93">
        <f>$G258*SUM('National Staffing'!AG44)*AI$28</f>
        <v>714123.1238</v>
      </c>
      <c r="AJ258" s="93">
        <f>$G258*SUM('National Staffing'!AH44)*AJ$28</f>
        <v>728405.5863</v>
      </c>
      <c r="AK258" s="93">
        <f>$G258*SUM('National Staffing'!AI44)*AK$28</f>
        <v>742973.698</v>
      </c>
      <c r="AL258" s="93">
        <f>$G258*SUM('National Staffing'!AJ44)*AL$28</f>
        <v>757833.1719</v>
      </c>
      <c r="AM258" s="93">
        <f t="shared" ref="AM258:AP258" si="198">$G258*AM$256*AM$28</f>
        <v>6493114.617</v>
      </c>
      <c r="AN258" s="93">
        <f t="shared" si="198"/>
        <v>6622976.91</v>
      </c>
      <c r="AO258" s="93">
        <f t="shared" si="198"/>
        <v>6675014.585</v>
      </c>
      <c r="AP258" s="93">
        <f t="shared" si="198"/>
        <v>6808514.877</v>
      </c>
      <c r="AQ258" s="93"/>
      <c r="AR258" s="93"/>
      <c r="AS258" s="93"/>
      <c r="AT258" s="93"/>
      <c r="AU258" s="93"/>
      <c r="AV258" s="93"/>
    </row>
    <row r="259" ht="12.75" customHeight="1" outlineLevel="1">
      <c r="A259" s="90"/>
      <c r="D259" s="67"/>
      <c r="E259" s="68" t="s">
        <v>408</v>
      </c>
      <c r="G259" s="225">
        <v>15000.0</v>
      </c>
      <c r="H259" s="226" t="s">
        <v>409</v>
      </c>
      <c r="M259" s="93">
        <f t="shared" ref="M259:AP259" si="199">$G259*M8*M$28</f>
        <v>15000</v>
      </c>
      <c r="N259" s="93">
        <f t="shared" si="199"/>
        <v>15000</v>
      </c>
      <c r="O259" s="93">
        <f t="shared" si="199"/>
        <v>15000</v>
      </c>
      <c r="P259" s="93">
        <f t="shared" si="199"/>
        <v>30000</v>
      </c>
      <c r="Q259" s="93">
        <f t="shared" si="199"/>
        <v>30000</v>
      </c>
      <c r="R259" s="93">
        <f t="shared" si="199"/>
        <v>61200</v>
      </c>
      <c r="S259" s="93">
        <f t="shared" si="199"/>
        <v>109242</v>
      </c>
      <c r="T259" s="93">
        <f t="shared" si="199"/>
        <v>191017.44</v>
      </c>
      <c r="U259" s="93">
        <f t="shared" si="199"/>
        <v>324729.648</v>
      </c>
      <c r="V259" s="93">
        <f t="shared" si="199"/>
        <v>546519.9976</v>
      </c>
      <c r="W259" s="93">
        <f t="shared" si="199"/>
        <v>844621.8144</v>
      </c>
      <c r="X259" s="93">
        <f t="shared" si="199"/>
        <v>861514.2507</v>
      </c>
      <c r="Y259" s="93">
        <f t="shared" si="199"/>
        <v>878744.5358</v>
      </c>
      <c r="Z259" s="93">
        <f t="shared" si="199"/>
        <v>896319.4265</v>
      </c>
      <c r="AA259" s="93">
        <f t="shared" si="199"/>
        <v>914245.815</v>
      </c>
      <c r="AB259" s="93">
        <f t="shared" si="199"/>
        <v>932530.7313</v>
      </c>
      <c r="AC259" s="93">
        <f t="shared" si="199"/>
        <v>951181.3459</v>
      </c>
      <c r="AD259" s="93">
        <f t="shared" si="199"/>
        <v>970204.9728</v>
      </c>
      <c r="AE259" s="93">
        <f t="shared" si="199"/>
        <v>989609.0723</v>
      </c>
      <c r="AF259" s="93">
        <f t="shared" si="199"/>
        <v>1009401.254</v>
      </c>
      <c r="AG259" s="93">
        <f t="shared" si="199"/>
        <v>1029589.279</v>
      </c>
      <c r="AH259" s="93">
        <f t="shared" si="199"/>
        <v>1050181.064</v>
      </c>
      <c r="AI259" s="93">
        <f t="shared" si="199"/>
        <v>1071184.686</v>
      </c>
      <c r="AJ259" s="93">
        <f t="shared" si="199"/>
        <v>1092608.379</v>
      </c>
      <c r="AK259" s="93">
        <f t="shared" si="199"/>
        <v>1114460.547</v>
      </c>
      <c r="AL259" s="93">
        <f t="shared" si="199"/>
        <v>1136749.758</v>
      </c>
      <c r="AM259" s="93">
        <f t="shared" si="199"/>
        <v>1159484.753</v>
      </c>
      <c r="AN259" s="93">
        <f t="shared" si="199"/>
        <v>1182674.448</v>
      </c>
      <c r="AO259" s="93">
        <f t="shared" si="199"/>
        <v>1206327.937</v>
      </c>
      <c r="AP259" s="93">
        <f t="shared" si="199"/>
        <v>1230454.496</v>
      </c>
      <c r="AQ259" s="93"/>
      <c r="AR259" s="93"/>
      <c r="AS259" s="93"/>
      <c r="AT259" s="93"/>
      <c r="AU259" s="93"/>
      <c r="AV259" s="93"/>
    </row>
    <row r="260" ht="12.75" customHeight="1" outlineLevel="1">
      <c r="A260" s="90"/>
      <c r="D260" s="246">
        <v>0.5</v>
      </c>
      <c r="E260" s="68" t="s">
        <v>410</v>
      </c>
      <c r="G260" s="225"/>
      <c r="H260" s="226"/>
      <c r="M260" s="93">
        <f t="shared" ref="M260:Q260" si="200">N260*M6/N6</f>
        <v>21539.41192</v>
      </c>
      <c r="N260" s="93">
        <f t="shared" si="200"/>
        <v>35899.01986</v>
      </c>
      <c r="O260" s="93">
        <f t="shared" si="200"/>
        <v>57438.43178</v>
      </c>
      <c r="P260" s="93">
        <f t="shared" si="200"/>
        <v>93337.45164</v>
      </c>
      <c r="Q260" s="93">
        <f t="shared" si="200"/>
        <v>150775.8834</v>
      </c>
      <c r="R260" s="93">
        <f t="shared" ref="R260:AL260" si="201">$D260*(R$11*$A15-R98-R112-SUM(R258:R259,R261:R263,R267,R274))</f>
        <v>244113.3351</v>
      </c>
      <c r="S260" s="93">
        <f t="shared" si="201"/>
        <v>703086.7764</v>
      </c>
      <c r="T260" s="93">
        <f t="shared" si="201"/>
        <v>1668137.766</v>
      </c>
      <c r="U260" s="93">
        <f t="shared" si="201"/>
        <v>2717097.998</v>
      </c>
      <c r="V260" s="93">
        <f t="shared" si="201"/>
        <v>4481062.798</v>
      </c>
      <c r="W260" s="93">
        <f t="shared" si="201"/>
        <v>6932115.936</v>
      </c>
      <c r="X260" s="93">
        <f t="shared" si="201"/>
        <v>9895321.844</v>
      </c>
      <c r="Y260" s="93">
        <f t="shared" si="201"/>
        <v>15055257.63</v>
      </c>
      <c r="Z260" s="93">
        <f t="shared" si="201"/>
        <v>22159709.46</v>
      </c>
      <c r="AA260" s="93">
        <f t="shared" si="201"/>
        <v>31415537.27</v>
      </c>
      <c r="AB260" s="93">
        <f t="shared" si="201"/>
        <v>42469524.23</v>
      </c>
      <c r="AC260" s="93">
        <f t="shared" si="201"/>
        <v>55939518.92</v>
      </c>
      <c r="AD260" s="93">
        <f t="shared" si="201"/>
        <v>70637568.88</v>
      </c>
      <c r="AE260" s="93">
        <f t="shared" si="201"/>
        <v>85958465.8</v>
      </c>
      <c r="AF260" s="93">
        <f t="shared" si="201"/>
        <v>98921969.26</v>
      </c>
      <c r="AG260" s="93">
        <f t="shared" si="201"/>
        <v>103926961.5</v>
      </c>
      <c r="AH260" s="93">
        <f t="shared" si="201"/>
        <v>106572872.1</v>
      </c>
      <c r="AI260" s="93">
        <f t="shared" si="201"/>
        <v>108673225.7</v>
      </c>
      <c r="AJ260" s="93">
        <f t="shared" si="201"/>
        <v>110726510.5</v>
      </c>
      <c r="AK260" s="93">
        <f t="shared" si="201"/>
        <v>112845211.9</v>
      </c>
      <c r="AL260" s="93">
        <f t="shared" si="201"/>
        <v>115039471.1</v>
      </c>
      <c r="AM260" s="93"/>
      <c r="AN260" s="93"/>
      <c r="AO260" s="93"/>
      <c r="AP260" s="93"/>
      <c r="AQ260" s="93"/>
      <c r="AR260" s="93"/>
      <c r="AS260" s="93"/>
      <c r="AT260" s="93"/>
      <c r="AU260" s="93"/>
      <c r="AV260" s="93"/>
    </row>
    <row r="261" ht="12.75" customHeight="1" outlineLevel="1">
      <c r="A261" s="90"/>
      <c r="D261" s="67"/>
      <c r="E261" s="68" t="s">
        <v>339</v>
      </c>
      <c r="G261" s="225">
        <f>500*25+200*2.5*50</f>
        <v>37500</v>
      </c>
      <c r="H261" s="226" t="s">
        <v>411</v>
      </c>
      <c r="M261" s="93">
        <f>$G261*M28*'National Staffing'!K45</f>
        <v>0</v>
      </c>
      <c r="N261" s="93">
        <f>$G261*N28*'National Staffing'!L45</f>
        <v>37500</v>
      </c>
      <c r="O261" s="93">
        <f>$G261*O28*'National Staffing'!M45</f>
        <v>37500</v>
      </c>
      <c r="P261" s="93">
        <f>$G261*P28*'National Staffing'!N45</f>
        <v>37500</v>
      </c>
      <c r="Q261" s="93">
        <f>$G261*Q28*'National Staffing'!O45</f>
        <v>75000</v>
      </c>
      <c r="R261" s="93">
        <f>$G261*R28*'National Staffing'!P45</f>
        <v>114750</v>
      </c>
      <c r="S261" s="93">
        <f>$G261*S28*'National Staffing'!Q45</f>
        <v>195075</v>
      </c>
      <c r="T261" s="93">
        <f>$G261*T28*'National Staffing'!R45</f>
        <v>278567.1</v>
      </c>
      <c r="U261" s="93">
        <f>$G261*U28*'National Staffing'!S45</f>
        <v>405912.06</v>
      </c>
      <c r="V261" s="93">
        <f>$G261*V28*'National Staffing'!T45</f>
        <v>248418.1807</v>
      </c>
      <c r="W261" s="93">
        <f>$G261*W28*'National Staffing'!U45</f>
        <v>42231.09072</v>
      </c>
      <c r="X261" s="93">
        <f>$G261*X28*'National Staffing'!V45</f>
        <v>43075.71254</v>
      </c>
      <c r="Y261" s="93">
        <f>$G261*Y28*'National Staffing'!W45</f>
        <v>43937.22679</v>
      </c>
      <c r="Z261" s="93">
        <f>$G261*Z28*'National Staffing'!X45</f>
        <v>44815.97132</v>
      </c>
      <c r="AA261" s="93">
        <f>$G261*AA28*'National Staffing'!Y45</f>
        <v>45712.29075</v>
      </c>
      <c r="AB261" s="93">
        <f>$G261*AB28*'National Staffing'!Z45</f>
        <v>46626.53656</v>
      </c>
      <c r="AC261" s="93">
        <f>$G261*AC28*'National Staffing'!AA45</f>
        <v>47559.0673</v>
      </c>
      <c r="AD261" s="93">
        <f>$G261*AD28*'National Staffing'!AB45</f>
        <v>48510.24864</v>
      </c>
      <c r="AE261" s="93">
        <f>$G261*AE28*'National Staffing'!AC45</f>
        <v>49480.45361</v>
      </c>
      <c r="AF261" s="93">
        <f>$G261*AF28*'National Staffing'!AD45</f>
        <v>50470.06269</v>
      </c>
      <c r="AG261" s="93">
        <f>$G261*AG28*'National Staffing'!AE45</f>
        <v>51479.46394</v>
      </c>
      <c r="AH261" s="93">
        <f>$G261*AH28*'National Staffing'!AF45</f>
        <v>52509.05322</v>
      </c>
      <c r="AI261" s="93">
        <f>$G261*AI28*'National Staffing'!AG45</f>
        <v>53559.23428</v>
      </c>
      <c r="AJ261" s="93">
        <f>$G261*AJ28*'National Staffing'!AH45</f>
        <v>54630.41897</v>
      </c>
      <c r="AK261" s="93">
        <f>$G261*AK28*'National Staffing'!AI45</f>
        <v>55723.02735</v>
      </c>
      <c r="AL261" s="93">
        <f>$G261*AL28*'National Staffing'!AJ45</f>
        <v>56837.4879</v>
      </c>
      <c r="AM261" s="93"/>
      <c r="AN261" s="93"/>
      <c r="AO261" s="93"/>
      <c r="AP261" s="93"/>
      <c r="AQ261" s="93"/>
      <c r="AR261" s="93"/>
      <c r="AS261" s="93"/>
      <c r="AT261" s="93"/>
      <c r="AU261" s="93"/>
      <c r="AV261" s="93"/>
    </row>
    <row r="262" ht="12.75" customHeight="1" outlineLevel="1">
      <c r="A262" s="90"/>
      <c r="E262" s="68" t="s">
        <v>412</v>
      </c>
      <c r="G262" s="225">
        <v>15000.0</v>
      </c>
      <c r="H262" s="226" t="s">
        <v>371</v>
      </c>
      <c r="M262" s="93">
        <f t="shared" ref="M262:AL262" si="202">$G262*M28*M8</f>
        <v>15000</v>
      </c>
      <c r="N262" s="93">
        <f t="shared" si="202"/>
        <v>15000</v>
      </c>
      <c r="O262" s="93">
        <f t="shared" si="202"/>
        <v>15000</v>
      </c>
      <c r="P262" s="93">
        <f t="shared" si="202"/>
        <v>30000</v>
      </c>
      <c r="Q262" s="93">
        <f t="shared" si="202"/>
        <v>30000</v>
      </c>
      <c r="R262" s="93">
        <f t="shared" si="202"/>
        <v>61200</v>
      </c>
      <c r="S262" s="93">
        <f t="shared" si="202"/>
        <v>109242</v>
      </c>
      <c r="T262" s="93">
        <f t="shared" si="202"/>
        <v>191017.44</v>
      </c>
      <c r="U262" s="93">
        <f t="shared" si="202"/>
        <v>324729.648</v>
      </c>
      <c r="V262" s="93">
        <f t="shared" si="202"/>
        <v>546519.9976</v>
      </c>
      <c r="W262" s="93">
        <f t="shared" si="202"/>
        <v>844621.8144</v>
      </c>
      <c r="X262" s="93">
        <f t="shared" si="202"/>
        <v>861514.2507</v>
      </c>
      <c r="Y262" s="93">
        <f t="shared" si="202"/>
        <v>878744.5358</v>
      </c>
      <c r="Z262" s="93">
        <f t="shared" si="202"/>
        <v>896319.4265</v>
      </c>
      <c r="AA262" s="93">
        <f t="shared" si="202"/>
        <v>914245.815</v>
      </c>
      <c r="AB262" s="93">
        <f t="shared" si="202"/>
        <v>932530.7313</v>
      </c>
      <c r="AC262" s="93">
        <f t="shared" si="202"/>
        <v>951181.3459</v>
      </c>
      <c r="AD262" s="93">
        <f t="shared" si="202"/>
        <v>970204.9728</v>
      </c>
      <c r="AE262" s="93">
        <f t="shared" si="202"/>
        <v>989609.0723</v>
      </c>
      <c r="AF262" s="93">
        <f t="shared" si="202"/>
        <v>1009401.254</v>
      </c>
      <c r="AG262" s="93">
        <f t="shared" si="202"/>
        <v>1029589.279</v>
      </c>
      <c r="AH262" s="93">
        <f t="shared" si="202"/>
        <v>1050181.064</v>
      </c>
      <c r="AI262" s="93">
        <f t="shared" si="202"/>
        <v>1071184.686</v>
      </c>
      <c r="AJ262" s="93">
        <f t="shared" si="202"/>
        <v>1092608.379</v>
      </c>
      <c r="AK262" s="93">
        <f t="shared" si="202"/>
        <v>1114460.547</v>
      </c>
      <c r="AL262" s="93">
        <f t="shared" si="202"/>
        <v>1136749.758</v>
      </c>
      <c r="AM262" s="93">
        <f t="shared" ref="AM262:AP262" si="203">AL262*AM28/AL28</f>
        <v>1159484.753</v>
      </c>
      <c r="AN262" s="93">
        <f t="shared" si="203"/>
        <v>1182674.448</v>
      </c>
      <c r="AO262" s="93">
        <f t="shared" si="203"/>
        <v>1206327.937</v>
      </c>
      <c r="AP262" s="93">
        <f t="shared" si="203"/>
        <v>1230454.496</v>
      </c>
      <c r="AQ262" s="93"/>
      <c r="AR262" s="93"/>
      <c r="AS262" s="93"/>
      <c r="AT262" s="93"/>
      <c r="AU262" s="93"/>
      <c r="AV262" s="93"/>
    </row>
    <row r="263" ht="12.75" customHeight="1" outlineLevel="1">
      <c r="A263" s="90"/>
      <c r="D263" s="87"/>
      <c r="E263" s="87" t="s">
        <v>413</v>
      </c>
      <c r="F263" s="87"/>
      <c r="G263" s="231">
        <v>15000.0</v>
      </c>
      <c r="H263" s="232" t="s">
        <v>320</v>
      </c>
      <c r="I263" s="87"/>
      <c r="J263" s="87"/>
      <c r="K263" s="87"/>
      <c r="L263" s="87"/>
      <c r="M263" s="119">
        <v>0.0</v>
      </c>
      <c r="N263" s="119">
        <v>0.0</v>
      </c>
      <c r="O263" s="119">
        <v>0.0</v>
      </c>
      <c r="P263" s="119">
        <v>0.0</v>
      </c>
      <c r="Q263" s="119">
        <v>0.0</v>
      </c>
      <c r="R263" s="119">
        <f>G263</f>
        <v>15000</v>
      </c>
      <c r="S263" s="119">
        <f t="shared" ref="S263:AP263" si="204">(R263+5000)*S28/R28</f>
        <v>20400</v>
      </c>
      <c r="T263" s="119">
        <f t="shared" si="204"/>
        <v>25908</v>
      </c>
      <c r="U263" s="119">
        <f t="shared" si="204"/>
        <v>31526.16</v>
      </c>
      <c r="V263" s="119">
        <f t="shared" si="204"/>
        <v>37256.6832</v>
      </c>
      <c r="W263" s="119">
        <f t="shared" si="204"/>
        <v>43101.81686</v>
      </c>
      <c r="X263" s="119">
        <f t="shared" si="204"/>
        <v>49063.8532</v>
      </c>
      <c r="Y263" s="119">
        <f t="shared" si="204"/>
        <v>55145.13027</v>
      </c>
      <c r="Z263" s="119">
        <f t="shared" si="204"/>
        <v>61348.03287</v>
      </c>
      <c r="AA263" s="119">
        <f t="shared" si="204"/>
        <v>67674.99353</v>
      </c>
      <c r="AB263" s="119">
        <f t="shared" si="204"/>
        <v>74128.4934</v>
      </c>
      <c r="AC263" s="119">
        <f t="shared" si="204"/>
        <v>80711.06327</v>
      </c>
      <c r="AD263" s="119">
        <f t="shared" si="204"/>
        <v>87425.28453</v>
      </c>
      <c r="AE263" s="119">
        <f t="shared" si="204"/>
        <v>94273.79022</v>
      </c>
      <c r="AF263" s="119">
        <f t="shared" si="204"/>
        <v>101259.266</v>
      </c>
      <c r="AG263" s="119">
        <f t="shared" si="204"/>
        <v>108384.4513</v>
      </c>
      <c r="AH263" s="119">
        <f t="shared" si="204"/>
        <v>115652.1404</v>
      </c>
      <c r="AI263" s="119">
        <f t="shared" si="204"/>
        <v>123065.1832</v>
      </c>
      <c r="AJ263" s="119">
        <f t="shared" si="204"/>
        <v>130626.4868</v>
      </c>
      <c r="AK263" s="119">
        <f t="shared" si="204"/>
        <v>138339.0166</v>
      </c>
      <c r="AL263" s="119">
        <f t="shared" si="204"/>
        <v>146205.7969</v>
      </c>
      <c r="AM263" s="119">
        <f t="shared" si="204"/>
        <v>154229.9129</v>
      </c>
      <c r="AN263" s="119">
        <f t="shared" si="204"/>
        <v>162414.5111</v>
      </c>
      <c r="AO263" s="119">
        <f t="shared" si="204"/>
        <v>170762.8013</v>
      </c>
      <c r="AP263" s="119">
        <f t="shared" si="204"/>
        <v>179278.0574</v>
      </c>
      <c r="AQ263" s="119"/>
      <c r="AR263" s="119"/>
      <c r="AS263" s="119"/>
      <c r="AT263" s="119"/>
      <c r="AU263" s="119"/>
      <c r="AV263" s="119"/>
    </row>
    <row r="264" ht="12.75" customHeight="1" outlineLevel="1">
      <c r="A264" s="67"/>
      <c r="B264" s="67"/>
      <c r="C264" s="67"/>
      <c r="D264" s="67" t="s">
        <v>414</v>
      </c>
      <c r="E264" s="67"/>
      <c r="F264" s="185">
        <v>0.5</v>
      </c>
      <c r="G264" s="67" t="s">
        <v>415</v>
      </c>
      <c r="H264" s="67"/>
      <c r="I264" s="67"/>
      <c r="J264" s="67"/>
      <c r="K264" s="67"/>
      <c r="L264" s="67"/>
      <c r="M264" s="115">
        <f t="shared" ref="M264:AP264" si="205">SUM(M258:M263)</f>
        <v>51539.41192</v>
      </c>
      <c r="N264" s="115">
        <f t="shared" si="205"/>
        <v>103399.0199</v>
      </c>
      <c r="O264" s="115">
        <f t="shared" si="205"/>
        <v>124938.4318</v>
      </c>
      <c r="P264" s="115">
        <f t="shared" si="205"/>
        <v>190837.4516</v>
      </c>
      <c r="Q264" s="115">
        <f t="shared" si="205"/>
        <v>285775.8834</v>
      </c>
      <c r="R264" s="115">
        <f t="shared" si="205"/>
        <v>547263.3351</v>
      </c>
      <c r="S264" s="115">
        <f t="shared" si="205"/>
        <v>1189065.776</v>
      </c>
      <c r="T264" s="115">
        <f t="shared" si="205"/>
        <v>2407708.146</v>
      </c>
      <c r="U264" s="115">
        <f t="shared" si="205"/>
        <v>3858117.122</v>
      </c>
      <c r="V264" s="115">
        <f t="shared" si="205"/>
        <v>5914981.697</v>
      </c>
      <c r="W264" s="115">
        <f t="shared" si="205"/>
        <v>8763000.594</v>
      </c>
      <c r="X264" s="115">
        <f t="shared" si="205"/>
        <v>11825358.48</v>
      </c>
      <c r="Y264" s="115">
        <f t="shared" si="205"/>
        <v>17028995</v>
      </c>
      <c r="Z264" s="115">
        <f t="shared" si="205"/>
        <v>24237776.2</v>
      </c>
      <c r="AA264" s="115">
        <f t="shared" si="205"/>
        <v>33601215.07</v>
      </c>
      <c r="AB264" s="115">
        <f t="shared" si="205"/>
        <v>44766184.3</v>
      </c>
      <c r="AC264" s="115">
        <f t="shared" si="205"/>
        <v>58350624.28</v>
      </c>
      <c r="AD264" s="115">
        <f t="shared" si="205"/>
        <v>73231357.01</v>
      </c>
      <c r="AE264" s="115">
        <f t="shared" si="205"/>
        <v>88675203.63</v>
      </c>
      <c r="AF264" s="115">
        <f t="shared" si="205"/>
        <v>101765435.3</v>
      </c>
      <c r="AG264" s="115">
        <f t="shared" si="205"/>
        <v>106832396.8</v>
      </c>
      <c r="AH264" s="115">
        <f t="shared" si="205"/>
        <v>109541516.1</v>
      </c>
      <c r="AI264" s="115">
        <f t="shared" si="205"/>
        <v>111706342.6</v>
      </c>
      <c r="AJ264" s="115">
        <f t="shared" si="205"/>
        <v>113825389.8</v>
      </c>
      <c r="AK264" s="115">
        <f t="shared" si="205"/>
        <v>116011168.7</v>
      </c>
      <c r="AL264" s="115">
        <f t="shared" si="205"/>
        <v>118273847.1</v>
      </c>
      <c r="AM264" s="115">
        <f t="shared" si="205"/>
        <v>8966314.036</v>
      </c>
      <c r="AN264" s="115">
        <f t="shared" si="205"/>
        <v>9150740.317</v>
      </c>
      <c r="AO264" s="115">
        <f t="shared" si="205"/>
        <v>9258433.261</v>
      </c>
      <c r="AP264" s="115">
        <f t="shared" si="205"/>
        <v>9448701.926</v>
      </c>
      <c r="AQ264" s="115"/>
      <c r="AR264" s="115"/>
      <c r="AS264" s="115"/>
      <c r="AT264" s="115"/>
      <c r="AU264" s="115"/>
      <c r="AV264" s="115"/>
    </row>
    <row r="265" ht="12.75" customHeight="1" outlineLevel="1">
      <c r="A265" s="90"/>
      <c r="M265" s="93"/>
      <c r="N265" s="93"/>
      <c r="O265" s="93"/>
      <c r="P265" s="93"/>
      <c r="Q265" s="93"/>
      <c r="R265" s="93"/>
      <c r="S265" s="93"/>
      <c r="T265" s="93"/>
      <c r="U265" s="93"/>
      <c r="V265" s="93"/>
      <c r="W265" s="93"/>
      <c r="X265" s="93"/>
      <c r="Y265" s="93"/>
      <c r="Z265" s="93"/>
      <c r="AA265" s="93"/>
      <c r="AB265" s="93"/>
      <c r="AC265" s="93"/>
      <c r="AD265" s="93"/>
      <c r="AE265" s="93"/>
      <c r="AF265" s="93"/>
      <c r="AG265" s="93"/>
      <c r="AH265" s="93"/>
      <c r="AI265" s="93"/>
      <c r="AJ265" s="93"/>
      <c r="AK265" s="93"/>
      <c r="AL265" s="93"/>
      <c r="AM265" s="93"/>
      <c r="AN265" s="93"/>
      <c r="AO265" s="93"/>
      <c r="AP265" s="93"/>
      <c r="AQ265" s="93"/>
      <c r="AR265" s="93"/>
      <c r="AS265" s="93"/>
      <c r="AT265" s="93"/>
      <c r="AU265" s="93"/>
      <c r="AV265" s="93"/>
    </row>
    <row r="266" ht="12.75" customHeight="1" outlineLevel="1">
      <c r="A266" s="90"/>
      <c r="D266" s="67" t="s">
        <v>416</v>
      </c>
      <c r="G266" s="68" t="s">
        <v>124</v>
      </c>
      <c r="M266" s="101">
        <f>SUM('National Staffing'!K46:K48)</f>
        <v>0</v>
      </c>
      <c r="N266" s="101">
        <f>SUM('National Staffing'!L46:L48)</f>
        <v>1</v>
      </c>
      <c r="O266" s="101">
        <f>SUM('National Staffing'!M46:M48)</f>
        <v>1</v>
      </c>
      <c r="P266" s="101">
        <f>SUM('National Staffing'!N46:N48)</f>
        <v>2</v>
      </c>
      <c r="Q266" s="101">
        <f>SUM('National Staffing'!O46:O48)</f>
        <v>2</v>
      </c>
      <c r="R266" s="101">
        <f>SUM('National Staffing'!P46:P48)</f>
        <v>2</v>
      </c>
      <c r="S266" s="101">
        <f>SUM('National Staffing'!Q46:Q48)</f>
        <v>3</v>
      </c>
      <c r="T266" s="101">
        <f>SUM('National Staffing'!R46:R48)</f>
        <v>3</v>
      </c>
      <c r="U266" s="101">
        <f>SUM('National Staffing'!S46:S48)</f>
        <v>4</v>
      </c>
      <c r="V266" s="101">
        <f>SUM('National Staffing'!T46:T48)</f>
        <v>5</v>
      </c>
      <c r="W266" s="101">
        <f>SUM('National Staffing'!U46:U48)</f>
        <v>7</v>
      </c>
      <c r="X266" s="101">
        <f>SUM('National Staffing'!V46:V48)</f>
        <v>9</v>
      </c>
      <c r="Y266" s="101">
        <f>SUM('National Staffing'!W46:W48)</f>
        <v>13</v>
      </c>
      <c r="Z266" s="101">
        <f>SUM('National Staffing'!X46:X48)</f>
        <v>17</v>
      </c>
      <c r="AA266" s="101">
        <f>SUM('National Staffing'!Y46:Y48)</f>
        <v>23</v>
      </c>
      <c r="AB266" s="101">
        <f>SUM('National Staffing'!Z46:Z48)</f>
        <v>28</v>
      </c>
      <c r="AC266" s="101">
        <f>SUM('National Staffing'!AA46:AA48)</f>
        <v>35</v>
      </c>
      <c r="AD266" s="101">
        <f>SUM('National Staffing'!AB46:AB48)</f>
        <v>43</v>
      </c>
      <c r="AE266" s="101">
        <f>SUM('National Staffing'!AC46:AC48)</f>
        <v>51</v>
      </c>
      <c r="AF266" s="101">
        <f>SUM('National Staffing'!AD46:AD48)</f>
        <v>58</v>
      </c>
      <c r="AG266" s="101">
        <f>SUM('National Staffing'!AE46:AE48)</f>
        <v>58</v>
      </c>
      <c r="AH266" s="101">
        <f>SUM('National Staffing'!AF46:AF48)</f>
        <v>58</v>
      </c>
      <c r="AI266" s="101">
        <f>SUM('National Staffing'!AG46:AG48)</f>
        <v>58</v>
      </c>
      <c r="AJ266" s="101">
        <f>SUM('National Staffing'!AH46:AH48)</f>
        <v>58</v>
      </c>
      <c r="AK266" s="101">
        <f>SUM('National Staffing'!AI46:AI48)</f>
        <v>58</v>
      </c>
      <c r="AL266" s="101">
        <f>SUM('National Staffing'!AJ46:AJ48)</f>
        <v>58</v>
      </c>
      <c r="AM266" s="93"/>
      <c r="AN266" s="93"/>
      <c r="AO266" s="93"/>
      <c r="AP266" s="93"/>
      <c r="AQ266" s="93"/>
      <c r="AR266" s="93"/>
      <c r="AS266" s="93"/>
      <c r="AT266" s="93"/>
      <c r="AU266" s="93"/>
      <c r="AV266" s="93"/>
    </row>
    <row r="267" ht="12.75" customHeight="1" outlineLevel="1">
      <c r="A267" s="90"/>
      <c r="E267" s="68" t="s">
        <v>417</v>
      </c>
      <c r="G267" s="225">
        <v>12500.0</v>
      </c>
      <c r="H267" s="225" t="s">
        <v>318</v>
      </c>
      <c r="M267" s="93">
        <f>15000+$G267*M266*M28+10000</f>
        <v>25000</v>
      </c>
      <c r="N267" s="93">
        <f t="shared" ref="N267:AL267" si="206">15000+$G267*N266*N28</f>
        <v>27500</v>
      </c>
      <c r="O267" s="93">
        <f t="shared" si="206"/>
        <v>27500</v>
      </c>
      <c r="P267" s="93">
        <f t="shared" si="206"/>
        <v>40000</v>
      </c>
      <c r="Q267" s="93">
        <f t="shared" si="206"/>
        <v>40000</v>
      </c>
      <c r="R267" s="93">
        <f t="shared" si="206"/>
        <v>40500</v>
      </c>
      <c r="S267" s="93">
        <f t="shared" si="206"/>
        <v>54015</v>
      </c>
      <c r="T267" s="93">
        <f t="shared" si="206"/>
        <v>54795.3</v>
      </c>
      <c r="U267" s="93">
        <f t="shared" si="206"/>
        <v>69121.608</v>
      </c>
      <c r="V267" s="93">
        <f t="shared" si="206"/>
        <v>84005.0502</v>
      </c>
      <c r="W267" s="93">
        <f t="shared" si="206"/>
        <v>113539.2117</v>
      </c>
      <c r="X267" s="93">
        <f t="shared" si="206"/>
        <v>144227.1376</v>
      </c>
      <c r="Y267" s="93">
        <f t="shared" si="206"/>
        <v>205394.6494</v>
      </c>
      <c r="Z267" s="93">
        <f t="shared" si="206"/>
        <v>268957.1708</v>
      </c>
      <c r="AA267" s="93">
        <f t="shared" si="206"/>
        <v>365460.8957</v>
      </c>
      <c r="AB267" s="93">
        <f t="shared" si="206"/>
        <v>450181.0079</v>
      </c>
      <c r="AC267" s="93">
        <f t="shared" si="206"/>
        <v>569855.7851</v>
      </c>
      <c r="AD267" s="93">
        <f t="shared" si="206"/>
        <v>710313.5639</v>
      </c>
      <c r="AE267" s="93">
        <f t="shared" si="206"/>
        <v>856167.7115</v>
      </c>
      <c r="AF267" s="93">
        <f t="shared" si="206"/>
        <v>990754.5453</v>
      </c>
      <c r="AG267" s="93">
        <f t="shared" si="206"/>
        <v>1010269.636</v>
      </c>
      <c r="AH267" s="93">
        <f t="shared" si="206"/>
        <v>1030175.029</v>
      </c>
      <c r="AI267" s="93">
        <f t="shared" si="206"/>
        <v>1050478.529</v>
      </c>
      <c r="AJ267" s="93">
        <f t="shared" si="206"/>
        <v>1071188.1</v>
      </c>
      <c r="AK267" s="93">
        <f t="shared" si="206"/>
        <v>1092311.862</v>
      </c>
      <c r="AL267" s="93">
        <f t="shared" si="206"/>
        <v>1113858.099</v>
      </c>
      <c r="AM267" s="93">
        <f t="shared" ref="AM267:AP267" si="207">AL267+5000</f>
        <v>1118858.099</v>
      </c>
      <c r="AN267" s="93">
        <f t="shared" si="207"/>
        <v>1123858.099</v>
      </c>
      <c r="AO267" s="93">
        <f t="shared" si="207"/>
        <v>1128858.099</v>
      </c>
      <c r="AP267" s="93">
        <f t="shared" si="207"/>
        <v>1133858.099</v>
      </c>
      <c r="AQ267" s="93"/>
      <c r="AR267" s="93"/>
      <c r="AS267" s="93"/>
      <c r="AT267" s="93"/>
      <c r="AU267" s="93"/>
      <c r="AV267" s="93"/>
    </row>
    <row r="268" ht="12.75" customHeight="1" outlineLevel="1">
      <c r="A268" s="90"/>
      <c r="E268" s="68" t="s">
        <v>418</v>
      </c>
      <c r="G268" s="225"/>
      <c r="H268" s="225"/>
      <c r="M268" s="93">
        <v>20000.0</v>
      </c>
      <c r="N268" s="93">
        <f t="shared" ref="N268:AP268" si="208">M268*N$28</f>
        <v>20000</v>
      </c>
      <c r="O268" s="93">
        <f t="shared" si="208"/>
        <v>20000</v>
      </c>
      <c r="P268" s="93">
        <f t="shared" si="208"/>
        <v>20000</v>
      </c>
      <c r="Q268" s="93">
        <f t="shared" si="208"/>
        <v>20000</v>
      </c>
      <c r="R268" s="93">
        <f t="shared" si="208"/>
        <v>20400</v>
      </c>
      <c r="S268" s="93">
        <f t="shared" si="208"/>
        <v>21224.16</v>
      </c>
      <c r="T268" s="93">
        <f t="shared" si="208"/>
        <v>22523.24839</v>
      </c>
      <c r="U268" s="93">
        <f t="shared" si="208"/>
        <v>24379.8884</v>
      </c>
      <c r="V268" s="93">
        <f t="shared" si="208"/>
        <v>26917.36677</v>
      </c>
      <c r="W268" s="93">
        <f t="shared" si="208"/>
        <v>30313.32688</v>
      </c>
      <c r="X268" s="93">
        <f t="shared" si="208"/>
        <v>34820.48412</v>
      </c>
      <c r="Y268" s="93">
        <f t="shared" si="208"/>
        <v>40797.74687</v>
      </c>
      <c r="Z268" s="93">
        <f t="shared" si="208"/>
        <v>48757.08411</v>
      </c>
      <c r="AA268" s="93">
        <f t="shared" si="208"/>
        <v>59434.61346</v>
      </c>
      <c r="AB268" s="93">
        <f t="shared" si="208"/>
        <v>73899.47141</v>
      </c>
      <c r="AC268" s="93">
        <f t="shared" si="208"/>
        <v>93722.39823</v>
      </c>
      <c r="AD268" s="93">
        <f t="shared" si="208"/>
        <v>121239.9158</v>
      </c>
      <c r="AE268" s="93">
        <f t="shared" si="208"/>
        <v>159973.4941</v>
      </c>
      <c r="AF268" s="93">
        <f t="shared" si="208"/>
        <v>215303.2607</v>
      </c>
      <c r="AG268" s="93">
        <f t="shared" si="208"/>
        <v>295565.2385</v>
      </c>
      <c r="AH268" s="93">
        <f t="shared" si="208"/>
        <v>413862.6891</v>
      </c>
      <c r="AI268" s="93">
        <f t="shared" si="208"/>
        <v>591097.8327</v>
      </c>
      <c r="AJ268" s="93">
        <f t="shared" si="208"/>
        <v>861117.9267</v>
      </c>
      <c r="AK268" s="93">
        <f t="shared" si="208"/>
        <v>1279575.941</v>
      </c>
      <c r="AL268" s="93">
        <f t="shared" si="208"/>
        <v>1939410.188</v>
      </c>
      <c r="AM268" s="93">
        <f t="shared" si="208"/>
        <v>2998288.724</v>
      </c>
      <c r="AN268" s="93">
        <f t="shared" si="208"/>
        <v>4727999.282</v>
      </c>
      <c r="AO268" s="93">
        <f t="shared" si="208"/>
        <v>7604690.161</v>
      </c>
      <c r="AP268" s="93">
        <f t="shared" si="208"/>
        <v>12476300.26</v>
      </c>
      <c r="AQ268" s="93"/>
      <c r="AR268" s="93"/>
      <c r="AS268" s="93"/>
      <c r="AT268" s="93"/>
      <c r="AU268" s="93"/>
      <c r="AV268" s="93"/>
    </row>
    <row r="269" ht="12.75" customHeight="1" outlineLevel="1">
      <c r="A269" s="90"/>
      <c r="E269" s="68" t="s">
        <v>419</v>
      </c>
      <c r="G269" s="225"/>
      <c r="H269" s="225"/>
      <c r="M269" s="93">
        <v>40000.0</v>
      </c>
      <c r="N269" s="93">
        <f t="shared" ref="N269:AP269" si="209">M269*N$28</f>
        <v>40000</v>
      </c>
      <c r="O269" s="93">
        <f t="shared" si="209"/>
        <v>40000</v>
      </c>
      <c r="P269" s="93">
        <f t="shared" si="209"/>
        <v>40000</v>
      </c>
      <c r="Q269" s="93">
        <f t="shared" si="209"/>
        <v>40000</v>
      </c>
      <c r="R269" s="93">
        <f t="shared" si="209"/>
        <v>40800</v>
      </c>
      <c r="S269" s="93">
        <f t="shared" si="209"/>
        <v>42448.32</v>
      </c>
      <c r="T269" s="93">
        <f t="shared" si="209"/>
        <v>45046.49677</v>
      </c>
      <c r="U269" s="93">
        <f t="shared" si="209"/>
        <v>48759.7768</v>
      </c>
      <c r="V269" s="93">
        <f t="shared" si="209"/>
        <v>53834.73353</v>
      </c>
      <c r="W269" s="93">
        <f t="shared" si="209"/>
        <v>60626.65376</v>
      </c>
      <c r="X269" s="93">
        <f t="shared" si="209"/>
        <v>69640.96825</v>
      </c>
      <c r="Y269" s="93">
        <f t="shared" si="209"/>
        <v>81595.49375</v>
      </c>
      <c r="Z269" s="93">
        <f t="shared" si="209"/>
        <v>97514.16821</v>
      </c>
      <c r="AA269" s="93">
        <f t="shared" si="209"/>
        <v>118869.2269</v>
      </c>
      <c r="AB269" s="93">
        <f t="shared" si="209"/>
        <v>147798.9428</v>
      </c>
      <c r="AC269" s="93">
        <f t="shared" si="209"/>
        <v>187444.7965</v>
      </c>
      <c r="AD269" s="93">
        <f t="shared" si="209"/>
        <v>242479.8316</v>
      </c>
      <c r="AE269" s="93">
        <f t="shared" si="209"/>
        <v>319946.9882</v>
      </c>
      <c r="AF269" s="93">
        <f t="shared" si="209"/>
        <v>430606.5214</v>
      </c>
      <c r="AG269" s="93">
        <f t="shared" si="209"/>
        <v>591130.4771</v>
      </c>
      <c r="AH269" s="93">
        <f t="shared" si="209"/>
        <v>827725.3781</v>
      </c>
      <c r="AI269" s="93">
        <f t="shared" si="209"/>
        <v>1182195.665</v>
      </c>
      <c r="AJ269" s="93">
        <f t="shared" si="209"/>
        <v>1722235.853</v>
      </c>
      <c r="AK269" s="93">
        <f t="shared" si="209"/>
        <v>2559151.882</v>
      </c>
      <c r="AL269" s="93">
        <f t="shared" si="209"/>
        <v>3878820.376</v>
      </c>
      <c r="AM269" s="93">
        <f t="shared" si="209"/>
        <v>5996577.448</v>
      </c>
      <c r="AN269" s="93">
        <f t="shared" si="209"/>
        <v>9455998.565</v>
      </c>
      <c r="AO269" s="93">
        <f t="shared" si="209"/>
        <v>15209380.32</v>
      </c>
      <c r="AP269" s="93">
        <f t="shared" si="209"/>
        <v>24952600.53</v>
      </c>
      <c r="AQ269" s="93"/>
      <c r="AR269" s="93"/>
      <c r="AS269" s="93"/>
      <c r="AT269" s="93"/>
      <c r="AU269" s="93"/>
      <c r="AV269" s="93"/>
    </row>
    <row r="270" ht="12.75" customHeight="1" outlineLevel="1">
      <c r="A270" s="90"/>
      <c r="D270" s="247">
        <v>0.5</v>
      </c>
      <c r="E270" s="87" t="s">
        <v>420</v>
      </c>
      <c r="F270" s="87"/>
      <c r="G270" s="231">
        <v>100000.0</v>
      </c>
      <c r="H270" s="232" t="s">
        <v>124</v>
      </c>
      <c r="I270" s="87"/>
      <c r="J270" s="87"/>
      <c r="K270" s="87"/>
      <c r="L270" s="87"/>
      <c r="M270" s="119">
        <f t="shared" ref="M270:Q270" si="210">N270*M6/N6</f>
        <v>21539.41192</v>
      </c>
      <c r="N270" s="119">
        <f t="shared" si="210"/>
        <v>35899.01986</v>
      </c>
      <c r="O270" s="119">
        <f t="shared" si="210"/>
        <v>57438.43178</v>
      </c>
      <c r="P270" s="119">
        <f t="shared" si="210"/>
        <v>93337.45164</v>
      </c>
      <c r="Q270" s="119">
        <f t="shared" si="210"/>
        <v>150775.8834</v>
      </c>
      <c r="R270" s="119">
        <f t="shared" ref="R270:AL270" si="211">R260*$D270/$D260</f>
        <v>244113.3351</v>
      </c>
      <c r="S270" s="119">
        <f t="shared" si="211"/>
        <v>703086.7764</v>
      </c>
      <c r="T270" s="119">
        <f t="shared" si="211"/>
        <v>1668137.766</v>
      </c>
      <c r="U270" s="119">
        <f t="shared" si="211"/>
        <v>2717097.998</v>
      </c>
      <c r="V270" s="119">
        <f t="shared" si="211"/>
        <v>4481062.798</v>
      </c>
      <c r="W270" s="119">
        <f t="shared" si="211"/>
        <v>6932115.936</v>
      </c>
      <c r="X270" s="119">
        <f t="shared" si="211"/>
        <v>9895321.844</v>
      </c>
      <c r="Y270" s="119">
        <f t="shared" si="211"/>
        <v>15055257.63</v>
      </c>
      <c r="Z270" s="119">
        <f t="shared" si="211"/>
        <v>22159709.46</v>
      </c>
      <c r="AA270" s="119">
        <f t="shared" si="211"/>
        <v>31415537.27</v>
      </c>
      <c r="AB270" s="119">
        <f t="shared" si="211"/>
        <v>42469524.23</v>
      </c>
      <c r="AC270" s="119">
        <f t="shared" si="211"/>
        <v>55939518.92</v>
      </c>
      <c r="AD270" s="119">
        <f t="shared" si="211"/>
        <v>70637568.88</v>
      </c>
      <c r="AE270" s="119">
        <f t="shared" si="211"/>
        <v>85958465.8</v>
      </c>
      <c r="AF270" s="119">
        <f t="shared" si="211"/>
        <v>98921969.26</v>
      </c>
      <c r="AG270" s="119">
        <f t="shared" si="211"/>
        <v>103926961.5</v>
      </c>
      <c r="AH270" s="119">
        <f t="shared" si="211"/>
        <v>106572872.1</v>
      </c>
      <c r="AI270" s="119">
        <f t="shared" si="211"/>
        <v>108673225.7</v>
      </c>
      <c r="AJ270" s="119">
        <f t="shared" si="211"/>
        <v>110726510.5</v>
      </c>
      <c r="AK270" s="119">
        <f t="shared" si="211"/>
        <v>112845211.9</v>
      </c>
      <c r="AL270" s="119">
        <f t="shared" si="211"/>
        <v>115039471.1</v>
      </c>
      <c r="AM270" s="119">
        <f>$G270*'National Staffing'!AK48*AM$28</f>
        <v>7729898.354</v>
      </c>
      <c r="AN270" s="119">
        <f>$G270*'National Staffing'!AL48*AN$28</f>
        <v>7884496.321</v>
      </c>
      <c r="AO270" s="119">
        <f>$G270*'National Staffing'!AM48*AO$28</f>
        <v>8042186.247</v>
      </c>
      <c r="AP270" s="119">
        <f>$G270*'National Staffing'!AN48*AP$28</f>
        <v>8203029.972</v>
      </c>
      <c r="AQ270" s="119"/>
      <c r="AR270" s="119"/>
      <c r="AS270" s="119"/>
      <c r="AT270" s="119"/>
      <c r="AU270" s="119"/>
      <c r="AV270" s="119"/>
    </row>
    <row r="271" ht="12.75" customHeight="1" outlineLevel="1">
      <c r="A271" s="67"/>
      <c r="B271" s="67"/>
      <c r="C271" s="67"/>
      <c r="D271" s="67" t="s">
        <v>421</v>
      </c>
      <c r="E271" s="67"/>
      <c r="F271" s="185">
        <v>0.5</v>
      </c>
      <c r="G271" s="67" t="s">
        <v>422</v>
      </c>
      <c r="H271" s="67"/>
      <c r="I271" s="67"/>
      <c r="J271" s="67"/>
      <c r="K271" s="67"/>
      <c r="L271" s="67"/>
      <c r="M271" s="115">
        <f t="shared" ref="M271:AP271" si="212">SUM(M267:M270)</f>
        <v>106539.4119</v>
      </c>
      <c r="N271" s="115">
        <f t="shared" si="212"/>
        <v>123399.0199</v>
      </c>
      <c r="O271" s="115">
        <f t="shared" si="212"/>
        <v>144938.4318</v>
      </c>
      <c r="P271" s="115">
        <f t="shared" si="212"/>
        <v>193337.4516</v>
      </c>
      <c r="Q271" s="115">
        <f t="shared" si="212"/>
        <v>250775.8834</v>
      </c>
      <c r="R271" s="115">
        <f t="shared" si="212"/>
        <v>345813.3351</v>
      </c>
      <c r="S271" s="115">
        <f t="shared" si="212"/>
        <v>820774.2564</v>
      </c>
      <c r="T271" s="115">
        <f t="shared" si="212"/>
        <v>1790502.812</v>
      </c>
      <c r="U271" s="115">
        <f t="shared" si="212"/>
        <v>2859359.271</v>
      </c>
      <c r="V271" s="115">
        <f t="shared" si="212"/>
        <v>4645819.949</v>
      </c>
      <c r="W271" s="115">
        <f t="shared" si="212"/>
        <v>7136595.128</v>
      </c>
      <c r="X271" s="115">
        <f t="shared" si="212"/>
        <v>10144010.43</v>
      </c>
      <c r="Y271" s="115">
        <f t="shared" si="212"/>
        <v>15383045.52</v>
      </c>
      <c r="Z271" s="115">
        <f t="shared" si="212"/>
        <v>22574937.88</v>
      </c>
      <c r="AA271" s="115">
        <f t="shared" si="212"/>
        <v>31959302.01</v>
      </c>
      <c r="AB271" s="115">
        <f t="shared" si="212"/>
        <v>43141403.65</v>
      </c>
      <c r="AC271" s="115">
        <f t="shared" si="212"/>
        <v>56790541.9</v>
      </c>
      <c r="AD271" s="115">
        <f t="shared" si="212"/>
        <v>71711602.19</v>
      </c>
      <c r="AE271" s="115">
        <f t="shared" si="212"/>
        <v>87294553.99</v>
      </c>
      <c r="AF271" s="115">
        <f t="shared" si="212"/>
        <v>100558633.6</v>
      </c>
      <c r="AG271" s="115">
        <f t="shared" si="212"/>
        <v>105823926.8</v>
      </c>
      <c r="AH271" s="115">
        <f t="shared" si="212"/>
        <v>108844635.2</v>
      </c>
      <c r="AI271" s="115">
        <f t="shared" si="212"/>
        <v>111496997.7</v>
      </c>
      <c r="AJ271" s="115">
        <f t="shared" si="212"/>
        <v>114381052.4</v>
      </c>
      <c r="AK271" s="115">
        <f t="shared" si="212"/>
        <v>117776251.6</v>
      </c>
      <c r="AL271" s="115">
        <f t="shared" si="212"/>
        <v>121971559.8</v>
      </c>
      <c r="AM271" s="115">
        <f t="shared" si="212"/>
        <v>17843622.62</v>
      </c>
      <c r="AN271" s="115">
        <f t="shared" si="212"/>
        <v>23192352.27</v>
      </c>
      <c r="AO271" s="115">
        <f t="shared" si="212"/>
        <v>31985114.83</v>
      </c>
      <c r="AP271" s="115">
        <f t="shared" si="212"/>
        <v>46765788.87</v>
      </c>
      <c r="AQ271" s="142"/>
      <c r="AR271" s="142"/>
      <c r="AS271" s="142"/>
      <c r="AT271" s="142"/>
      <c r="AU271" s="142"/>
      <c r="AV271" s="142"/>
    </row>
    <row r="272" ht="12.75" customHeight="1" outlineLevel="1">
      <c r="A272" s="90"/>
      <c r="M272" s="93"/>
      <c r="N272" s="93"/>
      <c r="O272" s="93"/>
      <c r="P272" s="93"/>
      <c r="Q272" s="93"/>
      <c r="R272" s="93"/>
      <c r="S272" s="93"/>
      <c r="T272" s="93"/>
      <c r="U272" s="93"/>
      <c r="V272" s="93"/>
      <c r="W272" s="93"/>
      <c r="X272" s="93"/>
      <c r="Y272" s="93"/>
      <c r="Z272" s="93"/>
      <c r="AA272" s="93"/>
      <c r="AB272" s="93"/>
      <c r="AC272" s="93"/>
      <c r="AD272" s="93"/>
      <c r="AE272" s="93"/>
      <c r="AF272" s="93"/>
      <c r="AG272" s="93"/>
      <c r="AH272" s="93"/>
      <c r="AI272" s="93"/>
      <c r="AJ272" s="93"/>
      <c r="AK272" s="93"/>
      <c r="AL272" s="93"/>
      <c r="AM272" s="93"/>
      <c r="AN272" s="93"/>
      <c r="AO272" s="93"/>
      <c r="AP272" s="93"/>
    </row>
    <row r="273" ht="12.75" customHeight="1" outlineLevel="1">
      <c r="A273" s="90"/>
      <c r="D273" s="67" t="s">
        <v>423</v>
      </c>
      <c r="G273" s="68" t="s">
        <v>124</v>
      </c>
      <c r="M273" s="236">
        <f>SUM('National Staffing'!K49:K50)</f>
        <v>0</v>
      </c>
      <c r="N273" s="236">
        <f>SUM('National Staffing'!L49:L50)</f>
        <v>0</v>
      </c>
      <c r="O273" s="236">
        <f>SUM('National Staffing'!M49:M50)</f>
        <v>1</v>
      </c>
      <c r="P273" s="236">
        <f>SUM('National Staffing'!N49:N50)</f>
        <v>2</v>
      </c>
      <c r="Q273" s="236">
        <f>SUM('National Staffing'!O49:O50)</f>
        <v>2</v>
      </c>
      <c r="R273" s="236">
        <f>SUM('National Staffing'!P49:P50)</f>
        <v>2</v>
      </c>
      <c r="S273" s="236">
        <f>SUM('National Staffing'!Q49:Q50)</f>
        <v>2</v>
      </c>
      <c r="T273" s="236">
        <f>SUM('National Staffing'!R49:R50)</f>
        <v>2</v>
      </c>
      <c r="U273" s="236">
        <f>SUM('National Staffing'!S49:S50)</f>
        <v>2</v>
      </c>
      <c r="V273" s="236">
        <f>SUM('National Staffing'!T49:T50)</f>
        <v>2</v>
      </c>
      <c r="W273" s="236">
        <f>SUM('National Staffing'!U49:U50)</f>
        <v>2</v>
      </c>
      <c r="X273" s="236">
        <f>SUM('National Staffing'!V49:V50)</f>
        <v>2</v>
      </c>
      <c r="Y273" s="236">
        <f>SUM('National Staffing'!W49:W50)</f>
        <v>2</v>
      </c>
      <c r="Z273" s="236">
        <f>SUM('National Staffing'!X49:X50)</f>
        <v>3</v>
      </c>
      <c r="AA273" s="236">
        <f>SUM('National Staffing'!Y49:Y50)</f>
        <v>3</v>
      </c>
      <c r="AB273" s="236">
        <f>SUM('National Staffing'!Z49:Z50)</f>
        <v>4</v>
      </c>
      <c r="AC273" s="236">
        <f>SUM('National Staffing'!AA49:AA50)</f>
        <v>4</v>
      </c>
      <c r="AD273" s="236">
        <f>SUM('National Staffing'!AB49:AB50)</f>
        <v>5</v>
      </c>
      <c r="AE273" s="236">
        <f>SUM('National Staffing'!AC49:AC50)</f>
        <v>6</v>
      </c>
      <c r="AF273" s="236">
        <f>SUM('National Staffing'!AD49:AD50)</f>
        <v>6</v>
      </c>
      <c r="AG273" s="236">
        <f>SUM('National Staffing'!AE49:AE50)</f>
        <v>6</v>
      </c>
      <c r="AH273" s="236">
        <f>SUM('National Staffing'!AF49:AF50)</f>
        <v>6</v>
      </c>
      <c r="AI273" s="236">
        <f>SUM('National Staffing'!AG49:AG50)</f>
        <v>6</v>
      </c>
      <c r="AJ273" s="236">
        <f>SUM('National Staffing'!AH49:AH50)</f>
        <v>6</v>
      </c>
      <c r="AK273" s="236">
        <f>SUM('National Staffing'!AI49:AI50)</f>
        <v>6</v>
      </c>
      <c r="AL273" s="236">
        <f>SUM('National Staffing'!AJ49:AJ50)</f>
        <v>6</v>
      </c>
      <c r="AM273" s="93"/>
      <c r="AN273" s="93"/>
      <c r="AO273" s="93"/>
      <c r="AP273" s="93"/>
    </row>
    <row r="274" ht="12.75" customHeight="1" outlineLevel="1">
      <c r="A274" s="90"/>
      <c r="D274" s="87"/>
      <c r="E274" s="87" t="s">
        <v>424</v>
      </c>
      <c r="F274" s="87"/>
      <c r="G274" s="231">
        <v>37500.0</v>
      </c>
      <c r="H274" s="232" t="s">
        <v>425</v>
      </c>
      <c r="I274" s="87"/>
      <c r="J274" s="87"/>
      <c r="K274" s="87"/>
      <c r="L274" s="87"/>
      <c r="M274" s="245">
        <v>60000.0</v>
      </c>
      <c r="N274" s="119">
        <f t="shared" ref="N274:AL274" si="213">$G274*N273</f>
        <v>0</v>
      </c>
      <c r="O274" s="119">
        <f t="shared" si="213"/>
        <v>37500</v>
      </c>
      <c r="P274" s="119">
        <f t="shared" si="213"/>
        <v>75000</v>
      </c>
      <c r="Q274" s="119">
        <f t="shared" si="213"/>
        <v>75000</v>
      </c>
      <c r="R274" s="119">
        <f t="shared" si="213"/>
        <v>75000</v>
      </c>
      <c r="S274" s="119">
        <f t="shared" si="213"/>
        <v>75000</v>
      </c>
      <c r="T274" s="119">
        <f t="shared" si="213"/>
        <v>75000</v>
      </c>
      <c r="U274" s="119">
        <f t="shared" si="213"/>
        <v>75000</v>
      </c>
      <c r="V274" s="119">
        <f t="shared" si="213"/>
        <v>75000</v>
      </c>
      <c r="W274" s="119">
        <f t="shared" si="213"/>
        <v>75000</v>
      </c>
      <c r="X274" s="119">
        <f t="shared" si="213"/>
        <v>75000</v>
      </c>
      <c r="Y274" s="119">
        <f t="shared" si="213"/>
        <v>75000</v>
      </c>
      <c r="Z274" s="119">
        <f t="shared" si="213"/>
        <v>112500</v>
      </c>
      <c r="AA274" s="119">
        <f t="shared" si="213"/>
        <v>112500</v>
      </c>
      <c r="AB274" s="119">
        <f t="shared" si="213"/>
        <v>150000</v>
      </c>
      <c r="AC274" s="119">
        <f t="shared" si="213"/>
        <v>150000</v>
      </c>
      <c r="AD274" s="119">
        <f t="shared" si="213"/>
        <v>187500</v>
      </c>
      <c r="AE274" s="119">
        <f t="shared" si="213"/>
        <v>225000</v>
      </c>
      <c r="AF274" s="119">
        <f t="shared" si="213"/>
        <v>225000</v>
      </c>
      <c r="AG274" s="119">
        <f t="shared" si="213"/>
        <v>225000</v>
      </c>
      <c r="AH274" s="119">
        <f t="shared" si="213"/>
        <v>225000</v>
      </c>
      <c r="AI274" s="119">
        <f t="shared" si="213"/>
        <v>225000</v>
      </c>
      <c r="AJ274" s="119">
        <f t="shared" si="213"/>
        <v>225000</v>
      </c>
      <c r="AK274" s="119">
        <f t="shared" si="213"/>
        <v>225000</v>
      </c>
      <c r="AL274" s="119">
        <f t="shared" si="213"/>
        <v>225000</v>
      </c>
      <c r="AM274" s="119" t="str">
        <f t="shared" ref="AM274:AO274" si="214">$G274*#REF!*AM$28</f>
        <v>#REF!</v>
      </c>
      <c r="AN274" s="119" t="str">
        <f t="shared" si="214"/>
        <v>#REF!</v>
      </c>
      <c r="AO274" s="119" t="str">
        <f t="shared" si="214"/>
        <v>#REF!</v>
      </c>
      <c r="AP274" s="119" t="str">
        <f>AO274</f>
        <v>#REF!</v>
      </c>
      <c r="AQ274" s="117"/>
      <c r="AR274" s="117"/>
      <c r="AS274" s="117"/>
      <c r="AT274" s="117"/>
      <c r="AU274" s="117"/>
      <c r="AV274" s="117"/>
    </row>
    <row r="275" ht="12.75" customHeight="1" outlineLevel="1">
      <c r="A275" s="90"/>
      <c r="D275" s="67" t="s">
        <v>426</v>
      </c>
      <c r="M275" s="115">
        <f t="shared" ref="M275:AP275" si="215">SUM(M274)</f>
        <v>60000</v>
      </c>
      <c r="N275" s="115">
        <f t="shared" si="215"/>
        <v>0</v>
      </c>
      <c r="O275" s="115">
        <f t="shared" si="215"/>
        <v>37500</v>
      </c>
      <c r="P275" s="115">
        <f t="shared" si="215"/>
        <v>75000</v>
      </c>
      <c r="Q275" s="115">
        <f t="shared" si="215"/>
        <v>75000</v>
      </c>
      <c r="R275" s="115">
        <f t="shared" si="215"/>
        <v>75000</v>
      </c>
      <c r="S275" s="115">
        <f t="shared" si="215"/>
        <v>75000</v>
      </c>
      <c r="T275" s="115">
        <f t="shared" si="215"/>
        <v>75000</v>
      </c>
      <c r="U275" s="115">
        <f t="shared" si="215"/>
        <v>75000</v>
      </c>
      <c r="V275" s="115">
        <f t="shared" si="215"/>
        <v>75000</v>
      </c>
      <c r="W275" s="115">
        <f t="shared" si="215"/>
        <v>75000</v>
      </c>
      <c r="X275" s="115">
        <f t="shared" si="215"/>
        <v>75000</v>
      </c>
      <c r="Y275" s="115">
        <f t="shared" si="215"/>
        <v>75000</v>
      </c>
      <c r="Z275" s="115">
        <f t="shared" si="215"/>
        <v>112500</v>
      </c>
      <c r="AA275" s="115">
        <f t="shared" si="215"/>
        <v>112500</v>
      </c>
      <c r="AB275" s="115">
        <f t="shared" si="215"/>
        <v>150000</v>
      </c>
      <c r="AC275" s="115">
        <f t="shared" si="215"/>
        <v>150000</v>
      </c>
      <c r="AD275" s="115">
        <f t="shared" si="215"/>
        <v>187500</v>
      </c>
      <c r="AE275" s="115">
        <f t="shared" si="215"/>
        <v>225000</v>
      </c>
      <c r="AF275" s="115">
        <f t="shared" si="215"/>
        <v>225000</v>
      </c>
      <c r="AG275" s="115">
        <f t="shared" si="215"/>
        <v>225000</v>
      </c>
      <c r="AH275" s="115">
        <f t="shared" si="215"/>
        <v>225000</v>
      </c>
      <c r="AI275" s="115">
        <f t="shared" si="215"/>
        <v>225000</v>
      </c>
      <c r="AJ275" s="115">
        <f t="shared" si="215"/>
        <v>225000</v>
      </c>
      <c r="AK275" s="115">
        <f t="shared" si="215"/>
        <v>225000</v>
      </c>
      <c r="AL275" s="115">
        <f t="shared" si="215"/>
        <v>225000</v>
      </c>
      <c r="AM275" s="115" t="str">
        <f t="shared" si="215"/>
        <v>#REF!</v>
      </c>
      <c r="AN275" s="115" t="str">
        <f t="shared" si="215"/>
        <v>#REF!</v>
      </c>
      <c r="AO275" s="115" t="str">
        <f t="shared" si="215"/>
        <v>#REF!</v>
      </c>
      <c r="AP275" s="115" t="str">
        <f t="shared" si="215"/>
        <v>#REF!</v>
      </c>
      <c r="AQ275" s="142"/>
      <c r="AR275" s="142"/>
      <c r="AS275" s="142"/>
      <c r="AT275" s="142"/>
      <c r="AU275" s="142"/>
      <c r="AV275" s="142"/>
    </row>
    <row r="276" ht="12.75" customHeight="1" outlineLevel="1">
      <c r="A276" s="90"/>
      <c r="M276" s="93"/>
      <c r="N276" s="93"/>
      <c r="O276" s="93"/>
      <c r="P276" s="93"/>
      <c r="Q276" s="93"/>
      <c r="R276" s="93"/>
      <c r="S276" s="93"/>
      <c r="T276" s="93"/>
      <c r="U276" s="93"/>
      <c r="V276" s="93"/>
      <c r="W276" s="93"/>
      <c r="X276" s="93"/>
      <c r="Y276" s="93"/>
      <c r="Z276" s="93"/>
      <c r="AA276" s="93"/>
      <c r="AB276" s="93"/>
      <c r="AC276" s="93"/>
      <c r="AD276" s="93"/>
      <c r="AE276" s="93"/>
      <c r="AF276" s="93"/>
      <c r="AG276" s="93"/>
      <c r="AH276" s="93"/>
      <c r="AI276" s="93"/>
      <c r="AJ276" s="93"/>
      <c r="AK276" s="93"/>
      <c r="AL276" s="93"/>
      <c r="AM276" s="93"/>
      <c r="AN276" s="93"/>
      <c r="AO276" s="93"/>
      <c r="AP276" s="93"/>
    </row>
    <row r="277" ht="12.75" customHeight="1" outlineLevel="1">
      <c r="A277" s="90"/>
      <c r="C277" s="152">
        <v>0.02</v>
      </c>
      <c r="D277" s="67" t="s">
        <v>427</v>
      </c>
      <c r="M277" s="115" t="str">
        <f t="shared" ref="M277:AP277" si="216">MAX(0,$C$277*M$11-SUM(M98,M112,M264,M271,M275)-SUM(M147:M148)/4)</f>
        <v>#REF!</v>
      </c>
      <c r="N277" s="115" t="str">
        <f t="shared" si="216"/>
        <v>#REF!</v>
      </c>
      <c r="O277" s="115" t="str">
        <f t="shared" si="216"/>
        <v>#REF!</v>
      </c>
      <c r="P277" s="115" t="str">
        <f t="shared" si="216"/>
        <v>#REF!</v>
      </c>
      <c r="Q277" s="115" t="str">
        <f t="shared" si="216"/>
        <v>#REF!</v>
      </c>
      <c r="R277" s="115" t="str">
        <f t="shared" si="216"/>
        <v>#REF!</v>
      </c>
      <c r="S277" s="115" t="str">
        <f t="shared" si="216"/>
        <v>#REF!</v>
      </c>
      <c r="T277" s="115" t="str">
        <f t="shared" si="216"/>
        <v>#REF!</v>
      </c>
      <c r="U277" s="115" t="str">
        <f t="shared" si="216"/>
        <v>#REF!</v>
      </c>
      <c r="V277" s="115" t="str">
        <f t="shared" si="216"/>
        <v>#REF!</v>
      </c>
      <c r="W277" s="115" t="str">
        <f t="shared" si="216"/>
        <v>#REF!</v>
      </c>
      <c r="X277" s="115" t="str">
        <f t="shared" si="216"/>
        <v>#REF!</v>
      </c>
      <c r="Y277" s="115" t="str">
        <f t="shared" si="216"/>
        <v>#REF!</v>
      </c>
      <c r="Z277" s="115" t="str">
        <f t="shared" si="216"/>
        <v>#REF!</v>
      </c>
      <c r="AA277" s="115" t="str">
        <f t="shared" si="216"/>
        <v>#REF!</v>
      </c>
      <c r="AB277" s="115" t="str">
        <f t="shared" si="216"/>
        <v>#REF!</v>
      </c>
      <c r="AC277" s="115" t="str">
        <f t="shared" si="216"/>
        <v>#REF!</v>
      </c>
      <c r="AD277" s="115" t="str">
        <f t="shared" si="216"/>
        <v>#REF!</v>
      </c>
      <c r="AE277" s="115" t="str">
        <f t="shared" si="216"/>
        <v>#REF!</v>
      </c>
      <c r="AF277" s="115" t="str">
        <f t="shared" si="216"/>
        <v>#REF!</v>
      </c>
      <c r="AG277" s="115" t="str">
        <f t="shared" si="216"/>
        <v>#REF!</v>
      </c>
      <c r="AH277" s="115" t="str">
        <f t="shared" si="216"/>
        <v>#REF!</v>
      </c>
      <c r="AI277" s="115" t="str">
        <f t="shared" si="216"/>
        <v>#REF!</v>
      </c>
      <c r="AJ277" s="115" t="str">
        <f t="shared" si="216"/>
        <v>#REF!</v>
      </c>
      <c r="AK277" s="115" t="str">
        <f t="shared" si="216"/>
        <v>#REF!</v>
      </c>
      <c r="AL277" s="115" t="str">
        <f t="shared" si="216"/>
        <v>#REF!</v>
      </c>
      <c r="AM277" s="115" t="str">
        <f t="shared" si="216"/>
        <v>#REF!</v>
      </c>
      <c r="AN277" s="115" t="str">
        <f t="shared" si="216"/>
        <v>#REF!</v>
      </c>
      <c r="AO277" s="115" t="str">
        <f t="shared" si="216"/>
        <v>#REF!</v>
      </c>
      <c r="AP277" s="115" t="str">
        <f t="shared" si="216"/>
        <v>#REF!</v>
      </c>
    </row>
    <row r="278" ht="12.75" customHeight="1" outlineLevel="1">
      <c r="A278" s="90"/>
      <c r="M278" s="93"/>
      <c r="N278" s="93"/>
      <c r="O278" s="93"/>
      <c r="P278" s="93"/>
      <c r="Q278" s="93"/>
      <c r="R278" s="93"/>
      <c r="S278" s="93"/>
      <c r="T278" s="93"/>
      <c r="U278" s="93"/>
      <c r="V278" s="93"/>
      <c r="W278" s="93"/>
      <c r="X278" s="93"/>
      <c r="Y278" s="93"/>
      <c r="Z278" s="93"/>
      <c r="AA278" s="93"/>
      <c r="AB278" s="93"/>
      <c r="AC278" s="93"/>
      <c r="AD278" s="93"/>
      <c r="AE278" s="93"/>
      <c r="AF278" s="93"/>
      <c r="AG278" s="93"/>
      <c r="AH278" s="93"/>
      <c r="AI278" s="93"/>
      <c r="AJ278" s="93"/>
      <c r="AK278" s="93"/>
      <c r="AL278" s="93"/>
      <c r="AM278" s="93"/>
      <c r="AN278" s="93"/>
      <c r="AO278" s="93"/>
      <c r="AP278" s="93"/>
    </row>
    <row r="279" ht="12.75" customHeight="1" outlineLevel="1">
      <c r="A279" s="90"/>
      <c r="C279" s="67" t="s">
        <v>428</v>
      </c>
      <c r="M279" s="115" t="str">
        <f t="shared" ref="M279:AP279" si="217">M275+M271+M264+M277</f>
        <v>#REF!</v>
      </c>
      <c r="N279" s="115" t="str">
        <f t="shared" si="217"/>
        <v>#REF!</v>
      </c>
      <c r="O279" s="115" t="str">
        <f t="shared" si="217"/>
        <v>#REF!</v>
      </c>
      <c r="P279" s="115" t="str">
        <f t="shared" si="217"/>
        <v>#REF!</v>
      </c>
      <c r="Q279" s="115" t="str">
        <f t="shared" si="217"/>
        <v>#REF!</v>
      </c>
      <c r="R279" s="115" t="str">
        <f t="shared" si="217"/>
        <v>#REF!</v>
      </c>
      <c r="S279" s="115" t="str">
        <f t="shared" si="217"/>
        <v>#REF!</v>
      </c>
      <c r="T279" s="115" t="str">
        <f t="shared" si="217"/>
        <v>#REF!</v>
      </c>
      <c r="U279" s="115" t="str">
        <f t="shared" si="217"/>
        <v>#REF!</v>
      </c>
      <c r="V279" s="115" t="str">
        <f t="shared" si="217"/>
        <v>#REF!</v>
      </c>
      <c r="W279" s="115" t="str">
        <f t="shared" si="217"/>
        <v>#REF!</v>
      </c>
      <c r="X279" s="115" t="str">
        <f t="shared" si="217"/>
        <v>#REF!</v>
      </c>
      <c r="Y279" s="115" t="str">
        <f t="shared" si="217"/>
        <v>#REF!</v>
      </c>
      <c r="Z279" s="115" t="str">
        <f t="shared" si="217"/>
        <v>#REF!</v>
      </c>
      <c r="AA279" s="115" t="str">
        <f t="shared" si="217"/>
        <v>#REF!</v>
      </c>
      <c r="AB279" s="115" t="str">
        <f t="shared" si="217"/>
        <v>#REF!</v>
      </c>
      <c r="AC279" s="115" t="str">
        <f t="shared" si="217"/>
        <v>#REF!</v>
      </c>
      <c r="AD279" s="115" t="str">
        <f t="shared" si="217"/>
        <v>#REF!</v>
      </c>
      <c r="AE279" s="115" t="str">
        <f t="shared" si="217"/>
        <v>#REF!</v>
      </c>
      <c r="AF279" s="115" t="str">
        <f t="shared" si="217"/>
        <v>#REF!</v>
      </c>
      <c r="AG279" s="115" t="str">
        <f t="shared" si="217"/>
        <v>#REF!</v>
      </c>
      <c r="AH279" s="115" t="str">
        <f t="shared" si="217"/>
        <v>#REF!</v>
      </c>
      <c r="AI279" s="115" t="str">
        <f t="shared" si="217"/>
        <v>#REF!</v>
      </c>
      <c r="AJ279" s="115" t="str">
        <f t="shared" si="217"/>
        <v>#REF!</v>
      </c>
      <c r="AK279" s="115" t="str">
        <f t="shared" si="217"/>
        <v>#REF!</v>
      </c>
      <c r="AL279" s="115" t="str">
        <f t="shared" si="217"/>
        <v>#REF!</v>
      </c>
      <c r="AM279" s="115" t="str">
        <f t="shared" si="217"/>
        <v>#REF!</v>
      </c>
      <c r="AN279" s="115" t="str">
        <f t="shared" si="217"/>
        <v>#REF!</v>
      </c>
      <c r="AO279" s="115" t="str">
        <f t="shared" si="217"/>
        <v>#REF!</v>
      </c>
      <c r="AP279" s="115" t="str">
        <f t="shared" si="217"/>
        <v>#REF!</v>
      </c>
      <c r="AQ279" s="142"/>
      <c r="AR279" s="142"/>
      <c r="AS279" s="142"/>
      <c r="AT279" s="142"/>
      <c r="AU279" s="142"/>
      <c r="AV279" s="142"/>
    </row>
    <row r="280" ht="12.75" customHeight="1" outlineLevel="1">
      <c r="A280" s="90"/>
      <c r="C280" s="67"/>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42"/>
      <c r="AR280" s="142"/>
      <c r="AS280" s="142"/>
      <c r="AT280" s="142"/>
      <c r="AU280" s="142"/>
      <c r="AV280" s="142"/>
    </row>
    <row r="281" ht="12.75" customHeight="1" outlineLevel="1">
      <c r="A281" s="90"/>
      <c r="C281" s="67" t="s">
        <v>268</v>
      </c>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42"/>
      <c r="AR281" s="142"/>
      <c r="AS281" s="142"/>
      <c r="AT281" s="142"/>
      <c r="AU281" s="142"/>
      <c r="AV281" s="142"/>
    </row>
    <row r="282" ht="12.75" customHeight="1" outlineLevel="1">
      <c r="A282" s="90"/>
      <c r="C282" s="67"/>
      <c r="D282" s="67" t="s">
        <v>429</v>
      </c>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R282" s="142"/>
      <c r="AS282" s="142"/>
      <c r="AT282" s="142"/>
      <c r="AU282" s="142"/>
      <c r="AV282" s="142"/>
    </row>
    <row r="283" ht="12.75" customHeight="1" outlineLevel="1">
      <c r="E283" s="68" t="s">
        <v>430</v>
      </c>
      <c r="G283" s="230">
        <v>2000.0</v>
      </c>
      <c r="H283" s="68" t="s">
        <v>352</v>
      </c>
      <c r="M283" s="177">
        <f t="shared" ref="M283:Q283" si="218">$G283*M$6*M28</f>
        <v>6000</v>
      </c>
      <c r="N283" s="177">
        <f t="shared" si="218"/>
        <v>10000</v>
      </c>
      <c r="O283" s="177">
        <f t="shared" si="218"/>
        <v>16000</v>
      </c>
      <c r="P283" s="177">
        <f t="shared" si="218"/>
        <v>26000</v>
      </c>
      <c r="Q283" s="177">
        <f t="shared" si="218"/>
        <v>42000</v>
      </c>
    </row>
    <row r="284" ht="12.75" customHeight="1" outlineLevel="1">
      <c r="E284" s="68" t="s">
        <v>431</v>
      </c>
      <c r="M284" s="72"/>
      <c r="N284" s="72"/>
      <c r="O284" s="72"/>
      <c r="P284" s="72"/>
      <c r="Q284" s="72"/>
    </row>
    <row r="285" ht="12.75" customHeight="1" outlineLevel="1">
      <c r="E285" s="64" t="s">
        <v>432</v>
      </c>
      <c r="M285" s="177">
        <v>50000.0</v>
      </c>
      <c r="N285" s="177">
        <f t="shared" ref="N285:Q285" si="219">$M285*M$28</f>
        <v>50000</v>
      </c>
      <c r="O285" s="177">
        <f t="shared" si="219"/>
        <v>50000</v>
      </c>
      <c r="P285" s="177">
        <f t="shared" si="219"/>
        <v>50000</v>
      </c>
      <c r="Q285" s="177">
        <f t="shared" si="219"/>
        <v>50000</v>
      </c>
    </row>
    <row r="286" ht="12.75" customHeight="1" outlineLevel="1">
      <c r="E286" s="64" t="s">
        <v>433</v>
      </c>
      <c r="M286" s="177">
        <v>100000.0</v>
      </c>
      <c r="N286" s="177">
        <f t="shared" ref="N286:Q286" si="220">$M286*M$28</f>
        <v>100000</v>
      </c>
      <c r="O286" s="177">
        <f t="shared" si="220"/>
        <v>100000</v>
      </c>
      <c r="P286" s="177">
        <f t="shared" si="220"/>
        <v>100000</v>
      </c>
      <c r="Q286" s="177">
        <f t="shared" si="220"/>
        <v>100000</v>
      </c>
    </row>
    <row r="287" ht="12.75" customHeight="1" outlineLevel="1">
      <c r="E287" s="64" t="s">
        <v>434</v>
      </c>
      <c r="M287" s="177">
        <v>20250.0</v>
      </c>
      <c r="N287" s="177">
        <f t="shared" ref="N287:Q287" si="221">$M287*M$28</f>
        <v>20250</v>
      </c>
      <c r="O287" s="177">
        <f t="shared" si="221"/>
        <v>20250</v>
      </c>
      <c r="P287" s="177">
        <f t="shared" si="221"/>
        <v>20250</v>
      </c>
      <c r="Q287" s="177">
        <f t="shared" si="221"/>
        <v>20250</v>
      </c>
    </row>
    <row r="288" ht="12.75" customHeight="1" outlineLevel="1">
      <c r="E288" s="64" t="s">
        <v>435</v>
      </c>
      <c r="M288" s="177">
        <v>110000.0</v>
      </c>
      <c r="N288" s="177">
        <f t="shared" ref="N288:Q288" si="222">$M288*M$28</f>
        <v>110000</v>
      </c>
      <c r="O288" s="177">
        <f t="shared" si="222"/>
        <v>110000</v>
      </c>
      <c r="P288" s="177">
        <f t="shared" si="222"/>
        <v>110000</v>
      </c>
      <c r="Q288" s="177">
        <f t="shared" si="222"/>
        <v>110000</v>
      </c>
    </row>
    <row r="289" ht="12.75" customHeight="1" outlineLevel="1">
      <c r="E289" s="64" t="s">
        <v>436</v>
      </c>
      <c r="M289" s="177">
        <v>18750.0</v>
      </c>
      <c r="N289" s="177">
        <f t="shared" ref="N289:Q289" si="223">$M289*M$28</f>
        <v>18750</v>
      </c>
      <c r="O289" s="177">
        <f t="shared" si="223"/>
        <v>18750</v>
      </c>
      <c r="P289" s="177">
        <f t="shared" si="223"/>
        <v>18750</v>
      </c>
      <c r="Q289" s="177">
        <f t="shared" si="223"/>
        <v>18750</v>
      </c>
    </row>
    <row r="290" ht="12.75" customHeight="1" outlineLevel="1">
      <c r="E290" s="64" t="s">
        <v>437</v>
      </c>
      <c r="M290" s="177">
        <v>56750.0</v>
      </c>
      <c r="N290" s="177">
        <f t="shared" ref="N290:Q290" si="224">$M290*M$28</f>
        <v>56750</v>
      </c>
      <c r="O290" s="177">
        <f t="shared" si="224"/>
        <v>56750</v>
      </c>
      <c r="P290" s="177">
        <f t="shared" si="224"/>
        <v>56750</v>
      </c>
      <c r="Q290" s="177">
        <f t="shared" si="224"/>
        <v>56750</v>
      </c>
    </row>
    <row r="291" ht="12.75" customHeight="1" outlineLevel="1">
      <c r="E291" s="64" t="s">
        <v>438</v>
      </c>
      <c r="M291" s="177">
        <v>250000.0</v>
      </c>
      <c r="N291" s="177">
        <f t="shared" ref="N291:Q291" si="225">$M291*M$28</f>
        <v>250000</v>
      </c>
      <c r="O291" s="177">
        <f t="shared" si="225"/>
        <v>250000</v>
      </c>
      <c r="P291" s="177">
        <f t="shared" si="225"/>
        <v>250000</v>
      </c>
      <c r="Q291" s="177">
        <f t="shared" si="225"/>
        <v>250000</v>
      </c>
    </row>
    <row r="292" ht="12.75" customHeight="1" outlineLevel="1">
      <c r="E292" s="64" t="s">
        <v>439</v>
      </c>
      <c r="M292" s="177">
        <v>50000.0</v>
      </c>
      <c r="N292" s="177">
        <f t="shared" ref="N292:Q292" si="226">$M292*M$28</f>
        <v>50000</v>
      </c>
      <c r="O292" s="177">
        <f t="shared" si="226"/>
        <v>50000</v>
      </c>
      <c r="P292" s="177">
        <f t="shared" si="226"/>
        <v>50000</v>
      </c>
      <c r="Q292" s="177">
        <f t="shared" si="226"/>
        <v>50000</v>
      </c>
    </row>
    <row r="293" ht="12.75" customHeight="1" outlineLevel="1">
      <c r="E293" s="64" t="s">
        <v>440</v>
      </c>
      <c r="M293" s="177">
        <v>200000.0</v>
      </c>
      <c r="N293" s="177">
        <f t="shared" ref="N293:Q293" si="227">$M293*M$28</f>
        <v>200000</v>
      </c>
      <c r="O293" s="177">
        <f t="shared" si="227"/>
        <v>200000</v>
      </c>
      <c r="P293" s="177">
        <f t="shared" si="227"/>
        <v>200000</v>
      </c>
      <c r="Q293" s="177">
        <f t="shared" si="227"/>
        <v>200000</v>
      </c>
    </row>
    <row r="294" ht="12.75" customHeight="1" outlineLevel="1">
      <c r="E294" s="64" t="s">
        <v>441</v>
      </c>
      <c r="M294" s="177">
        <v>15000.0</v>
      </c>
      <c r="N294" s="177">
        <f t="shared" ref="N294:Q294" si="228">$M294*M$28</f>
        <v>15000</v>
      </c>
      <c r="O294" s="177">
        <f t="shared" si="228"/>
        <v>15000</v>
      </c>
      <c r="P294" s="177">
        <f t="shared" si="228"/>
        <v>15000</v>
      </c>
      <c r="Q294" s="177">
        <f t="shared" si="228"/>
        <v>15000</v>
      </c>
    </row>
    <row r="295" ht="12.75" customHeight="1" outlineLevel="1">
      <c r="E295" s="64" t="s">
        <v>442</v>
      </c>
      <c r="M295" s="177">
        <v>75000.0</v>
      </c>
      <c r="N295" s="177">
        <f t="shared" ref="N295:Q295" si="229">$M295*M$28</f>
        <v>75000</v>
      </c>
      <c r="O295" s="177">
        <f t="shared" si="229"/>
        <v>75000</v>
      </c>
      <c r="P295" s="177">
        <f t="shared" si="229"/>
        <v>75000</v>
      </c>
      <c r="Q295" s="177">
        <f t="shared" si="229"/>
        <v>75000</v>
      </c>
    </row>
    <row r="296" ht="12.75" customHeight="1" outlineLevel="1">
      <c r="E296" s="64" t="s">
        <v>443</v>
      </c>
      <c r="M296" s="177">
        <v>25000.0</v>
      </c>
      <c r="N296" s="177">
        <f t="shared" ref="N296:Q296" si="230">$M296*M$28</f>
        <v>25000</v>
      </c>
      <c r="O296" s="177">
        <f t="shared" si="230"/>
        <v>25000</v>
      </c>
      <c r="P296" s="177">
        <f t="shared" si="230"/>
        <v>25000</v>
      </c>
      <c r="Q296" s="177">
        <f t="shared" si="230"/>
        <v>25000</v>
      </c>
    </row>
    <row r="297" ht="12.75" customHeight="1" outlineLevel="1"/>
    <row r="298" ht="12.75" customHeight="1" outlineLevel="1"/>
    <row r="299" ht="12.75" customHeight="1" outlineLevel="1">
      <c r="D299" s="67" t="s">
        <v>444</v>
      </c>
      <c r="M299" s="76">
        <f t="shared" ref="M299:AL299" si="231">SUM(M283:M296)</f>
        <v>976750</v>
      </c>
      <c r="N299" s="76">
        <f t="shared" si="231"/>
        <v>980750</v>
      </c>
      <c r="O299" s="76">
        <f t="shared" si="231"/>
        <v>986750</v>
      </c>
      <c r="P299" s="76">
        <f t="shared" si="231"/>
        <v>996750</v>
      </c>
      <c r="Q299" s="76">
        <f t="shared" si="231"/>
        <v>1012750</v>
      </c>
      <c r="R299" s="76">
        <f t="shared" si="231"/>
        <v>0</v>
      </c>
      <c r="S299" s="76">
        <f t="shared" si="231"/>
        <v>0</v>
      </c>
      <c r="T299" s="76">
        <f t="shared" si="231"/>
        <v>0</v>
      </c>
      <c r="U299" s="76">
        <f t="shared" si="231"/>
        <v>0</v>
      </c>
      <c r="V299" s="76">
        <f t="shared" si="231"/>
        <v>0</v>
      </c>
      <c r="W299" s="76">
        <f t="shared" si="231"/>
        <v>0</v>
      </c>
      <c r="X299" s="76">
        <f t="shared" si="231"/>
        <v>0</v>
      </c>
      <c r="Y299" s="76">
        <f t="shared" si="231"/>
        <v>0</v>
      </c>
      <c r="Z299" s="76">
        <f t="shared" si="231"/>
        <v>0</v>
      </c>
      <c r="AA299" s="76">
        <f t="shared" si="231"/>
        <v>0</v>
      </c>
      <c r="AB299" s="76">
        <f t="shared" si="231"/>
        <v>0</v>
      </c>
      <c r="AC299" s="76">
        <f t="shared" si="231"/>
        <v>0</v>
      </c>
      <c r="AD299" s="76">
        <f t="shared" si="231"/>
        <v>0</v>
      </c>
      <c r="AE299" s="76">
        <f t="shared" si="231"/>
        <v>0</v>
      </c>
      <c r="AF299" s="76">
        <f t="shared" si="231"/>
        <v>0</v>
      </c>
      <c r="AG299" s="76">
        <f t="shared" si="231"/>
        <v>0</v>
      </c>
      <c r="AH299" s="76">
        <f t="shared" si="231"/>
        <v>0</v>
      </c>
      <c r="AI299" s="76">
        <f t="shared" si="231"/>
        <v>0</v>
      </c>
      <c r="AJ299" s="76">
        <f t="shared" si="231"/>
        <v>0</v>
      </c>
      <c r="AK299" s="76">
        <f t="shared" si="231"/>
        <v>0</v>
      </c>
      <c r="AL299" s="76">
        <f t="shared" si="231"/>
        <v>0</v>
      </c>
    </row>
    <row r="300" ht="12.75" customHeight="1" outlineLevel="1">
      <c r="A300" s="90"/>
      <c r="B300" s="90"/>
      <c r="C300" s="67"/>
      <c r="D300" s="67"/>
      <c r="E300" s="90"/>
      <c r="F300" s="90"/>
      <c r="G300" s="90"/>
      <c r="H300" s="90"/>
      <c r="I300" s="90"/>
      <c r="J300" s="90"/>
      <c r="K300" s="90"/>
      <c r="L300" s="90"/>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90"/>
      <c r="AR300" s="142"/>
      <c r="AS300" s="142"/>
      <c r="AT300" s="142"/>
      <c r="AU300" s="142"/>
      <c r="AV300" s="142"/>
    </row>
    <row r="301" ht="12.75" customHeight="1" outlineLevel="1">
      <c r="A301" s="90"/>
      <c r="B301" s="90"/>
      <c r="C301" s="67"/>
      <c r="D301" s="67" t="s">
        <v>445</v>
      </c>
      <c r="E301" s="90"/>
      <c r="F301" s="90"/>
      <c r="G301" s="90" t="s">
        <v>124</v>
      </c>
      <c r="H301" s="90"/>
      <c r="I301" s="90"/>
      <c r="J301" s="90"/>
      <c r="K301" s="90"/>
      <c r="L301" s="90"/>
      <c r="M301" s="196">
        <f>SUM('National Staffing'!K95:K97)</f>
        <v>3</v>
      </c>
      <c r="N301" s="196">
        <f>SUM('National Staffing'!L95:L97)</f>
        <v>3</v>
      </c>
      <c r="O301" s="196">
        <f>SUM('National Staffing'!M95:M97)</f>
        <v>3</v>
      </c>
      <c r="P301" s="196">
        <f>SUM('National Staffing'!N95:N97)</f>
        <v>3</v>
      </c>
      <c r="Q301" s="196">
        <f>SUM('National Staffing'!O95:O97)</f>
        <v>3</v>
      </c>
      <c r="R301" s="196">
        <f>SUM('National Staffing'!P95:P97)</f>
        <v>3</v>
      </c>
      <c r="S301" s="196">
        <f>SUM('National Staffing'!Q95:Q97)</f>
        <v>4</v>
      </c>
      <c r="T301" s="196">
        <f>SUM('National Staffing'!R95:R97)</f>
        <v>5</v>
      </c>
      <c r="U301" s="196">
        <f>SUM('National Staffing'!S95:S97)</f>
        <v>7</v>
      </c>
      <c r="V301" s="196">
        <f>SUM('National Staffing'!T95:T97)</f>
        <v>11</v>
      </c>
      <c r="W301" s="196">
        <f>SUM('National Staffing'!U95:U97)</f>
        <v>15</v>
      </c>
      <c r="X301" s="196">
        <f>SUM('National Staffing'!V95:V97)</f>
        <v>16</v>
      </c>
      <c r="Y301" s="196">
        <f>SUM('National Staffing'!W95:W97)</f>
        <v>17</v>
      </c>
      <c r="Z301" s="196">
        <f>SUM('National Staffing'!X95:X97)</f>
        <v>20</v>
      </c>
      <c r="AA301" s="196">
        <f>SUM('National Staffing'!Y95:Y97)</f>
        <v>23</v>
      </c>
      <c r="AB301" s="196">
        <f>SUM('National Staffing'!Z95:Z97)</f>
        <v>25</v>
      </c>
      <c r="AC301" s="196">
        <f>SUM('National Staffing'!AA95:AA97)</f>
        <v>29</v>
      </c>
      <c r="AD301" s="196">
        <f>SUM('National Staffing'!AB95:AB97)</f>
        <v>33</v>
      </c>
      <c r="AE301" s="196">
        <f>SUM('National Staffing'!AC95:AC97)</f>
        <v>36</v>
      </c>
      <c r="AF301" s="196">
        <f>SUM('National Staffing'!AD95:AD97)</f>
        <v>40</v>
      </c>
      <c r="AG301" s="196">
        <f>SUM('National Staffing'!AE95:AE97)</f>
        <v>40</v>
      </c>
      <c r="AH301" s="196">
        <f>SUM('National Staffing'!AF95:AF97)</f>
        <v>40</v>
      </c>
      <c r="AI301" s="196">
        <f>SUM('National Staffing'!AG95:AG97)</f>
        <v>40</v>
      </c>
      <c r="AJ301" s="196">
        <f>SUM('National Staffing'!AH95:AH97)</f>
        <v>40</v>
      </c>
      <c r="AK301" s="196">
        <f>SUM('National Staffing'!AI95:AI97)</f>
        <v>40</v>
      </c>
      <c r="AL301" s="196">
        <f>SUM('National Staffing'!AJ95:AJ97)</f>
        <v>40</v>
      </c>
      <c r="AM301" s="115"/>
      <c r="AN301" s="115"/>
      <c r="AO301" s="115"/>
      <c r="AP301" s="115"/>
      <c r="AQ301" s="90"/>
      <c r="AR301" s="142"/>
      <c r="AS301" s="142"/>
      <c r="AT301" s="142"/>
      <c r="AU301" s="142"/>
      <c r="AV301" s="142"/>
    </row>
    <row r="302" ht="12.75" customHeight="1" outlineLevel="1">
      <c r="A302" s="90"/>
      <c r="B302" s="90"/>
      <c r="C302" s="67"/>
      <c r="D302" s="67"/>
      <c r="E302" s="90" t="s">
        <v>446</v>
      </c>
      <c r="F302" s="90"/>
      <c r="G302" s="230">
        <v>1500.0</v>
      </c>
      <c r="H302" s="90" t="s">
        <v>352</v>
      </c>
      <c r="I302" s="90"/>
      <c r="J302" s="90"/>
      <c r="K302" s="90"/>
      <c r="L302" s="90"/>
      <c r="M302" s="93">
        <f t="shared" ref="M302:AL302" si="232">$G302*M$6*M$28</f>
        <v>4500</v>
      </c>
      <c r="N302" s="93">
        <f t="shared" si="232"/>
        <v>7500</v>
      </c>
      <c r="O302" s="93">
        <f t="shared" si="232"/>
        <v>12000</v>
      </c>
      <c r="P302" s="93">
        <f t="shared" si="232"/>
        <v>19500</v>
      </c>
      <c r="Q302" s="93">
        <f t="shared" si="232"/>
        <v>31500</v>
      </c>
      <c r="R302" s="93">
        <f t="shared" si="232"/>
        <v>52020</v>
      </c>
      <c r="S302" s="93">
        <f t="shared" si="232"/>
        <v>87393.6</v>
      </c>
      <c r="T302" s="93">
        <f t="shared" si="232"/>
        <v>143263.08</v>
      </c>
      <c r="U302" s="93">
        <f t="shared" si="232"/>
        <v>219192.5124</v>
      </c>
      <c r="V302" s="93">
        <f t="shared" si="232"/>
        <v>298101.8169</v>
      </c>
      <c r="W302" s="93">
        <f t="shared" si="232"/>
        <v>415553.9327</v>
      </c>
      <c r="X302" s="93">
        <f t="shared" si="232"/>
        <v>561707.2915</v>
      </c>
      <c r="Y302" s="93">
        <f t="shared" si="232"/>
        <v>822504.8855</v>
      </c>
      <c r="Z302" s="93">
        <f t="shared" si="232"/>
        <v>1184934.282</v>
      </c>
      <c r="AA302" s="93">
        <f t="shared" si="232"/>
        <v>1651127.942</v>
      </c>
      <c r="AB302" s="93">
        <f t="shared" si="232"/>
        <v>2193312.28</v>
      </c>
      <c r="AC302" s="93">
        <f t="shared" si="232"/>
        <v>2853544.038</v>
      </c>
      <c r="AD302" s="93">
        <f t="shared" si="232"/>
        <v>3589758.4</v>
      </c>
      <c r="AE302" s="93">
        <f t="shared" si="232"/>
        <v>4344383.827</v>
      </c>
      <c r="AF302" s="93">
        <f t="shared" si="232"/>
        <v>4980385.786</v>
      </c>
      <c r="AG302" s="93">
        <f t="shared" si="232"/>
        <v>5147946.394</v>
      </c>
      <c r="AH302" s="93">
        <f t="shared" si="232"/>
        <v>5250905.322</v>
      </c>
      <c r="AI302" s="93">
        <f t="shared" si="232"/>
        <v>5355923.428</v>
      </c>
      <c r="AJ302" s="93">
        <f t="shared" si="232"/>
        <v>5463041.897</v>
      </c>
      <c r="AK302" s="93">
        <f t="shared" si="232"/>
        <v>5572302.735</v>
      </c>
      <c r="AL302" s="93">
        <f t="shared" si="232"/>
        <v>5683748.79</v>
      </c>
      <c r="AM302" s="115"/>
      <c r="AN302" s="115"/>
      <c r="AO302" s="115"/>
      <c r="AP302" s="115"/>
      <c r="AQ302" s="90"/>
      <c r="AR302" s="142"/>
      <c r="AS302" s="142"/>
      <c r="AT302" s="142"/>
      <c r="AU302" s="142"/>
      <c r="AV302" s="142"/>
    </row>
    <row r="303" ht="12.75" customHeight="1" outlineLevel="1">
      <c r="A303" s="90"/>
      <c r="B303" s="90"/>
      <c r="C303" s="67"/>
      <c r="D303" s="67" t="s">
        <v>447</v>
      </c>
      <c r="E303" s="90"/>
      <c r="F303" s="90"/>
      <c r="G303" s="90"/>
      <c r="H303" s="90"/>
      <c r="I303" s="90"/>
      <c r="J303" s="90"/>
      <c r="K303" s="90"/>
      <c r="L303" s="90"/>
      <c r="M303" s="115">
        <f t="shared" ref="M303:AL303" si="233">SUM(M302)</f>
        <v>4500</v>
      </c>
      <c r="N303" s="115">
        <f t="shared" si="233"/>
        <v>7500</v>
      </c>
      <c r="O303" s="115">
        <f t="shared" si="233"/>
        <v>12000</v>
      </c>
      <c r="P303" s="115">
        <f t="shared" si="233"/>
        <v>19500</v>
      </c>
      <c r="Q303" s="115">
        <f t="shared" si="233"/>
        <v>31500</v>
      </c>
      <c r="R303" s="115">
        <f t="shared" si="233"/>
        <v>52020</v>
      </c>
      <c r="S303" s="115">
        <f t="shared" si="233"/>
        <v>87393.6</v>
      </c>
      <c r="T303" s="115">
        <f t="shared" si="233"/>
        <v>143263.08</v>
      </c>
      <c r="U303" s="115">
        <f t="shared" si="233"/>
        <v>219192.5124</v>
      </c>
      <c r="V303" s="115">
        <f t="shared" si="233"/>
        <v>298101.8169</v>
      </c>
      <c r="W303" s="115">
        <f t="shared" si="233"/>
        <v>415553.9327</v>
      </c>
      <c r="X303" s="115">
        <f t="shared" si="233"/>
        <v>561707.2915</v>
      </c>
      <c r="Y303" s="115">
        <f t="shared" si="233"/>
        <v>822504.8855</v>
      </c>
      <c r="Z303" s="115">
        <f t="shared" si="233"/>
        <v>1184934.282</v>
      </c>
      <c r="AA303" s="115">
        <f t="shared" si="233"/>
        <v>1651127.942</v>
      </c>
      <c r="AB303" s="115">
        <f t="shared" si="233"/>
        <v>2193312.28</v>
      </c>
      <c r="AC303" s="115">
        <f t="shared" si="233"/>
        <v>2853544.038</v>
      </c>
      <c r="AD303" s="115">
        <f t="shared" si="233"/>
        <v>3589758.4</v>
      </c>
      <c r="AE303" s="115">
        <f t="shared" si="233"/>
        <v>4344383.827</v>
      </c>
      <c r="AF303" s="115">
        <f t="shared" si="233"/>
        <v>4980385.786</v>
      </c>
      <c r="AG303" s="115">
        <f t="shared" si="233"/>
        <v>5147946.394</v>
      </c>
      <c r="AH303" s="115">
        <f t="shared" si="233"/>
        <v>5250905.322</v>
      </c>
      <c r="AI303" s="115">
        <f t="shared" si="233"/>
        <v>5355923.428</v>
      </c>
      <c r="AJ303" s="115">
        <f t="shared" si="233"/>
        <v>5463041.897</v>
      </c>
      <c r="AK303" s="115">
        <f t="shared" si="233"/>
        <v>5572302.735</v>
      </c>
      <c r="AL303" s="115">
        <f t="shared" si="233"/>
        <v>5683748.79</v>
      </c>
      <c r="AM303" s="115"/>
      <c r="AN303" s="115"/>
      <c r="AO303" s="115"/>
      <c r="AP303" s="115"/>
      <c r="AQ303" s="90"/>
      <c r="AR303" s="142"/>
      <c r="AS303" s="142"/>
      <c r="AT303" s="142"/>
      <c r="AU303" s="142"/>
      <c r="AV303" s="142"/>
    </row>
    <row r="304" ht="12.75" customHeight="1" outlineLevel="1">
      <c r="A304" s="67"/>
      <c r="B304" s="67"/>
      <c r="C304" s="67"/>
      <c r="D304" s="67"/>
      <c r="E304" s="90"/>
      <c r="F304" s="67"/>
      <c r="G304" s="65"/>
      <c r="H304" s="65"/>
      <c r="I304" s="65"/>
      <c r="J304" s="67"/>
      <c r="K304" s="67"/>
      <c r="L304" s="67"/>
      <c r="M304" s="93"/>
      <c r="N304" s="93"/>
      <c r="O304" s="93"/>
      <c r="P304" s="93"/>
      <c r="Q304" s="93"/>
      <c r="R304" s="93"/>
      <c r="S304" s="93"/>
      <c r="T304" s="93"/>
      <c r="U304" s="93"/>
      <c r="V304" s="93"/>
      <c r="W304" s="93"/>
      <c r="X304" s="93"/>
      <c r="Y304" s="93"/>
      <c r="Z304" s="93"/>
      <c r="AA304" s="93"/>
      <c r="AB304" s="93"/>
      <c r="AC304" s="93"/>
      <c r="AD304" s="93"/>
      <c r="AE304" s="93"/>
      <c r="AF304" s="93"/>
      <c r="AG304" s="93"/>
      <c r="AH304" s="93"/>
      <c r="AI304" s="93"/>
      <c r="AJ304" s="93"/>
      <c r="AK304" s="93"/>
      <c r="AL304" s="93"/>
      <c r="AM304" s="93"/>
      <c r="AN304" s="93"/>
      <c r="AO304" s="93"/>
      <c r="AP304" s="93"/>
      <c r="AQ304" s="90"/>
      <c r="AR304" s="67"/>
      <c r="AS304" s="67"/>
      <c r="AT304" s="67"/>
      <c r="AU304" s="67"/>
      <c r="AV304" s="67"/>
    </row>
    <row r="305" ht="12.75" customHeight="1" outlineLevel="1">
      <c r="A305" s="67"/>
      <c r="B305" s="67"/>
      <c r="C305" s="248">
        <f>B17</f>
        <v>0.005</v>
      </c>
      <c r="D305" s="67" t="s">
        <v>448</v>
      </c>
      <c r="E305" s="67"/>
      <c r="F305" s="67"/>
      <c r="G305" s="67"/>
      <c r="H305" s="67"/>
      <c r="I305" s="67"/>
      <c r="J305" s="67"/>
      <c r="K305" s="67"/>
      <c r="L305" s="67"/>
      <c r="M305" s="115">
        <v>0.0</v>
      </c>
      <c r="N305" s="115">
        <v>0.0</v>
      </c>
      <c r="O305" s="115">
        <v>0.0</v>
      </c>
      <c r="P305" s="115">
        <v>0.0</v>
      </c>
      <c r="Q305" s="115">
        <v>0.0</v>
      </c>
      <c r="R305" s="115">
        <v>200000.0</v>
      </c>
      <c r="S305" s="115">
        <f t="shared" ref="S305:AP305" si="234">R305*S28/R28</f>
        <v>204000</v>
      </c>
      <c r="T305" s="115">
        <f t="shared" si="234"/>
        <v>208080</v>
      </c>
      <c r="U305" s="115">
        <f t="shared" si="234"/>
        <v>212241.6</v>
      </c>
      <c r="V305" s="115">
        <f t="shared" si="234"/>
        <v>216486.432</v>
      </c>
      <c r="W305" s="115">
        <f t="shared" si="234"/>
        <v>220816.1606</v>
      </c>
      <c r="X305" s="115">
        <f t="shared" si="234"/>
        <v>225232.4839</v>
      </c>
      <c r="Y305" s="115">
        <f t="shared" si="234"/>
        <v>229737.1335</v>
      </c>
      <c r="Z305" s="115">
        <f t="shared" si="234"/>
        <v>234331.8762</v>
      </c>
      <c r="AA305" s="115">
        <f t="shared" si="234"/>
        <v>239018.5137</v>
      </c>
      <c r="AB305" s="115">
        <f t="shared" si="234"/>
        <v>243798.884</v>
      </c>
      <c r="AC305" s="115">
        <f t="shared" si="234"/>
        <v>248674.8617</v>
      </c>
      <c r="AD305" s="115">
        <f t="shared" si="234"/>
        <v>253648.3589</v>
      </c>
      <c r="AE305" s="115">
        <f t="shared" si="234"/>
        <v>258721.3261</v>
      </c>
      <c r="AF305" s="115">
        <f t="shared" si="234"/>
        <v>263895.7526</v>
      </c>
      <c r="AG305" s="115">
        <f t="shared" si="234"/>
        <v>269173.6677</v>
      </c>
      <c r="AH305" s="115">
        <f t="shared" si="234"/>
        <v>274557.141</v>
      </c>
      <c r="AI305" s="115">
        <f t="shared" si="234"/>
        <v>280048.2838</v>
      </c>
      <c r="AJ305" s="115">
        <f t="shared" si="234"/>
        <v>285649.2495</v>
      </c>
      <c r="AK305" s="115">
        <f t="shared" si="234"/>
        <v>291362.2345</v>
      </c>
      <c r="AL305" s="115">
        <f t="shared" si="234"/>
        <v>297189.4792</v>
      </c>
      <c r="AM305" s="115">
        <f t="shared" si="234"/>
        <v>303133.2688</v>
      </c>
      <c r="AN305" s="115">
        <f t="shared" si="234"/>
        <v>309195.9342</v>
      </c>
      <c r="AO305" s="115">
        <f t="shared" si="234"/>
        <v>315379.8528</v>
      </c>
      <c r="AP305" s="115">
        <f t="shared" si="234"/>
        <v>321687.4499</v>
      </c>
      <c r="AQ305" s="67"/>
      <c r="AR305" s="67"/>
      <c r="AS305" s="67"/>
      <c r="AT305" s="67"/>
      <c r="AU305" s="67"/>
      <c r="AV305" s="67"/>
    </row>
    <row r="306" ht="12.75" customHeight="1" outlineLevel="1">
      <c r="A306" s="67"/>
      <c r="B306" s="67"/>
      <c r="C306" s="67"/>
      <c r="D306" s="67"/>
      <c r="E306" s="67"/>
      <c r="F306" s="67"/>
      <c r="G306" s="67"/>
      <c r="H306" s="67"/>
      <c r="I306" s="67"/>
      <c r="J306" s="67"/>
      <c r="K306" s="67"/>
      <c r="L306" s="67"/>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67"/>
      <c r="AR306" s="67"/>
      <c r="AS306" s="67"/>
      <c r="AT306" s="67"/>
      <c r="AU306" s="67"/>
      <c r="AV306" s="67"/>
    </row>
    <row r="307" ht="12.75" customHeight="1" outlineLevel="1">
      <c r="A307" s="90"/>
      <c r="C307" s="67" t="s">
        <v>449</v>
      </c>
      <c r="E307" s="90"/>
      <c r="M307" s="115">
        <f t="shared" ref="M307:AL307" si="235">M305+M303+M299</f>
        <v>981250</v>
      </c>
      <c r="N307" s="115">
        <f t="shared" si="235"/>
        <v>988250</v>
      </c>
      <c r="O307" s="115">
        <f t="shared" si="235"/>
        <v>998750</v>
      </c>
      <c r="P307" s="115">
        <f t="shared" si="235"/>
        <v>1016250</v>
      </c>
      <c r="Q307" s="115">
        <f t="shared" si="235"/>
        <v>1044250</v>
      </c>
      <c r="R307" s="115">
        <f t="shared" si="235"/>
        <v>252020</v>
      </c>
      <c r="S307" s="115">
        <f t="shared" si="235"/>
        <v>291393.6</v>
      </c>
      <c r="T307" s="115">
        <f t="shared" si="235"/>
        <v>351343.08</v>
      </c>
      <c r="U307" s="115">
        <f t="shared" si="235"/>
        <v>431434.1124</v>
      </c>
      <c r="V307" s="115">
        <f t="shared" si="235"/>
        <v>514588.2489</v>
      </c>
      <c r="W307" s="115">
        <f t="shared" si="235"/>
        <v>636370.0933</v>
      </c>
      <c r="X307" s="115">
        <f t="shared" si="235"/>
        <v>786939.7753</v>
      </c>
      <c r="Y307" s="115">
        <f t="shared" si="235"/>
        <v>1052242.019</v>
      </c>
      <c r="Z307" s="115">
        <f t="shared" si="235"/>
        <v>1419266.158</v>
      </c>
      <c r="AA307" s="115">
        <f t="shared" si="235"/>
        <v>1890146.456</v>
      </c>
      <c r="AB307" s="115">
        <f t="shared" si="235"/>
        <v>2437111.164</v>
      </c>
      <c r="AC307" s="115">
        <f t="shared" si="235"/>
        <v>3102218.899</v>
      </c>
      <c r="AD307" s="115">
        <f t="shared" si="235"/>
        <v>3843406.758</v>
      </c>
      <c r="AE307" s="115">
        <f t="shared" si="235"/>
        <v>4603105.153</v>
      </c>
      <c r="AF307" s="115">
        <f t="shared" si="235"/>
        <v>5244281.539</v>
      </c>
      <c r="AG307" s="115">
        <f t="shared" si="235"/>
        <v>5417120.062</v>
      </c>
      <c r="AH307" s="115">
        <f t="shared" si="235"/>
        <v>5525462.463</v>
      </c>
      <c r="AI307" s="115">
        <f t="shared" si="235"/>
        <v>5635971.712</v>
      </c>
      <c r="AJ307" s="115">
        <f t="shared" si="235"/>
        <v>5748691.146</v>
      </c>
      <c r="AK307" s="115">
        <f t="shared" si="235"/>
        <v>5863664.969</v>
      </c>
      <c r="AL307" s="115">
        <f t="shared" si="235"/>
        <v>5980938.269</v>
      </c>
      <c r="AM307" s="115" t="str">
        <f t="shared" ref="AM307:AP307" si="236">AM305+#REF!+AM299+AM289</f>
        <v>#REF!</v>
      </c>
      <c r="AN307" s="115" t="str">
        <f t="shared" si="236"/>
        <v>#REF!</v>
      </c>
      <c r="AO307" s="115" t="str">
        <f t="shared" si="236"/>
        <v>#REF!</v>
      </c>
      <c r="AP307" s="115" t="str">
        <f t="shared" si="236"/>
        <v>#REF!</v>
      </c>
    </row>
    <row r="308" ht="12.75" customHeight="1" outlineLevel="1">
      <c r="A308" s="90"/>
      <c r="C308" s="67"/>
      <c r="E308" s="90"/>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row>
    <row r="309" ht="12.75" customHeight="1" outlineLevel="1">
      <c r="A309" s="90"/>
      <c r="C309" s="67" t="s">
        <v>450</v>
      </c>
      <c r="E309" s="90"/>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row>
    <row r="310" ht="12.75" customHeight="1" outlineLevel="1">
      <c r="A310" s="90"/>
      <c r="C310" s="67"/>
      <c r="D310" s="66" t="s">
        <v>451</v>
      </c>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row>
    <row r="311" ht="12.75" customHeight="1" outlineLevel="1">
      <c r="A311" s="90"/>
      <c r="C311" s="67"/>
      <c r="E311" s="90" t="s">
        <v>452</v>
      </c>
      <c r="G311" s="249">
        <f>'Region office'!B43</f>
        <v>2000</v>
      </c>
      <c r="H311" s="68" t="s">
        <v>453</v>
      </c>
      <c r="M311" s="93"/>
      <c r="N311" s="93"/>
      <c r="O311" s="93">
        <f>$G311*SUM('National Staffing'!M$123:M$139)*O$28</f>
        <v>14000</v>
      </c>
      <c r="P311" s="93">
        <f>$G311*SUM('National Staffing'!N$123:N$139)*P$28</f>
        <v>28000</v>
      </c>
      <c r="Q311" s="93">
        <f>$G311*SUM('National Staffing'!O$123:O$139)*Q$28</f>
        <v>42000</v>
      </c>
      <c r="R311" s="93">
        <f>$G311*SUM('National Staffing'!P$123:P$139)*R$28</f>
        <v>59160</v>
      </c>
      <c r="S311" s="93">
        <f>$G311*SUM('National Staffing'!Q$123:Q$139)*S$28</f>
        <v>79070.4</v>
      </c>
      <c r="T311" s="93">
        <f>$G311*SUM('National Staffing'!R$123:R$139)*T$28</f>
        <v>116732.88</v>
      </c>
      <c r="U311" s="93">
        <f>$G311*SUM('National Staffing'!S$123:S$139)*U$28</f>
        <v>151540.5024</v>
      </c>
      <c r="V311" s="93">
        <f>$G311*SUM('National Staffing'!T$123:T$139)*V$28</f>
        <v>161195.7973</v>
      </c>
      <c r="W311" s="93">
        <f>$G311*SUM('National Staffing'!U$123:U$139)*W$28</f>
        <v>164419.7132</v>
      </c>
      <c r="X311" s="93">
        <f>$G311*SUM('National Staffing'!V$123:V$139)*X$28</f>
        <v>167708.1075</v>
      </c>
      <c r="Y311" s="93">
        <f>$G311*SUM('National Staffing'!W$123:W$139)*Y$28</f>
        <v>171062.2696</v>
      </c>
      <c r="Z311" s="93">
        <f>$G311*SUM('National Staffing'!X$123:X$139)*Z$28</f>
        <v>174483.515</v>
      </c>
      <c r="AA311" s="93">
        <f>$G311*SUM('National Staffing'!Y$123:Y$139)*AA$28</f>
        <v>177973.1853</v>
      </c>
      <c r="AB311" s="93">
        <f>$G311*SUM('National Staffing'!Z$123:Z$139)*AB$28</f>
        <v>181532.649</v>
      </c>
      <c r="AC311" s="93">
        <f>$G311*SUM('National Staffing'!AA$123:AA$139)*AC$28</f>
        <v>185163.302</v>
      </c>
      <c r="AD311" s="93">
        <f>$G311*SUM('National Staffing'!AB$123:AB$139)*AD$28</f>
        <v>188866.568</v>
      </c>
      <c r="AE311" s="93">
        <f>$G311*SUM('National Staffing'!AC$123:AC$139)*AE$28</f>
        <v>192643.8994</v>
      </c>
      <c r="AF311" s="93">
        <f>$G311*SUM('National Staffing'!AD$123:AD$139)*AF$28</f>
        <v>196496.7774</v>
      </c>
      <c r="AG311" s="93">
        <f>$G311*SUM('National Staffing'!AE$123:AE$139)*AG$28</f>
        <v>200426.7129</v>
      </c>
      <c r="AH311" s="93">
        <f>$G311*SUM('National Staffing'!AF$123:AF$139)*AH$28</f>
        <v>204435.2472</v>
      </c>
      <c r="AI311" s="93">
        <f>$G311*SUM('National Staffing'!AG$123:AG$139)*AI$28</f>
        <v>208523.9521</v>
      </c>
      <c r="AJ311" s="93">
        <f>$G311*SUM('National Staffing'!AH$123:AH$139)*AJ$28</f>
        <v>212694.4312</v>
      </c>
      <c r="AK311" s="93">
        <f>$G311*SUM('National Staffing'!AI$123:AI$139)*AK$28</f>
        <v>216948.3198</v>
      </c>
      <c r="AL311" s="93">
        <f>$G311*SUM('National Staffing'!AJ$123:AJ$139)*AL$28</f>
        <v>221287.2862</v>
      </c>
      <c r="AM311" s="115"/>
      <c r="AN311" s="115"/>
      <c r="AO311" s="115"/>
      <c r="AP311" s="115"/>
    </row>
    <row r="312" ht="12.75" customHeight="1" outlineLevel="1">
      <c r="A312" s="90"/>
      <c r="C312" s="67"/>
      <c r="E312" s="90" t="s">
        <v>247</v>
      </c>
      <c r="G312" s="249">
        <f>'Region office'!B44</f>
        <v>2500</v>
      </c>
      <c r="H312" s="68" t="s">
        <v>454</v>
      </c>
      <c r="M312" s="93"/>
      <c r="N312" s="93"/>
      <c r="O312" s="93">
        <f>$G312*(SUM('National Staffing'!M123:M139)-SUM('National Staffing'!L123:L139))*O28</f>
        <v>10000</v>
      </c>
      <c r="P312" s="93">
        <f>$G312*(SUM('National Staffing'!N123:N139)-SUM('National Staffing'!M123:M139))*P28</f>
        <v>17500</v>
      </c>
      <c r="Q312" s="93">
        <f>$G312*(SUM('National Staffing'!O123:O139)-SUM('National Staffing'!N123:N139))*Q28</f>
        <v>17500</v>
      </c>
      <c r="R312" s="93">
        <f>$G312*(SUM('National Staffing'!P123:P139)-SUM('National Staffing'!O123:O139))*R28</f>
        <v>20400</v>
      </c>
      <c r="S312" s="93">
        <f>$G312*(SUM('National Staffing'!Q123:Q139)-SUM('National Staffing'!P123:P139))*S28</f>
        <v>23409</v>
      </c>
      <c r="T312" s="93">
        <f>$G312*(SUM('National Staffing'!R123:R139)-SUM('National Staffing'!Q123:Q139))*T28</f>
        <v>45101.34</v>
      </c>
      <c r="U312" s="93">
        <f>$G312*(SUM('National Staffing'!S123:S139)-SUM('National Staffing'!R123:R139))*U28</f>
        <v>40591.206</v>
      </c>
      <c r="V312" s="93">
        <f>$G312*(SUM('National Staffing'!T123:T139)-SUM('National Staffing'!S123:S139))*V28</f>
        <v>8280.606024</v>
      </c>
      <c r="W312" s="93">
        <f>$G312*(SUM('National Staffing'!U123:U139)-SUM('National Staffing'!T123:T139))*W28</f>
        <v>0</v>
      </c>
      <c r="X312" s="93">
        <f>$G312*(SUM('National Staffing'!V123:V139)-SUM('National Staffing'!U123:U139))*X28</f>
        <v>0</v>
      </c>
      <c r="Y312" s="93">
        <f>$G312*(SUM('National Staffing'!W123:W139)-SUM('National Staffing'!V123:V139))*Y28</f>
        <v>0</v>
      </c>
      <c r="Z312" s="93">
        <f>$G312*(SUM('National Staffing'!X123:X139)-SUM('National Staffing'!W123:W139))*Z28</f>
        <v>0</v>
      </c>
      <c r="AA312" s="93">
        <f>$G312*(SUM('National Staffing'!Y123:Y139)-SUM('National Staffing'!X123:X139))*AA28</f>
        <v>0</v>
      </c>
      <c r="AB312" s="93">
        <f>$G312*(SUM('National Staffing'!Z123:Z139)-SUM('National Staffing'!Y123:Y139))*AB28</f>
        <v>0</v>
      </c>
      <c r="AC312" s="93">
        <f>$G312*(SUM('National Staffing'!AA123:AA139)-SUM('National Staffing'!Z123:Z139))*AC28</f>
        <v>0</v>
      </c>
      <c r="AD312" s="93">
        <f>$G312*(SUM('National Staffing'!AB123:AB139)-SUM('National Staffing'!AA123:AA139))*AD28</f>
        <v>0</v>
      </c>
      <c r="AE312" s="93">
        <f>$G312*(SUM('National Staffing'!AC123:AC139)-SUM('National Staffing'!AB123:AB139))*AE28</f>
        <v>0</v>
      </c>
      <c r="AF312" s="93">
        <f>$G312*(SUM('National Staffing'!AD123:AD139)-SUM('National Staffing'!AC123:AC139))*AF28</f>
        <v>0</v>
      </c>
      <c r="AG312" s="93">
        <f>$G312*(SUM('National Staffing'!AE123:AE139)-SUM('National Staffing'!AD123:AD139))*AG28</f>
        <v>0</v>
      </c>
      <c r="AH312" s="93">
        <f>$G312*(SUM('National Staffing'!AF123:AF139)-SUM('National Staffing'!AE123:AE139))*AH28</f>
        <v>0</v>
      </c>
      <c r="AI312" s="93">
        <f>$G312*(SUM('National Staffing'!AG123:AG139)-SUM('National Staffing'!AF123:AF139))*AI28</f>
        <v>0</v>
      </c>
      <c r="AJ312" s="93">
        <f>$G312*(SUM('National Staffing'!AH123:AH139)-SUM('National Staffing'!AG123:AG139))*AJ28</f>
        <v>0</v>
      </c>
      <c r="AK312" s="93">
        <f>$G312*(SUM('National Staffing'!AI123:AI139)-SUM('National Staffing'!AH123:AH139))*AK28</f>
        <v>0</v>
      </c>
      <c r="AL312" s="93">
        <f>$G312*(SUM('National Staffing'!AJ123:AJ139)-SUM('National Staffing'!AI123:AI139))*AL28</f>
        <v>0</v>
      </c>
      <c r="AM312" s="115"/>
      <c r="AN312" s="115"/>
      <c r="AO312" s="115"/>
      <c r="AP312" s="115"/>
    </row>
    <row r="313" ht="12.75" customHeight="1" outlineLevel="1">
      <c r="A313" s="90"/>
      <c r="C313" s="67"/>
      <c r="E313" s="87" t="s">
        <v>247</v>
      </c>
      <c r="F313" s="87"/>
      <c r="G313" s="250">
        <f>'Region office'!B45</f>
        <v>500</v>
      </c>
      <c r="H313" s="87" t="s">
        <v>387</v>
      </c>
      <c r="I313" s="87"/>
      <c r="J313" s="87"/>
      <c r="K313" s="87"/>
      <c r="L313" s="87"/>
      <c r="M313" s="119"/>
      <c r="N313" s="119"/>
      <c r="O313" s="119">
        <f>$G313*SUM('National Staffing'!M$123:M$139)*O$28</f>
        <v>3500</v>
      </c>
      <c r="P313" s="119">
        <f>$G313*SUM('National Staffing'!N$123:N$139)*P$28</f>
        <v>7000</v>
      </c>
      <c r="Q313" s="119">
        <f>$G313*SUM('National Staffing'!O$123:O$139)*Q$28</f>
        <v>10500</v>
      </c>
      <c r="R313" s="119">
        <f>$G313*SUM('National Staffing'!P$123:P$139)*R$28</f>
        <v>14790</v>
      </c>
      <c r="S313" s="119">
        <f>$G313*SUM('National Staffing'!Q$123:Q$139)*S$28</f>
        <v>19767.6</v>
      </c>
      <c r="T313" s="119">
        <f>$G313*SUM('National Staffing'!R$123:R$139)*T$28</f>
        <v>29183.22</v>
      </c>
      <c r="U313" s="119">
        <f>$G313*SUM('National Staffing'!S$123:S$139)*U$28</f>
        <v>37885.1256</v>
      </c>
      <c r="V313" s="119">
        <f>$G313*SUM('National Staffing'!T$123:T$139)*V$28</f>
        <v>40298.94932</v>
      </c>
      <c r="W313" s="119">
        <f>$G313*SUM('National Staffing'!U$123:U$139)*W$28</f>
        <v>41104.9283</v>
      </c>
      <c r="X313" s="119">
        <f>$G313*SUM('National Staffing'!V$123:V$139)*X$28</f>
        <v>41927.02687</v>
      </c>
      <c r="Y313" s="119">
        <f>$G313*SUM('National Staffing'!W$123:W$139)*Y$28</f>
        <v>42765.56741</v>
      </c>
      <c r="Z313" s="119">
        <f>$G313*SUM('National Staffing'!X$123:X$139)*Z$28</f>
        <v>43620.87875</v>
      </c>
      <c r="AA313" s="119">
        <f>$G313*SUM('National Staffing'!Y$123:Y$139)*AA$28</f>
        <v>44493.29633</v>
      </c>
      <c r="AB313" s="119">
        <f>$G313*SUM('National Staffing'!Z$123:Z$139)*AB$28</f>
        <v>45383.16226</v>
      </c>
      <c r="AC313" s="119">
        <f>$G313*SUM('National Staffing'!AA$123:AA$139)*AC$28</f>
        <v>46290.8255</v>
      </c>
      <c r="AD313" s="119">
        <f>$G313*SUM('National Staffing'!AB$123:AB$139)*AD$28</f>
        <v>47216.64201</v>
      </c>
      <c r="AE313" s="119">
        <f>$G313*SUM('National Staffing'!AC$123:AC$139)*AE$28</f>
        <v>48160.97485</v>
      </c>
      <c r="AF313" s="119">
        <f>$G313*SUM('National Staffing'!AD$123:AD$139)*AF$28</f>
        <v>49124.19435</v>
      </c>
      <c r="AG313" s="119">
        <f>$G313*SUM('National Staffing'!AE$123:AE$139)*AG$28</f>
        <v>50106.67824</v>
      </c>
      <c r="AH313" s="119">
        <f>$G313*SUM('National Staffing'!AF$123:AF$139)*AH$28</f>
        <v>51108.8118</v>
      </c>
      <c r="AI313" s="119">
        <f>$G313*SUM('National Staffing'!AG$123:AG$139)*AI$28</f>
        <v>52130.98804</v>
      </c>
      <c r="AJ313" s="119">
        <f>$G313*SUM('National Staffing'!AH$123:AH$139)*AJ$28</f>
        <v>53173.6078</v>
      </c>
      <c r="AK313" s="119">
        <f>$G313*SUM('National Staffing'!AI$123:AI$139)*AK$28</f>
        <v>54237.07995</v>
      </c>
      <c r="AL313" s="119">
        <f>$G313*SUM('National Staffing'!AJ$123:AJ$139)*AL$28</f>
        <v>55321.82155</v>
      </c>
      <c r="AM313" s="115"/>
      <c r="AN313" s="115"/>
      <c r="AO313" s="115"/>
      <c r="AP313" s="115"/>
    </row>
    <row r="314" ht="12.75" customHeight="1" outlineLevel="1">
      <c r="A314" s="90"/>
      <c r="C314" s="67"/>
      <c r="D314" s="67" t="s">
        <v>455</v>
      </c>
      <c r="G314" s="67"/>
      <c r="M314" s="115">
        <f t="shared" ref="M314:AL314" si="237">SUM(M311:M313)</f>
        <v>0</v>
      </c>
      <c r="N314" s="115">
        <f t="shared" si="237"/>
        <v>0</v>
      </c>
      <c r="O314" s="115">
        <f t="shared" si="237"/>
        <v>27500</v>
      </c>
      <c r="P314" s="115">
        <f t="shared" si="237"/>
        <v>52500</v>
      </c>
      <c r="Q314" s="115">
        <f t="shared" si="237"/>
        <v>70000</v>
      </c>
      <c r="R314" s="115">
        <f t="shared" si="237"/>
        <v>94350</v>
      </c>
      <c r="S314" s="115">
        <f t="shared" si="237"/>
        <v>122247</v>
      </c>
      <c r="T314" s="115">
        <f t="shared" si="237"/>
        <v>191017.44</v>
      </c>
      <c r="U314" s="115">
        <f t="shared" si="237"/>
        <v>230016.834</v>
      </c>
      <c r="V314" s="115">
        <f t="shared" si="237"/>
        <v>209775.3526</v>
      </c>
      <c r="W314" s="115">
        <f t="shared" si="237"/>
        <v>205524.6415</v>
      </c>
      <c r="X314" s="115">
        <f t="shared" si="237"/>
        <v>209635.1343</v>
      </c>
      <c r="Y314" s="115">
        <f t="shared" si="237"/>
        <v>213827.837</v>
      </c>
      <c r="Z314" s="115">
        <f t="shared" si="237"/>
        <v>218104.3938</v>
      </c>
      <c r="AA314" s="115">
        <f t="shared" si="237"/>
        <v>222466.4816</v>
      </c>
      <c r="AB314" s="115">
        <f t="shared" si="237"/>
        <v>226915.8113</v>
      </c>
      <c r="AC314" s="115">
        <f t="shared" si="237"/>
        <v>231454.1275</v>
      </c>
      <c r="AD314" s="115">
        <f t="shared" si="237"/>
        <v>236083.2101</v>
      </c>
      <c r="AE314" s="115">
        <f t="shared" si="237"/>
        <v>240804.8743</v>
      </c>
      <c r="AF314" s="115">
        <f t="shared" si="237"/>
        <v>245620.9717</v>
      </c>
      <c r="AG314" s="115">
        <f t="shared" si="237"/>
        <v>250533.3912</v>
      </c>
      <c r="AH314" s="115">
        <f t="shared" si="237"/>
        <v>255544.059</v>
      </c>
      <c r="AI314" s="115">
        <f t="shared" si="237"/>
        <v>260654.9402</v>
      </c>
      <c r="AJ314" s="115">
        <f t="shared" si="237"/>
        <v>265868.039</v>
      </c>
      <c r="AK314" s="115">
        <f t="shared" si="237"/>
        <v>271185.3998</v>
      </c>
      <c r="AL314" s="115">
        <f t="shared" si="237"/>
        <v>276609.1078</v>
      </c>
      <c r="AM314" s="115"/>
      <c r="AN314" s="115"/>
      <c r="AO314" s="115"/>
      <c r="AP314" s="115"/>
    </row>
    <row r="315" ht="12.75" customHeight="1" outlineLevel="1">
      <c r="A315" s="90"/>
      <c r="C315" s="67"/>
      <c r="E315" s="90"/>
      <c r="G315" s="67"/>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row>
    <row r="316" ht="12.75" customHeight="1" outlineLevel="1">
      <c r="A316" s="90"/>
      <c r="C316" s="67"/>
      <c r="D316" s="67" t="s">
        <v>314</v>
      </c>
      <c r="G316" s="67"/>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row>
    <row r="317" ht="12.75" customHeight="1" outlineLevel="1">
      <c r="A317" s="90"/>
      <c r="C317" s="67"/>
      <c r="E317" s="90" t="s">
        <v>456</v>
      </c>
      <c r="G317" s="249">
        <f>'Region office'!B49</f>
        <v>25000</v>
      </c>
      <c r="H317" s="68" t="s">
        <v>457</v>
      </c>
      <c r="M317" s="93"/>
      <c r="N317" s="93"/>
      <c r="O317" s="93">
        <f t="shared" ref="O317:AL317" si="238">$G317*O28</f>
        <v>25000</v>
      </c>
      <c r="P317" s="93">
        <f t="shared" si="238"/>
        <v>25000</v>
      </c>
      <c r="Q317" s="93">
        <f t="shared" si="238"/>
        <v>25000</v>
      </c>
      <c r="R317" s="93">
        <f t="shared" si="238"/>
        <v>25500</v>
      </c>
      <c r="S317" s="93">
        <f t="shared" si="238"/>
        <v>26010</v>
      </c>
      <c r="T317" s="93">
        <f t="shared" si="238"/>
        <v>26530.2</v>
      </c>
      <c r="U317" s="93">
        <f t="shared" si="238"/>
        <v>27060.804</v>
      </c>
      <c r="V317" s="93">
        <f t="shared" si="238"/>
        <v>27602.02008</v>
      </c>
      <c r="W317" s="93">
        <f t="shared" si="238"/>
        <v>28154.06048</v>
      </c>
      <c r="X317" s="93">
        <f t="shared" si="238"/>
        <v>28717.14169</v>
      </c>
      <c r="Y317" s="93">
        <f t="shared" si="238"/>
        <v>29291.48453</v>
      </c>
      <c r="Z317" s="93">
        <f t="shared" si="238"/>
        <v>29877.31422</v>
      </c>
      <c r="AA317" s="93">
        <f t="shared" si="238"/>
        <v>30474.8605</v>
      </c>
      <c r="AB317" s="93">
        <f t="shared" si="238"/>
        <v>31084.35771</v>
      </c>
      <c r="AC317" s="93">
        <f t="shared" si="238"/>
        <v>31706.04486</v>
      </c>
      <c r="AD317" s="93">
        <f t="shared" si="238"/>
        <v>32340.16576</v>
      </c>
      <c r="AE317" s="93">
        <f t="shared" si="238"/>
        <v>32986.96908</v>
      </c>
      <c r="AF317" s="93">
        <f t="shared" si="238"/>
        <v>33646.70846</v>
      </c>
      <c r="AG317" s="93">
        <f t="shared" si="238"/>
        <v>34319.64263</v>
      </c>
      <c r="AH317" s="93">
        <f t="shared" si="238"/>
        <v>35006.03548</v>
      </c>
      <c r="AI317" s="93">
        <f t="shared" si="238"/>
        <v>35706.15619</v>
      </c>
      <c r="AJ317" s="93">
        <f t="shared" si="238"/>
        <v>36420.27931</v>
      </c>
      <c r="AK317" s="93">
        <f t="shared" si="238"/>
        <v>37148.6849</v>
      </c>
      <c r="AL317" s="93">
        <f t="shared" si="238"/>
        <v>37891.6586</v>
      </c>
      <c r="AM317" s="115"/>
      <c r="AN317" s="115"/>
      <c r="AO317" s="115"/>
      <c r="AP317" s="115"/>
    </row>
    <row r="318" ht="12.75" customHeight="1" outlineLevel="1">
      <c r="A318" s="90"/>
      <c r="C318" s="67"/>
      <c r="E318" s="90" t="s">
        <v>458</v>
      </c>
      <c r="G318" s="249">
        <v>2000.0</v>
      </c>
      <c r="H318" s="68" t="s">
        <v>387</v>
      </c>
      <c r="M318" s="93"/>
      <c r="N318" s="93"/>
      <c r="O318" s="93">
        <f>$G318*SUM('National Staffing'!M$123:M$139)*O$28</f>
        <v>14000</v>
      </c>
      <c r="P318" s="93">
        <f>$G318*SUM('National Staffing'!N$123:N$139)*P$28</f>
        <v>28000</v>
      </c>
      <c r="Q318" s="93">
        <f>$G318*SUM('National Staffing'!O$123:O$139)*Q$28</f>
        <v>42000</v>
      </c>
      <c r="R318" s="93">
        <f>$G318*SUM('National Staffing'!P$123:P$139)*R$28</f>
        <v>59160</v>
      </c>
      <c r="S318" s="93">
        <f>$G318*SUM('National Staffing'!Q$123:Q$139)*S$28</f>
        <v>79070.4</v>
      </c>
      <c r="T318" s="93">
        <f>$G318*SUM('National Staffing'!R$123:R$139)*T$28</f>
        <v>116732.88</v>
      </c>
      <c r="U318" s="93">
        <f>$G318*SUM('National Staffing'!S$123:S$139)*U$28</f>
        <v>151540.5024</v>
      </c>
      <c r="V318" s="93">
        <f>$G318*SUM('National Staffing'!T$123:T$139)*V$28</f>
        <v>161195.7973</v>
      </c>
      <c r="W318" s="93">
        <f>$G318*SUM('National Staffing'!U$123:U$139)*W$28</f>
        <v>164419.7132</v>
      </c>
      <c r="X318" s="93">
        <f>$G318*SUM('National Staffing'!V$123:V$139)*X$28</f>
        <v>167708.1075</v>
      </c>
      <c r="Y318" s="93">
        <f>$G318*SUM('National Staffing'!W$123:W$139)*Y$28</f>
        <v>171062.2696</v>
      </c>
      <c r="Z318" s="93">
        <f>$G318*SUM('National Staffing'!X$123:X$139)*Z$28</f>
        <v>174483.515</v>
      </c>
      <c r="AA318" s="93">
        <f>$G318*SUM('National Staffing'!Y$123:Y$139)*AA$28</f>
        <v>177973.1853</v>
      </c>
      <c r="AB318" s="93">
        <f>$G318*SUM('National Staffing'!Z$123:Z$139)*AB$28</f>
        <v>181532.649</v>
      </c>
      <c r="AC318" s="93">
        <f>$G318*SUM('National Staffing'!AA$123:AA$139)*AC$28</f>
        <v>185163.302</v>
      </c>
      <c r="AD318" s="93">
        <f>$G318*SUM('National Staffing'!AB$123:AB$139)*AD$28</f>
        <v>188866.568</v>
      </c>
      <c r="AE318" s="93">
        <f>$G318*SUM('National Staffing'!AC$123:AC$139)*AE$28</f>
        <v>192643.8994</v>
      </c>
      <c r="AF318" s="93">
        <f>$G318*SUM('National Staffing'!AD$123:AD$139)*AF$28</f>
        <v>196496.7774</v>
      </c>
      <c r="AG318" s="93">
        <f>$G318*SUM('National Staffing'!AE$123:AE$139)*AG$28</f>
        <v>200426.7129</v>
      </c>
      <c r="AH318" s="93">
        <f>$G318*SUM('National Staffing'!AF$123:AF$139)*AH$28</f>
        <v>204435.2472</v>
      </c>
      <c r="AI318" s="93">
        <f>$G318*SUM('National Staffing'!AG$123:AG$139)*AI$28</f>
        <v>208523.9521</v>
      </c>
      <c r="AJ318" s="93">
        <f>$G318*SUM('National Staffing'!AH$123:AH$139)*AJ$28</f>
        <v>212694.4312</v>
      </c>
      <c r="AK318" s="93">
        <f>$G318*SUM('National Staffing'!AI$123:AI$139)*AK$28</f>
        <v>216948.3198</v>
      </c>
      <c r="AL318" s="93">
        <f>$G318*SUM('National Staffing'!AJ$123:AJ$139)*AL$28</f>
        <v>221287.2862</v>
      </c>
      <c r="AM318" s="115"/>
      <c r="AN318" s="115"/>
      <c r="AO318" s="115"/>
      <c r="AP318" s="115"/>
    </row>
    <row r="319" ht="12.75" customHeight="1" outlineLevel="1">
      <c r="A319" s="90"/>
      <c r="C319" s="67"/>
      <c r="E319" s="90" t="s">
        <v>459</v>
      </c>
      <c r="G319" s="249">
        <f>'Region office'!B51</f>
        <v>5500</v>
      </c>
      <c r="H319" s="68" t="s">
        <v>387</v>
      </c>
      <c r="M319" s="93"/>
      <c r="N319" s="93"/>
      <c r="O319" s="93">
        <f>$G319*SUM('National Staffing'!M$123:M$139)*O$28</f>
        <v>38500</v>
      </c>
      <c r="P319" s="93">
        <f>$G319*SUM('National Staffing'!N$123:N$139)*P$28</f>
        <v>77000</v>
      </c>
      <c r="Q319" s="93">
        <f>$G319*SUM('National Staffing'!O$123:O$139)*Q$28</f>
        <v>115500</v>
      </c>
      <c r="R319" s="93">
        <f>$G319*SUM('National Staffing'!P$123:P$139)*R$28</f>
        <v>162690</v>
      </c>
      <c r="S319" s="93">
        <f>$G319*SUM('National Staffing'!Q$123:Q$139)*S$28</f>
        <v>217443.6</v>
      </c>
      <c r="T319" s="93">
        <f>$G319*SUM('National Staffing'!R$123:R$139)*T$28</f>
        <v>321015.42</v>
      </c>
      <c r="U319" s="93">
        <f>$G319*SUM('National Staffing'!S$123:S$139)*U$28</f>
        <v>416736.3816</v>
      </c>
      <c r="V319" s="93">
        <f>$G319*SUM('National Staffing'!T$123:T$139)*V$28</f>
        <v>443288.4425</v>
      </c>
      <c r="W319" s="93">
        <f>$G319*SUM('National Staffing'!U$123:U$139)*W$28</f>
        <v>452154.2113</v>
      </c>
      <c r="X319" s="93">
        <f>$G319*SUM('National Staffing'!V$123:V$139)*X$28</f>
        <v>461197.2956</v>
      </c>
      <c r="Y319" s="93">
        <f>$G319*SUM('National Staffing'!W$123:W$139)*Y$28</f>
        <v>470421.2415</v>
      </c>
      <c r="Z319" s="93">
        <f>$G319*SUM('National Staffing'!X$123:X$139)*Z$28</f>
        <v>479829.6663</v>
      </c>
      <c r="AA319" s="93">
        <f>$G319*SUM('National Staffing'!Y$123:Y$139)*AA$28</f>
        <v>489426.2596</v>
      </c>
      <c r="AB319" s="93">
        <f>$G319*SUM('National Staffing'!Z$123:Z$139)*AB$28</f>
        <v>499214.7848</v>
      </c>
      <c r="AC319" s="93">
        <f>$G319*SUM('National Staffing'!AA$123:AA$139)*AC$28</f>
        <v>509199.0805</v>
      </c>
      <c r="AD319" s="93">
        <f>$G319*SUM('National Staffing'!AB$123:AB$139)*AD$28</f>
        <v>519383.0621</v>
      </c>
      <c r="AE319" s="93">
        <f>$G319*SUM('National Staffing'!AC$123:AC$139)*AE$28</f>
        <v>529770.7234</v>
      </c>
      <c r="AF319" s="93">
        <f>$G319*SUM('National Staffing'!AD$123:AD$139)*AF$28</f>
        <v>540366.1378</v>
      </c>
      <c r="AG319" s="93">
        <f>$G319*SUM('National Staffing'!AE$123:AE$139)*AG$28</f>
        <v>551173.4606</v>
      </c>
      <c r="AH319" s="93">
        <f>$G319*SUM('National Staffing'!AF$123:AF$139)*AH$28</f>
        <v>562196.9298</v>
      </c>
      <c r="AI319" s="93">
        <f>$G319*SUM('National Staffing'!AG$123:AG$139)*AI$28</f>
        <v>573440.8684</v>
      </c>
      <c r="AJ319" s="93">
        <f>$G319*SUM('National Staffing'!AH$123:AH$139)*AJ$28</f>
        <v>584909.6858</v>
      </c>
      <c r="AK319" s="93">
        <f>$G319*SUM('National Staffing'!AI$123:AI$139)*AK$28</f>
        <v>596607.8795</v>
      </c>
      <c r="AL319" s="93">
        <f>$G319*SUM('National Staffing'!AJ$123:AJ$139)*AL$28</f>
        <v>608540.0371</v>
      </c>
      <c r="AM319" s="115"/>
      <c r="AN319" s="115"/>
      <c r="AO319" s="115"/>
      <c r="AP319" s="115"/>
    </row>
    <row r="320" ht="12.75" customHeight="1" outlineLevel="1">
      <c r="A320" s="90"/>
      <c r="C320" s="67"/>
      <c r="E320" s="90" t="s">
        <v>460</v>
      </c>
      <c r="G320" s="249">
        <f>'Region office'!B52</f>
        <v>47500</v>
      </c>
      <c r="H320" s="68" t="s">
        <v>457</v>
      </c>
      <c r="M320" s="93"/>
      <c r="N320" s="93"/>
      <c r="O320" s="93">
        <f t="shared" ref="O320:AL320" si="239">$G320*O28</f>
        <v>47500</v>
      </c>
      <c r="P320" s="93">
        <f t="shared" si="239"/>
        <v>47500</v>
      </c>
      <c r="Q320" s="93">
        <f t="shared" si="239"/>
        <v>47500</v>
      </c>
      <c r="R320" s="93">
        <f t="shared" si="239"/>
        <v>48450</v>
      </c>
      <c r="S320" s="93">
        <f t="shared" si="239"/>
        <v>49419</v>
      </c>
      <c r="T320" s="93">
        <f t="shared" si="239"/>
        <v>50407.38</v>
      </c>
      <c r="U320" s="93">
        <f t="shared" si="239"/>
        <v>51415.5276</v>
      </c>
      <c r="V320" s="93">
        <f t="shared" si="239"/>
        <v>52443.83815</v>
      </c>
      <c r="W320" s="93">
        <f t="shared" si="239"/>
        <v>53492.71492</v>
      </c>
      <c r="X320" s="93">
        <f t="shared" si="239"/>
        <v>54562.56921</v>
      </c>
      <c r="Y320" s="93">
        <f t="shared" si="239"/>
        <v>55653.8206</v>
      </c>
      <c r="Z320" s="93">
        <f t="shared" si="239"/>
        <v>56766.89701</v>
      </c>
      <c r="AA320" s="93">
        <f t="shared" si="239"/>
        <v>57902.23495</v>
      </c>
      <c r="AB320" s="93">
        <f t="shared" si="239"/>
        <v>59060.27965</v>
      </c>
      <c r="AC320" s="93">
        <f t="shared" si="239"/>
        <v>60241.48524</v>
      </c>
      <c r="AD320" s="93">
        <f t="shared" si="239"/>
        <v>61446.31495</v>
      </c>
      <c r="AE320" s="93">
        <f t="shared" si="239"/>
        <v>62675.24125</v>
      </c>
      <c r="AF320" s="93">
        <f t="shared" si="239"/>
        <v>63928.74607</v>
      </c>
      <c r="AG320" s="93">
        <f t="shared" si="239"/>
        <v>65207.32099</v>
      </c>
      <c r="AH320" s="93">
        <f t="shared" si="239"/>
        <v>66511.46741</v>
      </c>
      <c r="AI320" s="93">
        <f t="shared" si="239"/>
        <v>67841.69676</v>
      </c>
      <c r="AJ320" s="93">
        <f t="shared" si="239"/>
        <v>69198.5307</v>
      </c>
      <c r="AK320" s="93">
        <f t="shared" si="239"/>
        <v>70582.50131</v>
      </c>
      <c r="AL320" s="93">
        <f t="shared" si="239"/>
        <v>71994.15134</v>
      </c>
      <c r="AM320" s="115"/>
      <c r="AN320" s="115"/>
      <c r="AO320" s="115"/>
      <c r="AP320" s="115"/>
    </row>
    <row r="321" ht="12.75" customHeight="1" outlineLevel="1">
      <c r="A321" s="90"/>
      <c r="C321" s="67"/>
      <c r="D321" s="87"/>
      <c r="E321" s="87" t="s">
        <v>461</v>
      </c>
      <c r="F321" s="87"/>
      <c r="G321" s="250">
        <f>'Region office'!B53</f>
        <v>5000</v>
      </c>
      <c r="H321" s="87" t="s">
        <v>352</v>
      </c>
      <c r="I321" s="87"/>
      <c r="J321" s="87"/>
      <c r="K321" s="87"/>
      <c r="L321" s="87"/>
      <c r="M321" s="119"/>
      <c r="N321" s="119"/>
      <c r="O321" s="119">
        <f>$G321*O28*'National Staffing'!M2</f>
        <v>40000</v>
      </c>
      <c r="P321" s="119">
        <f>$G321*P28*'National Staffing'!N2</f>
        <v>60000</v>
      </c>
      <c r="Q321" s="119">
        <f>$G321*Q28*'National Staffing'!O2</f>
        <v>100000</v>
      </c>
      <c r="R321" s="119">
        <f>$G321*R28*'National Staffing'!P2</f>
        <v>153000</v>
      </c>
      <c r="S321" s="119">
        <f>$G321*S28*'National Staffing'!Q2</f>
        <v>244494</v>
      </c>
      <c r="T321" s="119">
        <f>$G321*T28*'National Staffing'!R2</f>
        <v>371422.8</v>
      </c>
      <c r="U321" s="119">
        <f>$G321*U28*'National Staffing'!S2</f>
        <v>514155.276</v>
      </c>
      <c r="V321" s="119">
        <f>$G321*V28*'National Staffing'!T2</f>
        <v>552040.4016</v>
      </c>
      <c r="W321" s="119">
        <f>$G321*W28*'National Staffing'!U2</f>
        <v>563081.2096</v>
      </c>
      <c r="X321" s="119">
        <f>$G321*X28*'National Staffing'!V2</f>
        <v>574342.8338</v>
      </c>
      <c r="Y321" s="119">
        <f>$G321*Y28*'National Staffing'!W2</f>
        <v>585829.6905</v>
      </c>
      <c r="Z321" s="119">
        <f>$G321*Z28*'National Staffing'!X2</f>
        <v>597546.2843</v>
      </c>
      <c r="AA321" s="119">
        <f>$G321*AA28*'National Staffing'!Y2</f>
        <v>609497.21</v>
      </c>
      <c r="AB321" s="119">
        <f>$G321*AB28*'National Staffing'!Z2</f>
        <v>621687.1542</v>
      </c>
      <c r="AC321" s="119">
        <f>$G321*AC28*'National Staffing'!AA2</f>
        <v>634120.8973</v>
      </c>
      <c r="AD321" s="119">
        <f>$G321*AD28*'National Staffing'!AB2</f>
        <v>646803.3152</v>
      </c>
      <c r="AE321" s="119">
        <f>$G321*AE28*'National Staffing'!AC2</f>
        <v>659739.3815</v>
      </c>
      <c r="AF321" s="119">
        <f>$G321*AF28*'National Staffing'!AD2</f>
        <v>672934.1692</v>
      </c>
      <c r="AG321" s="119">
        <f>$G321*AG28*'National Staffing'!AE2</f>
        <v>686392.8525</v>
      </c>
      <c r="AH321" s="119">
        <f>$G321*AH28*'National Staffing'!AF2</f>
        <v>700120.7096</v>
      </c>
      <c r="AI321" s="119">
        <f>$G321*AI28*'National Staffing'!AG2</f>
        <v>714123.1238</v>
      </c>
      <c r="AJ321" s="119">
        <f>$G321*AJ28*'National Staffing'!AH2</f>
        <v>728405.5863</v>
      </c>
      <c r="AK321" s="119">
        <f>$G321*AK28*'National Staffing'!AI2</f>
        <v>742973.698</v>
      </c>
      <c r="AL321" s="119">
        <f>$G321*AL28*'National Staffing'!AJ2</f>
        <v>757833.1719</v>
      </c>
      <c r="AM321" s="115"/>
      <c r="AN321" s="115"/>
      <c r="AO321" s="115"/>
      <c r="AP321" s="115"/>
    </row>
    <row r="322" ht="12.75" customHeight="1" outlineLevel="1">
      <c r="A322" s="90"/>
      <c r="C322" s="67"/>
      <c r="D322" s="67" t="s">
        <v>315</v>
      </c>
      <c r="M322" s="115">
        <f t="shared" ref="M322:AL322" si="240">SUM(M317:M321)</f>
        <v>0</v>
      </c>
      <c r="N322" s="115">
        <f t="shared" si="240"/>
        <v>0</v>
      </c>
      <c r="O322" s="115">
        <f t="shared" si="240"/>
        <v>165000</v>
      </c>
      <c r="P322" s="115">
        <f t="shared" si="240"/>
        <v>237500</v>
      </c>
      <c r="Q322" s="115">
        <f t="shared" si="240"/>
        <v>330000</v>
      </c>
      <c r="R322" s="115">
        <f t="shared" si="240"/>
        <v>448800</v>
      </c>
      <c r="S322" s="115">
        <f t="shared" si="240"/>
        <v>616437</v>
      </c>
      <c r="T322" s="115">
        <f t="shared" si="240"/>
        <v>886108.68</v>
      </c>
      <c r="U322" s="115">
        <f t="shared" si="240"/>
        <v>1160908.492</v>
      </c>
      <c r="V322" s="115">
        <f t="shared" si="240"/>
        <v>1236570.5</v>
      </c>
      <c r="W322" s="115">
        <f t="shared" si="240"/>
        <v>1261301.91</v>
      </c>
      <c r="X322" s="115">
        <f t="shared" si="240"/>
        <v>1286527.948</v>
      </c>
      <c r="Y322" s="115">
        <f t="shared" si="240"/>
        <v>1312258.507</v>
      </c>
      <c r="Z322" s="115">
        <f t="shared" si="240"/>
        <v>1338503.677</v>
      </c>
      <c r="AA322" s="115">
        <f t="shared" si="240"/>
        <v>1365273.75</v>
      </c>
      <c r="AB322" s="115">
        <f t="shared" si="240"/>
        <v>1392579.225</v>
      </c>
      <c r="AC322" s="115">
        <f t="shared" si="240"/>
        <v>1420430.81</v>
      </c>
      <c r="AD322" s="115">
        <f t="shared" si="240"/>
        <v>1448839.426</v>
      </c>
      <c r="AE322" s="115">
        <f t="shared" si="240"/>
        <v>1477816.215</v>
      </c>
      <c r="AF322" s="115">
        <f t="shared" si="240"/>
        <v>1507372.539</v>
      </c>
      <c r="AG322" s="115">
        <f t="shared" si="240"/>
        <v>1537519.99</v>
      </c>
      <c r="AH322" s="115">
        <f t="shared" si="240"/>
        <v>1568270.389</v>
      </c>
      <c r="AI322" s="115">
        <f t="shared" si="240"/>
        <v>1599635.797</v>
      </c>
      <c r="AJ322" s="115">
        <f t="shared" si="240"/>
        <v>1631628.513</v>
      </c>
      <c r="AK322" s="115">
        <f t="shared" si="240"/>
        <v>1664261.083</v>
      </c>
      <c r="AL322" s="115">
        <f t="shared" si="240"/>
        <v>1697546.305</v>
      </c>
      <c r="AM322" s="115"/>
      <c r="AN322" s="115"/>
      <c r="AO322" s="115"/>
      <c r="AP322" s="115"/>
    </row>
    <row r="323" ht="12.75" customHeight="1" outlineLevel="1">
      <c r="A323" s="90"/>
      <c r="C323" s="67"/>
      <c r="E323" s="90"/>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row>
    <row r="324" ht="12.75" customHeight="1" outlineLevel="1">
      <c r="A324" s="90"/>
      <c r="C324" s="67" t="s">
        <v>462</v>
      </c>
      <c r="E324" s="90"/>
      <c r="M324" s="115">
        <f t="shared" ref="M324:AL324" si="241">M322+M314</f>
        <v>0</v>
      </c>
      <c r="N324" s="115">
        <f t="shared" si="241"/>
        <v>0</v>
      </c>
      <c r="O324" s="115">
        <f t="shared" si="241"/>
        <v>192500</v>
      </c>
      <c r="P324" s="115">
        <f t="shared" si="241"/>
        <v>290000</v>
      </c>
      <c r="Q324" s="115">
        <f t="shared" si="241"/>
        <v>400000</v>
      </c>
      <c r="R324" s="115">
        <f t="shared" si="241"/>
        <v>543150</v>
      </c>
      <c r="S324" s="115">
        <f t="shared" si="241"/>
        <v>738684</v>
      </c>
      <c r="T324" s="115">
        <f t="shared" si="241"/>
        <v>1077126.12</v>
      </c>
      <c r="U324" s="115">
        <f t="shared" si="241"/>
        <v>1390925.326</v>
      </c>
      <c r="V324" s="115">
        <f t="shared" si="241"/>
        <v>1446345.852</v>
      </c>
      <c r="W324" s="115">
        <f t="shared" si="241"/>
        <v>1466826.551</v>
      </c>
      <c r="X324" s="115">
        <f t="shared" si="241"/>
        <v>1496163.082</v>
      </c>
      <c r="Y324" s="115">
        <f t="shared" si="241"/>
        <v>1526086.344</v>
      </c>
      <c r="Z324" s="115">
        <f t="shared" si="241"/>
        <v>1556608.071</v>
      </c>
      <c r="AA324" s="115">
        <f t="shared" si="241"/>
        <v>1587740.232</v>
      </c>
      <c r="AB324" s="115">
        <f t="shared" si="241"/>
        <v>1619495.037</v>
      </c>
      <c r="AC324" s="115">
        <f t="shared" si="241"/>
        <v>1651884.937</v>
      </c>
      <c r="AD324" s="115">
        <f t="shared" si="241"/>
        <v>1684922.636</v>
      </c>
      <c r="AE324" s="115">
        <f t="shared" si="241"/>
        <v>1718621.089</v>
      </c>
      <c r="AF324" s="115">
        <f t="shared" si="241"/>
        <v>1752993.511</v>
      </c>
      <c r="AG324" s="115">
        <f t="shared" si="241"/>
        <v>1788053.381</v>
      </c>
      <c r="AH324" s="115">
        <f t="shared" si="241"/>
        <v>1823814.448</v>
      </c>
      <c r="AI324" s="115">
        <f t="shared" si="241"/>
        <v>1860290.737</v>
      </c>
      <c r="AJ324" s="115">
        <f t="shared" si="241"/>
        <v>1897496.552</v>
      </c>
      <c r="AK324" s="115">
        <f t="shared" si="241"/>
        <v>1935446.483</v>
      </c>
      <c r="AL324" s="115">
        <f t="shared" si="241"/>
        <v>1974155.413</v>
      </c>
      <c r="AM324" s="115"/>
      <c r="AN324" s="115"/>
      <c r="AO324" s="115"/>
      <c r="AP324" s="115"/>
    </row>
    <row r="325" ht="12.75" customHeight="1" outlineLevel="1">
      <c r="A325" s="90"/>
      <c r="C325" s="67"/>
      <c r="E325" s="90"/>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row>
    <row r="326" ht="12.75" customHeight="1">
      <c r="A326" s="90"/>
      <c r="E326" s="90"/>
      <c r="M326" s="113"/>
    </row>
    <row r="327" ht="12.75" customHeight="1">
      <c r="A327" s="198" t="s">
        <v>463</v>
      </c>
      <c r="B327" s="106"/>
      <c r="C327" s="106"/>
      <c r="D327" s="106"/>
      <c r="E327" s="106"/>
      <c r="F327" s="106"/>
      <c r="G327" s="106"/>
      <c r="H327" s="106"/>
      <c r="I327" s="174"/>
      <c r="J327" s="175"/>
      <c r="K327" s="175"/>
      <c r="L327" s="175"/>
      <c r="M327" s="175"/>
      <c r="N327" s="175"/>
      <c r="O327" s="175"/>
      <c r="P327" s="175"/>
      <c r="Q327" s="175"/>
      <c r="R327" s="175"/>
      <c r="S327" s="175"/>
      <c r="T327" s="175"/>
      <c r="U327" s="175"/>
      <c r="V327" s="175"/>
      <c r="W327" s="175"/>
      <c r="X327" s="175"/>
      <c r="Y327" s="175"/>
      <c r="Z327" s="175"/>
      <c r="AA327" s="175"/>
      <c r="AB327" s="175"/>
      <c r="AC327" s="175"/>
      <c r="AD327" s="175"/>
      <c r="AE327" s="175"/>
      <c r="AF327" s="175"/>
      <c r="AG327" s="175"/>
      <c r="AH327" s="175"/>
      <c r="AI327" s="175"/>
      <c r="AJ327" s="175"/>
      <c r="AK327" s="175"/>
      <c r="AL327" s="175"/>
      <c r="AM327" s="175"/>
      <c r="AN327" s="175"/>
      <c r="AO327" s="175"/>
      <c r="AP327" s="175"/>
      <c r="AQ327" s="175"/>
      <c r="AR327" s="175"/>
      <c r="AS327" s="175"/>
      <c r="AT327" s="175"/>
      <c r="AU327" s="175"/>
      <c r="AV327" s="175"/>
    </row>
    <row r="328" ht="12.75" customHeight="1" outlineLevel="1">
      <c r="A328" s="90"/>
    </row>
    <row r="329" ht="12.75" customHeight="1" outlineLevel="1">
      <c r="A329" s="90"/>
      <c r="B329" s="201" t="s">
        <v>464</v>
      </c>
    </row>
    <row r="330" ht="12.75" customHeight="1" outlineLevel="1">
      <c r="A330" s="90"/>
      <c r="B330" s="90"/>
      <c r="C330" s="90" t="s">
        <v>194</v>
      </c>
      <c r="D330" s="90"/>
      <c r="E330" s="90"/>
      <c r="F330" s="90"/>
      <c r="G330" s="147"/>
      <c r="H330" s="147"/>
      <c r="I330" s="147"/>
      <c r="J330" s="147"/>
      <c r="K330" s="147">
        <f t="shared" ref="K330:AP330" si="242">K43</f>
        <v>366668.53</v>
      </c>
      <c r="L330" s="147" t="str">
        <f t="shared" si="242"/>
        <v>#REF!</v>
      </c>
      <c r="M330" s="93" t="str">
        <f t="shared" si="242"/>
        <v>#REF!</v>
      </c>
      <c r="N330" s="93" t="str">
        <f t="shared" si="242"/>
        <v>#REF!</v>
      </c>
      <c r="O330" s="93" t="str">
        <f t="shared" si="242"/>
        <v>#REF!</v>
      </c>
      <c r="P330" s="93" t="str">
        <f t="shared" si="242"/>
        <v>#REF!</v>
      </c>
      <c r="Q330" s="93" t="str">
        <f t="shared" si="242"/>
        <v>#REF!</v>
      </c>
      <c r="R330" s="93" t="str">
        <f t="shared" si="242"/>
        <v>#REF!</v>
      </c>
      <c r="S330" s="93" t="str">
        <f t="shared" si="242"/>
        <v>#REF!</v>
      </c>
      <c r="T330" s="93" t="str">
        <f t="shared" si="242"/>
        <v>#REF!</v>
      </c>
      <c r="U330" s="93" t="str">
        <f t="shared" si="242"/>
        <v>#REF!</v>
      </c>
      <c r="V330" s="93" t="str">
        <f t="shared" si="242"/>
        <v>#REF!</v>
      </c>
      <c r="W330" s="93" t="str">
        <f t="shared" si="242"/>
        <v>#REF!</v>
      </c>
      <c r="X330" s="93" t="str">
        <f t="shared" si="242"/>
        <v>#REF!</v>
      </c>
      <c r="Y330" s="93" t="str">
        <f t="shared" si="242"/>
        <v>#REF!</v>
      </c>
      <c r="Z330" s="93" t="str">
        <f t="shared" si="242"/>
        <v>#REF!</v>
      </c>
      <c r="AA330" s="93" t="str">
        <f t="shared" si="242"/>
        <v>#REF!</v>
      </c>
      <c r="AB330" s="93" t="str">
        <f t="shared" si="242"/>
        <v>#REF!</v>
      </c>
      <c r="AC330" s="93" t="str">
        <f t="shared" si="242"/>
        <v>#REF!</v>
      </c>
      <c r="AD330" s="93" t="str">
        <f t="shared" si="242"/>
        <v>#REF!</v>
      </c>
      <c r="AE330" s="93" t="str">
        <f t="shared" si="242"/>
        <v>#REF!</v>
      </c>
      <c r="AF330" s="93" t="str">
        <f t="shared" si="242"/>
        <v>#REF!</v>
      </c>
      <c r="AG330" s="93" t="str">
        <f t="shared" si="242"/>
        <v>#REF!</v>
      </c>
      <c r="AH330" s="93" t="str">
        <f t="shared" si="242"/>
        <v>#REF!</v>
      </c>
      <c r="AI330" s="93" t="str">
        <f t="shared" si="242"/>
        <v>#REF!</v>
      </c>
      <c r="AJ330" s="93" t="str">
        <f t="shared" si="242"/>
        <v>#REF!</v>
      </c>
      <c r="AK330" s="93" t="str">
        <f t="shared" si="242"/>
        <v>#REF!</v>
      </c>
      <c r="AL330" s="93" t="str">
        <f t="shared" si="242"/>
        <v>#REF!</v>
      </c>
      <c r="AM330" s="93" t="str">
        <f t="shared" si="242"/>
        <v>#REF!</v>
      </c>
      <c r="AN330" s="93" t="str">
        <f t="shared" si="242"/>
        <v>#REF!</v>
      </c>
      <c r="AO330" s="93" t="str">
        <f t="shared" si="242"/>
        <v>#REF!</v>
      </c>
      <c r="AP330" s="93" t="str">
        <f t="shared" si="242"/>
        <v>#REF!</v>
      </c>
      <c r="AQ330" s="147"/>
      <c r="AR330" s="147"/>
      <c r="AS330" s="147"/>
      <c r="AT330" s="147"/>
      <c r="AU330" s="147"/>
      <c r="AV330" s="147"/>
    </row>
    <row r="331" ht="12.75" customHeight="1" outlineLevel="1">
      <c r="A331" s="90"/>
      <c r="B331" s="90"/>
      <c r="C331" s="90" t="s">
        <v>465</v>
      </c>
      <c r="D331" s="90"/>
      <c r="E331" s="90"/>
      <c r="F331" s="90"/>
      <c r="G331" s="147"/>
      <c r="H331" s="147"/>
      <c r="I331" s="147"/>
      <c r="J331" s="147"/>
      <c r="K331" s="147"/>
      <c r="L331" s="147">
        <v>0.0</v>
      </c>
      <c r="M331" s="93">
        <v>0.0</v>
      </c>
      <c r="N331" s="93">
        <v>0.0</v>
      </c>
      <c r="O331" s="93">
        <v>0.0</v>
      </c>
      <c r="P331" s="93">
        <v>0.0</v>
      </c>
      <c r="Q331" s="93">
        <v>0.0</v>
      </c>
      <c r="R331" s="93">
        <v>0.0</v>
      </c>
      <c r="S331" s="93">
        <v>0.0</v>
      </c>
      <c r="T331" s="93">
        <v>0.0</v>
      </c>
      <c r="U331" s="93">
        <v>0.0</v>
      </c>
      <c r="V331" s="93">
        <v>0.0</v>
      </c>
      <c r="W331" s="93">
        <v>0.0</v>
      </c>
      <c r="X331" s="93">
        <v>0.0</v>
      </c>
      <c r="Y331" s="93">
        <v>0.0</v>
      </c>
      <c r="Z331" s="93">
        <v>0.0</v>
      </c>
      <c r="AA331" s="93">
        <v>0.0</v>
      </c>
      <c r="AB331" s="93">
        <v>0.0</v>
      </c>
      <c r="AC331" s="93">
        <v>0.0</v>
      </c>
      <c r="AD331" s="93">
        <v>0.0</v>
      </c>
      <c r="AE331" s="93">
        <v>0.0</v>
      </c>
      <c r="AF331" s="93">
        <v>0.0</v>
      </c>
      <c r="AG331" s="93">
        <v>0.0</v>
      </c>
      <c r="AH331" s="93">
        <v>0.0</v>
      </c>
      <c r="AI331" s="93">
        <v>0.0</v>
      </c>
      <c r="AJ331" s="93">
        <v>0.0</v>
      </c>
      <c r="AK331" s="93">
        <v>0.0</v>
      </c>
      <c r="AL331" s="93">
        <v>0.0</v>
      </c>
      <c r="AM331" s="93">
        <v>0.0</v>
      </c>
      <c r="AN331" s="93">
        <v>0.0</v>
      </c>
      <c r="AO331" s="93">
        <v>0.0</v>
      </c>
      <c r="AP331" s="93">
        <v>0.0</v>
      </c>
      <c r="AQ331" s="147"/>
      <c r="AR331" s="147"/>
      <c r="AS331" s="147"/>
      <c r="AT331" s="147"/>
      <c r="AU331" s="147"/>
      <c r="AV331" s="147"/>
    </row>
    <row r="332" ht="12.75" customHeight="1" outlineLevel="1">
      <c r="A332" s="90"/>
      <c r="B332" s="90"/>
      <c r="C332" s="90" t="s">
        <v>466</v>
      </c>
      <c r="D332" s="90"/>
      <c r="E332" s="90"/>
      <c r="F332" s="90"/>
      <c r="G332" s="147"/>
      <c r="H332" s="147"/>
      <c r="I332" s="147"/>
      <c r="J332" s="147"/>
      <c r="K332" s="147"/>
      <c r="L332" s="147">
        <v>0.0</v>
      </c>
      <c r="M332" s="93">
        <v>0.0</v>
      </c>
      <c r="N332" s="93">
        <v>0.0</v>
      </c>
      <c r="O332" s="93">
        <v>0.0</v>
      </c>
      <c r="P332" s="93">
        <v>0.0</v>
      </c>
      <c r="Q332" s="93">
        <v>0.0</v>
      </c>
      <c r="R332" s="93">
        <v>0.0</v>
      </c>
      <c r="S332" s="93">
        <v>0.0</v>
      </c>
      <c r="T332" s="93">
        <v>0.0</v>
      </c>
      <c r="U332" s="93">
        <v>0.0</v>
      </c>
      <c r="V332" s="93">
        <v>0.0</v>
      </c>
      <c r="W332" s="93">
        <v>0.0</v>
      </c>
      <c r="X332" s="93">
        <v>0.0</v>
      </c>
      <c r="Y332" s="93">
        <v>0.0</v>
      </c>
      <c r="Z332" s="93">
        <v>0.0</v>
      </c>
      <c r="AA332" s="93">
        <v>0.0</v>
      </c>
      <c r="AB332" s="93">
        <v>0.0</v>
      </c>
      <c r="AC332" s="93">
        <v>0.0</v>
      </c>
      <c r="AD332" s="93">
        <v>0.0</v>
      </c>
      <c r="AE332" s="93">
        <v>0.0</v>
      </c>
      <c r="AF332" s="93">
        <v>0.0</v>
      </c>
      <c r="AG332" s="93">
        <v>0.0</v>
      </c>
      <c r="AH332" s="93">
        <v>0.0</v>
      </c>
      <c r="AI332" s="93">
        <v>0.0</v>
      </c>
      <c r="AJ332" s="93">
        <v>0.0</v>
      </c>
      <c r="AK332" s="93">
        <v>0.0</v>
      </c>
      <c r="AL332" s="93">
        <v>0.0</v>
      </c>
      <c r="AM332" s="93">
        <v>0.0</v>
      </c>
      <c r="AN332" s="93">
        <v>0.0</v>
      </c>
      <c r="AO332" s="93">
        <v>0.0</v>
      </c>
      <c r="AP332" s="93">
        <v>0.0</v>
      </c>
      <c r="AQ332" s="147"/>
      <c r="AR332" s="147"/>
      <c r="AS332" s="147"/>
      <c r="AT332" s="147"/>
      <c r="AU332" s="147"/>
      <c r="AV332" s="147"/>
    </row>
    <row r="333" ht="12.75" customHeight="1" outlineLevel="1">
      <c r="A333" s="90"/>
      <c r="B333" s="90"/>
      <c r="C333" s="90" t="s">
        <v>467</v>
      </c>
      <c r="D333" s="90"/>
      <c r="E333" s="90"/>
      <c r="F333" s="90"/>
      <c r="G333" s="99"/>
      <c r="H333" s="99"/>
      <c r="I333" s="99"/>
      <c r="J333" s="99"/>
      <c r="K333" s="99">
        <v>-5869.5</v>
      </c>
      <c r="L333" s="99">
        <f t="shared" ref="L333:AP333" si="243">-(L393+L394-K393-K394)</f>
        <v>-231675.37</v>
      </c>
      <c r="M333" s="93">
        <f t="shared" si="243"/>
        <v>12177.43838</v>
      </c>
      <c r="N333" s="93">
        <f t="shared" si="243"/>
        <v>-22369.40376</v>
      </c>
      <c r="O333" s="93">
        <f t="shared" si="243"/>
        <v>-128715.1371</v>
      </c>
      <c r="P333" s="93">
        <f t="shared" si="243"/>
        <v>24756.77873</v>
      </c>
      <c r="Q333" s="93">
        <f t="shared" si="243"/>
        <v>-189074.3272</v>
      </c>
      <c r="R333" s="93">
        <f t="shared" si="243"/>
        <v>-337455.5589</v>
      </c>
      <c r="S333" s="93">
        <f t="shared" si="243"/>
        <v>-590881.6651</v>
      </c>
      <c r="T333" s="93">
        <f t="shared" si="243"/>
        <v>-833528.2792</v>
      </c>
      <c r="U333" s="93">
        <f t="shared" si="243"/>
        <v>-766632.3212</v>
      </c>
      <c r="V333" s="93">
        <f t="shared" si="243"/>
        <v>-955352.0746</v>
      </c>
      <c r="W333" s="93">
        <f t="shared" si="243"/>
        <v>-1281353.389</v>
      </c>
      <c r="X333" s="93">
        <f t="shared" si="243"/>
        <v>-1720102.209</v>
      </c>
      <c r="Y333" s="93">
        <f t="shared" si="243"/>
        <v>-2620371.882</v>
      </c>
      <c r="Z333" s="93">
        <f t="shared" si="243"/>
        <v>-4047982.98</v>
      </c>
      <c r="AA333" s="93">
        <f t="shared" si="243"/>
        <v>-5414449.121</v>
      </c>
      <c r="AB333" s="93">
        <f t="shared" si="243"/>
        <v>-6741893.599</v>
      </c>
      <c r="AC333" s="93">
        <f t="shared" si="243"/>
        <v>-8098551.254</v>
      </c>
      <c r="AD333" s="93">
        <f t="shared" si="243"/>
        <v>-9491211.238</v>
      </c>
      <c r="AE333" s="93">
        <f t="shared" si="243"/>
        <v>-10252670.04</v>
      </c>
      <c r="AF333" s="93">
        <f t="shared" si="243"/>
        <v>-9879484.375</v>
      </c>
      <c r="AG333" s="93">
        <f t="shared" si="243"/>
        <v>-6513402.126</v>
      </c>
      <c r="AH333" s="93">
        <f t="shared" si="243"/>
        <v>-2907451</v>
      </c>
      <c r="AI333" s="93">
        <f t="shared" si="243"/>
        <v>-2105980.443</v>
      </c>
      <c r="AJ333" s="93">
        <f t="shared" si="243"/>
        <v>-1503491.17</v>
      </c>
      <c r="AK333" s="93">
        <f t="shared" si="243"/>
        <v>-1466472.052</v>
      </c>
      <c r="AL333" s="93">
        <f t="shared" si="243"/>
        <v>-1518556.152</v>
      </c>
      <c r="AM333" s="93">
        <f t="shared" si="243"/>
        <v>-1571309.166</v>
      </c>
      <c r="AN333" s="93">
        <f t="shared" si="243"/>
        <v>-1620929.414</v>
      </c>
      <c r="AO333" s="93" t="str">
        <f t="shared" si="243"/>
        <v>#REF!</v>
      </c>
      <c r="AP333" s="93" t="str">
        <f t="shared" si="243"/>
        <v>#REF!</v>
      </c>
      <c r="AQ333" s="99"/>
      <c r="AR333" s="99"/>
      <c r="AS333" s="99"/>
      <c r="AT333" s="99"/>
      <c r="AU333" s="99"/>
      <c r="AV333" s="99"/>
    </row>
    <row r="334" ht="12.75" customHeight="1" outlineLevel="1">
      <c r="A334" s="90"/>
      <c r="B334" s="90"/>
      <c r="C334" s="90" t="s">
        <v>468</v>
      </c>
      <c r="D334" s="90"/>
      <c r="E334" s="90"/>
      <c r="F334" s="90"/>
      <c r="G334" s="147"/>
      <c r="H334" s="147"/>
      <c r="I334" s="147"/>
      <c r="J334" s="147"/>
      <c r="K334" s="147">
        <v>58594.49</v>
      </c>
      <c r="L334" s="147">
        <f t="shared" ref="L334:AP334" si="244">L398-K398</f>
        <v>108603.93</v>
      </c>
      <c r="M334" s="93" t="str">
        <f t="shared" si="244"/>
        <v>#REF!</v>
      </c>
      <c r="N334" s="93" t="str">
        <f t="shared" si="244"/>
        <v>#REF!</v>
      </c>
      <c r="O334" s="93" t="str">
        <f t="shared" si="244"/>
        <v>#REF!</v>
      </c>
      <c r="P334" s="93" t="str">
        <f t="shared" si="244"/>
        <v>#REF!</v>
      </c>
      <c r="Q334" s="93" t="str">
        <f t="shared" si="244"/>
        <v>#REF!</v>
      </c>
      <c r="R334" s="93" t="str">
        <f t="shared" si="244"/>
        <v>#REF!</v>
      </c>
      <c r="S334" s="93" t="str">
        <f t="shared" si="244"/>
        <v>#REF!</v>
      </c>
      <c r="T334" s="93" t="str">
        <f t="shared" si="244"/>
        <v>#REF!</v>
      </c>
      <c r="U334" s="93" t="str">
        <f t="shared" si="244"/>
        <v>#REF!</v>
      </c>
      <c r="V334" s="93" t="str">
        <f t="shared" si="244"/>
        <v>#REF!</v>
      </c>
      <c r="W334" s="93" t="str">
        <f t="shared" si="244"/>
        <v>#REF!</v>
      </c>
      <c r="X334" s="93" t="str">
        <f t="shared" si="244"/>
        <v>#REF!</v>
      </c>
      <c r="Y334" s="93" t="str">
        <f t="shared" si="244"/>
        <v>#REF!</v>
      </c>
      <c r="Z334" s="93" t="str">
        <f t="shared" si="244"/>
        <v>#REF!</v>
      </c>
      <c r="AA334" s="93" t="str">
        <f t="shared" si="244"/>
        <v>#REF!</v>
      </c>
      <c r="AB334" s="93" t="str">
        <f t="shared" si="244"/>
        <v>#REF!</v>
      </c>
      <c r="AC334" s="93" t="str">
        <f t="shared" si="244"/>
        <v>#REF!</v>
      </c>
      <c r="AD334" s="93" t="str">
        <f t="shared" si="244"/>
        <v>#REF!</v>
      </c>
      <c r="AE334" s="93" t="str">
        <f t="shared" si="244"/>
        <v>#REF!</v>
      </c>
      <c r="AF334" s="93" t="str">
        <f t="shared" si="244"/>
        <v>#REF!</v>
      </c>
      <c r="AG334" s="93" t="str">
        <f t="shared" si="244"/>
        <v>#REF!</v>
      </c>
      <c r="AH334" s="93" t="str">
        <f t="shared" si="244"/>
        <v>#REF!</v>
      </c>
      <c r="AI334" s="93" t="str">
        <f t="shared" si="244"/>
        <v>#REF!</v>
      </c>
      <c r="AJ334" s="93" t="str">
        <f t="shared" si="244"/>
        <v>#REF!</v>
      </c>
      <c r="AK334" s="93" t="str">
        <f t="shared" si="244"/>
        <v>#REF!</v>
      </c>
      <c r="AL334" s="93" t="str">
        <f t="shared" si="244"/>
        <v>#REF!</v>
      </c>
      <c r="AM334" s="93" t="str">
        <f t="shared" si="244"/>
        <v>#REF!</v>
      </c>
      <c r="AN334" s="93" t="str">
        <f t="shared" si="244"/>
        <v>#REF!</v>
      </c>
      <c r="AO334" s="93" t="str">
        <f t="shared" si="244"/>
        <v>#REF!</v>
      </c>
      <c r="AP334" s="93" t="str">
        <f t="shared" si="244"/>
        <v>#REF!</v>
      </c>
      <c r="AQ334" s="147"/>
      <c r="AR334" s="147"/>
      <c r="AS334" s="147"/>
      <c r="AT334" s="147"/>
      <c r="AU334" s="147"/>
      <c r="AV334" s="147"/>
    </row>
    <row r="335" ht="12.75" customHeight="1" outlineLevel="1">
      <c r="A335" s="90"/>
      <c r="B335" s="148" t="s">
        <v>469</v>
      </c>
      <c r="C335" s="148"/>
      <c r="D335" s="148"/>
      <c r="E335" s="148"/>
      <c r="F335" s="148"/>
      <c r="G335" s="251"/>
      <c r="H335" s="251"/>
      <c r="I335" s="251"/>
      <c r="J335" s="251"/>
      <c r="K335" s="251">
        <f t="shared" ref="K335:AP335" si="245">SUM(K330:K334)</f>
        <v>419393.52</v>
      </c>
      <c r="L335" s="251" t="str">
        <f t="shared" si="245"/>
        <v>#REF!</v>
      </c>
      <c r="M335" s="151" t="str">
        <f t="shared" si="245"/>
        <v>#REF!</v>
      </c>
      <c r="N335" s="151" t="str">
        <f t="shared" si="245"/>
        <v>#REF!</v>
      </c>
      <c r="O335" s="151" t="str">
        <f t="shared" si="245"/>
        <v>#REF!</v>
      </c>
      <c r="P335" s="151" t="str">
        <f t="shared" si="245"/>
        <v>#REF!</v>
      </c>
      <c r="Q335" s="151" t="str">
        <f t="shared" si="245"/>
        <v>#REF!</v>
      </c>
      <c r="R335" s="151" t="str">
        <f t="shared" si="245"/>
        <v>#REF!</v>
      </c>
      <c r="S335" s="151" t="str">
        <f t="shared" si="245"/>
        <v>#REF!</v>
      </c>
      <c r="T335" s="151" t="str">
        <f t="shared" si="245"/>
        <v>#REF!</v>
      </c>
      <c r="U335" s="151" t="str">
        <f t="shared" si="245"/>
        <v>#REF!</v>
      </c>
      <c r="V335" s="151" t="str">
        <f t="shared" si="245"/>
        <v>#REF!</v>
      </c>
      <c r="W335" s="151" t="str">
        <f t="shared" si="245"/>
        <v>#REF!</v>
      </c>
      <c r="X335" s="151" t="str">
        <f t="shared" si="245"/>
        <v>#REF!</v>
      </c>
      <c r="Y335" s="151" t="str">
        <f t="shared" si="245"/>
        <v>#REF!</v>
      </c>
      <c r="Z335" s="151" t="str">
        <f t="shared" si="245"/>
        <v>#REF!</v>
      </c>
      <c r="AA335" s="151" t="str">
        <f t="shared" si="245"/>
        <v>#REF!</v>
      </c>
      <c r="AB335" s="151" t="str">
        <f t="shared" si="245"/>
        <v>#REF!</v>
      </c>
      <c r="AC335" s="151" t="str">
        <f t="shared" si="245"/>
        <v>#REF!</v>
      </c>
      <c r="AD335" s="151" t="str">
        <f t="shared" si="245"/>
        <v>#REF!</v>
      </c>
      <c r="AE335" s="151" t="str">
        <f t="shared" si="245"/>
        <v>#REF!</v>
      </c>
      <c r="AF335" s="151" t="str">
        <f t="shared" si="245"/>
        <v>#REF!</v>
      </c>
      <c r="AG335" s="151" t="str">
        <f t="shared" si="245"/>
        <v>#REF!</v>
      </c>
      <c r="AH335" s="151" t="str">
        <f t="shared" si="245"/>
        <v>#REF!</v>
      </c>
      <c r="AI335" s="151" t="str">
        <f t="shared" si="245"/>
        <v>#REF!</v>
      </c>
      <c r="AJ335" s="151" t="str">
        <f t="shared" si="245"/>
        <v>#REF!</v>
      </c>
      <c r="AK335" s="151" t="str">
        <f t="shared" si="245"/>
        <v>#REF!</v>
      </c>
      <c r="AL335" s="151" t="str">
        <f t="shared" si="245"/>
        <v>#REF!</v>
      </c>
      <c r="AM335" s="151" t="str">
        <f t="shared" si="245"/>
        <v>#REF!</v>
      </c>
      <c r="AN335" s="151" t="str">
        <f t="shared" si="245"/>
        <v>#REF!</v>
      </c>
      <c r="AO335" s="151" t="str">
        <f t="shared" si="245"/>
        <v>#REF!</v>
      </c>
      <c r="AP335" s="151" t="str">
        <f t="shared" si="245"/>
        <v>#REF!</v>
      </c>
      <c r="AQ335" s="251"/>
      <c r="AR335" s="251"/>
      <c r="AS335" s="251"/>
      <c r="AT335" s="251"/>
      <c r="AU335" s="251"/>
      <c r="AV335" s="251"/>
    </row>
    <row r="336" ht="12.75" customHeight="1" outlineLevel="1">
      <c r="A336" s="90"/>
      <c r="B336" s="90"/>
      <c r="C336" s="90"/>
      <c r="D336" s="90"/>
      <c r="E336" s="90"/>
      <c r="F336" s="90"/>
      <c r="G336" s="114"/>
      <c r="H336" s="114"/>
      <c r="I336" s="114"/>
      <c r="J336" s="114"/>
      <c r="K336" s="114"/>
      <c r="L336" s="114"/>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4"/>
      <c r="AR336" s="114"/>
      <c r="AS336" s="114"/>
      <c r="AT336" s="114"/>
      <c r="AU336" s="114"/>
      <c r="AV336" s="114"/>
    </row>
    <row r="337" ht="12.75" customHeight="1" outlineLevel="1">
      <c r="A337" s="90"/>
      <c r="B337" s="201" t="s">
        <v>470</v>
      </c>
      <c r="C337" s="90"/>
      <c r="D337" s="90"/>
      <c r="E337" s="90"/>
      <c r="F337" s="90"/>
      <c r="G337" s="114"/>
      <c r="H337" s="114"/>
      <c r="I337" s="114"/>
      <c r="J337" s="114"/>
      <c r="K337" s="114"/>
      <c r="L337" s="114"/>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4"/>
      <c r="AR337" s="114"/>
      <c r="AS337" s="114"/>
      <c r="AT337" s="114"/>
      <c r="AU337" s="114"/>
      <c r="AV337" s="114"/>
    </row>
    <row r="338" ht="12.75" customHeight="1" outlineLevel="1">
      <c r="A338" s="90"/>
      <c r="B338" s="201"/>
      <c r="C338" s="90" t="s">
        <v>471</v>
      </c>
      <c r="D338" s="90"/>
      <c r="E338" s="90"/>
      <c r="F338" s="90"/>
      <c r="G338" s="114"/>
      <c r="H338" s="147"/>
      <c r="I338" s="147"/>
      <c r="J338" s="147"/>
      <c r="K338" s="147">
        <v>0.0</v>
      </c>
      <c r="L338" s="147">
        <f t="shared" ref="L338:AP338" si="246">-L391+K391</f>
        <v>0</v>
      </c>
      <c r="M338" s="93">
        <f t="shared" si="246"/>
        <v>0</v>
      </c>
      <c r="N338" s="93">
        <f t="shared" si="246"/>
        <v>0</v>
      </c>
      <c r="O338" s="93">
        <f t="shared" si="246"/>
        <v>0</v>
      </c>
      <c r="P338" s="93">
        <f t="shared" si="246"/>
        <v>0</v>
      </c>
      <c r="Q338" s="93">
        <f t="shared" si="246"/>
        <v>0</v>
      </c>
      <c r="R338" s="93">
        <f t="shared" si="246"/>
        <v>0</v>
      </c>
      <c r="S338" s="93">
        <f t="shared" si="246"/>
        <v>0</v>
      </c>
      <c r="T338" s="93">
        <f t="shared" si="246"/>
        <v>0</v>
      </c>
      <c r="U338" s="93">
        <f t="shared" si="246"/>
        <v>0</v>
      </c>
      <c r="V338" s="93">
        <f t="shared" si="246"/>
        <v>0</v>
      </c>
      <c r="W338" s="93">
        <f t="shared" si="246"/>
        <v>0</v>
      </c>
      <c r="X338" s="93">
        <f t="shared" si="246"/>
        <v>0</v>
      </c>
      <c r="Y338" s="93">
        <f t="shared" si="246"/>
        <v>0</v>
      </c>
      <c r="Z338" s="93">
        <f t="shared" si="246"/>
        <v>0</v>
      </c>
      <c r="AA338" s="93">
        <f t="shared" si="246"/>
        <v>0</v>
      </c>
      <c r="AB338" s="93">
        <f t="shared" si="246"/>
        <v>0</v>
      </c>
      <c r="AC338" s="93">
        <f t="shared" si="246"/>
        <v>0</v>
      </c>
      <c r="AD338" s="93">
        <f t="shared" si="246"/>
        <v>0</v>
      </c>
      <c r="AE338" s="93">
        <f t="shared" si="246"/>
        <v>0</v>
      </c>
      <c r="AF338" s="93">
        <f t="shared" si="246"/>
        <v>0</v>
      </c>
      <c r="AG338" s="93">
        <f t="shared" si="246"/>
        <v>0</v>
      </c>
      <c r="AH338" s="93">
        <f t="shared" si="246"/>
        <v>0</v>
      </c>
      <c r="AI338" s="93">
        <f t="shared" si="246"/>
        <v>0</v>
      </c>
      <c r="AJ338" s="93">
        <f t="shared" si="246"/>
        <v>0</v>
      </c>
      <c r="AK338" s="93">
        <f t="shared" si="246"/>
        <v>0</v>
      </c>
      <c r="AL338" s="93">
        <f t="shared" si="246"/>
        <v>0</v>
      </c>
      <c r="AM338" s="93">
        <f t="shared" si="246"/>
        <v>0</v>
      </c>
      <c r="AN338" s="93">
        <f t="shared" si="246"/>
        <v>0</v>
      </c>
      <c r="AO338" s="93">
        <f t="shared" si="246"/>
        <v>0</v>
      </c>
      <c r="AP338" s="93">
        <f t="shared" si="246"/>
        <v>0</v>
      </c>
      <c r="AQ338" s="147"/>
      <c r="AR338" s="147"/>
      <c r="AS338" s="147"/>
      <c r="AT338" s="147"/>
      <c r="AU338" s="147"/>
      <c r="AV338" s="147"/>
    </row>
    <row r="339" ht="12.75" customHeight="1" outlineLevel="1">
      <c r="A339" s="90"/>
      <c r="B339" s="90"/>
      <c r="C339" s="90" t="s">
        <v>472</v>
      </c>
      <c r="D339" s="90"/>
      <c r="E339" s="90"/>
      <c r="F339" s="90"/>
      <c r="G339" s="147"/>
      <c r="H339" s="147"/>
      <c r="I339" s="147"/>
      <c r="J339" s="147"/>
      <c r="K339" s="147">
        <v>0.0</v>
      </c>
      <c r="L339" s="147">
        <v>0.0</v>
      </c>
      <c r="M339" s="93">
        <v>0.0</v>
      </c>
      <c r="N339" s="93">
        <v>0.0</v>
      </c>
      <c r="O339" s="93">
        <v>0.0</v>
      </c>
      <c r="P339" s="93">
        <v>0.0</v>
      </c>
      <c r="Q339" s="93">
        <v>0.0</v>
      </c>
      <c r="R339" s="93">
        <v>0.0</v>
      </c>
      <c r="S339" s="93">
        <v>0.0</v>
      </c>
      <c r="T339" s="93">
        <v>0.0</v>
      </c>
      <c r="U339" s="93">
        <v>0.0</v>
      </c>
      <c r="V339" s="93">
        <v>0.0</v>
      </c>
      <c r="W339" s="93">
        <v>0.0</v>
      </c>
      <c r="X339" s="93">
        <v>0.0</v>
      </c>
      <c r="Y339" s="93">
        <v>0.0</v>
      </c>
      <c r="Z339" s="93">
        <v>0.0</v>
      </c>
      <c r="AA339" s="93">
        <v>0.0</v>
      </c>
      <c r="AB339" s="93">
        <v>0.0</v>
      </c>
      <c r="AC339" s="93">
        <v>0.0</v>
      </c>
      <c r="AD339" s="93">
        <v>0.0</v>
      </c>
      <c r="AE339" s="93">
        <v>0.0</v>
      </c>
      <c r="AF339" s="93">
        <v>0.0</v>
      </c>
      <c r="AG339" s="93">
        <v>0.0</v>
      </c>
      <c r="AH339" s="93">
        <v>0.0</v>
      </c>
      <c r="AI339" s="93">
        <v>0.0</v>
      </c>
      <c r="AJ339" s="93">
        <v>0.0</v>
      </c>
      <c r="AK339" s="93">
        <v>0.0</v>
      </c>
      <c r="AL339" s="93">
        <v>0.0</v>
      </c>
      <c r="AM339" s="93">
        <v>0.0</v>
      </c>
      <c r="AN339" s="93">
        <v>0.0</v>
      </c>
      <c r="AO339" s="93">
        <v>0.0</v>
      </c>
      <c r="AP339" s="93">
        <v>0.0</v>
      </c>
      <c r="AQ339" s="147"/>
      <c r="AR339" s="147"/>
      <c r="AS339" s="147"/>
      <c r="AT339" s="147"/>
      <c r="AU339" s="147"/>
      <c r="AV339" s="147"/>
    </row>
    <row r="340" ht="12.75" customHeight="1" outlineLevel="1">
      <c r="A340" s="90"/>
      <c r="B340" s="148" t="s">
        <v>473</v>
      </c>
      <c r="C340" s="148"/>
      <c r="D340" s="148"/>
      <c r="E340" s="148"/>
      <c r="F340" s="148"/>
      <c r="G340" s="251"/>
      <c r="H340" s="251"/>
      <c r="I340" s="251"/>
      <c r="J340" s="251"/>
      <c r="K340" s="251">
        <v>0.0</v>
      </c>
      <c r="L340" s="251">
        <f t="shared" ref="L340:AP340" si="247">SUM(L338:L339)</f>
        <v>0</v>
      </c>
      <c r="M340" s="151">
        <f t="shared" si="247"/>
        <v>0</v>
      </c>
      <c r="N340" s="151">
        <f t="shared" si="247"/>
        <v>0</v>
      </c>
      <c r="O340" s="151">
        <f t="shared" si="247"/>
        <v>0</v>
      </c>
      <c r="P340" s="151">
        <f t="shared" si="247"/>
        <v>0</v>
      </c>
      <c r="Q340" s="151">
        <f t="shared" si="247"/>
        <v>0</v>
      </c>
      <c r="R340" s="151">
        <f t="shared" si="247"/>
        <v>0</v>
      </c>
      <c r="S340" s="151">
        <f t="shared" si="247"/>
        <v>0</v>
      </c>
      <c r="T340" s="151">
        <f t="shared" si="247"/>
        <v>0</v>
      </c>
      <c r="U340" s="151">
        <f t="shared" si="247"/>
        <v>0</v>
      </c>
      <c r="V340" s="151">
        <f t="shared" si="247"/>
        <v>0</v>
      </c>
      <c r="W340" s="151">
        <f t="shared" si="247"/>
        <v>0</v>
      </c>
      <c r="X340" s="151">
        <f t="shared" si="247"/>
        <v>0</v>
      </c>
      <c r="Y340" s="151">
        <f t="shared" si="247"/>
        <v>0</v>
      </c>
      <c r="Z340" s="151">
        <f t="shared" si="247"/>
        <v>0</v>
      </c>
      <c r="AA340" s="151">
        <f t="shared" si="247"/>
        <v>0</v>
      </c>
      <c r="AB340" s="151">
        <f t="shared" si="247"/>
        <v>0</v>
      </c>
      <c r="AC340" s="151">
        <f t="shared" si="247"/>
        <v>0</v>
      </c>
      <c r="AD340" s="151">
        <f t="shared" si="247"/>
        <v>0</v>
      </c>
      <c r="AE340" s="151">
        <f t="shared" si="247"/>
        <v>0</v>
      </c>
      <c r="AF340" s="151">
        <f t="shared" si="247"/>
        <v>0</v>
      </c>
      <c r="AG340" s="151">
        <f t="shared" si="247"/>
        <v>0</v>
      </c>
      <c r="AH340" s="151">
        <f t="shared" si="247"/>
        <v>0</v>
      </c>
      <c r="AI340" s="151">
        <f t="shared" si="247"/>
        <v>0</v>
      </c>
      <c r="AJ340" s="151">
        <f t="shared" si="247"/>
        <v>0</v>
      </c>
      <c r="AK340" s="151">
        <f t="shared" si="247"/>
        <v>0</v>
      </c>
      <c r="AL340" s="151">
        <f t="shared" si="247"/>
        <v>0</v>
      </c>
      <c r="AM340" s="151">
        <f t="shared" si="247"/>
        <v>0</v>
      </c>
      <c r="AN340" s="151">
        <f t="shared" si="247"/>
        <v>0</v>
      </c>
      <c r="AO340" s="151">
        <f t="shared" si="247"/>
        <v>0</v>
      </c>
      <c r="AP340" s="151">
        <f t="shared" si="247"/>
        <v>0</v>
      </c>
      <c r="AQ340" s="251"/>
      <c r="AR340" s="251"/>
      <c r="AS340" s="251"/>
      <c r="AT340" s="251"/>
      <c r="AU340" s="251"/>
      <c r="AV340" s="251"/>
    </row>
    <row r="341" ht="12.75" customHeight="1" outlineLevel="1">
      <c r="A341" s="90"/>
      <c r="B341" s="90"/>
      <c r="C341" s="90"/>
      <c r="D341" s="90"/>
      <c r="E341" s="90"/>
      <c r="F341" s="90"/>
      <c r="G341" s="114"/>
      <c r="H341" s="114"/>
      <c r="I341" s="114"/>
      <c r="J341" s="114"/>
      <c r="K341" s="114"/>
      <c r="L341" s="114"/>
      <c r="M341" s="115"/>
      <c r="N341" s="115"/>
      <c r="O341" s="115"/>
      <c r="P341" s="93"/>
      <c r="Q341" s="93"/>
      <c r="R341" s="93"/>
      <c r="S341" s="93"/>
      <c r="T341" s="93"/>
      <c r="U341" s="93"/>
      <c r="V341" s="93"/>
      <c r="W341" s="93"/>
      <c r="X341" s="93"/>
      <c r="Y341" s="93"/>
      <c r="Z341" s="93"/>
      <c r="AA341" s="93"/>
      <c r="AB341" s="93"/>
      <c r="AC341" s="93"/>
      <c r="AD341" s="93"/>
      <c r="AE341" s="93"/>
      <c r="AF341" s="93"/>
      <c r="AG341" s="93"/>
      <c r="AH341" s="93"/>
      <c r="AI341" s="93"/>
      <c r="AJ341" s="93"/>
      <c r="AK341" s="93"/>
      <c r="AL341" s="93"/>
      <c r="AM341" s="93"/>
      <c r="AN341" s="93"/>
      <c r="AO341" s="93"/>
      <c r="AP341" s="93"/>
    </row>
    <row r="342" ht="12.75" customHeight="1" outlineLevel="1">
      <c r="A342" s="90"/>
      <c r="B342" s="201" t="s">
        <v>474</v>
      </c>
      <c r="C342" s="90"/>
      <c r="D342" s="90"/>
      <c r="E342" s="90"/>
      <c r="F342" s="90"/>
      <c r="G342" s="114"/>
      <c r="H342" s="114"/>
      <c r="I342" s="114"/>
      <c r="J342" s="114"/>
      <c r="K342" s="114"/>
      <c r="L342" s="114"/>
      <c r="M342" s="115"/>
      <c r="N342" s="115"/>
      <c r="O342" s="115"/>
      <c r="P342" s="93"/>
      <c r="Q342" s="93"/>
      <c r="R342" s="93"/>
      <c r="S342" s="93"/>
      <c r="T342" s="93"/>
      <c r="U342" s="93"/>
      <c r="V342" s="93"/>
      <c r="W342" s="93"/>
      <c r="X342" s="93"/>
      <c r="Y342" s="93"/>
      <c r="Z342" s="93"/>
      <c r="AA342" s="93"/>
      <c r="AB342" s="93"/>
      <c r="AC342" s="93"/>
      <c r="AD342" s="93"/>
      <c r="AE342" s="93"/>
      <c r="AF342" s="93"/>
      <c r="AG342" s="93"/>
      <c r="AH342" s="93"/>
      <c r="AI342" s="93"/>
      <c r="AJ342" s="93"/>
      <c r="AK342" s="93"/>
      <c r="AL342" s="93"/>
      <c r="AM342" s="93"/>
      <c r="AN342" s="93"/>
      <c r="AO342" s="93"/>
      <c r="AP342" s="93"/>
    </row>
    <row r="343" ht="12.75" customHeight="1" outlineLevel="1">
      <c r="A343" s="90"/>
      <c r="B343" s="90"/>
      <c r="C343" s="90" t="s">
        <v>475</v>
      </c>
      <c r="D343" s="90"/>
      <c r="E343" s="90"/>
      <c r="F343" s="90"/>
      <c r="G343" s="90"/>
      <c r="H343" s="90"/>
      <c r="I343" s="90"/>
      <c r="J343" s="90"/>
      <c r="K343" s="90"/>
      <c r="L343" s="90"/>
      <c r="M343" s="93"/>
      <c r="N343" s="93"/>
      <c r="O343" s="93"/>
      <c r="P343" s="93"/>
      <c r="Q343" s="93"/>
      <c r="R343" s="93"/>
      <c r="S343" s="93"/>
      <c r="T343" s="93"/>
      <c r="U343" s="93"/>
      <c r="V343" s="93"/>
      <c r="W343" s="93"/>
      <c r="X343" s="93"/>
      <c r="Y343" s="93"/>
      <c r="Z343" s="93"/>
      <c r="AA343" s="93"/>
      <c r="AB343" s="93"/>
      <c r="AC343" s="93"/>
      <c r="AD343" s="93"/>
      <c r="AE343" s="93"/>
      <c r="AF343" s="93"/>
      <c r="AG343" s="93"/>
      <c r="AH343" s="93"/>
      <c r="AI343" s="93"/>
      <c r="AJ343" s="93"/>
      <c r="AK343" s="93"/>
      <c r="AL343" s="93"/>
      <c r="AM343" s="93"/>
      <c r="AN343" s="93"/>
      <c r="AO343" s="93"/>
      <c r="AP343" s="93"/>
    </row>
    <row r="344" ht="12.75" customHeight="1" outlineLevel="1">
      <c r="A344" s="90"/>
      <c r="B344" s="90"/>
      <c r="C344" s="90"/>
      <c r="D344" s="90" t="s">
        <v>476</v>
      </c>
      <c r="E344" s="90"/>
      <c r="F344" s="90"/>
      <c r="G344" s="99"/>
      <c r="H344" s="99"/>
      <c r="I344" s="99"/>
      <c r="J344" s="99"/>
      <c r="K344" s="99">
        <v>1923320.55</v>
      </c>
      <c r="L344" s="99">
        <f t="shared" ref="L344:AP344" si="248">L362-K362</f>
        <v>-324712.87</v>
      </c>
      <c r="M344" s="93">
        <f t="shared" si="248"/>
        <v>-373801.6999</v>
      </c>
      <c r="N344" s="93">
        <f t="shared" si="248"/>
        <v>93736.3918</v>
      </c>
      <c r="O344" s="93">
        <f t="shared" si="248"/>
        <v>-670724.3864</v>
      </c>
      <c r="P344" s="93">
        <f t="shared" si="248"/>
        <v>142582.0145</v>
      </c>
      <c r="Q344" s="93">
        <f t="shared" si="248"/>
        <v>31616</v>
      </c>
      <c r="R344" s="93">
        <f t="shared" si="248"/>
        <v>32880.64</v>
      </c>
      <c r="S344" s="93">
        <f t="shared" si="248"/>
        <v>34195.8656</v>
      </c>
      <c r="T344" s="93">
        <f t="shared" si="248"/>
        <v>-889092.5056</v>
      </c>
      <c r="U344" s="93">
        <f t="shared" si="248"/>
        <v>0</v>
      </c>
      <c r="V344" s="93">
        <f t="shared" si="248"/>
        <v>0</v>
      </c>
      <c r="W344" s="93">
        <f t="shared" si="248"/>
        <v>0</v>
      </c>
      <c r="X344" s="93">
        <f t="shared" si="248"/>
        <v>0</v>
      </c>
      <c r="Y344" s="93">
        <f t="shared" si="248"/>
        <v>0</v>
      </c>
      <c r="Z344" s="93">
        <f t="shared" si="248"/>
        <v>0</v>
      </c>
      <c r="AA344" s="93">
        <f t="shared" si="248"/>
        <v>0</v>
      </c>
      <c r="AB344" s="93">
        <f t="shared" si="248"/>
        <v>0</v>
      </c>
      <c r="AC344" s="93">
        <f t="shared" si="248"/>
        <v>0</v>
      </c>
      <c r="AD344" s="93">
        <f t="shared" si="248"/>
        <v>0</v>
      </c>
      <c r="AE344" s="93">
        <f t="shared" si="248"/>
        <v>0</v>
      </c>
      <c r="AF344" s="93">
        <f t="shared" si="248"/>
        <v>0</v>
      </c>
      <c r="AG344" s="93">
        <f t="shared" si="248"/>
        <v>0</v>
      </c>
      <c r="AH344" s="93">
        <f t="shared" si="248"/>
        <v>0</v>
      </c>
      <c r="AI344" s="93">
        <f t="shared" si="248"/>
        <v>0</v>
      </c>
      <c r="AJ344" s="93">
        <f t="shared" si="248"/>
        <v>0</v>
      </c>
      <c r="AK344" s="93">
        <f t="shared" si="248"/>
        <v>0</v>
      </c>
      <c r="AL344" s="93">
        <f t="shared" si="248"/>
        <v>0</v>
      </c>
      <c r="AM344" s="93">
        <f t="shared" si="248"/>
        <v>0</v>
      </c>
      <c r="AN344" s="93">
        <f t="shared" si="248"/>
        <v>0</v>
      </c>
      <c r="AO344" s="93">
        <f t="shared" si="248"/>
        <v>0</v>
      </c>
      <c r="AP344" s="93">
        <f t="shared" si="248"/>
        <v>0</v>
      </c>
      <c r="AQ344" s="99"/>
      <c r="AR344" s="99"/>
      <c r="AS344" s="99"/>
      <c r="AT344" s="99"/>
      <c r="AU344" s="99"/>
      <c r="AV344" s="99"/>
    </row>
    <row r="345" ht="12.75" customHeight="1" outlineLevel="1">
      <c r="A345" s="90"/>
      <c r="B345" s="90"/>
      <c r="C345" s="90"/>
      <c r="D345" s="90" t="s">
        <v>477</v>
      </c>
      <c r="E345" s="90"/>
      <c r="F345" s="90"/>
      <c r="G345" s="99"/>
      <c r="H345" s="99"/>
      <c r="I345" s="99"/>
      <c r="J345" s="99"/>
      <c r="K345" s="99">
        <v>0.0</v>
      </c>
      <c r="L345" s="99">
        <f t="shared" ref="L345:AP345" si="249">L376-K376</f>
        <v>500000</v>
      </c>
      <c r="M345" s="93">
        <f t="shared" si="249"/>
        <v>-500000</v>
      </c>
      <c r="N345" s="93">
        <f t="shared" si="249"/>
        <v>0</v>
      </c>
      <c r="O345" s="93">
        <f t="shared" si="249"/>
        <v>0</v>
      </c>
      <c r="P345" s="93">
        <f t="shared" si="249"/>
        <v>0</v>
      </c>
      <c r="Q345" s="93">
        <f t="shared" si="249"/>
        <v>0</v>
      </c>
      <c r="R345" s="93">
        <f t="shared" si="249"/>
        <v>0</v>
      </c>
      <c r="S345" s="93">
        <f t="shared" si="249"/>
        <v>0</v>
      </c>
      <c r="T345" s="93">
        <f t="shared" si="249"/>
        <v>0</v>
      </c>
      <c r="U345" s="93">
        <f t="shared" si="249"/>
        <v>0</v>
      </c>
      <c r="V345" s="93">
        <f t="shared" si="249"/>
        <v>0</v>
      </c>
      <c r="W345" s="93">
        <f t="shared" si="249"/>
        <v>0</v>
      </c>
      <c r="X345" s="93">
        <f t="shared" si="249"/>
        <v>0</v>
      </c>
      <c r="Y345" s="93">
        <f t="shared" si="249"/>
        <v>0</v>
      </c>
      <c r="Z345" s="93">
        <f t="shared" si="249"/>
        <v>0</v>
      </c>
      <c r="AA345" s="93">
        <f t="shared" si="249"/>
        <v>0</v>
      </c>
      <c r="AB345" s="93">
        <f t="shared" si="249"/>
        <v>0</v>
      </c>
      <c r="AC345" s="93">
        <f t="shared" si="249"/>
        <v>0</v>
      </c>
      <c r="AD345" s="93">
        <f t="shared" si="249"/>
        <v>0</v>
      </c>
      <c r="AE345" s="93">
        <f t="shared" si="249"/>
        <v>0</v>
      </c>
      <c r="AF345" s="93">
        <f t="shared" si="249"/>
        <v>0</v>
      </c>
      <c r="AG345" s="93">
        <f t="shared" si="249"/>
        <v>0</v>
      </c>
      <c r="AH345" s="93">
        <f t="shared" si="249"/>
        <v>0</v>
      </c>
      <c r="AI345" s="93">
        <f t="shared" si="249"/>
        <v>0</v>
      </c>
      <c r="AJ345" s="93">
        <f t="shared" si="249"/>
        <v>0</v>
      </c>
      <c r="AK345" s="93">
        <f t="shared" si="249"/>
        <v>0</v>
      </c>
      <c r="AL345" s="93">
        <f t="shared" si="249"/>
        <v>0</v>
      </c>
      <c r="AM345" s="93">
        <f t="shared" si="249"/>
        <v>0</v>
      </c>
      <c r="AN345" s="93">
        <f t="shared" si="249"/>
        <v>0</v>
      </c>
      <c r="AO345" s="93">
        <f t="shared" si="249"/>
        <v>0</v>
      </c>
      <c r="AP345" s="93">
        <f t="shared" si="249"/>
        <v>0</v>
      </c>
      <c r="AQ345" s="99"/>
      <c r="AR345" s="99"/>
      <c r="AS345" s="99"/>
      <c r="AT345" s="99"/>
      <c r="AU345" s="99"/>
      <c r="AV345" s="99"/>
    </row>
    <row r="346" ht="12.75" customHeight="1" outlineLevel="1">
      <c r="A346" s="90"/>
      <c r="B346" s="90"/>
      <c r="C346" s="90"/>
      <c r="D346" s="90" t="s">
        <v>478</v>
      </c>
      <c r="E346" s="90"/>
      <c r="F346" s="90"/>
      <c r="G346" s="99"/>
      <c r="H346" s="99"/>
      <c r="I346" s="99"/>
      <c r="J346" s="99"/>
      <c r="K346" s="99">
        <f t="shared" ref="K346:AP346" si="250">K369-J369</f>
        <v>0</v>
      </c>
      <c r="L346" s="99">
        <f t="shared" si="250"/>
        <v>0</v>
      </c>
      <c r="M346" s="99">
        <f t="shared" si="250"/>
        <v>0</v>
      </c>
      <c r="N346" s="99">
        <f t="shared" si="250"/>
        <v>0</v>
      </c>
      <c r="O346" s="99">
        <f t="shared" si="250"/>
        <v>0</v>
      </c>
      <c r="P346" s="99">
        <f t="shared" si="250"/>
        <v>0</v>
      </c>
      <c r="Q346" s="99">
        <f t="shared" si="250"/>
        <v>0</v>
      </c>
      <c r="R346" s="99">
        <f t="shared" si="250"/>
        <v>0</v>
      </c>
      <c r="S346" s="99">
        <f t="shared" si="250"/>
        <v>0</v>
      </c>
      <c r="T346" s="99">
        <f t="shared" si="250"/>
        <v>0</v>
      </c>
      <c r="U346" s="99">
        <f t="shared" si="250"/>
        <v>0</v>
      </c>
      <c r="V346" s="99">
        <f t="shared" si="250"/>
        <v>0</v>
      </c>
      <c r="W346" s="99">
        <f t="shared" si="250"/>
        <v>5000000</v>
      </c>
      <c r="X346" s="99">
        <f t="shared" si="250"/>
        <v>10000000</v>
      </c>
      <c r="Y346" s="99">
        <f t="shared" si="250"/>
        <v>0</v>
      </c>
      <c r="Z346" s="99">
        <f t="shared" si="250"/>
        <v>-15000000</v>
      </c>
      <c r="AA346" s="99">
        <f t="shared" si="250"/>
        <v>0</v>
      </c>
      <c r="AB346" s="99">
        <f t="shared" si="250"/>
        <v>0</v>
      </c>
      <c r="AC346" s="99">
        <f t="shared" si="250"/>
        <v>0</v>
      </c>
      <c r="AD346" s="99">
        <f t="shared" si="250"/>
        <v>0</v>
      </c>
      <c r="AE346" s="99">
        <f t="shared" si="250"/>
        <v>0</v>
      </c>
      <c r="AF346" s="99">
        <f t="shared" si="250"/>
        <v>0</v>
      </c>
      <c r="AG346" s="99">
        <f t="shared" si="250"/>
        <v>0</v>
      </c>
      <c r="AH346" s="99">
        <f t="shared" si="250"/>
        <v>0</v>
      </c>
      <c r="AI346" s="99">
        <f t="shared" si="250"/>
        <v>0</v>
      </c>
      <c r="AJ346" s="99">
        <f t="shared" si="250"/>
        <v>0</v>
      </c>
      <c r="AK346" s="99">
        <f t="shared" si="250"/>
        <v>0</v>
      </c>
      <c r="AL346" s="99">
        <f t="shared" si="250"/>
        <v>0</v>
      </c>
      <c r="AM346" s="99">
        <f t="shared" si="250"/>
        <v>0</v>
      </c>
      <c r="AN346" s="99">
        <f t="shared" si="250"/>
        <v>0</v>
      </c>
      <c r="AO346" s="99">
        <f t="shared" si="250"/>
        <v>0</v>
      </c>
      <c r="AP346" s="99">
        <f t="shared" si="250"/>
        <v>0</v>
      </c>
      <c r="AQ346" s="99"/>
      <c r="AR346" s="99"/>
      <c r="AS346" s="99"/>
      <c r="AT346" s="99"/>
      <c r="AU346" s="99"/>
      <c r="AV346" s="99"/>
    </row>
    <row r="347" ht="12.75" customHeight="1" outlineLevel="1">
      <c r="A347" s="90"/>
      <c r="B347" s="90"/>
      <c r="C347" s="90"/>
      <c r="D347" s="90" t="s">
        <v>479</v>
      </c>
      <c r="E347" s="90"/>
      <c r="F347" s="90"/>
      <c r="G347" s="99"/>
      <c r="H347" s="99"/>
      <c r="I347" s="99"/>
      <c r="J347" s="99"/>
      <c r="K347" s="99">
        <v>-50000.0</v>
      </c>
      <c r="L347" s="99">
        <f t="shared" ref="L347:AP347" si="251">-L383+K383</f>
        <v>-400000</v>
      </c>
      <c r="M347" s="93">
        <f t="shared" si="251"/>
        <v>200000</v>
      </c>
      <c r="N347" s="93">
        <f t="shared" si="251"/>
        <v>0</v>
      </c>
      <c r="O347" s="93">
        <f t="shared" si="251"/>
        <v>0</v>
      </c>
      <c r="P347" s="93">
        <f t="shared" si="251"/>
        <v>0</v>
      </c>
      <c r="Q347" s="93">
        <f t="shared" si="251"/>
        <v>-54121.608</v>
      </c>
      <c r="R347" s="93">
        <f t="shared" si="251"/>
        <v>-303622.2209</v>
      </c>
      <c r="S347" s="93">
        <f t="shared" si="251"/>
        <v>-397543.3911</v>
      </c>
      <c r="T347" s="93">
        <f t="shared" si="251"/>
        <v>-1263554.234</v>
      </c>
      <c r="U347" s="93">
        <f t="shared" si="251"/>
        <v>-1991820.948</v>
      </c>
      <c r="V347" s="93">
        <f t="shared" si="251"/>
        <v>-2775717.947</v>
      </c>
      <c r="W347" s="93">
        <f t="shared" si="251"/>
        <v>-9414249.46</v>
      </c>
      <c r="X347" s="93">
        <f t="shared" si="251"/>
        <v>-10464333.91</v>
      </c>
      <c r="Y347" s="93">
        <f t="shared" si="251"/>
        <v>-12231984.46</v>
      </c>
      <c r="Z347" s="93">
        <f t="shared" si="251"/>
        <v>-13243675.25</v>
      </c>
      <c r="AA347" s="93">
        <f t="shared" si="251"/>
        <v>-25069434.81</v>
      </c>
      <c r="AB347" s="93">
        <f t="shared" si="251"/>
        <v>-37166102.56</v>
      </c>
      <c r="AC347" s="93">
        <f t="shared" si="251"/>
        <v>-45457033.91</v>
      </c>
      <c r="AD347" s="93">
        <f t="shared" si="251"/>
        <v>-50877798.95</v>
      </c>
      <c r="AE347" s="93">
        <f t="shared" si="251"/>
        <v>-51704057.06</v>
      </c>
      <c r="AF347" s="93">
        <f t="shared" si="251"/>
        <v>-48006178.05</v>
      </c>
      <c r="AG347" s="93">
        <f t="shared" si="251"/>
        <v>-36095345.19</v>
      </c>
      <c r="AH347" s="93">
        <f t="shared" si="251"/>
        <v>-9022512.855</v>
      </c>
      <c r="AI347" s="93">
        <f t="shared" si="251"/>
        <v>69187872.93</v>
      </c>
      <c r="AJ347" s="93">
        <f t="shared" si="251"/>
        <v>87730551.76</v>
      </c>
      <c r="AK347" s="93">
        <f t="shared" si="251"/>
        <v>90657221.22</v>
      </c>
      <c r="AL347" s="93">
        <f t="shared" si="251"/>
        <v>77736102.72</v>
      </c>
      <c r="AM347" s="93" t="str">
        <f t="shared" si="251"/>
        <v>#REF!</v>
      </c>
      <c r="AN347" s="93" t="str">
        <f t="shared" si="251"/>
        <v>#REF!</v>
      </c>
      <c r="AO347" s="93" t="str">
        <f t="shared" si="251"/>
        <v>#REF!</v>
      </c>
      <c r="AP347" s="93" t="str">
        <f t="shared" si="251"/>
        <v>#REF!</v>
      </c>
      <c r="AQ347" s="99"/>
      <c r="AR347" s="99"/>
      <c r="AS347" s="99"/>
      <c r="AT347" s="99"/>
      <c r="AU347" s="99"/>
      <c r="AV347" s="99"/>
    </row>
    <row r="348" ht="12.75" customHeight="1" outlineLevel="1">
      <c r="A348" s="90"/>
      <c r="B348" s="90"/>
      <c r="C348" s="90"/>
      <c r="D348" s="90" t="s">
        <v>480</v>
      </c>
      <c r="E348" s="90"/>
      <c r="F348" s="90"/>
      <c r="G348" s="99"/>
      <c r="H348" s="99"/>
      <c r="I348" s="99"/>
      <c r="J348" s="99"/>
      <c r="K348" s="99"/>
      <c r="L348" s="99"/>
      <c r="M348" s="93"/>
      <c r="N348" s="93"/>
      <c r="O348" s="93"/>
      <c r="P348" s="93"/>
      <c r="Q348" s="93"/>
      <c r="R348" s="93"/>
      <c r="S348" s="93"/>
      <c r="T348" s="93"/>
      <c r="U348" s="93"/>
      <c r="V348" s="93"/>
      <c r="W348" s="93"/>
      <c r="X348" s="93"/>
      <c r="Y348" s="93"/>
      <c r="Z348" s="93"/>
      <c r="AA348" s="93"/>
      <c r="AB348" s="93"/>
      <c r="AC348" s="93"/>
      <c r="AD348" s="93"/>
      <c r="AE348" s="93"/>
      <c r="AF348" s="93"/>
      <c r="AG348" s="93"/>
      <c r="AH348" s="93"/>
      <c r="AI348" s="93"/>
      <c r="AJ348" s="93"/>
      <c r="AK348" s="93"/>
      <c r="AL348" s="93"/>
      <c r="AM348" s="93"/>
      <c r="AN348" s="93"/>
      <c r="AO348" s="93"/>
      <c r="AP348" s="93"/>
      <c r="AQ348" s="99"/>
      <c r="AR348" s="99"/>
      <c r="AS348" s="99"/>
      <c r="AT348" s="99"/>
      <c r="AU348" s="99"/>
      <c r="AV348" s="99"/>
    </row>
    <row r="349" ht="12.75" customHeight="1" outlineLevel="1">
      <c r="A349" s="90"/>
      <c r="B349" s="90"/>
      <c r="C349" s="90" t="s">
        <v>481</v>
      </c>
      <c r="D349" s="90"/>
      <c r="E349" s="90"/>
      <c r="F349" s="90"/>
      <c r="G349" s="99"/>
      <c r="H349" s="99"/>
      <c r="I349" s="99"/>
      <c r="J349" s="99"/>
      <c r="K349" s="99"/>
      <c r="L349" s="99"/>
      <c r="M349" s="93"/>
      <c r="N349" s="93"/>
      <c r="O349" s="93"/>
      <c r="P349" s="93"/>
      <c r="Q349" s="93"/>
      <c r="R349" s="93"/>
      <c r="S349" s="93"/>
      <c r="T349" s="93"/>
      <c r="U349" s="93"/>
      <c r="V349" s="93"/>
      <c r="W349" s="93"/>
      <c r="X349" s="93"/>
      <c r="Y349" s="93"/>
      <c r="Z349" s="93"/>
      <c r="AA349" s="93"/>
      <c r="AB349" s="93"/>
      <c r="AC349" s="93"/>
      <c r="AD349" s="93"/>
      <c r="AE349" s="93"/>
      <c r="AF349" s="93"/>
      <c r="AG349" s="93"/>
      <c r="AH349" s="93"/>
      <c r="AI349" s="93"/>
      <c r="AJ349" s="93"/>
      <c r="AK349" s="93"/>
      <c r="AL349" s="93"/>
      <c r="AM349" s="93"/>
      <c r="AN349" s="93"/>
      <c r="AO349" s="93"/>
      <c r="AP349" s="93"/>
      <c r="AQ349" s="99"/>
      <c r="AR349" s="99"/>
      <c r="AS349" s="99"/>
      <c r="AT349" s="99"/>
      <c r="AU349" s="99"/>
      <c r="AV349" s="99"/>
    </row>
    <row r="350" ht="12.75" customHeight="1" outlineLevel="1">
      <c r="A350" s="90"/>
      <c r="B350" s="148" t="s">
        <v>482</v>
      </c>
      <c r="C350" s="148"/>
      <c r="D350" s="148"/>
      <c r="E350" s="148"/>
      <c r="F350" s="148"/>
      <c r="G350" s="150"/>
      <c r="H350" s="150"/>
      <c r="I350" s="150"/>
      <c r="J350" s="150"/>
      <c r="K350" s="150">
        <f t="shared" ref="K350:AP350" si="252">SUM(K344:K349)</f>
        <v>1873320.55</v>
      </c>
      <c r="L350" s="150">
        <f t="shared" si="252"/>
        <v>-224712.87</v>
      </c>
      <c r="M350" s="151">
        <f t="shared" si="252"/>
        <v>-673801.6999</v>
      </c>
      <c r="N350" s="151">
        <f t="shared" si="252"/>
        <v>93736.3918</v>
      </c>
      <c r="O350" s="151">
        <f t="shared" si="252"/>
        <v>-670724.3864</v>
      </c>
      <c r="P350" s="151">
        <f t="shared" si="252"/>
        <v>142582.0145</v>
      </c>
      <c r="Q350" s="151">
        <f t="shared" si="252"/>
        <v>-22505.608</v>
      </c>
      <c r="R350" s="151">
        <f t="shared" si="252"/>
        <v>-270741.5809</v>
      </c>
      <c r="S350" s="151">
        <f t="shared" si="252"/>
        <v>-363347.5255</v>
      </c>
      <c r="T350" s="151">
        <f t="shared" si="252"/>
        <v>-2152646.74</v>
      </c>
      <c r="U350" s="151">
        <f t="shared" si="252"/>
        <v>-1991820.948</v>
      </c>
      <c r="V350" s="151">
        <f t="shared" si="252"/>
        <v>-2775717.947</v>
      </c>
      <c r="W350" s="151">
        <f t="shared" si="252"/>
        <v>-4414249.46</v>
      </c>
      <c r="X350" s="151">
        <f t="shared" si="252"/>
        <v>-464333.9126</v>
      </c>
      <c r="Y350" s="151">
        <f t="shared" si="252"/>
        <v>-12231984.46</v>
      </c>
      <c r="Z350" s="151">
        <f t="shared" si="252"/>
        <v>-28243675.25</v>
      </c>
      <c r="AA350" s="151">
        <f t="shared" si="252"/>
        <v>-25069434.81</v>
      </c>
      <c r="AB350" s="151">
        <f t="shared" si="252"/>
        <v>-37166102.56</v>
      </c>
      <c r="AC350" s="151">
        <f t="shared" si="252"/>
        <v>-45457033.91</v>
      </c>
      <c r="AD350" s="151">
        <f t="shared" si="252"/>
        <v>-50877798.95</v>
      </c>
      <c r="AE350" s="151">
        <f t="shared" si="252"/>
        <v>-51704057.06</v>
      </c>
      <c r="AF350" s="151">
        <f t="shared" si="252"/>
        <v>-48006178.05</v>
      </c>
      <c r="AG350" s="151">
        <f t="shared" si="252"/>
        <v>-36095345.19</v>
      </c>
      <c r="AH350" s="151">
        <f t="shared" si="252"/>
        <v>-9022512.855</v>
      </c>
      <c r="AI350" s="151">
        <f t="shared" si="252"/>
        <v>69187872.93</v>
      </c>
      <c r="AJ350" s="151">
        <f t="shared" si="252"/>
        <v>87730551.76</v>
      </c>
      <c r="AK350" s="151">
        <f t="shared" si="252"/>
        <v>90657221.22</v>
      </c>
      <c r="AL350" s="151">
        <f t="shared" si="252"/>
        <v>77736102.72</v>
      </c>
      <c r="AM350" s="151" t="str">
        <f t="shared" si="252"/>
        <v>#REF!</v>
      </c>
      <c r="AN350" s="151" t="str">
        <f t="shared" si="252"/>
        <v>#REF!</v>
      </c>
      <c r="AO350" s="151" t="str">
        <f t="shared" si="252"/>
        <v>#REF!</v>
      </c>
      <c r="AP350" s="151" t="str">
        <f t="shared" si="252"/>
        <v>#REF!</v>
      </c>
      <c r="AQ350" s="150"/>
      <c r="AR350" s="150"/>
      <c r="AS350" s="150"/>
      <c r="AT350" s="150"/>
      <c r="AU350" s="150"/>
      <c r="AV350" s="150"/>
    </row>
    <row r="351" ht="12.75" customHeight="1" outlineLevel="1">
      <c r="A351" s="134" t="s">
        <v>483</v>
      </c>
      <c r="B351" s="134"/>
      <c r="C351" s="134"/>
      <c r="D351" s="134"/>
      <c r="E351" s="134"/>
      <c r="F351" s="134"/>
      <c r="G351" s="251"/>
      <c r="H351" s="251"/>
      <c r="I351" s="251"/>
      <c r="J351" s="251"/>
      <c r="K351" s="251">
        <f t="shared" ref="K351:AP351" si="253">SUM(K350,K340,K335)</f>
        <v>2292714.07</v>
      </c>
      <c r="L351" s="251" t="str">
        <f t="shared" si="253"/>
        <v>#REF!</v>
      </c>
      <c r="M351" s="151" t="str">
        <f t="shared" si="253"/>
        <v>#REF!</v>
      </c>
      <c r="N351" s="151" t="str">
        <f t="shared" si="253"/>
        <v>#REF!</v>
      </c>
      <c r="O351" s="151" t="str">
        <f t="shared" si="253"/>
        <v>#REF!</v>
      </c>
      <c r="P351" s="151" t="str">
        <f t="shared" si="253"/>
        <v>#REF!</v>
      </c>
      <c r="Q351" s="151" t="str">
        <f t="shared" si="253"/>
        <v>#REF!</v>
      </c>
      <c r="R351" s="151" t="str">
        <f t="shared" si="253"/>
        <v>#REF!</v>
      </c>
      <c r="S351" s="151" t="str">
        <f t="shared" si="253"/>
        <v>#REF!</v>
      </c>
      <c r="T351" s="151" t="str">
        <f t="shared" si="253"/>
        <v>#REF!</v>
      </c>
      <c r="U351" s="151" t="str">
        <f t="shared" si="253"/>
        <v>#REF!</v>
      </c>
      <c r="V351" s="151" t="str">
        <f t="shared" si="253"/>
        <v>#REF!</v>
      </c>
      <c r="W351" s="151" t="str">
        <f t="shared" si="253"/>
        <v>#REF!</v>
      </c>
      <c r="X351" s="151" t="str">
        <f t="shared" si="253"/>
        <v>#REF!</v>
      </c>
      <c r="Y351" s="151" t="str">
        <f t="shared" si="253"/>
        <v>#REF!</v>
      </c>
      <c r="Z351" s="151" t="str">
        <f t="shared" si="253"/>
        <v>#REF!</v>
      </c>
      <c r="AA351" s="151" t="str">
        <f t="shared" si="253"/>
        <v>#REF!</v>
      </c>
      <c r="AB351" s="151" t="str">
        <f t="shared" si="253"/>
        <v>#REF!</v>
      </c>
      <c r="AC351" s="151" t="str">
        <f t="shared" si="253"/>
        <v>#REF!</v>
      </c>
      <c r="AD351" s="151" t="str">
        <f t="shared" si="253"/>
        <v>#REF!</v>
      </c>
      <c r="AE351" s="151" t="str">
        <f t="shared" si="253"/>
        <v>#REF!</v>
      </c>
      <c r="AF351" s="151" t="str">
        <f t="shared" si="253"/>
        <v>#REF!</v>
      </c>
      <c r="AG351" s="151" t="str">
        <f t="shared" si="253"/>
        <v>#REF!</v>
      </c>
      <c r="AH351" s="151" t="str">
        <f t="shared" si="253"/>
        <v>#REF!</v>
      </c>
      <c r="AI351" s="151" t="str">
        <f t="shared" si="253"/>
        <v>#REF!</v>
      </c>
      <c r="AJ351" s="151" t="str">
        <f t="shared" si="253"/>
        <v>#REF!</v>
      </c>
      <c r="AK351" s="151" t="str">
        <f t="shared" si="253"/>
        <v>#REF!</v>
      </c>
      <c r="AL351" s="151" t="str">
        <f t="shared" si="253"/>
        <v>#REF!</v>
      </c>
      <c r="AM351" s="151" t="str">
        <f t="shared" si="253"/>
        <v>#REF!</v>
      </c>
      <c r="AN351" s="151" t="str">
        <f t="shared" si="253"/>
        <v>#REF!</v>
      </c>
      <c r="AO351" s="151" t="str">
        <f t="shared" si="253"/>
        <v>#REF!</v>
      </c>
      <c r="AP351" s="151" t="str">
        <f t="shared" si="253"/>
        <v>#REF!</v>
      </c>
      <c r="AQ351" s="251"/>
      <c r="AR351" s="251"/>
      <c r="AS351" s="251"/>
      <c r="AT351" s="251"/>
      <c r="AU351" s="251"/>
      <c r="AV351" s="251"/>
    </row>
    <row r="352" ht="12.75" customHeight="1" outlineLevel="1">
      <c r="A352" s="67"/>
      <c r="B352" s="90" t="s">
        <v>216</v>
      </c>
      <c r="C352" s="67"/>
      <c r="D352" s="67"/>
      <c r="E352" s="67"/>
      <c r="F352" s="67"/>
      <c r="G352" s="147"/>
      <c r="H352" s="147"/>
      <c r="I352" s="147"/>
      <c r="J352" s="147"/>
      <c r="K352" s="147" t="str">
        <f>J389</f>
        <v/>
      </c>
      <c r="L352" s="147">
        <f t="shared" ref="L352:AP352" si="254">K353</f>
        <v>2292714.07</v>
      </c>
      <c r="M352" s="93" t="str">
        <f t="shared" si="254"/>
        <v>#REF!</v>
      </c>
      <c r="N352" s="93" t="str">
        <f t="shared" si="254"/>
        <v>#REF!</v>
      </c>
      <c r="O352" s="93" t="str">
        <f t="shared" si="254"/>
        <v>#REF!</v>
      </c>
      <c r="P352" s="93" t="str">
        <f t="shared" si="254"/>
        <v>#REF!</v>
      </c>
      <c r="Q352" s="93" t="str">
        <f t="shared" si="254"/>
        <v>#REF!</v>
      </c>
      <c r="R352" s="93" t="str">
        <f t="shared" si="254"/>
        <v>#REF!</v>
      </c>
      <c r="S352" s="93" t="str">
        <f t="shared" si="254"/>
        <v>#REF!</v>
      </c>
      <c r="T352" s="93" t="str">
        <f t="shared" si="254"/>
        <v>#REF!</v>
      </c>
      <c r="U352" s="93" t="str">
        <f t="shared" si="254"/>
        <v>#REF!</v>
      </c>
      <c r="V352" s="93" t="str">
        <f t="shared" si="254"/>
        <v>#REF!</v>
      </c>
      <c r="W352" s="93" t="str">
        <f t="shared" si="254"/>
        <v>#REF!</v>
      </c>
      <c r="X352" s="93" t="str">
        <f t="shared" si="254"/>
        <v>#REF!</v>
      </c>
      <c r="Y352" s="93" t="str">
        <f t="shared" si="254"/>
        <v>#REF!</v>
      </c>
      <c r="Z352" s="93" t="str">
        <f t="shared" si="254"/>
        <v>#REF!</v>
      </c>
      <c r="AA352" s="93" t="str">
        <f t="shared" si="254"/>
        <v>#REF!</v>
      </c>
      <c r="AB352" s="93" t="str">
        <f t="shared" si="254"/>
        <v>#REF!</v>
      </c>
      <c r="AC352" s="93" t="str">
        <f t="shared" si="254"/>
        <v>#REF!</v>
      </c>
      <c r="AD352" s="93" t="str">
        <f t="shared" si="254"/>
        <v>#REF!</v>
      </c>
      <c r="AE352" s="93" t="str">
        <f t="shared" si="254"/>
        <v>#REF!</v>
      </c>
      <c r="AF352" s="93" t="str">
        <f t="shared" si="254"/>
        <v>#REF!</v>
      </c>
      <c r="AG352" s="93" t="str">
        <f t="shared" si="254"/>
        <v>#REF!</v>
      </c>
      <c r="AH352" s="93" t="str">
        <f t="shared" si="254"/>
        <v>#REF!</v>
      </c>
      <c r="AI352" s="93" t="str">
        <f t="shared" si="254"/>
        <v>#REF!</v>
      </c>
      <c r="AJ352" s="93" t="str">
        <f t="shared" si="254"/>
        <v>#REF!</v>
      </c>
      <c r="AK352" s="93" t="str">
        <f t="shared" si="254"/>
        <v>#REF!</v>
      </c>
      <c r="AL352" s="93" t="str">
        <f t="shared" si="254"/>
        <v>#REF!</v>
      </c>
      <c r="AM352" s="93" t="str">
        <f t="shared" si="254"/>
        <v>#REF!</v>
      </c>
      <c r="AN352" s="93" t="str">
        <f t="shared" si="254"/>
        <v>#REF!</v>
      </c>
      <c r="AO352" s="93" t="str">
        <f t="shared" si="254"/>
        <v>#REF!</v>
      </c>
      <c r="AP352" s="93" t="str">
        <f t="shared" si="254"/>
        <v>#REF!</v>
      </c>
      <c r="AQ352" s="147"/>
      <c r="AR352" s="147"/>
      <c r="AS352" s="147"/>
      <c r="AT352" s="147"/>
      <c r="AU352" s="147"/>
      <c r="AV352" s="147"/>
    </row>
    <row r="353" ht="12.75" customHeight="1" outlineLevel="1">
      <c r="A353" s="131" t="s">
        <v>484</v>
      </c>
      <c r="B353" s="131"/>
      <c r="C353" s="131"/>
      <c r="D353" s="131"/>
      <c r="E353" s="131"/>
      <c r="F353" s="131"/>
      <c r="G353" s="252"/>
      <c r="H353" s="252"/>
      <c r="I353" s="252"/>
      <c r="J353" s="252"/>
      <c r="K353" s="252">
        <f t="shared" ref="K353:AP353" si="255">K352+K351</f>
        <v>2292714.07</v>
      </c>
      <c r="L353" s="252" t="str">
        <f t="shared" si="255"/>
        <v>#REF!</v>
      </c>
      <c r="M353" s="133" t="str">
        <f t="shared" si="255"/>
        <v>#REF!</v>
      </c>
      <c r="N353" s="133" t="str">
        <f t="shared" si="255"/>
        <v>#REF!</v>
      </c>
      <c r="O353" s="133" t="str">
        <f t="shared" si="255"/>
        <v>#REF!</v>
      </c>
      <c r="P353" s="133" t="str">
        <f t="shared" si="255"/>
        <v>#REF!</v>
      </c>
      <c r="Q353" s="133" t="str">
        <f t="shared" si="255"/>
        <v>#REF!</v>
      </c>
      <c r="R353" s="133" t="str">
        <f t="shared" si="255"/>
        <v>#REF!</v>
      </c>
      <c r="S353" s="133" t="str">
        <f t="shared" si="255"/>
        <v>#REF!</v>
      </c>
      <c r="T353" s="133" t="str">
        <f t="shared" si="255"/>
        <v>#REF!</v>
      </c>
      <c r="U353" s="133" t="str">
        <f t="shared" si="255"/>
        <v>#REF!</v>
      </c>
      <c r="V353" s="133" t="str">
        <f t="shared" si="255"/>
        <v>#REF!</v>
      </c>
      <c r="W353" s="133" t="str">
        <f t="shared" si="255"/>
        <v>#REF!</v>
      </c>
      <c r="X353" s="133" t="str">
        <f t="shared" si="255"/>
        <v>#REF!</v>
      </c>
      <c r="Y353" s="133" t="str">
        <f t="shared" si="255"/>
        <v>#REF!</v>
      </c>
      <c r="Z353" s="133" t="str">
        <f t="shared" si="255"/>
        <v>#REF!</v>
      </c>
      <c r="AA353" s="133" t="str">
        <f t="shared" si="255"/>
        <v>#REF!</v>
      </c>
      <c r="AB353" s="133" t="str">
        <f t="shared" si="255"/>
        <v>#REF!</v>
      </c>
      <c r="AC353" s="133" t="str">
        <f t="shared" si="255"/>
        <v>#REF!</v>
      </c>
      <c r="AD353" s="133" t="str">
        <f t="shared" si="255"/>
        <v>#REF!</v>
      </c>
      <c r="AE353" s="133" t="str">
        <f t="shared" si="255"/>
        <v>#REF!</v>
      </c>
      <c r="AF353" s="133" t="str">
        <f t="shared" si="255"/>
        <v>#REF!</v>
      </c>
      <c r="AG353" s="133" t="str">
        <f t="shared" si="255"/>
        <v>#REF!</v>
      </c>
      <c r="AH353" s="133" t="str">
        <f t="shared" si="255"/>
        <v>#REF!</v>
      </c>
      <c r="AI353" s="133" t="str">
        <f t="shared" si="255"/>
        <v>#REF!</v>
      </c>
      <c r="AJ353" s="133" t="str">
        <f t="shared" si="255"/>
        <v>#REF!</v>
      </c>
      <c r="AK353" s="133" t="str">
        <f t="shared" si="255"/>
        <v>#REF!</v>
      </c>
      <c r="AL353" s="133" t="str">
        <f t="shared" si="255"/>
        <v>#REF!</v>
      </c>
      <c r="AM353" s="133" t="str">
        <f t="shared" si="255"/>
        <v>#REF!</v>
      </c>
      <c r="AN353" s="133" t="str">
        <f t="shared" si="255"/>
        <v>#REF!</v>
      </c>
      <c r="AO353" s="133" t="str">
        <f t="shared" si="255"/>
        <v>#REF!</v>
      </c>
      <c r="AP353" s="133" t="str">
        <f t="shared" si="255"/>
        <v>#REF!</v>
      </c>
      <c r="AQ353" s="252"/>
      <c r="AR353" s="252"/>
      <c r="AS353" s="252"/>
      <c r="AT353" s="252"/>
      <c r="AU353" s="252"/>
      <c r="AV353" s="252"/>
    </row>
    <row r="354" ht="12.75" customHeight="1">
      <c r="A354" s="90"/>
    </row>
    <row r="355" ht="12.75" customHeight="1">
      <c r="A355" s="198" t="s">
        <v>485</v>
      </c>
      <c r="B355" s="253"/>
      <c r="C355" s="253"/>
      <c r="D355" s="253"/>
      <c r="E355" s="253"/>
      <c r="F355" s="253"/>
      <c r="G355" s="253"/>
      <c r="H355" s="253"/>
      <c r="I355" s="253"/>
      <c r="J355" s="253"/>
      <c r="K355" s="253"/>
      <c r="L355" s="253"/>
      <c r="M355" s="253"/>
      <c r="N355" s="253"/>
      <c r="O355" s="253"/>
      <c r="P355" s="253"/>
      <c r="Q355" s="253"/>
      <c r="R355" s="253"/>
      <c r="S355" s="253"/>
      <c r="T355" s="253"/>
      <c r="U355" s="253"/>
      <c r="V355" s="253"/>
      <c r="W355" s="253"/>
      <c r="X355" s="253"/>
      <c r="Y355" s="253"/>
      <c r="Z355" s="253"/>
      <c r="AA355" s="253"/>
      <c r="AB355" s="253"/>
      <c r="AC355" s="253"/>
      <c r="AD355" s="253"/>
      <c r="AE355" s="253"/>
      <c r="AF355" s="253"/>
      <c r="AG355" s="253"/>
      <c r="AH355" s="253"/>
      <c r="AI355" s="253"/>
      <c r="AJ355" s="253"/>
      <c r="AK355" s="253"/>
      <c r="AL355" s="253"/>
      <c r="AM355" s="253"/>
      <c r="AN355" s="253"/>
      <c r="AO355" s="253"/>
      <c r="AP355" s="253"/>
      <c r="AQ355" s="253"/>
      <c r="AR355" s="253"/>
      <c r="AS355" s="253"/>
      <c r="AT355" s="253"/>
      <c r="AU355" s="253"/>
      <c r="AV355" s="253"/>
    </row>
    <row r="356" ht="12.75" customHeight="1" outlineLevel="1">
      <c r="A356" s="90"/>
      <c r="B356" s="90"/>
      <c r="C356" s="90"/>
      <c r="D356" s="90"/>
      <c r="E356" s="90"/>
      <c r="F356" s="90"/>
      <c r="G356" s="90"/>
      <c r="H356" s="90"/>
      <c r="I356" s="90"/>
      <c r="J356" s="90"/>
      <c r="K356" s="90"/>
      <c r="L356" s="90"/>
      <c r="M356" s="90"/>
      <c r="N356" s="90"/>
      <c r="O356" s="90"/>
      <c r="P356" s="90"/>
      <c r="Q356" s="90"/>
      <c r="R356" s="90"/>
      <c r="S356" s="90"/>
      <c r="T356" s="90"/>
      <c r="U356" s="90"/>
      <c r="V356" s="90"/>
      <c r="W356" s="90"/>
      <c r="X356" s="90"/>
      <c r="Y356" s="90"/>
      <c r="Z356" s="90"/>
      <c r="AA356" s="90"/>
      <c r="AB356" s="90"/>
      <c r="AC356" s="90"/>
      <c r="AD356" s="90"/>
      <c r="AE356" s="90"/>
      <c r="AF356" s="90"/>
      <c r="AG356" s="90"/>
      <c r="AH356" s="90"/>
      <c r="AI356" s="90"/>
      <c r="AJ356" s="90"/>
      <c r="AK356" s="90"/>
      <c r="AL356" s="90"/>
      <c r="AM356" s="90"/>
      <c r="AN356" s="90"/>
      <c r="AO356" s="90"/>
      <c r="AP356" s="90"/>
      <c r="AQ356" s="90"/>
      <c r="AR356" s="90"/>
      <c r="AS356" s="90"/>
      <c r="AT356" s="90"/>
      <c r="AU356" s="90"/>
      <c r="AV356" s="90"/>
    </row>
    <row r="357" ht="12.75" customHeight="1" outlineLevel="1">
      <c r="A357" s="90"/>
      <c r="B357" s="67" t="s">
        <v>486</v>
      </c>
      <c r="C357" s="90"/>
      <c r="D357" s="90"/>
      <c r="E357" s="90"/>
      <c r="F357" s="90"/>
      <c r="G357" s="90"/>
      <c r="H357" s="90"/>
      <c r="I357" s="90"/>
      <c r="J357" s="90"/>
      <c r="K357" s="90"/>
      <c r="L357" s="90"/>
      <c r="M357" s="90"/>
      <c r="N357" s="90"/>
      <c r="O357" s="90"/>
      <c r="P357" s="90"/>
      <c r="Q357" s="90"/>
      <c r="R357" s="90"/>
      <c r="S357" s="90"/>
      <c r="T357" s="90"/>
      <c r="U357" s="90"/>
      <c r="V357" s="90"/>
      <c r="W357" s="90"/>
      <c r="X357" s="90"/>
      <c r="Y357" s="90"/>
      <c r="Z357" s="90"/>
      <c r="AA357" s="90"/>
      <c r="AB357" s="90"/>
      <c r="AC357" s="90"/>
      <c r="AD357" s="90"/>
      <c r="AE357" s="90"/>
      <c r="AF357" s="90"/>
      <c r="AG357" s="90"/>
      <c r="AH357" s="90"/>
      <c r="AI357" s="90"/>
      <c r="AJ357" s="90"/>
      <c r="AK357" s="90"/>
      <c r="AL357" s="90"/>
      <c r="AM357" s="90"/>
      <c r="AN357" s="90"/>
      <c r="AO357" s="90"/>
      <c r="AP357" s="90"/>
      <c r="AQ357" s="90"/>
      <c r="AR357" s="90"/>
      <c r="AS357" s="90"/>
      <c r="AT357" s="90"/>
      <c r="AU357" s="90"/>
      <c r="AV357" s="90"/>
    </row>
    <row r="358" ht="12.75" customHeight="1" outlineLevel="1">
      <c r="A358" s="90"/>
      <c r="B358" s="90"/>
      <c r="C358" s="90" t="s">
        <v>487</v>
      </c>
      <c r="D358" s="90"/>
      <c r="E358" s="90"/>
      <c r="F358" s="90"/>
      <c r="G358" s="99"/>
      <c r="H358" s="99"/>
      <c r="I358" s="99"/>
      <c r="J358" s="99"/>
      <c r="K358" s="99">
        <v>0.0</v>
      </c>
      <c r="L358" s="99">
        <f t="shared" ref="L358:AN358" si="256">K362</f>
        <v>1923320.55</v>
      </c>
      <c r="M358" s="93">
        <f t="shared" si="256"/>
        <v>1598607.68</v>
      </c>
      <c r="N358" s="93">
        <f t="shared" si="256"/>
        <v>1224805.98</v>
      </c>
      <c r="O358" s="93">
        <f t="shared" si="256"/>
        <v>1318542.372</v>
      </c>
      <c r="P358" s="93">
        <f t="shared" si="256"/>
        <v>647817.9855</v>
      </c>
      <c r="Q358" s="93">
        <f t="shared" si="256"/>
        <v>790400</v>
      </c>
      <c r="R358" s="93">
        <f t="shared" si="256"/>
        <v>822016</v>
      </c>
      <c r="S358" s="93">
        <f t="shared" si="256"/>
        <v>854896.64</v>
      </c>
      <c r="T358" s="93">
        <f t="shared" si="256"/>
        <v>889092.5056</v>
      </c>
      <c r="U358" s="93">
        <f t="shared" si="256"/>
        <v>0</v>
      </c>
      <c r="V358" s="93">
        <f t="shared" si="256"/>
        <v>0</v>
      </c>
      <c r="W358" s="93">
        <f t="shared" si="256"/>
        <v>0</v>
      </c>
      <c r="X358" s="93">
        <f t="shared" si="256"/>
        <v>0</v>
      </c>
      <c r="Y358" s="93">
        <f t="shared" si="256"/>
        <v>0</v>
      </c>
      <c r="Z358" s="93">
        <f t="shared" si="256"/>
        <v>0</v>
      </c>
      <c r="AA358" s="93">
        <f t="shared" si="256"/>
        <v>0</v>
      </c>
      <c r="AB358" s="93">
        <f t="shared" si="256"/>
        <v>0</v>
      </c>
      <c r="AC358" s="93">
        <f t="shared" si="256"/>
        <v>0</v>
      </c>
      <c r="AD358" s="93">
        <f t="shared" si="256"/>
        <v>0</v>
      </c>
      <c r="AE358" s="93">
        <f t="shared" si="256"/>
        <v>0</v>
      </c>
      <c r="AF358" s="93">
        <f t="shared" si="256"/>
        <v>0</v>
      </c>
      <c r="AG358" s="93">
        <f t="shared" si="256"/>
        <v>0</v>
      </c>
      <c r="AH358" s="93">
        <f t="shared" si="256"/>
        <v>0</v>
      </c>
      <c r="AI358" s="93">
        <f t="shared" si="256"/>
        <v>0</v>
      </c>
      <c r="AJ358" s="93">
        <f t="shared" si="256"/>
        <v>0</v>
      </c>
      <c r="AK358" s="93">
        <f t="shared" si="256"/>
        <v>0</v>
      </c>
      <c r="AL358" s="93">
        <f t="shared" si="256"/>
        <v>0</v>
      </c>
      <c r="AM358" s="93">
        <f t="shared" si="256"/>
        <v>0</v>
      </c>
      <c r="AN358" s="93">
        <f t="shared" si="256"/>
        <v>0</v>
      </c>
      <c r="AO358" s="93"/>
      <c r="AP358" s="93"/>
      <c r="AQ358" s="99"/>
      <c r="AR358" s="99"/>
      <c r="AS358" s="99"/>
      <c r="AT358" s="99"/>
      <c r="AU358" s="99"/>
      <c r="AV358" s="99"/>
    </row>
    <row r="359" ht="12.75" customHeight="1" outlineLevel="1">
      <c r="A359" s="90"/>
      <c r="B359" s="90"/>
      <c r="C359" s="90" t="s">
        <v>488</v>
      </c>
      <c r="D359" s="90"/>
      <c r="E359" s="90"/>
      <c r="F359" s="90"/>
      <c r="G359" s="254"/>
      <c r="H359" s="254"/>
      <c r="I359" s="254"/>
      <c r="J359" s="254"/>
      <c r="K359" s="254">
        <v>1900000.0</v>
      </c>
      <c r="L359" s="99">
        <v>0.0</v>
      </c>
      <c r="M359" s="93">
        <v>0.0</v>
      </c>
      <c r="N359" s="93">
        <v>500000.0</v>
      </c>
      <c r="O359" s="93">
        <v>250000.0</v>
      </c>
      <c r="P359" s="93">
        <v>500000.0</v>
      </c>
      <c r="Q359" s="93">
        <v>0.0</v>
      </c>
      <c r="R359" s="93">
        <v>0.0</v>
      </c>
      <c r="S359" s="93">
        <v>0.0</v>
      </c>
      <c r="T359" s="93">
        <v>0.0</v>
      </c>
      <c r="U359" s="93">
        <v>0.0</v>
      </c>
      <c r="V359" s="93">
        <v>0.0</v>
      </c>
      <c r="W359" s="93">
        <v>0.0</v>
      </c>
      <c r="X359" s="93">
        <v>0.0</v>
      </c>
      <c r="Y359" s="93">
        <v>0.0</v>
      </c>
      <c r="Z359" s="93">
        <v>0.0</v>
      </c>
      <c r="AA359" s="93">
        <v>0.0</v>
      </c>
      <c r="AB359" s="93">
        <v>0.0</v>
      </c>
      <c r="AC359" s="93">
        <v>0.0</v>
      </c>
      <c r="AD359" s="93">
        <v>0.0</v>
      </c>
      <c r="AE359" s="93">
        <v>0.0</v>
      </c>
      <c r="AF359" s="93">
        <v>0.0</v>
      </c>
      <c r="AG359" s="93">
        <v>0.0</v>
      </c>
      <c r="AH359" s="93">
        <v>0.0</v>
      </c>
      <c r="AI359" s="93">
        <v>0.0</v>
      </c>
      <c r="AJ359" s="93">
        <v>0.0</v>
      </c>
      <c r="AK359" s="93">
        <v>0.0</v>
      </c>
      <c r="AL359" s="93">
        <v>0.0</v>
      </c>
      <c r="AM359" s="93">
        <v>0.0</v>
      </c>
      <c r="AN359" s="93">
        <v>0.0</v>
      </c>
      <c r="AO359" s="93"/>
      <c r="AP359" s="93"/>
      <c r="AQ359" s="99"/>
      <c r="AR359" s="99"/>
      <c r="AS359" s="99"/>
      <c r="AT359" s="99"/>
      <c r="AU359" s="99"/>
      <c r="AV359" s="99"/>
    </row>
    <row r="360" ht="12.75" customHeight="1" outlineLevel="1">
      <c r="A360" s="90"/>
      <c r="B360" s="90"/>
      <c r="C360" s="90"/>
      <c r="D360" s="90" t="s">
        <v>489</v>
      </c>
      <c r="E360" s="90"/>
      <c r="F360" s="90"/>
      <c r="G360" s="254"/>
      <c r="H360" s="254"/>
      <c r="I360" s="254"/>
      <c r="J360" s="254"/>
      <c r="K360" s="254">
        <v>23320.55</v>
      </c>
      <c r="L360" s="99">
        <v>80767.13</v>
      </c>
      <c r="M360" s="93">
        <f t="shared" ref="M360:AN360" si="257">M358*0.04</f>
        <v>63944.3072</v>
      </c>
      <c r="N360" s="93">
        <f t="shared" si="257"/>
        <v>48992.2392</v>
      </c>
      <c r="O360" s="93">
        <f t="shared" si="257"/>
        <v>52741.69488</v>
      </c>
      <c r="P360" s="93">
        <f t="shared" si="257"/>
        <v>25912.71942</v>
      </c>
      <c r="Q360" s="93">
        <f t="shared" si="257"/>
        <v>31616</v>
      </c>
      <c r="R360" s="93">
        <f t="shared" si="257"/>
        <v>32880.64</v>
      </c>
      <c r="S360" s="93">
        <f t="shared" si="257"/>
        <v>34195.8656</v>
      </c>
      <c r="T360" s="93">
        <f t="shared" si="257"/>
        <v>35563.70022</v>
      </c>
      <c r="U360" s="93">
        <f t="shared" si="257"/>
        <v>0</v>
      </c>
      <c r="V360" s="93">
        <f t="shared" si="257"/>
        <v>0</v>
      </c>
      <c r="W360" s="93">
        <f t="shared" si="257"/>
        <v>0</v>
      </c>
      <c r="X360" s="93">
        <f t="shared" si="257"/>
        <v>0</v>
      </c>
      <c r="Y360" s="93">
        <f t="shared" si="257"/>
        <v>0</v>
      </c>
      <c r="Z360" s="93">
        <f t="shared" si="257"/>
        <v>0</v>
      </c>
      <c r="AA360" s="93">
        <f t="shared" si="257"/>
        <v>0</v>
      </c>
      <c r="AB360" s="93">
        <f t="shared" si="257"/>
        <v>0</v>
      </c>
      <c r="AC360" s="93">
        <f t="shared" si="257"/>
        <v>0</v>
      </c>
      <c r="AD360" s="93">
        <f t="shared" si="257"/>
        <v>0</v>
      </c>
      <c r="AE360" s="93">
        <f t="shared" si="257"/>
        <v>0</v>
      </c>
      <c r="AF360" s="93">
        <f t="shared" si="257"/>
        <v>0</v>
      </c>
      <c r="AG360" s="93">
        <f t="shared" si="257"/>
        <v>0</v>
      </c>
      <c r="AH360" s="93">
        <f t="shared" si="257"/>
        <v>0</v>
      </c>
      <c r="AI360" s="93">
        <f t="shared" si="257"/>
        <v>0</v>
      </c>
      <c r="AJ360" s="93">
        <f t="shared" si="257"/>
        <v>0</v>
      </c>
      <c r="AK360" s="93">
        <f t="shared" si="257"/>
        <v>0</v>
      </c>
      <c r="AL360" s="93">
        <f t="shared" si="257"/>
        <v>0</v>
      </c>
      <c r="AM360" s="93">
        <f t="shared" si="257"/>
        <v>0</v>
      </c>
      <c r="AN360" s="93">
        <f t="shared" si="257"/>
        <v>0</v>
      </c>
      <c r="AO360" s="93"/>
      <c r="AP360" s="93"/>
      <c r="AQ360" s="99"/>
      <c r="AR360" s="99"/>
      <c r="AS360" s="99"/>
      <c r="AT360" s="99"/>
      <c r="AU360" s="99"/>
      <c r="AV360" s="99"/>
    </row>
    <row r="361" ht="12.75" customHeight="1" outlineLevel="1">
      <c r="A361" s="90"/>
      <c r="B361" s="90"/>
      <c r="C361" s="90" t="s">
        <v>490</v>
      </c>
      <c r="D361" s="90"/>
      <c r="E361" s="90"/>
      <c r="F361" s="90"/>
      <c r="G361" s="254"/>
      <c r="H361" s="254"/>
      <c r="I361" s="99"/>
      <c r="J361" s="254"/>
      <c r="K361" s="254">
        <v>0.0</v>
      </c>
      <c r="L361" s="99">
        <v>-405480.0</v>
      </c>
      <c r="M361" s="93">
        <f t="shared" ref="M361:N361" si="258">-400000*(1.04)^(M$2-2008.70085)</f>
        <v>-437746.0071</v>
      </c>
      <c r="N361" s="93">
        <f t="shared" si="258"/>
        <v>-455255.8474</v>
      </c>
      <c r="O361" s="93">
        <f>-400000*(1.04)^(O$2-2008.70085)-500000</f>
        <v>-973466.0813</v>
      </c>
      <c r="P361" s="93">
        <f>-SUM(P358:P360)+(O359*1.04^2+P359*1.04)</f>
        <v>-383330.7049</v>
      </c>
      <c r="Q361" s="93">
        <v>0.0</v>
      </c>
      <c r="R361" s="93">
        <v>0.0</v>
      </c>
      <c r="S361" s="93">
        <v>0.0</v>
      </c>
      <c r="T361" s="93">
        <f t="shared" ref="T361:AN361" si="259">-SUM(T358:T360)</f>
        <v>-924656.2058</v>
      </c>
      <c r="U361" s="93">
        <f t="shared" si="259"/>
        <v>0</v>
      </c>
      <c r="V361" s="93">
        <f t="shared" si="259"/>
        <v>0</v>
      </c>
      <c r="W361" s="93">
        <f t="shared" si="259"/>
        <v>0</v>
      </c>
      <c r="X361" s="93">
        <f t="shared" si="259"/>
        <v>0</v>
      </c>
      <c r="Y361" s="93">
        <f t="shared" si="259"/>
        <v>0</v>
      </c>
      <c r="Z361" s="93">
        <f t="shared" si="259"/>
        <v>0</v>
      </c>
      <c r="AA361" s="93">
        <f t="shared" si="259"/>
        <v>0</v>
      </c>
      <c r="AB361" s="93">
        <f t="shared" si="259"/>
        <v>0</v>
      </c>
      <c r="AC361" s="93">
        <f t="shared" si="259"/>
        <v>0</v>
      </c>
      <c r="AD361" s="93">
        <f t="shared" si="259"/>
        <v>0</v>
      </c>
      <c r="AE361" s="93">
        <f t="shared" si="259"/>
        <v>0</v>
      </c>
      <c r="AF361" s="93">
        <f t="shared" si="259"/>
        <v>0</v>
      </c>
      <c r="AG361" s="93">
        <f t="shared" si="259"/>
        <v>0</v>
      </c>
      <c r="AH361" s="93">
        <f t="shared" si="259"/>
        <v>0</v>
      </c>
      <c r="AI361" s="93">
        <f t="shared" si="259"/>
        <v>0</v>
      </c>
      <c r="AJ361" s="93">
        <f t="shared" si="259"/>
        <v>0</v>
      </c>
      <c r="AK361" s="93">
        <f t="shared" si="259"/>
        <v>0</v>
      </c>
      <c r="AL361" s="93">
        <f t="shared" si="259"/>
        <v>0</v>
      </c>
      <c r="AM361" s="93">
        <f t="shared" si="259"/>
        <v>0</v>
      </c>
      <c r="AN361" s="93">
        <f t="shared" si="259"/>
        <v>0</v>
      </c>
      <c r="AO361" s="93"/>
      <c r="AP361" s="93"/>
      <c r="AQ361" s="99"/>
      <c r="AR361" s="99"/>
      <c r="AS361" s="99"/>
      <c r="AT361" s="99"/>
      <c r="AU361" s="99"/>
      <c r="AV361" s="99"/>
    </row>
    <row r="362" ht="12.75" customHeight="1" outlineLevel="1">
      <c r="A362" s="90"/>
      <c r="B362" s="90"/>
      <c r="C362" s="148" t="s">
        <v>491</v>
      </c>
      <c r="D362" s="148"/>
      <c r="E362" s="148"/>
      <c r="F362" s="148"/>
      <c r="G362" s="150"/>
      <c r="H362" s="150"/>
      <c r="I362" s="150"/>
      <c r="J362" s="150"/>
      <c r="K362" s="150">
        <f t="shared" ref="K362:AN362" si="260">SUM(K358:K361)</f>
        <v>1923320.55</v>
      </c>
      <c r="L362" s="150">
        <f t="shared" si="260"/>
        <v>1598607.68</v>
      </c>
      <c r="M362" s="151">
        <f t="shared" si="260"/>
        <v>1224805.98</v>
      </c>
      <c r="N362" s="151">
        <f t="shared" si="260"/>
        <v>1318542.372</v>
      </c>
      <c r="O362" s="151">
        <f t="shared" si="260"/>
        <v>647817.9855</v>
      </c>
      <c r="P362" s="151">
        <f t="shared" si="260"/>
        <v>790400</v>
      </c>
      <c r="Q362" s="151">
        <f t="shared" si="260"/>
        <v>822016</v>
      </c>
      <c r="R362" s="151">
        <f t="shared" si="260"/>
        <v>854896.64</v>
      </c>
      <c r="S362" s="151">
        <f t="shared" si="260"/>
        <v>889092.5056</v>
      </c>
      <c r="T362" s="151">
        <f t="shared" si="260"/>
        <v>0</v>
      </c>
      <c r="U362" s="151">
        <f t="shared" si="260"/>
        <v>0</v>
      </c>
      <c r="V362" s="151">
        <f t="shared" si="260"/>
        <v>0</v>
      </c>
      <c r="W362" s="151">
        <f t="shared" si="260"/>
        <v>0</v>
      </c>
      <c r="X362" s="151">
        <f t="shared" si="260"/>
        <v>0</v>
      </c>
      <c r="Y362" s="151">
        <f t="shared" si="260"/>
        <v>0</v>
      </c>
      <c r="Z362" s="151">
        <f t="shared" si="260"/>
        <v>0</v>
      </c>
      <c r="AA362" s="151">
        <f t="shared" si="260"/>
        <v>0</v>
      </c>
      <c r="AB362" s="151">
        <f t="shared" si="260"/>
        <v>0</v>
      </c>
      <c r="AC362" s="151">
        <f t="shared" si="260"/>
        <v>0</v>
      </c>
      <c r="AD362" s="151">
        <f t="shared" si="260"/>
        <v>0</v>
      </c>
      <c r="AE362" s="151">
        <f t="shared" si="260"/>
        <v>0</v>
      </c>
      <c r="AF362" s="151">
        <f t="shared" si="260"/>
        <v>0</v>
      </c>
      <c r="AG362" s="151">
        <f t="shared" si="260"/>
        <v>0</v>
      </c>
      <c r="AH362" s="151">
        <f t="shared" si="260"/>
        <v>0</v>
      </c>
      <c r="AI362" s="151">
        <f t="shared" si="260"/>
        <v>0</v>
      </c>
      <c r="AJ362" s="151">
        <f t="shared" si="260"/>
        <v>0</v>
      </c>
      <c r="AK362" s="151">
        <f t="shared" si="260"/>
        <v>0</v>
      </c>
      <c r="AL362" s="151">
        <f t="shared" si="260"/>
        <v>0</v>
      </c>
      <c r="AM362" s="151">
        <f t="shared" si="260"/>
        <v>0</v>
      </c>
      <c r="AN362" s="151">
        <f t="shared" si="260"/>
        <v>0</v>
      </c>
      <c r="AO362" s="151"/>
      <c r="AP362" s="151"/>
      <c r="AQ362" s="150"/>
      <c r="AR362" s="150"/>
      <c r="AS362" s="150"/>
      <c r="AT362" s="150"/>
      <c r="AU362" s="150"/>
      <c r="AV362" s="150"/>
    </row>
    <row r="363" ht="12.75" customHeight="1" outlineLevel="1">
      <c r="A363" s="90"/>
      <c r="B363" s="90"/>
      <c r="C363" s="90"/>
      <c r="D363" s="90"/>
      <c r="E363" s="90"/>
      <c r="F363" s="90"/>
      <c r="G363" s="99"/>
      <c r="H363" s="99"/>
      <c r="I363" s="99"/>
      <c r="J363" s="99"/>
      <c r="K363" s="99"/>
      <c r="L363" s="99"/>
      <c r="M363" s="93"/>
      <c r="N363" s="93"/>
      <c r="O363" s="93"/>
      <c r="P363" s="93"/>
      <c r="Q363" s="93"/>
      <c r="R363" s="93"/>
      <c r="S363" s="93"/>
      <c r="T363" s="93"/>
      <c r="U363" s="93"/>
      <c r="V363" s="93"/>
      <c r="W363" s="93"/>
      <c r="X363" s="93"/>
      <c r="Y363" s="93"/>
      <c r="Z363" s="93"/>
      <c r="AA363" s="93"/>
      <c r="AB363" s="93"/>
      <c r="AC363" s="93"/>
      <c r="AD363" s="93"/>
      <c r="AE363" s="93"/>
      <c r="AF363" s="93"/>
      <c r="AG363" s="93"/>
      <c r="AH363" s="93"/>
      <c r="AI363" s="93"/>
      <c r="AJ363" s="93"/>
      <c r="AK363" s="93"/>
      <c r="AL363" s="93"/>
      <c r="AM363" s="93"/>
      <c r="AN363" s="93"/>
      <c r="AO363" s="93"/>
      <c r="AP363" s="93"/>
      <c r="AQ363" s="99"/>
      <c r="AR363" s="99"/>
      <c r="AS363" s="99"/>
      <c r="AT363" s="99"/>
      <c r="AU363" s="99"/>
      <c r="AV363" s="99"/>
    </row>
    <row r="364" ht="12.75" customHeight="1" outlineLevel="1">
      <c r="A364" s="90"/>
      <c r="B364" s="67" t="s">
        <v>492</v>
      </c>
      <c r="C364" s="90"/>
      <c r="D364" s="90"/>
      <c r="E364" s="90"/>
      <c r="F364" s="90"/>
      <c r="G364" s="90"/>
      <c r="H364" s="90"/>
      <c r="I364" s="90"/>
      <c r="J364" s="90"/>
      <c r="K364" s="90"/>
      <c r="L364" s="90"/>
      <c r="M364" s="93"/>
      <c r="N364" s="93"/>
      <c r="O364" s="93"/>
      <c r="P364" s="93"/>
      <c r="Q364" s="93"/>
      <c r="R364" s="93"/>
      <c r="S364" s="93"/>
      <c r="T364" s="93"/>
      <c r="U364" s="93"/>
      <c r="V364" s="93"/>
      <c r="W364" s="93"/>
      <c r="X364" s="93"/>
      <c r="Y364" s="93"/>
      <c r="Z364" s="93"/>
      <c r="AA364" s="93"/>
      <c r="AB364" s="93"/>
      <c r="AC364" s="93"/>
      <c r="AD364" s="93"/>
      <c r="AE364" s="93"/>
      <c r="AF364" s="93"/>
      <c r="AG364" s="93"/>
      <c r="AH364" s="93"/>
      <c r="AI364" s="93"/>
      <c r="AJ364" s="93"/>
      <c r="AK364" s="93"/>
      <c r="AL364" s="93"/>
      <c r="AM364" s="93"/>
      <c r="AN364" s="93"/>
      <c r="AO364" s="93"/>
      <c r="AP364" s="93"/>
      <c r="AQ364" s="90"/>
      <c r="AR364" s="90"/>
      <c r="AS364" s="90"/>
      <c r="AT364" s="90"/>
      <c r="AU364" s="90"/>
      <c r="AV364" s="90"/>
    </row>
    <row r="365" ht="12.75" customHeight="1" outlineLevel="1">
      <c r="A365" s="90"/>
      <c r="B365" s="90"/>
      <c r="C365" s="90" t="s">
        <v>487</v>
      </c>
      <c r="D365" s="90"/>
      <c r="E365" s="90"/>
      <c r="F365" s="90"/>
      <c r="G365" s="99"/>
      <c r="H365" s="99"/>
      <c r="I365" s="99"/>
      <c r="J365" s="99"/>
      <c r="K365" s="99"/>
      <c r="L365" s="99">
        <v>0.0</v>
      </c>
      <c r="M365" s="93">
        <f t="shared" ref="M365:AP365" si="261">L369</f>
        <v>0</v>
      </c>
      <c r="N365" s="93">
        <f t="shared" si="261"/>
        <v>0</v>
      </c>
      <c r="O365" s="93">
        <f t="shared" si="261"/>
        <v>0</v>
      </c>
      <c r="P365" s="93">
        <f t="shared" si="261"/>
        <v>0</v>
      </c>
      <c r="Q365" s="93">
        <f t="shared" si="261"/>
        <v>0</v>
      </c>
      <c r="R365" s="93">
        <f t="shared" si="261"/>
        <v>0</v>
      </c>
      <c r="S365" s="93">
        <f t="shared" si="261"/>
        <v>0</v>
      </c>
      <c r="T365" s="93">
        <f t="shared" si="261"/>
        <v>0</v>
      </c>
      <c r="U365" s="93">
        <f t="shared" si="261"/>
        <v>0</v>
      </c>
      <c r="V365" s="93">
        <f t="shared" si="261"/>
        <v>0</v>
      </c>
      <c r="W365" s="93">
        <f t="shared" si="261"/>
        <v>0</v>
      </c>
      <c r="X365" s="93">
        <f t="shared" si="261"/>
        <v>5000000</v>
      </c>
      <c r="Y365" s="93">
        <f t="shared" si="261"/>
        <v>15000000</v>
      </c>
      <c r="Z365" s="93">
        <f t="shared" si="261"/>
        <v>15000000</v>
      </c>
      <c r="AA365" s="93">
        <f t="shared" si="261"/>
        <v>0</v>
      </c>
      <c r="AB365" s="93">
        <f t="shared" si="261"/>
        <v>0</v>
      </c>
      <c r="AC365" s="93">
        <f t="shared" si="261"/>
        <v>0</v>
      </c>
      <c r="AD365" s="93">
        <f t="shared" si="261"/>
        <v>0</v>
      </c>
      <c r="AE365" s="93">
        <f t="shared" si="261"/>
        <v>0</v>
      </c>
      <c r="AF365" s="93">
        <f t="shared" si="261"/>
        <v>0</v>
      </c>
      <c r="AG365" s="93">
        <f t="shared" si="261"/>
        <v>0</v>
      </c>
      <c r="AH365" s="93">
        <f t="shared" si="261"/>
        <v>0</v>
      </c>
      <c r="AI365" s="93">
        <f t="shared" si="261"/>
        <v>0</v>
      </c>
      <c r="AJ365" s="93">
        <f t="shared" si="261"/>
        <v>0</v>
      </c>
      <c r="AK365" s="93">
        <f t="shared" si="261"/>
        <v>0</v>
      </c>
      <c r="AL365" s="93">
        <f t="shared" si="261"/>
        <v>0</v>
      </c>
      <c r="AM365" s="93">
        <f t="shared" si="261"/>
        <v>0</v>
      </c>
      <c r="AN365" s="93">
        <f t="shared" si="261"/>
        <v>0</v>
      </c>
      <c r="AO365" s="93">
        <f t="shared" si="261"/>
        <v>0</v>
      </c>
      <c r="AP365" s="93">
        <f t="shared" si="261"/>
        <v>0</v>
      </c>
      <c r="AQ365" s="99"/>
      <c r="AR365" s="99"/>
      <c r="AS365" s="99"/>
      <c r="AT365" s="99"/>
      <c r="AU365" s="99"/>
      <c r="AV365" s="99"/>
    </row>
    <row r="366" ht="12.75" customHeight="1" outlineLevel="1">
      <c r="A366" s="90"/>
      <c r="B366" s="90"/>
      <c r="C366" s="90" t="s">
        <v>488</v>
      </c>
      <c r="D366" s="90"/>
      <c r="E366" s="90"/>
      <c r="F366" s="90"/>
      <c r="G366" s="254"/>
      <c r="H366" s="254"/>
      <c r="I366" s="254"/>
      <c r="J366" s="254"/>
      <c r="K366" s="254"/>
      <c r="L366" s="99">
        <v>0.0</v>
      </c>
      <c r="M366" s="93">
        <v>0.0</v>
      </c>
      <c r="N366" s="93">
        <v>0.0</v>
      </c>
      <c r="O366" s="93">
        <v>0.0</v>
      </c>
      <c r="P366" s="93">
        <v>0.0</v>
      </c>
      <c r="Q366" s="93">
        <v>0.0</v>
      </c>
      <c r="R366" s="93">
        <v>0.0</v>
      </c>
      <c r="S366" s="93">
        <v>0.0</v>
      </c>
      <c r="T366" s="93">
        <v>0.0</v>
      </c>
      <c r="U366" s="93">
        <v>0.0</v>
      </c>
      <c r="V366" s="93">
        <v>0.0</v>
      </c>
      <c r="W366" s="93">
        <v>5000000.0</v>
      </c>
      <c r="X366" s="93">
        <v>1.0E7</v>
      </c>
      <c r="Y366" s="93">
        <v>0.0</v>
      </c>
      <c r="Z366" s="93">
        <v>0.0</v>
      </c>
      <c r="AA366" s="93">
        <v>0.0</v>
      </c>
      <c r="AB366" s="93">
        <v>0.0</v>
      </c>
      <c r="AC366" s="93">
        <v>0.0</v>
      </c>
      <c r="AD366" s="93">
        <v>0.0</v>
      </c>
      <c r="AE366" s="93">
        <v>0.0</v>
      </c>
      <c r="AF366" s="93">
        <v>0.0</v>
      </c>
      <c r="AG366" s="93">
        <v>0.0</v>
      </c>
      <c r="AH366" s="93">
        <v>0.0</v>
      </c>
      <c r="AI366" s="93">
        <v>0.0</v>
      </c>
      <c r="AJ366" s="93">
        <v>0.0</v>
      </c>
      <c r="AK366" s="93">
        <v>0.0</v>
      </c>
      <c r="AL366" s="93">
        <v>0.0</v>
      </c>
      <c r="AM366" s="93">
        <v>0.0</v>
      </c>
      <c r="AN366" s="93">
        <v>0.0</v>
      </c>
      <c r="AO366" s="93">
        <v>0.0</v>
      </c>
      <c r="AP366" s="93">
        <v>0.0</v>
      </c>
      <c r="AQ366" s="99"/>
      <c r="AR366" s="99"/>
      <c r="AS366" s="99"/>
      <c r="AT366" s="99"/>
      <c r="AU366" s="99"/>
      <c r="AV366" s="99"/>
    </row>
    <row r="367" ht="12.75" customHeight="1" outlineLevel="1">
      <c r="A367" s="90"/>
      <c r="B367" s="90"/>
      <c r="C367" s="90"/>
      <c r="D367" s="90" t="s">
        <v>489</v>
      </c>
      <c r="E367" s="90"/>
      <c r="F367" s="90"/>
      <c r="G367" s="254"/>
      <c r="H367" s="254"/>
      <c r="I367" s="254"/>
      <c r="J367" s="254"/>
      <c r="K367" s="254"/>
      <c r="L367" s="99">
        <v>0.0</v>
      </c>
      <c r="M367" s="93">
        <v>0.0</v>
      </c>
      <c r="N367" s="93">
        <v>0.0</v>
      </c>
      <c r="O367" s="93">
        <v>0.0</v>
      </c>
      <c r="P367" s="93">
        <v>0.0</v>
      </c>
      <c r="Q367" s="93">
        <v>0.0</v>
      </c>
      <c r="R367" s="93">
        <v>0.0</v>
      </c>
      <c r="S367" s="93">
        <v>0.0</v>
      </c>
      <c r="T367" s="93">
        <v>0.0</v>
      </c>
      <c r="U367" s="93">
        <v>0.0</v>
      </c>
      <c r="V367" s="93">
        <v>0.0</v>
      </c>
      <c r="W367" s="93">
        <v>0.0</v>
      </c>
      <c r="X367" s="93">
        <v>0.0</v>
      </c>
      <c r="Y367" s="93">
        <v>0.0</v>
      </c>
      <c r="Z367" s="93">
        <v>0.0</v>
      </c>
      <c r="AA367" s="93">
        <v>0.0</v>
      </c>
      <c r="AB367" s="93">
        <v>0.0</v>
      </c>
      <c r="AC367" s="93">
        <v>0.0</v>
      </c>
      <c r="AD367" s="93">
        <v>0.0</v>
      </c>
      <c r="AE367" s="93">
        <v>0.0</v>
      </c>
      <c r="AF367" s="93">
        <v>0.0</v>
      </c>
      <c r="AG367" s="93">
        <v>0.0</v>
      </c>
      <c r="AH367" s="93">
        <v>0.0</v>
      </c>
      <c r="AI367" s="93">
        <v>0.0</v>
      </c>
      <c r="AJ367" s="93">
        <v>0.0</v>
      </c>
      <c r="AK367" s="93">
        <v>0.0</v>
      </c>
      <c r="AL367" s="93">
        <v>0.0</v>
      </c>
      <c r="AM367" s="93">
        <v>0.0</v>
      </c>
      <c r="AN367" s="93">
        <v>0.0</v>
      </c>
      <c r="AO367" s="93">
        <v>0.0</v>
      </c>
      <c r="AP367" s="93">
        <v>0.0</v>
      </c>
      <c r="AQ367" s="99"/>
      <c r="AR367" s="99"/>
      <c r="AS367" s="99"/>
      <c r="AT367" s="99"/>
      <c r="AU367" s="99"/>
      <c r="AV367" s="99"/>
    </row>
    <row r="368" ht="12.75" customHeight="1" outlineLevel="1">
      <c r="A368" s="90"/>
      <c r="B368" s="90"/>
      <c r="C368" s="90" t="s">
        <v>490</v>
      </c>
      <c r="D368" s="90"/>
      <c r="E368" s="90"/>
      <c r="F368" s="90"/>
      <c r="G368" s="254"/>
      <c r="H368" s="254"/>
      <c r="I368" s="99"/>
      <c r="J368" s="254"/>
      <c r="K368" s="254"/>
      <c r="L368" s="99">
        <v>0.0</v>
      </c>
      <c r="M368" s="93">
        <f t="shared" ref="M368:Y368" si="262">IF(M365=0,0,MAX(-M365,-250000*M55))</f>
        <v>0</v>
      </c>
      <c r="N368" s="93">
        <f t="shared" si="262"/>
        <v>0</v>
      </c>
      <c r="O368" s="93">
        <f t="shared" si="262"/>
        <v>0</v>
      </c>
      <c r="P368" s="93">
        <f t="shared" si="262"/>
        <v>0</v>
      </c>
      <c r="Q368" s="93">
        <f t="shared" si="262"/>
        <v>0</v>
      </c>
      <c r="R368" s="93">
        <f t="shared" si="262"/>
        <v>0</v>
      </c>
      <c r="S368" s="93">
        <f t="shared" si="262"/>
        <v>0</v>
      </c>
      <c r="T368" s="93">
        <f t="shared" si="262"/>
        <v>0</v>
      </c>
      <c r="U368" s="93">
        <f t="shared" si="262"/>
        <v>0</v>
      </c>
      <c r="V368" s="93">
        <f t="shared" si="262"/>
        <v>0</v>
      </c>
      <c r="W368" s="93">
        <f t="shared" si="262"/>
        <v>0</v>
      </c>
      <c r="X368" s="93">
        <f t="shared" si="262"/>
        <v>0</v>
      </c>
      <c r="Y368" s="93">
        <f t="shared" si="262"/>
        <v>0</v>
      </c>
      <c r="Z368" s="93">
        <f>-Y369</f>
        <v>-15000000</v>
      </c>
      <c r="AA368" s="93">
        <f t="shared" ref="AA368:AP368" si="263">IF(AA365=0,0,MAX(-AA365,-250000*AA55))</f>
        <v>0</v>
      </c>
      <c r="AB368" s="93">
        <f t="shared" si="263"/>
        <v>0</v>
      </c>
      <c r="AC368" s="93">
        <f t="shared" si="263"/>
        <v>0</v>
      </c>
      <c r="AD368" s="93">
        <f t="shared" si="263"/>
        <v>0</v>
      </c>
      <c r="AE368" s="93">
        <f t="shared" si="263"/>
        <v>0</v>
      </c>
      <c r="AF368" s="93">
        <f t="shared" si="263"/>
        <v>0</v>
      </c>
      <c r="AG368" s="93">
        <f t="shared" si="263"/>
        <v>0</v>
      </c>
      <c r="AH368" s="93">
        <f t="shared" si="263"/>
        <v>0</v>
      </c>
      <c r="AI368" s="93">
        <f t="shared" si="263"/>
        <v>0</v>
      </c>
      <c r="AJ368" s="93">
        <f t="shared" si="263"/>
        <v>0</v>
      </c>
      <c r="AK368" s="93">
        <f t="shared" si="263"/>
        <v>0</v>
      </c>
      <c r="AL368" s="93">
        <f t="shared" si="263"/>
        <v>0</v>
      </c>
      <c r="AM368" s="93">
        <f t="shared" si="263"/>
        <v>0</v>
      </c>
      <c r="AN368" s="93">
        <f t="shared" si="263"/>
        <v>0</v>
      </c>
      <c r="AO368" s="93">
        <f t="shared" si="263"/>
        <v>0</v>
      </c>
      <c r="AP368" s="93">
        <f t="shared" si="263"/>
        <v>0</v>
      </c>
      <c r="AQ368" s="99"/>
      <c r="AR368" s="99"/>
      <c r="AS368" s="99"/>
      <c r="AT368" s="99"/>
      <c r="AU368" s="99"/>
      <c r="AV368" s="99"/>
    </row>
    <row r="369" ht="12.75" customHeight="1" outlineLevel="1">
      <c r="A369" s="90"/>
      <c r="B369" s="90"/>
      <c r="C369" s="148" t="s">
        <v>491</v>
      </c>
      <c r="D369" s="148"/>
      <c r="E369" s="148"/>
      <c r="F369" s="148"/>
      <c r="G369" s="150"/>
      <c r="H369" s="150"/>
      <c r="I369" s="150"/>
      <c r="J369" s="150"/>
      <c r="K369" s="150"/>
      <c r="L369" s="150">
        <f t="shared" ref="L369:AP369" si="264">SUM(L365:L368)</f>
        <v>0</v>
      </c>
      <c r="M369" s="151">
        <f t="shared" si="264"/>
        <v>0</v>
      </c>
      <c r="N369" s="151">
        <f t="shared" si="264"/>
        <v>0</v>
      </c>
      <c r="O369" s="151">
        <f t="shared" si="264"/>
        <v>0</v>
      </c>
      <c r="P369" s="151">
        <f t="shared" si="264"/>
        <v>0</v>
      </c>
      <c r="Q369" s="151">
        <f t="shared" si="264"/>
        <v>0</v>
      </c>
      <c r="R369" s="151">
        <f t="shared" si="264"/>
        <v>0</v>
      </c>
      <c r="S369" s="151">
        <f t="shared" si="264"/>
        <v>0</v>
      </c>
      <c r="T369" s="151">
        <f t="shared" si="264"/>
        <v>0</v>
      </c>
      <c r="U369" s="151">
        <f t="shared" si="264"/>
        <v>0</v>
      </c>
      <c r="V369" s="151">
        <f t="shared" si="264"/>
        <v>0</v>
      </c>
      <c r="W369" s="151">
        <f t="shared" si="264"/>
        <v>5000000</v>
      </c>
      <c r="X369" s="151">
        <f t="shared" si="264"/>
        <v>15000000</v>
      </c>
      <c r="Y369" s="151">
        <f t="shared" si="264"/>
        <v>15000000</v>
      </c>
      <c r="Z369" s="151">
        <f t="shared" si="264"/>
        <v>0</v>
      </c>
      <c r="AA369" s="151">
        <f t="shared" si="264"/>
        <v>0</v>
      </c>
      <c r="AB369" s="151">
        <f t="shared" si="264"/>
        <v>0</v>
      </c>
      <c r="AC369" s="151">
        <f t="shared" si="264"/>
        <v>0</v>
      </c>
      <c r="AD369" s="151">
        <f t="shared" si="264"/>
        <v>0</v>
      </c>
      <c r="AE369" s="151">
        <f t="shared" si="264"/>
        <v>0</v>
      </c>
      <c r="AF369" s="151">
        <f t="shared" si="264"/>
        <v>0</v>
      </c>
      <c r="AG369" s="151">
        <f t="shared" si="264"/>
        <v>0</v>
      </c>
      <c r="AH369" s="151">
        <f t="shared" si="264"/>
        <v>0</v>
      </c>
      <c r="AI369" s="151">
        <f t="shared" si="264"/>
        <v>0</v>
      </c>
      <c r="AJ369" s="151">
        <f t="shared" si="264"/>
        <v>0</v>
      </c>
      <c r="AK369" s="151">
        <f t="shared" si="264"/>
        <v>0</v>
      </c>
      <c r="AL369" s="151">
        <f t="shared" si="264"/>
        <v>0</v>
      </c>
      <c r="AM369" s="151">
        <f t="shared" si="264"/>
        <v>0</v>
      </c>
      <c r="AN369" s="151">
        <f t="shared" si="264"/>
        <v>0</v>
      </c>
      <c r="AO369" s="151">
        <f t="shared" si="264"/>
        <v>0</v>
      </c>
      <c r="AP369" s="151">
        <f t="shared" si="264"/>
        <v>0</v>
      </c>
      <c r="AQ369" s="150"/>
      <c r="AR369" s="150"/>
      <c r="AS369" s="150"/>
      <c r="AT369" s="150"/>
      <c r="AU369" s="150"/>
      <c r="AV369" s="150"/>
    </row>
    <row r="370" ht="12.75" customHeight="1" outlineLevel="1">
      <c r="A370" s="90"/>
      <c r="B370" s="90"/>
      <c r="C370" s="90"/>
      <c r="D370" s="90"/>
      <c r="E370" s="90"/>
      <c r="F370" s="90"/>
      <c r="G370" s="99"/>
      <c r="H370" s="99"/>
      <c r="I370" s="99"/>
      <c r="J370" s="99"/>
      <c r="K370" s="99"/>
      <c r="L370" s="99"/>
      <c r="M370" s="93"/>
      <c r="N370" s="93"/>
      <c r="O370" s="93"/>
      <c r="P370" s="93"/>
      <c r="Q370" s="93"/>
      <c r="R370" s="93"/>
      <c r="S370" s="93"/>
      <c r="T370" s="93"/>
      <c r="U370" s="93"/>
      <c r="V370" s="93"/>
      <c r="W370" s="93"/>
      <c r="X370" s="93"/>
      <c r="Y370" s="93"/>
      <c r="Z370" s="93"/>
      <c r="AA370" s="93"/>
      <c r="AB370" s="93"/>
      <c r="AC370" s="93"/>
      <c r="AD370" s="93"/>
      <c r="AE370" s="93"/>
      <c r="AF370" s="93"/>
      <c r="AG370" s="93"/>
      <c r="AH370" s="93"/>
      <c r="AI370" s="93"/>
      <c r="AJ370" s="93"/>
      <c r="AK370" s="93"/>
      <c r="AL370" s="93"/>
      <c r="AM370" s="93"/>
      <c r="AN370" s="93"/>
      <c r="AO370" s="93"/>
      <c r="AP370" s="93"/>
      <c r="AQ370" s="99"/>
      <c r="AR370" s="99"/>
      <c r="AS370" s="99"/>
      <c r="AT370" s="99"/>
      <c r="AU370" s="99"/>
      <c r="AV370" s="99"/>
    </row>
    <row r="371" ht="12.75" customHeight="1" outlineLevel="1">
      <c r="A371" s="90"/>
      <c r="B371" s="67" t="s">
        <v>493</v>
      </c>
      <c r="C371" s="90"/>
      <c r="D371" s="90"/>
      <c r="E371" s="90"/>
      <c r="F371" s="90"/>
      <c r="G371" s="90"/>
      <c r="H371" s="90"/>
      <c r="I371" s="90"/>
      <c r="J371" s="90"/>
      <c r="K371" s="90"/>
      <c r="L371" s="90"/>
      <c r="M371" s="93"/>
      <c r="N371" s="93"/>
      <c r="O371" s="93"/>
      <c r="P371" s="93"/>
      <c r="Q371" s="93"/>
      <c r="R371" s="93"/>
      <c r="S371" s="93"/>
      <c r="T371" s="93"/>
      <c r="U371" s="93"/>
      <c r="V371" s="93"/>
      <c r="W371" s="93"/>
      <c r="X371" s="93"/>
      <c r="Y371" s="93"/>
      <c r="Z371" s="93"/>
      <c r="AA371" s="93"/>
      <c r="AB371" s="93"/>
      <c r="AC371" s="93"/>
      <c r="AD371" s="93"/>
      <c r="AE371" s="93"/>
      <c r="AF371" s="93"/>
      <c r="AG371" s="93"/>
      <c r="AH371" s="93"/>
      <c r="AI371" s="93"/>
      <c r="AJ371" s="93"/>
      <c r="AK371" s="93"/>
      <c r="AL371" s="93"/>
      <c r="AM371" s="93"/>
      <c r="AN371" s="93"/>
      <c r="AO371" s="93"/>
      <c r="AP371" s="93"/>
      <c r="AQ371" s="90"/>
      <c r="AR371" s="90"/>
      <c r="AS371" s="90"/>
      <c r="AT371" s="90"/>
      <c r="AU371" s="90"/>
      <c r="AV371" s="90"/>
    </row>
    <row r="372" ht="12.75" customHeight="1" outlineLevel="1">
      <c r="A372" s="90"/>
      <c r="B372" s="90"/>
      <c r="C372" s="90" t="s">
        <v>487</v>
      </c>
      <c r="D372" s="90"/>
      <c r="E372" s="90"/>
      <c r="F372" s="90"/>
      <c r="G372" s="99"/>
      <c r="H372" s="99"/>
      <c r="I372" s="99"/>
      <c r="J372" s="99"/>
      <c r="K372" s="99"/>
      <c r="L372" s="99">
        <v>0.0</v>
      </c>
      <c r="M372" s="93">
        <f t="shared" ref="M372:AP372" si="265">L376</f>
        <v>500000</v>
      </c>
      <c r="N372" s="93">
        <f t="shared" si="265"/>
        <v>0</v>
      </c>
      <c r="O372" s="93">
        <f t="shared" si="265"/>
        <v>0</v>
      </c>
      <c r="P372" s="93">
        <f t="shared" si="265"/>
        <v>0</v>
      </c>
      <c r="Q372" s="93">
        <f t="shared" si="265"/>
        <v>0</v>
      </c>
      <c r="R372" s="93">
        <f t="shared" si="265"/>
        <v>0</v>
      </c>
      <c r="S372" s="93">
        <f t="shared" si="265"/>
        <v>0</v>
      </c>
      <c r="T372" s="93">
        <f t="shared" si="265"/>
        <v>0</v>
      </c>
      <c r="U372" s="93">
        <f t="shared" si="265"/>
        <v>0</v>
      </c>
      <c r="V372" s="93">
        <f t="shared" si="265"/>
        <v>0</v>
      </c>
      <c r="W372" s="93">
        <f t="shared" si="265"/>
        <v>0</v>
      </c>
      <c r="X372" s="93">
        <f t="shared" si="265"/>
        <v>0</v>
      </c>
      <c r="Y372" s="93">
        <f t="shared" si="265"/>
        <v>0</v>
      </c>
      <c r="Z372" s="93">
        <f t="shared" si="265"/>
        <v>0</v>
      </c>
      <c r="AA372" s="93">
        <f t="shared" si="265"/>
        <v>0</v>
      </c>
      <c r="AB372" s="93">
        <f t="shared" si="265"/>
        <v>0</v>
      </c>
      <c r="AC372" s="93">
        <f t="shared" si="265"/>
        <v>0</v>
      </c>
      <c r="AD372" s="93">
        <f t="shared" si="265"/>
        <v>0</v>
      </c>
      <c r="AE372" s="93">
        <f t="shared" si="265"/>
        <v>0</v>
      </c>
      <c r="AF372" s="93">
        <f t="shared" si="265"/>
        <v>0</v>
      </c>
      <c r="AG372" s="93">
        <f t="shared" si="265"/>
        <v>0</v>
      </c>
      <c r="AH372" s="93">
        <f t="shared" si="265"/>
        <v>0</v>
      </c>
      <c r="AI372" s="93">
        <f t="shared" si="265"/>
        <v>0</v>
      </c>
      <c r="AJ372" s="93">
        <f t="shared" si="265"/>
        <v>0</v>
      </c>
      <c r="AK372" s="93">
        <f t="shared" si="265"/>
        <v>0</v>
      </c>
      <c r="AL372" s="93">
        <f t="shared" si="265"/>
        <v>0</v>
      </c>
      <c r="AM372" s="93">
        <f t="shared" si="265"/>
        <v>0</v>
      </c>
      <c r="AN372" s="93">
        <f t="shared" si="265"/>
        <v>0</v>
      </c>
      <c r="AO372" s="93">
        <f t="shared" si="265"/>
        <v>0</v>
      </c>
      <c r="AP372" s="93">
        <f t="shared" si="265"/>
        <v>0</v>
      </c>
      <c r="AQ372" s="99"/>
      <c r="AR372" s="99"/>
      <c r="AS372" s="99"/>
      <c r="AT372" s="99"/>
      <c r="AU372" s="99"/>
      <c r="AV372" s="99"/>
    </row>
    <row r="373" ht="12.75" customHeight="1" outlineLevel="1">
      <c r="A373" s="90"/>
      <c r="B373" s="90"/>
      <c r="C373" s="90" t="s">
        <v>488</v>
      </c>
      <c r="D373" s="90"/>
      <c r="E373" s="90"/>
      <c r="F373" s="90"/>
      <c r="G373" s="254"/>
      <c r="H373" s="254"/>
      <c r="I373" s="254"/>
      <c r="J373" s="254"/>
      <c r="K373" s="254"/>
      <c r="L373" s="99">
        <v>1500000.0</v>
      </c>
      <c r="M373" s="93">
        <v>0.0</v>
      </c>
      <c r="N373" s="93">
        <v>0.0</v>
      </c>
      <c r="O373" s="93">
        <v>0.0</v>
      </c>
      <c r="P373" s="93">
        <v>0.0</v>
      </c>
      <c r="Q373" s="93">
        <v>0.0</v>
      </c>
      <c r="R373" s="93">
        <v>0.0</v>
      </c>
      <c r="S373" s="93">
        <v>0.0</v>
      </c>
      <c r="T373" s="93">
        <v>0.0</v>
      </c>
      <c r="U373" s="93">
        <v>0.0</v>
      </c>
      <c r="V373" s="93">
        <v>0.0</v>
      </c>
      <c r="W373" s="93">
        <v>0.0</v>
      </c>
      <c r="X373" s="93">
        <v>0.0</v>
      </c>
      <c r="Y373" s="93">
        <v>0.0</v>
      </c>
      <c r="Z373" s="93">
        <v>0.0</v>
      </c>
      <c r="AA373" s="93">
        <v>0.0</v>
      </c>
      <c r="AB373" s="93">
        <v>0.0</v>
      </c>
      <c r="AC373" s="93">
        <v>0.0</v>
      </c>
      <c r="AD373" s="93">
        <v>0.0</v>
      </c>
      <c r="AE373" s="93">
        <v>0.0</v>
      </c>
      <c r="AF373" s="93">
        <v>0.0</v>
      </c>
      <c r="AG373" s="93">
        <v>0.0</v>
      </c>
      <c r="AH373" s="93">
        <v>0.0</v>
      </c>
      <c r="AI373" s="93">
        <v>0.0</v>
      </c>
      <c r="AJ373" s="93">
        <v>0.0</v>
      </c>
      <c r="AK373" s="93">
        <v>0.0</v>
      </c>
      <c r="AL373" s="93">
        <v>0.0</v>
      </c>
      <c r="AM373" s="93">
        <v>0.0</v>
      </c>
      <c r="AN373" s="93">
        <v>0.0</v>
      </c>
      <c r="AO373" s="93">
        <v>0.0</v>
      </c>
      <c r="AP373" s="93">
        <v>0.0</v>
      </c>
      <c r="AQ373" s="99"/>
      <c r="AR373" s="99"/>
      <c r="AS373" s="99"/>
      <c r="AT373" s="99"/>
      <c r="AU373" s="99"/>
      <c r="AV373" s="99"/>
    </row>
    <row r="374" ht="12.75" customHeight="1" outlineLevel="1">
      <c r="A374" s="90"/>
      <c r="B374" s="90"/>
      <c r="C374" s="90"/>
      <c r="D374" s="90" t="s">
        <v>489</v>
      </c>
      <c r="E374" s="90"/>
      <c r="F374" s="90"/>
      <c r="G374" s="254"/>
      <c r="H374" s="254"/>
      <c r="I374" s="254"/>
      <c r="J374" s="254"/>
      <c r="K374" s="254"/>
      <c r="L374" s="99">
        <v>0.0</v>
      </c>
      <c r="M374" s="93">
        <v>0.0</v>
      </c>
      <c r="N374" s="93">
        <v>0.0</v>
      </c>
      <c r="O374" s="93">
        <v>0.0</v>
      </c>
      <c r="P374" s="93">
        <v>0.0</v>
      </c>
      <c r="Q374" s="93">
        <v>0.0</v>
      </c>
      <c r="R374" s="93">
        <v>0.0</v>
      </c>
      <c r="S374" s="93">
        <v>0.0</v>
      </c>
      <c r="T374" s="93">
        <v>0.0</v>
      </c>
      <c r="U374" s="93">
        <v>0.0</v>
      </c>
      <c r="V374" s="93">
        <v>0.0</v>
      </c>
      <c r="W374" s="93">
        <v>0.0</v>
      </c>
      <c r="X374" s="93">
        <v>0.0</v>
      </c>
      <c r="Y374" s="93">
        <v>0.0</v>
      </c>
      <c r="Z374" s="93">
        <v>0.0</v>
      </c>
      <c r="AA374" s="93">
        <v>0.0</v>
      </c>
      <c r="AB374" s="93">
        <v>0.0</v>
      </c>
      <c r="AC374" s="93">
        <v>0.0</v>
      </c>
      <c r="AD374" s="93">
        <v>0.0</v>
      </c>
      <c r="AE374" s="93">
        <v>0.0</v>
      </c>
      <c r="AF374" s="93">
        <v>0.0</v>
      </c>
      <c r="AG374" s="93">
        <v>0.0</v>
      </c>
      <c r="AH374" s="93">
        <v>0.0</v>
      </c>
      <c r="AI374" s="93">
        <v>0.0</v>
      </c>
      <c r="AJ374" s="93">
        <v>0.0</v>
      </c>
      <c r="AK374" s="93">
        <v>0.0</v>
      </c>
      <c r="AL374" s="93">
        <v>0.0</v>
      </c>
      <c r="AM374" s="93">
        <v>0.0</v>
      </c>
      <c r="AN374" s="93">
        <v>0.0</v>
      </c>
      <c r="AO374" s="93">
        <v>0.0</v>
      </c>
      <c r="AP374" s="93">
        <v>0.0</v>
      </c>
      <c r="AQ374" s="99"/>
      <c r="AR374" s="99"/>
      <c r="AS374" s="99"/>
      <c r="AT374" s="99"/>
      <c r="AU374" s="99"/>
      <c r="AV374" s="99"/>
    </row>
    <row r="375" ht="12.75" customHeight="1" outlineLevel="1">
      <c r="A375" s="90"/>
      <c r="B375" s="90"/>
      <c r="C375" s="90" t="s">
        <v>490</v>
      </c>
      <c r="D375" s="90"/>
      <c r="E375" s="90"/>
      <c r="F375" s="90"/>
      <c r="G375" s="254"/>
      <c r="H375" s="254"/>
      <c r="I375" s="99"/>
      <c r="J375" s="254"/>
      <c r="K375" s="254"/>
      <c r="L375" s="99">
        <v>-1000000.0</v>
      </c>
      <c r="M375" s="93">
        <f t="shared" ref="M375:AP375" si="266">IF(M372=0,0,MAX(-M372,-250000*M62))</f>
        <v>-500000</v>
      </c>
      <c r="N375" s="93">
        <f t="shared" si="266"/>
        <v>0</v>
      </c>
      <c r="O375" s="93">
        <f t="shared" si="266"/>
        <v>0</v>
      </c>
      <c r="P375" s="93">
        <f t="shared" si="266"/>
        <v>0</v>
      </c>
      <c r="Q375" s="93">
        <f t="shared" si="266"/>
        <v>0</v>
      </c>
      <c r="R375" s="93">
        <f t="shared" si="266"/>
        <v>0</v>
      </c>
      <c r="S375" s="93">
        <f t="shared" si="266"/>
        <v>0</v>
      </c>
      <c r="T375" s="93">
        <f t="shared" si="266"/>
        <v>0</v>
      </c>
      <c r="U375" s="93">
        <f t="shared" si="266"/>
        <v>0</v>
      </c>
      <c r="V375" s="93">
        <f t="shared" si="266"/>
        <v>0</v>
      </c>
      <c r="W375" s="93">
        <f t="shared" si="266"/>
        <v>0</v>
      </c>
      <c r="X375" s="93">
        <f t="shared" si="266"/>
        <v>0</v>
      </c>
      <c r="Y375" s="93">
        <f t="shared" si="266"/>
        <v>0</v>
      </c>
      <c r="Z375" s="93">
        <f t="shared" si="266"/>
        <v>0</v>
      </c>
      <c r="AA375" s="93">
        <f t="shared" si="266"/>
        <v>0</v>
      </c>
      <c r="AB375" s="93">
        <f t="shared" si="266"/>
        <v>0</v>
      </c>
      <c r="AC375" s="93">
        <f t="shared" si="266"/>
        <v>0</v>
      </c>
      <c r="AD375" s="93">
        <f t="shared" si="266"/>
        <v>0</v>
      </c>
      <c r="AE375" s="93">
        <f t="shared" si="266"/>
        <v>0</v>
      </c>
      <c r="AF375" s="93">
        <f t="shared" si="266"/>
        <v>0</v>
      </c>
      <c r="AG375" s="93">
        <f t="shared" si="266"/>
        <v>0</v>
      </c>
      <c r="AH375" s="93">
        <f t="shared" si="266"/>
        <v>0</v>
      </c>
      <c r="AI375" s="93">
        <f t="shared" si="266"/>
        <v>0</v>
      </c>
      <c r="AJ375" s="93">
        <f t="shared" si="266"/>
        <v>0</v>
      </c>
      <c r="AK375" s="93">
        <f t="shared" si="266"/>
        <v>0</v>
      </c>
      <c r="AL375" s="93">
        <f t="shared" si="266"/>
        <v>0</v>
      </c>
      <c r="AM375" s="93">
        <f t="shared" si="266"/>
        <v>0</v>
      </c>
      <c r="AN375" s="93">
        <f t="shared" si="266"/>
        <v>0</v>
      </c>
      <c r="AO375" s="93">
        <f t="shared" si="266"/>
        <v>0</v>
      </c>
      <c r="AP375" s="93">
        <f t="shared" si="266"/>
        <v>0</v>
      </c>
      <c r="AQ375" s="99"/>
      <c r="AR375" s="99"/>
      <c r="AS375" s="99"/>
      <c r="AT375" s="99"/>
      <c r="AU375" s="99"/>
      <c r="AV375" s="99"/>
    </row>
    <row r="376" ht="12.75" customHeight="1" outlineLevel="1">
      <c r="A376" s="90"/>
      <c r="B376" s="90"/>
      <c r="C376" s="148" t="s">
        <v>491</v>
      </c>
      <c r="D376" s="148"/>
      <c r="E376" s="148"/>
      <c r="F376" s="148"/>
      <c r="G376" s="150"/>
      <c r="H376" s="150"/>
      <c r="I376" s="150"/>
      <c r="J376" s="150"/>
      <c r="K376" s="150"/>
      <c r="L376" s="150">
        <f t="shared" ref="L376:AP376" si="267">SUM(L372:L375)</f>
        <v>500000</v>
      </c>
      <c r="M376" s="151">
        <f t="shared" si="267"/>
        <v>0</v>
      </c>
      <c r="N376" s="151">
        <f t="shared" si="267"/>
        <v>0</v>
      </c>
      <c r="O376" s="151">
        <f t="shared" si="267"/>
        <v>0</v>
      </c>
      <c r="P376" s="151">
        <f t="shared" si="267"/>
        <v>0</v>
      </c>
      <c r="Q376" s="151">
        <f t="shared" si="267"/>
        <v>0</v>
      </c>
      <c r="R376" s="151">
        <f t="shared" si="267"/>
        <v>0</v>
      </c>
      <c r="S376" s="151">
        <f t="shared" si="267"/>
        <v>0</v>
      </c>
      <c r="T376" s="151">
        <f t="shared" si="267"/>
        <v>0</v>
      </c>
      <c r="U376" s="151">
        <f t="shared" si="267"/>
        <v>0</v>
      </c>
      <c r="V376" s="151">
        <f t="shared" si="267"/>
        <v>0</v>
      </c>
      <c r="W376" s="151">
        <f t="shared" si="267"/>
        <v>0</v>
      </c>
      <c r="X376" s="151">
        <f t="shared" si="267"/>
        <v>0</v>
      </c>
      <c r="Y376" s="151">
        <f t="shared" si="267"/>
        <v>0</v>
      </c>
      <c r="Z376" s="151">
        <f t="shared" si="267"/>
        <v>0</v>
      </c>
      <c r="AA376" s="151">
        <f t="shared" si="267"/>
        <v>0</v>
      </c>
      <c r="AB376" s="151">
        <f t="shared" si="267"/>
        <v>0</v>
      </c>
      <c r="AC376" s="151">
        <f t="shared" si="267"/>
        <v>0</v>
      </c>
      <c r="AD376" s="151">
        <f t="shared" si="267"/>
        <v>0</v>
      </c>
      <c r="AE376" s="151">
        <f t="shared" si="267"/>
        <v>0</v>
      </c>
      <c r="AF376" s="151">
        <f t="shared" si="267"/>
        <v>0</v>
      </c>
      <c r="AG376" s="151">
        <f t="shared" si="267"/>
        <v>0</v>
      </c>
      <c r="AH376" s="151">
        <f t="shared" si="267"/>
        <v>0</v>
      </c>
      <c r="AI376" s="151">
        <f t="shared" si="267"/>
        <v>0</v>
      </c>
      <c r="AJ376" s="151">
        <f t="shared" si="267"/>
        <v>0</v>
      </c>
      <c r="AK376" s="151">
        <f t="shared" si="267"/>
        <v>0</v>
      </c>
      <c r="AL376" s="151">
        <f t="shared" si="267"/>
        <v>0</v>
      </c>
      <c r="AM376" s="151">
        <f t="shared" si="267"/>
        <v>0</v>
      </c>
      <c r="AN376" s="151">
        <f t="shared" si="267"/>
        <v>0</v>
      </c>
      <c r="AO376" s="151">
        <f t="shared" si="267"/>
        <v>0</v>
      </c>
      <c r="AP376" s="151">
        <f t="shared" si="267"/>
        <v>0</v>
      </c>
      <c r="AQ376" s="150"/>
      <c r="AR376" s="150"/>
      <c r="AS376" s="150"/>
      <c r="AT376" s="150"/>
      <c r="AU376" s="150"/>
      <c r="AV376" s="150"/>
    </row>
    <row r="377" ht="12.75" customHeight="1" outlineLevel="1">
      <c r="A377" s="90"/>
      <c r="B377" s="90"/>
      <c r="C377" s="90"/>
      <c r="D377" s="90"/>
      <c r="E377" s="90"/>
      <c r="F377" s="90"/>
      <c r="G377" s="99"/>
      <c r="H377" s="99"/>
      <c r="I377" s="99"/>
      <c r="J377" s="99"/>
      <c r="K377" s="99"/>
      <c r="L377" s="99"/>
      <c r="M377" s="93"/>
      <c r="N377" s="93"/>
      <c r="O377" s="93"/>
      <c r="P377" s="93"/>
      <c r="Q377" s="93"/>
      <c r="R377" s="93"/>
      <c r="S377" s="93"/>
      <c r="T377" s="93"/>
      <c r="U377" s="93"/>
      <c r="V377" s="93"/>
      <c r="W377" s="93"/>
      <c r="X377" s="93"/>
      <c r="Y377" s="93"/>
      <c r="Z377" s="93"/>
      <c r="AA377" s="93"/>
      <c r="AB377" s="93"/>
      <c r="AC377" s="93"/>
      <c r="AD377" s="93"/>
      <c r="AE377" s="93"/>
      <c r="AF377" s="93"/>
      <c r="AG377" s="93"/>
      <c r="AH377" s="93"/>
      <c r="AI377" s="93"/>
      <c r="AJ377" s="93"/>
      <c r="AK377" s="93"/>
      <c r="AL377" s="93"/>
      <c r="AM377" s="93"/>
      <c r="AN377" s="93"/>
      <c r="AO377" s="93"/>
      <c r="AP377" s="93"/>
      <c r="AQ377" s="99"/>
      <c r="AR377" s="99"/>
      <c r="AS377" s="99"/>
      <c r="AT377" s="99"/>
      <c r="AU377" s="99"/>
      <c r="AV377" s="99"/>
    </row>
    <row r="378" ht="12.75" customHeight="1" outlineLevel="1">
      <c r="A378" s="67"/>
      <c r="B378" s="67" t="s">
        <v>494</v>
      </c>
      <c r="C378" s="67"/>
      <c r="D378" s="67"/>
      <c r="E378" s="67"/>
      <c r="F378" s="67"/>
      <c r="G378" s="79"/>
      <c r="H378" s="79"/>
      <c r="I378" s="79"/>
      <c r="J378" s="79"/>
      <c r="K378" s="79">
        <f t="shared" ref="K378:AP378" si="268">K362+K376+K369</f>
        <v>1923320.55</v>
      </c>
      <c r="L378" s="79">
        <f t="shared" si="268"/>
        <v>2098607.68</v>
      </c>
      <c r="M378" s="115">
        <f t="shared" si="268"/>
        <v>1224805.98</v>
      </c>
      <c r="N378" s="115">
        <f t="shared" si="268"/>
        <v>1318542.372</v>
      </c>
      <c r="O378" s="115">
        <f t="shared" si="268"/>
        <v>647817.9855</v>
      </c>
      <c r="P378" s="115">
        <f t="shared" si="268"/>
        <v>790400</v>
      </c>
      <c r="Q378" s="115">
        <f t="shared" si="268"/>
        <v>822016</v>
      </c>
      <c r="R378" s="115">
        <f t="shared" si="268"/>
        <v>854896.64</v>
      </c>
      <c r="S378" s="115">
        <f t="shared" si="268"/>
        <v>889092.5056</v>
      </c>
      <c r="T378" s="115">
        <f t="shared" si="268"/>
        <v>0</v>
      </c>
      <c r="U378" s="115">
        <f t="shared" si="268"/>
        <v>0</v>
      </c>
      <c r="V378" s="115">
        <f t="shared" si="268"/>
        <v>0</v>
      </c>
      <c r="W378" s="115">
        <f t="shared" si="268"/>
        <v>5000000</v>
      </c>
      <c r="X378" s="115">
        <f t="shared" si="268"/>
        <v>15000000</v>
      </c>
      <c r="Y378" s="115">
        <f t="shared" si="268"/>
        <v>15000000</v>
      </c>
      <c r="Z378" s="115">
        <f t="shared" si="268"/>
        <v>0</v>
      </c>
      <c r="AA378" s="115">
        <f t="shared" si="268"/>
        <v>0</v>
      </c>
      <c r="AB378" s="115">
        <f t="shared" si="268"/>
        <v>0</v>
      </c>
      <c r="AC378" s="115">
        <f t="shared" si="268"/>
        <v>0</v>
      </c>
      <c r="AD378" s="115">
        <f t="shared" si="268"/>
        <v>0</v>
      </c>
      <c r="AE378" s="115">
        <f t="shared" si="268"/>
        <v>0</v>
      </c>
      <c r="AF378" s="115">
        <f t="shared" si="268"/>
        <v>0</v>
      </c>
      <c r="AG378" s="115">
        <f t="shared" si="268"/>
        <v>0</v>
      </c>
      <c r="AH378" s="115">
        <f t="shared" si="268"/>
        <v>0</v>
      </c>
      <c r="AI378" s="115">
        <f t="shared" si="268"/>
        <v>0</v>
      </c>
      <c r="AJ378" s="115">
        <f t="shared" si="268"/>
        <v>0</v>
      </c>
      <c r="AK378" s="115">
        <f t="shared" si="268"/>
        <v>0</v>
      </c>
      <c r="AL378" s="115">
        <f t="shared" si="268"/>
        <v>0</v>
      </c>
      <c r="AM378" s="115">
        <f t="shared" si="268"/>
        <v>0</v>
      </c>
      <c r="AN378" s="115">
        <f t="shared" si="268"/>
        <v>0</v>
      </c>
      <c r="AO378" s="115">
        <f t="shared" si="268"/>
        <v>0</v>
      </c>
      <c r="AP378" s="115">
        <f t="shared" si="268"/>
        <v>0</v>
      </c>
      <c r="AQ378" s="79"/>
      <c r="AR378" s="79"/>
      <c r="AS378" s="79"/>
      <c r="AT378" s="79"/>
      <c r="AU378" s="79"/>
      <c r="AV378" s="79"/>
    </row>
    <row r="379" ht="12.75" customHeight="1" outlineLevel="1">
      <c r="A379" s="90"/>
      <c r="B379" s="90"/>
      <c r="C379" s="90"/>
      <c r="D379" s="90"/>
      <c r="E379" s="90"/>
      <c r="F379" s="90"/>
      <c r="G379" s="99"/>
      <c r="H379" s="99"/>
      <c r="I379" s="99"/>
      <c r="J379" s="99"/>
      <c r="K379" s="99"/>
      <c r="L379" s="99"/>
      <c r="M379" s="93"/>
      <c r="N379" s="93"/>
      <c r="O379" s="93"/>
      <c r="P379" s="93"/>
      <c r="Q379" s="93"/>
      <c r="R379" s="93"/>
      <c r="S379" s="93"/>
      <c r="T379" s="93"/>
      <c r="U379" s="93"/>
      <c r="V379" s="93"/>
      <c r="W379" s="93"/>
      <c r="X379" s="93"/>
      <c r="Y379" s="93"/>
      <c r="Z379" s="93"/>
      <c r="AA379" s="93"/>
      <c r="AB379" s="93"/>
      <c r="AC379" s="93"/>
      <c r="AD379" s="93"/>
      <c r="AE379" s="93"/>
      <c r="AF379" s="93"/>
      <c r="AG379" s="93"/>
      <c r="AH379" s="93"/>
      <c r="AI379" s="93"/>
      <c r="AJ379" s="93"/>
      <c r="AK379" s="93"/>
      <c r="AL379" s="93"/>
      <c r="AM379" s="93"/>
      <c r="AN379" s="93"/>
      <c r="AO379" s="93"/>
      <c r="AP379" s="93"/>
      <c r="AQ379" s="99"/>
      <c r="AR379" s="99"/>
      <c r="AS379" s="99"/>
      <c r="AT379" s="99"/>
      <c r="AU379" s="99"/>
      <c r="AV379" s="99"/>
    </row>
    <row r="380" ht="12.75" customHeight="1" outlineLevel="1">
      <c r="A380" s="90"/>
      <c r="B380" s="67" t="s">
        <v>479</v>
      </c>
      <c r="C380" s="90"/>
      <c r="D380" s="90"/>
      <c r="E380" s="90"/>
      <c r="F380" s="90"/>
      <c r="G380" s="90"/>
      <c r="H380" s="90"/>
      <c r="I380" s="90"/>
      <c r="J380" s="90"/>
      <c r="K380" s="90"/>
      <c r="L380" s="90"/>
      <c r="M380" s="93"/>
      <c r="N380" s="93"/>
      <c r="O380" s="93"/>
      <c r="P380" s="93"/>
      <c r="Q380" s="93"/>
      <c r="R380" s="93"/>
      <c r="S380" s="93"/>
      <c r="T380" s="93"/>
      <c r="U380" s="93"/>
      <c r="V380" s="93"/>
      <c r="W380" s="93"/>
      <c r="X380" s="93"/>
      <c r="Y380" s="93"/>
      <c r="Z380" s="93"/>
      <c r="AA380" s="93"/>
      <c r="AB380" s="93"/>
      <c r="AC380" s="93"/>
      <c r="AD380" s="93"/>
      <c r="AE380" s="93"/>
      <c r="AF380" s="93"/>
      <c r="AG380" s="93"/>
      <c r="AH380" s="93"/>
      <c r="AI380" s="93"/>
      <c r="AJ380" s="93"/>
      <c r="AK380" s="93"/>
      <c r="AL380" s="93"/>
      <c r="AM380" s="93"/>
      <c r="AN380" s="93"/>
      <c r="AO380" s="93"/>
      <c r="AP380" s="93"/>
      <c r="AQ380" s="90"/>
      <c r="AR380" s="90"/>
      <c r="AS380" s="90"/>
      <c r="AT380" s="90"/>
      <c r="AU380" s="90"/>
      <c r="AV380" s="90"/>
    </row>
    <row r="381" ht="12.75" customHeight="1" outlineLevel="1">
      <c r="A381" s="90"/>
      <c r="B381" s="67"/>
      <c r="C381" s="90" t="s">
        <v>487</v>
      </c>
      <c r="D381" s="90"/>
      <c r="E381" s="90"/>
      <c r="F381" s="90"/>
      <c r="G381" s="99"/>
      <c r="H381" s="99"/>
      <c r="I381" s="99"/>
      <c r="J381" s="99"/>
      <c r="K381" s="99">
        <v>0.0</v>
      </c>
      <c r="L381" s="99">
        <f t="shared" ref="L381:AP381" si="269">K383</f>
        <v>50000</v>
      </c>
      <c r="M381" s="93">
        <f t="shared" si="269"/>
        <v>450000</v>
      </c>
      <c r="N381" s="93">
        <f t="shared" si="269"/>
        <v>250000</v>
      </c>
      <c r="O381" s="93">
        <f t="shared" si="269"/>
        <v>250000</v>
      </c>
      <c r="P381" s="93">
        <f t="shared" si="269"/>
        <v>250000</v>
      </c>
      <c r="Q381" s="93">
        <f t="shared" si="269"/>
        <v>250000</v>
      </c>
      <c r="R381" s="93">
        <f t="shared" si="269"/>
        <v>304121.608</v>
      </c>
      <c r="S381" s="93">
        <f t="shared" si="269"/>
        <v>607743.8289</v>
      </c>
      <c r="T381" s="93">
        <f t="shared" si="269"/>
        <v>1005287.22</v>
      </c>
      <c r="U381" s="93">
        <f t="shared" si="269"/>
        <v>2268841.454</v>
      </c>
      <c r="V381" s="93">
        <f t="shared" si="269"/>
        <v>4260662.402</v>
      </c>
      <c r="W381" s="93">
        <f t="shared" si="269"/>
        <v>7036380.349</v>
      </c>
      <c r="X381" s="93">
        <f t="shared" si="269"/>
        <v>16450629.81</v>
      </c>
      <c r="Y381" s="93">
        <f t="shared" si="269"/>
        <v>26914963.72</v>
      </c>
      <c r="Z381" s="93">
        <f t="shared" si="269"/>
        <v>39146948.18</v>
      </c>
      <c r="AA381" s="93">
        <f t="shared" si="269"/>
        <v>52390623.42</v>
      </c>
      <c r="AB381" s="93">
        <f t="shared" si="269"/>
        <v>77460058.23</v>
      </c>
      <c r="AC381" s="93">
        <f t="shared" si="269"/>
        <v>114626160.8</v>
      </c>
      <c r="AD381" s="93">
        <f t="shared" si="269"/>
        <v>160083194.7</v>
      </c>
      <c r="AE381" s="93">
        <f t="shared" si="269"/>
        <v>210960993.6</v>
      </c>
      <c r="AF381" s="93">
        <f t="shared" si="269"/>
        <v>262665050.7</v>
      </c>
      <c r="AG381" s="93">
        <f t="shared" si="269"/>
        <v>310671228.8</v>
      </c>
      <c r="AH381" s="93">
        <f t="shared" si="269"/>
        <v>346766574</v>
      </c>
      <c r="AI381" s="93">
        <f t="shared" si="269"/>
        <v>355789086.8</v>
      </c>
      <c r="AJ381" s="93">
        <f t="shared" si="269"/>
        <v>286601213.9</v>
      </c>
      <c r="AK381" s="93">
        <f t="shared" si="269"/>
        <v>198870662.1</v>
      </c>
      <c r="AL381" s="93">
        <f t="shared" si="269"/>
        <v>108213440.9</v>
      </c>
      <c r="AM381" s="93">
        <f t="shared" si="269"/>
        <v>30477338.17</v>
      </c>
      <c r="AN381" s="93" t="str">
        <f t="shared" si="269"/>
        <v>#REF!</v>
      </c>
      <c r="AO381" s="93" t="str">
        <f t="shared" si="269"/>
        <v>#REF!</v>
      </c>
      <c r="AP381" s="93" t="str">
        <f t="shared" si="269"/>
        <v>#REF!</v>
      </c>
      <c r="AQ381" s="99"/>
      <c r="AR381" s="99"/>
      <c r="AS381" s="99"/>
      <c r="AT381" s="99"/>
      <c r="AU381" s="99"/>
      <c r="AV381" s="99"/>
    </row>
    <row r="382" ht="12.75" customHeight="1" outlineLevel="1">
      <c r="A382" s="90"/>
      <c r="B382" s="90"/>
      <c r="C382" s="90" t="s">
        <v>495</v>
      </c>
      <c r="D382" s="90"/>
      <c r="E382" s="90"/>
      <c r="F382" s="90"/>
      <c r="G382" s="99"/>
      <c r="H382" s="99"/>
      <c r="I382" s="99"/>
      <c r="J382" s="99"/>
      <c r="K382" s="99">
        <v>50000.0</v>
      </c>
      <c r="L382" s="99">
        <f>-50000+'All Schools Roll-up'!L91-'All Schools Roll-up'!K91</f>
        <v>400000</v>
      </c>
      <c r="M382" s="93">
        <f>'All Schools Roll-up'!M91-'All Schools Roll-up'!L91</f>
        <v>-200000</v>
      </c>
      <c r="N382" s="93">
        <f>'All Schools Roll-up'!N91-'All Schools Roll-up'!M91</f>
        <v>0</v>
      </c>
      <c r="O382" s="93">
        <f>'All Schools Roll-up'!O91-'All Schools Roll-up'!N91</f>
        <v>0</v>
      </c>
      <c r="P382" s="93">
        <f>'All Schools Roll-up'!P91-'All Schools Roll-up'!O91</f>
        <v>0</v>
      </c>
      <c r="Q382" s="93">
        <f>'All Schools Roll-up'!Q91-'All Schools Roll-up'!P91</f>
        <v>54121.608</v>
      </c>
      <c r="R382" s="93">
        <f>'All Schools Roll-up'!R91-'All Schools Roll-up'!Q91</f>
        <v>303622.2209</v>
      </c>
      <c r="S382" s="93">
        <f>'All Schools Roll-up'!S91-'All Schools Roll-up'!R91</f>
        <v>397543.3911</v>
      </c>
      <c r="T382" s="93">
        <f>'All Schools Roll-up'!T91-'All Schools Roll-up'!S91</f>
        <v>1263554.234</v>
      </c>
      <c r="U382" s="93">
        <f>'All Schools Roll-up'!U91-'All Schools Roll-up'!T91</f>
        <v>1991820.948</v>
      </c>
      <c r="V382" s="93">
        <f>'All Schools Roll-up'!V91-'All Schools Roll-up'!U91</f>
        <v>2775717.947</v>
      </c>
      <c r="W382" s="93">
        <f>'All Schools Roll-up'!W91-'All Schools Roll-up'!V91</f>
        <v>9414249.46</v>
      </c>
      <c r="X382" s="93">
        <f>'All Schools Roll-up'!X91-'All Schools Roll-up'!W91</f>
        <v>10464333.91</v>
      </c>
      <c r="Y382" s="93">
        <f>'All Schools Roll-up'!Y91-'All Schools Roll-up'!X91</f>
        <v>12231984.46</v>
      </c>
      <c r="Z382" s="93">
        <f>'All Schools Roll-up'!Z91-'All Schools Roll-up'!Y91</f>
        <v>13243675.25</v>
      </c>
      <c r="AA382" s="93">
        <f>'All Schools Roll-up'!AA91-'All Schools Roll-up'!Z91</f>
        <v>25069434.81</v>
      </c>
      <c r="AB382" s="93">
        <f>'All Schools Roll-up'!AB91-'All Schools Roll-up'!AA91</f>
        <v>37166102.56</v>
      </c>
      <c r="AC382" s="93">
        <f>'All Schools Roll-up'!AC91-'All Schools Roll-up'!AB91</f>
        <v>45457033.91</v>
      </c>
      <c r="AD382" s="93">
        <f>'All Schools Roll-up'!AD91-'All Schools Roll-up'!AC91</f>
        <v>50877798.95</v>
      </c>
      <c r="AE382" s="93">
        <f>'All Schools Roll-up'!AE91-'All Schools Roll-up'!AD91</f>
        <v>51704057.06</v>
      </c>
      <c r="AF382" s="93">
        <f>'All Schools Roll-up'!AF91-'All Schools Roll-up'!AE91</f>
        <v>48006178.05</v>
      </c>
      <c r="AG382" s="93">
        <f>'All Schools Roll-up'!AG91-'All Schools Roll-up'!AF91</f>
        <v>36095345.19</v>
      </c>
      <c r="AH382" s="93">
        <f>'All Schools Roll-up'!AH91-'All Schools Roll-up'!AG91</f>
        <v>9022512.855</v>
      </c>
      <c r="AI382" s="93">
        <f>'All Schools Roll-up'!AI91-'All Schools Roll-up'!AH91</f>
        <v>-69187872.93</v>
      </c>
      <c r="AJ382" s="93">
        <f>'All Schools Roll-up'!AJ91-'All Schools Roll-up'!AI91</f>
        <v>-87730551.76</v>
      </c>
      <c r="AK382" s="93">
        <f>'All Schools Roll-up'!AK91-'All Schools Roll-up'!AJ91</f>
        <v>-90657221.22</v>
      </c>
      <c r="AL382" s="93">
        <f>'All Schools Roll-up'!AL91-'All Schools Roll-up'!AK91</f>
        <v>-77736102.72</v>
      </c>
      <c r="AM382" s="93" t="str">
        <f>'All Schools Roll-up'!AM91-'All Schools Roll-up'!AL91</f>
        <v>#REF!</v>
      </c>
      <c r="AN382" s="93" t="str">
        <f>'All Schools Roll-up'!AN91-'All Schools Roll-up'!AM91</f>
        <v>#REF!</v>
      </c>
      <c r="AO382" s="93" t="str">
        <f>'All Schools Roll-up'!AO91-'All Schools Roll-up'!AN91</f>
        <v>#REF!</v>
      </c>
      <c r="AP382" s="93" t="str">
        <f>'All Schools Roll-up'!AP91-'All Schools Roll-up'!AO91</f>
        <v>#REF!</v>
      </c>
      <c r="AQ382" s="99"/>
      <c r="AR382" s="99"/>
      <c r="AS382" s="99"/>
      <c r="AT382" s="99"/>
      <c r="AU382" s="99"/>
      <c r="AV382" s="99"/>
    </row>
    <row r="383" ht="12.75" customHeight="1" outlineLevel="1">
      <c r="A383" s="90"/>
      <c r="B383" s="90"/>
      <c r="C383" s="90" t="s">
        <v>491</v>
      </c>
      <c r="D383" s="90"/>
      <c r="E383" s="90"/>
      <c r="F383" s="90"/>
      <c r="G383" s="99"/>
      <c r="H383" s="99"/>
      <c r="I383" s="99"/>
      <c r="J383" s="99"/>
      <c r="K383" s="99">
        <f t="shared" ref="K383:AP383" si="270">SUM(K381:K382)</f>
        <v>50000</v>
      </c>
      <c r="L383" s="99">
        <f t="shared" si="270"/>
        <v>450000</v>
      </c>
      <c r="M383" s="93">
        <f t="shared" si="270"/>
        <v>250000</v>
      </c>
      <c r="N383" s="93">
        <f t="shared" si="270"/>
        <v>250000</v>
      </c>
      <c r="O383" s="93">
        <f t="shared" si="270"/>
        <v>250000</v>
      </c>
      <c r="P383" s="93">
        <f t="shared" si="270"/>
        <v>250000</v>
      </c>
      <c r="Q383" s="93">
        <f t="shared" si="270"/>
        <v>304121.608</v>
      </c>
      <c r="R383" s="93">
        <f t="shared" si="270"/>
        <v>607743.8289</v>
      </c>
      <c r="S383" s="93">
        <f t="shared" si="270"/>
        <v>1005287.22</v>
      </c>
      <c r="T383" s="93">
        <f t="shared" si="270"/>
        <v>2268841.454</v>
      </c>
      <c r="U383" s="93">
        <f t="shared" si="270"/>
        <v>4260662.402</v>
      </c>
      <c r="V383" s="93">
        <f t="shared" si="270"/>
        <v>7036380.349</v>
      </c>
      <c r="W383" s="93">
        <f t="shared" si="270"/>
        <v>16450629.81</v>
      </c>
      <c r="X383" s="93">
        <f t="shared" si="270"/>
        <v>26914963.72</v>
      </c>
      <c r="Y383" s="93">
        <f t="shared" si="270"/>
        <v>39146948.18</v>
      </c>
      <c r="Z383" s="93">
        <f t="shared" si="270"/>
        <v>52390623.42</v>
      </c>
      <c r="AA383" s="93">
        <f t="shared" si="270"/>
        <v>77460058.23</v>
      </c>
      <c r="AB383" s="93">
        <f t="shared" si="270"/>
        <v>114626160.8</v>
      </c>
      <c r="AC383" s="93">
        <f t="shared" si="270"/>
        <v>160083194.7</v>
      </c>
      <c r="AD383" s="93">
        <f t="shared" si="270"/>
        <v>210960993.6</v>
      </c>
      <c r="AE383" s="93">
        <f t="shared" si="270"/>
        <v>262665050.7</v>
      </c>
      <c r="AF383" s="93">
        <f t="shared" si="270"/>
        <v>310671228.8</v>
      </c>
      <c r="AG383" s="93">
        <f t="shared" si="270"/>
        <v>346766574</v>
      </c>
      <c r="AH383" s="93">
        <f t="shared" si="270"/>
        <v>355789086.8</v>
      </c>
      <c r="AI383" s="93">
        <f t="shared" si="270"/>
        <v>286601213.9</v>
      </c>
      <c r="AJ383" s="93">
        <f t="shared" si="270"/>
        <v>198870662.1</v>
      </c>
      <c r="AK383" s="93">
        <f t="shared" si="270"/>
        <v>108213440.9</v>
      </c>
      <c r="AL383" s="93">
        <f t="shared" si="270"/>
        <v>30477338.17</v>
      </c>
      <c r="AM383" s="93" t="str">
        <f t="shared" si="270"/>
        <v>#REF!</v>
      </c>
      <c r="AN383" s="93" t="str">
        <f t="shared" si="270"/>
        <v>#REF!</v>
      </c>
      <c r="AO383" s="93" t="str">
        <f t="shared" si="270"/>
        <v>#REF!</v>
      </c>
      <c r="AP383" s="93" t="str">
        <f t="shared" si="270"/>
        <v>#REF!</v>
      </c>
      <c r="AQ383" s="99"/>
      <c r="AR383" s="99"/>
      <c r="AS383" s="99"/>
      <c r="AT383" s="99"/>
      <c r="AU383" s="99"/>
      <c r="AV383" s="99"/>
    </row>
    <row r="384" ht="12.75" customHeight="1" outlineLevel="1">
      <c r="A384" s="90"/>
      <c r="B384" s="90"/>
      <c r="C384" s="90"/>
      <c r="D384" s="90"/>
      <c r="E384" s="90"/>
      <c r="F384" s="90"/>
      <c r="G384" s="90"/>
      <c r="H384" s="90"/>
      <c r="I384" s="90"/>
      <c r="J384" s="90"/>
      <c r="K384" s="90"/>
      <c r="L384" s="90"/>
      <c r="M384" s="93"/>
      <c r="N384" s="93"/>
      <c r="O384" s="93"/>
      <c r="P384" s="93"/>
      <c r="Q384" s="93"/>
      <c r="R384" s="93"/>
      <c r="S384" s="93"/>
      <c r="T384" s="93"/>
      <c r="U384" s="93"/>
      <c r="V384" s="93"/>
      <c r="W384" s="93"/>
      <c r="X384" s="93"/>
      <c r="Y384" s="93"/>
      <c r="Z384" s="93"/>
      <c r="AA384" s="93"/>
      <c r="AB384" s="93"/>
      <c r="AC384" s="93"/>
      <c r="AD384" s="93"/>
      <c r="AE384" s="93"/>
      <c r="AF384" s="93"/>
      <c r="AG384" s="93"/>
      <c r="AH384" s="93"/>
      <c r="AI384" s="93"/>
      <c r="AJ384" s="93"/>
      <c r="AK384" s="93"/>
      <c r="AL384" s="93"/>
      <c r="AM384" s="93"/>
      <c r="AN384" s="93"/>
      <c r="AO384" s="93"/>
      <c r="AP384" s="93"/>
      <c r="AQ384" s="90"/>
      <c r="AR384" s="90"/>
      <c r="AS384" s="90"/>
      <c r="AT384" s="90"/>
      <c r="AU384" s="90"/>
      <c r="AV384" s="90"/>
    </row>
    <row r="385" ht="12.75" customHeight="1">
      <c r="A385" s="90"/>
      <c r="B385" s="90"/>
      <c r="C385" s="90"/>
      <c r="D385" s="90"/>
      <c r="E385" s="90"/>
      <c r="F385" s="90"/>
      <c r="G385" s="90"/>
      <c r="H385" s="90"/>
      <c r="I385" s="90"/>
      <c r="J385" s="90"/>
      <c r="K385" s="90"/>
      <c r="L385" s="90"/>
      <c r="M385" s="93"/>
      <c r="N385" s="93"/>
      <c r="O385" s="93"/>
      <c r="P385" s="93"/>
      <c r="Q385" s="93"/>
      <c r="R385" s="93"/>
      <c r="S385" s="93"/>
      <c r="T385" s="93"/>
      <c r="U385" s="93"/>
      <c r="V385" s="93"/>
      <c r="W385" s="93"/>
      <c r="X385" s="93"/>
      <c r="Y385" s="93"/>
      <c r="Z385" s="93"/>
      <c r="AA385" s="93"/>
      <c r="AB385" s="93"/>
      <c r="AC385" s="93"/>
      <c r="AD385" s="93"/>
      <c r="AE385" s="93"/>
      <c r="AF385" s="93"/>
      <c r="AG385" s="93"/>
      <c r="AH385" s="93"/>
      <c r="AI385" s="93"/>
      <c r="AJ385" s="93"/>
      <c r="AK385" s="93"/>
      <c r="AL385" s="93"/>
      <c r="AM385" s="93"/>
      <c r="AN385" s="93"/>
      <c r="AO385" s="93"/>
      <c r="AP385" s="93"/>
    </row>
    <row r="386" ht="12.75" customHeight="1">
      <c r="A386" s="198" t="s">
        <v>496</v>
      </c>
      <c r="B386" s="253"/>
      <c r="C386" s="253"/>
      <c r="D386" s="253"/>
      <c r="E386" s="253"/>
      <c r="F386" s="253"/>
      <c r="G386" s="253"/>
      <c r="H386" s="253"/>
      <c r="I386" s="253"/>
      <c r="J386" s="253"/>
      <c r="K386" s="253"/>
      <c r="L386" s="253"/>
      <c r="M386" s="255"/>
      <c r="N386" s="255"/>
      <c r="O386" s="255"/>
      <c r="P386" s="255"/>
      <c r="Q386" s="255"/>
      <c r="R386" s="255"/>
      <c r="S386" s="255"/>
      <c r="T386" s="255"/>
      <c r="U386" s="255"/>
      <c r="V386" s="255"/>
      <c r="W386" s="255"/>
      <c r="X386" s="255"/>
      <c r="Y386" s="255"/>
      <c r="Z386" s="255"/>
      <c r="AA386" s="255"/>
      <c r="AB386" s="255"/>
      <c r="AC386" s="255"/>
      <c r="AD386" s="255"/>
      <c r="AE386" s="255"/>
      <c r="AF386" s="255"/>
      <c r="AG386" s="255"/>
      <c r="AH386" s="255"/>
      <c r="AI386" s="255"/>
      <c r="AJ386" s="255"/>
      <c r="AK386" s="255"/>
      <c r="AL386" s="255"/>
      <c r="AM386" s="255"/>
      <c r="AN386" s="255"/>
      <c r="AO386" s="255"/>
      <c r="AP386" s="255"/>
      <c r="AQ386" s="253"/>
      <c r="AR386" s="253"/>
      <c r="AS386" s="253"/>
      <c r="AT386" s="253"/>
      <c r="AU386" s="253"/>
      <c r="AV386" s="253"/>
    </row>
    <row r="387" ht="12.75" customHeight="1" outlineLevel="1">
      <c r="A387" s="90"/>
      <c r="B387" s="90"/>
      <c r="C387" s="90"/>
      <c r="D387" s="90"/>
      <c r="E387" s="90"/>
      <c r="F387" s="90"/>
      <c r="G387" s="90"/>
      <c r="H387" s="90"/>
      <c r="I387" s="90"/>
      <c r="J387" s="90"/>
      <c r="K387" s="90"/>
      <c r="L387" s="90"/>
      <c r="M387" s="93"/>
      <c r="N387" s="93"/>
      <c r="O387" s="93"/>
      <c r="P387" s="93"/>
      <c r="Q387" s="93"/>
      <c r="R387" s="93"/>
      <c r="S387" s="93"/>
      <c r="T387" s="93"/>
      <c r="U387" s="93"/>
      <c r="V387" s="93"/>
      <c r="W387" s="93"/>
      <c r="X387" s="93"/>
      <c r="Y387" s="93"/>
      <c r="Z387" s="93"/>
      <c r="AA387" s="93"/>
      <c r="AB387" s="93"/>
      <c r="AC387" s="93"/>
      <c r="AD387" s="93"/>
      <c r="AE387" s="93"/>
      <c r="AF387" s="93"/>
      <c r="AG387" s="93"/>
      <c r="AH387" s="93"/>
      <c r="AI387" s="93"/>
      <c r="AJ387" s="93"/>
      <c r="AK387" s="93"/>
      <c r="AL387" s="93"/>
      <c r="AM387" s="93"/>
      <c r="AN387" s="93"/>
      <c r="AO387" s="93"/>
      <c r="AP387" s="93"/>
    </row>
    <row r="388" ht="12.75" customHeight="1" outlineLevel="1">
      <c r="A388" s="90"/>
      <c r="B388" s="90" t="s">
        <v>242</v>
      </c>
      <c r="C388" s="90"/>
      <c r="D388" s="90"/>
      <c r="E388" s="90"/>
      <c r="F388" s="90"/>
      <c r="G388" s="90"/>
      <c r="H388" s="90"/>
      <c r="I388" s="90"/>
      <c r="J388" s="90"/>
      <c r="K388" s="90"/>
      <c r="L388" s="90"/>
      <c r="M388" s="93"/>
      <c r="N388" s="93"/>
      <c r="O388" s="93"/>
      <c r="P388" s="93"/>
      <c r="Q388" s="93"/>
      <c r="R388" s="93"/>
      <c r="S388" s="93"/>
      <c r="T388" s="93"/>
      <c r="U388" s="93"/>
      <c r="V388" s="93"/>
      <c r="W388" s="93"/>
      <c r="X388" s="93"/>
      <c r="Y388" s="93"/>
      <c r="Z388" s="93"/>
      <c r="AA388" s="93"/>
      <c r="AB388" s="93"/>
      <c r="AC388" s="93"/>
      <c r="AD388" s="93"/>
      <c r="AE388" s="93"/>
      <c r="AF388" s="93"/>
      <c r="AG388" s="93"/>
      <c r="AH388" s="93"/>
      <c r="AI388" s="93"/>
      <c r="AJ388" s="93"/>
      <c r="AK388" s="93"/>
      <c r="AL388" s="93"/>
      <c r="AM388" s="93"/>
      <c r="AN388" s="93"/>
      <c r="AO388" s="93"/>
      <c r="AP388" s="93"/>
    </row>
    <row r="389" ht="12.75" customHeight="1" outlineLevel="1">
      <c r="A389" s="90"/>
      <c r="B389" s="90"/>
      <c r="C389" s="90" t="s">
        <v>497</v>
      </c>
      <c r="D389" s="90"/>
      <c r="E389" s="90"/>
      <c r="F389" s="90"/>
      <c r="G389" s="99"/>
      <c r="H389" s="99"/>
      <c r="I389" s="93" t="str">
        <f t="shared" ref="I389:J389" si="271">I352</f>
        <v/>
      </c>
      <c r="J389" s="93" t="str">
        <f t="shared" si="271"/>
        <v/>
      </c>
      <c r="K389" s="93">
        <f t="shared" ref="K389:AP389" si="272">K353-K390</f>
        <v>2238310.171</v>
      </c>
      <c r="L389" s="93" t="str">
        <f t="shared" si="272"/>
        <v>#REF!</v>
      </c>
      <c r="M389" s="93" t="str">
        <f t="shared" si="272"/>
        <v>#REF!</v>
      </c>
      <c r="N389" s="93" t="str">
        <f t="shared" si="272"/>
        <v>#REF!</v>
      </c>
      <c r="O389" s="93" t="str">
        <f t="shared" si="272"/>
        <v>#REF!</v>
      </c>
      <c r="P389" s="93" t="str">
        <f t="shared" si="272"/>
        <v>#REF!</v>
      </c>
      <c r="Q389" s="93" t="str">
        <f t="shared" si="272"/>
        <v>#REF!</v>
      </c>
      <c r="R389" s="93" t="str">
        <f t="shared" si="272"/>
        <v>#REF!</v>
      </c>
      <c r="S389" s="93" t="str">
        <f t="shared" si="272"/>
        <v>#REF!</v>
      </c>
      <c r="T389" s="93" t="str">
        <f t="shared" si="272"/>
        <v>#REF!</v>
      </c>
      <c r="U389" s="93" t="str">
        <f t="shared" si="272"/>
        <v>#REF!</v>
      </c>
      <c r="V389" s="93" t="str">
        <f t="shared" si="272"/>
        <v>#REF!</v>
      </c>
      <c r="W389" s="93" t="str">
        <f t="shared" si="272"/>
        <v>#REF!</v>
      </c>
      <c r="X389" s="93" t="str">
        <f t="shared" si="272"/>
        <v>#REF!</v>
      </c>
      <c r="Y389" s="93" t="str">
        <f t="shared" si="272"/>
        <v>#REF!</v>
      </c>
      <c r="Z389" s="93" t="str">
        <f t="shared" si="272"/>
        <v>#REF!</v>
      </c>
      <c r="AA389" s="93" t="str">
        <f t="shared" si="272"/>
        <v>#REF!</v>
      </c>
      <c r="AB389" s="93" t="str">
        <f t="shared" si="272"/>
        <v>#REF!</v>
      </c>
      <c r="AC389" s="93" t="str">
        <f t="shared" si="272"/>
        <v>#REF!</v>
      </c>
      <c r="AD389" s="93" t="str">
        <f t="shared" si="272"/>
        <v>#REF!</v>
      </c>
      <c r="AE389" s="93" t="str">
        <f t="shared" si="272"/>
        <v>#REF!</v>
      </c>
      <c r="AF389" s="93" t="str">
        <f t="shared" si="272"/>
        <v>#REF!</v>
      </c>
      <c r="AG389" s="93" t="str">
        <f t="shared" si="272"/>
        <v>#REF!</v>
      </c>
      <c r="AH389" s="93" t="str">
        <f t="shared" si="272"/>
        <v>#REF!</v>
      </c>
      <c r="AI389" s="93" t="str">
        <f t="shared" si="272"/>
        <v>#REF!</v>
      </c>
      <c r="AJ389" s="93" t="str">
        <f t="shared" si="272"/>
        <v>#REF!</v>
      </c>
      <c r="AK389" s="93" t="str">
        <f t="shared" si="272"/>
        <v>#REF!</v>
      </c>
      <c r="AL389" s="93" t="str">
        <f t="shared" si="272"/>
        <v>#REF!</v>
      </c>
      <c r="AM389" s="93" t="str">
        <f t="shared" si="272"/>
        <v>#REF!</v>
      </c>
      <c r="AN389" s="93" t="str">
        <f t="shared" si="272"/>
        <v>#REF!</v>
      </c>
      <c r="AO389" s="93" t="str">
        <f t="shared" si="272"/>
        <v>#REF!</v>
      </c>
      <c r="AP389" s="93" t="str">
        <f t="shared" si="272"/>
        <v>#REF!</v>
      </c>
      <c r="AQ389" s="99"/>
      <c r="AR389" s="99"/>
      <c r="AS389" s="99"/>
      <c r="AT389" s="99"/>
      <c r="AU389" s="99"/>
      <c r="AV389" s="99"/>
    </row>
    <row r="390" ht="12.75" customHeight="1" outlineLevel="1">
      <c r="A390" s="90"/>
      <c r="B390" s="256">
        <v>1.0</v>
      </c>
      <c r="C390" s="90" t="s">
        <v>498</v>
      </c>
      <c r="D390" s="90"/>
      <c r="E390" s="90"/>
      <c r="F390" s="90"/>
      <c r="G390" s="99"/>
      <c r="H390" s="99"/>
      <c r="I390" s="93"/>
      <c r="J390" s="93"/>
      <c r="K390" s="93">
        <f t="shared" ref="K390:AL390" si="273">$B390*K41/12</f>
        <v>54403.89917</v>
      </c>
      <c r="L390" s="93">
        <f t="shared" si="273"/>
        <v>172035.1283</v>
      </c>
      <c r="M390" s="93" t="str">
        <f t="shared" si="273"/>
        <v>#REF!</v>
      </c>
      <c r="N390" s="93" t="str">
        <f t="shared" si="273"/>
        <v>#REF!</v>
      </c>
      <c r="O390" s="93" t="str">
        <f t="shared" si="273"/>
        <v>#REF!</v>
      </c>
      <c r="P390" s="93" t="str">
        <f t="shared" si="273"/>
        <v>#REF!</v>
      </c>
      <c r="Q390" s="93" t="str">
        <f t="shared" si="273"/>
        <v>#REF!</v>
      </c>
      <c r="R390" s="93" t="str">
        <f t="shared" si="273"/>
        <v>#REF!</v>
      </c>
      <c r="S390" s="93" t="str">
        <f t="shared" si="273"/>
        <v>#REF!</v>
      </c>
      <c r="T390" s="93" t="str">
        <f t="shared" si="273"/>
        <v>#REF!</v>
      </c>
      <c r="U390" s="93" t="str">
        <f t="shared" si="273"/>
        <v>#REF!</v>
      </c>
      <c r="V390" s="93" t="str">
        <f t="shared" si="273"/>
        <v>#REF!</v>
      </c>
      <c r="W390" s="93" t="str">
        <f t="shared" si="273"/>
        <v>#REF!</v>
      </c>
      <c r="X390" s="93" t="str">
        <f t="shared" si="273"/>
        <v>#REF!</v>
      </c>
      <c r="Y390" s="93" t="str">
        <f t="shared" si="273"/>
        <v>#REF!</v>
      </c>
      <c r="Z390" s="93" t="str">
        <f t="shared" si="273"/>
        <v>#REF!</v>
      </c>
      <c r="AA390" s="93" t="str">
        <f t="shared" si="273"/>
        <v>#REF!</v>
      </c>
      <c r="AB390" s="93" t="str">
        <f t="shared" si="273"/>
        <v>#REF!</v>
      </c>
      <c r="AC390" s="93" t="str">
        <f t="shared" si="273"/>
        <v>#REF!</v>
      </c>
      <c r="AD390" s="93" t="str">
        <f t="shared" si="273"/>
        <v>#REF!</v>
      </c>
      <c r="AE390" s="93" t="str">
        <f t="shared" si="273"/>
        <v>#REF!</v>
      </c>
      <c r="AF390" s="93" t="str">
        <f t="shared" si="273"/>
        <v>#REF!</v>
      </c>
      <c r="AG390" s="93" t="str">
        <f t="shared" si="273"/>
        <v>#REF!</v>
      </c>
      <c r="AH390" s="93" t="str">
        <f t="shared" si="273"/>
        <v>#REF!</v>
      </c>
      <c r="AI390" s="93" t="str">
        <f t="shared" si="273"/>
        <v>#REF!</v>
      </c>
      <c r="AJ390" s="93" t="str">
        <f t="shared" si="273"/>
        <v>#REF!</v>
      </c>
      <c r="AK390" s="93" t="str">
        <f t="shared" si="273"/>
        <v>#REF!</v>
      </c>
      <c r="AL390" s="93" t="str">
        <f t="shared" si="273"/>
        <v>#REF!</v>
      </c>
      <c r="AM390" s="93" t="str">
        <f t="shared" ref="AM390:AP390" si="274">MIN($B390*AM41/12,AM353)</f>
        <v>#REF!</v>
      </c>
      <c r="AN390" s="93" t="str">
        <f t="shared" si="274"/>
        <v>#REF!</v>
      </c>
      <c r="AO390" s="93" t="str">
        <f t="shared" si="274"/>
        <v>#REF!</v>
      </c>
      <c r="AP390" s="93" t="str">
        <f t="shared" si="274"/>
        <v>#REF!</v>
      </c>
      <c r="AQ390" s="99"/>
      <c r="AR390" s="99"/>
      <c r="AS390" s="99"/>
      <c r="AT390" s="99"/>
      <c r="AU390" s="99"/>
      <c r="AV390" s="99"/>
    </row>
    <row r="391" ht="12.75" customHeight="1" outlineLevel="1">
      <c r="A391" s="90"/>
      <c r="B391" s="256"/>
      <c r="C391" s="90" t="s">
        <v>499</v>
      </c>
      <c r="D391" s="90"/>
      <c r="E391" s="90"/>
      <c r="F391" s="90"/>
      <c r="G391" s="99"/>
      <c r="H391" s="99"/>
      <c r="I391" s="93">
        <f>H391-I337</f>
        <v>0</v>
      </c>
      <c r="J391" s="93" t="str">
        <f>#REF!-J337</f>
        <v>#REF!</v>
      </c>
      <c r="K391" s="93">
        <v>0.0</v>
      </c>
      <c r="L391" s="93">
        <f t="shared" ref="L391:AP391" si="275">K391-L337</f>
        <v>0</v>
      </c>
      <c r="M391" s="93">
        <f t="shared" si="275"/>
        <v>0</v>
      </c>
      <c r="N391" s="93">
        <f t="shared" si="275"/>
        <v>0</v>
      </c>
      <c r="O391" s="93">
        <f t="shared" si="275"/>
        <v>0</v>
      </c>
      <c r="P391" s="93">
        <f t="shared" si="275"/>
        <v>0</v>
      </c>
      <c r="Q391" s="93">
        <f t="shared" si="275"/>
        <v>0</v>
      </c>
      <c r="R391" s="93">
        <f t="shared" si="275"/>
        <v>0</v>
      </c>
      <c r="S391" s="93">
        <f t="shared" si="275"/>
        <v>0</v>
      </c>
      <c r="T391" s="93">
        <f t="shared" si="275"/>
        <v>0</v>
      </c>
      <c r="U391" s="93">
        <f t="shared" si="275"/>
        <v>0</v>
      </c>
      <c r="V391" s="93">
        <f t="shared" si="275"/>
        <v>0</v>
      </c>
      <c r="W391" s="93">
        <f t="shared" si="275"/>
        <v>0</v>
      </c>
      <c r="X391" s="93">
        <f t="shared" si="275"/>
        <v>0</v>
      </c>
      <c r="Y391" s="93">
        <f t="shared" si="275"/>
        <v>0</v>
      </c>
      <c r="Z391" s="93">
        <f t="shared" si="275"/>
        <v>0</v>
      </c>
      <c r="AA391" s="93">
        <f t="shared" si="275"/>
        <v>0</v>
      </c>
      <c r="AB391" s="93">
        <f t="shared" si="275"/>
        <v>0</v>
      </c>
      <c r="AC391" s="93">
        <f t="shared" si="275"/>
        <v>0</v>
      </c>
      <c r="AD391" s="93">
        <f t="shared" si="275"/>
        <v>0</v>
      </c>
      <c r="AE391" s="93">
        <f t="shared" si="275"/>
        <v>0</v>
      </c>
      <c r="AF391" s="93">
        <f t="shared" si="275"/>
        <v>0</v>
      </c>
      <c r="AG391" s="93">
        <f t="shared" si="275"/>
        <v>0</v>
      </c>
      <c r="AH391" s="93">
        <f t="shared" si="275"/>
        <v>0</v>
      </c>
      <c r="AI391" s="93">
        <f t="shared" si="275"/>
        <v>0</v>
      </c>
      <c r="AJ391" s="93">
        <f t="shared" si="275"/>
        <v>0</v>
      </c>
      <c r="AK391" s="93">
        <f t="shared" si="275"/>
        <v>0</v>
      </c>
      <c r="AL391" s="93">
        <f t="shared" si="275"/>
        <v>0</v>
      </c>
      <c r="AM391" s="93">
        <f t="shared" si="275"/>
        <v>0</v>
      </c>
      <c r="AN391" s="93">
        <f t="shared" si="275"/>
        <v>0</v>
      </c>
      <c r="AO391" s="93">
        <f t="shared" si="275"/>
        <v>0</v>
      </c>
      <c r="AP391" s="93">
        <f t="shared" si="275"/>
        <v>0</v>
      </c>
      <c r="AQ391" s="99"/>
      <c r="AR391" s="99"/>
      <c r="AS391" s="99"/>
      <c r="AT391" s="99"/>
      <c r="AU391" s="99"/>
      <c r="AV391" s="99"/>
    </row>
    <row r="392" ht="12.75" customHeight="1" outlineLevel="1">
      <c r="A392" s="90"/>
      <c r="B392" s="256"/>
      <c r="C392" s="90" t="s">
        <v>252</v>
      </c>
      <c r="D392" s="90"/>
      <c r="E392" s="90"/>
      <c r="F392" s="90"/>
      <c r="G392" s="99"/>
      <c r="H392" s="99"/>
      <c r="I392" s="93"/>
      <c r="J392" s="93"/>
      <c r="K392" s="93">
        <v>50000.0</v>
      </c>
      <c r="L392" s="93">
        <f t="shared" ref="L392:AP392" si="276">L383</f>
        <v>450000</v>
      </c>
      <c r="M392" s="93">
        <f t="shared" si="276"/>
        <v>250000</v>
      </c>
      <c r="N392" s="93">
        <f t="shared" si="276"/>
        <v>250000</v>
      </c>
      <c r="O392" s="93">
        <f t="shared" si="276"/>
        <v>250000</v>
      </c>
      <c r="P392" s="93">
        <f t="shared" si="276"/>
        <v>250000</v>
      </c>
      <c r="Q392" s="93">
        <f t="shared" si="276"/>
        <v>304121.608</v>
      </c>
      <c r="R392" s="93">
        <f t="shared" si="276"/>
        <v>607743.8289</v>
      </c>
      <c r="S392" s="93">
        <f t="shared" si="276"/>
        <v>1005287.22</v>
      </c>
      <c r="T392" s="93">
        <f t="shared" si="276"/>
        <v>2268841.454</v>
      </c>
      <c r="U392" s="93">
        <f t="shared" si="276"/>
        <v>4260662.402</v>
      </c>
      <c r="V392" s="93">
        <f t="shared" si="276"/>
        <v>7036380.349</v>
      </c>
      <c r="W392" s="93">
        <f t="shared" si="276"/>
        <v>16450629.81</v>
      </c>
      <c r="X392" s="93">
        <f t="shared" si="276"/>
        <v>26914963.72</v>
      </c>
      <c r="Y392" s="93">
        <f t="shared" si="276"/>
        <v>39146948.18</v>
      </c>
      <c r="Z392" s="93">
        <f t="shared" si="276"/>
        <v>52390623.42</v>
      </c>
      <c r="AA392" s="93">
        <f t="shared" si="276"/>
        <v>77460058.23</v>
      </c>
      <c r="AB392" s="93">
        <f t="shared" si="276"/>
        <v>114626160.8</v>
      </c>
      <c r="AC392" s="93">
        <f t="shared" si="276"/>
        <v>160083194.7</v>
      </c>
      <c r="AD392" s="93">
        <f t="shared" si="276"/>
        <v>210960993.6</v>
      </c>
      <c r="AE392" s="93">
        <f t="shared" si="276"/>
        <v>262665050.7</v>
      </c>
      <c r="AF392" s="93">
        <f t="shared" si="276"/>
        <v>310671228.8</v>
      </c>
      <c r="AG392" s="93">
        <f t="shared" si="276"/>
        <v>346766574</v>
      </c>
      <c r="AH392" s="93">
        <f t="shared" si="276"/>
        <v>355789086.8</v>
      </c>
      <c r="AI392" s="93">
        <f t="shared" si="276"/>
        <v>286601213.9</v>
      </c>
      <c r="AJ392" s="93">
        <f t="shared" si="276"/>
        <v>198870662.1</v>
      </c>
      <c r="AK392" s="93">
        <f t="shared" si="276"/>
        <v>108213440.9</v>
      </c>
      <c r="AL392" s="93">
        <f t="shared" si="276"/>
        <v>30477338.17</v>
      </c>
      <c r="AM392" s="93" t="str">
        <f t="shared" si="276"/>
        <v>#REF!</v>
      </c>
      <c r="AN392" s="93" t="str">
        <f t="shared" si="276"/>
        <v>#REF!</v>
      </c>
      <c r="AO392" s="93" t="str">
        <f t="shared" si="276"/>
        <v>#REF!</v>
      </c>
      <c r="AP392" s="93" t="str">
        <f t="shared" si="276"/>
        <v>#REF!</v>
      </c>
      <c r="AQ392" s="99"/>
      <c r="AR392" s="99"/>
      <c r="AS392" s="99"/>
      <c r="AT392" s="99"/>
      <c r="AU392" s="99"/>
      <c r="AV392" s="99"/>
    </row>
    <row r="393" ht="12.75" customHeight="1" outlineLevel="1">
      <c r="A393" s="90"/>
      <c r="B393" s="257">
        <f>Assumptions!H29</f>
        <v>0.05</v>
      </c>
      <c r="C393" s="90" t="s">
        <v>142</v>
      </c>
      <c r="D393" s="90"/>
      <c r="E393" s="90"/>
      <c r="F393" s="90"/>
      <c r="G393" s="99"/>
      <c r="H393" s="99"/>
      <c r="I393" s="93">
        <f t="shared" ref="I393:J393" si="277">$B393*I159</f>
        <v>0</v>
      </c>
      <c r="J393" s="93">
        <f t="shared" si="277"/>
        <v>0</v>
      </c>
      <c r="K393" s="93">
        <v>0.0</v>
      </c>
      <c r="L393" s="93">
        <v>220089.87</v>
      </c>
      <c r="M393" s="93">
        <f t="shared" ref="M393:AP393" si="278">$B393*M35</f>
        <v>225367.4316</v>
      </c>
      <c r="N393" s="93">
        <f t="shared" si="278"/>
        <v>247736.8354</v>
      </c>
      <c r="O393" s="93">
        <f t="shared" si="278"/>
        <v>376451.9725</v>
      </c>
      <c r="P393" s="93">
        <f t="shared" si="278"/>
        <v>351695.1938</v>
      </c>
      <c r="Q393" s="93">
        <f t="shared" si="278"/>
        <v>540769.521</v>
      </c>
      <c r="R393" s="93">
        <f t="shared" si="278"/>
        <v>878225.0798</v>
      </c>
      <c r="S393" s="93">
        <f t="shared" si="278"/>
        <v>1469106.745</v>
      </c>
      <c r="T393" s="93">
        <f t="shared" si="278"/>
        <v>2302635.024</v>
      </c>
      <c r="U393" s="93">
        <f t="shared" si="278"/>
        <v>3069267.345</v>
      </c>
      <c r="V393" s="93">
        <f t="shared" si="278"/>
        <v>4024619.42</v>
      </c>
      <c r="W393" s="93">
        <f t="shared" si="278"/>
        <v>5305972.809</v>
      </c>
      <c r="X393" s="93">
        <f t="shared" si="278"/>
        <v>7026075.017</v>
      </c>
      <c r="Y393" s="93">
        <f t="shared" si="278"/>
        <v>9646446.899</v>
      </c>
      <c r="Z393" s="93">
        <f t="shared" si="278"/>
        <v>13694429.88</v>
      </c>
      <c r="AA393" s="93">
        <f t="shared" si="278"/>
        <v>19108879</v>
      </c>
      <c r="AB393" s="93">
        <f t="shared" si="278"/>
        <v>25850772.6</v>
      </c>
      <c r="AC393" s="93">
        <f t="shared" si="278"/>
        <v>33949323.85</v>
      </c>
      <c r="AD393" s="93">
        <f t="shared" si="278"/>
        <v>43440535.09</v>
      </c>
      <c r="AE393" s="93">
        <f t="shared" si="278"/>
        <v>53693205.13</v>
      </c>
      <c r="AF393" s="93">
        <f t="shared" si="278"/>
        <v>63572689.51</v>
      </c>
      <c r="AG393" s="93">
        <f t="shared" si="278"/>
        <v>70086091.63</v>
      </c>
      <c r="AH393" s="93">
        <f t="shared" si="278"/>
        <v>72993542.63</v>
      </c>
      <c r="AI393" s="93">
        <f t="shared" si="278"/>
        <v>75099523.08</v>
      </c>
      <c r="AJ393" s="93">
        <f t="shared" si="278"/>
        <v>76603014.25</v>
      </c>
      <c r="AK393" s="93">
        <f t="shared" si="278"/>
        <v>78069486.3</v>
      </c>
      <c r="AL393" s="93">
        <f t="shared" si="278"/>
        <v>79588042.45</v>
      </c>
      <c r="AM393" s="93">
        <f t="shared" si="278"/>
        <v>81159351.62</v>
      </c>
      <c r="AN393" s="93">
        <f t="shared" si="278"/>
        <v>82780281.03</v>
      </c>
      <c r="AO393" s="93" t="str">
        <f t="shared" si="278"/>
        <v>#REF!</v>
      </c>
      <c r="AP393" s="93" t="str">
        <f t="shared" si="278"/>
        <v>#REF!</v>
      </c>
      <c r="AQ393" s="99"/>
      <c r="AR393" s="99"/>
      <c r="AS393" s="99"/>
      <c r="AT393" s="99"/>
      <c r="AU393" s="99"/>
      <c r="AV393" s="99"/>
    </row>
    <row r="394" ht="12.75" customHeight="1" outlineLevel="1">
      <c r="A394" s="90"/>
      <c r="B394" s="87"/>
      <c r="C394" s="87" t="s">
        <v>248</v>
      </c>
      <c r="D394" s="87"/>
      <c r="E394" s="87"/>
      <c r="F394" s="87"/>
      <c r="G394" s="125"/>
      <c r="H394" s="125"/>
      <c r="I394" s="119">
        <v>0.0</v>
      </c>
      <c r="J394" s="119">
        <v>0.0</v>
      </c>
      <c r="K394" s="119">
        <v>5869.5</v>
      </c>
      <c r="L394" s="119">
        <v>17455.0</v>
      </c>
      <c r="M394" s="119">
        <v>0.0</v>
      </c>
      <c r="N394" s="119">
        <v>0.0</v>
      </c>
      <c r="O394" s="119">
        <v>0.0</v>
      </c>
      <c r="P394" s="119">
        <v>0.0</v>
      </c>
      <c r="Q394" s="119">
        <v>0.0</v>
      </c>
      <c r="R394" s="119">
        <v>0.0</v>
      </c>
      <c r="S394" s="119">
        <v>0.0</v>
      </c>
      <c r="T394" s="119">
        <v>0.0</v>
      </c>
      <c r="U394" s="119">
        <v>0.0</v>
      </c>
      <c r="V394" s="119">
        <v>0.0</v>
      </c>
      <c r="W394" s="119">
        <v>0.0</v>
      </c>
      <c r="X394" s="119">
        <v>0.0</v>
      </c>
      <c r="Y394" s="119">
        <v>0.0</v>
      </c>
      <c r="Z394" s="119">
        <v>0.0</v>
      </c>
      <c r="AA394" s="119">
        <v>0.0</v>
      </c>
      <c r="AB394" s="119">
        <v>0.0</v>
      </c>
      <c r="AC394" s="119">
        <v>0.0</v>
      </c>
      <c r="AD394" s="119">
        <v>0.0</v>
      </c>
      <c r="AE394" s="119">
        <v>0.0</v>
      </c>
      <c r="AF394" s="119">
        <v>0.0</v>
      </c>
      <c r="AG394" s="119">
        <v>0.0</v>
      </c>
      <c r="AH394" s="119">
        <v>0.0</v>
      </c>
      <c r="AI394" s="119">
        <v>0.0</v>
      </c>
      <c r="AJ394" s="119">
        <v>0.0</v>
      </c>
      <c r="AK394" s="119">
        <v>0.0</v>
      </c>
      <c r="AL394" s="119">
        <v>0.0</v>
      </c>
      <c r="AM394" s="119">
        <v>0.0</v>
      </c>
      <c r="AN394" s="119">
        <v>0.0</v>
      </c>
      <c r="AO394" s="119">
        <v>0.0</v>
      </c>
      <c r="AP394" s="119">
        <v>0.0</v>
      </c>
      <c r="AQ394" s="125"/>
      <c r="AR394" s="125"/>
      <c r="AS394" s="125"/>
      <c r="AT394" s="125"/>
      <c r="AU394" s="125"/>
      <c r="AV394" s="125"/>
    </row>
    <row r="395" ht="12.75" customHeight="1" outlineLevel="1">
      <c r="A395" s="67"/>
      <c r="B395" s="67" t="s">
        <v>249</v>
      </c>
      <c r="C395" s="67"/>
      <c r="D395" s="67"/>
      <c r="E395" s="67"/>
      <c r="F395" s="67"/>
      <c r="G395" s="79"/>
      <c r="H395" s="79"/>
      <c r="I395" s="115">
        <f t="shared" ref="I395:AP395" si="279">SUM(I389:I394)</f>
        <v>0</v>
      </c>
      <c r="J395" s="115" t="str">
        <f t="shared" si="279"/>
        <v>#REF!</v>
      </c>
      <c r="K395" s="115">
        <f t="shared" si="279"/>
        <v>2348583.57</v>
      </c>
      <c r="L395" s="115" t="str">
        <f t="shared" si="279"/>
        <v>#REF!</v>
      </c>
      <c r="M395" s="115" t="str">
        <f t="shared" si="279"/>
        <v>#REF!</v>
      </c>
      <c r="N395" s="115" t="str">
        <f t="shared" si="279"/>
        <v>#REF!</v>
      </c>
      <c r="O395" s="115" t="str">
        <f t="shared" si="279"/>
        <v>#REF!</v>
      </c>
      <c r="P395" s="115" t="str">
        <f t="shared" si="279"/>
        <v>#REF!</v>
      </c>
      <c r="Q395" s="115" t="str">
        <f t="shared" si="279"/>
        <v>#REF!</v>
      </c>
      <c r="R395" s="115" t="str">
        <f t="shared" si="279"/>
        <v>#REF!</v>
      </c>
      <c r="S395" s="115" t="str">
        <f t="shared" si="279"/>
        <v>#REF!</v>
      </c>
      <c r="T395" s="115" t="str">
        <f t="shared" si="279"/>
        <v>#REF!</v>
      </c>
      <c r="U395" s="115" t="str">
        <f t="shared" si="279"/>
        <v>#REF!</v>
      </c>
      <c r="V395" s="115" t="str">
        <f t="shared" si="279"/>
        <v>#REF!</v>
      </c>
      <c r="W395" s="115" t="str">
        <f t="shared" si="279"/>
        <v>#REF!</v>
      </c>
      <c r="X395" s="115" t="str">
        <f t="shared" si="279"/>
        <v>#REF!</v>
      </c>
      <c r="Y395" s="115" t="str">
        <f t="shared" si="279"/>
        <v>#REF!</v>
      </c>
      <c r="Z395" s="115" t="str">
        <f t="shared" si="279"/>
        <v>#REF!</v>
      </c>
      <c r="AA395" s="115" t="str">
        <f t="shared" si="279"/>
        <v>#REF!</v>
      </c>
      <c r="AB395" s="115" t="str">
        <f t="shared" si="279"/>
        <v>#REF!</v>
      </c>
      <c r="AC395" s="115" t="str">
        <f t="shared" si="279"/>
        <v>#REF!</v>
      </c>
      <c r="AD395" s="115" t="str">
        <f t="shared" si="279"/>
        <v>#REF!</v>
      </c>
      <c r="AE395" s="115" t="str">
        <f t="shared" si="279"/>
        <v>#REF!</v>
      </c>
      <c r="AF395" s="115" t="str">
        <f t="shared" si="279"/>
        <v>#REF!</v>
      </c>
      <c r="AG395" s="115" t="str">
        <f t="shared" si="279"/>
        <v>#REF!</v>
      </c>
      <c r="AH395" s="115" t="str">
        <f t="shared" si="279"/>
        <v>#REF!</v>
      </c>
      <c r="AI395" s="115" t="str">
        <f t="shared" si="279"/>
        <v>#REF!</v>
      </c>
      <c r="AJ395" s="115" t="str">
        <f t="shared" si="279"/>
        <v>#REF!</v>
      </c>
      <c r="AK395" s="115" t="str">
        <f t="shared" si="279"/>
        <v>#REF!</v>
      </c>
      <c r="AL395" s="115" t="str">
        <f t="shared" si="279"/>
        <v>#REF!</v>
      </c>
      <c r="AM395" s="115" t="str">
        <f t="shared" si="279"/>
        <v>#REF!</v>
      </c>
      <c r="AN395" s="115" t="str">
        <f t="shared" si="279"/>
        <v>#REF!</v>
      </c>
      <c r="AO395" s="115" t="str">
        <f t="shared" si="279"/>
        <v>#REF!</v>
      </c>
      <c r="AP395" s="115" t="str">
        <f t="shared" si="279"/>
        <v>#REF!</v>
      </c>
      <c r="AQ395" s="79"/>
      <c r="AR395" s="79"/>
      <c r="AS395" s="79"/>
      <c r="AT395" s="79"/>
      <c r="AU395" s="79"/>
      <c r="AV395" s="79"/>
    </row>
    <row r="396" ht="12.75" customHeight="1" outlineLevel="1">
      <c r="A396" s="90"/>
      <c r="B396" s="90"/>
      <c r="C396" s="90"/>
      <c r="D396" s="90"/>
      <c r="E396" s="90"/>
      <c r="F396" s="90"/>
      <c r="G396" s="99"/>
      <c r="H396" s="99"/>
      <c r="I396" s="93"/>
      <c r="J396" s="93"/>
      <c r="K396" s="93"/>
      <c r="L396" s="93"/>
      <c r="M396" s="93"/>
      <c r="N396" s="93"/>
      <c r="O396" s="93"/>
      <c r="P396" s="93"/>
      <c r="Q396" s="93"/>
      <c r="R396" s="93"/>
      <c r="S396" s="93"/>
      <c r="T396" s="93"/>
      <c r="U396" s="93"/>
      <c r="V396" s="93"/>
      <c r="W396" s="93"/>
      <c r="X396" s="93"/>
      <c r="Y396" s="93"/>
      <c r="Z396" s="93"/>
      <c r="AA396" s="93"/>
      <c r="AB396" s="93"/>
      <c r="AC396" s="93"/>
      <c r="AD396" s="93"/>
      <c r="AE396" s="93"/>
      <c r="AF396" s="93"/>
      <c r="AG396" s="93"/>
      <c r="AH396" s="93"/>
      <c r="AI396" s="93"/>
      <c r="AJ396" s="93"/>
      <c r="AK396" s="93"/>
      <c r="AL396" s="93"/>
      <c r="AM396" s="93"/>
      <c r="AN396" s="93"/>
      <c r="AO396" s="93"/>
      <c r="AP396" s="93"/>
    </row>
    <row r="397" ht="12.75" customHeight="1" outlineLevel="1">
      <c r="A397" s="90"/>
      <c r="B397" s="90" t="s">
        <v>250</v>
      </c>
      <c r="C397" s="90"/>
      <c r="D397" s="90"/>
      <c r="E397" s="90"/>
      <c r="F397" s="90"/>
      <c r="G397" s="99"/>
      <c r="H397" s="99"/>
      <c r="I397" s="93"/>
      <c r="J397" s="93"/>
      <c r="K397" s="93"/>
      <c r="L397" s="93"/>
      <c r="M397" s="93"/>
      <c r="N397" s="93"/>
      <c r="O397" s="93"/>
      <c r="P397" s="93"/>
      <c r="Q397" s="93"/>
      <c r="R397" s="93"/>
      <c r="S397" s="93"/>
      <c r="T397" s="93"/>
      <c r="U397" s="93"/>
      <c r="V397" s="93"/>
      <c r="W397" s="93"/>
      <c r="X397" s="93"/>
      <c r="Y397" s="93"/>
      <c r="Z397" s="93"/>
      <c r="AA397" s="93"/>
      <c r="AB397" s="93"/>
      <c r="AC397" s="93"/>
      <c r="AD397" s="93"/>
      <c r="AE397" s="93"/>
      <c r="AF397" s="93"/>
      <c r="AG397" s="93"/>
      <c r="AH397" s="93"/>
      <c r="AI397" s="93"/>
      <c r="AJ397" s="93"/>
      <c r="AK397" s="93"/>
      <c r="AL397" s="93"/>
      <c r="AM397" s="93"/>
      <c r="AN397" s="93"/>
      <c r="AO397" s="93"/>
      <c r="AP397" s="93"/>
    </row>
    <row r="398" ht="12.75" customHeight="1" outlineLevel="1">
      <c r="A398" s="90"/>
      <c r="B398" s="157">
        <f>Assumptions!H29</f>
        <v>0.05</v>
      </c>
      <c r="C398" s="90" t="s">
        <v>500</v>
      </c>
      <c r="D398" s="90"/>
      <c r="E398" s="90"/>
      <c r="F398" s="90"/>
      <c r="G398" s="99"/>
      <c r="H398" s="99"/>
      <c r="I398" s="93">
        <f t="shared" ref="I398:J398" si="280">$B$449*I275</f>
        <v>0</v>
      </c>
      <c r="J398" s="93">
        <f t="shared" si="280"/>
        <v>0</v>
      </c>
      <c r="K398" s="93">
        <v>58594.49</v>
      </c>
      <c r="L398" s="93">
        <v>167198.42</v>
      </c>
      <c r="M398" s="93" t="str">
        <f t="shared" ref="M398:AP398" si="281">$B398*M41</f>
        <v>#REF!</v>
      </c>
      <c r="N398" s="93" t="str">
        <f t="shared" si="281"/>
        <v>#REF!</v>
      </c>
      <c r="O398" s="93" t="str">
        <f t="shared" si="281"/>
        <v>#REF!</v>
      </c>
      <c r="P398" s="93" t="str">
        <f t="shared" si="281"/>
        <v>#REF!</v>
      </c>
      <c r="Q398" s="93" t="str">
        <f t="shared" si="281"/>
        <v>#REF!</v>
      </c>
      <c r="R398" s="93" t="str">
        <f t="shared" si="281"/>
        <v>#REF!</v>
      </c>
      <c r="S398" s="93" t="str">
        <f t="shared" si="281"/>
        <v>#REF!</v>
      </c>
      <c r="T398" s="93" t="str">
        <f t="shared" si="281"/>
        <v>#REF!</v>
      </c>
      <c r="U398" s="93" t="str">
        <f t="shared" si="281"/>
        <v>#REF!</v>
      </c>
      <c r="V398" s="93" t="str">
        <f t="shared" si="281"/>
        <v>#REF!</v>
      </c>
      <c r="W398" s="93" t="str">
        <f t="shared" si="281"/>
        <v>#REF!</v>
      </c>
      <c r="X398" s="93" t="str">
        <f t="shared" si="281"/>
        <v>#REF!</v>
      </c>
      <c r="Y398" s="93" t="str">
        <f t="shared" si="281"/>
        <v>#REF!</v>
      </c>
      <c r="Z398" s="93" t="str">
        <f t="shared" si="281"/>
        <v>#REF!</v>
      </c>
      <c r="AA398" s="93" t="str">
        <f t="shared" si="281"/>
        <v>#REF!</v>
      </c>
      <c r="AB398" s="93" t="str">
        <f t="shared" si="281"/>
        <v>#REF!</v>
      </c>
      <c r="AC398" s="93" t="str">
        <f t="shared" si="281"/>
        <v>#REF!</v>
      </c>
      <c r="AD398" s="93" t="str">
        <f t="shared" si="281"/>
        <v>#REF!</v>
      </c>
      <c r="AE398" s="93" t="str">
        <f t="shared" si="281"/>
        <v>#REF!</v>
      </c>
      <c r="AF398" s="93" t="str">
        <f t="shared" si="281"/>
        <v>#REF!</v>
      </c>
      <c r="AG398" s="93" t="str">
        <f t="shared" si="281"/>
        <v>#REF!</v>
      </c>
      <c r="AH398" s="93" t="str">
        <f t="shared" si="281"/>
        <v>#REF!</v>
      </c>
      <c r="AI398" s="93" t="str">
        <f t="shared" si="281"/>
        <v>#REF!</v>
      </c>
      <c r="AJ398" s="93" t="str">
        <f t="shared" si="281"/>
        <v>#REF!</v>
      </c>
      <c r="AK398" s="93" t="str">
        <f t="shared" si="281"/>
        <v>#REF!</v>
      </c>
      <c r="AL398" s="93" t="str">
        <f t="shared" si="281"/>
        <v>#REF!</v>
      </c>
      <c r="AM398" s="93" t="str">
        <f t="shared" si="281"/>
        <v>#REF!</v>
      </c>
      <c r="AN398" s="93" t="str">
        <f t="shared" si="281"/>
        <v>#REF!</v>
      </c>
      <c r="AO398" s="93" t="str">
        <f t="shared" si="281"/>
        <v>#REF!</v>
      </c>
      <c r="AP398" s="93" t="str">
        <f t="shared" si="281"/>
        <v>#REF!</v>
      </c>
      <c r="AQ398" s="99"/>
      <c r="AR398" s="99"/>
      <c r="AS398" s="99"/>
      <c r="AT398" s="99"/>
      <c r="AU398" s="99"/>
      <c r="AV398" s="99"/>
    </row>
    <row r="399" ht="12.75" customHeight="1" outlineLevel="1">
      <c r="A399" s="90"/>
      <c r="B399" s="90"/>
      <c r="C399" s="90" t="s">
        <v>251</v>
      </c>
      <c r="D399" s="90"/>
      <c r="E399" s="90"/>
      <c r="F399" s="90"/>
      <c r="G399" s="99"/>
      <c r="H399" s="99"/>
      <c r="I399" s="93" t="str">
        <f t="shared" ref="I399:AP399" si="282">I378</f>
        <v/>
      </c>
      <c r="J399" s="93" t="str">
        <f t="shared" si="282"/>
        <v/>
      </c>
      <c r="K399" s="93">
        <f t="shared" si="282"/>
        <v>1923320.55</v>
      </c>
      <c r="L399" s="93">
        <f t="shared" si="282"/>
        <v>2098607.68</v>
      </c>
      <c r="M399" s="93">
        <f t="shared" si="282"/>
        <v>1224805.98</v>
      </c>
      <c r="N399" s="93">
        <f t="shared" si="282"/>
        <v>1318542.372</v>
      </c>
      <c r="O399" s="93">
        <f t="shared" si="282"/>
        <v>647817.9855</v>
      </c>
      <c r="P399" s="93">
        <f t="shared" si="282"/>
        <v>790400</v>
      </c>
      <c r="Q399" s="93">
        <f t="shared" si="282"/>
        <v>822016</v>
      </c>
      <c r="R399" s="93">
        <f t="shared" si="282"/>
        <v>854896.64</v>
      </c>
      <c r="S399" s="93">
        <f t="shared" si="282"/>
        <v>889092.5056</v>
      </c>
      <c r="T399" s="93">
        <f t="shared" si="282"/>
        <v>0</v>
      </c>
      <c r="U399" s="93">
        <f t="shared" si="282"/>
        <v>0</v>
      </c>
      <c r="V399" s="93">
        <f t="shared" si="282"/>
        <v>0</v>
      </c>
      <c r="W399" s="93">
        <f t="shared" si="282"/>
        <v>5000000</v>
      </c>
      <c r="X399" s="93">
        <f t="shared" si="282"/>
        <v>15000000</v>
      </c>
      <c r="Y399" s="93">
        <f t="shared" si="282"/>
        <v>15000000</v>
      </c>
      <c r="Z399" s="93">
        <f t="shared" si="282"/>
        <v>0</v>
      </c>
      <c r="AA399" s="93">
        <f t="shared" si="282"/>
        <v>0</v>
      </c>
      <c r="AB399" s="93">
        <f t="shared" si="282"/>
        <v>0</v>
      </c>
      <c r="AC399" s="93">
        <f t="shared" si="282"/>
        <v>0</v>
      </c>
      <c r="AD399" s="93">
        <f t="shared" si="282"/>
        <v>0</v>
      </c>
      <c r="AE399" s="93">
        <f t="shared" si="282"/>
        <v>0</v>
      </c>
      <c r="AF399" s="93">
        <f t="shared" si="282"/>
        <v>0</v>
      </c>
      <c r="AG399" s="93">
        <f t="shared" si="282"/>
        <v>0</v>
      </c>
      <c r="AH399" s="93">
        <f t="shared" si="282"/>
        <v>0</v>
      </c>
      <c r="AI399" s="93">
        <f t="shared" si="282"/>
        <v>0</v>
      </c>
      <c r="AJ399" s="93">
        <f t="shared" si="282"/>
        <v>0</v>
      </c>
      <c r="AK399" s="93">
        <f t="shared" si="282"/>
        <v>0</v>
      </c>
      <c r="AL399" s="93">
        <f t="shared" si="282"/>
        <v>0</v>
      </c>
      <c r="AM399" s="93">
        <f t="shared" si="282"/>
        <v>0</v>
      </c>
      <c r="AN399" s="93">
        <f t="shared" si="282"/>
        <v>0</v>
      </c>
      <c r="AO399" s="93">
        <f t="shared" si="282"/>
        <v>0</v>
      </c>
      <c r="AP399" s="93">
        <f t="shared" si="282"/>
        <v>0</v>
      </c>
      <c r="AQ399" s="99"/>
      <c r="AR399" s="99"/>
      <c r="AS399" s="99"/>
      <c r="AT399" s="99"/>
      <c r="AU399" s="99"/>
      <c r="AV399" s="99"/>
    </row>
    <row r="400" ht="12.75" customHeight="1" outlineLevel="1">
      <c r="A400" s="90"/>
      <c r="B400" s="87"/>
      <c r="C400" s="87" t="s">
        <v>253</v>
      </c>
      <c r="D400" s="87"/>
      <c r="E400" s="87"/>
      <c r="F400" s="87"/>
      <c r="G400" s="125"/>
      <c r="H400" s="125"/>
      <c r="I400" s="119">
        <f>H400+I279</f>
        <v>0</v>
      </c>
      <c r="J400" s="119" t="str">
        <f>#REF!+J279</f>
        <v>#REF!</v>
      </c>
      <c r="K400" s="119">
        <v>366668.53</v>
      </c>
      <c r="L400" s="119" t="str">
        <f t="shared" ref="L400:AP400" si="283">K400+L43</f>
        <v>#REF!</v>
      </c>
      <c r="M400" s="119" t="str">
        <f t="shared" si="283"/>
        <v>#REF!</v>
      </c>
      <c r="N400" s="119" t="str">
        <f t="shared" si="283"/>
        <v>#REF!</v>
      </c>
      <c r="O400" s="119" t="str">
        <f t="shared" si="283"/>
        <v>#REF!</v>
      </c>
      <c r="P400" s="119" t="str">
        <f t="shared" si="283"/>
        <v>#REF!</v>
      </c>
      <c r="Q400" s="119" t="str">
        <f t="shared" si="283"/>
        <v>#REF!</v>
      </c>
      <c r="R400" s="119" t="str">
        <f t="shared" si="283"/>
        <v>#REF!</v>
      </c>
      <c r="S400" s="119" t="str">
        <f t="shared" si="283"/>
        <v>#REF!</v>
      </c>
      <c r="T400" s="119" t="str">
        <f t="shared" si="283"/>
        <v>#REF!</v>
      </c>
      <c r="U400" s="119" t="str">
        <f t="shared" si="283"/>
        <v>#REF!</v>
      </c>
      <c r="V400" s="119" t="str">
        <f t="shared" si="283"/>
        <v>#REF!</v>
      </c>
      <c r="W400" s="119" t="str">
        <f t="shared" si="283"/>
        <v>#REF!</v>
      </c>
      <c r="X400" s="119" t="str">
        <f t="shared" si="283"/>
        <v>#REF!</v>
      </c>
      <c r="Y400" s="119" t="str">
        <f t="shared" si="283"/>
        <v>#REF!</v>
      </c>
      <c r="Z400" s="119" t="str">
        <f t="shared" si="283"/>
        <v>#REF!</v>
      </c>
      <c r="AA400" s="119" t="str">
        <f t="shared" si="283"/>
        <v>#REF!</v>
      </c>
      <c r="AB400" s="119" t="str">
        <f t="shared" si="283"/>
        <v>#REF!</v>
      </c>
      <c r="AC400" s="119" t="str">
        <f t="shared" si="283"/>
        <v>#REF!</v>
      </c>
      <c r="AD400" s="119" t="str">
        <f t="shared" si="283"/>
        <v>#REF!</v>
      </c>
      <c r="AE400" s="119" t="str">
        <f t="shared" si="283"/>
        <v>#REF!</v>
      </c>
      <c r="AF400" s="119" t="str">
        <f t="shared" si="283"/>
        <v>#REF!</v>
      </c>
      <c r="AG400" s="119" t="str">
        <f t="shared" si="283"/>
        <v>#REF!</v>
      </c>
      <c r="AH400" s="119" t="str">
        <f t="shared" si="283"/>
        <v>#REF!</v>
      </c>
      <c r="AI400" s="119" t="str">
        <f t="shared" si="283"/>
        <v>#REF!</v>
      </c>
      <c r="AJ400" s="119" t="str">
        <f t="shared" si="283"/>
        <v>#REF!</v>
      </c>
      <c r="AK400" s="119" t="str">
        <f t="shared" si="283"/>
        <v>#REF!</v>
      </c>
      <c r="AL400" s="119" t="str">
        <f t="shared" si="283"/>
        <v>#REF!</v>
      </c>
      <c r="AM400" s="119" t="str">
        <f t="shared" si="283"/>
        <v>#REF!</v>
      </c>
      <c r="AN400" s="119" t="str">
        <f t="shared" si="283"/>
        <v>#REF!</v>
      </c>
      <c r="AO400" s="119" t="str">
        <f t="shared" si="283"/>
        <v>#REF!</v>
      </c>
      <c r="AP400" s="119" t="str">
        <f t="shared" si="283"/>
        <v>#REF!</v>
      </c>
      <c r="AQ400" s="125"/>
      <c r="AR400" s="125"/>
      <c r="AS400" s="125"/>
      <c r="AT400" s="125"/>
      <c r="AU400" s="125"/>
      <c r="AV400" s="125"/>
    </row>
    <row r="401" ht="12.75" customHeight="1" outlineLevel="1">
      <c r="A401" s="67"/>
      <c r="B401" s="67" t="s">
        <v>254</v>
      </c>
      <c r="C401" s="67"/>
      <c r="D401" s="67"/>
      <c r="E401" s="67"/>
      <c r="F401" s="67"/>
      <c r="G401" s="79"/>
      <c r="H401" s="79"/>
      <c r="I401" s="115">
        <f t="shared" ref="I401:AP401" si="284">SUM(I398:I400)</f>
        <v>0</v>
      </c>
      <c r="J401" s="115" t="str">
        <f t="shared" si="284"/>
        <v>#REF!</v>
      </c>
      <c r="K401" s="115">
        <f t="shared" si="284"/>
        <v>2348583.57</v>
      </c>
      <c r="L401" s="115" t="str">
        <f t="shared" si="284"/>
        <v>#REF!</v>
      </c>
      <c r="M401" s="115" t="str">
        <f t="shared" si="284"/>
        <v>#REF!</v>
      </c>
      <c r="N401" s="115" t="str">
        <f t="shared" si="284"/>
        <v>#REF!</v>
      </c>
      <c r="O401" s="115" t="str">
        <f t="shared" si="284"/>
        <v>#REF!</v>
      </c>
      <c r="P401" s="115" t="str">
        <f t="shared" si="284"/>
        <v>#REF!</v>
      </c>
      <c r="Q401" s="115" t="str">
        <f t="shared" si="284"/>
        <v>#REF!</v>
      </c>
      <c r="R401" s="115" t="str">
        <f t="shared" si="284"/>
        <v>#REF!</v>
      </c>
      <c r="S401" s="115" t="str">
        <f t="shared" si="284"/>
        <v>#REF!</v>
      </c>
      <c r="T401" s="115" t="str">
        <f t="shared" si="284"/>
        <v>#REF!</v>
      </c>
      <c r="U401" s="115" t="str">
        <f t="shared" si="284"/>
        <v>#REF!</v>
      </c>
      <c r="V401" s="115" t="str">
        <f t="shared" si="284"/>
        <v>#REF!</v>
      </c>
      <c r="W401" s="115" t="str">
        <f t="shared" si="284"/>
        <v>#REF!</v>
      </c>
      <c r="X401" s="115" t="str">
        <f t="shared" si="284"/>
        <v>#REF!</v>
      </c>
      <c r="Y401" s="115" t="str">
        <f t="shared" si="284"/>
        <v>#REF!</v>
      </c>
      <c r="Z401" s="115" t="str">
        <f t="shared" si="284"/>
        <v>#REF!</v>
      </c>
      <c r="AA401" s="115" t="str">
        <f t="shared" si="284"/>
        <v>#REF!</v>
      </c>
      <c r="AB401" s="115" t="str">
        <f t="shared" si="284"/>
        <v>#REF!</v>
      </c>
      <c r="AC401" s="115" t="str">
        <f t="shared" si="284"/>
        <v>#REF!</v>
      </c>
      <c r="AD401" s="115" t="str">
        <f t="shared" si="284"/>
        <v>#REF!</v>
      </c>
      <c r="AE401" s="115" t="str">
        <f t="shared" si="284"/>
        <v>#REF!</v>
      </c>
      <c r="AF401" s="115" t="str">
        <f t="shared" si="284"/>
        <v>#REF!</v>
      </c>
      <c r="AG401" s="115" t="str">
        <f t="shared" si="284"/>
        <v>#REF!</v>
      </c>
      <c r="AH401" s="115" t="str">
        <f t="shared" si="284"/>
        <v>#REF!</v>
      </c>
      <c r="AI401" s="115" t="str">
        <f t="shared" si="284"/>
        <v>#REF!</v>
      </c>
      <c r="AJ401" s="115" t="str">
        <f t="shared" si="284"/>
        <v>#REF!</v>
      </c>
      <c r="AK401" s="115" t="str">
        <f t="shared" si="284"/>
        <v>#REF!</v>
      </c>
      <c r="AL401" s="115" t="str">
        <f t="shared" si="284"/>
        <v>#REF!</v>
      </c>
      <c r="AM401" s="115" t="str">
        <f t="shared" si="284"/>
        <v>#REF!</v>
      </c>
      <c r="AN401" s="115" t="str">
        <f t="shared" si="284"/>
        <v>#REF!</v>
      </c>
      <c r="AO401" s="115" t="str">
        <f t="shared" si="284"/>
        <v>#REF!</v>
      </c>
      <c r="AP401" s="115" t="str">
        <f t="shared" si="284"/>
        <v>#REF!</v>
      </c>
      <c r="AQ401" s="79"/>
      <c r="AR401" s="79"/>
      <c r="AS401" s="79"/>
      <c r="AT401" s="79"/>
      <c r="AU401" s="79"/>
      <c r="AV401" s="79"/>
    </row>
    <row r="402" ht="12.75" customHeight="1" outlineLevel="1">
      <c r="A402" s="90"/>
      <c r="B402" s="90"/>
      <c r="C402" s="90"/>
      <c r="D402" s="90"/>
      <c r="E402" s="90"/>
      <c r="F402" s="90"/>
      <c r="G402" s="99"/>
      <c r="H402" s="99"/>
      <c r="I402" s="99"/>
      <c r="J402" s="99"/>
      <c r="K402" s="99"/>
      <c r="L402" s="99"/>
      <c r="M402" s="99"/>
      <c r="N402" s="99"/>
      <c r="O402" s="99"/>
      <c r="P402" s="99"/>
      <c r="Q402" s="99"/>
      <c r="R402" s="99"/>
      <c r="S402" s="99"/>
      <c r="T402" s="99"/>
      <c r="U402" s="99"/>
      <c r="V402" s="99"/>
      <c r="W402" s="99"/>
      <c r="X402" s="99"/>
      <c r="Y402" s="99"/>
      <c r="Z402" s="99"/>
      <c r="AA402" s="99"/>
      <c r="AB402" s="99"/>
      <c r="AC402" s="99"/>
      <c r="AD402" s="99"/>
      <c r="AE402" s="99"/>
      <c r="AF402" s="99"/>
      <c r="AG402" s="99"/>
      <c r="AH402" s="99"/>
      <c r="AI402" s="99"/>
      <c r="AJ402" s="99"/>
      <c r="AK402" s="99"/>
      <c r="AL402" s="99"/>
      <c r="AM402" s="99"/>
      <c r="AN402" s="99"/>
      <c r="AO402" s="99"/>
      <c r="AP402" s="99"/>
      <c r="AQ402" s="99"/>
      <c r="AR402" s="99"/>
      <c r="AS402" s="99"/>
      <c r="AT402" s="99"/>
      <c r="AU402" s="99"/>
      <c r="AV402" s="99"/>
    </row>
    <row r="403" ht="12.75" customHeight="1">
      <c r="A403" s="90"/>
      <c r="B403" s="90"/>
      <c r="C403" s="90"/>
      <c r="D403" s="90"/>
      <c r="E403" s="90"/>
      <c r="F403" s="90"/>
      <c r="G403" s="90"/>
      <c r="H403" s="90"/>
      <c r="I403" s="90"/>
      <c r="J403" s="90"/>
      <c r="K403" s="90"/>
      <c r="L403" s="90"/>
      <c r="M403" s="90"/>
      <c r="N403" s="90"/>
      <c r="O403" s="90"/>
      <c r="P403" s="90"/>
      <c r="Q403" s="90"/>
      <c r="R403" s="90"/>
      <c r="S403" s="90"/>
      <c r="T403" s="90"/>
      <c r="U403" s="90"/>
      <c r="V403" s="90"/>
      <c r="W403" s="90"/>
      <c r="X403" s="90"/>
      <c r="Y403" s="90"/>
      <c r="Z403" s="90"/>
      <c r="AA403" s="90"/>
      <c r="AB403" s="90"/>
      <c r="AC403" s="90"/>
      <c r="AD403" s="90"/>
      <c r="AE403" s="90"/>
      <c r="AF403" s="90"/>
      <c r="AG403" s="90"/>
      <c r="AH403" s="90"/>
      <c r="AI403" s="90"/>
      <c r="AJ403" s="90"/>
      <c r="AK403" s="90"/>
      <c r="AL403" s="90"/>
      <c r="AM403" s="90"/>
      <c r="AN403" s="90"/>
      <c r="AO403" s="90"/>
      <c r="AP403" s="90"/>
      <c r="AQ403" s="90"/>
      <c r="AR403" s="90"/>
      <c r="AS403" s="90"/>
      <c r="AT403" s="90"/>
      <c r="AU403" s="90"/>
      <c r="AV403" s="90"/>
    </row>
    <row r="404" ht="12.75" customHeight="1">
      <c r="A404" s="90"/>
    </row>
    <row r="405" ht="12.75" customHeight="1">
      <c r="A405" s="90"/>
    </row>
    <row r="406" ht="12.75" customHeight="1">
      <c r="A406" s="90"/>
      <c r="B406" s="90"/>
      <c r="C406" s="90"/>
      <c r="D406" s="90"/>
      <c r="E406" s="90"/>
      <c r="F406" s="90"/>
      <c r="G406" s="90"/>
      <c r="H406" s="90"/>
      <c r="I406" s="90"/>
      <c r="J406" s="99"/>
      <c r="K406" s="99"/>
      <c r="L406" s="99"/>
      <c r="M406" s="99"/>
      <c r="N406" s="99"/>
      <c r="O406" s="99"/>
      <c r="P406" s="99"/>
      <c r="Q406" s="99"/>
      <c r="R406" s="99"/>
      <c r="S406" s="99"/>
      <c r="T406" s="99"/>
      <c r="U406" s="99"/>
      <c r="V406" s="99"/>
      <c r="W406" s="99"/>
      <c r="X406" s="99"/>
      <c r="Y406" s="99"/>
      <c r="Z406" s="99"/>
      <c r="AA406" s="99"/>
      <c r="AB406" s="99"/>
      <c r="AC406" s="99"/>
      <c r="AD406" s="99"/>
      <c r="AE406" s="99"/>
      <c r="AF406" s="99"/>
      <c r="AG406" s="99"/>
      <c r="AH406" s="99"/>
      <c r="AI406" s="99"/>
      <c r="AJ406" s="99"/>
      <c r="AK406" s="99"/>
      <c r="AL406" s="99"/>
      <c r="AM406" s="99"/>
      <c r="AN406" s="99"/>
      <c r="AO406" s="99"/>
      <c r="AP406" s="99"/>
    </row>
    <row r="407" ht="12.75" customHeight="1">
      <c r="A407" s="90"/>
    </row>
    <row r="408" ht="12.75" customHeight="1">
      <c r="A408" s="90"/>
    </row>
    <row r="409" ht="12.75" customHeight="1">
      <c r="A409" s="90"/>
    </row>
    <row r="410" ht="12.75" customHeight="1">
      <c r="A410" s="90"/>
    </row>
    <row r="411" ht="12.75" customHeight="1">
      <c r="A411" s="90"/>
    </row>
    <row r="412" ht="12.75" customHeight="1">
      <c r="A412" s="90"/>
    </row>
    <row r="413" ht="12.75" customHeight="1">
      <c r="A413" s="90"/>
    </row>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35" footer="0.0" header="0.0" left="0.629861111111111" right="0.390277777777778" top="1.04027777777778"/>
  <pageSetup paperSize="5" orientation="landscape"/>
  <headerFooter>
    <oddHeader>&amp;CRSED National Office Financials</oddHeader>
    <oddFooter>&amp;C&amp;A&amp;R&amp;P</oddFooter>
  </headerFooter>
  <rowBreaks count="7" manualBreakCount="7">
    <brk id="48" man="1"/>
    <brk id="385" man="1"/>
    <brk id="245" man="1"/>
    <brk id="326" man="1"/>
    <brk id="150" man="1"/>
    <brk id="199" man="1"/>
    <brk id="280" man="1"/>
  </rowBreaks>
  <colBreaks count="3" manualBreakCount="3">
    <brk id="22" man="1"/>
    <brk id="38" man="1"/>
    <brk id="30"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CF305"/>
    <pageSetUpPr/>
  </sheetPr>
  <sheetViews>
    <sheetView workbookViewId="0">
      <pane xSplit="12.0" ySplit="8.0" topLeftCell="M9" activePane="bottomRight" state="frozen"/>
      <selection activeCell="M1" sqref="M1" pane="topRight"/>
      <selection activeCell="A9" sqref="A9" pane="bottomLeft"/>
      <selection activeCell="M9" sqref="M9" pane="bottomRight"/>
    </sheetView>
  </sheetViews>
  <sheetFormatPr customHeight="1" defaultColWidth="12.63" defaultRowHeight="15.0" outlineLevelCol="1" outlineLevelRow="1"/>
  <cols>
    <col customWidth="1" min="1" max="1" width="3.75"/>
    <col customWidth="1" min="2" max="2" width="4.75"/>
    <col customWidth="1" min="3" max="3" width="3.88"/>
    <col customWidth="1" min="4" max="4" width="4.38"/>
    <col customWidth="1" min="5" max="5" width="28.75"/>
    <col customWidth="1" min="6" max="6" width="2.75"/>
    <col customWidth="1" min="7" max="7" width="1.38"/>
    <col customWidth="1" min="8" max="8" width="1.75"/>
    <col customWidth="1" min="9" max="10" width="11.38" outlineLevel="1"/>
    <col customWidth="1" min="11" max="14" width="14.0" outlineLevel="1"/>
    <col customWidth="1" min="15" max="15" width="10.25"/>
    <col customWidth="1" min="16" max="16" width="10.88"/>
    <col customWidth="1" min="17" max="17" width="10.0"/>
    <col customWidth="1" min="18" max="20" width="11.5"/>
    <col customWidth="1" min="21" max="25" width="12.5"/>
    <col customWidth="1" min="26" max="30" width="13.75"/>
    <col customWidth="1" min="31" max="34" width="12.5"/>
    <col customWidth="1" min="35" max="35" width="19.88" outlineLevel="1"/>
    <col customWidth="1" min="36" max="36" width="20.13" outlineLevel="1"/>
    <col customWidth="1" min="37" max="37" width="19.0" outlineLevel="1"/>
    <col customWidth="1" min="38" max="38" width="18.75" outlineLevel="1"/>
    <col customWidth="1" min="39" max="39" width="19.13" outlineLevel="1"/>
    <col customWidth="1" min="40" max="40" width="19.0" outlineLevel="1"/>
    <col customWidth="1" min="41" max="42" width="19.88" outlineLevel="1"/>
    <col customWidth="1" min="43" max="44" width="20.13" outlineLevel="1"/>
    <col customWidth="1" min="45" max="45" width="19.88" outlineLevel="1"/>
    <col customWidth="1" min="46" max="46" width="21.13" outlineLevel="1"/>
    <col customWidth="1" min="47" max="47" width="21.88" outlineLevel="1"/>
    <col customWidth="1" min="48" max="48" width="22.25" outlineLevel="1"/>
    <col customWidth="1" min="49" max="49" width="21.25" outlineLevel="1"/>
    <col customWidth="1" min="50" max="50" width="21.88" outlineLevel="1"/>
    <col customWidth="1" min="51" max="54" width="8.88"/>
  </cols>
  <sheetData>
    <row r="1" ht="12.75" customHeight="1">
      <c r="A1" s="158" t="s">
        <v>501</v>
      </c>
      <c r="B1" s="95"/>
      <c r="C1" s="95"/>
      <c r="D1" s="95"/>
      <c r="E1" s="95"/>
      <c r="F1" s="95"/>
      <c r="G1" s="95"/>
      <c r="H1" s="160"/>
      <c r="I1" s="160"/>
      <c r="J1" s="258"/>
      <c r="K1" s="259"/>
      <c r="L1" s="160"/>
      <c r="M1" s="160">
        <v>1.0</v>
      </c>
      <c r="N1" s="160">
        <f t="shared" ref="N1:AX1" si="1">M1+1</f>
        <v>2</v>
      </c>
      <c r="O1" s="160">
        <f t="shared" si="1"/>
        <v>3</v>
      </c>
      <c r="P1" s="160">
        <f t="shared" si="1"/>
        <v>4</v>
      </c>
      <c r="Q1" s="160">
        <f t="shared" si="1"/>
        <v>5</v>
      </c>
      <c r="R1" s="160">
        <f t="shared" si="1"/>
        <v>6</v>
      </c>
      <c r="S1" s="160">
        <f t="shared" si="1"/>
        <v>7</v>
      </c>
      <c r="T1" s="160">
        <f t="shared" si="1"/>
        <v>8</v>
      </c>
      <c r="U1" s="160">
        <f t="shared" si="1"/>
        <v>9</v>
      </c>
      <c r="V1" s="160">
        <f t="shared" si="1"/>
        <v>10</v>
      </c>
      <c r="W1" s="160">
        <f t="shared" si="1"/>
        <v>11</v>
      </c>
      <c r="X1" s="160">
        <f t="shared" si="1"/>
        <v>12</v>
      </c>
      <c r="Y1" s="160">
        <f t="shared" si="1"/>
        <v>13</v>
      </c>
      <c r="Z1" s="160">
        <f t="shared" si="1"/>
        <v>14</v>
      </c>
      <c r="AA1" s="160">
        <f t="shared" si="1"/>
        <v>15</v>
      </c>
      <c r="AB1" s="160">
        <f t="shared" si="1"/>
        <v>16</v>
      </c>
      <c r="AC1" s="160">
        <f t="shared" si="1"/>
        <v>17</v>
      </c>
      <c r="AD1" s="160">
        <f t="shared" si="1"/>
        <v>18</v>
      </c>
      <c r="AE1" s="160">
        <f t="shared" si="1"/>
        <v>19</v>
      </c>
      <c r="AF1" s="160">
        <f t="shared" si="1"/>
        <v>20</v>
      </c>
      <c r="AG1" s="160">
        <f t="shared" si="1"/>
        <v>21</v>
      </c>
      <c r="AH1" s="160">
        <f t="shared" si="1"/>
        <v>22</v>
      </c>
      <c r="AI1" s="160">
        <f t="shared" si="1"/>
        <v>23</v>
      </c>
      <c r="AJ1" s="160">
        <f t="shared" si="1"/>
        <v>24</v>
      </c>
      <c r="AK1" s="160">
        <f t="shared" si="1"/>
        <v>25</v>
      </c>
      <c r="AL1" s="160">
        <f t="shared" si="1"/>
        <v>26</v>
      </c>
      <c r="AM1" s="160">
        <f t="shared" si="1"/>
        <v>27</v>
      </c>
      <c r="AN1" s="160">
        <f t="shared" si="1"/>
        <v>28</v>
      </c>
      <c r="AO1" s="160">
        <f t="shared" si="1"/>
        <v>29</v>
      </c>
      <c r="AP1" s="160">
        <f t="shared" si="1"/>
        <v>30</v>
      </c>
      <c r="AQ1" s="160">
        <f t="shared" si="1"/>
        <v>31</v>
      </c>
      <c r="AR1" s="160">
        <f t="shared" si="1"/>
        <v>32</v>
      </c>
      <c r="AS1" s="160">
        <f t="shared" si="1"/>
        <v>33</v>
      </c>
      <c r="AT1" s="160">
        <f t="shared" si="1"/>
        <v>34</v>
      </c>
      <c r="AU1" s="160">
        <f t="shared" si="1"/>
        <v>35</v>
      </c>
      <c r="AV1" s="160">
        <f t="shared" si="1"/>
        <v>36</v>
      </c>
      <c r="AW1" s="161">
        <f t="shared" si="1"/>
        <v>37</v>
      </c>
      <c r="AX1" s="161">
        <f t="shared" si="1"/>
        <v>38</v>
      </c>
    </row>
    <row r="2" ht="12.75" customHeight="1">
      <c r="A2" s="96" t="s">
        <v>186</v>
      </c>
      <c r="B2" s="97"/>
      <c r="C2" s="97"/>
      <c r="D2" s="97"/>
      <c r="E2" s="97"/>
      <c r="F2" s="97"/>
      <c r="G2" s="97"/>
      <c r="H2" s="164"/>
      <c r="I2" s="165"/>
      <c r="J2" s="260"/>
      <c r="K2" s="166"/>
      <c r="L2" s="166"/>
      <c r="M2" s="166">
        <v>2009.0</v>
      </c>
      <c r="N2" s="166">
        <f t="shared" ref="N2:AX2" si="2">M2+1</f>
        <v>2010</v>
      </c>
      <c r="O2" s="166">
        <f t="shared" si="2"/>
        <v>2011</v>
      </c>
      <c r="P2" s="166">
        <f t="shared" si="2"/>
        <v>2012</v>
      </c>
      <c r="Q2" s="166">
        <f t="shared" si="2"/>
        <v>2013</v>
      </c>
      <c r="R2" s="166">
        <f t="shared" si="2"/>
        <v>2014</v>
      </c>
      <c r="S2" s="166">
        <f t="shared" si="2"/>
        <v>2015</v>
      </c>
      <c r="T2" s="166">
        <f t="shared" si="2"/>
        <v>2016</v>
      </c>
      <c r="U2" s="166">
        <f t="shared" si="2"/>
        <v>2017</v>
      </c>
      <c r="V2" s="166">
        <f t="shared" si="2"/>
        <v>2018</v>
      </c>
      <c r="W2" s="166">
        <f t="shared" si="2"/>
        <v>2019</v>
      </c>
      <c r="X2" s="166">
        <f t="shared" si="2"/>
        <v>2020</v>
      </c>
      <c r="Y2" s="166">
        <f t="shared" si="2"/>
        <v>2021</v>
      </c>
      <c r="Z2" s="166">
        <f t="shared" si="2"/>
        <v>2022</v>
      </c>
      <c r="AA2" s="166">
        <f t="shared" si="2"/>
        <v>2023</v>
      </c>
      <c r="AB2" s="166">
        <f t="shared" si="2"/>
        <v>2024</v>
      </c>
      <c r="AC2" s="166">
        <f t="shared" si="2"/>
        <v>2025</v>
      </c>
      <c r="AD2" s="166">
        <f t="shared" si="2"/>
        <v>2026</v>
      </c>
      <c r="AE2" s="166">
        <f t="shared" si="2"/>
        <v>2027</v>
      </c>
      <c r="AF2" s="166">
        <f t="shared" si="2"/>
        <v>2028</v>
      </c>
      <c r="AG2" s="166">
        <f t="shared" si="2"/>
        <v>2029</v>
      </c>
      <c r="AH2" s="166">
        <f t="shared" si="2"/>
        <v>2030</v>
      </c>
      <c r="AI2" s="166">
        <f t="shared" si="2"/>
        <v>2031</v>
      </c>
      <c r="AJ2" s="166">
        <f t="shared" si="2"/>
        <v>2032</v>
      </c>
      <c r="AK2" s="166">
        <f t="shared" si="2"/>
        <v>2033</v>
      </c>
      <c r="AL2" s="166">
        <f t="shared" si="2"/>
        <v>2034</v>
      </c>
      <c r="AM2" s="166">
        <f t="shared" si="2"/>
        <v>2035</v>
      </c>
      <c r="AN2" s="166">
        <f t="shared" si="2"/>
        <v>2036</v>
      </c>
      <c r="AO2" s="166">
        <f t="shared" si="2"/>
        <v>2037</v>
      </c>
      <c r="AP2" s="166">
        <f t="shared" si="2"/>
        <v>2038</v>
      </c>
      <c r="AQ2" s="166">
        <f t="shared" si="2"/>
        <v>2039</v>
      </c>
      <c r="AR2" s="166">
        <f t="shared" si="2"/>
        <v>2040</v>
      </c>
      <c r="AS2" s="166">
        <f t="shared" si="2"/>
        <v>2041</v>
      </c>
      <c r="AT2" s="166">
        <f t="shared" si="2"/>
        <v>2042</v>
      </c>
      <c r="AU2" s="166">
        <f t="shared" si="2"/>
        <v>2043</v>
      </c>
      <c r="AV2" s="166">
        <f t="shared" si="2"/>
        <v>2044</v>
      </c>
      <c r="AW2" s="167">
        <f t="shared" si="2"/>
        <v>2045</v>
      </c>
      <c r="AX2" s="167">
        <f t="shared" si="2"/>
        <v>2046</v>
      </c>
    </row>
    <row r="3" ht="12.75" customHeight="1">
      <c r="A3" s="261"/>
      <c r="B3" s="90"/>
      <c r="C3" s="90"/>
      <c r="D3" s="90"/>
      <c r="E3" s="90"/>
      <c r="F3" s="90"/>
      <c r="G3" s="90"/>
      <c r="H3" s="90"/>
      <c r="I3" s="90"/>
      <c r="J3" s="90"/>
      <c r="K3" s="90"/>
      <c r="L3" s="63"/>
      <c r="M3" s="63"/>
      <c r="N3" s="63"/>
      <c r="O3" s="63"/>
      <c r="P3" s="63"/>
      <c r="Q3" s="63"/>
      <c r="R3" s="63"/>
      <c r="S3" s="63"/>
      <c r="T3" s="63"/>
      <c r="U3" s="63"/>
      <c r="V3" s="63"/>
      <c r="W3" s="63"/>
      <c r="X3" s="63"/>
      <c r="Y3" s="63"/>
      <c r="Z3" s="63"/>
      <c r="AA3" s="63"/>
      <c r="AB3" s="63"/>
      <c r="AC3" s="63"/>
      <c r="AD3" s="63"/>
      <c r="AE3" s="63"/>
      <c r="AF3" s="63"/>
    </row>
    <row r="4" ht="12.75" customHeight="1">
      <c r="A4" s="171" t="s">
        <v>502</v>
      </c>
      <c r="B4" s="171"/>
      <c r="C4" s="171"/>
      <c r="D4" s="171"/>
      <c r="E4" s="171"/>
      <c r="F4" s="171"/>
      <c r="G4" s="171"/>
      <c r="H4" s="171"/>
      <c r="I4" s="171"/>
      <c r="J4" s="171"/>
      <c r="K4" s="171"/>
      <c r="L4" s="171"/>
      <c r="M4" s="171"/>
      <c r="N4" s="171"/>
      <c r="O4" s="171"/>
      <c r="P4" s="171"/>
      <c r="Q4" s="171"/>
      <c r="R4" s="171"/>
      <c r="S4" s="171"/>
      <c r="T4" s="171"/>
      <c r="U4" s="171"/>
      <c r="V4" s="171"/>
      <c r="W4" s="171"/>
      <c r="X4" s="171"/>
      <c r="Y4" s="171"/>
      <c r="Z4" s="171"/>
      <c r="AA4" s="171"/>
      <c r="AB4" s="171"/>
      <c r="AC4" s="171"/>
      <c r="AD4" s="171"/>
      <c r="AE4" s="171"/>
      <c r="AF4" s="171"/>
      <c r="AG4" s="171"/>
      <c r="AH4" s="171"/>
      <c r="AI4" s="171"/>
      <c r="AJ4" s="171"/>
      <c r="AK4" s="171"/>
      <c r="AL4" s="171"/>
      <c r="AM4" s="171"/>
      <c r="AN4" s="171"/>
      <c r="AO4" s="171"/>
      <c r="AP4" s="171"/>
      <c r="AQ4" s="171"/>
      <c r="AR4" s="171"/>
      <c r="AS4" s="171"/>
      <c r="AT4" s="171"/>
      <c r="AU4" s="171"/>
      <c r="AV4" s="171"/>
      <c r="AW4" s="171"/>
      <c r="AX4" s="171"/>
    </row>
    <row r="5" ht="12.75" customHeight="1">
      <c r="A5" s="105" t="s">
        <v>258</v>
      </c>
      <c r="B5" s="106"/>
      <c r="C5" s="106"/>
      <c r="D5" s="106"/>
      <c r="E5" s="106"/>
      <c r="F5" s="106"/>
      <c r="G5" s="106"/>
      <c r="H5" s="106"/>
      <c r="I5" s="174"/>
      <c r="J5" s="174"/>
      <c r="K5" s="106"/>
      <c r="L5" s="175"/>
      <c r="M5" s="175"/>
      <c r="N5" s="175"/>
      <c r="O5" s="175"/>
      <c r="P5" s="175"/>
      <c r="Q5" s="175"/>
      <c r="R5" s="175"/>
      <c r="S5" s="175"/>
      <c r="T5" s="175"/>
      <c r="U5" s="175"/>
      <c r="V5" s="175"/>
      <c r="W5" s="175"/>
      <c r="X5" s="175"/>
      <c r="Y5" s="175"/>
      <c r="Z5" s="175"/>
      <c r="AA5" s="175"/>
      <c r="AB5" s="175"/>
      <c r="AC5" s="175"/>
      <c r="AD5" s="175"/>
      <c r="AE5" s="175"/>
      <c r="AF5" s="175"/>
      <c r="AG5" s="175"/>
      <c r="AH5" s="175"/>
      <c r="AI5" s="175"/>
      <c r="AJ5" s="175"/>
      <c r="AK5" s="175"/>
      <c r="AL5" s="175"/>
      <c r="AM5" s="175"/>
      <c r="AN5" s="175"/>
      <c r="AO5" s="175"/>
      <c r="AP5" s="175"/>
      <c r="AQ5" s="175"/>
      <c r="AR5" s="175"/>
      <c r="AS5" s="175"/>
      <c r="AT5" s="175"/>
      <c r="AU5" s="175"/>
      <c r="AV5" s="175"/>
      <c r="AW5" s="175"/>
      <c r="AX5" s="175"/>
    </row>
    <row r="6" ht="12.75" customHeight="1">
      <c r="A6" s="134"/>
      <c r="B6" s="67"/>
      <c r="C6" s="67" t="s">
        <v>503</v>
      </c>
      <c r="D6" s="67"/>
      <c r="E6" s="67"/>
      <c r="F6" s="67"/>
      <c r="G6" s="67"/>
      <c r="H6" s="67"/>
      <c r="I6" s="67"/>
      <c r="J6" s="67"/>
      <c r="K6" s="67"/>
      <c r="L6" s="67"/>
      <c r="M6" s="90">
        <v>0.0</v>
      </c>
      <c r="N6" s="90">
        <v>0.0</v>
      </c>
      <c r="O6" s="262">
        <f>SUM('Growth Model'!F81:F129)</f>
        <v>0</v>
      </c>
      <c r="P6" s="262">
        <f>SUM('Growth Model'!G81:G129)</f>
        <v>0</v>
      </c>
      <c r="Q6" s="262">
        <f>SUM('Growth Model'!H81:H129)</f>
        <v>0</v>
      </c>
      <c r="R6" s="262">
        <f>SUM('Growth Model'!I81:I129)</f>
        <v>1</v>
      </c>
      <c r="S6" s="262">
        <f>SUM('Growth Model'!J81:J129)</f>
        <v>1</v>
      </c>
      <c r="T6" s="262">
        <f>SUM('Growth Model'!K81:K129)</f>
        <v>4</v>
      </c>
      <c r="U6" s="262">
        <f>SUM('Growth Model'!L81:L129)</f>
        <v>9</v>
      </c>
      <c r="V6" s="262">
        <f>SUM('Growth Model'!M81:M129)</f>
        <v>20</v>
      </c>
      <c r="W6" s="262">
        <f>SUM('Growth Model'!N81:N129)</f>
        <v>40</v>
      </c>
      <c r="X6" s="262">
        <f>SUM('Growth Model'!O81:O129)</f>
        <v>80</v>
      </c>
      <c r="Y6" s="262">
        <f>SUM('Growth Model'!P81:P129)</f>
        <v>146</v>
      </c>
      <c r="Z6" s="262">
        <f>SUM('Growth Model'!Q81:Q129)</f>
        <v>226</v>
      </c>
      <c r="AA6" s="262">
        <f>SUM('Growth Model'!R81:R129)</f>
        <v>368</v>
      </c>
      <c r="AB6" s="262">
        <f>SUM('Growth Model'!S81:S129)</f>
        <v>561</v>
      </c>
      <c r="AC6" s="262">
        <f>SUM('Growth Model'!T81:T129)</f>
        <v>803</v>
      </c>
      <c r="AD6" s="262">
        <f>SUM('Growth Model'!U81:U129)</f>
        <v>1076</v>
      </c>
      <c r="AE6" s="262">
        <f>SUM('Growth Model'!V81:V129)</f>
        <v>1400</v>
      </c>
      <c r="AF6" s="262">
        <f>SUM('Growth Model'!W81:W129)</f>
        <v>1750</v>
      </c>
      <c r="AG6" s="262">
        <f>SUM('Growth Model'!X81:X129)</f>
        <v>2095</v>
      </c>
      <c r="AH6" s="262">
        <f>SUM('Growth Model'!Y81:Y129)</f>
        <v>2367</v>
      </c>
      <c r="AI6" s="262">
        <f>SUM('Growth Model'!Z81:Z129)</f>
        <v>2400</v>
      </c>
      <c r="AJ6" s="262">
        <f>SUM('Growth Model'!AA81:AA129)</f>
        <v>2400</v>
      </c>
      <c r="AK6" s="262">
        <f t="shared" ref="AK6:AX6" si="3">AJ6</f>
        <v>2400</v>
      </c>
      <c r="AL6" s="262">
        <f t="shared" si="3"/>
        <v>2400</v>
      </c>
      <c r="AM6" s="262">
        <f t="shared" si="3"/>
        <v>2400</v>
      </c>
      <c r="AN6" s="262">
        <f t="shared" si="3"/>
        <v>2400</v>
      </c>
      <c r="AO6" s="262">
        <f t="shared" si="3"/>
        <v>2400</v>
      </c>
      <c r="AP6" s="262">
        <f t="shared" si="3"/>
        <v>2400</v>
      </c>
      <c r="AQ6" s="262">
        <f t="shared" si="3"/>
        <v>2400</v>
      </c>
      <c r="AR6" s="262">
        <f t="shared" si="3"/>
        <v>2400</v>
      </c>
      <c r="AS6" s="262">
        <f t="shared" si="3"/>
        <v>2400</v>
      </c>
      <c r="AT6" s="262">
        <f t="shared" si="3"/>
        <v>2400</v>
      </c>
      <c r="AU6" s="262">
        <f t="shared" si="3"/>
        <v>2400</v>
      </c>
      <c r="AV6" s="262">
        <f t="shared" si="3"/>
        <v>2400</v>
      </c>
      <c r="AW6" s="262">
        <f t="shared" si="3"/>
        <v>2400</v>
      </c>
      <c r="AX6" s="262">
        <f t="shared" si="3"/>
        <v>2400</v>
      </c>
    </row>
    <row r="7" ht="12.75" customHeight="1">
      <c r="A7" s="67"/>
      <c r="B7" s="67"/>
      <c r="C7" s="67" t="s">
        <v>504</v>
      </c>
      <c r="D7" s="90"/>
      <c r="E7" s="90"/>
      <c r="F7" s="90"/>
      <c r="G7" s="90"/>
      <c r="H7" s="90"/>
      <c r="I7" s="90"/>
      <c r="J7" s="90"/>
      <c r="K7" s="90"/>
      <c r="L7" s="90"/>
      <c r="M7" s="90">
        <v>0.0</v>
      </c>
      <c r="N7" s="90">
        <v>0.0</v>
      </c>
      <c r="O7" s="262">
        <f>'Growth Model'!F10-1</f>
        <v>0</v>
      </c>
      <c r="P7" s="262">
        <f>'Growth Model'!G10-1</f>
        <v>0</v>
      </c>
      <c r="Q7" s="262">
        <f>'Growth Model'!H10-1</f>
        <v>0</v>
      </c>
      <c r="R7" s="262">
        <f>'Growth Model'!I10-1</f>
        <v>1</v>
      </c>
      <c r="S7" s="262">
        <f>'Growth Model'!J10-1</f>
        <v>1</v>
      </c>
      <c r="T7" s="262">
        <f>'Growth Model'!K10-1</f>
        <v>3</v>
      </c>
      <c r="U7" s="262">
        <f>'Growth Model'!L10-1</f>
        <v>6</v>
      </c>
      <c r="V7" s="262">
        <f>'Growth Model'!M10-1</f>
        <v>11</v>
      </c>
      <c r="W7" s="262">
        <f>'Growth Model'!N10-1</f>
        <v>19</v>
      </c>
      <c r="X7" s="262">
        <f>'Growth Model'!O10-1</f>
        <v>32</v>
      </c>
      <c r="Y7" s="262">
        <f>'Growth Model'!P10-1</f>
        <v>49</v>
      </c>
      <c r="Z7" s="262">
        <f>'Growth Model'!Q10-1</f>
        <v>49</v>
      </c>
      <c r="AA7" s="262">
        <f>'Growth Model'!R10-1</f>
        <v>49</v>
      </c>
      <c r="AB7" s="262">
        <f>'Growth Model'!S10-1</f>
        <v>49</v>
      </c>
      <c r="AC7" s="262">
        <f>'Growth Model'!T10-1</f>
        <v>49</v>
      </c>
      <c r="AD7" s="262">
        <f>'Growth Model'!U10-1</f>
        <v>49</v>
      </c>
      <c r="AE7" s="262">
        <f>'Growth Model'!V10-1</f>
        <v>49</v>
      </c>
      <c r="AF7" s="262">
        <f>'Growth Model'!W10-1</f>
        <v>49</v>
      </c>
      <c r="AG7" s="262">
        <f>'Growth Model'!X10-1</f>
        <v>49</v>
      </c>
      <c r="AH7" s="262">
        <f>'Growth Model'!Y10-1</f>
        <v>49</v>
      </c>
      <c r="AI7" s="262">
        <f>'Growth Model'!Z10-1</f>
        <v>49</v>
      </c>
      <c r="AJ7" s="262">
        <f>'Growth Model'!AA10-1</f>
        <v>49</v>
      </c>
      <c r="AK7" s="262">
        <f t="shared" ref="AK7:AX7" si="4">AJ7</f>
        <v>49</v>
      </c>
      <c r="AL7" s="262">
        <f t="shared" si="4"/>
        <v>49</v>
      </c>
      <c r="AM7" s="262">
        <f t="shared" si="4"/>
        <v>49</v>
      </c>
      <c r="AN7" s="262">
        <f t="shared" si="4"/>
        <v>49</v>
      </c>
      <c r="AO7" s="262">
        <f t="shared" si="4"/>
        <v>49</v>
      </c>
      <c r="AP7" s="262">
        <f t="shared" si="4"/>
        <v>49</v>
      </c>
      <c r="AQ7" s="262">
        <f t="shared" si="4"/>
        <v>49</v>
      </c>
      <c r="AR7" s="262">
        <f t="shared" si="4"/>
        <v>49</v>
      </c>
      <c r="AS7" s="262">
        <f t="shared" si="4"/>
        <v>49</v>
      </c>
      <c r="AT7" s="262">
        <f t="shared" si="4"/>
        <v>49</v>
      </c>
      <c r="AU7" s="262">
        <f t="shared" si="4"/>
        <v>49</v>
      </c>
      <c r="AV7" s="262">
        <f t="shared" si="4"/>
        <v>49</v>
      </c>
      <c r="AW7" s="262">
        <f t="shared" si="4"/>
        <v>49</v>
      </c>
      <c r="AX7" s="262">
        <f t="shared" si="4"/>
        <v>49</v>
      </c>
    </row>
    <row r="8" ht="12.75" hidden="1" customHeight="1" outlineLevel="1">
      <c r="A8" s="90"/>
      <c r="B8" s="67"/>
      <c r="C8" s="67" t="s">
        <v>190</v>
      </c>
      <c r="D8" s="90"/>
      <c r="E8" s="90"/>
      <c r="F8" s="90"/>
      <c r="G8" s="90"/>
      <c r="H8" s="90"/>
      <c r="I8" s="176"/>
      <c r="J8" s="176"/>
      <c r="K8" s="176"/>
      <c r="L8" s="176"/>
      <c r="M8" s="263">
        <f t="shared" ref="M8:AX8" si="5">M270</f>
        <v>0</v>
      </c>
      <c r="N8" s="263">
        <f t="shared" si="5"/>
        <v>0</v>
      </c>
      <c r="O8" s="264">
        <f t="shared" si="5"/>
        <v>0</v>
      </c>
      <c r="P8" s="264">
        <f t="shared" si="5"/>
        <v>0</v>
      </c>
      <c r="Q8" s="264">
        <f t="shared" si="5"/>
        <v>3</v>
      </c>
      <c r="R8" s="264">
        <f t="shared" si="5"/>
        <v>4</v>
      </c>
      <c r="S8" s="264">
        <f t="shared" si="5"/>
        <v>10</v>
      </c>
      <c r="T8" s="264">
        <f t="shared" si="5"/>
        <v>21</v>
      </c>
      <c r="U8" s="264">
        <f t="shared" si="5"/>
        <v>42</v>
      </c>
      <c r="V8" s="264">
        <f t="shared" si="5"/>
        <v>71</v>
      </c>
      <c r="W8" s="264">
        <f t="shared" si="5"/>
        <v>128</v>
      </c>
      <c r="X8" s="264">
        <f t="shared" si="5"/>
        <v>208</v>
      </c>
      <c r="Y8" s="264">
        <f t="shared" si="5"/>
        <v>248</v>
      </c>
      <c r="Z8" s="264">
        <f t="shared" si="5"/>
        <v>298</v>
      </c>
      <c r="AA8" s="264">
        <f t="shared" si="5"/>
        <v>378</v>
      </c>
      <c r="AB8" s="264">
        <f t="shared" si="5"/>
        <v>496</v>
      </c>
      <c r="AC8" s="264">
        <f t="shared" si="5"/>
        <v>604</v>
      </c>
      <c r="AD8" s="264">
        <f t="shared" si="5"/>
        <v>793</v>
      </c>
      <c r="AE8" s="264">
        <f t="shared" si="5"/>
        <v>996</v>
      </c>
      <c r="AF8" s="264">
        <f t="shared" si="5"/>
        <v>1202</v>
      </c>
      <c r="AG8" s="264">
        <f t="shared" si="5"/>
        <v>1384</v>
      </c>
      <c r="AH8" s="264">
        <f t="shared" si="5"/>
        <v>1456</v>
      </c>
      <c r="AI8" s="264">
        <f t="shared" si="5"/>
        <v>1456</v>
      </c>
      <c r="AJ8" s="264">
        <f t="shared" si="5"/>
        <v>1456</v>
      </c>
      <c r="AK8" s="264">
        <f t="shared" si="5"/>
        <v>1456</v>
      </c>
      <c r="AL8" s="264">
        <f t="shared" si="5"/>
        <v>1456</v>
      </c>
      <c r="AM8" s="264">
        <f t="shared" si="5"/>
        <v>1456</v>
      </c>
      <c r="AN8" s="264">
        <f t="shared" si="5"/>
        <v>1456</v>
      </c>
      <c r="AO8" s="264">
        <f t="shared" si="5"/>
        <v>1456</v>
      </c>
      <c r="AP8" s="264">
        <f t="shared" si="5"/>
        <v>1456</v>
      </c>
      <c r="AQ8" s="264">
        <f t="shared" si="5"/>
        <v>1456</v>
      </c>
      <c r="AR8" s="264">
        <f t="shared" si="5"/>
        <v>1456</v>
      </c>
      <c r="AS8" s="264">
        <f t="shared" si="5"/>
        <v>1456</v>
      </c>
      <c r="AT8" s="264">
        <f t="shared" si="5"/>
        <v>1456</v>
      </c>
      <c r="AU8" s="264">
        <f t="shared" si="5"/>
        <v>1456</v>
      </c>
      <c r="AV8" s="264">
        <f t="shared" si="5"/>
        <v>1456</v>
      </c>
      <c r="AW8" s="264">
        <f t="shared" si="5"/>
        <v>1456</v>
      </c>
      <c r="AX8" s="264">
        <f t="shared" si="5"/>
        <v>1456</v>
      </c>
    </row>
    <row r="9" ht="12.75" hidden="1" customHeight="1" outlineLevel="1">
      <c r="A9" s="90"/>
      <c r="B9" s="67"/>
      <c r="C9" s="67"/>
      <c r="D9" s="90"/>
      <c r="E9" s="90"/>
      <c r="F9" s="90"/>
      <c r="G9" s="90"/>
      <c r="H9" s="90"/>
      <c r="I9" s="176"/>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row>
    <row r="10" ht="12.75" hidden="1" customHeight="1" outlineLevel="1">
      <c r="A10" s="90"/>
      <c r="B10" s="90"/>
      <c r="C10" s="90"/>
      <c r="D10" s="90"/>
      <c r="E10" s="90"/>
      <c r="F10" s="90"/>
      <c r="G10" s="90"/>
      <c r="H10" s="265" t="s">
        <v>274</v>
      </c>
      <c r="I10" s="176"/>
      <c r="J10" s="176"/>
      <c r="K10" s="90"/>
      <c r="L10" s="90"/>
      <c r="M10" s="152">
        <v>1.0</v>
      </c>
      <c r="N10" s="152">
        <v>1.0</v>
      </c>
      <c r="O10" s="152">
        <f>'All Schools Roll-up'!M107</f>
        <v>1</v>
      </c>
      <c r="P10" s="152">
        <f>'All Schools Roll-up'!N107</f>
        <v>1.01</v>
      </c>
      <c r="Q10" s="152">
        <f>'All Schools Roll-up'!O107</f>
        <v>1.0302</v>
      </c>
      <c r="R10" s="152">
        <f>'All Schools Roll-up'!P107</f>
        <v>1.050804</v>
      </c>
      <c r="S10" s="152">
        <f>'All Schools Roll-up'!Q107</f>
        <v>1.07182008</v>
      </c>
      <c r="T10" s="152">
        <f>'All Schools Roll-up'!R107</f>
        <v>1.093256482</v>
      </c>
      <c r="U10" s="152">
        <f>'All Schools Roll-up'!S107</f>
        <v>1.1262</v>
      </c>
      <c r="V10" s="152">
        <f>'All Schools Roll-up'!T107</f>
        <v>1.148724</v>
      </c>
      <c r="W10" s="152">
        <f>'All Schools Roll-up'!U107</f>
        <v>1.17169848</v>
      </c>
      <c r="X10" s="152">
        <f>'All Schools Roll-up'!V107</f>
        <v>1.19513245</v>
      </c>
      <c r="Y10" s="152">
        <f>'All Schools Roll-up'!W107</f>
        <v>1.219035099</v>
      </c>
      <c r="Z10" s="152">
        <f>'All Schools Roll-up'!X107</f>
        <v>1.243415801</v>
      </c>
      <c r="AA10" s="152">
        <f>'All Schools Roll-up'!Y107</f>
        <v>1.268284117</v>
      </c>
      <c r="AB10" s="152">
        <f>'All Schools Roll-up'!Z107</f>
        <v>1.293649799</v>
      </c>
      <c r="AC10" s="152">
        <f>'All Schools Roll-up'!AA107</f>
        <v>1.319522795</v>
      </c>
      <c r="AD10" s="152">
        <f>'All Schools Roll-up'!AB107</f>
        <v>1.345913251</v>
      </c>
      <c r="AE10" s="152">
        <f>'All Schools Roll-up'!AC107</f>
        <v>1.372831516</v>
      </c>
      <c r="AF10" s="152">
        <f>'All Schools Roll-up'!AD107</f>
        <v>1.400288146</v>
      </c>
      <c r="AG10" s="152">
        <f>'All Schools Roll-up'!AE107</f>
        <v>1.428293909</v>
      </c>
      <c r="AH10" s="152">
        <f>'All Schools Roll-up'!AF107</f>
        <v>1.456859787</v>
      </c>
      <c r="AI10" s="152">
        <f>'All Schools Roll-up'!AG107</f>
        <v>1.485996983</v>
      </c>
      <c r="AJ10" s="152">
        <f>'All Schools Roll-up'!AH107</f>
        <v>1.515716923</v>
      </c>
      <c r="AK10" s="152">
        <f>'All Schools Roll-up'!AI107</f>
        <v>1.546031261</v>
      </c>
      <c r="AL10" s="152">
        <f>'All Schools Roll-up'!AJ107</f>
        <v>1.576951886</v>
      </c>
      <c r="AM10" s="152">
        <f>'All Schools Roll-up'!AK107</f>
        <v>1.608490924</v>
      </c>
      <c r="AN10" s="152">
        <f>'All Schools Roll-up'!AL107</f>
        <v>1.640660743</v>
      </c>
      <c r="AO10" s="152">
        <f>'All Schools Roll-up'!AM107</f>
        <v>1.673473957</v>
      </c>
      <c r="AP10" s="152">
        <f>'All Schools Roll-up'!AN107</f>
        <v>1.706943436</v>
      </c>
      <c r="AQ10" s="152">
        <f>'All Schools Roll-up'!AO107</f>
        <v>1.741082305</v>
      </c>
      <c r="AR10" s="152">
        <f>'All Schools Roll-up'!AP107</f>
        <v>1.775903951</v>
      </c>
      <c r="AS10" s="152">
        <f>'All Schools Roll-up'!AQ107</f>
        <v>1.81142203</v>
      </c>
      <c r="AT10" s="152">
        <f>'All Schools Roll-up'!AR107</f>
        <v>1.847650471</v>
      </c>
      <c r="AU10" s="152">
        <f>'All Schools Roll-up'!AS107</f>
        <v>1.88460348</v>
      </c>
      <c r="AV10" s="152">
        <f>'All Schools Roll-up'!AT107</f>
        <v>1.92229555</v>
      </c>
      <c r="AW10" s="152">
        <f>'All Schools Roll-up'!AU107</f>
        <v>1.960741461</v>
      </c>
      <c r="AX10" s="152">
        <f>'All Schools Roll-up'!AV107</f>
        <v>1.99995629</v>
      </c>
    </row>
    <row r="11" ht="12.75" customHeight="1">
      <c r="A11" s="87"/>
      <c r="B11" s="90"/>
      <c r="C11" s="90"/>
      <c r="D11" s="90"/>
      <c r="E11" s="90"/>
      <c r="F11" s="90"/>
      <c r="G11" s="90"/>
      <c r="H11" s="67"/>
      <c r="I11" s="176"/>
      <c r="J11" s="176"/>
      <c r="K11" s="90"/>
      <c r="L11" s="90"/>
      <c r="M11" s="90"/>
      <c r="N11" s="90"/>
      <c r="O11" s="91"/>
      <c r="P11" s="91"/>
      <c r="Q11" s="91"/>
      <c r="R11" s="91"/>
      <c r="S11" s="91"/>
      <c r="T11" s="91"/>
      <c r="U11" s="91"/>
      <c r="V11" s="91"/>
      <c r="W11" s="91"/>
      <c r="X11" s="91"/>
      <c r="Y11" s="91"/>
      <c r="Z11" s="91"/>
      <c r="AA11" s="91"/>
      <c r="AB11" s="91"/>
      <c r="AC11" s="91"/>
      <c r="AD11" s="91"/>
      <c r="AE11" s="91"/>
      <c r="AF11" s="91"/>
      <c r="AG11" s="91"/>
      <c r="AH11" s="91"/>
      <c r="AI11" s="91"/>
      <c r="AJ11" s="91"/>
      <c r="AK11" s="91"/>
      <c r="AL11" s="91"/>
      <c r="AM11" s="91"/>
      <c r="AN11" s="91"/>
      <c r="AO11" s="91"/>
      <c r="AP11" s="91"/>
      <c r="AQ11" s="91"/>
      <c r="AR11" s="91"/>
      <c r="AS11" s="91"/>
      <c r="AT11" s="91"/>
      <c r="AU11" s="91"/>
      <c r="AV11" s="91"/>
      <c r="AW11" s="91"/>
      <c r="AX11" s="91"/>
    </row>
    <row r="12" ht="12.75" customHeight="1">
      <c r="A12" s="106" t="s">
        <v>505</v>
      </c>
      <c r="B12" s="106"/>
      <c r="C12" s="106"/>
      <c r="D12" s="106"/>
      <c r="E12" s="106"/>
      <c r="F12" s="106"/>
      <c r="G12" s="106"/>
      <c r="H12" s="106"/>
      <c r="I12" s="174"/>
      <c r="J12" s="174"/>
      <c r="K12" s="106"/>
      <c r="L12" s="175"/>
      <c r="M12" s="175"/>
      <c r="N12" s="175"/>
      <c r="O12" s="175"/>
      <c r="P12" s="175"/>
      <c r="Q12" s="175"/>
      <c r="R12" s="175"/>
      <c r="S12" s="175"/>
      <c r="T12" s="175"/>
      <c r="U12" s="175"/>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5"/>
      <c r="AX12" s="175"/>
    </row>
    <row r="13" ht="12.75" customHeight="1" outlineLevel="1">
      <c r="A13" s="90"/>
      <c r="B13" s="67" t="s">
        <v>275</v>
      </c>
      <c r="Q13" s="65"/>
      <c r="R13" s="65"/>
      <c r="S13" s="65"/>
      <c r="T13" s="65"/>
      <c r="U13" s="65"/>
      <c r="V13" s="65"/>
      <c r="W13" s="65"/>
      <c r="X13" s="65"/>
      <c r="Y13" s="65"/>
      <c r="Z13" s="65"/>
      <c r="AA13" s="65"/>
      <c r="AB13" s="65"/>
      <c r="AC13" s="65"/>
      <c r="AD13" s="65"/>
      <c r="AE13" s="65"/>
      <c r="AF13" s="65"/>
      <c r="AG13" s="65"/>
      <c r="AH13" s="65"/>
      <c r="AI13" s="65"/>
      <c r="AJ13" s="65"/>
      <c r="AK13" s="65"/>
      <c r="AL13" s="65"/>
      <c r="AM13" s="65"/>
    </row>
    <row r="14" ht="12.75" customHeight="1" outlineLevel="1">
      <c r="A14" s="90"/>
      <c r="C14" s="68" t="s">
        <v>506</v>
      </c>
      <c r="M14" s="65" t="str">
        <f t="shared" ref="M14:AX14" si="6">M35</f>
        <v/>
      </c>
      <c r="N14" s="65" t="str">
        <f t="shared" si="6"/>
        <v/>
      </c>
      <c r="O14" s="177">
        <f t="shared" si="6"/>
        <v>0.4052</v>
      </c>
      <c r="P14" s="177">
        <f t="shared" si="6"/>
        <v>0.3708255999</v>
      </c>
      <c r="Q14" s="177">
        <f t="shared" si="6"/>
        <v>6181.952418</v>
      </c>
      <c r="R14" s="177">
        <f t="shared" si="6"/>
        <v>127263.8236</v>
      </c>
      <c r="S14" s="177">
        <f t="shared" si="6"/>
        <v>152656.8929</v>
      </c>
      <c r="T14" s="177">
        <f t="shared" si="6"/>
        <v>570829.9413</v>
      </c>
      <c r="U14" s="177">
        <f t="shared" si="6"/>
        <v>1285793.997</v>
      </c>
      <c r="V14" s="177">
        <f t="shared" si="6"/>
        <v>2937768.104</v>
      </c>
      <c r="W14" s="177">
        <f t="shared" si="6"/>
        <v>5931138.156</v>
      </c>
      <c r="X14" s="177">
        <f t="shared" si="6"/>
        <v>11970891.95</v>
      </c>
      <c r="Y14" s="177">
        <f t="shared" si="6"/>
        <v>21894692.35</v>
      </c>
      <c r="Z14" s="177">
        <f t="shared" si="6"/>
        <v>34533032.32</v>
      </c>
      <c r="AA14" s="177">
        <f t="shared" si="6"/>
        <v>56495536.74</v>
      </c>
      <c r="AB14" s="177">
        <f t="shared" si="6"/>
        <v>86558451.66</v>
      </c>
      <c r="AC14" s="177">
        <f t="shared" si="6"/>
        <v>125463405.6</v>
      </c>
      <c r="AD14" s="177">
        <f t="shared" si="6"/>
        <v>168939518.7</v>
      </c>
      <c r="AE14" s="177">
        <f t="shared" si="6"/>
        <v>220541637.8</v>
      </c>
      <c r="AF14" s="177">
        <f t="shared" si="6"/>
        <v>276479134.9</v>
      </c>
      <c r="AG14" s="177">
        <f t="shared" si="6"/>
        <v>332093243.8</v>
      </c>
      <c r="AH14" s="177">
        <f t="shared" si="6"/>
        <v>373200657.7</v>
      </c>
      <c r="AI14" s="177">
        <f t="shared" si="6"/>
        <v>372960291.7</v>
      </c>
      <c r="AJ14" s="177">
        <f t="shared" si="6"/>
        <v>365309727.8</v>
      </c>
      <c r="AK14" s="177">
        <f t="shared" si="6"/>
        <v>358989650.1</v>
      </c>
      <c r="AL14" s="177">
        <f t="shared" si="6"/>
        <v>364082283.8</v>
      </c>
      <c r="AM14" s="177">
        <f t="shared" si="6"/>
        <v>371035991.8</v>
      </c>
      <c r="AN14" s="177">
        <f t="shared" si="6"/>
        <v>378242546.1</v>
      </c>
      <c r="AO14" s="177">
        <f t="shared" si="6"/>
        <v>385705141.4</v>
      </c>
      <c r="AP14" s="177">
        <f t="shared" si="6"/>
        <v>393407959.8</v>
      </c>
      <c r="AQ14" s="177" t="str">
        <f t="shared" si="6"/>
        <v>#REF!</v>
      </c>
      <c r="AR14" s="177" t="str">
        <f t="shared" si="6"/>
        <v>#REF!</v>
      </c>
      <c r="AS14" s="177" t="str">
        <f t="shared" si="6"/>
        <v>#REF!</v>
      </c>
      <c r="AT14" s="177" t="str">
        <f t="shared" si="6"/>
        <v>#REF!</v>
      </c>
      <c r="AU14" s="177" t="str">
        <f t="shared" si="6"/>
        <v>#REF!</v>
      </c>
      <c r="AV14" s="177" t="str">
        <f t="shared" si="6"/>
        <v>#REF!</v>
      </c>
      <c r="AW14" s="177" t="str">
        <f t="shared" si="6"/>
        <v>#REF!</v>
      </c>
      <c r="AX14" s="177" t="str">
        <f t="shared" si="6"/>
        <v>#REF!</v>
      </c>
    </row>
    <row r="15" ht="12.75" customHeight="1" outlineLevel="1">
      <c r="A15" s="90"/>
      <c r="C15" s="68" t="s">
        <v>507</v>
      </c>
      <c r="M15" s="65"/>
      <c r="N15" s="65"/>
      <c r="O15" s="177">
        <f>Summary!I22</f>
        <v>0</v>
      </c>
      <c r="P15" s="177">
        <f>Summary!J22</f>
        <v>1000000</v>
      </c>
      <c r="Q15" s="177">
        <f>Summary!K22</f>
        <v>0</v>
      </c>
      <c r="R15" s="177">
        <f>Summary!L22</f>
        <v>1650000</v>
      </c>
      <c r="S15" s="177">
        <f>Summary!M22</f>
        <v>1750000</v>
      </c>
      <c r="T15" s="177">
        <f>Summary!N22</f>
        <v>250000</v>
      </c>
      <c r="U15" s="177" t="str">
        <f>Summary!O22</f>
        <v/>
      </c>
      <c r="V15" s="177" t="str">
        <f>Summary!P22</f>
        <v/>
      </c>
      <c r="W15" s="177" t="str">
        <f>Summary!Q22</f>
        <v/>
      </c>
      <c r="X15" s="177" t="str">
        <f>Summary!R22</f>
        <v/>
      </c>
      <c r="Y15" s="177" t="str">
        <f>Summary!S22</f>
        <v/>
      </c>
      <c r="Z15" s="177" t="str">
        <f>Summary!T22</f>
        <v/>
      </c>
      <c r="AA15" s="177" t="str">
        <f>Summary!U22</f>
        <v/>
      </c>
      <c r="AB15" s="177" t="str">
        <f>Summary!V22</f>
        <v/>
      </c>
      <c r="AC15" s="177" t="str">
        <f>Summary!W22</f>
        <v/>
      </c>
      <c r="AD15" s="177" t="str">
        <f>Summary!X22</f>
        <v/>
      </c>
      <c r="AE15" s="177" t="str">
        <f>Summary!Y22</f>
        <v/>
      </c>
      <c r="AF15" s="177" t="str">
        <f>Summary!Z22</f>
        <v/>
      </c>
      <c r="AG15" s="177" t="str">
        <f>Summary!AA22</f>
        <v/>
      </c>
      <c r="AH15" s="177" t="str">
        <f>Summary!AB22</f>
        <v/>
      </c>
      <c r="AI15" s="177" t="str">
        <f>Summary!AC22</f>
        <v/>
      </c>
      <c r="AJ15" s="177" t="str">
        <f>Summary!AD22</f>
        <v/>
      </c>
      <c r="AK15" s="177" t="str">
        <f>Summary!AE22</f>
        <v/>
      </c>
      <c r="AL15" s="177" t="str">
        <f>Summary!AF22</f>
        <v/>
      </c>
      <c r="AM15" s="177" t="str">
        <f>Summary!AG22</f>
        <v/>
      </c>
      <c r="AN15" s="177" t="str">
        <f>Summary!AH22</f>
        <v/>
      </c>
      <c r="AO15" s="177" t="str">
        <f>Summary!AI22</f>
        <v/>
      </c>
      <c r="AP15" s="177" t="str">
        <f>Summary!AJ22</f>
        <v/>
      </c>
      <c r="AQ15" s="177" t="str">
        <f>Summary!AK22</f>
        <v/>
      </c>
      <c r="AR15" s="177" t="str">
        <f>Summary!AL22</f>
        <v/>
      </c>
      <c r="AS15" s="177" t="str">
        <f>Summary!AM22</f>
        <v/>
      </c>
      <c r="AT15" s="177" t="str">
        <f>Summary!AN22</f>
        <v/>
      </c>
      <c r="AU15" s="177" t="str">
        <f>Summary!AO22</f>
        <v/>
      </c>
      <c r="AV15" s="177" t="str">
        <f>Summary!AP22</f>
        <v/>
      </c>
      <c r="AW15" s="177" t="str">
        <f>Summary!AQ22</f>
        <v/>
      </c>
      <c r="AX15" s="177" t="str">
        <f>Summary!AR22</f>
        <v/>
      </c>
    </row>
    <row r="16" ht="12.75" customHeight="1" outlineLevel="1">
      <c r="A16" s="90"/>
      <c r="C16" s="68" t="s">
        <v>508</v>
      </c>
      <c r="M16" s="65"/>
      <c r="N16" s="65"/>
      <c r="O16" s="177" t="str">
        <f>Summary!I23</f>
        <v/>
      </c>
      <c r="P16" s="177" t="str">
        <f>Summary!J23</f>
        <v/>
      </c>
      <c r="Q16" s="177" t="str">
        <f>Summary!K23</f>
        <v/>
      </c>
      <c r="R16" s="177">
        <f>Summary!L23</f>
        <v>1650000</v>
      </c>
      <c r="S16" s="177">
        <f>Summary!M23</f>
        <v>1750000</v>
      </c>
      <c r="T16" s="177" t="str">
        <f>Summary!N23</f>
        <v/>
      </c>
      <c r="U16" s="177" t="str">
        <f>Summary!O23</f>
        <v/>
      </c>
      <c r="V16" s="177" t="str">
        <f>Summary!P23</f>
        <v/>
      </c>
      <c r="W16" s="177" t="str">
        <f>Summary!Q23</f>
        <v/>
      </c>
      <c r="X16" s="177" t="str">
        <f>Summary!R23</f>
        <v/>
      </c>
      <c r="Y16" s="177" t="str">
        <f>Summary!S23</f>
        <v/>
      </c>
      <c r="Z16" s="177" t="str">
        <f>Summary!T23</f>
        <v/>
      </c>
      <c r="AA16" s="177" t="str">
        <f>Summary!U23</f>
        <v/>
      </c>
      <c r="AB16" s="177" t="str">
        <f>Summary!V23</f>
        <v/>
      </c>
      <c r="AC16" s="177" t="str">
        <f>Summary!W23</f>
        <v/>
      </c>
      <c r="AD16" s="177" t="str">
        <f>Summary!X23</f>
        <v/>
      </c>
      <c r="AE16" s="177" t="str">
        <f>Summary!Y23</f>
        <v/>
      </c>
      <c r="AF16" s="177" t="str">
        <f>Summary!Z23</f>
        <v/>
      </c>
      <c r="AG16" s="177" t="str">
        <f>Summary!AA23</f>
        <v/>
      </c>
      <c r="AH16" s="177" t="str">
        <f>Summary!AB23</f>
        <v/>
      </c>
      <c r="AI16" s="177" t="str">
        <f>Summary!AC23</f>
        <v/>
      </c>
      <c r="AJ16" s="177" t="str">
        <f>Summary!AD23</f>
        <v/>
      </c>
      <c r="AK16" s="177" t="str">
        <f>Summary!AE23</f>
        <v/>
      </c>
      <c r="AL16" s="177" t="str">
        <f>Summary!AF23</f>
        <v/>
      </c>
      <c r="AM16" s="177" t="str">
        <f>Summary!AG23</f>
        <v/>
      </c>
      <c r="AN16" s="177" t="str">
        <f>Summary!AH23</f>
        <v/>
      </c>
      <c r="AO16" s="177" t="str">
        <f>Summary!AI23</f>
        <v/>
      </c>
      <c r="AP16" s="177" t="str">
        <f>Summary!AJ23</f>
        <v/>
      </c>
      <c r="AQ16" s="177" t="str">
        <f>Summary!AK23</f>
        <v/>
      </c>
      <c r="AR16" s="177" t="str">
        <f>Summary!AL23</f>
        <v/>
      </c>
      <c r="AS16" s="177" t="str">
        <f>Summary!AM23</f>
        <v/>
      </c>
      <c r="AT16" s="177" t="str">
        <f>Summary!AN23</f>
        <v/>
      </c>
      <c r="AU16" s="177" t="str">
        <f>Summary!AO23</f>
        <v/>
      </c>
      <c r="AV16" s="177" t="str">
        <f>Summary!AP23</f>
        <v/>
      </c>
      <c r="AW16" s="177" t="str">
        <f>Summary!AQ23</f>
        <v/>
      </c>
      <c r="AX16" s="177" t="str">
        <f>Summary!AR23</f>
        <v/>
      </c>
    </row>
    <row r="17" ht="12.75" customHeight="1" outlineLevel="1">
      <c r="A17" s="90"/>
      <c r="C17" s="87" t="s">
        <v>509</v>
      </c>
      <c r="D17" s="87"/>
      <c r="E17" s="87"/>
      <c r="F17" s="266" t="str">
        <f>#REF!</f>
        <v>#REF!</v>
      </c>
      <c r="G17" s="87"/>
      <c r="H17" s="87"/>
      <c r="I17" s="87"/>
      <c r="J17" s="87"/>
      <c r="K17" s="87"/>
      <c r="L17" s="87"/>
      <c r="M17" s="200">
        <v>0.0</v>
      </c>
      <c r="N17" s="200">
        <v>0.0</v>
      </c>
      <c r="O17" s="204">
        <f t="shared" ref="O17:AX17" si="7">O122</f>
        <v>0</v>
      </c>
      <c r="P17" s="204">
        <f t="shared" si="7"/>
        <v>0</v>
      </c>
      <c r="Q17" s="204">
        <f t="shared" si="7"/>
        <v>0</v>
      </c>
      <c r="R17" s="204">
        <f t="shared" si="7"/>
        <v>0</v>
      </c>
      <c r="S17" s="204">
        <f t="shared" si="7"/>
        <v>0</v>
      </c>
      <c r="T17" s="204">
        <f t="shared" si="7"/>
        <v>0</v>
      </c>
      <c r="U17" s="204">
        <f t="shared" si="7"/>
        <v>0</v>
      </c>
      <c r="V17" s="204">
        <f t="shared" si="7"/>
        <v>0</v>
      </c>
      <c r="W17" s="204">
        <f t="shared" si="7"/>
        <v>0</v>
      </c>
      <c r="X17" s="204">
        <f t="shared" si="7"/>
        <v>0</v>
      </c>
      <c r="Y17" s="204">
        <f t="shared" si="7"/>
        <v>0</v>
      </c>
      <c r="Z17" s="204">
        <f t="shared" si="7"/>
        <v>0</v>
      </c>
      <c r="AA17" s="204">
        <f t="shared" si="7"/>
        <v>0</v>
      </c>
      <c r="AB17" s="204">
        <f t="shared" si="7"/>
        <v>0</v>
      </c>
      <c r="AC17" s="204">
        <f t="shared" si="7"/>
        <v>0</v>
      </c>
      <c r="AD17" s="204">
        <f t="shared" si="7"/>
        <v>0</v>
      </c>
      <c r="AE17" s="204">
        <f t="shared" si="7"/>
        <v>0</v>
      </c>
      <c r="AF17" s="204">
        <f t="shared" si="7"/>
        <v>0</v>
      </c>
      <c r="AG17" s="204">
        <f t="shared" si="7"/>
        <v>0</v>
      </c>
      <c r="AH17" s="204">
        <f t="shared" si="7"/>
        <v>0</v>
      </c>
      <c r="AI17" s="204">
        <f t="shared" si="7"/>
        <v>0</v>
      </c>
      <c r="AJ17" s="204">
        <f t="shared" si="7"/>
        <v>0</v>
      </c>
      <c r="AK17" s="204">
        <f t="shared" si="7"/>
        <v>0</v>
      </c>
      <c r="AL17" s="204">
        <f t="shared" si="7"/>
        <v>0</v>
      </c>
      <c r="AM17" s="204">
        <f t="shared" si="7"/>
        <v>0</v>
      </c>
      <c r="AN17" s="204">
        <f t="shared" si="7"/>
        <v>0</v>
      </c>
      <c r="AO17" s="204">
        <f t="shared" si="7"/>
        <v>0</v>
      </c>
      <c r="AP17" s="204">
        <f t="shared" si="7"/>
        <v>0</v>
      </c>
      <c r="AQ17" s="204">
        <f t="shared" si="7"/>
        <v>0</v>
      </c>
      <c r="AR17" s="204">
        <f t="shared" si="7"/>
        <v>0</v>
      </c>
      <c r="AS17" s="204">
        <f t="shared" si="7"/>
        <v>0</v>
      </c>
      <c r="AT17" s="204">
        <f t="shared" si="7"/>
        <v>0</v>
      </c>
      <c r="AU17" s="204">
        <f t="shared" si="7"/>
        <v>0</v>
      </c>
      <c r="AV17" s="204">
        <f t="shared" si="7"/>
        <v>0</v>
      </c>
      <c r="AW17" s="204">
        <f t="shared" si="7"/>
        <v>0</v>
      </c>
      <c r="AX17" s="204">
        <f t="shared" si="7"/>
        <v>0</v>
      </c>
    </row>
    <row r="18" ht="12.75" customHeight="1" outlineLevel="1">
      <c r="A18" s="90"/>
      <c r="C18" s="67" t="s">
        <v>239</v>
      </c>
      <c r="D18" s="90"/>
      <c r="E18" s="90"/>
      <c r="F18" s="90"/>
      <c r="G18" s="90"/>
      <c r="H18" s="90"/>
      <c r="I18" s="90"/>
      <c r="J18" s="90"/>
      <c r="K18" s="90"/>
      <c r="L18" s="90"/>
      <c r="M18" s="76">
        <f t="shared" ref="M18:AX18" si="8">SUM(M14:M17)</f>
        <v>0</v>
      </c>
      <c r="N18" s="76">
        <f t="shared" si="8"/>
        <v>0</v>
      </c>
      <c r="O18" s="205">
        <f t="shared" si="8"/>
        <v>0.4052</v>
      </c>
      <c r="P18" s="205">
        <f t="shared" si="8"/>
        <v>1000000.371</v>
      </c>
      <c r="Q18" s="205">
        <f t="shared" si="8"/>
        <v>6181.952418</v>
      </c>
      <c r="R18" s="205">
        <f t="shared" si="8"/>
        <v>3427263.824</v>
      </c>
      <c r="S18" s="205">
        <f t="shared" si="8"/>
        <v>3652656.893</v>
      </c>
      <c r="T18" s="205">
        <f t="shared" si="8"/>
        <v>820829.9413</v>
      </c>
      <c r="U18" s="205">
        <f t="shared" si="8"/>
        <v>1285793.997</v>
      </c>
      <c r="V18" s="205">
        <f t="shared" si="8"/>
        <v>2937768.104</v>
      </c>
      <c r="W18" s="205">
        <f t="shared" si="8"/>
        <v>5931138.156</v>
      </c>
      <c r="X18" s="205">
        <f t="shared" si="8"/>
        <v>11970891.95</v>
      </c>
      <c r="Y18" s="205">
        <f t="shared" si="8"/>
        <v>21894692.35</v>
      </c>
      <c r="Z18" s="205">
        <f t="shared" si="8"/>
        <v>34533032.32</v>
      </c>
      <c r="AA18" s="205">
        <f t="shared" si="8"/>
        <v>56495536.74</v>
      </c>
      <c r="AB18" s="205">
        <f t="shared" si="8"/>
        <v>86558451.66</v>
      </c>
      <c r="AC18" s="205">
        <f t="shared" si="8"/>
        <v>125463405.6</v>
      </c>
      <c r="AD18" s="205">
        <f t="shared" si="8"/>
        <v>168939518.7</v>
      </c>
      <c r="AE18" s="205">
        <f t="shared" si="8"/>
        <v>220541637.8</v>
      </c>
      <c r="AF18" s="205">
        <f t="shared" si="8"/>
        <v>276479134.9</v>
      </c>
      <c r="AG18" s="205">
        <f t="shared" si="8"/>
        <v>332093243.8</v>
      </c>
      <c r="AH18" s="205">
        <f t="shared" si="8"/>
        <v>373200657.7</v>
      </c>
      <c r="AI18" s="205">
        <f t="shared" si="8"/>
        <v>372960291.7</v>
      </c>
      <c r="AJ18" s="205">
        <f t="shared" si="8"/>
        <v>365309727.8</v>
      </c>
      <c r="AK18" s="205">
        <f t="shared" si="8"/>
        <v>358989650.1</v>
      </c>
      <c r="AL18" s="205">
        <f t="shared" si="8"/>
        <v>364082283.8</v>
      </c>
      <c r="AM18" s="205">
        <f t="shared" si="8"/>
        <v>371035991.8</v>
      </c>
      <c r="AN18" s="205">
        <f t="shared" si="8"/>
        <v>378242546.1</v>
      </c>
      <c r="AO18" s="205">
        <f t="shared" si="8"/>
        <v>385705141.4</v>
      </c>
      <c r="AP18" s="205">
        <f t="shared" si="8"/>
        <v>393407959.8</v>
      </c>
      <c r="AQ18" s="205" t="str">
        <f t="shared" si="8"/>
        <v>#REF!</v>
      </c>
      <c r="AR18" s="205" t="str">
        <f t="shared" si="8"/>
        <v>#REF!</v>
      </c>
      <c r="AS18" s="205" t="str">
        <f t="shared" si="8"/>
        <v>#REF!</v>
      </c>
      <c r="AT18" s="205" t="str">
        <f t="shared" si="8"/>
        <v>#REF!</v>
      </c>
      <c r="AU18" s="205" t="str">
        <f t="shared" si="8"/>
        <v>#REF!</v>
      </c>
      <c r="AV18" s="205" t="str">
        <f t="shared" si="8"/>
        <v>#REF!</v>
      </c>
      <c r="AW18" s="205" t="str">
        <f t="shared" si="8"/>
        <v>#REF!</v>
      </c>
      <c r="AX18" s="205" t="str">
        <f t="shared" si="8"/>
        <v>#REF!</v>
      </c>
    </row>
    <row r="19" ht="12.75" customHeight="1" outlineLevel="1">
      <c r="A19" s="90"/>
      <c r="C19" s="90"/>
      <c r="D19" s="90"/>
      <c r="E19" s="90"/>
      <c r="F19" s="90"/>
      <c r="G19" s="90"/>
      <c r="H19" s="90"/>
      <c r="I19" s="90"/>
      <c r="J19" s="90"/>
      <c r="K19" s="90"/>
      <c r="L19" s="90"/>
      <c r="M19" s="90"/>
      <c r="N19" s="65"/>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row>
    <row r="20" ht="12.75" customHeight="1" outlineLevel="1">
      <c r="A20" s="90"/>
      <c r="B20" s="67" t="s">
        <v>178</v>
      </c>
      <c r="C20" s="90"/>
      <c r="D20" s="90"/>
      <c r="E20" s="90"/>
      <c r="F20" s="90"/>
      <c r="G20" s="90"/>
      <c r="H20" s="90"/>
      <c r="I20" s="90"/>
      <c r="J20" s="90"/>
      <c r="K20" s="90"/>
      <c r="L20" s="90"/>
      <c r="M20" s="90"/>
      <c r="N20" s="65"/>
      <c r="O20" s="177"/>
      <c r="P20" s="177"/>
      <c r="Q20" s="177"/>
      <c r="R20" s="177"/>
      <c r="S20" s="177"/>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row>
    <row r="21" ht="12.75" customHeight="1" outlineLevel="1">
      <c r="A21" s="90"/>
      <c r="C21" s="90" t="s">
        <v>278</v>
      </c>
      <c r="D21" s="90"/>
      <c r="E21" s="90"/>
      <c r="F21" s="90"/>
      <c r="G21" s="90"/>
      <c r="H21" s="90"/>
      <c r="I21" s="90"/>
      <c r="J21" s="90"/>
      <c r="K21" s="90"/>
      <c r="L21" s="90"/>
      <c r="M21" s="65">
        <f t="shared" ref="M21:AX21" si="9">M159</f>
        <v>0</v>
      </c>
      <c r="N21" s="65">
        <f t="shared" si="9"/>
        <v>0</v>
      </c>
      <c r="O21" s="177">
        <f t="shared" si="9"/>
        <v>0</v>
      </c>
      <c r="P21" s="177">
        <f t="shared" si="9"/>
        <v>0</v>
      </c>
      <c r="Q21" s="177">
        <f t="shared" si="9"/>
        <v>309060</v>
      </c>
      <c r="R21" s="177">
        <f t="shared" si="9"/>
        <v>462353.76</v>
      </c>
      <c r="S21" s="177">
        <f t="shared" si="9"/>
        <v>1114692.883</v>
      </c>
      <c r="T21" s="177">
        <f t="shared" si="9"/>
        <v>2427029.389</v>
      </c>
      <c r="U21" s="177">
        <f t="shared" si="9"/>
        <v>4865184</v>
      </c>
      <c r="V21" s="177">
        <f t="shared" si="9"/>
        <v>8523532.08</v>
      </c>
      <c r="W21" s="177">
        <f t="shared" si="9"/>
        <v>15396118.03</v>
      </c>
      <c r="X21" s="177">
        <f t="shared" si="9"/>
        <v>25312905.28</v>
      </c>
      <c r="Y21" s="177">
        <f t="shared" si="9"/>
        <v>30646542.38</v>
      </c>
      <c r="Z21" s="177">
        <f t="shared" si="9"/>
        <v>35760638.42</v>
      </c>
      <c r="AA21" s="177">
        <f t="shared" si="9"/>
        <v>43806533.39</v>
      </c>
      <c r="AB21" s="177">
        <f t="shared" si="9"/>
        <v>55911544.31</v>
      </c>
      <c r="AC21" s="177">
        <f t="shared" si="9"/>
        <v>68984651.72</v>
      </c>
      <c r="AD21" s="177">
        <f t="shared" si="9"/>
        <v>91441346.26</v>
      </c>
      <c r="AE21" s="177">
        <f t="shared" si="9"/>
        <v>115757153.4</v>
      </c>
      <c r="AF21" s="177">
        <f t="shared" si="9"/>
        <v>140392889.5</v>
      </c>
      <c r="AG21" s="177">
        <f t="shared" si="9"/>
        <v>162882637.4</v>
      </c>
      <c r="AH21" s="177">
        <f t="shared" si="9"/>
        <v>174881448.9</v>
      </c>
      <c r="AI21" s="177">
        <f t="shared" si="9"/>
        <v>178379077.8</v>
      </c>
      <c r="AJ21" s="177">
        <f t="shared" si="9"/>
        <v>181946659.4</v>
      </c>
      <c r="AK21" s="177">
        <f t="shared" si="9"/>
        <v>185585592.6</v>
      </c>
      <c r="AL21" s="177">
        <f t="shared" si="9"/>
        <v>189297304.4</v>
      </c>
      <c r="AM21" s="177">
        <f t="shared" si="9"/>
        <v>193083250.5</v>
      </c>
      <c r="AN21" s="177">
        <f t="shared" si="9"/>
        <v>196944915.5</v>
      </c>
      <c r="AO21" s="177">
        <f t="shared" si="9"/>
        <v>200883813.8</v>
      </c>
      <c r="AP21" s="177">
        <f t="shared" si="9"/>
        <v>204901490.1</v>
      </c>
      <c r="AQ21" s="177">
        <f t="shared" si="9"/>
        <v>208999519.9</v>
      </c>
      <c r="AR21" s="177">
        <f t="shared" si="9"/>
        <v>213179510.3</v>
      </c>
      <c r="AS21" s="177">
        <f t="shared" si="9"/>
        <v>217443100.5</v>
      </c>
      <c r="AT21" s="177">
        <f t="shared" si="9"/>
        <v>221791962.5</v>
      </c>
      <c r="AU21" s="177">
        <f t="shared" si="9"/>
        <v>226227801.8</v>
      </c>
      <c r="AV21" s="177">
        <f t="shared" si="9"/>
        <v>230752357.8</v>
      </c>
      <c r="AW21" s="177">
        <f t="shared" si="9"/>
        <v>235367405</v>
      </c>
      <c r="AX21" s="177">
        <f t="shared" si="9"/>
        <v>240074753.1</v>
      </c>
    </row>
    <row r="22" ht="12.75" customHeight="1" outlineLevel="1">
      <c r="A22" s="90"/>
      <c r="B22" s="257">
        <f>Assumptions!D15</f>
        <v>0.22</v>
      </c>
      <c r="C22" s="90" t="s">
        <v>133</v>
      </c>
      <c r="D22" s="90"/>
      <c r="E22" s="90"/>
      <c r="F22" s="90"/>
      <c r="G22" s="90"/>
      <c r="H22" s="90"/>
      <c r="I22" s="90"/>
      <c r="J22" s="90"/>
      <c r="K22" s="90"/>
      <c r="L22" s="90"/>
      <c r="M22" s="65">
        <f t="shared" ref="M22:AX22" si="10">M21*$B$22</f>
        <v>0</v>
      </c>
      <c r="N22" s="65">
        <f t="shared" si="10"/>
        <v>0</v>
      </c>
      <c r="O22" s="177">
        <f t="shared" si="10"/>
        <v>0</v>
      </c>
      <c r="P22" s="177">
        <f t="shared" si="10"/>
        <v>0</v>
      </c>
      <c r="Q22" s="177">
        <f t="shared" si="10"/>
        <v>67993.2</v>
      </c>
      <c r="R22" s="177">
        <f t="shared" si="10"/>
        <v>101717.8272</v>
      </c>
      <c r="S22" s="177">
        <f t="shared" si="10"/>
        <v>245232.4343</v>
      </c>
      <c r="T22" s="177">
        <f t="shared" si="10"/>
        <v>533946.4656</v>
      </c>
      <c r="U22" s="177">
        <f t="shared" si="10"/>
        <v>1070340.48</v>
      </c>
      <c r="V22" s="177">
        <f t="shared" si="10"/>
        <v>1875177.058</v>
      </c>
      <c r="W22" s="177">
        <f t="shared" si="10"/>
        <v>3387145.966</v>
      </c>
      <c r="X22" s="177">
        <f t="shared" si="10"/>
        <v>5568839.162</v>
      </c>
      <c r="Y22" s="177">
        <f t="shared" si="10"/>
        <v>6742239.323</v>
      </c>
      <c r="Z22" s="177">
        <f t="shared" si="10"/>
        <v>7867340.453</v>
      </c>
      <c r="AA22" s="177">
        <f t="shared" si="10"/>
        <v>9637437.345</v>
      </c>
      <c r="AB22" s="177">
        <f t="shared" si="10"/>
        <v>12300539.75</v>
      </c>
      <c r="AC22" s="177">
        <f t="shared" si="10"/>
        <v>15176623.38</v>
      </c>
      <c r="AD22" s="177">
        <f t="shared" si="10"/>
        <v>20117096.18</v>
      </c>
      <c r="AE22" s="177">
        <f t="shared" si="10"/>
        <v>25466573.75</v>
      </c>
      <c r="AF22" s="177">
        <f t="shared" si="10"/>
        <v>30886435.7</v>
      </c>
      <c r="AG22" s="177">
        <f t="shared" si="10"/>
        <v>35834180.23</v>
      </c>
      <c r="AH22" s="177">
        <f t="shared" si="10"/>
        <v>38473918.75</v>
      </c>
      <c r="AI22" s="177">
        <f t="shared" si="10"/>
        <v>39243397.12</v>
      </c>
      <c r="AJ22" s="177">
        <f t="shared" si="10"/>
        <v>40028265.07</v>
      </c>
      <c r="AK22" s="177">
        <f t="shared" si="10"/>
        <v>40828830.37</v>
      </c>
      <c r="AL22" s="177">
        <f t="shared" si="10"/>
        <v>41645406.97</v>
      </c>
      <c r="AM22" s="177">
        <f t="shared" si="10"/>
        <v>42478315.11</v>
      </c>
      <c r="AN22" s="177">
        <f t="shared" si="10"/>
        <v>43327881.42</v>
      </c>
      <c r="AO22" s="177">
        <f t="shared" si="10"/>
        <v>44194439.04</v>
      </c>
      <c r="AP22" s="177">
        <f t="shared" si="10"/>
        <v>45078327.83</v>
      </c>
      <c r="AQ22" s="177">
        <f t="shared" si="10"/>
        <v>45979894.38</v>
      </c>
      <c r="AR22" s="177">
        <f t="shared" si="10"/>
        <v>46899492.27</v>
      </c>
      <c r="AS22" s="177">
        <f t="shared" si="10"/>
        <v>47837482.12</v>
      </c>
      <c r="AT22" s="177">
        <f t="shared" si="10"/>
        <v>48794231.76</v>
      </c>
      <c r="AU22" s="177">
        <f t="shared" si="10"/>
        <v>49770116.39</v>
      </c>
      <c r="AV22" s="177">
        <f t="shared" si="10"/>
        <v>50765518.72</v>
      </c>
      <c r="AW22" s="177">
        <f t="shared" si="10"/>
        <v>51780829.1</v>
      </c>
      <c r="AX22" s="177">
        <f t="shared" si="10"/>
        <v>52816445.68</v>
      </c>
    </row>
    <row r="23" ht="12.75" customHeight="1" outlineLevel="1">
      <c r="A23" s="90"/>
      <c r="C23" s="90" t="s">
        <v>510</v>
      </c>
      <c r="D23" s="90"/>
      <c r="E23" s="90"/>
      <c r="F23" s="90"/>
      <c r="G23" s="90"/>
      <c r="H23" s="90"/>
      <c r="I23" s="90"/>
      <c r="J23" s="90"/>
      <c r="K23" s="90"/>
      <c r="L23" s="90"/>
      <c r="M23" s="65">
        <f t="shared" ref="M23:AX23" si="11">M196</f>
        <v>0</v>
      </c>
      <c r="N23" s="65">
        <f t="shared" si="11"/>
        <v>0</v>
      </c>
      <c r="O23" s="177">
        <f t="shared" si="11"/>
        <v>0</v>
      </c>
      <c r="P23" s="177">
        <f t="shared" si="11"/>
        <v>0</v>
      </c>
      <c r="Q23" s="177">
        <f t="shared" si="11"/>
        <v>15453</v>
      </c>
      <c r="R23" s="177">
        <f t="shared" si="11"/>
        <v>13135.05</v>
      </c>
      <c r="S23" s="177">
        <f t="shared" si="11"/>
        <v>42872.8032</v>
      </c>
      <c r="T23" s="177">
        <f t="shared" si="11"/>
        <v>87460.51853</v>
      </c>
      <c r="U23" s="177">
        <f t="shared" si="11"/>
        <v>177376.5</v>
      </c>
      <c r="V23" s="177">
        <f t="shared" si="11"/>
        <v>287181</v>
      </c>
      <c r="W23" s="177">
        <f t="shared" si="11"/>
        <v>541910.547</v>
      </c>
      <c r="X23" s="177">
        <f t="shared" si="11"/>
        <v>860495.3637</v>
      </c>
      <c r="Y23" s="177">
        <f t="shared" si="11"/>
        <v>899038.3852</v>
      </c>
      <c r="Z23" s="177">
        <f t="shared" si="11"/>
        <v>1103531.523</v>
      </c>
      <c r="AA23" s="177">
        <f t="shared" si="11"/>
        <v>1518770.23</v>
      </c>
      <c r="AB23" s="177">
        <f t="shared" si="11"/>
        <v>2121585.67</v>
      </c>
      <c r="AC23" s="177">
        <f t="shared" si="11"/>
        <v>2602758.713</v>
      </c>
      <c r="AD23" s="177">
        <f t="shared" si="11"/>
        <v>3681072.741</v>
      </c>
      <c r="AE23" s="177">
        <f t="shared" si="11"/>
        <v>4712244.178</v>
      </c>
      <c r="AF23" s="177">
        <f t="shared" si="11"/>
        <v>5741181.399</v>
      </c>
      <c r="AG23" s="177">
        <f t="shared" si="11"/>
        <v>6691556.964</v>
      </c>
      <c r="AH23" s="177">
        <f t="shared" si="11"/>
        <v>7196887.349</v>
      </c>
      <c r="AI23" s="177" t="str">
        <f t="shared" si="11"/>
        <v/>
      </c>
      <c r="AJ23" s="177" t="str">
        <f t="shared" si="11"/>
        <v/>
      </c>
      <c r="AK23" s="177" t="str">
        <f t="shared" si="11"/>
        <v/>
      </c>
      <c r="AL23" s="177" t="str">
        <f t="shared" si="11"/>
        <v/>
      </c>
      <c r="AM23" s="177" t="str">
        <f t="shared" si="11"/>
        <v/>
      </c>
      <c r="AN23" s="177" t="str">
        <f t="shared" si="11"/>
        <v/>
      </c>
      <c r="AO23" s="177" t="str">
        <f t="shared" si="11"/>
        <v/>
      </c>
      <c r="AP23" s="177" t="str">
        <f t="shared" si="11"/>
        <v/>
      </c>
      <c r="AQ23" s="177" t="str">
        <f t="shared" si="11"/>
        <v/>
      </c>
      <c r="AR23" s="177" t="str">
        <f t="shared" si="11"/>
        <v/>
      </c>
      <c r="AS23" s="177" t="str">
        <f t="shared" si="11"/>
        <v/>
      </c>
      <c r="AT23" s="177" t="str">
        <f t="shared" si="11"/>
        <v/>
      </c>
      <c r="AU23" s="177" t="str">
        <f t="shared" si="11"/>
        <v/>
      </c>
      <c r="AV23" s="177" t="str">
        <f t="shared" si="11"/>
        <v/>
      </c>
      <c r="AW23" s="177" t="str">
        <f t="shared" si="11"/>
        <v/>
      </c>
      <c r="AX23" s="177" t="str">
        <f t="shared" si="11"/>
        <v/>
      </c>
    </row>
    <row r="24" ht="12.75" customHeight="1" outlineLevel="1">
      <c r="A24" s="90"/>
      <c r="C24" s="87" t="s">
        <v>314</v>
      </c>
      <c r="D24" s="87"/>
      <c r="E24" s="87"/>
      <c r="F24" s="87"/>
      <c r="G24" s="87"/>
      <c r="H24" s="87"/>
      <c r="I24" s="87"/>
      <c r="J24" s="87"/>
      <c r="K24" s="87"/>
      <c r="L24" s="87"/>
      <c r="M24" s="200">
        <f t="shared" ref="M24:AX24" si="12">M233</f>
        <v>0</v>
      </c>
      <c r="N24" s="200">
        <f t="shared" si="12"/>
        <v>0</v>
      </c>
      <c r="O24" s="204">
        <f t="shared" si="12"/>
        <v>0</v>
      </c>
      <c r="P24" s="204">
        <f t="shared" si="12"/>
        <v>0</v>
      </c>
      <c r="Q24" s="204">
        <f t="shared" si="12"/>
        <v>85506.6</v>
      </c>
      <c r="R24" s="204">
        <f t="shared" si="12"/>
        <v>96148.566</v>
      </c>
      <c r="S24" s="204">
        <f t="shared" si="12"/>
        <v>275993.6706</v>
      </c>
      <c r="T24" s="204">
        <f t="shared" si="12"/>
        <v>577786.0505</v>
      </c>
      <c r="U24" s="204">
        <f t="shared" si="12"/>
        <v>1114374.9</v>
      </c>
      <c r="V24" s="204">
        <f t="shared" si="12"/>
        <v>1982697.624</v>
      </c>
      <c r="W24" s="204">
        <f t="shared" si="12"/>
        <v>3590230.605</v>
      </c>
      <c r="X24" s="204">
        <f t="shared" si="12"/>
        <v>5784590.448</v>
      </c>
      <c r="Y24" s="204">
        <f t="shared" si="12"/>
        <v>6652731.671</v>
      </c>
      <c r="Z24" s="204">
        <f t="shared" si="12"/>
        <v>8017234.228</v>
      </c>
      <c r="AA24" s="204">
        <f t="shared" si="12"/>
        <v>10170211.8</v>
      </c>
      <c r="AB24" s="204">
        <f t="shared" si="12"/>
        <v>13387173.24</v>
      </c>
      <c r="AC24" s="204">
        <f t="shared" si="12"/>
        <v>17772652.52</v>
      </c>
      <c r="AD24" s="204">
        <f t="shared" si="12"/>
        <v>24249319.04</v>
      </c>
      <c r="AE24" s="204">
        <f t="shared" si="12"/>
        <v>30008724.1</v>
      </c>
      <c r="AF24" s="204">
        <f t="shared" si="12"/>
        <v>36379311</v>
      </c>
      <c r="AG24" s="204">
        <f t="shared" si="12"/>
        <v>42614577.07</v>
      </c>
      <c r="AH24" s="204">
        <f t="shared" si="12"/>
        <v>45618286.3</v>
      </c>
      <c r="AI24" s="204">
        <f t="shared" si="12"/>
        <v>46530652.03</v>
      </c>
      <c r="AJ24" s="204">
        <f t="shared" si="12"/>
        <v>47461265.07</v>
      </c>
      <c r="AK24" s="204">
        <f t="shared" si="12"/>
        <v>48410490.37</v>
      </c>
      <c r="AL24" s="204">
        <f t="shared" si="12"/>
        <v>49378700.18</v>
      </c>
      <c r="AM24" s="204">
        <f t="shared" si="12"/>
        <v>50366274.18</v>
      </c>
      <c r="AN24" s="204">
        <f t="shared" si="12"/>
        <v>51373599.66</v>
      </c>
      <c r="AO24" s="204">
        <f t="shared" si="12"/>
        <v>52401071.66</v>
      </c>
      <c r="AP24" s="204">
        <f t="shared" si="12"/>
        <v>53449093.09</v>
      </c>
      <c r="AQ24" s="204">
        <f t="shared" si="12"/>
        <v>54518074.95</v>
      </c>
      <c r="AR24" s="204">
        <f t="shared" si="12"/>
        <v>55608436.45</v>
      </c>
      <c r="AS24" s="204">
        <f t="shared" si="12"/>
        <v>56720605.18</v>
      </c>
      <c r="AT24" s="204">
        <f t="shared" si="12"/>
        <v>57855017.28</v>
      </c>
      <c r="AU24" s="204">
        <f t="shared" si="12"/>
        <v>59012117.63</v>
      </c>
      <c r="AV24" s="204">
        <f t="shared" si="12"/>
        <v>60192359.98</v>
      </c>
      <c r="AW24" s="204">
        <f t="shared" si="12"/>
        <v>61396207.18</v>
      </c>
      <c r="AX24" s="204">
        <f t="shared" si="12"/>
        <v>62624131.33</v>
      </c>
    </row>
    <row r="25" ht="12.75" customHeight="1" outlineLevel="1">
      <c r="A25" s="90"/>
      <c r="C25" s="67" t="s">
        <v>231</v>
      </c>
      <c r="D25" s="90"/>
      <c r="E25" s="90"/>
      <c r="F25" s="90"/>
      <c r="G25" s="90"/>
      <c r="H25" s="90"/>
      <c r="I25" s="90"/>
      <c r="J25" s="90"/>
      <c r="K25" s="90"/>
      <c r="L25" s="90"/>
      <c r="M25" s="76">
        <f t="shared" ref="M25:AX25" si="13">SUM(M21:M24)</f>
        <v>0</v>
      </c>
      <c r="N25" s="76">
        <f t="shared" si="13"/>
        <v>0</v>
      </c>
      <c r="O25" s="205">
        <f t="shared" si="13"/>
        <v>0</v>
      </c>
      <c r="P25" s="205">
        <f t="shared" si="13"/>
        <v>0</v>
      </c>
      <c r="Q25" s="205">
        <f t="shared" si="13"/>
        <v>478012.8</v>
      </c>
      <c r="R25" s="205">
        <f t="shared" si="13"/>
        <v>673355.2032</v>
      </c>
      <c r="S25" s="205">
        <f t="shared" si="13"/>
        <v>1678791.791</v>
      </c>
      <c r="T25" s="205">
        <f t="shared" si="13"/>
        <v>3626222.424</v>
      </c>
      <c r="U25" s="205">
        <f t="shared" si="13"/>
        <v>7227275.88</v>
      </c>
      <c r="V25" s="205">
        <f t="shared" si="13"/>
        <v>12668587.76</v>
      </c>
      <c r="W25" s="205">
        <f t="shared" si="13"/>
        <v>22915405.15</v>
      </c>
      <c r="X25" s="205">
        <f t="shared" si="13"/>
        <v>37526830.26</v>
      </c>
      <c r="Y25" s="205">
        <f t="shared" si="13"/>
        <v>44940551.76</v>
      </c>
      <c r="Z25" s="205">
        <f t="shared" si="13"/>
        <v>52748744.63</v>
      </c>
      <c r="AA25" s="205">
        <f t="shared" si="13"/>
        <v>65132952.76</v>
      </c>
      <c r="AB25" s="205">
        <f t="shared" si="13"/>
        <v>83720842.96</v>
      </c>
      <c r="AC25" s="205">
        <f t="shared" si="13"/>
        <v>104536686.3</v>
      </c>
      <c r="AD25" s="205">
        <f t="shared" si="13"/>
        <v>139488834.2</v>
      </c>
      <c r="AE25" s="205">
        <f t="shared" si="13"/>
        <v>175944695.4</v>
      </c>
      <c r="AF25" s="205">
        <f t="shared" si="13"/>
        <v>213399817.6</v>
      </c>
      <c r="AG25" s="205">
        <f t="shared" si="13"/>
        <v>248022951.6</v>
      </c>
      <c r="AH25" s="205">
        <f t="shared" si="13"/>
        <v>266170541.3</v>
      </c>
      <c r="AI25" s="205">
        <f t="shared" si="13"/>
        <v>264153127</v>
      </c>
      <c r="AJ25" s="205">
        <f t="shared" si="13"/>
        <v>269436189.5</v>
      </c>
      <c r="AK25" s="205">
        <f t="shared" si="13"/>
        <v>274824913.3</v>
      </c>
      <c r="AL25" s="205">
        <f t="shared" si="13"/>
        <v>280321411.6</v>
      </c>
      <c r="AM25" s="205">
        <f t="shared" si="13"/>
        <v>285927839.8</v>
      </c>
      <c r="AN25" s="205">
        <f t="shared" si="13"/>
        <v>291646396.6</v>
      </c>
      <c r="AO25" s="205">
        <f t="shared" si="13"/>
        <v>297479324.5</v>
      </c>
      <c r="AP25" s="205">
        <f t="shared" si="13"/>
        <v>303428911</v>
      </c>
      <c r="AQ25" s="205">
        <f t="shared" si="13"/>
        <v>309497489.3</v>
      </c>
      <c r="AR25" s="205">
        <f t="shared" si="13"/>
        <v>315687439</v>
      </c>
      <c r="AS25" s="205">
        <f t="shared" si="13"/>
        <v>322001187.8</v>
      </c>
      <c r="AT25" s="205">
        <f t="shared" si="13"/>
        <v>328441211.6</v>
      </c>
      <c r="AU25" s="205">
        <f t="shared" si="13"/>
        <v>335010035.8</v>
      </c>
      <c r="AV25" s="205">
        <f t="shared" si="13"/>
        <v>341710236.5</v>
      </c>
      <c r="AW25" s="205">
        <f t="shared" si="13"/>
        <v>348544441.3</v>
      </c>
      <c r="AX25" s="205">
        <f t="shared" si="13"/>
        <v>355515330.1</v>
      </c>
    </row>
    <row r="26" ht="12.75" customHeight="1" outlineLevel="1">
      <c r="A26" s="90"/>
      <c r="C26" s="90"/>
      <c r="D26" s="90"/>
      <c r="E26" s="90"/>
      <c r="F26" s="90"/>
      <c r="G26" s="90"/>
      <c r="H26" s="90"/>
      <c r="I26" s="90"/>
      <c r="J26" s="90"/>
      <c r="K26" s="90"/>
      <c r="L26" s="90"/>
      <c r="M26" s="90"/>
      <c r="N26" s="90"/>
      <c r="O26" s="72"/>
      <c r="P26" s="72"/>
      <c r="Q26" s="72"/>
      <c r="R26" s="72"/>
      <c r="S26" s="72"/>
      <c r="T26" s="72"/>
      <c r="U26" s="72"/>
      <c r="V26" s="72"/>
      <c r="W26" s="72"/>
      <c r="X26" s="72"/>
      <c r="Y26" s="72"/>
      <c r="Z26" s="72"/>
      <c r="AA26" s="72"/>
      <c r="AB26" s="72"/>
      <c r="AC26" s="267"/>
      <c r="AD26" s="72"/>
      <c r="AE26" s="72"/>
      <c r="AF26" s="72"/>
      <c r="AG26" s="72"/>
      <c r="AH26" s="72"/>
      <c r="AI26" s="72"/>
      <c r="AJ26" s="72"/>
      <c r="AK26" s="72"/>
      <c r="AL26" s="72"/>
      <c r="AM26" s="72"/>
      <c r="AN26" s="72"/>
      <c r="AO26" s="72"/>
      <c r="AP26" s="72"/>
      <c r="AQ26" s="72"/>
      <c r="AR26" s="72"/>
      <c r="AS26" s="72"/>
      <c r="AT26" s="72"/>
      <c r="AU26" s="72"/>
      <c r="AV26" s="72"/>
      <c r="AW26" s="72"/>
      <c r="AX26" s="72"/>
    </row>
    <row r="27" ht="12.75" customHeight="1" outlineLevel="1">
      <c r="A27" s="90"/>
      <c r="C27" s="67" t="s">
        <v>194</v>
      </c>
      <c r="D27" s="90"/>
      <c r="E27" s="90"/>
      <c r="F27" s="90"/>
      <c r="G27" s="90"/>
      <c r="H27" s="90"/>
      <c r="I27" s="90"/>
      <c r="J27" s="90"/>
      <c r="K27" s="90"/>
      <c r="L27" s="90"/>
      <c r="M27" s="142">
        <f t="shared" ref="M27:AX27" si="14">M18-M25</f>
        <v>0</v>
      </c>
      <c r="N27" s="142">
        <f t="shared" si="14"/>
        <v>0</v>
      </c>
      <c r="O27" s="115">
        <f t="shared" si="14"/>
        <v>0.4052</v>
      </c>
      <c r="P27" s="115">
        <f t="shared" si="14"/>
        <v>1000000.371</v>
      </c>
      <c r="Q27" s="115">
        <f t="shared" si="14"/>
        <v>-471830.8476</v>
      </c>
      <c r="R27" s="115">
        <f t="shared" si="14"/>
        <v>2753908.62</v>
      </c>
      <c r="S27" s="115">
        <f t="shared" si="14"/>
        <v>1973865.102</v>
      </c>
      <c r="T27" s="115">
        <f t="shared" si="14"/>
        <v>-2805392.483</v>
      </c>
      <c r="U27" s="115">
        <f t="shared" si="14"/>
        <v>-5941481.883</v>
      </c>
      <c r="V27" s="115">
        <f t="shared" si="14"/>
        <v>-9730819.658</v>
      </c>
      <c r="W27" s="115">
        <f t="shared" si="14"/>
        <v>-16984266.99</v>
      </c>
      <c r="X27" s="115">
        <f t="shared" si="14"/>
        <v>-25555938.31</v>
      </c>
      <c r="Y27" s="115">
        <f t="shared" si="14"/>
        <v>-23045859.41</v>
      </c>
      <c r="Z27" s="115">
        <f t="shared" si="14"/>
        <v>-18215712.31</v>
      </c>
      <c r="AA27" s="115">
        <f t="shared" si="14"/>
        <v>-8637416.016</v>
      </c>
      <c r="AB27" s="115">
        <f t="shared" si="14"/>
        <v>2837608.699</v>
      </c>
      <c r="AC27" s="115">
        <f t="shared" si="14"/>
        <v>20926719.29</v>
      </c>
      <c r="AD27" s="115">
        <f t="shared" si="14"/>
        <v>29450684.5</v>
      </c>
      <c r="AE27" s="115">
        <f t="shared" si="14"/>
        <v>44596942.37</v>
      </c>
      <c r="AF27" s="115">
        <f t="shared" si="14"/>
        <v>63079317.24</v>
      </c>
      <c r="AG27" s="115">
        <f t="shared" si="14"/>
        <v>84070292.11</v>
      </c>
      <c r="AH27" s="115">
        <f t="shared" si="14"/>
        <v>107030116.4</v>
      </c>
      <c r="AI27" s="115">
        <f t="shared" si="14"/>
        <v>108807164.7</v>
      </c>
      <c r="AJ27" s="115">
        <f t="shared" si="14"/>
        <v>95873538.32</v>
      </c>
      <c r="AK27" s="115">
        <f t="shared" si="14"/>
        <v>84164736.74</v>
      </c>
      <c r="AL27" s="115">
        <f t="shared" si="14"/>
        <v>83760872.2</v>
      </c>
      <c r="AM27" s="115">
        <f t="shared" si="14"/>
        <v>85108151.95</v>
      </c>
      <c r="AN27" s="115">
        <f t="shared" si="14"/>
        <v>86596149.5</v>
      </c>
      <c r="AO27" s="115">
        <f t="shared" si="14"/>
        <v>88225816.9</v>
      </c>
      <c r="AP27" s="115">
        <f t="shared" si="14"/>
        <v>89979048.72</v>
      </c>
      <c r="AQ27" s="115" t="str">
        <f t="shared" si="14"/>
        <v>#REF!</v>
      </c>
      <c r="AR27" s="115" t="str">
        <f t="shared" si="14"/>
        <v>#REF!</v>
      </c>
      <c r="AS27" s="115" t="str">
        <f t="shared" si="14"/>
        <v>#REF!</v>
      </c>
      <c r="AT27" s="115" t="str">
        <f t="shared" si="14"/>
        <v>#REF!</v>
      </c>
      <c r="AU27" s="115" t="str">
        <f t="shared" si="14"/>
        <v>#REF!</v>
      </c>
      <c r="AV27" s="115" t="str">
        <f t="shared" si="14"/>
        <v>#REF!</v>
      </c>
      <c r="AW27" s="115" t="str">
        <f t="shared" si="14"/>
        <v>#REF!</v>
      </c>
      <c r="AX27" s="115" t="str">
        <f t="shared" si="14"/>
        <v>#REF!</v>
      </c>
    </row>
    <row r="28" ht="12.75" customHeight="1" outlineLevel="1">
      <c r="A28" s="90"/>
      <c r="C28" s="90"/>
      <c r="D28" s="67" t="s">
        <v>195</v>
      </c>
      <c r="E28" s="90"/>
      <c r="F28" s="90"/>
      <c r="G28" s="90"/>
      <c r="H28" s="90"/>
      <c r="I28" s="90"/>
      <c r="J28" s="90"/>
      <c r="K28" s="90"/>
      <c r="L28" s="90"/>
      <c r="M28" s="208">
        <f t="shared" ref="M28:AX28" si="15">M27+L28</f>
        <v>0</v>
      </c>
      <c r="N28" s="208">
        <f t="shared" si="15"/>
        <v>0</v>
      </c>
      <c r="O28" s="115">
        <f t="shared" si="15"/>
        <v>0.4052</v>
      </c>
      <c r="P28" s="115">
        <f t="shared" si="15"/>
        <v>1000000.776</v>
      </c>
      <c r="Q28" s="115">
        <f t="shared" si="15"/>
        <v>528169.9284</v>
      </c>
      <c r="R28" s="115">
        <f t="shared" si="15"/>
        <v>3282078.549</v>
      </c>
      <c r="S28" s="115">
        <f t="shared" si="15"/>
        <v>5255943.65</v>
      </c>
      <c r="T28" s="115">
        <f t="shared" si="15"/>
        <v>2450551.168</v>
      </c>
      <c r="U28" s="115">
        <f t="shared" si="15"/>
        <v>-3490930.715</v>
      </c>
      <c r="V28" s="115">
        <f t="shared" si="15"/>
        <v>-13221750.37</v>
      </c>
      <c r="W28" s="115">
        <f t="shared" si="15"/>
        <v>-30206017.36</v>
      </c>
      <c r="X28" s="115">
        <f t="shared" si="15"/>
        <v>-55761955.67</v>
      </c>
      <c r="Y28" s="115">
        <f t="shared" si="15"/>
        <v>-78807815.08</v>
      </c>
      <c r="Z28" s="115">
        <f t="shared" si="15"/>
        <v>-97023527.4</v>
      </c>
      <c r="AA28" s="115">
        <f t="shared" si="15"/>
        <v>-105660943.4</v>
      </c>
      <c r="AB28" s="115">
        <f t="shared" si="15"/>
        <v>-102823334.7</v>
      </c>
      <c r="AC28" s="115">
        <f t="shared" si="15"/>
        <v>-81896615.42</v>
      </c>
      <c r="AD28" s="115">
        <f t="shared" si="15"/>
        <v>-52445930.92</v>
      </c>
      <c r="AE28" s="115">
        <f t="shared" si="15"/>
        <v>-7848988.553</v>
      </c>
      <c r="AF28" s="115">
        <f t="shared" si="15"/>
        <v>55230328.69</v>
      </c>
      <c r="AG28" s="115">
        <f t="shared" si="15"/>
        <v>139300620.8</v>
      </c>
      <c r="AH28" s="115">
        <f t="shared" si="15"/>
        <v>246330737.3</v>
      </c>
      <c r="AI28" s="115">
        <f t="shared" si="15"/>
        <v>355137901.9</v>
      </c>
      <c r="AJ28" s="115">
        <f t="shared" si="15"/>
        <v>451011440.2</v>
      </c>
      <c r="AK28" s="115">
        <f t="shared" si="15"/>
        <v>535176177</v>
      </c>
      <c r="AL28" s="115">
        <f t="shared" si="15"/>
        <v>618937049.2</v>
      </c>
      <c r="AM28" s="115">
        <f t="shared" si="15"/>
        <v>704045201.1</v>
      </c>
      <c r="AN28" s="115">
        <f t="shared" si="15"/>
        <v>790641350.6</v>
      </c>
      <c r="AO28" s="115">
        <f t="shared" si="15"/>
        <v>878867167.5</v>
      </c>
      <c r="AP28" s="115">
        <f t="shared" si="15"/>
        <v>968846216.2</v>
      </c>
      <c r="AQ28" s="115" t="str">
        <f t="shared" si="15"/>
        <v>#REF!</v>
      </c>
      <c r="AR28" s="115" t="str">
        <f t="shared" si="15"/>
        <v>#REF!</v>
      </c>
      <c r="AS28" s="115" t="str">
        <f t="shared" si="15"/>
        <v>#REF!</v>
      </c>
      <c r="AT28" s="115" t="str">
        <f t="shared" si="15"/>
        <v>#REF!</v>
      </c>
      <c r="AU28" s="115" t="str">
        <f t="shared" si="15"/>
        <v>#REF!</v>
      </c>
      <c r="AV28" s="115" t="str">
        <f t="shared" si="15"/>
        <v>#REF!</v>
      </c>
      <c r="AW28" s="115" t="str">
        <f t="shared" si="15"/>
        <v>#REF!</v>
      </c>
      <c r="AX28" s="115" t="str">
        <f t="shared" si="15"/>
        <v>#REF!</v>
      </c>
    </row>
    <row r="29" ht="12.75" customHeight="1">
      <c r="A29" s="90"/>
      <c r="C29" s="90"/>
      <c r="D29" s="67" t="s">
        <v>196</v>
      </c>
      <c r="E29" s="90"/>
      <c r="F29" s="90"/>
      <c r="G29" s="90"/>
      <c r="H29" s="90"/>
      <c r="I29" s="90"/>
      <c r="J29" s="90"/>
      <c r="K29" s="90"/>
      <c r="L29" s="90"/>
      <c r="M29" s="208">
        <f t="shared" ref="M29:AX29" si="16">M275</f>
        <v>0</v>
      </c>
      <c r="N29" s="208">
        <f t="shared" si="16"/>
        <v>0</v>
      </c>
      <c r="O29" s="115">
        <f t="shared" si="16"/>
        <v>0.38494</v>
      </c>
      <c r="P29" s="115">
        <f t="shared" si="16"/>
        <v>950000.7575</v>
      </c>
      <c r="Q29" s="115">
        <f t="shared" si="16"/>
        <v>551761.4708</v>
      </c>
      <c r="R29" s="115">
        <f t="shared" si="16"/>
        <v>3144383.118</v>
      </c>
      <c r="S29" s="115">
        <f t="shared" si="16"/>
        <v>5157250.395</v>
      </c>
      <c r="T29" s="115">
        <f t="shared" si="16"/>
        <v>2590820.792</v>
      </c>
      <c r="U29" s="115">
        <f t="shared" si="16"/>
        <v>-3193856.621</v>
      </c>
      <c r="V29" s="115">
        <f t="shared" si="16"/>
        <v>-12735209.39</v>
      </c>
      <c r="W29" s="115">
        <f t="shared" si="16"/>
        <v>-29356804.01</v>
      </c>
      <c r="X29" s="115">
        <f t="shared" si="16"/>
        <v>-54484158.76</v>
      </c>
      <c r="Y29" s="115">
        <f t="shared" si="16"/>
        <v>-77655522.11</v>
      </c>
      <c r="Z29" s="115">
        <f t="shared" si="16"/>
        <v>-96112741.78</v>
      </c>
      <c r="AA29" s="115">
        <f t="shared" si="16"/>
        <v>-105229072.6</v>
      </c>
      <c r="AB29" s="115">
        <f t="shared" si="16"/>
        <v>-102965215.1</v>
      </c>
      <c r="AC29" s="115">
        <f t="shared" si="16"/>
        <v>-82942951.39</v>
      </c>
      <c r="AD29" s="115">
        <f t="shared" si="16"/>
        <v>-53918465.15</v>
      </c>
      <c r="AE29" s="115">
        <f t="shared" si="16"/>
        <v>-10078835.67</v>
      </c>
      <c r="AF29" s="115">
        <f t="shared" si="16"/>
        <v>52076362.83</v>
      </c>
      <c r="AG29" s="115">
        <f t="shared" si="16"/>
        <v>135097106.2</v>
      </c>
      <c r="AH29" s="115">
        <f t="shared" si="16"/>
        <v>240979231.4</v>
      </c>
      <c r="AI29" s="115">
        <f t="shared" si="16"/>
        <v>349697543.7</v>
      </c>
      <c r="AJ29" s="115">
        <f t="shared" si="16"/>
        <v>446217763.3</v>
      </c>
      <c r="AK29" s="115">
        <f t="shared" si="16"/>
        <v>530967940.1</v>
      </c>
      <c r="AL29" s="115">
        <f t="shared" si="16"/>
        <v>614749005.6</v>
      </c>
      <c r="AM29" s="115">
        <f t="shared" si="16"/>
        <v>699789793.5</v>
      </c>
      <c r="AN29" s="115">
        <f t="shared" si="16"/>
        <v>786311543.2</v>
      </c>
      <c r="AO29" s="115">
        <f t="shared" si="16"/>
        <v>874455876.7</v>
      </c>
      <c r="AP29" s="115">
        <f t="shared" si="16"/>
        <v>964347263.8</v>
      </c>
      <c r="AQ29" s="115" t="str">
        <f t="shared" si="16"/>
        <v>#REF!</v>
      </c>
      <c r="AR29" s="115" t="str">
        <f t="shared" si="16"/>
        <v>#REF!</v>
      </c>
      <c r="AS29" s="115" t="str">
        <f t="shared" si="16"/>
        <v>#REF!</v>
      </c>
      <c r="AT29" s="115" t="str">
        <f t="shared" si="16"/>
        <v>#REF!</v>
      </c>
      <c r="AU29" s="115" t="str">
        <f t="shared" si="16"/>
        <v>#REF!</v>
      </c>
      <c r="AV29" s="115" t="str">
        <f t="shared" si="16"/>
        <v>#REF!</v>
      </c>
      <c r="AW29" s="115" t="str">
        <f t="shared" si="16"/>
        <v>#REF!</v>
      </c>
      <c r="AX29" s="115" t="str">
        <f t="shared" si="16"/>
        <v>#REF!</v>
      </c>
    </row>
    <row r="30" ht="12.75" customHeight="1">
      <c r="A30" s="90"/>
      <c r="C30" s="90"/>
      <c r="D30" s="67"/>
      <c r="E30" s="90"/>
      <c r="F30" s="90"/>
      <c r="G30" s="90"/>
      <c r="H30" s="90"/>
      <c r="I30" s="90"/>
      <c r="J30" s="90"/>
      <c r="K30" s="90"/>
      <c r="L30" s="90"/>
      <c r="M30" s="90"/>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row>
    <row r="31" ht="12.75" customHeight="1">
      <c r="A31" s="106" t="s">
        <v>511</v>
      </c>
      <c r="B31" s="106"/>
      <c r="C31" s="106"/>
      <c r="D31" s="106"/>
      <c r="E31" s="106"/>
      <c r="F31" s="106"/>
      <c r="G31" s="106"/>
      <c r="H31" s="106"/>
      <c r="I31" s="174"/>
      <c r="J31" s="174"/>
      <c r="K31" s="106"/>
      <c r="L31" s="175"/>
      <c r="M31" s="175"/>
      <c r="N31" s="175"/>
      <c r="O31" s="175"/>
      <c r="P31" s="175"/>
      <c r="Q31" s="175"/>
      <c r="R31" s="175"/>
      <c r="S31" s="175"/>
      <c r="T31" s="175"/>
      <c r="U31" s="175"/>
      <c r="V31" s="175"/>
      <c r="W31" s="175"/>
      <c r="X31" s="175"/>
      <c r="Y31" s="175"/>
      <c r="Z31" s="175"/>
      <c r="AA31" s="175"/>
      <c r="AB31" s="175"/>
      <c r="AC31" s="175"/>
      <c r="AD31" s="175"/>
      <c r="AE31" s="175"/>
      <c r="AF31" s="175"/>
      <c r="AG31" s="175"/>
      <c r="AH31" s="175"/>
      <c r="AI31" s="175"/>
      <c r="AJ31" s="175"/>
      <c r="AK31" s="175"/>
      <c r="AL31" s="175"/>
      <c r="AM31" s="175"/>
      <c r="AN31" s="175"/>
      <c r="AO31" s="175"/>
      <c r="AP31" s="175"/>
      <c r="AQ31" s="175"/>
      <c r="AR31" s="175"/>
      <c r="AS31" s="175"/>
      <c r="AT31" s="175"/>
      <c r="AU31" s="175"/>
      <c r="AV31" s="175"/>
      <c r="AW31" s="175"/>
      <c r="AX31" s="175"/>
    </row>
    <row r="32" ht="12.75" hidden="1" customHeight="1" outlineLevel="1">
      <c r="A32" s="90"/>
      <c r="B32" s="67" t="s">
        <v>512</v>
      </c>
      <c r="C32" s="90"/>
      <c r="D32" s="90"/>
      <c r="F32" s="90"/>
      <c r="G32" s="90"/>
      <c r="H32" s="90"/>
      <c r="I32" s="90"/>
      <c r="J32" s="90"/>
      <c r="K32" s="90"/>
      <c r="L32" s="90"/>
      <c r="M32" s="90"/>
      <c r="N32" s="65"/>
      <c r="O32" s="65"/>
      <c r="P32" s="65"/>
      <c r="Q32" s="65"/>
      <c r="R32" s="65"/>
      <c r="S32" s="65"/>
      <c r="T32" s="65"/>
      <c r="U32" s="65"/>
      <c r="V32" s="65"/>
      <c r="W32" s="65"/>
      <c r="X32" s="65"/>
      <c r="Y32" s="65"/>
      <c r="Z32" s="65"/>
      <c r="AA32" s="65"/>
      <c r="AB32" s="65"/>
      <c r="AC32" s="65"/>
      <c r="AD32" s="65"/>
      <c r="AE32" s="65"/>
      <c r="AF32" s="65"/>
      <c r="AG32" s="65"/>
      <c r="AH32" s="65"/>
      <c r="AI32" s="65"/>
      <c r="AJ32" s="65"/>
      <c r="AK32" s="65"/>
      <c r="AL32" s="65"/>
      <c r="AM32" s="65"/>
      <c r="AN32" s="65"/>
      <c r="AO32" s="65"/>
      <c r="AP32" s="65"/>
      <c r="AQ32" s="65"/>
      <c r="AR32" s="65"/>
      <c r="AS32" s="65"/>
      <c r="AT32" s="65"/>
      <c r="AU32" s="65"/>
      <c r="AV32" s="65"/>
      <c r="AW32" s="65"/>
      <c r="AX32" s="65"/>
    </row>
    <row r="33" ht="12.75" hidden="1" customHeight="1" outlineLevel="1">
      <c r="A33" s="90"/>
      <c r="B33" s="67"/>
      <c r="C33" s="90" t="s">
        <v>513</v>
      </c>
      <c r="D33" s="90"/>
      <c r="F33" s="90"/>
      <c r="G33" s="90"/>
      <c r="H33" s="90"/>
      <c r="I33" s="90"/>
      <c r="J33" s="90"/>
      <c r="K33" s="90"/>
      <c r="L33" s="90"/>
      <c r="M33" s="90"/>
      <c r="N33" s="65"/>
      <c r="O33" s="65">
        <f>'All Schools Roll-up'!M38</f>
        <v>313920.6061</v>
      </c>
      <c r="P33" s="65">
        <f>'All Schools Roll-up'!N38</f>
        <v>503040.4415</v>
      </c>
      <c r="Q33" s="65">
        <f>'All Schools Roll-up'!O38</f>
        <v>844647.7014</v>
      </c>
      <c r="R33" s="65">
        <f>'All Schools Roll-up'!P38</f>
        <v>1524000.788</v>
      </c>
      <c r="S33" s="65">
        <f>'All Schools Roll-up'!Q38</f>
        <v>2654447.819</v>
      </c>
      <c r="T33" s="65">
        <f>'All Schools Roll-up'!R38</f>
        <v>4505469.061</v>
      </c>
      <c r="U33" s="65">
        <f>'All Schools Roll-up'!S38</f>
        <v>7629306.075</v>
      </c>
      <c r="V33" s="65">
        <f>'All Schools Roll-up'!T38</f>
        <v>12440636.27</v>
      </c>
      <c r="W33" s="65">
        <f>'All Schools Roll-up'!U38</f>
        <v>18828841.08</v>
      </c>
      <c r="X33" s="65">
        <f>'All Schools Roll-up'!V38</f>
        <v>25378361.36</v>
      </c>
      <c r="Y33" s="65">
        <f>'All Schools Roll-up'!W38</f>
        <v>34818168.94</v>
      </c>
      <c r="Z33" s="65">
        <f>'All Schools Roll-up'!X38</f>
        <v>46734031.78</v>
      </c>
      <c r="AA33" s="65">
        <f>'All Schools Roll-up'!Y38</f>
        <v>68717803.88</v>
      </c>
      <c r="AB33" s="65">
        <f>'All Schools Roll-up'!Z38</f>
        <v>99006526.06</v>
      </c>
      <c r="AC33" s="65">
        <f>'All Schools Roll-up'!AA38</f>
        <v>138146365.1</v>
      </c>
      <c r="AD33" s="65">
        <f>'All Schools Roll-up'!AB38</f>
        <v>181868046.4</v>
      </c>
      <c r="AE33" s="65">
        <f>'All Schools Roll-up'!AC38</f>
        <v>233727357.9</v>
      </c>
      <c r="AF33" s="65">
        <f>'All Schools Roll-up'!AD38</f>
        <v>289928567.2</v>
      </c>
      <c r="AG33" s="65">
        <f>'All Schools Roll-up'!AE38</f>
        <v>345811662.3</v>
      </c>
      <c r="AH33" s="65">
        <f>'All Schools Roll-up'!AF38</f>
        <v>387193442</v>
      </c>
      <c r="AI33" s="65">
        <f>'All Schools Roll-up'!AG38</f>
        <v>387232929.6</v>
      </c>
      <c r="AJ33" s="65">
        <f>'All Schools Roll-up'!AH38</f>
        <v>379867816</v>
      </c>
      <c r="AK33" s="65">
        <f>'All Schools Roll-up'!AI38</f>
        <v>373838897.9</v>
      </c>
      <c r="AL33" s="65">
        <f>'All Schools Roll-up'!AJ38</f>
        <v>379228513.7</v>
      </c>
      <c r="AM33" s="65">
        <f>'All Schools Roll-up'!AK38</f>
        <v>386485143.5</v>
      </c>
      <c r="AN33" s="65">
        <f>'All Schools Roll-up'!AL38</f>
        <v>394000679</v>
      </c>
      <c r="AO33" s="65">
        <f>'All Schools Roll-up'!AM38</f>
        <v>401778434.7</v>
      </c>
      <c r="AP33" s="65">
        <f>'All Schools Roll-up'!AN38</f>
        <v>409802716.1</v>
      </c>
      <c r="AQ33" s="65" t="str">
        <f>'All Schools Roll-up'!AO38</f>
        <v>#REF!</v>
      </c>
      <c r="AR33" s="65" t="str">
        <f>'All Schools Roll-up'!AP38</f>
        <v>#REF!</v>
      </c>
      <c r="AS33" s="65" t="str">
        <f>'All Schools Roll-up'!AQ38</f>
        <v>#REF!</v>
      </c>
      <c r="AT33" s="65" t="str">
        <f>'All Schools Roll-up'!AR38</f>
        <v>#REF!</v>
      </c>
      <c r="AU33" s="65" t="str">
        <f>'All Schools Roll-up'!AS38</f>
        <v>#REF!</v>
      </c>
      <c r="AV33" s="65" t="str">
        <f>'All Schools Roll-up'!AT38</f>
        <v>#REF!</v>
      </c>
      <c r="AW33" s="65" t="str">
        <f>'All Schools Roll-up'!AU38</f>
        <v>#REF!</v>
      </c>
      <c r="AX33" s="65" t="str">
        <f>'All Schools Roll-up'!AV38</f>
        <v>#REF!</v>
      </c>
    </row>
    <row r="34" ht="12.75" hidden="1" customHeight="1" outlineLevel="1">
      <c r="A34" s="90"/>
      <c r="C34" s="90" t="s">
        <v>514</v>
      </c>
      <c r="D34" s="90"/>
      <c r="F34" s="90"/>
      <c r="G34" s="90"/>
      <c r="H34" s="90"/>
      <c r="I34" s="90"/>
      <c r="J34" s="90"/>
      <c r="K34" s="90"/>
      <c r="L34" s="90"/>
      <c r="M34" s="76"/>
      <c r="N34" s="76"/>
      <c r="O34" s="65">
        <f>'RSED National'!M74</f>
        <v>313920.2009</v>
      </c>
      <c r="P34" s="65">
        <f>'RSED National'!N74</f>
        <v>503040.0706</v>
      </c>
      <c r="Q34" s="65">
        <f>'RSED National'!O74</f>
        <v>838465.749</v>
      </c>
      <c r="R34" s="65">
        <f>'RSED National'!P74</f>
        <v>1396736.964</v>
      </c>
      <c r="S34" s="65">
        <f>'RSED National'!Q74</f>
        <v>2501790.926</v>
      </c>
      <c r="T34" s="65">
        <f>'RSED National'!R74</f>
        <v>3934639.12</v>
      </c>
      <c r="U34" s="65">
        <f>'RSED National'!S74</f>
        <v>6343512.078</v>
      </c>
      <c r="V34" s="65">
        <f>'RSED National'!T74</f>
        <v>9502868.167</v>
      </c>
      <c r="W34" s="65">
        <f>'RSED National'!U74</f>
        <v>12897702.92</v>
      </c>
      <c r="X34" s="65">
        <f>'RSED National'!V74</f>
        <v>13407469.41</v>
      </c>
      <c r="Y34" s="65">
        <f>'RSED National'!W74</f>
        <v>12923476.6</v>
      </c>
      <c r="Z34" s="65">
        <f>'RSED National'!X74</f>
        <v>12200999.46</v>
      </c>
      <c r="AA34" s="65">
        <f>'RSED National'!Y74</f>
        <v>12222267.14</v>
      </c>
      <c r="AB34" s="65">
        <f>'RSED National'!Z74</f>
        <v>12448074.39</v>
      </c>
      <c r="AC34" s="65">
        <f>'RSED National'!AA74</f>
        <v>12682959.52</v>
      </c>
      <c r="AD34" s="65">
        <f>'RSED National'!AB74</f>
        <v>12928527.66</v>
      </c>
      <c r="AE34" s="65">
        <f>'RSED National'!AC74</f>
        <v>13185720.05</v>
      </c>
      <c r="AF34" s="65">
        <f>'RSED National'!AD74</f>
        <v>13449432.29</v>
      </c>
      <c r="AG34" s="65">
        <f>'RSED National'!AE74</f>
        <v>13718418.56</v>
      </c>
      <c r="AH34" s="65">
        <f>'RSED National'!AF74</f>
        <v>13992784.27</v>
      </c>
      <c r="AI34" s="65">
        <f>'RSED National'!AG74</f>
        <v>14272637.94</v>
      </c>
      <c r="AJ34" s="65">
        <f>'RSED National'!AH74</f>
        <v>14558088.2</v>
      </c>
      <c r="AK34" s="65">
        <f>'RSED National'!AI74</f>
        <v>14849247.86</v>
      </c>
      <c r="AL34" s="65">
        <f>'RSED National'!AJ74</f>
        <v>15146229.96</v>
      </c>
      <c r="AM34" s="65">
        <f>'RSED National'!AK74</f>
        <v>15449151.78</v>
      </c>
      <c r="AN34" s="65">
        <f>'RSED National'!AL74</f>
        <v>15758132.91</v>
      </c>
      <c r="AO34" s="65">
        <f>'RSED National'!AM74</f>
        <v>16073293.31</v>
      </c>
      <c r="AP34" s="65">
        <f>'RSED National'!AN74</f>
        <v>16394756.32</v>
      </c>
      <c r="AQ34" s="65">
        <f>'RSED National'!AO74</f>
        <v>16722649.72</v>
      </c>
      <c r="AR34" s="65">
        <f>'RSED National'!AP74</f>
        <v>17057099.82</v>
      </c>
      <c r="AS34" s="65" t="str">
        <f>'RSED National'!AQ74</f>
        <v/>
      </c>
      <c r="AT34" s="65" t="str">
        <f>'RSED National'!AR74</f>
        <v/>
      </c>
      <c r="AU34" s="65" t="str">
        <f>'RSED National'!AS74</f>
        <v/>
      </c>
      <c r="AV34" s="65" t="str">
        <f>'RSED National'!AT74</f>
        <v/>
      </c>
      <c r="AW34" s="65" t="str">
        <f>'RSED National'!AU74</f>
        <v/>
      </c>
      <c r="AX34" s="65" t="str">
        <f>'RSED National'!AV74</f>
        <v/>
      </c>
    </row>
    <row r="35" ht="12.75" hidden="1" customHeight="1" outlineLevel="1">
      <c r="A35" s="90"/>
      <c r="C35" s="67" t="s">
        <v>239</v>
      </c>
      <c r="D35" s="90"/>
      <c r="F35" s="90"/>
      <c r="G35" s="90"/>
      <c r="H35" s="90"/>
      <c r="I35" s="90"/>
      <c r="J35" s="90"/>
      <c r="K35" s="90"/>
      <c r="L35" s="90"/>
      <c r="M35" s="76"/>
      <c r="N35" s="76"/>
      <c r="O35" s="76">
        <f t="shared" ref="O35:AX35" si="17">O33-O34</f>
        <v>0.4052</v>
      </c>
      <c r="P35" s="76">
        <f t="shared" si="17"/>
        <v>0.3708255999</v>
      </c>
      <c r="Q35" s="76">
        <f t="shared" si="17"/>
        <v>6181.952418</v>
      </c>
      <c r="R35" s="76">
        <f t="shared" si="17"/>
        <v>127263.8236</v>
      </c>
      <c r="S35" s="76">
        <f t="shared" si="17"/>
        <v>152656.8929</v>
      </c>
      <c r="T35" s="76">
        <f t="shared" si="17"/>
        <v>570829.9413</v>
      </c>
      <c r="U35" s="76">
        <f t="shared" si="17"/>
        <v>1285793.997</v>
      </c>
      <c r="V35" s="76">
        <f t="shared" si="17"/>
        <v>2937768.104</v>
      </c>
      <c r="W35" s="76">
        <f t="shared" si="17"/>
        <v>5931138.156</v>
      </c>
      <c r="X35" s="76">
        <f t="shared" si="17"/>
        <v>11970891.95</v>
      </c>
      <c r="Y35" s="76">
        <f t="shared" si="17"/>
        <v>21894692.35</v>
      </c>
      <c r="Z35" s="76">
        <f t="shared" si="17"/>
        <v>34533032.32</v>
      </c>
      <c r="AA35" s="76">
        <f t="shared" si="17"/>
        <v>56495536.74</v>
      </c>
      <c r="AB35" s="76">
        <f t="shared" si="17"/>
        <v>86558451.66</v>
      </c>
      <c r="AC35" s="76">
        <f t="shared" si="17"/>
        <v>125463405.6</v>
      </c>
      <c r="AD35" s="76">
        <f t="shared" si="17"/>
        <v>168939518.7</v>
      </c>
      <c r="AE35" s="76">
        <f t="shared" si="17"/>
        <v>220541637.8</v>
      </c>
      <c r="AF35" s="76">
        <f t="shared" si="17"/>
        <v>276479134.9</v>
      </c>
      <c r="AG35" s="76">
        <f t="shared" si="17"/>
        <v>332093243.8</v>
      </c>
      <c r="AH35" s="76">
        <f t="shared" si="17"/>
        <v>373200657.7</v>
      </c>
      <c r="AI35" s="76">
        <f t="shared" si="17"/>
        <v>372960291.7</v>
      </c>
      <c r="AJ35" s="76">
        <f t="shared" si="17"/>
        <v>365309727.8</v>
      </c>
      <c r="AK35" s="76">
        <f t="shared" si="17"/>
        <v>358989650.1</v>
      </c>
      <c r="AL35" s="76">
        <f t="shared" si="17"/>
        <v>364082283.8</v>
      </c>
      <c r="AM35" s="76">
        <f t="shared" si="17"/>
        <v>371035991.8</v>
      </c>
      <c r="AN35" s="76">
        <f t="shared" si="17"/>
        <v>378242546.1</v>
      </c>
      <c r="AO35" s="76">
        <f t="shared" si="17"/>
        <v>385705141.4</v>
      </c>
      <c r="AP35" s="76">
        <f t="shared" si="17"/>
        <v>393407959.8</v>
      </c>
      <c r="AQ35" s="76" t="str">
        <f t="shared" si="17"/>
        <v>#REF!</v>
      </c>
      <c r="AR35" s="76" t="str">
        <f t="shared" si="17"/>
        <v>#REF!</v>
      </c>
      <c r="AS35" s="76" t="str">
        <f t="shared" si="17"/>
        <v>#REF!</v>
      </c>
      <c r="AT35" s="76" t="str">
        <f t="shared" si="17"/>
        <v>#REF!</v>
      </c>
      <c r="AU35" s="76" t="str">
        <f t="shared" si="17"/>
        <v>#REF!</v>
      </c>
      <c r="AV35" s="76" t="str">
        <f t="shared" si="17"/>
        <v>#REF!</v>
      </c>
      <c r="AW35" s="76" t="str">
        <f t="shared" si="17"/>
        <v>#REF!</v>
      </c>
      <c r="AX35" s="76" t="str">
        <f t="shared" si="17"/>
        <v>#REF!</v>
      </c>
    </row>
    <row r="36" ht="12.75" hidden="1" customHeight="1" outlineLevel="1">
      <c r="A36" s="90"/>
      <c r="B36" s="67"/>
      <c r="C36" s="90"/>
      <c r="D36" s="90"/>
      <c r="E36" s="67"/>
      <c r="F36" s="90"/>
      <c r="G36" s="90"/>
      <c r="H36" s="90"/>
      <c r="I36" s="90"/>
      <c r="J36" s="90"/>
      <c r="K36" s="90"/>
      <c r="L36" s="90"/>
      <c r="M36" s="90"/>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row>
    <row r="37" ht="12.75" hidden="1" customHeight="1" outlineLevel="1">
      <c r="A37" s="90"/>
      <c r="C37" s="90"/>
      <c r="D37" s="90"/>
      <c r="E37" s="90"/>
      <c r="F37" s="90"/>
      <c r="G37" s="90"/>
      <c r="H37" s="90"/>
      <c r="I37" s="90"/>
      <c r="J37" s="90"/>
      <c r="K37" s="90"/>
      <c r="L37" s="90"/>
      <c r="M37" s="90"/>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row>
    <row r="38" ht="12.75" hidden="1" customHeight="1" outlineLevel="1">
      <c r="A38" s="90"/>
      <c r="B38" s="67"/>
      <c r="C38" s="67" t="s">
        <v>0</v>
      </c>
      <c r="D38" s="90"/>
      <c r="E38" s="67"/>
      <c r="F38" s="90"/>
      <c r="G38" s="90"/>
      <c r="H38" s="90"/>
      <c r="I38" s="90"/>
      <c r="J38" s="90"/>
      <c r="K38" s="90"/>
      <c r="L38" s="90"/>
      <c r="M38" s="90"/>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row>
    <row r="39" ht="12.75" hidden="1" customHeight="1" outlineLevel="1">
      <c r="A39" s="90"/>
      <c r="C39" s="90" t="s">
        <v>515</v>
      </c>
      <c r="D39" s="90">
        <v>-1.0</v>
      </c>
      <c r="E39" s="113"/>
      <c r="F39" s="90"/>
      <c r="G39" s="90"/>
      <c r="H39" s="90"/>
      <c r="I39" s="90"/>
      <c r="J39" s="90"/>
      <c r="K39" s="90"/>
      <c r="L39" s="90"/>
      <c r="M39" s="268"/>
      <c r="N39" s="268"/>
      <c r="O39" s="268">
        <f t="shared" ref="O39:AJ39" si="18">P40</f>
        <v>0</v>
      </c>
      <c r="P39" s="268">
        <f t="shared" si="18"/>
        <v>1</v>
      </c>
      <c r="Q39" s="268">
        <f t="shared" si="18"/>
        <v>0</v>
      </c>
      <c r="R39" s="268">
        <f t="shared" si="18"/>
        <v>2</v>
      </c>
      <c r="S39" s="268">
        <f t="shared" si="18"/>
        <v>3</v>
      </c>
      <c r="T39" s="268">
        <f t="shared" si="18"/>
        <v>5</v>
      </c>
      <c r="U39" s="268">
        <f t="shared" si="18"/>
        <v>8</v>
      </c>
      <c r="V39" s="268">
        <f t="shared" si="18"/>
        <v>13</v>
      </c>
      <c r="W39" s="268">
        <f t="shared" si="18"/>
        <v>17</v>
      </c>
      <c r="X39" s="268">
        <f t="shared" si="18"/>
        <v>0</v>
      </c>
      <c r="Y39" s="268">
        <f t="shared" si="18"/>
        <v>0</v>
      </c>
      <c r="Z39" s="268">
        <f t="shared" si="18"/>
        <v>0</v>
      </c>
      <c r="AA39" s="268">
        <f t="shared" si="18"/>
        <v>0</v>
      </c>
      <c r="AB39" s="268">
        <f t="shared" si="18"/>
        <v>0</v>
      </c>
      <c r="AC39" s="268">
        <f t="shared" si="18"/>
        <v>0</v>
      </c>
      <c r="AD39" s="268">
        <f t="shared" si="18"/>
        <v>0</v>
      </c>
      <c r="AE39" s="268">
        <f t="shared" si="18"/>
        <v>0</v>
      </c>
      <c r="AF39" s="268">
        <f t="shared" si="18"/>
        <v>0</v>
      </c>
      <c r="AG39" s="268">
        <f t="shared" si="18"/>
        <v>0</v>
      </c>
      <c r="AH39" s="268">
        <f t="shared" si="18"/>
        <v>0</v>
      </c>
      <c r="AI39" s="268">
        <f t="shared" si="18"/>
        <v>0</v>
      </c>
      <c r="AJ39" s="268">
        <f t="shared" si="18"/>
        <v>0</v>
      </c>
      <c r="AK39" s="268">
        <f t="shared" ref="AK39:AX39" si="19">AJ39</f>
        <v>0</v>
      </c>
      <c r="AL39" s="268">
        <f t="shared" si="19"/>
        <v>0</v>
      </c>
      <c r="AM39" s="268">
        <f t="shared" si="19"/>
        <v>0</v>
      </c>
      <c r="AN39" s="268">
        <f t="shared" si="19"/>
        <v>0</v>
      </c>
      <c r="AO39" s="268">
        <f t="shared" si="19"/>
        <v>0</v>
      </c>
      <c r="AP39" s="268">
        <f t="shared" si="19"/>
        <v>0</v>
      </c>
      <c r="AQ39" s="268">
        <f t="shared" si="19"/>
        <v>0</v>
      </c>
      <c r="AR39" s="268">
        <f t="shared" si="19"/>
        <v>0</v>
      </c>
      <c r="AS39" s="268">
        <f t="shared" si="19"/>
        <v>0</v>
      </c>
      <c r="AT39" s="268">
        <f t="shared" si="19"/>
        <v>0</v>
      </c>
      <c r="AU39" s="268">
        <f t="shared" si="19"/>
        <v>0</v>
      </c>
      <c r="AV39" s="268">
        <f t="shared" si="19"/>
        <v>0</v>
      </c>
      <c r="AW39" s="268">
        <f t="shared" si="19"/>
        <v>0</v>
      </c>
      <c r="AX39" s="268">
        <f t="shared" si="19"/>
        <v>0</v>
      </c>
      <c r="AY39" s="268"/>
      <c r="AZ39" s="268"/>
      <c r="BA39" s="268"/>
      <c r="BB39" s="268"/>
    </row>
    <row r="40" ht="12.75" hidden="1" customHeight="1" outlineLevel="1">
      <c r="A40" s="90"/>
      <c r="C40" s="90" t="s">
        <v>515</v>
      </c>
      <c r="D40" s="90">
        <f t="shared" ref="D40:D71" si="22">D39+1</f>
        <v>0</v>
      </c>
      <c r="E40" s="113"/>
      <c r="F40" s="90"/>
      <c r="G40" s="90"/>
      <c r="H40" s="90"/>
      <c r="I40" s="90"/>
      <c r="J40" s="90"/>
      <c r="K40" s="90"/>
      <c r="L40" s="90"/>
      <c r="M40" s="268"/>
      <c r="N40" s="268"/>
      <c r="O40" s="268">
        <f t="shared" ref="O40:AJ40" si="20">P41</f>
        <v>0</v>
      </c>
      <c r="P40" s="268">
        <f t="shared" si="20"/>
        <v>0</v>
      </c>
      <c r="Q40" s="268">
        <f t="shared" si="20"/>
        <v>1</v>
      </c>
      <c r="R40" s="268">
        <f t="shared" si="20"/>
        <v>0</v>
      </c>
      <c r="S40" s="268">
        <f t="shared" si="20"/>
        <v>2</v>
      </c>
      <c r="T40" s="268">
        <f t="shared" si="20"/>
        <v>3</v>
      </c>
      <c r="U40" s="268">
        <f t="shared" si="20"/>
        <v>5</v>
      </c>
      <c r="V40" s="268">
        <f t="shared" si="20"/>
        <v>8</v>
      </c>
      <c r="W40" s="268">
        <f t="shared" si="20"/>
        <v>13</v>
      </c>
      <c r="X40" s="268">
        <f t="shared" si="20"/>
        <v>17</v>
      </c>
      <c r="Y40" s="268">
        <f t="shared" si="20"/>
        <v>0</v>
      </c>
      <c r="Z40" s="268">
        <f t="shared" si="20"/>
        <v>0</v>
      </c>
      <c r="AA40" s="268">
        <f t="shared" si="20"/>
        <v>0</v>
      </c>
      <c r="AB40" s="268">
        <f t="shared" si="20"/>
        <v>0</v>
      </c>
      <c r="AC40" s="268">
        <f t="shared" si="20"/>
        <v>0</v>
      </c>
      <c r="AD40" s="268">
        <f t="shared" si="20"/>
        <v>0</v>
      </c>
      <c r="AE40" s="268">
        <f t="shared" si="20"/>
        <v>0</v>
      </c>
      <c r="AF40" s="268">
        <f t="shared" si="20"/>
        <v>0</v>
      </c>
      <c r="AG40" s="268">
        <f t="shared" si="20"/>
        <v>0</v>
      </c>
      <c r="AH40" s="268">
        <f t="shared" si="20"/>
        <v>0</v>
      </c>
      <c r="AI40" s="268">
        <f t="shared" si="20"/>
        <v>0</v>
      </c>
      <c r="AJ40" s="268">
        <f t="shared" si="20"/>
        <v>0</v>
      </c>
      <c r="AK40" s="268">
        <f t="shared" ref="AK40:AX40" si="21">AJ40</f>
        <v>0</v>
      </c>
      <c r="AL40" s="268">
        <f t="shared" si="21"/>
        <v>0</v>
      </c>
      <c r="AM40" s="268">
        <f t="shared" si="21"/>
        <v>0</v>
      </c>
      <c r="AN40" s="268">
        <f t="shared" si="21"/>
        <v>0</v>
      </c>
      <c r="AO40" s="268">
        <f t="shared" si="21"/>
        <v>0</v>
      </c>
      <c r="AP40" s="268">
        <f t="shared" si="21"/>
        <v>0</v>
      </c>
      <c r="AQ40" s="268">
        <f t="shared" si="21"/>
        <v>0</v>
      </c>
      <c r="AR40" s="268">
        <f t="shared" si="21"/>
        <v>0</v>
      </c>
      <c r="AS40" s="268">
        <f t="shared" si="21"/>
        <v>0</v>
      </c>
      <c r="AT40" s="268">
        <f t="shared" si="21"/>
        <v>0</v>
      </c>
      <c r="AU40" s="268">
        <f t="shared" si="21"/>
        <v>0</v>
      </c>
      <c r="AV40" s="268">
        <f t="shared" si="21"/>
        <v>0</v>
      </c>
      <c r="AW40" s="268">
        <f t="shared" si="21"/>
        <v>0</v>
      </c>
      <c r="AX40" s="268">
        <f t="shared" si="21"/>
        <v>0</v>
      </c>
      <c r="AY40" s="268"/>
      <c r="AZ40" s="268"/>
      <c r="BA40" s="268"/>
      <c r="BB40" s="268"/>
    </row>
    <row r="41" ht="12.75" hidden="1" customHeight="1" outlineLevel="1">
      <c r="A41" s="90"/>
      <c r="C41" s="90" t="s">
        <v>515</v>
      </c>
      <c r="D41" s="90">
        <f t="shared" si="22"/>
        <v>1</v>
      </c>
      <c r="E41" s="113"/>
      <c r="F41" s="90"/>
      <c r="G41" s="90"/>
      <c r="H41" s="90"/>
      <c r="I41" s="90"/>
      <c r="J41" s="90"/>
      <c r="K41" s="90"/>
      <c r="L41" s="90"/>
      <c r="M41" s="268"/>
      <c r="N41" s="268"/>
      <c r="O41" s="268">
        <f>COUNTIF('Growth Model'!F$189:F$237,'Regional Roll-up'!$D41)</f>
        <v>0</v>
      </c>
      <c r="P41" s="268">
        <f>COUNTIF('Growth Model'!G$189:G$237,'Regional Roll-up'!$D41)</f>
        <v>0</v>
      </c>
      <c r="Q41" s="268">
        <f>COUNTIF('Growth Model'!H$189:H$237,'Regional Roll-up'!$D41)</f>
        <v>0</v>
      </c>
      <c r="R41" s="268">
        <f>COUNTIF('Growth Model'!I$189:I$237,'Regional Roll-up'!$D41)</f>
        <v>1</v>
      </c>
      <c r="S41" s="268">
        <f>COUNTIF('Growth Model'!J$189:J$237,'Regional Roll-up'!$D41)</f>
        <v>0</v>
      </c>
      <c r="T41" s="268">
        <f>COUNTIF('Growth Model'!K$189:K$237,'Regional Roll-up'!$D41)</f>
        <v>2</v>
      </c>
      <c r="U41" s="268">
        <f>COUNTIF('Growth Model'!L$189:L$237,'Regional Roll-up'!$D41)</f>
        <v>3</v>
      </c>
      <c r="V41" s="268">
        <f>COUNTIF('Growth Model'!M$189:M$237,'Regional Roll-up'!$D41)</f>
        <v>5</v>
      </c>
      <c r="W41" s="268">
        <f>COUNTIF('Growth Model'!N$189:N$237,'Regional Roll-up'!$D41)</f>
        <v>8</v>
      </c>
      <c r="X41" s="268">
        <f>COUNTIF('Growth Model'!O$189:O$237,'Regional Roll-up'!$D41)</f>
        <v>13</v>
      </c>
      <c r="Y41" s="268">
        <f>COUNTIF('Growth Model'!P$189:P$237,'Regional Roll-up'!$D41)</f>
        <v>17</v>
      </c>
      <c r="Z41" s="268">
        <f>COUNTIF('Growth Model'!Q$189:Q$237,'Regional Roll-up'!$D41)</f>
        <v>0</v>
      </c>
      <c r="AA41" s="268">
        <f>COUNTIF('Growth Model'!R$189:R$237,'Regional Roll-up'!$D41)</f>
        <v>0</v>
      </c>
      <c r="AB41" s="268">
        <f>COUNTIF('Growth Model'!S$189:S$237,'Regional Roll-up'!$D41)</f>
        <v>0</v>
      </c>
      <c r="AC41" s="268">
        <f>COUNTIF('Growth Model'!T$189:T$237,'Regional Roll-up'!$D41)</f>
        <v>0</v>
      </c>
      <c r="AD41" s="268">
        <f>COUNTIF('Growth Model'!U$189:U$237,'Regional Roll-up'!$D41)</f>
        <v>0</v>
      </c>
      <c r="AE41" s="268">
        <f>COUNTIF('Growth Model'!V$189:V$237,'Regional Roll-up'!$D41)</f>
        <v>0</v>
      </c>
      <c r="AF41" s="268">
        <f>COUNTIF('Growth Model'!W$189:W$237,'Regional Roll-up'!$D41)</f>
        <v>0</v>
      </c>
      <c r="AG41" s="268">
        <f>COUNTIF('Growth Model'!X$189:X$237,'Regional Roll-up'!$D41)</f>
        <v>0</v>
      </c>
      <c r="AH41" s="268">
        <f>COUNTIF('Growth Model'!Y$189:Y$237,'Regional Roll-up'!$D41)</f>
        <v>0</v>
      </c>
      <c r="AI41" s="268">
        <f>COUNTIF('Growth Model'!Z$189:Z$237,'Regional Roll-up'!$D41)</f>
        <v>0</v>
      </c>
      <c r="AJ41" s="268">
        <f>COUNTIF('Growth Model'!AA$189:AA$237,'Regional Roll-up'!$D41)</f>
        <v>0</v>
      </c>
      <c r="AK41" s="268">
        <f t="shared" ref="AK41:AX41" si="23">AJ41</f>
        <v>0</v>
      </c>
      <c r="AL41" s="268">
        <f t="shared" si="23"/>
        <v>0</v>
      </c>
      <c r="AM41" s="268">
        <f t="shared" si="23"/>
        <v>0</v>
      </c>
      <c r="AN41" s="268">
        <f t="shared" si="23"/>
        <v>0</v>
      </c>
      <c r="AO41" s="268">
        <f t="shared" si="23"/>
        <v>0</v>
      </c>
      <c r="AP41" s="268">
        <f t="shared" si="23"/>
        <v>0</v>
      </c>
      <c r="AQ41" s="268">
        <f t="shared" si="23"/>
        <v>0</v>
      </c>
      <c r="AR41" s="268">
        <f t="shared" si="23"/>
        <v>0</v>
      </c>
      <c r="AS41" s="268">
        <f t="shared" si="23"/>
        <v>0</v>
      </c>
      <c r="AT41" s="268">
        <f t="shared" si="23"/>
        <v>0</v>
      </c>
      <c r="AU41" s="268">
        <f t="shared" si="23"/>
        <v>0</v>
      </c>
      <c r="AV41" s="268">
        <f t="shared" si="23"/>
        <v>0</v>
      </c>
      <c r="AW41" s="268">
        <f t="shared" si="23"/>
        <v>0</v>
      </c>
      <c r="AX41" s="268">
        <f t="shared" si="23"/>
        <v>0</v>
      </c>
      <c r="AY41" s="268"/>
      <c r="AZ41" s="268"/>
      <c r="BA41" s="268"/>
      <c r="BB41" s="268"/>
    </row>
    <row r="42" ht="12.75" hidden="1" customHeight="1" outlineLevel="1">
      <c r="A42" s="90"/>
      <c r="C42" s="90" t="s">
        <v>515</v>
      </c>
      <c r="D42" s="90">
        <f t="shared" si="22"/>
        <v>2</v>
      </c>
      <c r="E42" s="113"/>
      <c r="F42" s="90"/>
      <c r="G42" s="90"/>
      <c r="H42" s="90"/>
      <c r="I42" s="90"/>
      <c r="J42" s="90"/>
      <c r="K42" s="90"/>
      <c r="L42" s="90"/>
      <c r="M42" s="268"/>
      <c r="N42" s="268"/>
      <c r="O42" s="268">
        <f>COUNTIF('Growth Model'!F$189:F$237,'Regional Roll-up'!$D42)</f>
        <v>0</v>
      </c>
      <c r="P42" s="268">
        <f>COUNTIF('Growth Model'!G$189:G$237,'Regional Roll-up'!$D42)</f>
        <v>0</v>
      </c>
      <c r="Q42" s="268">
        <f>COUNTIF('Growth Model'!H$189:H$237,'Regional Roll-up'!$D42)</f>
        <v>0</v>
      </c>
      <c r="R42" s="268">
        <f>COUNTIF('Growth Model'!I$189:I$237,'Regional Roll-up'!$D42)</f>
        <v>0</v>
      </c>
      <c r="S42" s="268">
        <f>COUNTIF('Growth Model'!J$189:J$237,'Regional Roll-up'!$D42)</f>
        <v>1</v>
      </c>
      <c r="T42" s="268">
        <f>COUNTIF('Growth Model'!K$189:K$237,'Regional Roll-up'!$D42)</f>
        <v>0</v>
      </c>
      <c r="U42" s="268">
        <f>COUNTIF('Growth Model'!L$189:L$237,'Regional Roll-up'!$D42)</f>
        <v>2</v>
      </c>
      <c r="V42" s="268">
        <f>COUNTIF('Growth Model'!M$189:M$237,'Regional Roll-up'!$D42)</f>
        <v>3</v>
      </c>
      <c r="W42" s="268">
        <f>COUNTIF('Growth Model'!N$189:N$237,'Regional Roll-up'!$D42)</f>
        <v>5</v>
      </c>
      <c r="X42" s="268">
        <f>COUNTIF('Growth Model'!O$189:O$237,'Regional Roll-up'!$D42)</f>
        <v>8</v>
      </c>
      <c r="Y42" s="268">
        <f>COUNTIF('Growth Model'!P$189:P$237,'Regional Roll-up'!$D42)</f>
        <v>13</v>
      </c>
      <c r="Z42" s="268">
        <f>COUNTIF('Growth Model'!Q$189:Q$237,'Regional Roll-up'!$D42)</f>
        <v>17</v>
      </c>
      <c r="AA42" s="268">
        <f>COUNTIF('Growth Model'!R$189:R$237,'Regional Roll-up'!$D42)</f>
        <v>0</v>
      </c>
      <c r="AB42" s="268">
        <f>COUNTIF('Growth Model'!S$189:S$237,'Regional Roll-up'!$D42)</f>
        <v>0</v>
      </c>
      <c r="AC42" s="268">
        <f>COUNTIF('Growth Model'!T$189:T$237,'Regional Roll-up'!$D42)</f>
        <v>0</v>
      </c>
      <c r="AD42" s="268">
        <f>COUNTIF('Growth Model'!U$189:U$237,'Regional Roll-up'!$D42)</f>
        <v>0</v>
      </c>
      <c r="AE42" s="268">
        <f>COUNTIF('Growth Model'!V$189:V$237,'Regional Roll-up'!$D42)</f>
        <v>0</v>
      </c>
      <c r="AF42" s="268">
        <f>COUNTIF('Growth Model'!W$189:W$237,'Regional Roll-up'!$D42)</f>
        <v>0</v>
      </c>
      <c r="AG42" s="268">
        <f>COUNTIF('Growth Model'!X$189:X$237,'Regional Roll-up'!$D42)</f>
        <v>0</v>
      </c>
      <c r="AH42" s="268">
        <f>COUNTIF('Growth Model'!Y$189:Y$237,'Regional Roll-up'!$D42)</f>
        <v>0</v>
      </c>
      <c r="AI42" s="268">
        <f>COUNTIF('Growth Model'!Z$189:Z$237,'Regional Roll-up'!$D42)</f>
        <v>0</v>
      </c>
      <c r="AJ42" s="268">
        <f>COUNTIF('Growth Model'!AA$189:AA$237,'Regional Roll-up'!$D42)</f>
        <v>0</v>
      </c>
      <c r="AK42" s="268">
        <f t="shared" ref="AK42:AX42" si="24">AJ42</f>
        <v>0</v>
      </c>
      <c r="AL42" s="268">
        <f t="shared" si="24"/>
        <v>0</v>
      </c>
      <c r="AM42" s="268">
        <f t="shared" si="24"/>
        <v>0</v>
      </c>
      <c r="AN42" s="268">
        <f t="shared" si="24"/>
        <v>0</v>
      </c>
      <c r="AO42" s="268">
        <f t="shared" si="24"/>
        <v>0</v>
      </c>
      <c r="AP42" s="268">
        <f t="shared" si="24"/>
        <v>0</v>
      </c>
      <c r="AQ42" s="268">
        <f t="shared" si="24"/>
        <v>0</v>
      </c>
      <c r="AR42" s="268">
        <f t="shared" si="24"/>
        <v>0</v>
      </c>
      <c r="AS42" s="268">
        <f t="shared" si="24"/>
        <v>0</v>
      </c>
      <c r="AT42" s="268">
        <f t="shared" si="24"/>
        <v>0</v>
      </c>
      <c r="AU42" s="268">
        <f t="shared" si="24"/>
        <v>0</v>
      </c>
      <c r="AV42" s="268">
        <f t="shared" si="24"/>
        <v>0</v>
      </c>
      <c r="AW42" s="268">
        <f t="shared" si="24"/>
        <v>0</v>
      </c>
      <c r="AX42" s="268">
        <f t="shared" si="24"/>
        <v>0</v>
      </c>
      <c r="AY42" s="268"/>
      <c r="AZ42" s="268"/>
      <c r="BA42" s="268"/>
      <c r="BB42" s="268"/>
    </row>
    <row r="43" ht="12.75" hidden="1" customHeight="1" outlineLevel="1">
      <c r="A43" s="90"/>
      <c r="C43" s="90" t="s">
        <v>515</v>
      </c>
      <c r="D43" s="90">
        <f t="shared" si="22"/>
        <v>3</v>
      </c>
      <c r="E43" s="113"/>
      <c r="F43" s="90"/>
      <c r="G43" s="90"/>
      <c r="H43" s="90"/>
      <c r="I43" s="90"/>
      <c r="J43" s="90"/>
      <c r="K43" s="90"/>
      <c r="L43" s="90"/>
      <c r="M43" s="268"/>
      <c r="N43" s="268"/>
      <c r="O43" s="268">
        <f>COUNTIF('Growth Model'!F$189:F$237,'Regional Roll-up'!$D43)</f>
        <v>0</v>
      </c>
      <c r="P43" s="268">
        <f>COUNTIF('Growth Model'!G$189:G$237,'Regional Roll-up'!$D43)</f>
        <v>0</v>
      </c>
      <c r="Q43" s="268">
        <f>COUNTIF('Growth Model'!H$189:H$237,'Regional Roll-up'!$D43)</f>
        <v>0</v>
      </c>
      <c r="R43" s="268">
        <f>COUNTIF('Growth Model'!I$189:I$237,'Regional Roll-up'!$D43)</f>
        <v>0</v>
      </c>
      <c r="S43" s="268">
        <f>COUNTIF('Growth Model'!J$189:J$237,'Regional Roll-up'!$D43)</f>
        <v>0</v>
      </c>
      <c r="T43" s="268">
        <f>COUNTIF('Growth Model'!K$189:K$237,'Regional Roll-up'!$D43)</f>
        <v>1</v>
      </c>
      <c r="U43" s="268">
        <f>COUNTIF('Growth Model'!L$189:L$237,'Regional Roll-up'!$D43)</f>
        <v>0</v>
      </c>
      <c r="V43" s="268">
        <f>COUNTIF('Growth Model'!M$189:M$237,'Regional Roll-up'!$D43)</f>
        <v>2</v>
      </c>
      <c r="W43" s="268">
        <f>COUNTIF('Growth Model'!N$189:N$237,'Regional Roll-up'!$D43)</f>
        <v>3</v>
      </c>
      <c r="X43" s="268">
        <f>COUNTIF('Growth Model'!O$189:O$237,'Regional Roll-up'!$D43)</f>
        <v>5</v>
      </c>
      <c r="Y43" s="268">
        <f>COUNTIF('Growth Model'!P$189:P$237,'Regional Roll-up'!$D43)</f>
        <v>8</v>
      </c>
      <c r="Z43" s="268">
        <f>COUNTIF('Growth Model'!Q$189:Q$237,'Regional Roll-up'!$D43)</f>
        <v>13</v>
      </c>
      <c r="AA43" s="268">
        <f>COUNTIF('Growth Model'!R$189:R$237,'Regional Roll-up'!$D43)</f>
        <v>17</v>
      </c>
      <c r="AB43" s="268">
        <f>COUNTIF('Growth Model'!S$189:S$237,'Regional Roll-up'!$D43)</f>
        <v>0</v>
      </c>
      <c r="AC43" s="268">
        <f>COUNTIF('Growth Model'!T$189:T$237,'Regional Roll-up'!$D43)</f>
        <v>0</v>
      </c>
      <c r="AD43" s="268">
        <f>COUNTIF('Growth Model'!U$189:U$237,'Regional Roll-up'!$D43)</f>
        <v>0</v>
      </c>
      <c r="AE43" s="268">
        <f>COUNTIF('Growth Model'!V$189:V$237,'Regional Roll-up'!$D43)</f>
        <v>0</v>
      </c>
      <c r="AF43" s="268">
        <f>COUNTIF('Growth Model'!W$189:W$237,'Regional Roll-up'!$D43)</f>
        <v>0</v>
      </c>
      <c r="AG43" s="268">
        <f>COUNTIF('Growth Model'!X$189:X$237,'Regional Roll-up'!$D43)</f>
        <v>0</v>
      </c>
      <c r="AH43" s="268">
        <f>COUNTIF('Growth Model'!Y$189:Y$237,'Regional Roll-up'!$D43)</f>
        <v>0</v>
      </c>
      <c r="AI43" s="268">
        <f>COUNTIF('Growth Model'!Z$189:Z$237,'Regional Roll-up'!$D43)</f>
        <v>0</v>
      </c>
      <c r="AJ43" s="268">
        <f>COUNTIF('Growth Model'!AA$189:AA$237,'Regional Roll-up'!$D43)</f>
        <v>0</v>
      </c>
      <c r="AK43" s="268">
        <f t="shared" ref="AK43:AX43" si="25">AJ43</f>
        <v>0</v>
      </c>
      <c r="AL43" s="268">
        <f t="shared" si="25"/>
        <v>0</v>
      </c>
      <c r="AM43" s="268">
        <f t="shared" si="25"/>
        <v>0</v>
      </c>
      <c r="AN43" s="268">
        <f t="shared" si="25"/>
        <v>0</v>
      </c>
      <c r="AO43" s="268">
        <f t="shared" si="25"/>
        <v>0</v>
      </c>
      <c r="AP43" s="268">
        <f t="shared" si="25"/>
        <v>0</v>
      </c>
      <c r="AQ43" s="268">
        <f t="shared" si="25"/>
        <v>0</v>
      </c>
      <c r="AR43" s="268">
        <f t="shared" si="25"/>
        <v>0</v>
      </c>
      <c r="AS43" s="268">
        <f t="shared" si="25"/>
        <v>0</v>
      </c>
      <c r="AT43" s="268">
        <f t="shared" si="25"/>
        <v>0</v>
      </c>
      <c r="AU43" s="268">
        <f t="shared" si="25"/>
        <v>0</v>
      </c>
      <c r="AV43" s="268">
        <f t="shared" si="25"/>
        <v>0</v>
      </c>
      <c r="AW43" s="268">
        <f t="shared" si="25"/>
        <v>0</v>
      </c>
      <c r="AX43" s="268">
        <f t="shared" si="25"/>
        <v>0</v>
      </c>
      <c r="AY43" s="268"/>
      <c r="AZ43" s="268"/>
      <c r="BA43" s="268"/>
      <c r="BB43" s="268"/>
    </row>
    <row r="44" ht="12.75" hidden="1" customHeight="1" outlineLevel="1">
      <c r="A44" s="90"/>
      <c r="C44" s="90" t="s">
        <v>515</v>
      </c>
      <c r="D44" s="90">
        <f t="shared" si="22"/>
        <v>4</v>
      </c>
      <c r="E44" s="113"/>
      <c r="F44" s="90"/>
      <c r="G44" s="90"/>
      <c r="H44" s="90"/>
      <c r="I44" s="90"/>
      <c r="J44" s="90"/>
      <c r="K44" s="90"/>
      <c r="L44" s="90"/>
      <c r="M44" s="268"/>
      <c r="N44" s="268"/>
      <c r="O44" s="268">
        <f>COUNTIF('Growth Model'!F$189:F$237,'Regional Roll-up'!$D44)</f>
        <v>0</v>
      </c>
      <c r="P44" s="268">
        <f>COUNTIF('Growth Model'!G$189:G$237,'Regional Roll-up'!$D44)</f>
        <v>0</v>
      </c>
      <c r="Q44" s="268">
        <f>COUNTIF('Growth Model'!H$189:H$237,'Regional Roll-up'!$D44)</f>
        <v>0</v>
      </c>
      <c r="R44" s="268">
        <f>COUNTIF('Growth Model'!I$189:I$237,'Regional Roll-up'!$D44)</f>
        <v>0</v>
      </c>
      <c r="S44" s="268">
        <f>COUNTIF('Growth Model'!J$189:J$237,'Regional Roll-up'!$D44)</f>
        <v>0</v>
      </c>
      <c r="T44" s="268">
        <f>COUNTIF('Growth Model'!K$189:K$237,'Regional Roll-up'!$D44)</f>
        <v>0</v>
      </c>
      <c r="U44" s="268">
        <f>COUNTIF('Growth Model'!L$189:L$237,'Regional Roll-up'!$D44)</f>
        <v>1</v>
      </c>
      <c r="V44" s="268">
        <f>COUNTIF('Growth Model'!M$189:M$237,'Regional Roll-up'!$D44)</f>
        <v>0</v>
      </c>
      <c r="W44" s="268">
        <f>COUNTIF('Growth Model'!N$189:N$237,'Regional Roll-up'!$D44)</f>
        <v>2</v>
      </c>
      <c r="X44" s="268">
        <f>COUNTIF('Growth Model'!O$189:O$237,'Regional Roll-up'!$D44)</f>
        <v>3</v>
      </c>
      <c r="Y44" s="268">
        <f>COUNTIF('Growth Model'!P$189:P$237,'Regional Roll-up'!$D44)</f>
        <v>5</v>
      </c>
      <c r="Z44" s="268">
        <f>COUNTIF('Growth Model'!Q$189:Q$237,'Regional Roll-up'!$D44)</f>
        <v>8</v>
      </c>
      <c r="AA44" s="268">
        <f>COUNTIF('Growth Model'!R$189:R$237,'Regional Roll-up'!$D44)</f>
        <v>13</v>
      </c>
      <c r="AB44" s="268">
        <f>COUNTIF('Growth Model'!S$189:S$237,'Regional Roll-up'!$D44)</f>
        <v>17</v>
      </c>
      <c r="AC44" s="268">
        <f>COUNTIF('Growth Model'!T$189:T$237,'Regional Roll-up'!$D44)</f>
        <v>0</v>
      </c>
      <c r="AD44" s="268">
        <f>COUNTIF('Growth Model'!U$189:U$237,'Regional Roll-up'!$D44)</f>
        <v>0</v>
      </c>
      <c r="AE44" s="268">
        <f>COUNTIF('Growth Model'!V$189:V$237,'Regional Roll-up'!$D44)</f>
        <v>0</v>
      </c>
      <c r="AF44" s="268">
        <f>COUNTIF('Growth Model'!W$189:W$237,'Regional Roll-up'!$D44)</f>
        <v>0</v>
      </c>
      <c r="AG44" s="268">
        <f>COUNTIF('Growth Model'!X$189:X$237,'Regional Roll-up'!$D44)</f>
        <v>0</v>
      </c>
      <c r="AH44" s="268">
        <f>COUNTIF('Growth Model'!Y$189:Y$237,'Regional Roll-up'!$D44)</f>
        <v>0</v>
      </c>
      <c r="AI44" s="268">
        <f>COUNTIF('Growth Model'!Z$189:Z$237,'Regional Roll-up'!$D44)</f>
        <v>0</v>
      </c>
      <c r="AJ44" s="268">
        <f>COUNTIF('Growth Model'!AA$189:AA$237,'Regional Roll-up'!$D44)</f>
        <v>0</v>
      </c>
      <c r="AK44" s="268">
        <f t="shared" ref="AK44:AX44" si="26">AJ44</f>
        <v>0</v>
      </c>
      <c r="AL44" s="268">
        <f t="shared" si="26"/>
        <v>0</v>
      </c>
      <c r="AM44" s="268">
        <f t="shared" si="26"/>
        <v>0</v>
      </c>
      <c r="AN44" s="268">
        <f t="shared" si="26"/>
        <v>0</v>
      </c>
      <c r="AO44" s="268">
        <f t="shared" si="26"/>
        <v>0</v>
      </c>
      <c r="AP44" s="268">
        <f t="shared" si="26"/>
        <v>0</v>
      </c>
      <c r="AQ44" s="268">
        <f t="shared" si="26"/>
        <v>0</v>
      </c>
      <c r="AR44" s="268">
        <f t="shared" si="26"/>
        <v>0</v>
      </c>
      <c r="AS44" s="268">
        <f t="shared" si="26"/>
        <v>0</v>
      </c>
      <c r="AT44" s="268">
        <f t="shared" si="26"/>
        <v>0</v>
      </c>
      <c r="AU44" s="268">
        <f t="shared" si="26"/>
        <v>0</v>
      </c>
      <c r="AV44" s="268">
        <f t="shared" si="26"/>
        <v>0</v>
      </c>
      <c r="AW44" s="268">
        <f t="shared" si="26"/>
        <v>0</v>
      </c>
      <c r="AX44" s="268">
        <f t="shared" si="26"/>
        <v>0</v>
      </c>
      <c r="AY44" s="268"/>
      <c r="AZ44" s="268"/>
      <c r="BA44" s="268"/>
      <c r="BB44" s="268"/>
    </row>
    <row r="45" ht="12.75" hidden="1" customHeight="1" outlineLevel="1">
      <c r="A45" s="90"/>
      <c r="C45" s="90" t="s">
        <v>515</v>
      </c>
      <c r="D45" s="90">
        <f t="shared" si="22"/>
        <v>5</v>
      </c>
      <c r="E45" s="113"/>
      <c r="F45" s="90"/>
      <c r="G45" s="90"/>
      <c r="H45" s="90"/>
      <c r="I45" s="90"/>
      <c r="J45" s="90"/>
      <c r="K45" s="90"/>
      <c r="L45" s="90"/>
      <c r="M45" s="268"/>
      <c r="N45" s="268"/>
      <c r="O45" s="268">
        <f>COUNTIF('Growth Model'!F$189:F$237,'Regional Roll-up'!$D45)</f>
        <v>0</v>
      </c>
      <c r="P45" s="268">
        <f>COUNTIF('Growth Model'!G$189:G$237,'Regional Roll-up'!$D45)</f>
        <v>0</v>
      </c>
      <c r="Q45" s="268">
        <f>COUNTIF('Growth Model'!H$189:H$237,'Regional Roll-up'!$D45)</f>
        <v>0</v>
      </c>
      <c r="R45" s="268">
        <f>COUNTIF('Growth Model'!I$189:I$237,'Regional Roll-up'!$D45)</f>
        <v>0</v>
      </c>
      <c r="S45" s="268">
        <f>COUNTIF('Growth Model'!J$189:J$237,'Regional Roll-up'!$D45)</f>
        <v>0</v>
      </c>
      <c r="T45" s="268">
        <f>COUNTIF('Growth Model'!K$189:K$237,'Regional Roll-up'!$D45)</f>
        <v>0</v>
      </c>
      <c r="U45" s="268">
        <f>COUNTIF('Growth Model'!L$189:L$237,'Regional Roll-up'!$D45)</f>
        <v>0</v>
      </c>
      <c r="V45" s="268">
        <f>COUNTIF('Growth Model'!M$189:M$237,'Regional Roll-up'!$D45)</f>
        <v>1</v>
      </c>
      <c r="W45" s="268">
        <f>COUNTIF('Growth Model'!N$189:N$237,'Regional Roll-up'!$D45)</f>
        <v>0</v>
      </c>
      <c r="X45" s="268">
        <f>COUNTIF('Growth Model'!O$189:O$237,'Regional Roll-up'!$D45)</f>
        <v>2</v>
      </c>
      <c r="Y45" s="268">
        <f>COUNTIF('Growth Model'!P$189:P$237,'Regional Roll-up'!$D45)</f>
        <v>3</v>
      </c>
      <c r="Z45" s="268">
        <f>COUNTIF('Growth Model'!Q$189:Q$237,'Regional Roll-up'!$D45)</f>
        <v>5</v>
      </c>
      <c r="AA45" s="268">
        <f>COUNTIF('Growth Model'!R$189:R$237,'Regional Roll-up'!$D45)</f>
        <v>8</v>
      </c>
      <c r="AB45" s="268">
        <f>COUNTIF('Growth Model'!S$189:S$237,'Regional Roll-up'!$D45)</f>
        <v>13</v>
      </c>
      <c r="AC45" s="268">
        <f>COUNTIF('Growth Model'!T$189:T$237,'Regional Roll-up'!$D45)</f>
        <v>17</v>
      </c>
      <c r="AD45" s="268">
        <f>COUNTIF('Growth Model'!U$189:U$237,'Regional Roll-up'!$D45)</f>
        <v>0</v>
      </c>
      <c r="AE45" s="268">
        <f>COUNTIF('Growth Model'!V$189:V$237,'Regional Roll-up'!$D45)</f>
        <v>0</v>
      </c>
      <c r="AF45" s="268">
        <f>COUNTIF('Growth Model'!W$189:W$237,'Regional Roll-up'!$D45)</f>
        <v>0</v>
      </c>
      <c r="AG45" s="268">
        <f>COUNTIF('Growth Model'!X$189:X$237,'Regional Roll-up'!$D45)</f>
        <v>0</v>
      </c>
      <c r="AH45" s="268">
        <f>COUNTIF('Growth Model'!Y$189:Y$237,'Regional Roll-up'!$D45)</f>
        <v>0</v>
      </c>
      <c r="AI45" s="268">
        <f>COUNTIF('Growth Model'!Z$189:Z$237,'Regional Roll-up'!$D45)</f>
        <v>0</v>
      </c>
      <c r="AJ45" s="268">
        <f>COUNTIF('Growth Model'!AA$189:AA$237,'Regional Roll-up'!$D45)</f>
        <v>0</v>
      </c>
      <c r="AK45" s="268">
        <f t="shared" ref="AK45:AX45" si="27">AJ45</f>
        <v>0</v>
      </c>
      <c r="AL45" s="268">
        <f t="shared" si="27"/>
        <v>0</v>
      </c>
      <c r="AM45" s="268">
        <f t="shared" si="27"/>
        <v>0</v>
      </c>
      <c r="AN45" s="268">
        <f t="shared" si="27"/>
        <v>0</v>
      </c>
      <c r="AO45" s="268">
        <f t="shared" si="27"/>
        <v>0</v>
      </c>
      <c r="AP45" s="268">
        <f t="shared" si="27"/>
        <v>0</v>
      </c>
      <c r="AQ45" s="268">
        <f t="shared" si="27"/>
        <v>0</v>
      </c>
      <c r="AR45" s="268">
        <f t="shared" si="27"/>
        <v>0</v>
      </c>
      <c r="AS45" s="268">
        <f t="shared" si="27"/>
        <v>0</v>
      </c>
      <c r="AT45" s="268">
        <f t="shared" si="27"/>
        <v>0</v>
      </c>
      <c r="AU45" s="268">
        <f t="shared" si="27"/>
        <v>0</v>
      </c>
      <c r="AV45" s="268">
        <f t="shared" si="27"/>
        <v>0</v>
      </c>
      <c r="AW45" s="268">
        <f t="shared" si="27"/>
        <v>0</v>
      </c>
      <c r="AX45" s="268">
        <f t="shared" si="27"/>
        <v>0</v>
      </c>
      <c r="AY45" s="268"/>
      <c r="AZ45" s="268"/>
      <c r="BA45" s="268"/>
      <c r="BB45" s="268"/>
    </row>
    <row r="46" ht="12.75" hidden="1" customHeight="1" outlineLevel="1">
      <c r="A46" s="90"/>
      <c r="C46" s="90" t="s">
        <v>515</v>
      </c>
      <c r="D46" s="90">
        <f t="shared" si="22"/>
        <v>6</v>
      </c>
      <c r="E46" s="113"/>
      <c r="F46" s="90"/>
      <c r="G46" s="90"/>
      <c r="H46" s="90"/>
      <c r="I46" s="90"/>
      <c r="J46" s="90"/>
      <c r="K46" s="90"/>
      <c r="L46" s="90"/>
      <c r="M46" s="268"/>
      <c r="N46" s="268"/>
      <c r="O46" s="268">
        <f>COUNTIF('Growth Model'!F$189:F$237,'Regional Roll-up'!$D46)</f>
        <v>0</v>
      </c>
      <c r="P46" s="268">
        <f>COUNTIF('Growth Model'!G$189:G$237,'Regional Roll-up'!$D46)</f>
        <v>0</v>
      </c>
      <c r="Q46" s="268">
        <f>COUNTIF('Growth Model'!H$189:H$237,'Regional Roll-up'!$D46)</f>
        <v>0</v>
      </c>
      <c r="R46" s="268">
        <f>COUNTIF('Growth Model'!I$189:I$237,'Regional Roll-up'!$D46)</f>
        <v>0</v>
      </c>
      <c r="S46" s="268">
        <f>COUNTIF('Growth Model'!J$189:J$237,'Regional Roll-up'!$D46)</f>
        <v>0</v>
      </c>
      <c r="T46" s="268">
        <f>COUNTIF('Growth Model'!K$189:K$237,'Regional Roll-up'!$D46)</f>
        <v>0</v>
      </c>
      <c r="U46" s="268">
        <f>COUNTIF('Growth Model'!L$189:L$237,'Regional Roll-up'!$D46)</f>
        <v>0</v>
      </c>
      <c r="V46" s="268">
        <f>COUNTIF('Growth Model'!M$189:M$237,'Regional Roll-up'!$D46)</f>
        <v>0</v>
      </c>
      <c r="W46" s="268">
        <f>COUNTIF('Growth Model'!N$189:N$237,'Regional Roll-up'!$D46)</f>
        <v>1</v>
      </c>
      <c r="X46" s="268">
        <f>COUNTIF('Growth Model'!O$189:O$237,'Regional Roll-up'!$D46)</f>
        <v>0</v>
      </c>
      <c r="Y46" s="268">
        <f>COUNTIF('Growth Model'!P$189:P$237,'Regional Roll-up'!$D46)</f>
        <v>2</v>
      </c>
      <c r="Z46" s="268">
        <f>COUNTIF('Growth Model'!Q$189:Q$237,'Regional Roll-up'!$D46)</f>
        <v>3</v>
      </c>
      <c r="AA46" s="268">
        <f>COUNTIF('Growth Model'!R$189:R$237,'Regional Roll-up'!$D46)</f>
        <v>5</v>
      </c>
      <c r="AB46" s="268">
        <f>COUNTIF('Growth Model'!S$189:S$237,'Regional Roll-up'!$D46)</f>
        <v>8</v>
      </c>
      <c r="AC46" s="268">
        <f>COUNTIF('Growth Model'!T$189:T$237,'Regional Roll-up'!$D46)</f>
        <v>13</v>
      </c>
      <c r="AD46" s="268">
        <f>COUNTIF('Growth Model'!U$189:U$237,'Regional Roll-up'!$D46)</f>
        <v>17</v>
      </c>
      <c r="AE46" s="268">
        <f>COUNTIF('Growth Model'!V$189:V$237,'Regional Roll-up'!$D46)</f>
        <v>0</v>
      </c>
      <c r="AF46" s="268">
        <f>COUNTIF('Growth Model'!W$189:W$237,'Regional Roll-up'!$D46)</f>
        <v>0</v>
      </c>
      <c r="AG46" s="268">
        <f>COUNTIF('Growth Model'!X$189:X$237,'Regional Roll-up'!$D46)</f>
        <v>0</v>
      </c>
      <c r="AH46" s="268">
        <f>COUNTIF('Growth Model'!Y$189:Y$237,'Regional Roll-up'!$D46)</f>
        <v>0</v>
      </c>
      <c r="AI46" s="268">
        <f>COUNTIF('Growth Model'!Z$189:Z$237,'Regional Roll-up'!$D46)</f>
        <v>0</v>
      </c>
      <c r="AJ46" s="268">
        <f>COUNTIF('Growth Model'!AA$189:AA$237,'Regional Roll-up'!$D46)</f>
        <v>0</v>
      </c>
      <c r="AK46" s="268">
        <f t="shared" ref="AK46:AX46" si="28">AJ46</f>
        <v>0</v>
      </c>
      <c r="AL46" s="268">
        <f t="shared" si="28"/>
        <v>0</v>
      </c>
      <c r="AM46" s="268">
        <f t="shared" si="28"/>
        <v>0</v>
      </c>
      <c r="AN46" s="268">
        <f t="shared" si="28"/>
        <v>0</v>
      </c>
      <c r="AO46" s="268">
        <f t="shared" si="28"/>
        <v>0</v>
      </c>
      <c r="AP46" s="268">
        <f t="shared" si="28"/>
        <v>0</v>
      </c>
      <c r="AQ46" s="268">
        <f t="shared" si="28"/>
        <v>0</v>
      </c>
      <c r="AR46" s="268">
        <f t="shared" si="28"/>
        <v>0</v>
      </c>
      <c r="AS46" s="268">
        <f t="shared" si="28"/>
        <v>0</v>
      </c>
      <c r="AT46" s="268">
        <f t="shared" si="28"/>
        <v>0</v>
      </c>
      <c r="AU46" s="268">
        <f t="shared" si="28"/>
        <v>0</v>
      </c>
      <c r="AV46" s="268">
        <f t="shared" si="28"/>
        <v>0</v>
      </c>
      <c r="AW46" s="268">
        <f t="shared" si="28"/>
        <v>0</v>
      </c>
      <c r="AX46" s="268">
        <f t="shared" si="28"/>
        <v>0</v>
      </c>
      <c r="AY46" s="268"/>
      <c r="AZ46" s="268"/>
      <c r="BA46" s="268"/>
      <c r="BB46" s="268"/>
    </row>
    <row r="47" ht="12.75" hidden="1" customHeight="1" outlineLevel="1">
      <c r="A47" s="90"/>
      <c r="C47" s="90" t="s">
        <v>515</v>
      </c>
      <c r="D47" s="90">
        <f t="shared" si="22"/>
        <v>7</v>
      </c>
      <c r="E47" s="113"/>
      <c r="F47" s="90"/>
      <c r="G47" s="90"/>
      <c r="H47" s="90"/>
      <c r="I47" s="90"/>
      <c r="J47" s="90"/>
      <c r="K47" s="90"/>
      <c r="L47" s="90"/>
      <c r="M47" s="268"/>
      <c r="N47" s="268"/>
      <c r="O47" s="268">
        <f>COUNTIF('Growth Model'!F$189:F$237,'Regional Roll-up'!$D47)</f>
        <v>0</v>
      </c>
      <c r="P47" s="268">
        <f>COUNTIF('Growth Model'!G$189:G$237,'Regional Roll-up'!$D47)</f>
        <v>0</v>
      </c>
      <c r="Q47" s="268">
        <f>COUNTIF('Growth Model'!H$189:H$237,'Regional Roll-up'!$D47)</f>
        <v>0</v>
      </c>
      <c r="R47" s="268">
        <f>COUNTIF('Growth Model'!I$189:I$237,'Regional Roll-up'!$D47)</f>
        <v>0</v>
      </c>
      <c r="S47" s="268">
        <f>COUNTIF('Growth Model'!J$189:J$237,'Regional Roll-up'!$D47)</f>
        <v>0</v>
      </c>
      <c r="T47" s="268">
        <f>COUNTIF('Growth Model'!K$189:K$237,'Regional Roll-up'!$D47)</f>
        <v>0</v>
      </c>
      <c r="U47" s="268">
        <f>COUNTIF('Growth Model'!L$189:L$237,'Regional Roll-up'!$D47)</f>
        <v>0</v>
      </c>
      <c r="V47" s="268">
        <f>COUNTIF('Growth Model'!M$189:M$237,'Regional Roll-up'!$D47)</f>
        <v>0</v>
      </c>
      <c r="W47" s="268">
        <f>COUNTIF('Growth Model'!N$189:N$237,'Regional Roll-up'!$D47)</f>
        <v>0</v>
      </c>
      <c r="X47" s="268">
        <f>COUNTIF('Growth Model'!O$189:O$237,'Regional Roll-up'!$D47)</f>
        <v>1</v>
      </c>
      <c r="Y47" s="268">
        <f>COUNTIF('Growth Model'!P$189:P$237,'Regional Roll-up'!$D47)</f>
        <v>1</v>
      </c>
      <c r="Z47" s="268">
        <f>COUNTIF('Growth Model'!Q$189:Q$237,'Regional Roll-up'!$D47)</f>
        <v>3</v>
      </c>
      <c r="AA47" s="268">
        <f>COUNTIF('Growth Model'!R$189:R$237,'Regional Roll-up'!$D47)</f>
        <v>6</v>
      </c>
      <c r="AB47" s="268">
        <f>COUNTIF('Growth Model'!S$189:S$237,'Regional Roll-up'!$D47)</f>
        <v>11</v>
      </c>
      <c r="AC47" s="268">
        <f>COUNTIF('Growth Model'!T$189:T$237,'Regional Roll-up'!$D47)</f>
        <v>19</v>
      </c>
      <c r="AD47" s="268">
        <f>COUNTIF('Growth Model'!U$189:U$237,'Regional Roll-up'!$D47)</f>
        <v>29</v>
      </c>
      <c r="AE47" s="268">
        <f>COUNTIF('Growth Model'!V$189:V$237,'Regional Roll-up'!$D47)</f>
        <v>39</v>
      </c>
      <c r="AF47" s="268">
        <f>COUNTIF('Growth Model'!W$189:W$237,'Regional Roll-up'!$D47)</f>
        <v>24</v>
      </c>
      <c r="AG47" s="268">
        <f>COUNTIF('Growth Model'!X$189:X$237,'Regional Roll-up'!$D47)</f>
        <v>24</v>
      </c>
      <c r="AH47" s="268">
        <f>COUNTIF('Growth Model'!Y$189:Y$237,'Regional Roll-up'!$D47)</f>
        <v>24</v>
      </c>
      <c r="AI47" s="268">
        <f>COUNTIF('Growth Model'!Z$189:Z$237,'Regional Roll-up'!$D47)</f>
        <v>24</v>
      </c>
      <c r="AJ47" s="268">
        <f>COUNTIF('Growth Model'!AA$189:AA$237,'Regional Roll-up'!$D47)</f>
        <v>24</v>
      </c>
      <c r="AK47" s="268">
        <f t="shared" ref="AK47:AX47" si="29">AJ47</f>
        <v>24</v>
      </c>
      <c r="AL47" s="268">
        <f t="shared" si="29"/>
        <v>24</v>
      </c>
      <c r="AM47" s="268">
        <f t="shared" si="29"/>
        <v>24</v>
      </c>
      <c r="AN47" s="268">
        <f t="shared" si="29"/>
        <v>24</v>
      </c>
      <c r="AO47" s="268">
        <f t="shared" si="29"/>
        <v>24</v>
      </c>
      <c r="AP47" s="268">
        <f t="shared" si="29"/>
        <v>24</v>
      </c>
      <c r="AQ47" s="268">
        <f t="shared" si="29"/>
        <v>24</v>
      </c>
      <c r="AR47" s="268">
        <f t="shared" si="29"/>
        <v>24</v>
      </c>
      <c r="AS47" s="268">
        <f t="shared" si="29"/>
        <v>24</v>
      </c>
      <c r="AT47" s="268">
        <f t="shared" si="29"/>
        <v>24</v>
      </c>
      <c r="AU47" s="268">
        <f t="shared" si="29"/>
        <v>24</v>
      </c>
      <c r="AV47" s="268">
        <f t="shared" si="29"/>
        <v>24</v>
      </c>
      <c r="AW47" s="268">
        <f t="shared" si="29"/>
        <v>24</v>
      </c>
      <c r="AX47" s="268">
        <f t="shared" si="29"/>
        <v>24</v>
      </c>
      <c r="AY47" s="268"/>
      <c r="AZ47" s="268"/>
      <c r="BA47" s="268"/>
      <c r="BB47" s="268"/>
    </row>
    <row r="48" ht="12.75" hidden="1" customHeight="1" outlineLevel="1">
      <c r="A48" s="90"/>
      <c r="B48" s="90"/>
      <c r="C48" s="90" t="s">
        <v>515</v>
      </c>
      <c r="D48" s="90">
        <f t="shared" si="22"/>
        <v>8</v>
      </c>
      <c r="E48" s="113"/>
      <c r="F48" s="90"/>
      <c r="G48" s="90"/>
      <c r="H48" s="90"/>
      <c r="I48" s="90"/>
      <c r="J48" s="90"/>
      <c r="K48" s="90"/>
      <c r="L48" s="90"/>
      <c r="M48" s="268"/>
      <c r="N48" s="268"/>
      <c r="O48" s="268">
        <f>COUNTIF('Growth Model'!F$189:F$237,'Regional Roll-up'!$D48)</f>
        <v>0</v>
      </c>
      <c r="P48" s="268">
        <f>COUNTIF('Growth Model'!G$189:G$237,'Regional Roll-up'!$D48)</f>
        <v>0</v>
      </c>
      <c r="Q48" s="268">
        <f>COUNTIF('Growth Model'!H$189:H$237,'Regional Roll-up'!$D48)</f>
        <v>0</v>
      </c>
      <c r="R48" s="268">
        <f>COUNTIF('Growth Model'!I$189:I$237,'Regional Roll-up'!$D48)</f>
        <v>0</v>
      </c>
      <c r="S48" s="268">
        <f>COUNTIF('Growth Model'!J$189:J$237,'Regional Roll-up'!$D48)</f>
        <v>0</v>
      </c>
      <c r="T48" s="268">
        <f>COUNTIF('Growth Model'!K$189:K$237,'Regional Roll-up'!$D48)</f>
        <v>0</v>
      </c>
      <c r="U48" s="268">
        <f>COUNTIF('Growth Model'!L$189:L$237,'Regional Roll-up'!$D48)</f>
        <v>0</v>
      </c>
      <c r="V48" s="268">
        <f>COUNTIF('Growth Model'!M$189:M$237,'Regional Roll-up'!$D48)</f>
        <v>0</v>
      </c>
      <c r="W48" s="268">
        <f>COUNTIF('Growth Model'!N$189:N$237,'Regional Roll-up'!$D48)</f>
        <v>0</v>
      </c>
      <c r="X48" s="268">
        <f>COUNTIF('Growth Model'!O$189:O$237,'Regional Roll-up'!$D48)</f>
        <v>0</v>
      </c>
      <c r="Y48" s="268">
        <f>COUNTIF('Growth Model'!P$189:P$237,'Regional Roll-up'!$D48)</f>
        <v>0</v>
      </c>
      <c r="Z48" s="268">
        <f>COUNTIF('Growth Model'!Q$189:Q$237,'Regional Roll-up'!$D48)</f>
        <v>0</v>
      </c>
      <c r="AA48" s="268">
        <f>COUNTIF('Growth Model'!R$189:R$237,'Regional Roll-up'!$D48)</f>
        <v>0</v>
      </c>
      <c r="AB48" s="268">
        <f>COUNTIF('Growth Model'!S$189:S$237,'Regional Roll-up'!$D48)</f>
        <v>0</v>
      </c>
      <c r="AC48" s="268">
        <f>COUNTIF('Growth Model'!T$189:T$237,'Regional Roll-up'!$D48)</f>
        <v>0</v>
      </c>
      <c r="AD48" s="268">
        <f>COUNTIF('Growth Model'!U$189:U$237,'Regional Roll-up'!$D48)</f>
        <v>3</v>
      </c>
      <c r="AE48" s="268">
        <f>COUNTIF('Growth Model'!V$189:V$237,'Regional Roll-up'!$D48)</f>
        <v>9</v>
      </c>
      <c r="AF48" s="268">
        <f>COUNTIF('Growth Model'!W$189:W$237,'Regional Roll-up'!$D48)</f>
        <v>20</v>
      </c>
      <c r="AG48" s="268">
        <f>COUNTIF('Growth Model'!X$189:X$237,'Regional Roll-up'!$D48)</f>
        <v>7</v>
      </c>
      <c r="AH48" s="268">
        <f>COUNTIF('Growth Model'!Y$189:Y$237,'Regional Roll-up'!$D48)</f>
        <v>7</v>
      </c>
      <c r="AI48" s="268">
        <f>COUNTIF('Growth Model'!Z$189:Z$237,'Regional Roll-up'!$D48)</f>
        <v>7</v>
      </c>
      <c r="AJ48" s="268">
        <f>COUNTIF('Growth Model'!AA$189:AA$237,'Regional Roll-up'!$D48)</f>
        <v>7</v>
      </c>
      <c r="AK48" s="268">
        <f t="shared" ref="AK48:AX48" si="30">AJ48</f>
        <v>7</v>
      </c>
      <c r="AL48" s="268">
        <f t="shared" si="30"/>
        <v>7</v>
      </c>
      <c r="AM48" s="268">
        <f t="shared" si="30"/>
        <v>7</v>
      </c>
      <c r="AN48" s="268">
        <f t="shared" si="30"/>
        <v>7</v>
      </c>
      <c r="AO48" s="268">
        <f t="shared" si="30"/>
        <v>7</v>
      </c>
      <c r="AP48" s="268">
        <f t="shared" si="30"/>
        <v>7</v>
      </c>
      <c r="AQ48" s="268">
        <f t="shared" si="30"/>
        <v>7</v>
      </c>
      <c r="AR48" s="268">
        <f t="shared" si="30"/>
        <v>7</v>
      </c>
      <c r="AS48" s="268">
        <f t="shared" si="30"/>
        <v>7</v>
      </c>
      <c r="AT48" s="268">
        <f t="shared" si="30"/>
        <v>7</v>
      </c>
      <c r="AU48" s="268">
        <f t="shared" si="30"/>
        <v>7</v>
      </c>
      <c r="AV48" s="268">
        <f t="shared" si="30"/>
        <v>7</v>
      </c>
      <c r="AW48" s="268">
        <f t="shared" si="30"/>
        <v>7</v>
      </c>
      <c r="AX48" s="268">
        <f t="shared" si="30"/>
        <v>7</v>
      </c>
      <c r="AY48" s="268"/>
      <c r="AZ48" s="268"/>
      <c r="BA48" s="268"/>
      <c r="BB48" s="268"/>
    </row>
    <row r="49" ht="12.75" hidden="1" customHeight="1" outlineLevel="1">
      <c r="A49" s="90"/>
      <c r="B49" s="90"/>
      <c r="C49" s="90" t="s">
        <v>515</v>
      </c>
      <c r="D49" s="90">
        <f t="shared" si="22"/>
        <v>9</v>
      </c>
      <c r="E49" s="113"/>
      <c r="F49" s="90"/>
      <c r="G49" s="90"/>
      <c r="H49" s="90"/>
      <c r="I49" s="90"/>
      <c r="J49" s="90"/>
      <c r="K49" s="90"/>
      <c r="L49" s="90"/>
      <c r="M49" s="268"/>
      <c r="N49" s="268"/>
      <c r="O49" s="268">
        <f>COUNTIF('Growth Model'!F$189:F$237,'Regional Roll-up'!$D49)</f>
        <v>0</v>
      </c>
      <c r="P49" s="268">
        <f>COUNTIF('Growth Model'!G$189:G$237,'Regional Roll-up'!$D49)</f>
        <v>0</v>
      </c>
      <c r="Q49" s="268">
        <f>COUNTIF('Growth Model'!H$189:H$237,'Regional Roll-up'!$D49)</f>
        <v>0</v>
      </c>
      <c r="R49" s="268">
        <f>COUNTIF('Growth Model'!I$189:I$237,'Regional Roll-up'!$D49)</f>
        <v>0</v>
      </c>
      <c r="S49" s="268">
        <f>COUNTIF('Growth Model'!J$189:J$237,'Regional Roll-up'!$D49)</f>
        <v>0</v>
      </c>
      <c r="T49" s="268">
        <f>COUNTIF('Growth Model'!K$189:K$237,'Regional Roll-up'!$D49)</f>
        <v>0</v>
      </c>
      <c r="U49" s="268">
        <f>COUNTIF('Growth Model'!L$189:L$237,'Regional Roll-up'!$D49)</f>
        <v>0</v>
      </c>
      <c r="V49" s="268">
        <f>COUNTIF('Growth Model'!M$189:M$237,'Regional Roll-up'!$D49)</f>
        <v>0</v>
      </c>
      <c r="W49" s="268">
        <f>COUNTIF('Growth Model'!N$189:N$237,'Regional Roll-up'!$D49)</f>
        <v>0</v>
      </c>
      <c r="X49" s="268">
        <f>COUNTIF('Growth Model'!O$189:O$237,'Regional Roll-up'!$D49)</f>
        <v>0</v>
      </c>
      <c r="Y49" s="268">
        <f>COUNTIF('Growth Model'!P$189:P$237,'Regional Roll-up'!$D49)</f>
        <v>0</v>
      </c>
      <c r="Z49" s="268">
        <f>COUNTIF('Growth Model'!Q$189:Q$237,'Regional Roll-up'!$D49)</f>
        <v>0</v>
      </c>
      <c r="AA49" s="268">
        <f>COUNTIF('Growth Model'!R$189:R$237,'Regional Roll-up'!$D49)</f>
        <v>0</v>
      </c>
      <c r="AB49" s="268">
        <f>COUNTIF('Growth Model'!S$189:S$237,'Regional Roll-up'!$D49)</f>
        <v>0</v>
      </c>
      <c r="AC49" s="268">
        <f>COUNTIF('Growth Model'!T$189:T$237,'Regional Roll-up'!$D49)</f>
        <v>0</v>
      </c>
      <c r="AD49" s="268">
        <f>COUNTIF('Growth Model'!U$189:U$237,'Regional Roll-up'!$D49)</f>
        <v>0</v>
      </c>
      <c r="AE49" s="268">
        <f>COUNTIF('Growth Model'!V$189:V$237,'Regional Roll-up'!$D49)</f>
        <v>1</v>
      </c>
      <c r="AF49" s="268">
        <f>COUNTIF('Growth Model'!W$189:W$237,'Regional Roll-up'!$D49)</f>
        <v>5</v>
      </c>
      <c r="AG49" s="268">
        <f>COUNTIF('Growth Model'!X$189:X$237,'Regional Roll-up'!$D49)</f>
        <v>18</v>
      </c>
      <c r="AH49" s="268">
        <f>COUNTIF('Growth Model'!Y$189:Y$237,'Regional Roll-up'!$D49)</f>
        <v>15</v>
      </c>
      <c r="AI49" s="268">
        <f>COUNTIF('Growth Model'!Z$189:Z$237,'Regional Roll-up'!$D49)</f>
        <v>15</v>
      </c>
      <c r="AJ49" s="268">
        <f>COUNTIF('Growth Model'!AA$189:AA$237,'Regional Roll-up'!$D49)</f>
        <v>15</v>
      </c>
      <c r="AK49" s="268">
        <f t="shared" ref="AK49:AX49" si="31">AJ49</f>
        <v>15</v>
      </c>
      <c r="AL49" s="268">
        <f t="shared" si="31"/>
        <v>15</v>
      </c>
      <c r="AM49" s="268">
        <f t="shared" si="31"/>
        <v>15</v>
      </c>
      <c r="AN49" s="268">
        <f t="shared" si="31"/>
        <v>15</v>
      </c>
      <c r="AO49" s="268">
        <f t="shared" si="31"/>
        <v>15</v>
      </c>
      <c r="AP49" s="268">
        <f t="shared" si="31"/>
        <v>15</v>
      </c>
      <c r="AQ49" s="268">
        <f t="shared" si="31"/>
        <v>15</v>
      </c>
      <c r="AR49" s="268">
        <f t="shared" si="31"/>
        <v>15</v>
      </c>
      <c r="AS49" s="268">
        <f t="shared" si="31"/>
        <v>15</v>
      </c>
      <c r="AT49" s="268">
        <f t="shared" si="31"/>
        <v>15</v>
      </c>
      <c r="AU49" s="268">
        <f t="shared" si="31"/>
        <v>15</v>
      </c>
      <c r="AV49" s="268">
        <f t="shared" si="31"/>
        <v>15</v>
      </c>
      <c r="AW49" s="268">
        <f t="shared" si="31"/>
        <v>15</v>
      </c>
      <c r="AX49" s="268">
        <f t="shared" si="31"/>
        <v>15</v>
      </c>
      <c r="AY49" s="268"/>
      <c r="AZ49" s="268"/>
      <c r="BA49" s="268"/>
      <c r="BB49" s="268"/>
    </row>
    <row r="50" ht="12.75" hidden="1" customHeight="1" outlineLevel="1">
      <c r="A50" s="90"/>
      <c r="C50" s="90" t="s">
        <v>515</v>
      </c>
      <c r="D50" s="90">
        <f t="shared" si="22"/>
        <v>10</v>
      </c>
      <c r="E50" s="113"/>
      <c r="F50" s="90"/>
      <c r="G50" s="90"/>
      <c r="H50" s="90"/>
      <c r="I50" s="90"/>
      <c r="J50" s="90"/>
      <c r="K50" s="90"/>
      <c r="L50" s="90"/>
      <c r="M50" s="268"/>
      <c r="N50" s="268"/>
      <c r="O50" s="268">
        <f>COUNTIF('Growth Model'!F$189:F$237,'Regional Roll-up'!$D50)</f>
        <v>0</v>
      </c>
      <c r="P50" s="268">
        <f>COUNTIF('Growth Model'!G$189:G$237,'Regional Roll-up'!$D50)</f>
        <v>0</v>
      </c>
      <c r="Q50" s="268">
        <f>COUNTIF('Growth Model'!H$189:H$237,'Regional Roll-up'!$D50)</f>
        <v>0</v>
      </c>
      <c r="R50" s="268">
        <f>COUNTIF('Growth Model'!I$189:I$237,'Regional Roll-up'!$D50)</f>
        <v>0</v>
      </c>
      <c r="S50" s="268">
        <f>COUNTIF('Growth Model'!J$189:J$237,'Regional Roll-up'!$D50)</f>
        <v>0</v>
      </c>
      <c r="T50" s="268">
        <f>COUNTIF('Growth Model'!K$189:K$237,'Regional Roll-up'!$D50)</f>
        <v>0</v>
      </c>
      <c r="U50" s="268">
        <f>COUNTIF('Growth Model'!L$189:L$237,'Regional Roll-up'!$D50)</f>
        <v>0</v>
      </c>
      <c r="V50" s="268">
        <f>COUNTIF('Growth Model'!M$189:M$237,'Regional Roll-up'!$D50)</f>
        <v>0</v>
      </c>
      <c r="W50" s="268">
        <f>COUNTIF('Growth Model'!N$189:N$237,'Regional Roll-up'!$D50)</f>
        <v>0</v>
      </c>
      <c r="X50" s="268">
        <f>COUNTIF('Growth Model'!O$189:O$237,'Regional Roll-up'!$D50)</f>
        <v>0</v>
      </c>
      <c r="Y50" s="268">
        <f>COUNTIF('Growth Model'!P$189:P$237,'Regional Roll-up'!$D50)</f>
        <v>0</v>
      </c>
      <c r="Z50" s="268">
        <f>COUNTIF('Growth Model'!Q$189:Q$237,'Regional Roll-up'!$D50)</f>
        <v>0</v>
      </c>
      <c r="AA50" s="268">
        <f>COUNTIF('Growth Model'!R$189:R$237,'Regional Roll-up'!$D50)</f>
        <v>0</v>
      </c>
      <c r="AB50" s="268">
        <f>COUNTIF('Growth Model'!S$189:S$237,'Regional Roll-up'!$D50)</f>
        <v>0</v>
      </c>
      <c r="AC50" s="268">
        <f>COUNTIF('Growth Model'!T$189:T$237,'Regional Roll-up'!$D50)</f>
        <v>0</v>
      </c>
      <c r="AD50" s="268">
        <f>COUNTIF('Growth Model'!U$189:U$237,'Regional Roll-up'!$D50)</f>
        <v>0</v>
      </c>
      <c r="AE50" s="268">
        <f>COUNTIF('Growth Model'!V$189:V$237,'Regional Roll-up'!$D50)</f>
        <v>0</v>
      </c>
      <c r="AF50" s="268">
        <f>COUNTIF('Growth Model'!W$189:W$237,'Regional Roll-up'!$D50)</f>
        <v>0</v>
      </c>
      <c r="AG50" s="268">
        <f>COUNTIF('Growth Model'!X$189:X$237,'Regional Roll-up'!$D50)</f>
        <v>0</v>
      </c>
      <c r="AH50" s="268">
        <f>COUNTIF('Growth Model'!Y$189:Y$237,'Regional Roll-up'!$D50)</f>
        <v>3</v>
      </c>
      <c r="AI50" s="268">
        <f>COUNTIF('Growth Model'!Z$189:Z$237,'Regional Roll-up'!$D50)</f>
        <v>3</v>
      </c>
      <c r="AJ50" s="268">
        <f>COUNTIF('Growth Model'!AA$189:AA$237,'Regional Roll-up'!$D50)</f>
        <v>3</v>
      </c>
      <c r="AK50" s="268">
        <f t="shared" ref="AK50:AX50" si="32">AJ50</f>
        <v>3</v>
      </c>
      <c r="AL50" s="268">
        <f t="shared" si="32"/>
        <v>3</v>
      </c>
      <c r="AM50" s="268">
        <f t="shared" si="32"/>
        <v>3</v>
      </c>
      <c r="AN50" s="268">
        <f t="shared" si="32"/>
        <v>3</v>
      </c>
      <c r="AO50" s="268">
        <f t="shared" si="32"/>
        <v>3</v>
      </c>
      <c r="AP50" s="268">
        <f t="shared" si="32"/>
        <v>3</v>
      </c>
      <c r="AQ50" s="268">
        <f t="shared" si="32"/>
        <v>3</v>
      </c>
      <c r="AR50" s="268">
        <f t="shared" si="32"/>
        <v>3</v>
      </c>
      <c r="AS50" s="268">
        <f t="shared" si="32"/>
        <v>3</v>
      </c>
      <c r="AT50" s="268">
        <f t="shared" si="32"/>
        <v>3</v>
      </c>
      <c r="AU50" s="268">
        <f t="shared" si="32"/>
        <v>3</v>
      </c>
      <c r="AV50" s="268">
        <f t="shared" si="32"/>
        <v>3</v>
      </c>
      <c r="AW50" s="268">
        <f t="shared" si="32"/>
        <v>3</v>
      </c>
      <c r="AX50" s="268">
        <f t="shared" si="32"/>
        <v>3</v>
      </c>
      <c r="AY50" s="268"/>
      <c r="AZ50" s="268"/>
      <c r="BA50" s="268"/>
      <c r="BB50" s="268"/>
    </row>
    <row r="51" ht="12.75" hidden="1" customHeight="1" outlineLevel="1">
      <c r="A51" s="90"/>
      <c r="C51" s="90" t="s">
        <v>515</v>
      </c>
      <c r="D51" s="90">
        <f t="shared" si="22"/>
        <v>11</v>
      </c>
      <c r="E51" s="113"/>
      <c r="F51" s="90"/>
      <c r="G51" s="90"/>
      <c r="H51" s="90"/>
      <c r="I51" s="90"/>
      <c r="J51" s="90"/>
      <c r="K51" s="90"/>
      <c r="L51" s="90"/>
      <c r="M51" s="268"/>
      <c r="N51" s="268"/>
      <c r="O51" s="268">
        <f>COUNTIF('Growth Model'!F$189:F$237,'Regional Roll-up'!$D51)</f>
        <v>0</v>
      </c>
      <c r="P51" s="268">
        <f>IF(O50=0,0,1+O50)</f>
        <v>0</v>
      </c>
      <c r="Q51" s="268">
        <f>COUNTIF('Growth Model'!H$189:H$237,'Regional Roll-up'!$D51)</f>
        <v>0</v>
      </c>
      <c r="R51" s="268">
        <f>COUNTIF('Growth Model'!I$189:I$237,'Regional Roll-up'!$D51)</f>
        <v>0</v>
      </c>
      <c r="S51" s="268">
        <f>COUNTIF('Growth Model'!J$189:J$237,'Regional Roll-up'!$D51)</f>
        <v>0</v>
      </c>
      <c r="T51" s="268">
        <f>COUNTIF('Growth Model'!K$189:K$237,'Regional Roll-up'!$D51)</f>
        <v>0</v>
      </c>
      <c r="U51" s="268">
        <f>COUNTIF('Growth Model'!L$189:L$237,'Regional Roll-up'!$D51)</f>
        <v>0</v>
      </c>
      <c r="V51" s="268">
        <f>COUNTIF('Growth Model'!M$189:M$237,'Regional Roll-up'!$D51)</f>
        <v>0</v>
      </c>
      <c r="W51" s="268">
        <f>COUNTIF('Growth Model'!N$189:N$237,'Regional Roll-up'!$D51)</f>
        <v>0</v>
      </c>
      <c r="X51" s="268">
        <f>COUNTIF('Growth Model'!O$189:O$237,'Regional Roll-up'!$D51)</f>
        <v>0</v>
      </c>
      <c r="Y51" s="268">
        <f>COUNTIF('Growth Model'!P$189:P$237,'Regional Roll-up'!$D51)</f>
        <v>0</v>
      </c>
      <c r="Z51" s="268">
        <f>COUNTIF('Growth Model'!Q$189:Q$237,'Regional Roll-up'!$D51)</f>
        <v>0</v>
      </c>
      <c r="AA51" s="268">
        <f>COUNTIF('Growth Model'!R$189:R$237,'Regional Roll-up'!$D51)</f>
        <v>0</v>
      </c>
      <c r="AB51" s="268">
        <f>COUNTIF('Growth Model'!S$189:S$237,'Regional Roll-up'!$D51)</f>
        <v>0</v>
      </c>
      <c r="AC51" s="268">
        <f>COUNTIF('Growth Model'!T$189:T$237,'Regional Roll-up'!$D51)</f>
        <v>0</v>
      </c>
      <c r="AD51" s="268">
        <f>COUNTIF('Growth Model'!U$189:U$237,'Regional Roll-up'!$D51)</f>
        <v>0</v>
      </c>
      <c r="AE51" s="268">
        <f>COUNTIF('Growth Model'!V$189:V$237,'Regional Roll-up'!$D51)</f>
        <v>0</v>
      </c>
      <c r="AF51" s="268">
        <f>COUNTIF('Growth Model'!W$189:W$237,'Regional Roll-up'!$D51)</f>
        <v>0</v>
      </c>
      <c r="AG51" s="268">
        <f>COUNTIF('Growth Model'!X$189:X$237,'Regional Roll-up'!$D51)</f>
        <v>0</v>
      </c>
      <c r="AH51" s="268">
        <f>COUNTIF('Growth Model'!Y$189:Y$237,'Regional Roll-up'!$D51)</f>
        <v>0</v>
      </c>
      <c r="AI51" s="268">
        <f>COUNTIF('Growth Model'!Z$189:Z$237,'Regional Roll-up'!$D51)</f>
        <v>0</v>
      </c>
      <c r="AJ51" s="268">
        <f>COUNTIF('Growth Model'!AA$189:AA$237,'Regional Roll-up'!$D51)</f>
        <v>0</v>
      </c>
      <c r="AK51" s="268">
        <f t="shared" ref="AK51:AX51" si="33">AJ51</f>
        <v>0</v>
      </c>
      <c r="AL51" s="268">
        <f t="shared" si="33"/>
        <v>0</v>
      </c>
      <c r="AM51" s="268">
        <f t="shared" si="33"/>
        <v>0</v>
      </c>
      <c r="AN51" s="268">
        <f t="shared" si="33"/>
        <v>0</v>
      </c>
      <c r="AO51" s="268">
        <f t="shared" si="33"/>
        <v>0</v>
      </c>
      <c r="AP51" s="268">
        <f t="shared" si="33"/>
        <v>0</v>
      </c>
      <c r="AQ51" s="268">
        <f t="shared" si="33"/>
        <v>0</v>
      </c>
      <c r="AR51" s="268">
        <f t="shared" si="33"/>
        <v>0</v>
      </c>
      <c r="AS51" s="268">
        <f t="shared" si="33"/>
        <v>0</v>
      </c>
      <c r="AT51" s="268">
        <f t="shared" si="33"/>
        <v>0</v>
      </c>
      <c r="AU51" s="268">
        <f t="shared" si="33"/>
        <v>0</v>
      </c>
      <c r="AV51" s="268">
        <f t="shared" si="33"/>
        <v>0</v>
      </c>
      <c r="AW51" s="268">
        <f t="shared" si="33"/>
        <v>0</v>
      </c>
      <c r="AX51" s="268">
        <f t="shared" si="33"/>
        <v>0</v>
      </c>
      <c r="AY51" s="268"/>
      <c r="AZ51" s="268"/>
      <c r="BA51" s="268"/>
      <c r="BB51" s="268"/>
    </row>
    <row r="52" ht="12.75" hidden="1" customHeight="1" outlineLevel="1">
      <c r="A52" s="90"/>
      <c r="C52" s="90" t="s">
        <v>515</v>
      </c>
      <c r="D52" s="90">
        <f t="shared" si="22"/>
        <v>12</v>
      </c>
      <c r="E52" s="113"/>
      <c r="F52" s="90"/>
      <c r="G52" s="90"/>
      <c r="H52" s="90"/>
      <c r="I52" s="90"/>
      <c r="J52" s="90"/>
      <c r="K52" s="90"/>
      <c r="L52" s="90"/>
      <c r="M52" s="268"/>
      <c r="N52" s="268"/>
      <c r="O52" s="268">
        <f>COUNTIF('Growth Model'!F$189:F$237,'Regional Roll-up'!$D52)</f>
        <v>0</v>
      </c>
      <c r="P52" s="268">
        <f>COUNTIF('Growth Model'!G$189:G$237,'Regional Roll-up'!$D52)</f>
        <v>0</v>
      </c>
      <c r="Q52" s="268">
        <f>COUNTIF('Growth Model'!H$189:H$237,'Regional Roll-up'!$D52)</f>
        <v>0</v>
      </c>
      <c r="R52" s="268">
        <f>COUNTIF('Growth Model'!I$189:I$237,'Regional Roll-up'!$D52)</f>
        <v>0</v>
      </c>
      <c r="S52" s="268">
        <f>COUNTIF('Growth Model'!J$189:J$237,'Regional Roll-up'!$D52)</f>
        <v>0</v>
      </c>
      <c r="T52" s="268">
        <f>COUNTIF('Growth Model'!K$189:K$237,'Regional Roll-up'!$D52)</f>
        <v>0</v>
      </c>
      <c r="U52" s="268">
        <f>COUNTIF('Growth Model'!L$189:L$237,'Regional Roll-up'!$D52)</f>
        <v>0</v>
      </c>
      <c r="V52" s="268">
        <f>COUNTIF('Growth Model'!M$189:M$237,'Regional Roll-up'!$D52)</f>
        <v>0</v>
      </c>
      <c r="W52" s="268">
        <f>COUNTIF('Growth Model'!N$189:N$237,'Regional Roll-up'!$D52)</f>
        <v>0</v>
      </c>
      <c r="X52" s="268">
        <f>COUNTIF('Growth Model'!O$189:O$237,'Regional Roll-up'!$D52)</f>
        <v>0</v>
      </c>
      <c r="Y52" s="268">
        <f>COUNTIF('Growth Model'!P$189:P$237,'Regional Roll-up'!$D52)</f>
        <v>0</v>
      </c>
      <c r="Z52" s="268">
        <f>COUNTIF('Growth Model'!Q$189:Q$237,'Regional Roll-up'!$D52)</f>
        <v>0</v>
      </c>
      <c r="AA52" s="268">
        <f>COUNTIF('Growth Model'!R$189:R$237,'Regional Roll-up'!$D52)</f>
        <v>0</v>
      </c>
      <c r="AB52" s="268">
        <f>COUNTIF('Growth Model'!S$189:S$237,'Regional Roll-up'!$D52)</f>
        <v>0</v>
      </c>
      <c r="AC52" s="268">
        <f>COUNTIF('Growth Model'!T$189:T$237,'Regional Roll-up'!$D52)</f>
        <v>0</v>
      </c>
      <c r="AD52" s="268">
        <f>COUNTIF('Growth Model'!U$189:U$237,'Regional Roll-up'!$D52)</f>
        <v>0</v>
      </c>
      <c r="AE52" s="268">
        <f>COUNTIF('Growth Model'!V$189:V$237,'Regional Roll-up'!$D52)</f>
        <v>0</v>
      </c>
      <c r="AF52" s="268">
        <f>COUNTIF('Growth Model'!W$189:W$237,'Regional Roll-up'!$D52)</f>
        <v>0</v>
      </c>
      <c r="AG52" s="268">
        <f>COUNTIF('Growth Model'!X$189:X$237,'Regional Roll-up'!$D52)</f>
        <v>0</v>
      </c>
      <c r="AH52" s="268">
        <f>COUNTIF('Growth Model'!Y$189:Y$237,'Regional Roll-up'!$D52)</f>
        <v>0</v>
      </c>
      <c r="AI52" s="268">
        <f>COUNTIF('Growth Model'!Z$189:Z$237,'Regional Roll-up'!$D52)</f>
        <v>0</v>
      </c>
      <c r="AJ52" s="268">
        <f>COUNTIF('Growth Model'!AA$189:AA$237,'Regional Roll-up'!$D52)</f>
        <v>0</v>
      </c>
      <c r="AK52" s="268">
        <f t="shared" ref="AK52:AX52" si="34">AJ52</f>
        <v>0</v>
      </c>
      <c r="AL52" s="268">
        <f t="shared" si="34"/>
        <v>0</v>
      </c>
      <c r="AM52" s="268">
        <f t="shared" si="34"/>
        <v>0</v>
      </c>
      <c r="AN52" s="268">
        <f t="shared" si="34"/>
        <v>0</v>
      </c>
      <c r="AO52" s="268">
        <f t="shared" si="34"/>
        <v>0</v>
      </c>
      <c r="AP52" s="268">
        <f t="shared" si="34"/>
        <v>0</v>
      </c>
      <c r="AQ52" s="268">
        <f t="shared" si="34"/>
        <v>0</v>
      </c>
      <c r="AR52" s="268">
        <f t="shared" si="34"/>
        <v>0</v>
      </c>
      <c r="AS52" s="268">
        <f t="shared" si="34"/>
        <v>0</v>
      </c>
      <c r="AT52" s="268">
        <f t="shared" si="34"/>
        <v>0</v>
      </c>
      <c r="AU52" s="268">
        <f t="shared" si="34"/>
        <v>0</v>
      </c>
      <c r="AV52" s="268">
        <f t="shared" si="34"/>
        <v>0</v>
      </c>
      <c r="AW52" s="268">
        <f t="shared" si="34"/>
        <v>0</v>
      </c>
      <c r="AX52" s="268">
        <f t="shared" si="34"/>
        <v>0</v>
      </c>
      <c r="AY52" s="268"/>
      <c r="AZ52" s="268"/>
      <c r="BA52" s="268"/>
      <c r="BB52" s="268"/>
    </row>
    <row r="53" ht="12.75" hidden="1" customHeight="1" outlineLevel="1">
      <c r="A53" s="90"/>
      <c r="C53" s="90" t="s">
        <v>515</v>
      </c>
      <c r="D53" s="90">
        <f t="shared" si="22"/>
        <v>13</v>
      </c>
      <c r="E53" s="113"/>
      <c r="F53" s="90"/>
      <c r="G53" s="90"/>
      <c r="H53" s="90"/>
      <c r="I53" s="90"/>
      <c r="J53" s="90"/>
      <c r="K53" s="90"/>
      <c r="L53" s="90"/>
      <c r="M53" s="268"/>
      <c r="N53" s="268"/>
      <c r="O53" s="268">
        <f>COUNTIF('Growth Model'!F$189:F$237,'Regional Roll-up'!$D53)</f>
        <v>0</v>
      </c>
      <c r="P53" s="268">
        <f>COUNTIF('Growth Model'!G$189:G$237,'Regional Roll-up'!$D53)</f>
        <v>0</v>
      </c>
      <c r="Q53" s="268">
        <f>COUNTIF('Growth Model'!H$189:H$237,'Regional Roll-up'!$D53)</f>
        <v>0</v>
      </c>
      <c r="R53" s="268">
        <f>COUNTIF('Growth Model'!I$189:I$237,'Regional Roll-up'!$D53)</f>
        <v>0</v>
      </c>
      <c r="S53" s="268">
        <f>COUNTIF('Growth Model'!J$189:J$237,'Regional Roll-up'!$D53)</f>
        <v>0</v>
      </c>
      <c r="T53" s="268">
        <f>COUNTIF('Growth Model'!K$189:K$237,'Regional Roll-up'!$D53)</f>
        <v>0</v>
      </c>
      <c r="U53" s="268">
        <f>COUNTIF('Growth Model'!L$189:L$237,'Regional Roll-up'!$D53)</f>
        <v>0</v>
      </c>
      <c r="V53" s="268">
        <f>COUNTIF('Growth Model'!M$189:M$237,'Regional Roll-up'!$D53)</f>
        <v>0</v>
      </c>
      <c r="W53" s="268">
        <f>COUNTIF('Growth Model'!N$189:N$237,'Regional Roll-up'!$D53)</f>
        <v>0</v>
      </c>
      <c r="X53" s="268">
        <f>COUNTIF('Growth Model'!O$189:O$237,'Regional Roll-up'!$D53)</f>
        <v>0</v>
      </c>
      <c r="Y53" s="268">
        <f>COUNTIF('Growth Model'!P$189:P$237,'Regional Roll-up'!$D53)</f>
        <v>0</v>
      </c>
      <c r="Z53" s="268">
        <f>COUNTIF('Growth Model'!Q$189:Q$237,'Regional Roll-up'!$D53)</f>
        <v>0</v>
      </c>
      <c r="AA53" s="268">
        <f>COUNTIF('Growth Model'!R$189:R$237,'Regional Roll-up'!$D53)</f>
        <v>0</v>
      </c>
      <c r="AB53" s="268">
        <f>COUNTIF('Growth Model'!S$189:S$237,'Regional Roll-up'!$D53)</f>
        <v>0</v>
      </c>
      <c r="AC53" s="268">
        <f>COUNTIF('Growth Model'!T$189:T$237,'Regional Roll-up'!$D53)</f>
        <v>0</v>
      </c>
      <c r="AD53" s="268">
        <f>COUNTIF('Growth Model'!U$189:U$237,'Regional Roll-up'!$D53)</f>
        <v>0</v>
      </c>
      <c r="AE53" s="268">
        <f>COUNTIF('Growth Model'!V$189:V$237,'Regional Roll-up'!$D53)</f>
        <v>0</v>
      </c>
      <c r="AF53" s="268">
        <f>COUNTIF('Growth Model'!W$189:W$237,'Regional Roll-up'!$D53)</f>
        <v>0</v>
      </c>
      <c r="AG53" s="268">
        <f>COUNTIF('Growth Model'!X$189:X$237,'Regional Roll-up'!$D53)</f>
        <v>0</v>
      </c>
      <c r="AH53" s="268">
        <f>COUNTIF('Growth Model'!Y$189:Y$237,'Regional Roll-up'!$D53)</f>
        <v>0</v>
      </c>
      <c r="AI53" s="268">
        <f>COUNTIF('Growth Model'!Z$189:Z$237,'Regional Roll-up'!$D53)</f>
        <v>0</v>
      </c>
      <c r="AJ53" s="268">
        <f>COUNTIF('Growth Model'!AA$189:AA$237,'Regional Roll-up'!$D53)</f>
        <v>0</v>
      </c>
      <c r="AK53" s="268">
        <f t="shared" ref="AK53:AX53" si="35">AJ53</f>
        <v>0</v>
      </c>
      <c r="AL53" s="268">
        <f t="shared" si="35"/>
        <v>0</v>
      </c>
      <c r="AM53" s="268">
        <f t="shared" si="35"/>
        <v>0</v>
      </c>
      <c r="AN53" s="268">
        <f t="shared" si="35"/>
        <v>0</v>
      </c>
      <c r="AO53" s="268">
        <f t="shared" si="35"/>
        <v>0</v>
      </c>
      <c r="AP53" s="268">
        <f t="shared" si="35"/>
        <v>0</v>
      </c>
      <c r="AQ53" s="268">
        <f t="shared" si="35"/>
        <v>0</v>
      </c>
      <c r="AR53" s="268">
        <f t="shared" si="35"/>
        <v>0</v>
      </c>
      <c r="AS53" s="268">
        <f t="shared" si="35"/>
        <v>0</v>
      </c>
      <c r="AT53" s="268">
        <f t="shared" si="35"/>
        <v>0</v>
      </c>
      <c r="AU53" s="268">
        <f t="shared" si="35"/>
        <v>0</v>
      </c>
      <c r="AV53" s="268">
        <f t="shared" si="35"/>
        <v>0</v>
      </c>
      <c r="AW53" s="268">
        <f t="shared" si="35"/>
        <v>0</v>
      </c>
      <c r="AX53" s="268">
        <f t="shared" si="35"/>
        <v>0</v>
      </c>
      <c r="AY53" s="268"/>
      <c r="AZ53" s="268"/>
      <c r="BA53" s="268"/>
      <c r="BB53" s="268"/>
    </row>
    <row r="54" ht="12.75" hidden="1" customHeight="1" outlineLevel="1">
      <c r="A54" s="90"/>
      <c r="C54" s="90" t="s">
        <v>515</v>
      </c>
      <c r="D54" s="90">
        <f t="shared" si="22"/>
        <v>14</v>
      </c>
      <c r="E54" s="113"/>
      <c r="F54" s="90"/>
      <c r="G54" s="90"/>
      <c r="H54" s="90"/>
      <c r="I54" s="90"/>
      <c r="J54" s="90"/>
      <c r="K54" s="90"/>
      <c r="L54" s="90"/>
      <c r="M54" s="268"/>
      <c r="N54" s="268"/>
      <c r="O54" s="268">
        <f>COUNTIF('Growth Model'!F$189:F$237,'Regional Roll-up'!$D54)</f>
        <v>0</v>
      </c>
      <c r="P54" s="268">
        <f>COUNTIF('Growth Model'!G$189:G$237,'Regional Roll-up'!$D54)</f>
        <v>0</v>
      </c>
      <c r="Q54" s="268">
        <f>COUNTIF('Growth Model'!H$189:H$237,'Regional Roll-up'!$D54)</f>
        <v>0</v>
      </c>
      <c r="R54" s="268">
        <f>COUNTIF('Growth Model'!I$189:I$237,'Regional Roll-up'!$D54)</f>
        <v>0</v>
      </c>
      <c r="S54" s="268">
        <f>COUNTIF('Growth Model'!J$189:J$237,'Regional Roll-up'!$D54)</f>
        <v>0</v>
      </c>
      <c r="T54" s="268">
        <f>COUNTIF('Growth Model'!K$189:K$237,'Regional Roll-up'!$D54)</f>
        <v>0</v>
      </c>
      <c r="U54" s="268">
        <f>COUNTIF('Growth Model'!L$189:L$237,'Regional Roll-up'!$D54)</f>
        <v>0</v>
      </c>
      <c r="V54" s="268">
        <f>COUNTIF('Growth Model'!M$189:M$237,'Regional Roll-up'!$D54)</f>
        <v>0</v>
      </c>
      <c r="W54" s="268">
        <f>COUNTIF('Growth Model'!N$189:N$237,'Regional Roll-up'!$D54)</f>
        <v>0</v>
      </c>
      <c r="X54" s="268">
        <f>COUNTIF('Growth Model'!O$189:O$237,'Regional Roll-up'!$D54)</f>
        <v>0</v>
      </c>
      <c r="Y54" s="268">
        <f>COUNTIF('Growth Model'!P$189:P$237,'Regional Roll-up'!$D54)</f>
        <v>0</v>
      </c>
      <c r="Z54" s="268">
        <f>COUNTIF('Growth Model'!Q$189:Q$237,'Regional Roll-up'!$D54)</f>
        <v>0</v>
      </c>
      <c r="AA54" s="268">
        <f>COUNTIF('Growth Model'!R$189:R$237,'Regional Roll-up'!$D54)</f>
        <v>0</v>
      </c>
      <c r="AB54" s="268">
        <f>COUNTIF('Growth Model'!S$189:S$237,'Regional Roll-up'!$D54)</f>
        <v>0</v>
      </c>
      <c r="AC54" s="268">
        <f>COUNTIF('Growth Model'!T$189:T$237,'Regional Roll-up'!$D54)</f>
        <v>0</v>
      </c>
      <c r="AD54" s="268">
        <f>COUNTIF('Growth Model'!U$189:U$237,'Regional Roll-up'!$D54)</f>
        <v>0</v>
      </c>
      <c r="AE54" s="268">
        <f>COUNTIF('Growth Model'!V$189:V$237,'Regional Roll-up'!$D54)</f>
        <v>0</v>
      </c>
      <c r="AF54" s="268">
        <f>COUNTIF('Growth Model'!W$189:W$237,'Regional Roll-up'!$D54)</f>
        <v>0</v>
      </c>
      <c r="AG54" s="268">
        <f>COUNTIF('Growth Model'!X$189:X$237,'Regional Roll-up'!$D54)</f>
        <v>0</v>
      </c>
      <c r="AH54" s="268">
        <f>COUNTIF('Growth Model'!Y$189:Y$237,'Regional Roll-up'!$D54)</f>
        <v>0</v>
      </c>
      <c r="AI54" s="268">
        <f>COUNTIF('Growth Model'!Z$189:Z$237,'Regional Roll-up'!$D54)</f>
        <v>0</v>
      </c>
      <c r="AJ54" s="268">
        <f>COUNTIF('Growth Model'!AA$189:AA$237,'Regional Roll-up'!$D54)</f>
        <v>0</v>
      </c>
      <c r="AK54" s="268">
        <f t="shared" ref="AK54:AX54" si="36">AJ54</f>
        <v>0</v>
      </c>
      <c r="AL54" s="268">
        <f t="shared" si="36"/>
        <v>0</v>
      </c>
      <c r="AM54" s="268">
        <f t="shared" si="36"/>
        <v>0</v>
      </c>
      <c r="AN54" s="268">
        <f t="shared" si="36"/>
        <v>0</v>
      </c>
      <c r="AO54" s="268">
        <f t="shared" si="36"/>
        <v>0</v>
      </c>
      <c r="AP54" s="268">
        <f t="shared" si="36"/>
        <v>0</v>
      </c>
      <c r="AQ54" s="268">
        <f t="shared" si="36"/>
        <v>0</v>
      </c>
      <c r="AR54" s="268">
        <f t="shared" si="36"/>
        <v>0</v>
      </c>
      <c r="AS54" s="268">
        <f t="shared" si="36"/>
        <v>0</v>
      </c>
      <c r="AT54" s="268">
        <f t="shared" si="36"/>
        <v>0</v>
      </c>
      <c r="AU54" s="268">
        <f t="shared" si="36"/>
        <v>0</v>
      </c>
      <c r="AV54" s="268">
        <f t="shared" si="36"/>
        <v>0</v>
      </c>
      <c r="AW54" s="268">
        <f t="shared" si="36"/>
        <v>0</v>
      </c>
      <c r="AX54" s="268">
        <f t="shared" si="36"/>
        <v>0</v>
      </c>
      <c r="AY54" s="268"/>
      <c r="AZ54" s="268"/>
      <c r="BA54" s="268"/>
      <c r="BB54" s="268"/>
    </row>
    <row r="55" ht="12.75" hidden="1" customHeight="1" outlineLevel="1">
      <c r="A55" s="90"/>
      <c r="C55" s="90" t="s">
        <v>515</v>
      </c>
      <c r="D55" s="90">
        <f t="shared" si="22"/>
        <v>15</v>
      </c>
      <c r="E55" s="113"/>
      <c r="F55" s="90"/>
      <c r="G55" s="90"/>
      <c r="H55" s="90"/>
      <c r="I55" s="90"/>
      <c r="J55" s="90"/>
      <c r="K55" s="90"/>
      <c r="L55" s="90"/>
      <c r="M55" s="268"/>
      <c r="N55" s="268"/>
      <c r="O55" s="268">
        <f>COUNTIF('Growth Model'!F$189:F$237,'Regional Roll-up'!$D55)</f>
        <v>0</v>
      </c>
      <c r="P55" s="268">
        <f>COUNTIF('Growth Model'!G$189:G$237,'Regional Roll-up'!$D55)</f>
        <v>0</v>
      </c>
      <c r="Q55" s="268">
        <f>COUNTIF('Growth Model'!H$189:H$237,'Regional Roll-up'!$D55)</f>
        <v>0</v>
      </c>
      <c r="R55" s="268">
        <f>COUNTIF('Growth Model'!I$189:I$237,'Regional Roll-up'!$D55)</f>
        <v>0</v>
      </c>
      <c r="S55" s="268">
        <f>COUNTIF('Growth Model'!J$189:J$237,'Regional Roll-up'!$D55)</f>
        <v>0</v>
      </c>
      <c r="T55" s="268">
        <f>COUNTIF('Growth Model'!K$189:K$237,'Regional Roll-up'!$D55)</f>
        <v>0</v>
      </c>
      <c r="U55" s="268">
        <f>COUNTIF('Growth Model'!L$189:L$237,'Regional Roll-up'!$D55)</f>
        <v>0</v>
      </c>
      <c r="V55" s="268">
        <f>COUNTIF('Growth Model'!M$189:M$237,'Regional Roll-up'!$D55)</f>
        <v>0</v>
      </c>
      <c r="W55" s="268">
        <f>COUNTIF('Growth Model'!N$189:N$237,'Regional Roll-up'!$D55)</f>
        <v>0</v>
      </c>
      <c r="X55" s="268">
        <f>COUNTIF('Growth Model'!O$189:O$237,'Regional Roll-up'!$D55)</f>
        <v>0</v>
      </c>
      <c r="Y55" s="268">
        <f>COUNTIF('Growth Model'!P$189:P$237,'Regional Roll-up'!$D55)</f>
        <v>0</v>
      </c>
      <c r="Z55" s="268">
        <f>COUNTIF('Growth Model'!Q$189:Q$237,'Regional Roll-up'!$D55)</f>
        <v>0</v>
      </c>
      <c r="AA55" s="268">
        <f>COUNTIF('Growth Model'!R$189:R$237,'Regional Roll-up'!$D55)</f>
        <v>0</v>
      </c>
      <c r="AB55" s="268">
        <f>COUNTIF('Growth Model'!S$189:S$237,'Regional Roll-up'!$D55)</f>
        <v>0</v>
      </c>
      <c r="AC55" s="268">
        <f>COUNTIF('Growth Model'!T$189:T$237,'Regional Roll-up'!$D55)</f>
        <v>0</v>
      </c>
      <c r="AD55" s="268">
        <f>COUNTIF('Growth Model'!U$189:U$237,'Regional Roll-up'!$D55)</f>
        <v>0</v>
      </c>
      <c r="AE55" s="268">
        <f>COUNTIF('Growth Model'!V$189:V$237,'Regional Roll-up'!$D55)</f>
        <v>0</v>
      </c>
      <c r="AF55" s="268">
        <f>COUNTIF('Growth Model'!W$189:W$237,'Regional Roll-up'!$D55)</f>
        <v>0</v>
      </c>
      <c r="AG55" s="268">
        <f>COUNTIF('Growth Model'!X$189:X$237,'Regional Roll-up'!$D55)</f>
        <v>0</v>
      </c>
      <c r="AH55" s="268">
        <f>COUNTIF('Growth Model'!Y$189:Y$237,'Regional Roll-up'!$D55)</f>
        <v>0</v>
      </c>
      <c r="AI55" s="268">
        <f>COUNTIF('Growth Model'!Z$189:Z$237,'Regional Roll-up'!$D55)</f>
        <v>0</v>
      </c>
      <c r="AJ55" s="268">
        <f>COUNTIF('Growth Model'!AA$189:AA$237,'Regional Roll-up'!$D55)</f>
        <v>0</v>
      </c>
      <c r="AK55" s="268">
        <f t="shared" ref="AK55:AX55" si="37">AJ55</f>
        <v>0</v>
      </c>
      <c r="AL55" s="268">
        <f t="shared" si="37"/>
        <v>0</v>
      </c>
      <c r="AM55" s="268">
        <f t="shared" si="37"/>
        <v>0</v>
      </c>
      <c r="AN55" s="268">
        <f t="shared" si="37"/>
        <v>0</v>
      </c>
      <c r="AO55" s="268">
        <f t="shared" si="37"/>
        <v>0</v>
      </c>
      <c r="AP55" s="268">
        <f t="shared" si="37"/>
        <v>0</v>
      </c>
      <c r="AQ55" s="268">
        <f t="shared" si="37"/>
        <v>0</v>
      </c>
      <c r="AR55" s="268">
        <f t="shared" si="37"/>
        <v>0</v>
      </c>
      <c r="AS55" s="268">
        <f t="shared" si="37"/>
        <v>0</v>
      </c>
      <c r="AT55" s="268">
        <f t="shared" si="37"/>
        <v>0</v>
      </c>
      <c r="AU55" s="268">
        <f t="shared" si="37"/>
        <v>0</v>
      </c>
      <c r="AV55" s="268">
        <f t="shared" si="37"/>
        <v>0</v>
      </c>
      <c r="AW55" s="268">
        <f t="shared" si="37"/>
        <v>0</v>
      </c>
      <c r="AX55" s="268">
        <f t="shared" si="37"/>
        <v>0</v>
      </c>
      <c r="AY55" s="268"/>
      <c r="AZ55" s="268"/>
      <c r="BA55" s="268"/>
      <c r="BB55" s="268"/>
    </row>
    <row r="56" ht="12.75" hidden="1" customHeight="1" outlineLevel="1">
      <c r="A56" s="90"/>
      <c r="B56" s="90"/>
      <c r="C56" s="90" t="s">
        <v>515</v>
      </c>
      <c r="D56" s="90">
        <f t="shared" si="22"/>
        <v>16</v>
      </c>
      <c r="E56" s="113"/>
      <c r="F56" s="90"/>
      <c r="G56" s="90"/>
      <c r="H56" s="90"/>
      <c r="I56" s="90"/>
      <c r="J56" s="90"/>
      <c r="K56" s="90"/>
      <c r="L56" s="90"/>
      <c r="M56" s="268"/>
      <c r="N56" s="268"/>
      <c r="O56" s="268">
        <f>COUNTIF('Growth Model'!F$189:F$237,'Regional Roll-up'!$D56)</f>
        <v>0</v>
      </c>
      <c r="P56" s="268">
        <f>COUNTIF('Growth Model'!G$189:G$237,'Regional Roll-up'!$D56)</f>
        <v>0</v>
      </c>
      <c r="Q56" s="268">
        <f>COUNTIF('Growth Model'!H$189:H$237,'Regional Roll-up'!$D56)</f>
        <v>0</v>
      </c>
      <c r="R56" s="268">
        <f>COUNTIF('Growth Model'!I$189:I$237,'Regional Roll-up'!$D56)</f>
        <v>0</v>
      </c>
      <c r="S56" s="268">
        <f>COUNTIF('Growth Model'!J$189:J$237,'Regional Roll-up'!$D56)</f>
        <v>0</v>
      </c>
      <c r="T56" s="268">
        <f>COUNTIF('Growth Model'!K$189:K$237,'Regional Roll-up'!$D56)</f>
        <v>0</v>
      </c>
      <c r="U56" s="268">
        <f>COUNTIF('Growth Model'!L$189:L$237,'Regional Roll-up'!$D56)</f>
        <v>0</v>
      </c>
      <c r="V56" s="268">
        <f>COUNTIF('Growth Model'!M$189:M$237,'Regional Roll-up'!$D56)</f>
        <v>0</v>
      </c>
      <c r="W56" s="268">
        <f>COUNTIF('Growth Model'!N$189:N$237,'Regional Roll-up'!$D56)</f>
        <v>0</v>
      </c>
      <c r="X56" s="268">
        <f>COUNTIF('Growth Model'!O$189:O$237,'Regional Roll-up'!$D56)</f>
        <v>0</v>
      </c>
      <c r="Y56" s="268">
        <f>COUNTIF('Growth Model'!P$189:P$237,'Regional Roll-up'!$D56)</f>
        <v>0</v>
      </c>
      <c r="Z56" s="268">
        <f>COUNTIF('Growth Model'!Q$189:Q$237,'Regional Roll-up'!$D56)</f>
        <v>0</v>
      </c>
      <c r="AA56" s="268">
        <f>COUNTIF('Growth Model'!R$189:R$237,'Regional Roll-up'!$D56)</f>
        <v>0</v>
      </c>
      <c r="AB56" s="268">
        <f>COUNTIF('Growth Model'!S$189:S$237,'Regional Roll-up'!$D56)</f>
        <v>0</v>
      </c>
      <c r="AC56" s="268">
        <f>COUNTIF('Growth Model'!T$189:T$237,'Regional Roll-up'!$D56)</f>
        <v>0</v>
      </c>
      <c r="AD56" s="268">
        <f>COUNTIF('Growth Model'!U$189:U$237,'Regional Roll-up'!$D56)</f>
        <v>0</v>
      </c>
      <c r="AE56" s="268">
        <f>COUNTIF('Growth Model'!V$189:V$237,'Regional Roll-up'!$D56)</f>
        <v>0</v>
      </c>
      <c r="AF56" s="268">
        <f>COUNTIF('Growth Model'!W$189:W$237,'Regional Roll-up'!$D56)</f>
        <v>0</v>
      </c>
      <c r="AG56" s="268">
        <f>COUNTIF('Growth Model'!X$189:X$237,'Regional Roll-up'!$D56)</f>
        <v>0</v>
      </c>
      <c r="AH56" s="268">
        <f>COUNTIF('Growth Model'!Y$189:Y$237,'Regional Roll-up'!$D56)</f>
        <v>0</v>
      </c>
      <c r="AI56" s="268">
        <f>COUNTIF('Growth Model'!Z$189:Z$237,'Regional Roll-up'!$D56)</f>
        <v>0</v>
      </c>
      <c r="AJ56" s="268">
        <f>COUNTIF('Growth Model'!AA$189:AA$237,'Regional Roll-up'!$D56)</f>
        <v>0</v>
      </c>
      <c r="AK56" s="268">
        <f t="shared" ref="AK56:AX56" si="38">AJ56</f>
        <v>0</v>
      </c>
      <c r="AL56" s="268">
        <f t="shared" si="38"/>
        <v>0</v>
      </c>
      <c r="AM56" s="268">
        <f t="shared" si="38"/>
        <v>0</v>
      </c>
      <c r="AN56" s="268">
        <f t="shared" si="38"/>
        <v>0</v>
      </c>
      <c r="AO56" s="268">
        <f t="shared" si="38"/>
        <v>0</v>
      </c>
      <c r="AP56" s="268">
        <f t="shared" si="38"/>
        <v>0</v>
      </c>
      <c r="AQ56" s="268">
        <f t="shared" si="38"/>
        <v>0</v>
      </c>
      <c r="AR56" s="268">
        <f t="shared" si="38"/>
        <v>0</v>
      </c>
      <c r="AS56" s="268">
        <f t="shared" si="38"/>
        <v>0</v>
      </c>
      <c r="AT56" s="268">
        <f t="shared" si="38"/>
        <v>0</v>
      </c>
      <c r="AU56" s="268">
        <f t="shared" si="38"/>
        <v>0</v>
      </c>
      <c r="AV56" s="268">
        <f t="shared" si="38"/>
        <v>0</v>
      </c>
      <c r="AW56" s="268">
        <f t="shared" si="38"/>
        <v>0</v>
      </c>
      <c r="AX56" s="268">
        <f t="shared" si="38"/>
        <v>0</v>
      </c>
      <c r="AY56" s="268"/>
      <c r="AZ56" s="268"/>
      <c r="BA56" s="268"/>
      <c r="BB56" s="268"/>
    </row>
    <row r="57" ht="12.75" hidden="1" customHeight="1" outlineLevel="1">
      <c r="A57" s="90"/>
      <c r="B57" s="90"/>
      <c r="C57" s="90" t="s">
        <v>515</v>
      </c>
      <c r="D57" s="90">
        <f t="shared" si="22"/>
        <v>17</v>
      </c>
      <c r="E57" s="113"/>
      <c r="F57" s="90"/>
      <c r="G57" s="90"/>
      <c r="H57" s="90"/>
      <c r="I57" s="90"/>
      <c r="J57" s="90"/>
      <c r="K57" s="90"/>
      <c r="L57" s="90"/>
      <c r="M57" s="268"/>
      <c r="N57" s="268"/>
      <c r="O57" s="268">
        <f>COUNTIF('Growth Model'!F$189:F$237,'Regional Roll-up'!$D57)</f>
        <v>0</v>
      </c>
      <c r="P57" s="268">
        <f>COUNTIF('Growth Model'!G$189:G$237,'Regional Roll-up'!$D57)</f>
        <v>0</v>
      </c>
      <c r="Q57" s="268">
        <f>COUNTIF('Growth Model'!H$189:H$237,'Regional Roll-up'!$D57)</f>
        <v>0</v>
      </c>
      <c r="R57" s="268">
        <f>COUNTIF('Growth Model'!I$189:I$237,'Regional Roll-up'!$D57)</f>
        <v>0</v>
      </c>
      <c r="S57" s="268">
        <f>COUNTIF('Growth Model'!J$189:J$237,'Regional Roll-up'!$D57)</f>
        <v>0</v>
      </c>
      <c r="T57" s="268">
        <f>COUNTIF('Growth Model'!K$189:K$237,'Regional Roll-up'!$D57)</f>
        <v>0</v>
      </c>
      <c r="U57" s="268">
        <f>COUNTIF('Growth Model'!L$189:L$237,'Regional Roll-up'!$D57)</f>
        <v>0</v>
      </c>
      <c r="V57" s="268">
        <f>COUNTIF('Growth Model'!M$189:M$237,'Regional Roll-up'!$D57)</f>
        <v>0</v>
      </c>
      <c r="W57" s="268">
        <f>COUNTIF('Growth Model'!N$189:N$237,'Regional Roll-up'!$D57)</f>
        <v>0</v>
      </c>
      <c r="X57" s="268">
        <f>COUNTIF('Growth Model'!O$189:O$237,'Regional Roll-up'!$D57)</f>
        <v>0</v>
      </c>
      <c r="Y57" s="268">
        <f>COUNTIF('Growth Model'!P$189:P$237,'Regional Roll-up'!$D57)</f>
        <v>0</v>
      </c>
      <c r="Z57" s="268">
        <f>COUNTIF('Growth Model'!Q$189:Q$237,'Regional Roll-up'!$D57)</f>
        <v>0</v>
      </c>
      <c r="AA57" s="268">
        <f>COUNTIF('Growth Model'!R$189:R$237,'Regional Roll-up'!$D57)</f>
        <v>0</v>
      </c>
      <c r="AB57" s="268">
        <f>COUNTIF('Growth Model'!S$189:S$237,'Regional Roll-up'!$D57)</f>
        <v>0</v>
      </c>
      <c r="AC57" s="268">
        <f>COUNTIF('Growth Model'!T$189:T$237,'Regional Roll-up'!$D57)</f>
        <v>0</v>
      </c>
      <c r="AD57" s="268">
        <f>COUNTIF('Growth Model'!U$189:U$237,'Regional Roll-up'!$D57)</f>
        <v>0</v>
      </c>
      <c r="AE57" s="268">
        <f>COUNTIF('Growth Model'!V$189:V$237,'Regional Roll-up'!$D57)</f>
        <v>0</v>
      </c>
      <c r="AF57" s="268">
        <f>COUNTIF('Growth Model'!W$189:W$237,'Regional Roll-up'!$D57)</f>
        <v>0</v>
      </c>
      <c r="AG57" s="268">
        <f>COUNTIF('Growth Model'!X$189:X$237,'Regional Roll-up'!$D57)</f>
        <v>0</v>
      </c>
      <c r="AH57" s="268">
        <f>COUNTIF('Growth Model'!Y$189:Y$237,'Regional Roll-up'!$D57)</f>
        <v>0</v>
      </c>
      <c r="AI57" s="268">
        <f>COUNTIF('Growth Model'!Z$189:Z$237,'Regional Roll-up'!$D57)</f>
        <v>0</v>
      </c>
      <c r="AJ57" s="268">
        <f>COUNTIF('Growth Model'!AA$189:AA$237,'Regional Roll-up'!$D57)</f>
        <v>0</v>
      </c>
      <c r="AK57" s="268">
        <f t="shared" ref="AK57:AX57" si="39">AJ57</f>
        <v>0</v>
      </c>
      <c r="AL57" s="268">
        <f t="shared" si="39"/>
        <v>0</v>
      </c>
      <c r="AM57" s="268">
        <f t="shared" si="39"/>
        <v>0</v>
      </c>
      <c r="AN57" s="268">
        <f t="shared" si="39"/>
        <v>0</v>
      </c>
      <c r="AO57" s="268">
        <f t="shared" si="39"/>
        <v>0</v>
      </c>
      <c r="AP57" s="268">
        <f t="shared" si="39"/>
        <v>0</v>
      </c>
      <c r="AQ57" s="268">
        <f t="shared" si="39"/>
        <v>0</v>
      </c>
      <c r="AR57" s="268">
        <f t="shared" si="39"/>
        <v>0</v>
      </c>
      <c r="AS57" s="268">
        <f t="shared" si="39"/>
        <v>0</v>
      </c>
      <c r="AT57" s="268">
        <f t="shared" si="39"/>
        <v>0</v>
      </c>
      <c r="AU57" s="268">
        <f t="shared" si="39"/>
        <v>0</v>
      </c>
      <c r="AV57" s="268">
        <f t="shared" si="39"/>
        <v>0</v>
      </c>
      <c r="AW57" s="268">
        <f t="shared" si="39"/>
        <v>0</v>
      </c>
      <c r="AX57" s="268">
        <f t="shared" si="39"/>
        <v>0</v>
      </c>
      <c r="AY57" s="268"/>
      <c r="AZ57" s="268"/>
      <c r="BA57" s="268"/>
      <c r="BB57" s="268"/>
    </row>
    <row r="58" ht="12.75" hidden="1" customHeight="1" outlineLevel="1">
      <c r="A58" s="90"/>
      <c r="B58" s="90"/>
      <c r="C58" s="90" t="s">
        <v>515</v>
      </c>
      <c r="D58" s="90">
        <f t="shared" si="22"/>
        <v>18</v>
      </c>
      <c r="E58" s="113"/>
      <c r="F58" s="90"/>
      <c r="G58" s="90"/>
      <c r="H58" s="90"/>
      <c r="I58" s="90"/>
      <c r="J58" s="90"/>
      <c r="K58" s="90"/>
      <c r="L58" s="90"/>
      <c r="M58" s="268"/>
      <c r="N58" s="268"/>
      <c r="O58" s="268">
        <f>COUNTIF('Growth Model'!F$189:F$237,'Regional Roll-up'!$D58)</f>
        <v>0</v>
      </c>
      <c r="P58" s="268">
        <f>COUNTIF('Growth Model'!G$189:G$237,'Regional Roll-up'!$D58)</f>
        <v>0</v>
      </c>
      <c r="Q58" s="268">
        <f>COUNTIF('Growth Model'!H$189:H$237,'Regional Roll-up'!$D58)</f>
        <v>0</v>
      </c>
      <c r="R58" s="268">
        <f>COUNTIF('Growth Model'!I$189:I$237,'Regional Roll-up'!$D58)</f>
        <v>0</v>
      </c>
      <c r="S58" s="268">
        <f>COUNTIF('Growth Model'!J$189:J$237,'Regional Roll-up'!$D58)</f>
        <v>0</v>
      </c>
      <c r="T58" s="268">
        <f>COUNTIF('Growth Model'!K$189:K$237,'Regional Roll-up'!$D58)</f>
        <v>0</v>
      </c>
      <c r="U58" s="268">
        <f>COUNTIF('Growth Model'!L$189:L$237,'Regional Roll-up'!$D58)</f>
        <v>0</v>
      </c>
      <c r="V58" s="268">
        <f>COUNTIF('Growth Model'!M$189:M$237,'Regional Roll-up'!$D58)</f>
        <v>0</v>
      </c>
      <c r="W58" s="268">
        <f>COUNTIF('Growth Model'!N$189:N$237,'Regional Roll-up'!$D58)</f>
        <v>0</v>
      </c>
      <c r="X58" s="268">
        <f>COUNTIF('Growth Model'!O$189:O$237,'Regional Roll-up'!$D58)</f>
        <v>0</v>
      </c>
      <c r="Y58" s="268">
        <f>COUNTIF('Growth Model'!P$189:P$237,'Regional Roll-up'!$D58)</f>
        <v>0</v>
      </c>
      <c r="Z58" s="268">
        <f>COUNTIF('Growth Model'!Q$189:Q$237,'Regional Roll-up'!$D58)</f>
        <v>0</v>
      </c>
      <c r="AA58" s="268">
        <f>COUNTIF('Growth Model'!R$189:R$237,'Regional Roll-up'!$D58)</f>
        <v>0</v>
      </c>
      <c r="AB58" s="268">
        <f>COUNTIF('Growth Model'!S$189:S$237,'Regional Roll-up'!$D58)</f>
        <v>0</v>
      </c>
      <c r="AC58" s="268">
        <f>COUNTIF('Growth Model'!T$189:T$237,'Regional Roll-up'!$D58)</f>
        <v>0</v>
      </c>
      <c r="AD58" s="268">
        <f>COUNTIF('Growth Model'!U$189:U$237,'Regional Roll-up'!$D58)</f>
        <v>0</v>
      </c>
      <c r="AE58" s="268">
        <f>COUNTIF('Growth Model'!V$189:V$237,'Regional Roll-up'!$D58)</f>
        <v>0</v>
      </c>
      <c r="AF58" s="268">
        <f>COUNTIF('Growth Model'!W$189:W$237,'Regional Roll-up'!$D58)</f>
        <v>0</v>
      </c>
      <c r="AG58" s="268">
        <f>COUNTIF('Growth Model'!X$189:X$237,'Regional Roll-up'!$D58)</f>
        <v>0</v>
      </c>
      <c r="AH58" s="268">
        <f>COUNTIF('Growth Model'!Y$189:Y$237,'Regional Roll-up'!$D58)</f>
        <v>0</v>
      </c>
      <c r="AI58" s="268">
        <f>COUNTIF('Growth Model'!Z$189:Z$237,'Regional Roll-up'!$D58)</f>
        <v>0</v>
      </c>
      <c r="AJ58" s="268">
        <f>COUNTIF('Growth Model'!AA$189:AA$237,'Regional Roll-up'!$D58)</f>
        <v>0</v>
      </c>
      <c r="AK58" s="268">
        <f t="shared" ref="AK58:AX58" si="40">AJ58</f>
        <v>0</v>
      </c>
      <c r="AL58" s="268">
        <f t="shared" si="40"/>
        <v>0</v>
      </c>
      <c r="AM58" s="268">
        <f t="shared" si="40"/>
        <v>0</v>
      </c>
      <c r="AN58" s="268">
        <f t="shared" si="40"/>
        <v>0</v>
      </c>
      <c r="AO58" s="268">
        <f t="shared" si="40"/>
        <v>0</v>
      </c>
      <c r="AP58" s="268">
        <f t="shared" si="40"/>
        <v>0</v>
      </c>
      <c r="AQ58" s="268">
        <f t="shared" si="40"/>
        <v>0</v>
      </c>
      <c r="AR58" s="268">
        <f t="shared" si="40"/>
        <v>0</v>
      </c>
      <c r="AS58" s="268">
        <f t="shared" si="40"/>
        <v>0</v>
      </c>
      <c r="AT58" s="268">
        <f t="shared" si="40"/>
        <v>0</v>
      </c>
      <c r="AU58" s="268">
        <f t="shared" si="40"/>
        <v>0</v>
      </c>
      <c r="AV58" s="268">
        <f t="shared" si="40"/>
        <v>0</v>
      </c>
      <c r="AW58" s="268">
        <f t="shared" si="40"/>
        <v>0</v>
      </c>
      <c r="AX58" s="268">
        <f t="shared" si="40"/>
        <v>0</v>
      </c>
      <c r="AY58" s="268"/>
      <c r="AZ58" s="268"/>
      <c r="BA58" s="268"/>
      <c r="BB58" s="268"/>
    </row>
    <row r="59" ht="12.75" hidden="1" customHeight="1" outlineLevel="1">
      <c r="A59" s="90"/>
      <c r="B59" s="90"/>
      <c r="C59" s="90" t="s">
        <v>515</v>
      </c>
      <c r="D59" s="90">
        <f t="shared" si="22"/>
        <v>19</v>
      </c>
      <c r="E59" s="113"/>
      <c r="F59" s="90"/>
      <c r="G59" s="90"/>
      <c r="H59" s="90"/>
      <c r="I59" s="90"/>
      <c r="J59" s="90"/>
      <c r="K59" s="90"/>
      <c r="L59" s="90"/>
      <c r="M59" s="268"/>
      <c r="N59" s="268"/>
      <c r="O59" s="268">
        <f>COUNTIF('Growth Model'!F$189:F$237,'Regional Roll-up'!$D59)</f>
        <v>0</v>
      </c>
      <c r="P59" s="268">
        <f>COUNTIF('Growth Model'!G$189:G$237,'Regional Roll-up'!$D59)</f>
        <v>0</v>
      </c>
      <c r="Q59" s="268">
        <f>COUNTIF('Growth Model'!H$189:H$237,'Regional Roll-up'!$D59)</f>
        <v>0</v>
      </c>
      <c r="R59" s="268">
        <f>COUNTIF('Growth Model'!I$189:I$237,'Regional Roll-up'!$D59)</f>
        <v>0</v>
      </c>
      <c r="S59" s="268">
        <f>COUNTIF('Growth Model'!J$189:J$237,'Regional Roll-up'!$D59)</f>
        <v>0</v>
      </c>
      <c r="T59" s="268">
        <f>COUNTIF('Growth Model'!K$189:K$237,'Regional Roll-up'!$D59)</f>
        <v>0</v>
      </c>
      <c r="U59" s="268">
        <f>COUNTIF('Growth Model'!L$189:L$237,'Regional Roll-up'!$D59)</f>
        <v>0</v>
      </c>
      <c r="V59" s="268">
        <f>COUNTIF('Growth Model'!M$189:M$237,'Regional Roll-up'!$D59)</f>
        <v>0</v>
      </c>
      <c r="W59" s="268">
        <f>COUNTIF('Growth Model'!N$189:N$237,'Regional Roll-up'!$D59)</f>
        <v>0</v>
      </c>
      <c r="X59" s="268">
        <f>COUNTIF('Growth Model'!O$189:O$237,'Regional Roll-up'!$D59)</f>
        <v>0</v>
      </c>
      <c r="Y59" s="268">
        <f>COUNTIF('Growth Model'!P$189:P$237,'Regional Roll-up'!$D59)</f>
        <v>0</v>
      </c>
      <c r="Z59" s="268">
        <f>COUNTIF('Growth Model'!Q$189:Q$237,'Regional Roll-up'!$D59)</f>
        <v>0</v>
      </c>
      <c r="AA59" s="268">
        <f>COUNTIF('Growth Model'!R$189:R$237,'Regional Roll-up'!$D59)</f>
        <v>0</v>
      </c>
      <c r="AB59" s="268">
        <f>COUNTIF('Growth Model'!S$189:S$237,'Regional Roll-up'!$D59)</f>
        <v>0</v>
      </c>
      <c r="AC59" s="268">
        <f>COUNTIF('Growth Model'!T$189:T$237,'Regional Roll-up'!$D59)</f>
        <v>0</v>
      </c>
      <c r="AD59" s="268">
        <f>COUNTIF('Growth Model'!U$189:U$237,'Regional Roll-up'!$D59)</f>
        <v>0</v>
      </c>
      <c r="AE59" s="268">
        <f>COUNTIF('Growth Model'!V$189:V$237,'Regional Roll-up'!$D59)</f>
        <v>0</v>
      </c>
      <c r="AF59" s="268">
        <f>COUNTIF('Growth Model'!W$189:W$237,'Regional Roll-up'!$D59)</f>
        <v>0</v>
      </c>
      <c r="AG59" s="268">
        <f>COUNTIF('Growth Model'!X$189:X$237,'Regional Roll-up'!$D59)</f>
        <v>0</v>
      </c>
      <c r="AH59" s="268">
        <f>COUNTIF('Growth Model'!Y$189:Y$237,'Regional Roll-up'!$D59)</f>
        <v>0</v>
      </c>
      <c r="AI59" s="268">
        <f>COUNTIF('Growth Model'!Z$189:Z$237,'Regional Roll-up'!$D59)</f>
        <v>0</v>
      </c>
      <c r="AJ59" s="268">
        <f>COUNTIF('Growth Model'!AA$189:AA$237,'Regional Roll-up'!$D59)</f>
        <v>0</v>
      </c>
      <c r="AK59" s="268">
        <f t="shared" ref="AK59:AX59" si="41">AJ59</f>
        <v>0</v>
      </c>
      <c r="AL59" s="268">
        <f t="shared" si="41"/>
        <v>0</v>
      </c>
      <c r="AM59" s="268">
        <f t="shared" si="41"/>
        <v>0</v>
      </c>
      <c r="AN59" s="268">
        <f t="shared" si="41"/>
        <v>0</v>
      </c>
      <c r="AO59" s="268">
        <f t="shared" si="41"/>
        <v>0</v>
      </c>
      <c r="AP59" s="268">
        <f t="shared" si="41"/>
        <v>0</v>
      </c>
      <c r="AQ59" s="268">
        <f t="shared" si="41"/>
        <v>0</v>
      </c>
      <c r="AR59" s="268">
        <f t="shared" si="41"/>
        <v>0</v>
      </c>
      <c r="AS59" s="268">
        <f t="shared" si="41"/>
        <v>0</v>
      </c>
      <c r="AT59" s="268">
        <f t="shared" si="41"/>
        <v>0</v>
      </c>
      <c r="AU59" s="268">
        <f t="shared" si="41"/>
        <v>0</v>
      </c>
      <c r="AV59" s="268">
        <f t="shared" si="41"/>
        <v>0</v>
      </c>
      <c r="AW59" s="268">
        <f t="shared" si="41"/>
        <v>0</v>
      </c>
      <c r="AX59" s="268">
        <f t="shared" si="41"/>
        <v>0</v>
      </c>
      <c r="AY59" s="268"/>
      <c r="AZ59" s="268"/>
      <c r="BA59" s="268"/>
      <c r="BB59" s="268"/>
    </row>
    <row r="60" ht="12.75" hidden="1" customHeight="1" outlineLevel="1">
      <c r="A60" s="90"/>
      <c r="B60" s="90"/>
      <c r="C60" s="90" t="s">
        <v>515</v>
      </c>
      <c r="D60" s="90">
        <f t="shared" si="22"/>
        <v>20</v>
      </c>
      <c r="E60" s="113"/>
      <c r="F60" s="90"/>
      <c r="G60" s="90"/>
      <c r="H60" s="90"/>
      <c r="I60" s="90"/>
      <c r="J60" s="90"/>
      <c r="K60" s="90"/>
      <c r="L60" s="90"/>
      <c r="M60" s="268"/>
      <c r="N60" s="268"/>
      <c r="O60" s="268">
        <f>COUNTIF('Growth Model'!F$189:F$237,'Regional Roll-up'!$D60)</f>
        <v>0</v>
      </c>
      <c r="P60" s="268">
        <f>COUNTIF('Growth Model'!G$189:G$237,'Regional Roll-up'!$D60)</f>
        <v>0</v>
      </c>
      <c r="Q60" s="268">
        <f>COUNTIF('Growth Model'!H$189:H$237,'Regional Roll-up'!$D60)</f>
        <v>0</v>
      </c>
      <c r="R60" s="268">
        <f>COUNTIF('Growth Model'!I$189:I$237,'Regional Roll-up'!$D60)</f>
        <v>0</v>
      </c>
      <c r="S60" s="268">
        <f>COUNTIF('Growth Model'!J$189:J$237,'Regional Roll-up'!$D60)</f>
        <v>0</v>
      </c>
      <c r="T60" s="268">
        <f>COUNTIF('Growth Model'!K$189:K$237,'Regional Roll-up'!$D60)</f>
        <v>0</v>
      </c>
      <c r="U60" s="268">
        <f>COUNTIF('Growth Model'!L$189:L$237,'Regional Roll-up'!$D60)</f>
        <v>0</v>
      </c>
      <c r="V60" s="268">
        <f>COUNTIF('Growth Model'!M$189:M$237,'Regional Roll-up'!$D60)</f>
        <v>0</v>
      </c>
      <c r="W60" s="268">
        <f>COUNTIF('Growth Model'!N$189:N$237,'Regional Roll-up'!$D60)</f>
        <v>0</v>
      </c>
      <c r="X60" s="268">
        <f>COUNTIF('Growth Model'!O$189:O$237,'Regional Roll-up'!$D60)</f>
        <v>0</v>
      </c>
      <c r="Y60" s="268">
        <f>COUNTIF('Growth Model'!P$189:P$237,'Regional Roll-up'!$D60)</f>
        <v>0</v>
      </c>
      <c r="Z60" s="268">
        <f>COUNTIF('Growth Model'!Q$189:Q$237,'Regional Roll-up'!$D60)</f>
        <v>0</v>
      </c>
      <c r="AA60" s="268">
        <f>COUNTIF('Growth Model'!R$189:R$237,'Regional Roll-up'!$D60)</f>
        <v>0</v>
      </c>
      <c r="AB60" s="268">
        <f>COUNTIF('Growth Model'!S$189:S$237,'Regional Roll-up'!$D60)</f>
        <v>0</v>
      </c>
      <c r="AC60" s="268">
        <f>COUNTIF('Growth Model'!T$189:T$237,'Regional Roll-up'!$D60)</f>
        <v>0</v>
      </c>
      <c r="AD60" s="268">
        <f>COUNTIF('Growth Model'!U$189:U$237,'Regional Roll-up'!$D60)</f>
        <v>0</v>
      </c>
      <c r="AE60" s="268">
        <f>COUNTIF('Growth Model'!V$189:V$237,'Regional Roll-up'!$D60)</f>
        <v>0</v>
      </c>
      <c r="AF60" s="268">
        <f>COUNTIF('Growth Model'!W$189:W$237,'Regional Roll-up'!$D60)</f>
        <v>0</v>
      </c>
      <c r="AG60" s="268">
        <f>COUNTIF('Growth Model'!X$189:X$237,'Regional Roll-up'!$D60)</f>
        <v>0</v>
      </c>
      <c r="AH60" s="268">
        <f>COUNTIF('Growth Model'!Y$189:Y$237,'Regional Roll-up'!$D60)</f>
        <v>0</v>
      </c>
      <c r="AI60" s="268">
        <f>COUNTIF('Growth Model'!Z$189:Z$237,'Regional Roll-up'!$D60)</f>
        <v>0</v>
      </c>
      <c r="AJ60" s="268">
        <f>COUNTIF('Growth Model'!AA$189:AA$237,'Regional Roll-up'!$D60)</f>
        <v>0</v>
      </c>
      <c r="AK60" s="268">
        <f t="shared" ref="AK60:AX60" si="42">AJ60</f>
        <v>0</v>
      </c>
      <c r="AL60" s="268">
        <f t="shared" si="42"/>
        <v>0</v>
      </c>
      <c r="AM60" s="268">
        <f t="shared" si="42"/>
        <v>0</v>
      </c>
      <c r="AN60" s="268">
        <f t="shared" si="42"/>
        <v>0</v>
      </c>
      <c r="AO60" s="268">
        <f t="shared" si="42"/>
        <v>0</v>
      </c>
      <c r="AP60" s="268">
        <f t="shared" si="42"/>
        <v>0</v>
      </c>
      <c r="AQ60" s="268">
        <f t="shared" si="42"/>
        <v>0</v>
      </c>
      <c r="AR60" s="268">
        <f t="shared" si="42"/>
        <v>0</v>
      </c>
      <c r="AS60" s="268">
        <f t="shared" si="42"/>
        <v>0</v>
      </c>
      <c r="AT60" s="268">
        <f t="shared" si="42"/>
        <v>0</v>
      </c>
      <c r="AU60" s="268">
        <f t="shared" si="42"/>
        <v>0</v>
      </c>
      <c r="AV60" s="268">
        <f t="shared" si="42"/>
        <v>0</v>
      </c>
      <c r="AW60" s="268">
        <f t="shared" si="42"/>
        <v>0</v>
      </c>
      <c r="AX60" s="268">
        <f t="shared" si="42"/>
        <v>0</v>
      </c>
      <c r="AY60" s="268"/>
      <c r="AZ60" s="268"/>
      <c r="BA60" s="268"/>
      <c r="BB60" s="268"/>
    </row>
    <row r="61" ht="12.75" hidden="1" customHeight="1" outlineLevel="1">
      <c r="A61" s="90"/>
      <c r="B61" s="90"/>
      <c r="C61" s="90" t="s">
        <v>515</v>
      </c>
      <c r="D61" s="90">
        <f t="shared" si="22"/>
        <v>21</v>
      </c>
      <c r="E61" s="113"/>
      <c r="F61" s="90"/>
      <c r="G61" s="90"/>
      <c r="H61" s="90"/>
      <c r="I61" s="90"/>
      <c r="J61" s="90"/>
      <c r="K61" s="90"/>
      <c r="L61" s="90"/>
      <c r="M61" s="268"/>
      <c r="N61" s="268"/>
      <c r="O61" s="268">
        <f>COUNTIF('Growth Model'!F$189:F$237,'Regional Roll-up'!$D61)</f>
        <v>0</v>
      </c>
      <c r="P61" s="268">
        <f>COUNTIF('Growth Model'!G$189:G$237,'Regional Roll-up'!$D61)</f>
        <v>0</v>
      </c>
      <c r="Q61" s="268">
        <f>COUNTIF('Growth Model'!H$189:H$237,'Regional Roll-up'!$D61)</f>
        <v>0</v>
      </c>
      <c r="R61" s="268">
        <f>COUNTIF('Growth Model'!I$189:I$237,'Regional Roll-up'!$D61)</f>
        <v>0</v>
      </c>
      <c r="S61" s="268">
        <f>COUNTIF('Growth Model'!J$189:J$237,'Regional Roll-up'!$D61)</f>
        <v>0</v>
      </c>
      <c r="T61" s="268">
        <f>COUNTIF('Growth Model'!K$189:K$237,'Regional Roll-up'!$D61)</f>
        <v>0</v>
      </c>
      <c r="U61" s="268">
        <f>COUNTIF('Growth Model'!L$189:L$237,'Regional Roll-up'!$D61)</f>
        <v>0</v>
      </c>
      <c r="V61" s="268">
        <f>COUNTIF('Growth Model'!M$189:M$237,'Regional Roll-up'!$D61)</f>
        <v>0</v>
      </c>
      <c r="W61" s="268">
        <f>COUNTIF('Growth Model'!N$189:N$237,'Regional Roll-up'!$D61)</f>
        <v>0</v>
      </c>
      <c r="X61" s="268">
        <f>COUNTIF('Growth Model'!O$189:O$237,'Regional Roll-up'!$D61)</f>
        <v>0</v>
      </c>
      <c r="Y61" s="268">
        <f>COUNTIF('Growth Model'!P$189:P$237,'Regional Roll-up'!$D61)</f>
        <v>0</v>
      </c>
      <c r="Z61" s="268">
        <f>COUNTIF('Growth Model'!Q$189:Q$237,'Regional Roll-up'!$D61)</f>
        <v>0</v>
      </c>
      <c r="AA61" s="268">
        <f>COUNTIF('Growth Model'!R$189:R$237,'Regional Roll-up'!$D61)</f>
        <v>0</v>
      </c>
      <c r="AB61" s="268">
        <f>COUNTIF('Growth Model'!S$189:S$237,'Regional Roll-up'!$D61)</f>
        <v>0</v>
      </c>
      <c r="AC61" s="268">
        <f>COUNTIF('Growth Model'!T$189:T$237,'Regional Roll-up'!$D61)</f>
        <v>0</v>
      </c>
      <c r="AD61" s="268">
        <f>COUNTIF('Growth Model'!U$189:U$237,'Regional Roll-up'!$D61)</f>
        <v>0</v>
      </c>
      <c r="AE61" s="268">
        <f>COUNTIF('Growth Model'!V$189:V$237,'Regional Roll-up'!$D61)</f>
        <v>0</v>
      </c>
      <c r="AF61" s="268">
        <f>COUNTIF('Growth Model'!W$189:W$237,'Regional Roll-up'!$D61)</f>
        <v>0</v>
      </c>
      <c r="AG61" s="268">
        <f>COUNTIF('Growth Model'!X$189:X$237,'Regional Roll-up'!$D61)</f>
        <v>0</v>
      </c>
      <c r="AH61" s="268">
        <f>COUNTIF('Growth Model'!Y$189:Y$237,'Regional Roll-up'!$D61)</f>
        <v>0</v>
      </c>
      <c r="AI61" s="268">
        <f>COUNTIF('Growth Model'!Z$189:Z$237,'Regional Roll-up'!$D61)</f>
        <v>0</v>
      </c>
      <c r="AJ61" s="268">
        <f>COUNTIF('Growth Model'!AA$189:AA$237,'Regional Roll-up'!$D61)</f>
        <v>0</v>
      </c>
      <c r="AK61" s="268">
        <f t="shared" ref="AK61:AX61" si="43">AJ61</f>
        <v>0</v>
      </c>
      <c r="AL61" s="268">
        <f t="shared" si="43"/>
        <v>0</v>
      </c>
      <c r="AM61" s="268">
        <f t="shared" si="43"/>
        <v>0</v>
      </c>
      <c r="AN61" s="268">
        <f t="shared" si="43"/>
        <v>0</v>
      </c>
      <c r="AO61" s="268">
        <f t="shared" si="43"/>
        <v>0</v>
      </c>
      <c r="AP61" s="268">
        <f t="shared" si="43"/>
        <v>0</v>
      </c>
      <c r="AQ61" s="268">
        <f t="shared" si="43"/>
        <v>0</v>
      </c>
      <c r="AR61" s="268">
        <f t="shared" si="43"/>
        <v>0</v>
      </c>
      <c r="AS61" s="268">
        <f t="shared" si="43"/>
        <v>0</v>
      </c>
      <c r="AT61" s="268">
        <f t="shared" si="43"/>
        <v>0</v>
      </c>
      <c r="AU61" s="268">
        <f t="shared" si="43"/>
        <v>0</v>
      </c>
      <c r="AV61" s="268">
        <f t="shared" si="43"/>
        <v>0</v>
      </c>
      <c r="AW61" s="268">
        <f t="shared" si="43"/>
        <v>0</v>
      </c>
      <c r="AX61" s="268">
        <f t="shared" si="43"/>
        <v>0</v>
      </c>
      <c r="AY61" s="268"/>
      <c r="AZ61" s="268"/>
      <c r="BA61" s="268"/>
      <c r="BB61" s="268"/>
    </row>
    <row r="62" ht="12.75" hidden="1" customHeight="1" outlineLevel="1">
      <c r="A62" s="90"/>
      <c r="B62" s="90"/>
      <c r="C62" s="90" t="s">
        <v>515</v>
      </c>
      <c r="D62" s="90">
        <f t="shared" si="22"/>
        <v>22</v>
      </c>
      <c r="E62" s="113"/>
      <c r="F62" s="90"/>
      <c r="G62" s="90"/>
      <c r="H62" s="90"/>
      <c r="I62" s="90"/>
      <c r="J62" s="90"/>
      <c r="K62" s="90"/>
      <c r="L62" s="90"/>
      <c r="M62" s="268"/>
      <c r="N62" s="268"/>
      <c r="O62" s="268">
        <f>COUNTIF('Growth Model'!F$189:F$237,'Regional Roll-up'!$D62)</f>
        <v>0</v>
      </c>
      <c r="P62" s="268">
        <f>COUNTIF('Growth Model'!G$189:G$237,'Regional Roll-up'!$D62)</f>
        <v>0</v>
      </c>
      <c r="Q62" s="268">
        <f>COUNTIF('Growth Model'!H$189:H$237,'Regional Roll-up'!$D62)</f>
        <v>0</v>
      </c>
      <c r="R62" s="268">
        <f>COUNTIF('Growth Model'!I$189:I$237,'Regional Roll-up'!$D62)</f>
        <v>0</v>
      </c>
      <c r="S62" s="268">
        <f>COUNTIF('Growth Model'!J$189:J$237,'Regional Roll-up'!$D62)</f>
        <v>0</v>
      </c>
      <c r="T62" s="268">
        <f>COUNTIF('Growth Model'!K$189:K$237,'Regional Roll-up'!$D62)</f>
        <v>0</v>
      </c>
      <c r="U62" s="268">
        <f>COUNTIF('Growth Model'!L$189:L$237,'Regional Roll-up'!$D62)</f>
        <v>0</v>
      </c>
      <c r="V62" s="268">
        <f>COUNTIF('Growth Model'!M$189:M$237,'Regional Roll-up'!$D62)</f>
        <v>0</v>
      </c>
      <c r="W62" s="268">
        <f>COUNTIF('Growth Model'!N$189:N$237,'Regional Roll-up'!$D62)</f>
        <v>0</v>
      </c>
      <c r="X62" s="268">
        <f>COUNTIF('Growth Model'!O$189:O$237,'Regional Roll-up'!$D62)</f>
        <v>0</v>
      </c>
      <c r="Y62" s="268">
        <f>COUNTIF('Growth Model'!P$189:P$237,'Regional Roll-up'!$D62)</f>
        <v>0</v>
      </c>
      <c r="Z62" s="268">
        <f>COUNTIF('Growth Model'!Q$189:Q$237,'Regional Roll-up'!$D62)</f>
        <v>0</v>
      </c>
      <c r="AA62" s="268">
        <f>COUNTIF('Growth Model'!R$189:R$237,'Regional Roll-up'!$D62)</f>
        <v>0</v>
      </c>
      <c r="AB62" s="268">
        <f>COUNTIF('Growth Model'!S$189:S$237,'Regional Roll-up'!$D62)</f>
        <v>0</v>
      </c>
      <c r="AC62" s="268">
        <f>COUNTIF('Growth Model'!T$189:T$237,'Regional Roll-up'!$D62)</f>
        <v>0</v>
      </c>
      <c r="AD62" s="268">
        <f>COUNTIF('Growth Model'!U$189:U$237,'Regional Roll-up'!$D62)</f>
        <v>0</v>
      </c>
      <c r="AE62" s="268">
        <f>COUNTIF('Growth Model'!V$189:V$237,'Regional Roll-up'!$D62)</f>
        <v>0</v>
      </c>
      <c r="AF62" s="268">
        <f>COUNTIF('Growth Model'!W$189:W$237,'Regional Roll-up'!$D62)</f>
        <v>0</v>
      </c>
      <c r="AG62" s="268">
        <f>COUNTIF('Growth Model'!X$189:X$237,'Regional Roll-up'!$D62)</f>
        <v>0</v>
      </c>
      <c r="AH62" s="268">
        <f>COUNTIF('Growth Model'!Y$189:Y$237,'Regional Roll-up'!$D62)</f>
        <v>0</v>
      </c>
      <c r="AI62" s="268">
        <f>COUNTIF('Growth Model'!Z$189:Z$237,'Regional Roll-up'!$D62)</f>
        <v>0</v>
      </c>
      <c r="AJ62" s="268">
        <f>COUNTIF('Growth Model'!AA$189:AA$237,'Regional Roll-up'!$D62)</f>
        <v>0</v>
      </c>
      <c r="AK62" s="268">
        <f t="shared" ref="AK62:AX62" si="44">AJ62</f>
        <v>0</v>
      </c>
      <c r="AL62" s="268">
        <f t="shared" si="44"/>
        <v>0</v>
      </c>
      <c r="AM62" s="268">
        <f t="shared" si="44"/>
        <v>0</v>
      </c>
      <c r="AN62" s="268">
        <f t="shared" si="44"/>
        <v>0</v>
      </c>
      <c r="AO62" s="268">
        <f t="shared" si="44"/>
        <v>0</v>
      </c>
      <c r="AP62" s="268">
        <f t="shared" si="44"/>
        <v>0</v>
      </c>
      <c r="AQ62" s="268">
        <f t="shared" si="44"/>
        <v>0</v>
      </c>
      <c r="AR62" s="268">
        <f t="shared" si="44"/>
        <v>0</v>
      </c>
      <c r="AS62" s="268">
        <f t="shared" si="44"/>
        <v>0</v>
      </c>
      <c r="AT62" s="268">
        <f t="shared" si="44"/>
        <v>0</v>
      </c>
      <c r="AU62" s="268">
        <f t="shared" si="44"/>
        <v>0</v>
      </c>
      <c r="AV62" s="268">
        <f t="shared" si="44"/>
        <v>0</v>
      </c>
      <c r="AW62" s="268">
        <f t="shared" si="44"/>
        <v>0</v>
      </c>
      <c r="AX62" s="268">
        <f t="shared" si="44"/>
        <v>0</v>
      </c>
      <c r="AY62" s="268"/>
      <c r="AZ62" s="268"/>
      <c r="BA62" s="268"/>
      <c r="BB62" s="268"/>
    </row>
    <row r="63" ht="12.75" hidden="1" customHeight="1" outlineLevel="1">
      <c r="A63" s="90"/>
      <c r="B63" s="90"/>
      <c r="C63" s="90" t="s">
        <v>515</v>
      </c>
      <c r="D63" s="90">
        <f t="shared" si="22"/>
        <v>23</v>
      </c>
      <c r="E63" s="113"/>
      <c r="F63" s="90"/>
      <c r="G63" s="90"/>
      <c r="H63" s="90"/>
      <c r="I63" s="90"/>
      <c r="J63" s="90"/>
      <c r="K63" s="90"/>
      <c r="L63" s="90"/>
      <c r="M63" s="268"/>
      <c r="N63" s="268"/>
      <c r="O63" s="268">
        <f>COUNTIF('Growth Model'!F$189:F$237,'Regional Roll-up'!$D63)</f>
        <v>0</v>
      </c>
      <c r="P63" s="268">
        <f>COUNTIF('Growth Model'!G$189:G$237,'Regional Roll-up'!$D63)</f>
        <v>0</v>
      </c>
      <c r="Q63" s="268">
        <f>COUNTIF('Growth Model'!H$189:H$237,'Regional Roll-up'!$D63)</f>
        <v>0</v>
      </c>
      <c r="R63" s="268">
        <f>COUNTIF('Growth Model'!I$189:I$237,'Regional Roll-up'!$D63)</f>
        <v>0</v>
      </c>
      <c r="S63" s="268">
        <f>COUNTIF('Growth Model'!J$189:J$237,'Regional Roll-up'!$D63)</f>
        <v>0</v>
      </c>
      <c r="T63" s="268">
        <f>COUNTIF('Growth Model'!K$189:K$237,'Regional Roll-up'!$D63)</f>
        <v>0</v>
      </c>
      <c r="U63" s="268">
        <f>COUNTIF('Growth Model'!L$189:L$237,'Regional Roll-up'!$D63)</f>
        <v>0</v>
      </c>
      <c r="V63" s="268">
        <f>COUNTIF('Growth Model'!M$189:M$237,'Regional Roll-up'!$D63)</f>
        <v>0</v>
      </c>
      <c r="W63" s="268">
        <f>COUNTIF('Growth Model'!N$189:N$237,'Regional Roll-up'!$D63)</f>
        <v>0</v>
      </c>
      <c r="X63" s="268">
        <f>COUNTIF('Growth Model'!O$189:O$237,'Regional Roll-up'!$D63)</f>
        <v>0</v>
      </c>
      <c r="Y63" s="268">
        <f>COUNTIF('Growth Model'!P$189:P$237,'Regional Roll-up'!$D63)</f>
        <v>0</v>
      </c>
      <c r="Z63" s="268">
        <f>COUNTIF('Growth Model'!Q$189:Q$237,'Regional Roll-up'!$D63)</f>
        <v>0</v>
      </c>
      <c r="AA63" s="268">
        <f>COUNTIF('Growth Model'!R$189:R$237,'Regional Roll-up'!$D63)</f>
        <v>0</v>
      </c>
      <c r="AB63" s="268">
        <f>COUNTIF('Growth Model'!S$189:S$237,'Regional Roll-up'!$D63)</f>
        <v>0</v>
      </c>
      <c r="AC63" s="268">
        <f>COUNTIF('Growth Model'!T$189:T$237,'Regional Roll-up'!$D63)</f>
        <v>0</v>
      </c>
      <c r="AD63" s="268">
        <f>COUNTIF('Growth Model'!U$189:U$237,'Regional Roll-up'!$D63)</f>
        <v>0</v>
      </c>
      <c r="AE63" s="268">
        <f>COUNTIF('Growth Model'!V$189:V$237,'Regional Roll-up'!$D63)</f>
        <v>0</v>
      </c>
      <c r="AF63" s="268">
        <f>COUNTIF('Growth Model'!W$189:W$237,'Regional Roll-up'!$D63)</f>
        <v>0</v>
      </c>
      <c r="AG63" s="268">
        <f>COUNTIF('Growth Model'!X$189:X$237,'Regional Roll-up'!$D63)</f>
        <v>0</v>
      </c>
      <c r="AH63" s="268">
        <f>COUNTIF('Growth Model'!Y$189:Y$237,'Regional Roll-up'!$D63)</f>
        <v>0</v>
      </c>
      <c r="AI63" s="268">
        <f>COUNTIF('Growth Model'!Z$189:Z$237,'Regional Roll-up'!$D63)</f>
        <v>0</v>
      </c>
      <c r="AJ63" s="268">
        <f>COUNTIF('Growth Model'!AA$189:AA$237,'Regional Roll-up'!$D63)</f>
        <v>0</v>
      </c>
      <c r="AK63" s="268">
        <f t="shared" ref="AK63:AX63" si="45">AJ63</f>
        <v>0</v>
      </c>
      <c r="AL63" s="268">
        <f t="shared" si="45"/>
        <v>0</v>
      </c>
      <c r="AM63" s="268">
        <f t="shared" si="45"/>
        <v>0</v>
      </c>
      <c r="AN63" s="268">
        <f t="shared" si="45"/>
        <v>0</v>
      </c>
      <c r="AO63" s="268">
        <f t="shared" si="45"/>
        <v>0</v>
      </c>
      <c r="AP63" s="268">
        <f t="shared" si="45"/>
        <v>0</v>
      </c>
      <c r="AQ63" s="268">
        <f t="shared" si="45"/>
        <v>0</v>
      </c>
      <c r="AR63" s="268">
        <f t="shared" si="45"/>
        <v>0</v>
      </c>
      <c r="AS63" s="268">
        <f t="shared" si="45"/>
        <v>0</v>
      </c>
      <c r="AT63" s="268">
        <f t="shared" si="45"/>
        <v>0</v>
      </c>
      <c r="AU63" s="268">
        <f t="shared" si="45"/>
        <v>0</v>
      </c>
      <c r="AV63" s="268">
        <f t="shared" si="45"/>
        <v>0</v>
      </c>
      <c r="AW63" s="268">
        <f t="shared" si="45"/>
        <v>0</v>
      </c>
      <c r="AX63" s="268">
        <f t="shared" si="45"/>
        <v>0</v>
      </c>
      <c r="AY63" s="268"/>
      <c r="AZ63" s="268"/>
      <c r="BA63" s="268"/>
      <c r="BB63" s="268"/>
    </row>
    <row r="64" ht="12.75" hidden="1" customHeight="1" outlineLevel="1">
      <c r="A64" s="90"/>
      <c r="B64" s="90"/>
      <c r="C64" s="90" t="s">
        <v>515</v>
      </c>
      <c r="D64" s="90">
        <f t="shared" si="22"/>
        <v>24</v>
      </c>
      <c r="E64" s="113"/>
      <c r="F64" s="90"/>
      <c r="G64" s="90"/>
      <c r="H64" s="90"/>
      <c r="I64" s="90"/>
      <c r="J64" s="90"/>
      <c r="K64" s="90"/>
      <c r="L64" s="90"/>
      <c r="M64" s="268"/>
      <c r="N64" s="268"/>
      <c r="O64" s="268">
        <f>COUNTIF('Growth Model'!F$189:F$237,'Regional Roll-up'!$D64)</f>
        <v>0</v>
      </c>
      <c r="P64" s="268">
        <f>COUNTIF('Growth Model'!G$189:G$237,'Regional Roll-up'!$D64)</f>
        <v>0</v>
      </c>
      <c r="Q64" s="268">
        <f>COUNTIF('Growth Model'!H$189:H$237,'Regional Roll-up'!$D64)</f>
        <v>0</v>
      </c>
      <c r="R64" s="268">
        <f>COUNTIF('Growth Model'!I$189:I$237,'Regional Roll-up'!$D64)</f>
        <v>0</v>
      </c>
      <c r="S64" s="268">
        <f>COUNTIF('Growth Model'!J$189:J$237,'Regional Roll-up'!$D64)</f>
        <v>0</v>
      </c>
      <c r="T64" s="268">
        <f>COUNTIF('Growth Model'!K$189:K$237,'Regional Roll-up'!$D64)</f>
        <v>0</v>
      </c>
      <c r="U64" s="268">
        <f>COUNTIF('Growth Model'!L$189:L$237,'Regional Roll-up'!$D64)</f>
        <v>0</v>
      </c>
      <c r="V64" s="268">
        <f>COUNTIF('Growth Model'!M$189:M$237,'Regional Roll-up'!$D64)</f>
        <v>0</v>
      </c>
      <c r="W64" s="268">
        <f>COUNTIF('Growth Model'!N$189:N$237,'Regional Roll-up'!$D64)</f>
        <v>0</v>
      </c>
      <c r="X64" s="268">
        <f>COUNTIF('Growth Model'!O$189:O$237,'Regional Roll-up'!$D64)</f>
        <v>0</v>
      </c>
      <c r="Y64" s="268">
        <f>COUNTIF('Growth Model'!P$189:P$237,'Regional Roll-up'!$D64)</f>
        <v>0</v>
      </c>
      <c r="Z64" s="268">
        <f>COUNTIF('Growth Model'!Q$189:Q$237,'Regional Roll-up'!$D64)</f>
        <v>0</v>
      </c>
      <c r="AA64" s="268">
        <f>COUNTIF('Growth Model'!R$189:R$237,'Regional Roll-up'!$D64)</f>
        <v>0</v>
      </c>
      <c r="AB64" s="268">
        <f>COUNTIF('Growth Model'!S$189:S$237,'Regional Roll-up'!$D64)</f>
        <v>0</v>
      </c>
      <c r="AC64" s="268">
        <f>COUNTIF('Growth Model'!T$189:T$237,'Regional Roll-up'!$D64)</f>
        <v>0</v>
      </c>
      <c r="AD64" s="268">
        <f>COUNTIF('Growth Model'!U$189:U$237,'Regional Roll-up'!$D64)</f>
        <v>0</v>
      </c>
      <c r="AE64" s="268">
        <f>COUNTIF('Growth Model'!V$189:V$237,'Regional Roll-up'!$D64)</f>
        <v>0</v>
      </c>
      <c r="AF64" s="268">
        <f>COUNTIF('Growth Model'!W$189:W$237,'Regional Roll-up'!$D64)</f>
        <v>0</v>
      </c>
      <c r="AG64" s="268">
        <f>COUNTIF('Growth Model'!X$189:X$237,'Regional Roll-up'!$D64)</f>
        <v>0</v>
      </c>
      <c r="AH64" s="268">
        <f>COUNTIF('Growth Model'!Y$189:Y$237,'Regional Roll-up'!$D64)</f>
        <v>0</v>
      </c>
      <c r="AI64" s="268">
        <f>COUNTIF('Growth Model'!Z$189:Z$237,'Regional Roll-up'!$D64)</f>
        <v>0</v>
      </c>
      <c r="AJ64" s="268">
        <f>COUNTIF('Growth Model'!AA$189:AA$237,'Regional Roll-up'!$D64)</f>
        <v>0</v>
      </c>
      <c r="AK64" s="268">
        <f t="shared" ref="AK64:AX64" si="46">AJ64</f>
        <v>0</v>
      </c>
      <c r="AL64" s="268">
        <f t="shared" si="46"/>
        <v>0</v>
      </c>
      <c r="AM64" s="268">
        <f t="shared" si="46"/>
        <v>0</v>
      </c>
      <c r="AN64" s="268">
        <f t="shared" si="46"/>
        <v>0</v>
      </c>
      <c r="AO64" s="268">
        <f t="shared" si="46"/>
        <v>0</v>
      </c>
      <c r="AP64" s="268">
        <f t="shared" si="46"/>
        <v>0</v>
      </c>
      <c r="AQ64" s="268">
        <f t="shared" si="46"/>
        <v>0</v>
      </c>
      <c r="AR64" s="268">
        <f t="shared" si="46"/>
        <v>0</v>
      </c>
      <c r="AS64" s="268">
        <f t="shared" si="46"/>
        <v>0</v>
      </c>
      <c r="AT64" s="268">
        <f t="shared" si="46"/>
        <v>0</v>
      </c>
      <c r="AU64" s="268">
        <f t="shared" si="46"/>
        <v>0</v>
      </c>
      <c r="AV64" s="268">
        <f t="shared" si="46"/>
        <v>0</v>
      </c>
      <c r="AW64" s="268">
        <f t="shared" si="46"/>
        <v>0</v>
      </c>
      <c r="AX64" s="268">
        <f t="shared" si="46"/>
        <v>0</v>
      </c>
      <c r="AY64" s="268"/>
      <c r="AZ64" s="268"/>
      <c r="BA64" s="268"/>
      <c r="BB64" s="268"/>
    </row>
    <row r="65" ht="12.75" hidden="1" customHeight="1" outlineLevel="1">
      <c r="A65" s="90"/>
      <c r="B65" s="90"/>
      <c r="C65" s="90" t="s">
        <v>515</v>
      </c>
      <c r="D65" s="90">
        <f t="shared" si="22"/>
        <v>25</v>
      </c>
      <c r="E65" s="113"/>
      <c r="F65" s="90"/>
      <c r="G65" s="90"/>
      <c r="H65" s="90"/>
      <c r="I65" s="90"/>
      <c r="J65" s="90"/>
      <c r="K65" s="90"/>
      <c r="L65" s="90"/>
      <c r="M65" s="268"/>
      <c r="N65" s="268"/>
      <c r="O65" s="268">
        <f>COUNTIF('Growth Model'!F$189:F$237,'Regional Roll-up'!$D65)</f>
        <v>0</v>
      </c>
      <c r="P65" s="268">
        <f>COUNTIF('Growth Model'!G$189:G$237,'Regional Roll-up'!$D65)</f>
        <v>0</v>
      </c>
      <c r="Q65" s="268">
        <f>COUNTIF('Growth Model'!H$189:H$237,'Regional Roll-up'!$D65)</f>
        <v>0</v>
      </c>
      <c r="R65" s="268">
        <f>COUNTIF('Growth Model'!I$189:I$237,'Regional Roll-up'!$D65)</f>
        <v>0</v>
      </c>
      <c r="S65" s="268">
        <f>COUNTIF('Growth Model'!J$189:J$237,'Regional Roll-up'!$D65)</f>
        <v>0</v>
      </c>
      <c r="T65" s="268">
        <f>COUNTIF('Growth Model'!K$189:K$237,'Regional Roll-up'!$D65)</f>
        <v>0</v>
      </c>
      <c r="U65" s="268">
        <f>COUNTIF('Growth Model'!L$189:L$237,'Regional Roll-up'!$D65)</f>
        <v>0</v>
      </c>
      <c r="V65" s="268">
        <f>COUNTIF('Growth Model'!M$189:M$237,'Regional Roll-up'!$D65)</f>
        <v>0</v>
      </c>
      <c r="W65" s="268">
        <f>COUNTIF('Growth Model'!N$189:N$237,'Regional Roll-up'!$D65)</f>
        <v>0</v>
      </c>
      <c r="X65" s="268">
        <f>COUNTIF('Growth Model'!O$189:O$237,'Regional Roll-up'!$D65)</f>
        <v>0</v>
      </c>
      <c r="Y65" s="268">
        <f>COUNTIF('Growth Model'!P$189:P$237,'Regional Roll-up'!$D65)</f>
        <v>0</v>
      </c>
      <c r="Z65" s="268">
        <f>COUNTIF('Growth Model'!Q$189:Q$237,'Regional Roll-up'!$D65)</f>
        <v>0</v>
      </c>
      <c r="AA65" s="268">
        <f>COUNTIF('Growth Model'!R$189:R$237,'Regional Roll-up'!$D65)</f>
        <v>0</v>
      </c>
      <c r="AB65" s="268">
        <f>COUNTIF('Growth Model'!S$189:S$237,'Regional Roll-up'!$D65)</f>
        <v>0</v>
      </c>
      <c r="AC65" s="268">
        <f>COUNTIF('Growth Model'!T$189:T$237,'Regional Roll-up'!$D65)</f>
        <v>0</v>
      </c>
      <c r="AD65" s="268">
        <f>COUNTIF('Growth Model'!U$189:U$237,'Regional Roll-up'!$D65)</f>
        <v>0</v>
      </c>
      <c r="AE65" s="268">
        <f>COUNTIF('Growth Model'!V$189:V$237,'Regional Roll-up'!$D65)</f>
        <v>0</v>
      </c>
      <c r="AF65" s="268">
        <f>COUNTIF('Growth Model'!W$189:W$237,'Regional Roll-up'!$D65)</f>
        <v>0</v>
      </c>
      <c r="AG65" s="268">
        <f>COUNTIF('Growth Model'!X$189:X$237,'Regional Roll-up'!$D65)</f>
        <v>0</v>
      </c>
      <c r="AH65" s="268">
        <f>COUNTIF('Growth Model'!Y$189:Y$237,'Regional Roll-up'!$D65)</f>
        <v>0</v>
      </c>
      <c r="AI65" s="268">
        <f>COUNTIF('Growth Model'!Z$189:Z$237,'Regional Roll-up'!$D65)</f>
        <v>0</v>
      </c>
      <c r="AJ65" s="268">
        <f>COUNTIF('Growth Model'!AA$189:AA$237,'Regional Roll-up'!$D65)</f>
        <v>0</v>
      </c>
      <c r="AK65" s="268">
        <f t="shared" ref="AK65:AX65" si="47">AJ65</f>
        <v>0</v>
      </c>
      <c r="AL65" s="268">
        <f t="shared" si="47"/>
        <v>0</v>
      </c>
      <c r="AM65" s="268">
        <f t="shared" si="47"/>
        <v>0</v>
      </c>
      <c r="AN65" s="268">
        <f t="shared" si="47"/>
        <v>0</v>
      </c>
      <c r="AO65" s="268">
        <f t="shared" si="47"/>
        <v>0</v>
      </c>
      <c r="AP65" s="268">
        <f t="shared" si="47"/>
        <v>0</v>
      </c>
      <c r="AQ65" s="268">
        <f t="shared" si="47"/>
        <v>0</v>
      </c>
      <c r="AR65" s="268">
        <f t="shared" si="47"/>
        <v>0</v>
      </c>
      <c r="AS65" s="268">
        <f t="shared" si="47"/>
        <v>0</v>
      </c>
      <c r="AT65" s="268">
        <f t="shared" si="47"/>
        <v>0</v>
      </c>
      <c r="AU65" s="268">
        <f t="shared" si="47"/>
        <v>0</v>
      </c>
      <c r="AV65" s="268">
        <f t="shared" si="47"/>
        <v>0</v>
      </c>
      <c r="AW65" s="268">
        <f t="shared" si="47"/>
        <v>0</v>
      </c>
      <c r="AX65" s="268">
        <f t="shared" si="47"/>
        <v>0</v>
      </c>
      <c r="AY65" s="268"/>
      <c r="AZ65" s="268"/>
      <c r="BA65" s="268"/>
      <c r="BB65" s="268"/>
    </row>
    <row r="66" ht="12.75" hidden="1" customHeight="1" outlineLevel="1">
      <c r="A66" s="90"/>
      <c r="B66" s="90"/>
      <c r="C66" s="90" t="s">
        <v>515</v>
      </c>
      <c r="D66" s="90">
        <f t="shared" si="22"/>
        <v>26</v>
      </c>
      <c r="E66" s="113"/>
      <c r="F66" s="90"/>
      <c r="G66" s="90"/>
      <c r="H66" s="90"/>
      <c r="I66" s="90"/>
      <c r="J66" s="90"/>
      <c r="K66" s="90"/>
      <c r="L66" s="90"/>
      <c r="M66" s="268"/>
      <c r="N66" s="268"/>
      <c r="O66" s="268">
        <f>COUNTIF('Growth Model'!F$189:F$237,'Regional Roll-up'!$D66)</f>
        <v>0</v>
      </c>
      <c r="P66" s="268">
        <f>COUNTIF('Growth Model'!G$189:G$237,'Regional Roll-up'!$D66)</f>
        <v>0</v>
      </c>
      <c r="Q66" s="268">
        <f>COUNTIF('Growth Model'!H$189:H$237,'Regional Roll-up'!$D66)</f>
        <v>0</v>
      </c>
      <c r="R66" s="268">
        <f>COUNTIF('Growth Model'!I$189:I$237,'Regional Roll-up'!$D66)</f>
        <v>0</v>
      </c>
      <c r="S66" s="268">
        <f>COUNTIF('Growth Model'!J$189:J$237,'Regional Roll-up'!$D66)</f>
        <v>0</v>
      </c>
      <c r="T66" s="268">
        <f>COUNTIF('Growth Model'!K$189:K$237,'Regional Roll-up'!$D66)</f>
        <v>0</v>
      </c>
      <c r="U66" s="268">
        <f>COUNTIF('Growth Model'!L$189:L$237,'Regional Roll-up'!$D66)</f>
        <v>0</v>
      </c>
      <c r="V66" s="268">
        <f>COUNTIF('Growth Model'!M$189:M$237,'Regional Roll-up'!$D66)</f>
        <v>0</v>
      </c>
      <c r="W66" s="268">
        <f>COUNTIF('Growth Model'!N$189:N$237,'Regional Roll-up'!$D66)</f>
        <v>0</v>
      </c>
      <c r="X66" s="268">
        <f>COUNTIF('Growth Model'!O$189:O$237,'Regional Roll-up'!$D66)</f>
        <v>0</v>
      </c>
      <c r="Y66" s="268">
        <f>COUNTIF('Growth Model'!P$189:P$237,'Regional Roll-up'!$D66)</f>
        <v>0</v>
      </c>
      <c r="Z66" s="268">
        <f>COUNTIF('Growth Model'!Q$189:Q$237,'Regional Roll-up'!$D66)</f>
        <v>0</v>
      </c>
      <c r="AA66" s="268">
        <f>COUNTIF('Growth Model'!R$189:R$237,'Regional Roll-up'!$D66)</f>
        <v>0</v>
      </c>
      <c r="AB66" s="268">
        <f>COUNTIF('Growth Model'!S$189:S$237,'Regional Roll-up'!$D66)</f>
        <v>0</v>
      </c>
      <c r="AC66" s="268">
        <f>COUNTIF('Growth Model'!T$189:T$237,'Regional Roll-up'!$D66)</f>
        <v>0</v>
      </c>
      <c r="AD66" s="268">
        <f>COUNTIF('Growth Model'!U$189:U$237,'Regional Roll-up'!$D66)</f>
        <v>0</v>
      </c>
      <c r="AE66" s="268">
        <f>COUNTIF('Growth Model'!V$189:V$237,'Regional Roll-up'!$D66)</f>
        <v>0</v>
      </c>
      <c r="AF66" s="268">
        <f>COUNTIF('Growth Model'!W$189:W$237,'Regional Roll-up'!$D66)</f>
        <v>0</v>
      </c>
      <c r="AG66" s="268">
        <f>COUNTIF('Growth Model'!X$189:X$237,'Regional Roll-up'!$D66)</f>
        <v>0</v>
      </c>
      <c r="AH66" s="268">
        <f>COUNTIF('Growth Model'!Y$189:Y$237,'Regional Roll-up'!$D66)</f>
        <v>0</v>
      </c>
      <c r="AI66" s="268">
        <f>COUNTIF('Growth Model'!Z$189:Z$237,'Regional Roll-up'!$D66)</f>
        <v>0</v>
      </c>
      <c r="AJ66" s="268">
        <f>COUNTIF('Growth Model'!AA$189:AA$237,'Regional Roll-up'!$D66)</f>
        <v>0</v>
      </c>
      <c r="AK66" s="268">
        <f t="shared" ref="AK66:AX66" si="48">AJ66</f>
        <v>0</v>
      </c>
      <c r="AL66" s="268">
        <f t="shared" si="48"/>
        <v>0</v>
      </c>
      <c r="AM66" s="268">
        <f t="shared" si="48"/>
        <v>0</v>
      </c>
      <c r="AN66" s="268">
        <f t="shared" si="48"/>
        <v>0</v>
      </c>
      <c r="AO66" s="268">
        <f t="shared" si="48"/>
        <v>0</v>
      </c>
      <c r="AP66" s="268">
        <f t="shared" si="48"/>
        <v>0</v>
      </c>
      <c r="AQ66" s="268">
        <f t="shared" si="48"/>
        <v>0</v>
      </c>
      <c r="AR66" s="268">
        <f t="shared" si="48"/>
        <v>0</v>
      </c>
      <c r="AS66" s="268">
        <f t="shared" si="48"/>
        <v>0</v>
      </c>
      <c r="AT66" s="268">
        <f t="shared" si="48"/>
        <v>0</v>
      </c>
      <c r="AU66" s="268">
        <f t="shared" si="48"/>
        <v>0</v>
      </c>
      <c r="AV66" s="268">
        <f t="shared" si="48"/>
        <v>0</v>
      </c>
      <c r="AW66" s="268">
        <f t="shared" si="48"/>
        <v>0</v>
      </c>
      <c r="AX66" s="268">
        <f t="shared" si="48"/>
        <v>0</v>
      </c>
      <c r="AY66" s="268"/>
      <c r="AZ66" s="268"/>
      <c r="BA66" s="268"/>
      <c r="BB66" s="268"/>
    </row>
    <row r="67" ht="12.75" hidden="1" customHeight="1" outlineLevel="1">
      <c r="A67" s="90"/>
      <c r="B67" s="90"/>
      <c r="C67" s="90" t="s">
        <v>515</v>
      </c>
      <c r="D67" s="90">
        <f t="shared" si="22"/>
        <v>27</v>
      </c>
      <c r="E67" s="113"/>
      <c r="F67" s="90"/>
      <c r="G67" s="90"/>
      <c r="H67" s="90"/>
      <c r="I67" s="90"/>
      <c r="J67" s="90"/>
      <c r="K67" s="90"/>
      <c r="L67" s="90"/>
      <c r="M67" s="268"/>
      <c r="N67" s="268"/>
      <c r="O67" s="268">
        <f>COUNTIF('Growth Model'!F$189:F$237,'Regional Roll-up'!$D67)</f>
        <v>0</v>
      </c>
      <c r="P67" s="268">
        <f>COUNTIF('Growth Model'!G$189:G$237,'Regional Roll-up'!$D67)</f>
        <v>0</v>
      </c>
      <c r="Q67" s="268">
        <f>COUNTIF('Growth Model'!H$189:H$237,'Regional Roll-up'!$D67)</f>
        <v>0</v>
      </c>
      <c r="R67" s="268">
        <f>COUNTIF('Growth Model'!I$189:I$237,'Regional Roll-up'!$D67)</f>
        <v>0</v>
      </c>
      <c r="S67" s="268">
        <f>COUNTIF('Growth Model'!J$189:J$237,'Regional Roll-up'!$D67)</f>
        <v>0</v>
      </c>
      <c r="T67" s="268">
        <f>COUNTIF('Growth Model'!K$189:K$237,'Regional Roll-up'!$D67)</f>
        <v>0</v>
      </c>
      <c r="U67" s="268">
        <f>COUNTIF('Growth Model'!L$189:L$237,'Regional Roll-up'!$D67)</f>
        <v>0</v>
      </c>
      <c r="V67" s="268">
        <f>COUNTIF('Growth Model'!M$189:M$237,'Regional Roll-up'!$D67)</f>
        <v>0</v>
      </c>
      <c r="W67" s="268">
        <f>COUNTIF('Growth Model'!N$189:N$237,'Regional Roll-up'!$D67)</f>
        <v>0</v>
      </c>
      <c r="X67" s="268">
        <f>COUNTIF('Growth Model'!O$189:O$237,'Regional Roll-up'!$D67)</f>
        <v>0</v>
      </c>
      <c r="Y67" s="268">
        <f>COUNTIF('Growth Model'!P$189:P$237,'Regional Roll-up'!$D67)</f>
        <v>0</v>
      </c>
      <c r="Z67" s="268">
        <f>COUNTIF('Growth Model'!Q$189:Q$237,'Regional Roll-up'!$D67)</f>
        <v>0</v>
      </c>
      <c r="AA67" s="268">
        <f>COUNTIF('Growth Model'!R$189:R$237,'Regional Roll-up'!$D67)</f>
        <v>0</v>
      </c>
      <c r="AB67" s="268">
        <f>COUNTIF('Growth Model'!S$189:S$237,'Regional Roll-up'!$D67)</f>
        <v>0</v>
      </c>
      <c r="AC67" s="268">
        <f>COUNTIF('Growth Model'!T$189:T$237,'Regional Roll-up'!$D67)</f>
        <v>0</v>
      </c>
      <c r="AD67" s="268">
        <f>COUNTIF('Growth Model'!U$189:U$237,'Regional Roll-up'!$D67)</f>
        <v>0</v>
      </c>
      <c r="AE67" s="268">
        <f>COUNTIF('Growth Model'!V$189:V$237,'Regional Roll-up'!$D67)</f>
        <v>0</v>
      </c>
      <c r="AF67" s="268">
        <f>COUNTIF('Growth Model'!W$189:W$237,'Regional Roll-up'!$D67)</f>
        <v>0</v>
      </c>
      <c r="AG67" s="268">
        <f>COUNTIF('Growth Model'!X$189:X$237,'Regional Roll-up'!$D67)</f>
        <v>0</v>
      </c>
      <c r="AH67" s="268">
        <f>COUNTIF('Growth Model'!Y$189:Y$237,'Regional Roll-up'!$D67)</f>
        <v>0</v>
      </c>
      <c r="AI67" s="268">
        <f>COUNTIF('Growth Model'!Z$189:Z$237,'Regional Roll-up'!$D67)</f>
        <v>0</v>
      </c>
      <c r="AJ67" s="268">
        <f>COUNTIF('Growth Model'!AA$189:AA$237,'Regional Roll-up'!$D67)</f>
        <v>0</v>
      </c>
      <c r="AK67" s="268">
        <f t="shared" ref="AK67:AX67" si="49">AJ67</f>
        <v>0</v>
      </c>
      <c r="AL67" s="268">
        <f t="shared" si="49"/>
        <v>0</v>
      </c>
      <c r="AM67" s="268">
        <f t="shared" si="49"/>
        <v>0</v>
      </c>
      <c r="AN67" s="268">
        <f t="shared" si="49"/>
        <v>0</v>
      </c>
      <c r="AO67" s="268">
        <f t="shared" si="49"/>
        <v>0</v>
      </c>
      <c r="AP67" s="268">
        <f t="shared" si="49"/>
        <v>0</v>
      </c>
      <c r="AQ67" s="268">
        <f t="shared" si="49"/>
        <v>0</v>
      </c>
      <c r="AR67" s="268">
        <f t="shared" si="49"/>
        <v>0</v>
      </c>
      <c r="AS67" s="268">
        <f t="shared" si="49"/>
        <v>0</v>
      </c>
      <c r="AT67" s="268">
        <f t="shared" si="49"/>
        <v>0</v>
      </c>
      <c r="AU67" s="268">
        <f t="shared" si="49"/>
        <v>0</v>
      </c>
      <c r="AV67" s="268">
        <f t="shared" si="49"/>
        <v>0</v>
      </c>
      <c r="AW67" s="268">
        <f t="shared" si="49"/>
        <v>0</v>
      </c>
      <c r="AX67" s="268">
        <f t="shared" si="49"/>
        <v>0</v>
      </c>
      <c r="AY67" s="268"/>
      <c r="AZ67" s="268"/>
      <c r="BA67" s="268"/>
      <c r="BB67" s="268"/>
    </row>
    <row r="68" ht="12.75" hidden="1" customHeight="1" outlineLevel="1">
      <c r="A68" s="90"/>
      <c r="B68" s="90"/>
      <c r="C68" s="90" t="s">
        <v>515</v>
      </c>
      <c r="D68" s="90">
        <f t="shared" si="22"/>
        <v>28</v>
      </c>
      <c r="E68" s="113"/>
      <c r="F68" s="90"/>
      <c r="G68" s="90"/>
      <c r="H68" s="90"/>
      <c r="I68" s="90"/>
      <c r="J68" s="90"/>
      <c r="K68" s="90"/>
      <c r="L68" s="90"/>
      <c r="M68" s="268"/>
      <c r="N68" s="268"/>
      <c r="O68" s="268">
        <f>COUNTIF('Growth Model'!F$189:F$237,'Regional Roll-up'!$D68)</f>
        <v>0</v>
      </c>
      <c r="P68" s="268">
        <f>COUNTIF('Growth Model'!G$189:G$237,'Regional Roll-up'!$D68)</f>
        <v>0</v>
      </c>
      <c r="Q68" s="268">
        <f>COUNTIF('Growth Model'!H$189:H$237,'Regional Roll-up'!$D68)</f>
        <v>0</v>
      </c>
      <c r="R68" s="268">
        <f>COUNTIF('Growth Model'!I$189:I$237,'Regional Roll-up'!$D68)</f>
        <v>0</v>
      </c>
      <c r="S68" s="268">
        <f>COUNTIF('Growth Model'!J$189:J$237,'Regional Roll-up'!$D68)</f>
        <v>0</v>
      </c>
      <c r="T68" s="268">
        <f>COUNTIF('Growth Model'!K$189:K$237,'Regional Roll-up'!$D68)</f>
        <v>0</v>
      </c>
      <c r="U68" s="268">
        <f>COUNTIF('Growth Model'!L$189:L$237,'Regional Roll-up'!$D68)</f>
        <v>0</v>
      </c>
      <c r="V68" s="268">
        <f>COUNTIF('Growth Model'!M$189:M$237,'Regional Roll-up'!$D68)</f>
        <v>0</v>
      </c>
      <c r="W68" s="268">
        <f>COUNTIF('Growth Model'!N$189:N$237,'Regional Roll-up'!$D68)</f>
        <v>0</v>
      </c>
      <c r="X68" s="268">
        <f>COUNTIF('Growth Model'!O$189:O$237,'Regional Roll-up'!$D68)</f>
        <v>0</v>
      </c>
      <c r="Y68" s="268">
        <f>COUNTIF('Growth Model'!P$189:P$237,'Regional Roll-up'!$D68)</f>
        <v>0</v>
      </c>
      <c r="Z68" s="268">
        <f>COUNTIF('Growth Model'!Q$189:Q$237,'Regional Roll-up'!$D68)</f>
        <v>0</v>
      </c>
      <c r="AA68" s="268">
        <f>COUNTIF('Growth Model'!R$189:R$237,'Regional Roll-up'!$D68)</f>
        <v>0</v>
      </c>
      <c r="AB68" s="268">
        <f>COUNTIF('Growth Model'!S$189:S$237,'Regional Roll-up'!$D68)</f>
        <v>0</v>
      </c>
      <c r="AC68" s="268">
        <f>COUNTIF('Growth Model'!T$189:T$237,'Regional Roll-up'!$D68)</f>
        <v>0</v>
      </c>
      <c r="AD68" s="268">
        <f>COUNTIF('Growth Model'!U$189:U$237,'Regional Roll-up'!$D68)</f>
        <v>0</v>
      </c>
      <c r="AE68" s="268">
        <f>COUNTIF('Growth Model'!V$189:V$237,'Regional Roll-up'!$D68)</f>
        <v>0</v>
      </c>
      <c r="AF68" s="268">
        <f>COUNTIF('Growth Model'!W$189:W$237,'Regional Roll-up'!$D68)</f>
        <v>0</v>
      </c>
      <c r="AG68" s="268">
        <f>COUNTIF('Growth Model'!X$189:X$237,'Regional Roll-up'!$D68)</f>
        <v>0</v>
      </c>
      <c r="AH68" s="268">
        <f>COUNTIF('Growth Model'!Y$189:Y$237,'Regional Roll-up'!$D68)</f>
        <v>0</v>
      </c>
      <c r="AI68" s="268">
        <f>COUNTIF('Growth Model'!Z$189:Z$237,'Regional Roll-up'!$D68)</f>
        <v>0</v>
      </c>
      <c r="AJ68" s="268">
        <f>COUNTIF('Growth Model'!AA$189:AA$237,'Regional Roll-up'!$D68)</f>
        <v>0</v>
      </c>
      <c r="AK68" s="268">
        <f t="shared" ref="AK68:AX68" si="50">AJ68</f>
        <v>0</v>
      </c>
      <c r="AL68" s="268">
        <f t="shared" si="50"/>
        <v>0</v>
      </c>
      <c r="AM68" s="268">
        <f t="shared" si="50"/>
        <v>0</v>
      </c>
      <c r="AN68" s="268">
        <f t="shared" si="50"/>
        <v>0</v>
      </c>
      <c r="AO68" s="268">
        <f t="shared" si="50"/>
        <v>0</v>
      </c>
      <c r="AP68" s="268">
        <f t="shared" si="50"/>
        <v>0</v>
      </c>
      <c r="AQ68" s="268">
        <f t="shared" si="50"/>
        <v>0</v>
      </c>
      <c r="AR68" s="268">
        <f t="shared" si="50"/>
        <v>0</v>
      </c>
      <c r="AS68" s="268">
        <f t="shared" si="50"/>
        <v>0</v>
      </c>
      <c r="AT68" s="268">
        <f t="shared" si="50"/>
        <v>0</v>
      </c>
      <c r="AU68" s="268">
        <f t="shared" si="50"/>
        <v>0</v>
      </c>
      <c r="AV68" s="268">
        <f t="shared" si="50"/>
        <v>0</v>
      </c>
      <c r="AW68" s="268">
        <f t="shared" si="50"/>
        <v>0</v>
      </c>
      <c r="AX68" s="268">
        <f t="shared" si="50"/>
        <v>0</v>
      </c>
      <c r="AY68" s="268"/>
      <c r="AZ68" s="268"/>
      <c r="BA68" s="268"/>
      <c r="BB68" s="268"/>
    </row>
    <row r="69" ht="12.75" hidden="1" customHeight="1" outlineLevel="1">
      <c r="A69" s="90"/>
      <c r="B69" s="90"/>
      <c r="C69" s="90" t="s">
        <v>515</v>
      </c>
      <c r="D69" s="90">
        <f t="shared" si="22"/>
        <v>29</v>
      </c>
      <c r="E69" s="113"/>
      <c r="F69" s="90"/>
      <c r="G69" s="90"/>
      <c r="H69" s="90"/>
      <c r="I69" s="90"/>
      <c r="J69" s="90"/>
      <c r="K69" s="90"/>
      <c r="L69" s="90"/>
      <c r="M69" s="268"/>
      <c r="N69" s="268"/>
      <c r="O69" s="268">
        <f>COUNTIF('Growth Model'!F$189:F$237,'Regional Roll-up'!$D69)</f>
        <v>0</v>
      </c>
      <c r="P69" s="268">
        <f>COUNTIF('Growth Model'!G$189:G$237,'Regional Roll-up'!$D69)</f>
        <v>0</v>
      </c>
      <c r="Q69" s="268">
        <f>COUNTIF('Growth Model'!H$189:H$237,'Regional Roll-up'!$D69)</f>
        <v>0</v>
      </c>
      <c r="R69" s="268">
        <f>COUNTIF('Growth Model'!I$189:I$237,'Regional Roll-up'!$D69)</f>
        <v>0</v>
      </c>
      <c r="S69" s="268">
        <f>COUNTIF('Growth Model'!J$189:J$237,'Regional Roll-up'!$D69)</f>
        <v>0</v>
      </c>
      <c r="T69" s="268">
        <f>COUNTIF('Growth Model'!K$189:K$237,'Regional Roll-up'!$D69)</f>
        <v>0</v>
      </c>
      <c r="U69" s="268">
        <f>COUNTIF('Growth Model'!L$189:L$237,'Regional Roll-up'!$D69)</f>
        <v>0</v>
      </c>
      <c r="V69" s="268">
        <f>COUNTIF('Growth Model'!M$189:M$237,'Regional Roll-up'!$D69)</f>
        <v>0</v>
      </c>
      <c r="W69" s="268">
        <f>COUNTIF('Growth Model'!N$189:N$237,'Regional Roll-up'!$D69)</f>
        <v>0</v>
      </c>
      <c r="X69" s="268">
        <f>COUNTIF('Growth Model'!O$189:O$237,'Regional Roll-up'!$D69)</f>
        <v>0</v>
      </c>
      <c r="Y69" s="268">
        <f>COUNTIF('Growth Model'!P$189:P$237,'Regional Roll-up'!$D69)</f>
        <v>0</v>
      </c>
      <c r="Z69" s="268">
        <f>COUNTIF('Growth Model'!Q$189:Q$237,'Regional Roll-up'!$D69)</f>
        <v>0</v>
      </c>
      <c r="AA69" s="268">
        <f>COUNTIF('Growth Model'!R$189:R$237,'Regional Roll-up'!$D69)</f>
        <v>0</v>
      </c>
      <c r="AB69" s="268">
        <f>COUNTIF('Growth Model'!S$189:S$237,'Regional Roll-up'!$D69)</f>
        <v>0</v>
      </c>
      <c r="AC69" s="268">
        <f>COUNTIF('Growth Model'!T$189:T$237,'Regional Roll-up'!$D69)</f>
        <v>0</v>
      </c>
      <c r="AD69" s="268">
        <f>COUNTIF('Growth Model'!U$189:U$237,'Regional Roll-up'!$D69)</f>
        <v>0</v>
      </c>
      <c r="AE69" s="268">
        <f>COUNTIF('Growth Model'!V$189:V$237,'Regional Roll-up'!$D69)</f>
        <v>0</v>
      </c>
      <c r="AF69" s="268">
        <f>COUNTIF('Growth Model'!W$189:W$237,'Regional Roll-up'!$D69)</f>
        <v>0</v>
      </c>
      <c r="AG69" s="268">
        <f>COUNTIF('Growth Model'!X$189:X$237,'Regional Roll-up'!$D69)</f>
        <v>0</v>
      </c>
      <c r="AH69" s="268">
        <f>COUNTIF('Growth Model'!Y$189:Y$237,'Regional Roll-up'!$D69)</f>
        <v>0</v>
      </c>
      <c r="AI69" s="268">
        <f>COUNTIF('Growth Model'!Z$189:Z$237,'Regional Roll-up'!$D69)</f>
        <v>0</v>
      </c>
      <c r="AJ69" s="268">
        <f>COUNTIF('Growth Model'!AA$189:AA$237,'Regional Roll-up'!$D69)</f>
        <v>0</v>
      </c>
      <c r="AK69" s="268">
        <f t="shared" ref="AK69:AX69" si="51">AJ69</f>
        <v>0</v>
      </c>
      <c r="AL69" s="268">
        <f t="shared" si="51"/>
        <v>0</v>
      </c>
      <c r="AM69" s="268">
        <f t="shared" si="51"/>
        <v>0</v>
      </c>
      <c r="AN69" s="268">
        <f t="shared" si="51"/>
        <v>0</v>
      </c>
      <c r="AO69" s="268">
        <f t="shared" si="51"/>
        <v>0</v>
      </c>
      <c r="AP69" s="268">
        <f t="shared" si="51"/>
        <v>0</v>
      </c>
      <c r="AQ69" s="268">
        <f t="shared" si="51"/>
        <v>0</v>
      </c>
      <c r="AR69" s="268">
        <f t="shared" si="51"/>
        <v>0</v>
      </c>
      <c r="AS69" s="268">
        <f t="shared" si="51"/>
        <v>0</v>
      </c>
      <c r="AT69" s="268">
        <f t="shared" si="51"/>
        <v>0</v>
      </c>
      <c r="AU69" s="268">
        <f t="shared" si="51"/>
        <v>0</v>
      </c>
      <c r="AV69" s="268">
        <f t="shared" si="51"/>
        <v>0</v>
      </c>
      <c r="AW69" s="268">
        <f t="shared" si="51"/>
        <v>0</v>
      </c>
      <c r="AX69" s="268">
        <f t="shared" si="51"/>
        <v>0</v>
      </c>
      <c r="AY69" s="268"/>
      <c r="AZ69" s="268"/>
      <c r="BA69" s="268"/>
      <c r="BB69" s="268"/>
    </row>
    <row r="70" ht="12.75" hidden="1" customHeight="1" outlineLevel="1">
      <c r="A70" s="90"/>
      <c r="B70" s="90"/>
      <c r="C70" s="90" t="s">
        <v>515</v>
      </c>
      <c r="D70" s="90">
        <f t="shared" si="22"/>
        <v>30</v>
      </c>
      <c r="E70" s="113"/>
      <c r="F70" s="90"/>
      <c r="G70" s="90"/>
      <c r="H70" s="90"/>
      <c r="I70" s="90"/>
      <c r="J70" s="90"/>
      <c r="K70" s="90"/>
      <c r="L70" s="90"/>
      <c r="M70" s="268"/>
      <c r="N70" s="268"/>
      <c r="O70" s="268">
        <f>COUNTIF('Growth Model'!F$189:F$237,'Regional Roll-up'!$D70)</f>
        <v>0</v>
      </c>
      <c r="P70" s="268">
        <f>COUNTIF('Growth Model'!G$189:G$237,'Regional Roll-up'!$D70)</f>
        <v>0</v>
      </c>
      <c r="Q70" s="268">
        <f>COUNTIF('Growth Model'!H$189:H$237,'Regional Roll-up'!$D70)</f>
        <v>0</v>
      </c>
      <c r="R70" s="268">
        <f>COUNTIF('Growth Model'!I$189:I$237,'Regional Roll-up'!$D70)</f>
        <v>0</v>
      </c>
      <c r="S70" s="268">
        <f>COUNTIF('Growth Model'!J$189:J$237,'Regional Roll-up'!$D70)</f>
        <v>0</v>
      </c>
      <c r="T70" s="268">
        <f>COUNTIF('Growth Model'!K$189:K$237,'Regional Roll-up'!$D70)</f>
        <v>0</v>
      </c>
      <c r="U70" s="268">
        <f>COUNTIF('Growth Model'!L$189:L$237,'Regional Roll-up'!$D70)</f>
        <v>0</v>
      </c>
      <c r="V70" s="268">
        <f>COUNTIF('Growth Model'!M$189:M$237,'Regional Roll-up'!$D70)</f>
        <v>0</v>
      </c>
      <c r="W70" s="268">
        <f>COUNTIF('Growth Model'!N$189:N$237,'Regional Roll-up'!$D70)</f>
        <v>0</v>
      </c>
      <c r="X70" s="268">
        <f>COUNTIF('Growth Model'!O$189:O$237,'Regional Roll-up'!$D70)</f>
        <v>0</v>
      </c>
      <c r="Y70" s="268">
        <f>COUNTIF('Growth Model'!P$189:P$237,'Regional Roll-up'!$D70)</f>
        <v>0</v>
      </c>
      <c r="Z70" s="268">
        <f>COUNTIF('Growth Model'!Q$189:Q$237,'Regional Roll-up'!$D70)</f>
        <v>0</v>
      </c>
      <c r="AA70" s="268">
        <f>COUNTIF('Growth Model'!R$189:R$237,'Regional Roll-up'!$D70)</f>
        <v>0</v>
      </c>
      <c r="AB70" s="268">
        <f>COUNTIF('Growth Model'!S$189:S$237,'Regional Roll-up'!$D70)</f>
        <v>0</v>
      </c>
      <c r="AC70" s="268">
        <f>COUNTIF('Growth Model'!T$189:T$237,'Regional Roll-up'!$D70)</f>
        <v>0</v>
      </c>
      <c r="AD70" s="268">
        <f>COUNTIF('Growth Model'!U$189:U$237,'Regional Roll-up'!$D70)</f>
        <v>0</v>
      </c>
      <c r="AE70" s="268">
        <f>COUNTIF('Growth Model'!V$189:V$237,'Regional Roll-up'!$D70)</f>
        <v>0</v>
      </c>
      <c r="AF70" s="268">
        <f>COUNTIF('Growth Model'!W$189:W$237,'Regional Roll-up'!$D70)</f>
        <v>0</v>
      </c>
      <c r="AG70" s="268">
        <f>COUNTIF('Growth Model'!X$189:X$237,'Regional Roll-up'!$D70)</f>
        <v>0</v>
      </c>
      <c r="AH70" s="268">
        <f>COUNTIF('Growth Model'!Y$189:Y$237,'Regional Roll-up'!$D70)</f>
        <v>0</v>
      </c>
      <c r="AI70" s="268">
        <f>COUNTIF('Growth Model'!Z$189:Z$237,'Regional Roll-up'!$D70)</f>
        <v>0</v>
      </c>
      <c r="AJ70" s="268">
        <f>COUNTIF('Growth Model'!AA$189:AA$237,'Regional Roll-up'!$D70)</f>
        <v>0</v>
      </c>
      <c r="AK70" s="268">
        <f t="shared" ref="AK70:AX70" si="52">AJ70</f>
        <v>0</v>
      </c>
      <c r="AL70" s="268">
        <f t="shared" si="52"/>
        <v>0</v>
      </c>
      <c r="AM70" s="268">
        <f t="shared" si="52"/>
        <v>0</v>
      </c>
      <c r="AN70" s="268">
        <f t="shared" si="52"/>
        <v>0</v>
      </c>
      <c r="AO70" s="268">
        <f t="shared" si="52"/>
        <v>0</v>
      </c>
      <c r="AP70" s="268">
        <f t="shared" si="52"/>
        <v>0</v>
      </c>
      <c r="AQ70" s="268">
        <f t="shared" si="52"/>
        <v>0</v>
      </c>
      <c r="AR70" s="268">
        <f t="shared" si="52"/>
        <v>0</v>
      </c>
      <c r="AS70" s="268">
        <f t="shared" si="52"/>
        <v>0</v>
      </c>
      <c r="AT70" s="268">
        <f t="shared" si="52"/>
        <v>0</v>
      </c>
      <c r="AU70" s="268">
        <f t="shared" si="52"/>
        <v>0</v>
      </c>
      <c r="AV70" s="268">
        <f t="shared" si="52"/>
        <v>0</v>
      </c>
      <c r="AW70" s="268">
        <f t="shared" si="52"/>
        <v>0</v>
      </c>
      <c r="AX70" s="268">
        <f t="shared" si="52"/>
        <v>0</v>
      </c>
      <c r="AY70" s="268"/>
      <c r="AZ70" s="268"/>
      <c r="BA70" s="268"/>
      <c r="BB70" s="268"/>
    </row>
    <row r="71" ht="12.75" hidden="1" customHeight="1" outlineLevel="1">
      <c r="A71" s="90"/>
      <c r="B71" s="90"/>
      <c r="C71" s="90" t="s">
        <v>515</v>
      </c>
      <c r="D71" s="87">
        <f t="shared" si="22"/>
        <v>31</v>
      </c>
      <c r="E71" s="117"/>
      <c r="F71" s="87"/>
      <c r="G71" s="87"/>
      <c r="H71" s="87"/>
      <c r="I71" s="87"/>
      <c r="J71" s="87"/>
      <c r="K71" s="87"/>
      <c r="L71" s="87"/>
      <c r="M71" s="263"/>
      <c r="N71" s="263"/>
      <c r="O71" s="263">
        <f>COUNTIF('Growth Model'!F$189:F$237,'Regional Roll-up'!$D71)</f>
        <v>0</v>
      </c>
      <c r="P71" s="263">
        <f>COUNTIF('Growth Model'!G$189:G$237,'Regional Roll-up'!$D71)</f>
        <v>0</v>
      </c>
      <c r="Q71" s="263">
        <f>COUNTIF('Growth Model'!H$189:H$237,'Regional Roll-up'!$D71)</f>
        <v>0</v>
      </c>
      <c r="R71" s="263">
        <f>COUNTIF('Growth Model'!I$189:I$237,'Regional Roll-up'!$D71)</f>
        <v>0</v>
      </c>
      <c r="S71" s="263">
        <f>COUNTIF('Growth Model'!J$189:J$237,'Regional Roll-up'!$D71)</f>
        <v>0</v>
      </c>
      <c r="T71" s="263">
        <f>COUNTIF('Growth Model'!K$189:K$237,'Regional Roll-up'!$D71)</f>
        <v>0</v>
      </c>
      <c r="U71" s="263">
        <f>COUNTIF('Growth Model'!L$189:L$237,'Regional Roll-up'!$D71)</f>
        <v>0</v>
      </c>
      <c r="V71" s="263">
        <f>COUNTIF('Growth Model'!M$189:M$237,'Regional Roll-up'!$D71)</f>
        <v>0</v>
      </c>
      <c r="W71" s="263">
        <f>COUNTIF('Growth Model'!N$189:N$237,'Regional Roll-up'!$D71)</f>
        <v>0</v>
      </c>
      <c r="X71" s="263">
        <f>COUNTIF('Growth Model'!O$189:O$237,'Regional Roll-up'!$D71)</f>
        <v>0</v>
      </c>
      <c r="Y71" s="263">
        <f>COUNTIF('Growth Model'!P$189:P$237,'Regional Roll-up'!$D71)</f>
        <v>0</v>
      </c>
      <c r="Z71" s="263">
        <f>COUNTIF('Growth Model'!Q$189:Q$237,'Regional Roll-up'!$D71)</f>
        <v>0</v>
      </c>
      <c r="AA71" s="263">
        <f>COUNTIF('Growth Model'!R$189:R$237,'Regional Roll-up'!$D71)</f>
        <v>0</v>
      </c>
      <c r="AB71" s="263">
        <f>COUNTIF('Growth Model'!S$189:S$237,'Regional Roll-up'!$D71)</f>
        <v>0</v>
      </c>
      <c r="AC71" s="263">
        <f>COUNTIF('Growth Model'!T$189:T$237,'Regional Roll-up'!$D71)</f>
        <v>0</v>
      </c>
      <c r="AD71" s="263">
        <f>COUNTIF('Growth Model'!U$189:U$237,'Regional Roll-up'!$D71)</f>
        <v>0</v>
      </c>
      <c r="AE71" s="263">
        <f>COUNTIF('Growth Model'!V$189:V$237,'Regional Roll-up'!$D71)</f>
        <v>0</v>
      </c>
      <c r="AF71" s="263">
        <f>COUNTIF('Growth Model'!W$189:W$237,'Regional Roll-up'!$D71)</f>
        <v>0</v>
      </c>
      <c r="AG71" s="263">
        <f>COUNTIF('Growth Model'!X$189:X$237,'Regional Roll-up'!$D71)</f>
        <v>0</v>
      </c>
      <c r="AH71" s="263">
        <f>COUNTIF('Growth Model'!Y$189:Y$237,'Regional Roll-up'!$D71)</f>
        <v>0</v>
      </c>
      <c r="AI71" s="263">
        <f>COUNTIF('Growth Model'!Z$189:Z$237,'Regional Roll-up'!$D71)</f>
        <v>0</v>
      </c>
      <c r="AJ71" s="263">
        <f>COUNTIF('Growth Model'!AA$189:AA$237,'Regional Roll-up'!$D71)</f>
        <v>0</v>
      </c>
      <c r="AK71" s="263">
        <f t="shared" ref="AK71:AX71" si="53">AJ71</f>
        <v>0</v>
      </c>
      <c r="AL71" s="263">
        <f t="shared" si="53"/>
        <v>0</v>
      </c>
      <c r="AM71" s="263">
        <f t="shared" si="53"/>
        <v>0</v>
      </c>
      <c r="AN71" s="263">
        <f t="shared" si="53"/>
        <v>0</v>
      </c>
      <c r="AO71" s="263">
        <f t="shared" si="53"/>
        <v>0</v>
      </c>
      <c r="AP71" s="263">
        <f t="shared" si="53"/>
        <v>0</v>
      </c>
      <c r="AQ71" s="263">
        <f t="shared" si="53"/>
        <v>0</v>
      </c>
      <c r="AR71" s="263">
        <f t="shared" si="53"/>
        <v>0</v>
      </c>
      <c r="AS71" s="263">
        <f t="shared" si="53"/>
        <v>0</v>
      </c>
      <c r="AT71" s="263">
        <f t="shared" si="53"/>
        <v>0</v>
      </c>
      <c r="AU71" s="263">
        <f t="shared" si="53"/>
        <v>0</v>
      </c>
      <c r="AV71" s="263">
        <f t="shared" si="53"/>
        <v>0</v>
      </c>
      <c r="AW71" s="263">
        <f t="shared" si="53"/>
        <v>0</v>
      </c>
      <c r="AX71" s="263">
        <f t="shared" si="53"/>
        <v>0</v>
      </c>
      <c r="AY71" s="268"/>
      <c r="AZ71" s="268"/>
      <c r="BA71" s="268"/>
      <c r="BB71" s="268"/>
    </row>
    <row r="72" ht="12.75" hidden="1" customHeight="1" outlineLevel="1">
      <c r="A72" s="90"/>
      <c r="B72" s="90"/>
      <c r="C72" s="67" t="s">
        <v>516</v>
      </c>
      <c r="D72" s="90"/>
      <c r="E72" s="113"/>
      <c r="F72" s="90"/>
      <c r="G72" s="90"/>
      <c r="H72" s="90"/>
      <c r="I72" s="90"/>
      <c r="J72" s="90"/>
      <c r="K72" s="90"/>
      <c r="L72" s="90"/>
      <c r="M72" s="268"/>
      <c r="N72" s="268"/>
      <c r="O72" s="268">
        <f t="shared" ref="O72:AX72" si="54">SUM(O41:O71)</f>
        <v>0</v>
      </c>
      <c r="P72" s="268">
        <f t="shared" si="54"/>
        <v>0</v>
      </c>
      <c r="Q72" s="268">
        <f t="shared" si="54"/>
        <v>0</v>
      </c>
      <c r="R72" s="268">
        <f t="shared" si="54"/>
        <v>1</v>
      </c>
      <c r="S72" s="268">
        <f t="shared" si="54"/>
        <v>1</v>
      </c>
      <c r="T72" s="268">
        <f t="shared" si="54"/>
        <v>3</v>
      </c>
      <c r="U72" s="268">
        <f t="shared" si="54"/>
        <v>6</v>
      </c>
      <c r="V72" s="268">
        <f t="shared" si="54"/>
        <v>11</v>
      </c>
      <c r="W72" s="268">
        <f t="shared" si="54"/>
        <v>19</v>
      </c>
      <c r="X72" s="268">
        <f t="shared" si="54"/>
        <v>32</v>
      </c>
      <c r="Y72" s="268">
        <f t="shared" si="54"/>
        <v>49</v>
      </c>
      <c r="Z72" s="268">
        <f t="shared" si="54"/>
        <v>49</v>
      </c>
      <c r="AA72" s="268">
        <f t="shared" si="54"/>
        <v>49</v>
      </c>
      <c r="AB72" s="268">
        <f t="shared" si="54"/>
        <v>49</v>
      </c>
      <c r="AC72" s="268">
        <f t="shared" si="54"/>
        <v>49</v>
      </c>
      <c r="AD72" s="268">
        <f t="shared" si="54"/>
        <v>49</v>
      </c>
      <c r="AE72" s="268">
        <f t="shared" si="54"/>
        <v>49</v>
      </c>
      <c r="AF72" s="268">
        <f t="shared" si="54"/>
        <v>49</v>
      </c>
      <c r="AG72" s="268">
        <f t="shared" si="54"/>
        <v>49</v>
      </c>
      <c r="AH72" s="268">
        <f t="shared" si="54"/>
        <v>49</v>
      </c>
      <c r="AI72" s="268">
        <f t="shared" si="54"/>
        <v>49</v>
      </c>
      <c r="AJ72" s="268">
        <f t="shared" si="54"/>
        <v>49</v>
      </c>
      <c r="AK72" s="268">
        <f t="shared" si="54"/>
        <v>49</v>
      </c>
      <c r="AL72" s="268">
        <f t="shared" si="54"/>
        <v>49</v>
      </c>
      <c r="AM72" s="268">
        <f t="shared" si="54"/>
        <v>49</v>
      </c>
      <c r="AN72" s="268">
        <f t="shared" si="54"/>
        <v>49</v>
      </c>
      <c r="AO72" s="268">
        <f t="shared" si="54"/>
        <v>49</v>
      </c>
      <c r="AP72" s="268">
        <f t="shared" si="54"/>
        <v>49</v>
      </c>
      <c r="AQ72" s="268">
        <f t="shared" si="54"/>
        <v>49</v>
      </c>
      <c r="AR72" s="268">
        <f t="shared" si="54"/>
        <v>49</v>
      </c>
      <c r="AS72" s="268">
        <f t="shared" si="54"/>
        <v>49</v>
      </c>
      <c r="AT72" s="268">
        <f t="shared" si="54"/>
        <v>49</v>
      </c>
      <c r="AU72" s="268">
        <f t="shared" si="54"/>
        <v>49</v>
      </c>
      <c r="AV72" s="268">
        <f t="shared" si="54"/>
        <v>49</v>
      </c>
      <c r="AW72" s="268">
        <f t="shared" si="54"/>
        <v>49</v>
      </c>
      <c r="AX72" s="268">
        <f t="shared" si="54"/>
        <v>49</v>
      </c>
      <c r="AY72" s="268"/>
      <c r="AZ72" s="268"/>
      <c r="BA72" s="268"/>
      <c r="BB72" s="268"/>
    </row>
    <row r="73" ht="12.75" hidden="1" customHeight="1" outlineLevel="1">
      <c r="A73" s="90"/>
      <c r="B73" s="90"/>
      <c r="C73" s="67"/>
      <c r="D73" s="90"/>
      <c r="E73" s="113"/>
      <c r="F73" s="90"/>
      <c r="G73" s="90"/>
      <c r="H73" s="90"/>
      <c r="I73" s="90"/>
      <c r="J73" s="90"/>
      <c r="K73" s="90"/>
      <c r="L73" s="90"/>
      <c r="M73" s="268"/>
      <c r="N73" s="268"/>
      <c r="O73" s="268"/>
      <c r="P73" s="268"/>
      <c r="Q73" s="268"/>
      <c r="R73" s="268"/>
      <c r="S73" s="268"/>
      <c r="T73" s="268"/>
      <c r="U73" s="268"/>
      <c r="V73" s="268"/>
      <c r="W73" s="268"/>
      <c r="X73" s="268"/>
      <c r="Y73" s="268"/>
      <c r="Z73" s="268"/>
      <c r="AA73" s="268"/>
      <c r="AB73" s="268"/>
      <c r="AC73" s="268"/>
      <c r="AD73" s="268"/>
      <c r="AE73" s="268"/>
      <c r="AF73" s="268"/>
      <c r="AG73" s="268"/>
      <c r="AH73" s="268"/>
      <c r="AI73" s="268"/>
      <c r="AJ73" s="268"/>
      <c r="AK73" s="268"/>
      <c r="AL73" s="268"/>
      <c r="AM73" s="268"/>
      <c r="AN73" s="268"/>
      <c r="AO73" s="268"/>
      <c r="AP73" s="268"/>
      <c r="AQ73" s="268"/>
      <c r="AR73" s="268"/>
      <c r="AS73" s="268"/>
      <c r="AT73" s="268"/>
      <c r="AU73" s="268"/>
      <c r="AV73" s="268"/>
      <c r="AW73" s="268"/>
      <c r="AX73" s="268"/>
      <c r="AY73" s="268"/>
      <c r="AZ73" s="268"/>
      <c r="BA73" s="268"/>
      <c r="BB73" s="268"/>
    </row>
    <row r="74" ht="12.75" hidden="1" customHeight="1" outlineLevel="1">
      <c r="A74" s="90"/>
      <c r="B74" s="90"/>
      <c r="C74" s="90" t="s">
        <v>517</v>
      </c>
      <c r="D74" s="90"/>
      <c r="E74" s="113" t="s">
        <v>205</v>
      </c>
      <c r="F74" s="90"/>
      <c r="G74" s="90"/>
      <c r="H74" s="90"/>
      <c r="I74" s="90"/>
      <c r="J74" s="90"/>
      <c r="K74" s="90"/>
      <c r="L74" s="90"/>
      <c r="M74" s="268"/>
      <c r="N74" s="268"/>
      <c r="O74" s="268"/>
      <c r="P74" s="268"/>
      <c r="Q74" s="268"/>
      <c r="R74" s="268"/>
      <c r="S74" s="268"/>
      <c r="T74" s="268"/>
      <c r="U74" s="268"/>
      <c r="V74" s="268"/>
      <c r="W74" s="268"/>
      <c r="X74" s="268"/>
      <c r="Y74" s="268"/>
      <c r="Z74" s="268"/>
      <c r="AA74" s="268"/>
      <c r="AB74" s="268"/>
      <c r="AC74" s="268"/>
      <c r="AD74" s="268"/>
      <c r="AE74" s="268"/>
      <c r="AF74" s="268"/>
      <c r="AG74" s="268"/>
      <c r="AH74" s="268"/>
      <c r="AI74" s="268"/>
      <c r="AJ74" s="268"/>
      <c r="AK74" s="268"/>
      <c r="AL74" s="268"/>
      <c r="AM74" s="268"/>
      <c r="AN74" s="268"/>
      <c r="AO74" s="268"/>
      <c r="AP74" s="268"/>
      <c r="AQ74" s="268"/>
      <c r="AR74" s="268"/>
      <c r="AS74" s="268"/>
      <c r="AT74" s="268"/>
      <c r="AU74" s="268"/>
      <c r="AV74" s="268"/>
      <c r="AW74" s="268"/>
      <c r="AX74" s="268"/>
      <c r="AY74" s="268"/>
      <c r="AZ74" s="268"/>
      <c r="BA74" s="268"/>
      <c r="BB74" s="268"/>
    </row>
    <row r="75" ht="12.75" hidden="1" customHeight="1" outlineLevel="1">
      <c r="A75" s="90"/>
      <c r="B75" s="90"/>
      <c r="C75" s="90" t="s">
        <v>286</v>
      </c>
      <c r="D75" s="90"/>
      <c r="E75" s="113">
        <f>OFFSET(RSGen_Walton!$G$19,0,ROW(C75)-ROW($C$75))</f>
        <v>0</v>
      </c>
      <c r="F75" s="90"/>
      <c r="G75" s="90"/>
      <c r="H75" s="90"/>
      <c r="I75" s="90"/>
      <c r="J75" s="90"/>
      <c r="K75" s="90"/>
      <c r="L75" s="90"/>
      <c r="M75" s="268"/>
      <c r="N75" s="268"/>
      <c r="O75" s="268">
        <f t="shared" ref="O75:AX75" si="55">P76</f>
        <v>0</v>
      </c>
      <c r="P75" s="268">
        <f t="shared" si="55"/>
        <v>1</v>
      </c>
      <c r="Q75" s="268">
        <f t="shared" si="55"/>
        <v>0</v>
      </c>
      <c r="R75" s="268">
        <f t="shared" si="55"/>
        <v>3</v>
      </c>
      <c r="S75" s="268">
        <f t="shared" si="55"/>
        <v>5</v>
      </c>
      <c r="T75" s="268">
        <f t="shared" si="55"/>
        <v>11</v>
      </c>
      <c r="U75" s="268">
        <f t="shared" si="55"/>
        <v>20</v>
      </c>
      <c r="V75" s="268">
        <f t="shared" si="55"/>
        <v>40</v>
      </c>
      <c r="W75" s="268">
        <f t="shared" si="55"/>
        <v>66</v>
      </c>
      <c r="X75" s="268">
        <f t="shared" si="55"/>
        <v>80</v>
      </c>
      <c r="Y75" s="268">
        <f t="shared" si="55"/>
        <v>142</v>
      </c>
      <c r="Z75" s="268">
        <f t="shared" si="55"/>
        <v>193</v>
      </c>
      <c r="AA75" s="268">
        <f t="shared" si="55"/>
        <v>242</v>
      </c>
      <c r="AB75" s="268">
        <f t="shared" si="55"/>
        <v>273</v>
      </c>
      <c r="AC75" s="268">
        <f t="shared" si="55"/>
        <v>324</v>
      </c>
      <c r="AD75" s="268">
        <f t="shared" si="55"/>
        <v>350</v>
      </c>
      <c r="AE75" s="268">
        <f t="shared" si="55"/>
        <v>345</v>
      </c>
      <c r="AF75" s="268">
        <f t="shared" si="55"/>
        <v>272</v>
      </c>
      <c r="AG75" s="268">
        <f t="shared" si="55"/>
        <v>33</v>
      </c>
      <c r="AH75" s="268">
        <f t="shared" si="55"/>
        <v>0</v>
      </c>
      <c r="AI75" s="268">
        <f t="shared" si="55"/>
        <v>0</v>
      </c>
      <c r="AJ75" s="268">
        <f t="shared" si="55"/>
        <v>0</v>
      </c>
      <c r="AK75" s="268">
        <f t="shared" si="55"/>
        <v>0</v>
      </c>
      <c r="AL75" s="268">
        <f t="shared" si="55"/>
        <v>0</v>
      </c>
      <c r="AM75" s="268">
        <f t="shared" si="55"/>
        <v>0</v>
      </c>
      <c r="AN75" s="268">
        <f t="shared" si="55"/>
        <v>0</v>
      </c>
      <c r="AO75" s="268">
        <f t="shared" si="55"/>
        <v>0</v>
      </c>
      <c r="AP75" s="268">
        <f t="shared" si="55"/>
        <v>0</v>
      </c>
      <c r="AQ75" s="268">
        <f t="shared" si="55"/>
        <v>0</v>
      </c>
      <c r="AR75" s="268">
        <f t="shared" si="55"/>
        <v>0</v>
      </c>
      <c r="AS75" s="268">
        <f t="shared" si="55"/>
        <v>0</v>
      </c>
      <c r="AT75" s="268">
        <f t="shared" si="55"/>
        <v>0</v>
      </c>
      <c r="AU75" s="268">
        <f t="shared" si="55"/>
        <v>0</v>
      </c>
      <c r="AV75" s="268">
        <f t="shared" si="55"/>
        <v>0</v>
      </c>
      <c r="AW75" s="268" t="str">
        <f t="shared" si="55"/>
        <v/>
      </c>
      <c r="AX75" s="268" t="str">
        <f t="shared" si="55"/>
        <v/>
      </c>
      <c r="AY75" s="268"/>
      <c r="AZ75" s="268"/>
      <c r="BA75" s="268"/>
      <c r="BB75" s="268"/>
    </row>
    <row r="76" ht="12.75" hidden="1" customHeight="1" outlineLevel="1">
      <c r="A76" s="90"/>
      <c r="B76" s="90"/>
      <c r="C76" s="90" t="s">
        <v>287</v>
      </c>
      <c r="D76" s="90"/>
      <c r="E76" s="113">
        <f>OFFSET(RSGen_Walton!$G$19,0,ROW(C76)-ROW($C$75))</f>
        <v>6000</v>
      </c>
      <c r="F76" s="90"/>
      <c r="G76" s="90"/>
      <c r="H76" s="90"/>
      <c r="I76" s="90"/>
      <c r="J76" s="90"/>
      <c r="K76" s="90"/>
      <c r="L76" s="90"/>
      <c r="M76" s="268"/>
      <c r="N76" s="268"/>
      <c r="O76" s="268">
        <f t="shared" ref="O76:AX76" si="56">P77</f>
        <v>0</v>
      </c>
      <c r="P76" s="268">
        <f t="shared" si="56"/>
        <v>0</v>
      </c>
      <c r="Q76" s="268">
        <f t="shared" si="56"/>
        <v>1</v>
      </c>
      <c r="R76" s="268">
        <f t="shared" si="56"/>
        <v>0</v>
      </c>
      <c r="S76" s="268">
        <f t="shared" si="56"/>
        <v>3</v>
      </c>
      <c r="T76" s="268">
        <f t="shared" si="56"/>
        <v>5</v>
      </c>
      <c r="U76" s="268">
        <f t="shared" si="56"/>
        <v>11</v>
      </c>
      <c r="V76" s="268">
        <f t="shared" si="56"/>
        <v>20</v>
      </c>
      <c r="W76" s="268">
        <f t="shared" si="56"/>
        <v>40</v>
      </c>
      <c r="X76" s="268">
        <f t="shared" si="56"/>
        <v>66</v>
      </c>
      <c r="Y76" s="268">
        <f t="shared" si="56"/>
        <v>80</v>
      </c>
      <c r="Z76" s="268">
        <f t="shared" si="56"/>
        <v>142</v>
      </c>
      <c r="AA76" s="268">
        <f t="shared" si="56"/>
        <v>193</v>
      </c>
      <c r="AB76" s="268">
        <f t="shared" si="56"/>
        <v>242</v>
      </c>
      <c r="AC76" s="268">
        <f t="shared" si="56"/>
        <v>273</v>
      </c>
      <c r="AD76" s="268">
        <f t="shared" si="56"/>
        <v>324</v>
      </c>
      <c r="AE76" s="268">
        <f t="shared" si="56"/>
        <v>350</v>
      </c>
      <c r="AF76" s="268">
        <f t="shared" si="56"/>
        <v>345</v>
      </c>
      <c r="AG76" s="268">
        <f t="shared" si="56"/>
        <v>272</v>
      </c>
      <c r="AH76" s="268">
        <f t="shared" si="56"/>
        <v>33</v>
      </c>
      <c r="AI76" s="268">
        <f t="shared" si="56"/>
        <v>0</v>
      </c>
      <c r="AJ76" s="268">
        <f t="shared" si="56"/>
        <v>0</v>
      </c>
      <c r="AK76" s="268">
        <f t="shared" si="56"/>
        <v>0</v>
      </c>
      <c r="AL76" s="268">
        <f t="shared" si="56"/>
        <v>0</v>
      </c>
      <c r="AM76" s="268">
        <f t="shared" si="56"/>
        <v>0</v>
      </c>
      <c r="AN76" s="268">
        <f t="shared" si="56"/>
        <v>0</v>
      </c>
      <c r="AO76" s="268">
        <f t="shared" si="56"/>
        <v>0</v>
      </c>
      <c r="AP76" s="268">
        <f t="shared" si="56"/>
        <v>0</v>
      </c>
      <c r="AQ76" s="268">
        <f t="shared" si="56"/>
        <v>0</v>
      </c>
      <c r="AR76" s="268">
        <f t="shared" si="56"/>
        <v>0</v>
      </c>
      <c r="AS76" s="268">
        <f t="shared" si="56"/>
        <v>0</v>
      </c>
      <c r="AT76" s="268">
        <f t="shared" si="56"/>
        <v>0</v>
      </c>
      <c r="AU76" s="268">
        <f t="shared" si="56"/>
        <v>0</v>
      </c>
      <c r="AV76" s="268">
        <f t="shared" si="56"/>
        <v>0</v>
      </c>
      <c r="AW76" s="268">
        <f t="shared" si="56"/>
        <v>0</v>
      </c>
      <c r="AX76" s="268" t="str">
        <f t="shared" si="56"/>
        <v/>
      </c>
      <c r="AY76" s="268"/>
      <c r="AZ76" s="268"/>
      <c r="BA76" s="268"/>
      <c r="BB76" s="268"/>
    </row>
    <row r="77" ht="12.75" hidden="1" customHeight="1" outlineLevel="1">
      <c r="A77" s="90"/>
      <c r="B77" s="90"/>
      <c r="C77" s="237" t="s">
        <v>288</v>
      </c>
      <c r="D77" s="237"/>
      <c r="E77" s="269">
        <f>OFFSET(RSGen_Walton!$G$19,0,ROW(C77)-ROW($C$75))</f>
        <v>121110.8742</v>
      </c>
      <c r="F77" s="237"/>
      <c r="G77" s="237"/>
      <c r="H77" s="237"/>
      <c r="I77" s="237"/>
      <c r="J77" s="237"/>
      <c r="K77" s="237"/>
      <c r="L77" s="237"/>
      <c r="M77" s="270"/>
      <c r="N77" s="270"/>
      <c r="O77" s="270">
        <v>0.0</v>
      </c>
      <c r="P77" s="270">
        <f>MAX(0,SUM('Growth Model'!G81:G129)-SUM('Growth Model'!F81:F129))</f>
        <v>0</v>
      </c>
      <c r="Q77" s="270">
        <f>MAX(0,SUM('Growth Model'!H81:H129)-SUM('Growth Model'!G81:G129))</f>
        <v>0</v>
      </c>
      <c r="R77" s="270">
        <f>MAX(0,SUM('Growth Model'!I81:I129)-SUM('Growth Model'!H81:H129))</f>
        <v>1</v>
      </c>
      <c r="S77" s="270">
        <f>MAX(0,SUM('Growth Model'!J81:J129)-SUM('Growth Model'!I81:I129))</f>
        <v>0</v>
      </c>
      <c r="T77" s="270">
        <f>MAX(0,SUM('Growth Model'!K81:K129)-SUM('Growth Model'!J81:J129))</f>
        <v>3</v>
      </c>
      <c r="U77" s="270">
        <f>MAX(0,SUM('Growth Model'!L81:L129)-SUM('Growth Model'!K81:K129))</f>
        <v>5</v>
      </c>
      <c r="V77" s="270">
        <f>MAX(0,SUM('Growth Model'!M81:M129)-SUM('Growth Model'!L81:L129))</f>
        <v>11</v>
      </c>
      <c r="W77" s="270">
        <f>MAX(0,SUM('Growth Model'!N81:N129)-SUM('Growth Model'!M81:M129))</f>
        <v>20</v>
      </c>
      <c r="X77" s="270">
        <f>MAX(0,SUM('Growth Model'!O81:O129)-SUM('Growth Model'!N81:N129))</f>
        <v>40</v>
      </c>
      <c r="Y77" s="270">
        <f>MAX(0,SUM('Growth Model'!P81:P129)-SUM('Growth Model'!O81:O129))</f>
        <v>66</v>
      </c>
      <c r="Z77" s="270">
        <f>MAX(0,SUM('Growth Model'!Q81:Q129)-SUM('Growth Model'!P81:P129))</f>
        <v>80</v>
      </c>
      <c r="AA77" s="270">
        <f>MAX(0,SUM('Growth Model'!R81:R129)-SUM('Growth Model'!Q81:Q129))</f>
        <v>142</v>
      </c>
      <c r="AB77" s="270">
        <f>MAX(0,SUM('Growth Model'!S81:S129)-SUM('Growth Model'!R81:R129))</f>
        <v>193</v>
      </c>
      <c r="AC77" s="270">
        <f>MAX(0,SUM('Growth Model'!T81:T129)-SUM('Growth Model'!S81:S129))</f>
        <v>242</v>
      </c>
      <c r="AD77" s="270">
        <f>MAX(0,SUM('Growth Model'!U81:U129)-SUM('Growth Model'!T81:T129))</f>
        <v>273</v>
      </c>
      <c r="AE77" s="270">
        <f>MAX(0,SUM('Growth Model'!V81:V129)-SUM('Growth Model'!U81:U129))</f>
        <v>324</v>
      </c>
      <c r="AF77" s="270">
        <f>MAX(0,SUM('Growth Model'!W81:W129)-SUM('Growth Model'!V81:V129))</f>
        <v>350</v>
      </c>
      <c r="AG77" s="270">
        <f>MAX(0,SUM('Growth Model'!X81:X129)-SUM('Growth Model'!W81:W129))</f>
        <v>345</v>
      </c>
      <c r="AH77" s="270">
        <f>MAX(0,SUM('Growth Model'!Y81:Y129)-SUM('Growth Model'!X81:X129))</f>
        <v>272</v>
      </c>
      <c r="AI77" s="270">
        <f>MAX(0,SUM('Growth Model'!Z81:Z129)-SUM('Growth Model'!Y81:Y129))</f>
        <v>33</v>
      </c>
      <c r="AJ77" s="270">
        <f>MAX(0,SUM('Growth Model'!AA81:AA129)-SUM('Growth Model'!Z81:Z129))</f>
        <v>0</v>
      </c>
      <c r="AK77" s="270">
        <f>MAX(0,SUM('Growth Model'!AB81:AB129)-SUM('Growth Model'!AA81:AA129))</f>
        <v>0</v>
      </c>
      <c r="AL77" s="270">
        <f>MAX(0,SUM('Growth Model'!AC81:AC129)-SUM('Growth Model'!AB81:AB129))</f>
        <v>0</v>
      </c>
      <c r="AM77" s="270">
        <f>MAX(0,SUM('Growth Model'!AD81:AD129)-SUM('Growth Model'!AC81:AC129))</f>
        <v>0</v>
      </c>
      <c r="AN77" s="270">
        <f>MAX(0,SUM('Growth Model'!AE81:AE129)-SUM('Growth Model'!AD81:AD129))</f>
        <v>0</v>
      </c>
      <c r="AO77" s="270">
        <f>MAX(0,SUM('Growth Model'!AF81:AF129)-SUM('Growth Model'!AE81:AE129))</f>
        <v>0</v>
      </c>
      <c r="AP77" s="270">
        <f>MAX(0,SUM('Growth Model'!AG81:AG129)-SUM('Growth Model'!AF81:AF129))</f>
        <v>0</v>
      </c>
      <c r="AQ77" s="270">
        <f>MAX(0,SUM('Growth Model'!AH81:AH129)-SUM('Growth Model'!AG81:AG129))</f>
        <v>0</v>
      </c>
      <c r="AR77" s="270">
        <f>MAX(0,SUM('Growth Model'!AI81:AI129)-SUM('Growth Model'!AH81:AH129))</f>
        <v>0</v>
      </c>
      <c r="AS77" s="270">
        <f>MAX(0,SUM('Growth Model'!AJ81:AJ129)-SUM('Growth Model'!AI81:AI129))</f>
        <v>0</v>
      </c>
      <c r="AT77" s="270">
        <f>MAX(0,SUM('Growth Model'!AK81:AK129)-SUM('Growth Model'!AJ81:AJ129))</f>
        <v>0</v>
      </c>
      <c r="AU77" s="270">
        <f>MAX(0,SUM('Growth Model'!AL81:AL129)-SUM('Growth Model'!AK81:AK129))</f>
        <v>0</v>
      </c>
      <c r="AV77" s="270">
        <f>MAX(0,SUM('Growth Model'!AM81:AM129)-SUM('Growth Model'!AL81:AL129))</f>
        <v>0</v>
      </c>
      <c r="AW77" s="270">
        <f>MAX(0,SUM('Growth Model'!AN81:AN129)-SUM('Growth Model'!AM81:AM129))</f>
        <v>0</v>
      </c>
      <c r="AX77" s="270">
        <f>MAX(0,SUM('Growth Model'!AO81:AO129)-SUM('Growth Model'!AN81:AN129))</f>
        <v>0</v>
      </c>
      <c r="AY77" s="268"/>
      <c r="AZ77" s="268"/>
      <c r="BA77" s="268"/>
      <c r="BB77" s="268"/>
    </row>
    <row r="78" ht="12.75" hidden="1" customHeight="1" outlineLevel="1">
      <c r="A78" s="90"/>
      <c r="B78" s="90"/>
      <c r="C78" s="90" t="s">
        <v>289</v>
      </c>
      <c r="D78" s="90"/>
      <c r="E78" s="113">
        <f>OFFSET(RSGen_Walton!$G$19,0,ROW(C78)-ROW($C$75))</f>
        <v>124428.5677</v>
      </c>
      <c r="F78" s="90"/>
      <c r="G78" s="90"/>
      <c r="H78" s="90"/>
      <c r="I78" s="90"/>
      <c r="J78" s="90"/>
      <c r="K78" s="90"/>
      <c r="L78" s="90"/>
      <c r="M78" s="268"/>
      <c r="N78" s="268"/>
      <c r="O78" s="268">
        <v>0.0</v>
      </c>
      <c r="P78" s="268">
        <f t="shared" ref="P78:AX78" si="57">O77</f>
        <v>0</v>
      </c>
      <c r="Q78" s="268">
        <f t="shared" si="57"/>
        <v>0</v>
      </c>
      <c r="R78" s="268">
        <f t="shared" si="57"/>
        <v>0</v>
      </c>
      <c r="S78" s="268">
        <f t="shared" si="57"/>
        <v>1</v>
      </c>
      <c r="T78" s="268">
        <f t="shared" si="57"/>
        <v>0</v>
      </c>
      <c r="U78" s="268">
        <f t="shared" si="57"/>
        <v>3</v>
      </c>
      <c r="V78" s="268">
        <f t="shared" si="57"/>
        <v>5</v>
      </c>
      <c r="W78" s="268">
        <f t="shared" si="57"/>
        <v>11</v>
      </c>
      <c r="X78" s="268">
        <f t="shared" si="57"/>
        <v>20</v>
      </c>
      <c r="Y78" s="268">
        <f t="shared" si="57"/>
        <v>40</v>
      </c>
      <c r="Z78" s="268">
        <f t="shared" si="57"/>
        <v>66</v>
      </c>
      <c r="AA78" s="268">
        <f t="shared" si="57"/>
        <v>80</v>
      </c>
      <c r="AB78" s="268">
        <f t="shared" si="57"/>
        <v>142</v>
      </c>
      <c r="AC78" s="268">
        <f t="shared" si="57"/>
        <v>193</v>
      </c>
      <c r="AD78" s="268">
        <f t="shared" si="57"/>
        <v>242</v>
      </c>
      <c r="AE78" s="268">
        <f t="shared" si="57"/>
        <v>273</v>
      </c>
      <c r="AF78" s="268">
        <f t="shared" si="57"/>
        <v>324</v>
      </c>
      <c r="AG78" s="268">
        <f t="shared" si="57"/>
        <v>350</v>
      </c>
      <c r="AH78" s="268">
        <f t="shared" si="57"/>
        <v>345</v>
      </c>
      <c r="AI78" s="268">
        <f t="shared" si="57"/>
        <v>272</v>
      </c>
      <c r="AJ78" s="268">
        <f t="shared" si="57"/>
        <v>33</v>
      </c>
      <c r="AK78" s="268">
        <f t="shared" si="57"/>
        <v>0</v>
      </c>
      <c r="AL78" s="268">
        <f t="shared" si="57"/>
        <v>0</v>
      </c>
      <c r="AM78" s="268">
        <f t="shared" si="57"/>
        <v>0</v>
      </c>
      <c r="AN78" s="268">
        <f t="shared" si="57"/>
        <v>0</v>
      </c>
      <c r="AO78" s="268">
        <f t="shared" si="57"/>
        <v>0</v>
      </c>
      <c r="AP78" s="268">
        <f t="shared" si="57"/>
        <v>0</v>
      </c>
      <c r="AQ78" s="268">
        <f t="shared" si="57"/>
        <v>0</v>
      </c>
      <c r="AR78" s="268">
        <f t="shared" si="57"/>
        <v>0</v>
      </c>
      <c r="AS78" s="268">
        <f t="shared" si="57"/>
        <v>0</v>
      </c>
      <c r="AT78" s="268">
        <f t="shared" si="57"/>
        <v>0</v>
      </c>
      <c r="AU78" s="268">
        <f t="shared" si="57"/>
        <v>0</v>
      </c>
      <c r="AV78" s="268">
        <f t="shared" si="57"/>
        <v>0</v>
      </c>
      <c r="AW78" s="268">
        <f t="shared" si="57"/>
        <v>0</v>
      </c>
      <c r="AX78" s="268">
        <f t="shared" si="57"/>
        <v>0</v>
      </c>
      <c r="AY78" s="268"/>
      <c r="AZ78" s="268"/>
      <c r="BA78" s="268"/>
      <c r="BB78" s="268"/>
    </row>
    <row r="79" ht="12.75" hidden="1" customHeight="1" outlineLevel="1">
      <c r="A79" s="90"/>
      <c r="B79" s="90"/>
      <c r="C79" s="90" t="s">
        <v>290</v>
      </c>
      <c r="D79" s="90"/>
      <c r="E79" s="113">
        <f>OFFSET(RSGen_Walton!$G$19,0,ROW(C79)-ROW($C$75))</f>
        <v>128804.9223</v>
      </c>
      <c r="F79" s="90"/>
      <c r="G79" s="90"/>
      <c r="H79" s="90"/>
      <c r="I79" s="90"/>
      <c r="J79" s="90"/>
      <c r="K79" s="90"/>
      <c r="L79" s="90"/>
      <c r="M79" s="268"/>
      <c r="N79" s="268"/>
      <c r="O79" s="268">
        <v>0.0</v>
      </c>
      <c r="P79" s="268">
        <f t="shared" ref="P79:AX79" si="58">O78</f>
        <v>0</v>
      </c>
      <c r="Q79" s="268">
        <f t="shared" si="58"/>
        <v>0</v>
      </c>
      <c r="R79" s="268">
        <f t="shared" si="58"/>
        <v>0</v>
      </c>
      <c r="S79" s="268">
        <f t="shared" si="58"/>
        <v>0</v>
      </c>
      <c r="T79" s="268">
        <f t="shared" si="58"/>
        <v>1</v>
      </c>
      <c r="U79" s="268">
        <f t="shared" si="58"/>
        <v>0</v>
      </c>
      <c r="V79" s="268">
        <f t="shared" si="58"/>
        <v>3</v>
      </c>
      <c r="W79" s="268">
        <f t="shared" si="58"/>
        <v>5</v>
      </c>
      <c r="X79" s="268">
        <f t="shared" si="58"/>
        <v>11</v>
      </c>
      <c r="Y79" s="268">
        <f t="shared" si="58"/>
        <v>20</v>
      </c>
      <c r="Z79" s="268">
        <f t="shared" si="58"/>
        <v>40</v>
      </c>
      <c r="AA79" s="268">
        <f t="shared" si="58"/>
        <v>66</v>
      </c>
      <c r="AB79" s="268">
        <f t="shared" si="58"/>
        <v>80</v>
      </c>
      <c r="AC79" s="268">
        <f t="shared" si="58"/>
        <v>142</v>
      </c>
      <c r="AD79" s="268">
        <f t="shared" si="58"/>
        <v>193</v>
      </c>
      <c r="AE79" s="268">
        <f t="shared" si="58"/>
        <v>242</v>
      </c>
      <c r="AF79" s="268">
        <f t="shared" si="58"/>
        <v>273</v>
      </c>
      <c r="AG79" s="268">
        <f t="shared" si="58"/>
        <v>324</v>
      </c>
      <c r="AH79" s="268">
        <f t="shared" si="58"/>
        <v>350</v>
      </c>
      <c r="AI79" s="268">
        <f t="shared" si="58"/>
        <v>345</v>
      </c>
      <c r="AJ79" s="268">
        <f t="shared" si="58"/>
        <v>272</v>
      </c>
      <c r="AK79" s="268">
        <f t="shared" si="58"/>
        <v>33</v>
      </c>
      <c r="AL79" s="268">
        <f t="shared" si="58"/>
        <v>0</v>
      </c>
      <c r="AM79" s="268">
        <f t="shared" si="58"/>
        <v>0</v>
      </c>
      <c r="AN79" s="268">
        <f t="shared" si="58"/>
        <v>0</v>
      </c>
      <c r="AO79" s="268">
        <f t="shared" si="58"/>
        <v>0</v>
      </c>
      <c r="AP79" s="268">
        <f t="shared" si="58"/>
        <v>0</v>
      </c>
      <c r="AQ79" s="268">
        <f t="shared" si="58"/>
        <v>0</v>
      </c>
      <c r="AR79" s="268">
        <f t="shared" si="58"/>
        <v>0</v>
      </c>
      <c r="AS79" s="268">
        <f t="shared" si="58"/>
        <v>0</v>
      </c>
      <c r="AT79" s="268">
        <f t="shared" si="58"/>
        <v>0</v>
      </c>
      <c r="AU79" s="268">
        <f t="shared" si="58"/>
        <v>0</v>
      </c>
      <c r="AV79" s="268">
        <f t="shared" si="58"/>
        <v>0</v>
      </c>
      <c r="AW79" s="268">
        <f t="shared" si="58"/>
        <v>0</v>
      </c>
      <c r="AX79" s="268">
        <f t="shared" si="58"/>
        <v>0</v>
      </c>
      <c r="AY79" s="268"/>
      <c r="AZ79" s="268"/>
      <c r="BA79" s="268"/>
      <c r="BB79" s="268"/>
    </row>
    <row r="80" ht="12.75" hidden="1" customHeight="1" outlineLevel="1">
      <c r="A80" s="90"/>
      <c r="B80" s="90"/>
      <c r="C80" s="90" t="s">
        <v>291</v>
      </c>
      <c r="D80" s="90"/>
      <c r="E80" s="113">
        <f>OFFSET(RSGen_Walton!$G$19,0,ROW(C80)-ROW($C$75))</f>
        <v>96870.81175</v>
      </c>
      <c r="F80" s="90"/>
      <c r="G80" s="90"/>
      <c r="H80" s="90"/>
      <c r="I80" s="90"/>
      <c r="J80" s="90"/>
      <c r="K80" s="90"/>
      <c r="L80" s="90"/>
      <c r="M80" s="268"/>
      <c r="N80" s="268"/>
      <c r="O80" s="268">
        <v>0.0</v>
      </c>
      <c r="P80" s="268">
        <f t="shared" ref="P80:AX80" si="59">O79</f>
        <v>0</v>
      </c>
      <c r="Q80" s="268">
        <f t="shared" si="59"/>
        <v>0</v>
      </c>
      <c r="R80" s="268">
        <f t="shared" si="59"/>
        <v>0</v>
      </c>
      <c r="S80" s="268">
        <f t="shared" si="59"/>
        <v>0</v>
      </c>
      <c r="T80" s="268">
        <f t="shared" si="59"/>
        <v>0</v>
      </c>
      <c r="U80" s="268">
        <f t="shared" si="59"/>
        <v>1</v>
      </c>
      <c r="V80" s="268">
        <f t="shared" si="59"/>
        <v>0</v>
      </c>
      <c r="W80" s="268">
        <f t="shared" si="59"/>
        <v>3</v>
      </c>
      <c r="X80" s="268">
        <f t="shared" si="59"/>
        <v>5</v>
      </c>
      <c r="Y80" s="268">
        <f t="shared" si="59"/>
        <v>11</v>
      </c>
      <c r="Z80" s="268">
        <f t="shared" si="59"/>
        <v>20</v>
      </c>
      <c r="AA80" s="268">
        <f t="shared" si="59"/>
        <v>40</v>
      </c>
      <c r="AB80" s="268">
        <f t="shared" si="59"/>
        <v>66</v>
      </c>
      <c r="AC80" s="268">
        <f t="shared" si="59"/>
        <v>80</v>
      </c>
      <c r="AD80" s="268">
        <f t="shared" si="59"/>
        <v>142</v>
      </c>
      <c r="AE80" s="268">
        <f t="shared" si="59"/>
        <v>193</v>
      </c>
      <c r="AF80" s="268">
        <f t="shared" si="59"/>
        <v>242</v>
      </c>
      <c r="AG80" s="268">
        <f t="shared" si="59"/>
        <v>273</v>
      </c>
      <c r="AH80" s="268">
        <f t="shared" si="59"/>
        <v>324</v>
      </c>
      <c r="AI80" s="268">
        <f t="shared" si="59"/>
        <v>350</v>
      </c>
      <c r="AJ80" s="268">
        <f t="shared" si="59"/>
        <v>345</v>
      </c>
      <c r="AK80" s="268">
        <f t="shared" si="59"/>
        <v>272</v>
      </c>
      <c r="AL80" s="268">
        <f t="shared" si="59"/>
        <v>33</v>
      </c>
      <c r="AM80" s="268">
        <f t="shared" si="59"/>
        <v>0</v>
      </c>
      <c r="AN80" s="268">
        <f t="shared" si="59"/>
        <v>0</v>
      </c>
      <c r="AO80" s="268">
        <f t="shared" si="59"/>
        <v>0</v>
      </c>
      <c r="AP80" s="268">
        <f t="shared" si="59"/>
        <v>0</v>
      </c>
      <c r="AQ80" s="268">
        <f t="shared" si="59"/>
        <v>0</v>
      </c>
      <c r="AR80" s="268">
        <f t="shared" si="59"/>
        <v>0</v>
      </c>
      <c r="AS80" s="268">
        <f t="shared" si="59"/>
        <v>0</v>
      </c>
      <c r="AT80" s="268">
        <f t="shared" si="59"/>
        <v>0</v>
      </c>
      <c r="AU80" s="268">
        <f t="shared" si="59"/>
        <v>0</v>
      </c>
      <c r="AV80" s="268">
        <f t="shared" si="59"/>
        <v>0</v>
      </c>
      <c r="AW80" s="268">
        <f t="shared" si="59"/>
        <v>0</v>
      </c>
      <c r="AX80" s="268">
        <f t="shared" si="59"/>
        <v>0</v>
      </c>
      <c r="AY80" s="268"/>
      <c r="AZ80" s="268"/>
      <c r="BA80" s="268"/>
      <c r="BB80" s="268"/>
    </row>
    <row r="81" ht="12.75" hidden="1" customHeight="1" outlineLevel="1">
      <c r="A81" s="90"/>
      <c r="B81" s="90"/>
      <c r="C81" s="90" t="s">
        <v>292</v>
      </c>
      <c r="D81" s="90"/>
      <c r="E81" s="113">
        <f>OFFSET(RSGen_Walton!$G$19,0,ROW(C81)-ROW($C$75))</f>
        <v>96641.85175</v>
      </c>
      <c r="F81" s="90"/>
      <c r="G81" s="90"/>
      <c r="H81" s="90"/>
      <c r="I81" s="90"/>
      <c r="J81" s="90"/>
      <c r="K81" s="90"/>
      <c r="L81" s="90"/>
      <c r="M81" s="268"/>
      <c r="N81" s="268"/>
      <c r="O81" s="268">
        <v>0.0</v>
      </c>
      <c r="P81" s="268">
        <f t="shared" ref="P81:AX81" si="60">O80</f>
        <v>0</v>
      </c>
      <c r="Q81" s="268">
        <f t="shared" si="60"/>
        <v>0</v>
      </c>
      <c r="R81" s="268">
        <f t="shared" si="60"/>
        <v>0</v>
      </c>
      <c r="S81" s="268">
        <f t="shared" si="60"/>
        <v>0</v>
      </c>
      <c r="T81" s="268">
        <f t="shared" si="60"/>
        <v>0</v>
      </c>
      <c r="U81" s="268">
        <f t="shared" si="60"/>
        <v>0</v>
      </c>
      <c r="V81" s="268">
        <f t="shared" si="60"/>
        <v>1</v>
      </c>
      <c r="W81" s="268">
        <f t="shared" si="60"/>
        <v>0</v>
      </c>
      <c r="X81" s="268">
        <f t="shared" si="60"/>
        <v>3</v>
      </c>
      <c r="Y81" s="268">
        <f t="shared" si="60"/>
        <v>5</v>
      </c>
      <c r="Z81" s="268">
        <f t="shared" si="60"/>
        <v>11</v>
      </c>
      <c r="AA81" s="268">
        <f t="shared" si="60"/>
        <v>20</v>
      </c>
      <c r="AB81" s="268">
        <f t="shared" si="60"/>
        <v>40</v>
      </c>
      <c r="AC81" s="268">
        <f t="shared" si="60"/>
        <v>66</v>
      </c>
      <c r="AD81" s="268">
        <f t="shared" si="60"/>
        <v>80</v>
      </c>
      <c r="AE81" s="268">
        <f t="shared" si="60"/>
        <v>142</v>
      </c>
      <c r="AF81" s="268">
        <f t="shared" si="60"/>
        <v>193</v>
      </c>
      <c r="AG81" s="268">
        <f t="shared" si="60"/>
        <v>242</v>
      </c>
      <c r="AH81" s="268">
        <f t="shared" si="60"/>
        <v>273</v>
      </c>
      <c r="AI81" s="268">
        <f t="shared" si="60"/>
        <v>324</v>
      </c>
      <c r="AJ81" s="268">
        <f t="shared" si="60"/>
        <v>350</v>
      </c>
      <c r="AK81" s="268">
        <f t="shared" si="60"/>
        <v>345</v>
      </c>
      <c r="AL81" s="268">
        <f t="shared" si="60"/>
        <v>272</v>
      </c>
      <c r="AM81" s="268">
        <f t="shared" si="60"/>
        <v>33</v>
      </c>
      <c r="AN81" s="268">
        <f t="shared" si="60"/>
        <v>0</v>
      </c>
      <c r="AO81" s="268">
        <f t="shared" si="60"/>
        <v>0</v>
      </c>
      <c r="AP81" s="268">
        <f t="shared" si="60"/>
        <v>0</v>
      </c>
      <c r="AQ81" s="268">
        <f t="shared" si="60"/>
        <v>0</v>
      </c>
      <c r="AR81" s="268">
        <f t="shared" si="60"/>
        <v>0</v>
      </c>
      <c r="AS81" s="268">
        <f t="shared" si="60"/>
        <v>0</v>
      </c>
      <c r="AT81" s="268">
        <f t="shared" si="60"/>
        <v>0</v>
      </c>
      <c r="AU81" s="268">
        <f t="shared" si="60"/>
        <v>0</v>
      </c>
      <c r="AV81" s="268">
        <f t="shared" si="60"/>
        <v>0</v>
      </c>
      <c r="AW81" s="268">
        <f t="shared" si="60"/>
        <v>0</v>
      </c>
      <c r="AX81" s="268">
        <f t="shared" si="60"/>
        <v>0</v>
      </c>
      <c r="AY81" s="268"/>
      <c r="AZ81" s="268"/>
      <c r="BA81" s="268"/>
      <c r="BB81" s="268"/>
    </row>
    <row r="82" ht="12.75" hidden="1" customHeight="1" outlineLevel="1">
      <c r="A82" s="90"/>
      <c r="B82" s="90"/>
      <c r="C82" s="90" t="s">
        <v>293</v>
      </c>
      <c r="D82" s="90"/>
      <c r="E82" s="113">
        <f>OFFSET(RSGen_Walton!$G$19,0,ROW(C82)-ROW($C$75))</f>
        <v>96431.97175</v>
      </c>
      <c r="F82" s="90"/>
      <c r="G82" s="90"/>
      <c r="H82" s="90"/>
      <c r="I82" s="90"/>
      <c r="J82" s="90"/>
      <c r="K82" s="90"/>
      <c r="L82" s="90"/>
      <c r="M82" s="268"/>
      <c r="N82" s="268"/>
      <c r="O82" s="268">
        <v>0.0</v>
      </c>
      <c r="P82" s="268">
        <f t="shared" ref="P82:AX82" si="61">O81</f>
        <v>0</v>
      </c>
      <c r="Q82" s="268">
        <f t="shared" si="61"/>
        <v>0</v>
      </c>
      <c r="R82" s="268">
        <f t="shared" si="61"/>
        <v>0</v>
      </c>
      <c r="S82" s="268">
        <f t="shared" si="61"/>
        <v>0</v>
      </c>
      <c r="T82" s="268">
        <f t="shared" si="61"/>
        <v>0</v>
      </c>
      <c r="U82" s="268">
        <f t="shared" si="61"/>
        <v>0</v>
      </c>
      <c r="V82" s="268">
        <f t="shared" si="61"/>
        <v>0</v>
      </c>
      <c r="W82" s="268">
        <f t="shared" si="61"/>
        <v>1</v>
      </c>
      <c r="X82" s="268">
        <f t="shared" si="61"/>
        <v>0</v>
      </c>
      <c r="Y82" s="268">
        <f t="shared" si="61"/>
        <v>3</v>
      </c>
      <c r="Z82" s="268">
        <f t="shared" si="61"/>
        <v>5</v>
      </c>
      <c r="AA82" s="268">
        <f t="shared" si="61"/>
        <v>11</v>
      </c>
      <c r="AB82" s="268">
        <f t="shared" si="61"/>
        <v>20</v>
      </c>
      <c r="AC82" s="268">
        <f t="shared" si="61"/>
        <v>40</v>
      </c>
      <c r="AD82" s="268">
        <f t="shared" si="61"/>
        <v>66</v>
      </c>
      <c r="AE82" s="268">
        <f t="shared" si="61"/>
        <v>80</v>
      </c>
      <c r="AF82" s="268">
        <f t="shared" si="61"/>
        <v>142</v>
      </c>
      <c r="AG82" s="268">
        <f t="shared" si="61"/>
        <v>193</v>
      </c>
      <c r="AH82" s="268">
        <f t="shared" si="61"/>
        <v>242</v>
      </c>
      <c r="AI82" s="268">
        <f t="shared" si="61"/>
        <v>273</v>
      </c>
      <c r="AJ82" s="268">
        <f t="shared" si="61"/>
        <v>324</v>
      </c>
      <c r="AK82" s="268">
        <f t="shared" si="61"/>
        <v>350</v>
      </c>
      <c r="AL82" s="268">
        <f t="shared" si="61"/>
        <v>345</v>
      </c>
      <c r="AM82" s="268">
        <f t="shared" si="61"/>
        <v>272</v>
      </c>
      <c r="AN82" s="268">
        <f t="shared" si="61"/>
        <v>33</v>
      </c>
      <c r="AO82" s="268">
        <f t="shared" si="61"/>
        <v>0</v>
      </c>
      <c r="AP82" s="268">
        <f t="shared" si="61"/>
        <v>0</v>
      </c>
      <c r="AQ82" s="268">
        <f t="shared" si="61"/>
        <v>0</v>
      </c>
      <c r="AR82" s="268">
        <f t="shared" si="61"/>
        <v>0</v>
      </c>
      <c r="AS82" s="268">
        <f t="shared" si="61"/>
        <v>0</v>
      </c>
      <c r="AT82" s="268">
        <f t="shared" si="61"/>
        <v>0</v>
      </c>
      <c r="AU82" s="268">
        <f t="shared" si="61"/>
        <v>0</v>
      </c>
      <c r="AV82" s="268">
        <f t="shared" si="61"/>
        <v>0</v>
      </c>
      <c r="AW82" s="268">
        <f t="shared" si="61"/>
        <v>0</v>
      </c>
      <c r="AX82" s="268">
        <f t="shared" si="61"/>
        <v>0</v>
      </c>
      <c r="AY82" s="268"/>
      <c r="AZ82" s="268"/>
      <c r="BA82" s="268"/>
      <c r="BB82" s="268"/>
    </row>
    <row r="83" ht="12.75" hidden="1" customHeight="1" outlineLevel="1">
      <c r="A83" s="90"/>
      <c r="B83" s="90"/>
      <c r="C83" s="90" t="s">
        <v>294</v>
      </c>
      <c r="D83" s="90"/>
      <c r="E83" s="113">
        <f>OFFSET(RSGen_Walton!$G$19,0,ROW(C83)-ROW($C$75))</f>
        <v>96231.63175</v>
      </c>
      <c r="F83" s="90"/>
      <c r="G83" s="90"/>
      <c r="H83" s="90"/>
      <c r="I83" s="90"/>
      <c r="J83" s="90"/>
      <c r="K83" s="90"/>
      <c r="L83" s="90"/>
      <c r="M83" s="268"/>
      <c r="N83" s="268"/>
      <c r="O83" s="268">
        <v>0.0</v>
      </c>
      <c r="P83" s="268">
        <f t="shared" ref="P83:AX83" si="62">O82</f>
        <v>0</v>
      </c>
      <c r="Q83" s="268">
        <f t="shared" si="62"/>
        <v>0</v>
      </c>
      <c r="R83" s="268">
        <f t="shared" si="62"/>
        <v>0</v>
      </c>
      <c r="S83" s="268">
        <f t="shared" si="62"/>
        <v>0</v>
      </c>
      <c r="T83" s="268">
        <f t="shared" si="62"/>
        <v>0</v>
      </c>
      <c r="U83" s="268">
        <f t="shared" si="62"/>
        <v>0</v>
      </c>
      <c r="V83" s="268">
        <f t="shared" si="62"/>
        <v>0</v>
      </c>
      <c r="W83" s="268">
        <f t="shared" si="62"/>
        <v>0</v>
      </c>
      <c r="X83" s="268">
        <f t="shared" si="62"/>
        <v>1</v>
      </c>
      <c r="Y83" s="268">
        <f t="shared" si="62"/>
        <v>0</v>
      </c>
      <c r="Z83" s="268">
        <f t="shared" si="62"/>
        <v>3</v>
      </c>
      <c r="AA83" s="268">
        <f t="shared" si="62"/>
        <v>5</v>
      </c>
      <c r="AB83" s="268">
        <f t="shared" si="62"/>
        <v>11</v>
      </c>
      <c r="AC83" s="268">
        <f t="shared" si="62"/>
        <v>20</v>
      </c>
      <c r="AD83" s="268">
        <f t="shared" si="62"/>
        <v>40</v>
      </c>
      <c r="AE83" s="268">
        <f t="shared" si="62"/>
        <v>66</v>
      </c>
      <c r="AF83" s="268">
        <f t="shared" si="62"/>
        <v>80</v>
      </c>
      <c r="AG83" s="268">
        <f t="shared" si="62"/>
        <v>142</v>
      </c>
      <c r="AH83" s="268">
        <f t="shared" si="62"/>
        <v>193</v>
      </c>
      <c r="AI83" s="268">
        <f t="shared" si="62"/>
        <v>242</v>
      </c>
      <c r="AJ83" s="268">
        <f t="shared" si="62"/>
        <v>273</v>
      </c>
      <c r="AK83" s="268">
        <f t="shared" si="62"/>
        <v>324</v>
      </c>
      <c r="AL83" s="268">
        <f t="shared" si="62"/>
        <v>350</v>
      </c>
      <c r="AM83" s="268">
        <f t="shared" si="62"/>
        <v>345</v>
      </c>
      <c r="AN83" s="268">
        <f t="shared" si="62"/>
        <v>272</v>
      </c>
      <c r="AO83" s="268">
        <f t="shared" si="62"/>
        <v>33</v>
      </c>
      <c r="AP83" s="268">
        <f t="shared" si="62"/>
        <v>0</v>
      </c>
      <c r="AQ83" s="268">
        <f t="shared" si="62"/>
        <v>0</v>
      </c>
      <c r="AR83" s="268">
        <f t="shared" si="62"/>
        <v>0</v>
      </c>
      <c r="AS83" s="268">
        <f t="shared" si="62"/>
        <v>0</v>
      </c>
      <c r="AT83" s="268">
        <f t="shared" si="62"/>
        <v>0</v>
      </c>
      <c r="AU83" s="268">
        <f t="shared" si="62"/>
        <v>0</v>
      </c>
      <c r="AV83" s="268">
        <f t="shared" si="62"/>
        <v>0</v>
      </c>
      <c r="AW83" s="268">
        <f t="shared" si="62"/>
        <v>0</v>
      </c>
      <c r="AX83" s="268">
        <f t="shared" si="62"/>
        <v>0</v>
      </c>
      <c r="AY83" s="268"/>
      <c r="AZ83" s="268"/>
      <c r="BA83" s="268"/>
      <c r="BB83" s="268"/>
    </row>
    <row r="84" ht="12.75" hidden="1" customHeight="1" outlineLevel="1">
      <c r="A84" s="90"/>
      <c r="B84" s="90"/>
      <c r="C84" s="90" t="s">
        <v>295</v>
      </c>
      <c r="D84" s="90"/>
      <c r="E84" s="113">
        <f>OFFSET(RSGen_Walton!$G$19,0,ROW(C84)-ROW($C$75))</f>
        <v>96031.29175</v>
      </c>
      <c r="F84" s="90"/>
      <c r="G84" s="90"/>
      <c r="H84" s="90"/>
      <c r="I84" s="90"/>
      <c r="J84" s="90"/>
      <c r="K84" s="90"/>
      <c r="L84" s="90"/>
      <c r="M84" s="268"/>
      <c r="N84" s="268"/>
      <c r="O84" s="268">
        <v>0.0</v>
      </c>
      <c r="P84" s="268">
        <f t="shared" ref="P84:AX84" si="63">O83+O84</f>
        <v>0</v>
      </c>
      <c r="Q84" s="268">
        <f t="shared" si="63"/>
        <v>0</v>
      </c>
      <c r="R84" s="268">
        <f t="shared" si="63"/>
        <v>0</v>
      </c>
      <c r="S84" s="268">
        <f t="shared" si="63"/>
        <v>0</v>
      </c>
      <c r="T84" s="268">
        <f t="shared" si="63"/>
        <v>0</v>
      </c>
      <c r="U84" s="268">
        <f t="shared" si="63"/>
        <v>0</v>
      </c>
      <c r="V84" s="268">
        <f t="shared" si="63"/>
        <v>0</v>
      </c>
      <c r="W84" s="268">
        <f t="shared" si="63"/>
        <v>0</v>
      </c>
      <c r="X84" s="268">
        <f t="shared" si="63"/>
        <v>0</v>
      </c>
      <c r="Y84" s="268">
        <f t="shared" si="63"/>
        <v>1</v>
      </c>
      <c r="Z84" s="268">
        <f t="shared" si="63"/>
        <v>1</v>
      </c>
      <c r="AA84" s="268">
        <f t="shared" si="63"/>
        <v>4</v>
      </c>
      <c r="AB84" s="268">
        <f t="shared" si="63"/>
        <v>9</v>
      </c>
      <c r="AC84" s="268">
        <f t="shared" si="63"/>
        <v>20</v>
      </c>
      <c r="AD84" s="268">
        <f t="shared" si="63"/>
        <v>40</v>
      </c>
      <c r="AE84" s="268">
        <f t="shared" si="63"/>
        <v>80</v>
      </c>
      <c r="AF84" s="268">
        <f t="shared" si="63"/>
        <v>146</v>
      </c>
      <c r="AG84" s="268">
        <f t="shared" si="63"/>
        <v>226</v>
      </c>
      <c r="AH84" s="268">
        <f t="shared" si="63"/>
        <v>368</v>
      </c>
      <c r="AI84" s="268">
        <f t="shared" si="63"/>
        <v>561</v>
      </c>
      <c r="AJ84" s="268">
        <f t="shared" si="63"/>
        <v>803</v>
      </c>
      <c r="AK84" s="268">
        <f t="shared" si="63"/>
        <v>1076</v>
      </c>
      <c r="AL84" s="268">
        <f t="shared" si="63"/>
        <v>1400</v>
      </c>
      <c r="AM84" s="268">
        <f t="shared" si="63"/>
        <v>1750</v>
      </c>
      <c r="AN84" s="268">
        <f t="shared" si="63"/>
        <v>2095</v>
      </c>
      <c r="AO84" s="268">
        <f t="shared" si="63"/>
        <v>2367</v>
      </c>
      <c r="AP84" s="268">
        <f t="shared" si="63"/>
        <v>2400</v>
      </c>
      <c r="AQ84" s="268">
        <f t="shared" si="63"/>
        <v>2400</v>
      </c>
      <c r="AR84" s="268">
        <f t="shared" si="63"/>
        <v>2400</v>
      </c>
      <c r="AS84" s="268">
        <f t="shared" si="63"/>
        <v>2400</v>
      </c>
      <c r="AT84" s="268">
        <f t="shared" si="63"/>
        <v>2400</v>
      </c>
      <c r="AU84" s="268">
        <f t="shared" si="63"/>
        <v>2400</v>
      </c>
      <c r="AV84" s="268">
        <f t="shared" si="63"/>
        <v>2400</v>
      </c>
      <c r="AW84" s="268">
        <f t="shared" si="63"/>
        <v>2400</v>
      </c>
      <c r="AX84" s="268">
        <f t="shared" si="63"/>
        <v>2400</v>
      </c>
      <c r="AY84" s="268"/>
      <c r="AZ84" s="268"/>
      <c r="BA84" s="268"/>
      <c r="BB84" s="268"/>
    </row>
    <row r="85" ht="12.75" hidden="1" customHeight="1" outlineLevel="1">
      <c r="A85" s="90"/>
      <c r="B85" s="90"/>
      <c r="C85" s="90"/>
      <c r="D85" s="90"/>
      <c r="E85" s="142" t="s">
        <v>299</v>
      </c>
      <c r="F85" s="90"/>
      <c r="G85" s="90"/>
      <c r="H85" s="90"/>
      <c r="I85" s="90"/>
      <c r="J85" s="90"/>
      <c r="K85" s="90"/>
      <c r="L85" s="90"/>
      <c r="M85" s="268"/>
      <c r="N85" s="268"/>
      <c r="O85" s="76">
        <f t="shared" ref="O85:AX85" si="64">SUMPRODUCT(O75:O84,$E$75:$E$84)*O10</f>
        <v>0</v>
      </c>
      <c r="P85" s="76">
        <f t="shared" si="64"/>
        <v>0</v>
      </c>
      <c r="Q85" s="76">
        <f t="shared" si="64"/>
        <v>6181.2</v>
      </c>
      <c r="R85" s="76">
        <f t="shared" si="64"/>
        <v>127263.7911</v>
      </c>
      <c r="S85" s="76">
        <f t="shared" si="64"/>
        <v>152657.7988</v>
      </c>
      <c r="T85" s="76">
        <f t="shared" si="64"/>
        <v>570830.2554</v>
      </c>
      <c r="U85" s="76">
        <f t="shared" si="64"/>
        <v>1285794.8</v>
      </c>
      <c r="V85" s="76">
        <f t="shared" si="64"/>
        <v>2937768.668</v>
      </c>
      <c r="W85" s="76">
        <f t="shared" si="64"/>
        <v>5931138.582</v>
      </c>
      <c r="X85" s="76">
        <f t="shared" si="64"/>
        <v>11970890.86</v>
      </c>
      <c r="Y85" s="76">
        <f t="shared" si="64"/>
        <v>21894692.3</v>
      </c>
      <c r="Z85" s="76">
        <f t="shared" si="64"/>
        <v>34533032.59</v>
      </c>
      <c r="AA85" s="76">
        <f t="shared" si="64"/>
        <v>56495537.08</v>
      </c>
      <c r="AB85" s="76">
        <f t="shared" si="64"/>
        <v>86558451.87</v>
      </c>
      <c r="AC85" s="76">
        <f t="shared" si="64"/>
        <v>125463405.5</v>
      </c>
      <c r="AD85" s="76">
        <f t="shared" si="64"/>
        <v>168939519.2</v>
      </c>
      <c r="AE85" s="76">
        <f t="shared" si="64"/>
        <v>220541637.7</v>
      </c>
      <c r="AF85" s="76">
        <f t="shared" si="64"/>
        <v>276479135</v>
      </c>
      <c r="AG85" s="76">
        <f t="shared" si="64"/>
        <v>332093243.9</v>
      </c>
      <c r="AH85" s="76">
        <f t="shared" si="64"/>
        <v>373200657.6</v>
      </c>
      <c r="AI85" s="76">
        <f t="shared" si="64"/>
        <v>372960291.9</v>
      </c>
      <c r="AJ85" s="76">
        <f t="shared" si="64"/>
        <v>365309728</v>
      </c>
      <c r="AK85" s="76">
        <f t="shared" si="64"/>
        <v>358989650.5</v>
      </c>
      <c r="AL85" s="76">
        <f t="shared" si="64"/>
        <v>364082283.8</v>
      </c>
      <c r="AM85" s="76">
        <f t="shared" si="64"/>
        <v>371035991.4</v>
      </c>
      <c r="AN85" s="76">
        <f t="shared" si="64"/>
        <v>378242546.2</v>
      </c>
      <c r="AO85" s="76">
        <f t="shared" si="64"/>
        <v>385705141.7</v>
      </c>
      <c r="AP85" s="76">
        <f t="shared" si="64"/>
        <v>393407959.6</v>
      </c>
      <c r="AQ85" s="76">
        <f t="shared" si="64"/>
        <v>401276118.8</v>
      </c>
      <c r="AR85" s="76">
        <f t="shared" si="64"/>
        <v>409301641.1</v>
      </c>
      <c r="AS85" s="76">
        <f t="shared" si="64"/>
        <v>417487674</v>
      </c>
      <c r="AT85" s="76">
        <f t="shared" si="64"/>
        <v>425837427.4</v>
      </c>
      <c r="AU85" s="76">
        <f t="shared" si="64"/>
        <v>434354176</v>
      </c>
      <c r="AV85" s="76">
        <f t="shared" si="64"/>
        <v>443041259.5</v>
      </c>
      <c r="AW85" s="76">
        <f t="shared" si="64"/>
        <v>451902084.7</v>
      </c>
      <c r="AX85" s="76">
        <f t="shared" si="64"/>
        <v>460940126.4</v>
      </c>
      <c r="AY85" s="268"/>
      <c r="AZ85" s="268"/>
      <c r="BA85" s="268"/>
      <c r="BB85" s="268"/>
    </row>
    <row r="86" ht="12.75" hidden="1" customHeight="1" outlineLevel="1">
      <c r="A86" s="90"/>
      <c r="B86" s="90"/>
      <c r="C86" s="90"/>
      <c r="D86" s="90"/>
      <c r="E86" s="113"/>
      <c r="F86" s="90"/>
      <c r="G86" s="90"/>
      <c r="H86" s="90"/>
      <c r="I86" s="90"/>
      <c r="J86" s="90"/>
      <c r="K86" s="90"/>
      <c r="L86" s="90"/>
      <c r="M86" s="268"/>
      <c r="N86" s="268"/>
      <c r="O86" s="268"/>
      <c r="P86" s="268"/>
      <c r="Q86" s="268"/>
      <c r="R86" s="268"/>
      <c r="S86" s="268"/>
      <c r="T86" s="268"/>
      <c r="U86" s="268"/>
      <c r="V86" s="268"/>
      <c r="W86" s="268"/>
      <c r="X86" s="268"/>
      <c r="Y86" s="268"/>
      <c r="Z86" s="268"/>
      <c r="AA86" s="268"/>
      <c r="AB86" s="268"/>
      <c r="AC86" s="268"/>
      <c r="AD86" s="268"/>
      <c r="AE86" s="268"/>
      <c r="AF86" s="268"/>
      <c r="AG86" s="268"/>
      <c r="AH86" s="268"/>
      <c r="AI86" s="268"/>
      <c r="AJ86" s="268"/>
      <c r="AK86" s="268"/>
      <c r="AL86" s="268"/>
      <c r="AM86" s="268"/>
      <c r="AN86" s="268"/>
      <c r="AO86" s="268"/>
      <c r="AP86" s="268"/>
      <c r="AQ86" s="268"/>
      <c r="AR86" s="268"/>
      <c r="AS86" s="268"/>
      <c r="AT86" s="268"/>
      <c r="AU86" s="268"/>
      <c r="AV86" s="268"/>
      <c r="AW86" s="268"/>
      <c r="AX86" s="268"/>
      <c r="AY86" s="268"/>
      <c r="AZ86" s="268"/>
      <c r="BA86" s="268"/>
      <c r="BB86" s="268"/>
    </row>
    <row r="87" ht="12.75" hidden="1" customHeight="1" outlineLevel="1">
      <c r="A87" s="90"/>
      <c r="C87" s="90"/>
      <c r="D87" s="90"/>
      <c r="E87" s="90"/>
      <c r="F87" s="90"/>
      <c r="G87" s="90"/>
      <c r="H87" s="90"/>
      <c r="I87" s="90"/>
      <c r="J87" s="90"/>
      <c r="K87" s="90"/>
      <c r="L87" s="90"/>
      <c r="M87" s="90"/>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c r="AW87" s="65"/>
      <c r="AX87" s="65"/>
    </row>
    <row r="88" ht="12.75" hidden="1" customHeight="1" outlineLevel="1">
      <c r="A88" s="90"/>
      <c r="B88" s="67"/>
      <c r="C88" s="90"/>
      <c r="D88" s="90"/>
      <c r="E88" s="67" t="s">
        <v>518</v>
      </c>
      <c r="F88" s="90"/>
      <c r="G88" s="90"/>
      <c r="H88" s="90"/>
      <c r="I88" s="90"/>
      <c r="J88" s="90"/>
      <c r="K88" s="90"/>
      <c r="L88" s="90"/>
      <c r="M88" s="90"/>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c r="AW88" s="65"/>
      <c r="AX88" s="65"/>
    </row>
    <row r="89" ht="12.75" hidden="1" customHeight="1" outlineLevel="1">
      <c r="A89" s="90"/>
      <c r="C89" s="90" t="s">
        <v>515</v>
      </c>
      <c r="D89" s="90">
        <v>-1.0</v>
      </c>
      <c r="E89" s="113">
        <f>OFFSET('Region office'!$D$33,0,ROW(D39)-ROW($D$39))</f>
        <v>0</v>
      </c>
      <c r="F89" s="90"/>
      <c r="G89" s="90"/>
      <c r="H89" s="90"/>
      <c r="I89" s="90"/>
      <c r="J89" s="90"/>
      <c r="K89" s="90"/>
      <c r="L89" s="90"/>
      <c r="M89" s="268"/>
      <c r="N89" s="268"/>
      <c r="P89" s="268">
        <f t="shared" ref="P89:AF89" si="65">R51-Q51</f>
        <v>0</v>
      </c>
      <c r="Q89" s="268">
        <f t="shared" si="65"/>
        <v>0</v>
      </c>
      <c r="R89" s="268">
        <f t="shared" si="65"/>
        <v>0</v>
      </c>
      <c r="S89" s="268">
        <f t="shared" si="65"/>
        <v>0</v>
      </c>
      <c r="T89" s="268">
        <f t="shared" si="65"/>
        <v>0</v>
      </c>
      <c r="U89" s="268">
        <f t="shared" si="65"/>
        <v>0</v>
      </c>
      <c r="V89" s="268">
        <f t="shared" si="65"/>
        <v>0</v>
      </c>
      <c r="W89" s="268">
        <f t="shared" si="65"/>
        <v>0</v>
      </c>
      <c r="X89" s="268">
        <f t="shared" si="65"/>
        <v>0</v>
      </c>
      <c r="Y89" s="268">
        <f t="shared" si="65"/>
        <v>0</v>
      </c>
      <c r="Z89" s="268">
        <f t="shared" si="65"/>
        <v>0</v>
      </c>
      <c r="AA89" s="268">
        <f t="shared" si="65"/>
        <v>0</v>
      </c>
      <c r="AB89" s="268">
        <f t="shared" si="65"/>
        <v>0</v>
      </c>
      <c r="AC89" s="268">
        <f t="shared" si="65"/>
        <v>0</v>
      </c>
      <c r="AD89" s="268">
        <f t="shared" si="65"/>
        <v>0</v>
      </c>
      <c r="AE89" s="268">
        <f t="shared" si="65"/>
        <v>0</v>
      </c>
      <c r="AF89" s="268">
        <f t="shared" si="65"/>
        <v>0</v>
      </c>
      <c r="AG89" s="268">
        <v>0.0</v>
      </c>
      <c r="AH89" s="268">
        <f t="shared" ref="AH89:AX89" si="66">AJ51-AI51</f>
        <v>0</v>
      </c>
      <c r="AI89" s="268">
        <f t="shared" si="66"/>
        <v>0</v>
      </c>
      <c r="AJ89" s="268">
        <f t="shared" si="66"/>
        <v>0</v>
      </c>
      <c r="AK89" s="268">
        <f t="shared" si="66"/>
        <v>0</v>
      </c>
      <c r="AL89" s="268">
        <f t="shared" si="66"/>
        <v>0</v>
      </c>
      <c r="AM89" s="268">
        <f t="shared" si="66"/>
        <v>0</v>
      </c>
      <c r="AN89" s="268">
        <f t="shared" si="66"/>
        <v>0</v>
      </c>
      <c r="AO89" s="268">
        <f t="shared" si="66"/>
        <v>0</v>
      </c>
      <c r="AP89" s="268">
        <f t="shared" si="66"/>
        <v>0</v>
      </c>
      <c r="AQ89" s="268">
        <f t="shared" si="66"/>
        <v>0</v>
      </c>
      <c r="AR89" s="268">
        <f t="shared" si="66"/>
        <v>0</v>
      </c>
      <c r="AS89" s="268">
        <f t="shared" si="66"/>
        <v>0</v>
      </c>
      <c r="AT89" s="268">
        <f t="shared" si="66"/>
        <v>0</v>
      </c>
      <c r="AU89" s="268">
        <f t="shared" si="66"/>
        <v>0</v>
      </c>
      <c r="AV89" s="268">
        <f t="shared" si="66"/>
        <v>0</v>
      </c>
      <c r="AW89" s="268">
        <f t="shared" si="66"/>
        <v>0</v>
      </c>
      <c r="AX89" s="268">
        <f t="shared" si="66"/>
        <v>0</v>
      </c>
      <c r="AY89" s="268"/>
      <c r="AZ89" s="268"/>
      <c r="BA89" s="268"/>
      <c r="BB89" s="268"/>
    </row>
    <row r="90" ht="12.75" hidden="1" customHeight="1" outlineLevel="1">
      <c r="A90" s="90"/>
      <c r="C90" s="90" t="s">
        <v>515</v>
      </c>
      <c r="D90" s="90">
        <f t="shared" ref="D90:D121" si="68">D89+1</f>
        <v>0</v>
      </c>
      <c r="E90" s="113" t="str">
        <f>OFFSET('Region office'!$D$33,0,ROW(D40)-ROW($D$39))</f>
        <v/>
      </c>
      <c r="F90" s="90"/>
      <c r="G90" s="90"/>
      <c r="H90" s="90"/>
      <c r="I90" s="90"/>
      <c r="J90" s="90"/>
      <c r="K90" s="90"/>
      <c r="L90" s="90"/>
      <c r="M90" s="268"/>
      <c r="N90" s="268"/>
      <c r="P90" s="268">
        <f t="shared" ref="P90:AG90" si="67">Q51-P51</f>
        <v>0</v>
      </c>
      <c r="Q90" s="268">
        <f t="shared" si="67"/>
        <v>0</v>
      </c>
      <c r="R90" s="268">
        <f t="shared" si="67"/>
        <v>0</v>
      </c>
      <c r="S90" s="268">
        <f t="shared" si="67"/>
        <v>0</v>
      </c>
      <c r="T90" s="268">
        <f t="shared" si="67"/>
        <v>0</v>
      </c>
      <c r="U90" s="268">
        <f t="shared" si="67"/>
        <v>0</v>
      </c>
      <c r="V90" s="268">
        <f t="shared" si="67"/>
        <v>0</v>
      </c>
      <c r="W90" s="268">
        <f t="shared" si="67"/>
        <v>0</v>
      </c>
      <c r="X90" s="268">
        <f t="shared" si="67"/>
        <v>0</v>
      </c>
      <c r="Y90" s="268">
        <f t="shared" si="67"/>
        <v>0</v>
      </c>
      <c r="Z90" s="268">
        <f t="shared" si="67"/>
        <v>0</v>
      </c>
      <c r="AA90" s="268">
        <f t="shared" si="67"/>
        <v>0</v>
      </c>
      <c r="AB90" s="268">
        <f t="shared" si="67"/>
        <v>0</v>
      </c>
      <c r="AC90" s="268">
        <f t="shared" si="67"/>
        <v>0</v>
      </c>
      <c r="AD90" s="268">
        <f t="shared" si="67"/>
        <v>0</v>
      </c>
      <c r="AE90" s="268">
        <f t="shared" si="67"/>
        <v>0</v>
      </c>
      <c r="AF90" s="268">
        <f t="shared" si="67"/>
        <v>0</v>
      </c>
      <c r="AG90" s="268">
        <f t="shared" si="67"/>
        <v>0</v>
      </c>
      <c r="AH90" s="268">
        <v>0.0</v>
      </c>
      <c r="AI90" s="268">
        <v>0.0</v>
      </c>
      <c r="AJ90" s="268">
        <v>0.0</v>
      </c>
      <c r="AK90" s="268">
        <v>0.0</v>
      </c>
      <c r="AL90" s="268">
        <v>0.0</v>
      </c>
      <c r="AM90" s="268">
        <v>0.0</v>
      </c>
      <c r="AN90" s="268">
        <v>0.0</v>
      </c>
      <c r="AO90" s="268">
        <v>0.0</v>
      </c>
      <c r="AP90" s="268">
        <v>0.0</v>
      </c>
      <c r="AQ90" s="268">
        <v>0.0</v>
      </c>
      <c r="AR90" s="268">
        <v>0.0</v>
      </c>
      <c r="AS90" s="268">
        <v>0.0</v>
      </c>
      <c r="AT90" s="268">
        <v>0.0</v>
      </c>
      <c r="AU90" s="268">
        <v>0.0</v>
      </c>
      <c r="AV90" s="268">
        <v>0.0</v>
      </c>
      <c r="AW90" s="268">
        <v>0.0</v>
      </c>
      <c r="AX90" s="268">
        <v>0.0</v>
      </c>
      <c r="AY90" s="268"/>
      <c r="AZ90" s="268"/>
      <c r="BA90" s="268"/>
      <c r="BB90" s="268"/>
    </row>
    <row r="91" ht="12.75" hidden="1" customHeight="1" outlineLevel="1">
      <c r="A91" s="90"/>
      <c r="C91" s="90" t="s">
        <v>515</v>
      </c>
      <c r="D91" s="90">
        <f t="shared" si="68"/>
        <v>1</v>
      </c>
      <c r="E91" s="113">
        <f>OFFSET('Region office'!$D$33,0,ROW(D41)-ROW($D$39))</f>
        <v>0</v>
      </c>
      <c r="F91" s="90"/>
      <c r="G91" s="90"/>
      <c r="H91" s="90"/>
      <c r="I91" s="90"/>
      <c r="J91" s="90"/>
      <c r="K91" s="90"/>
      <c r="L91" s="90"/>
      <c r="M91" s="268"/>
      <c r="N91" s="268"/>
      <c r="P91" s="268">
        <f>COUNTIF('Growth Model'!G$189:G$237,'Regional Roll-up'!$D91)</f>
        <v>0</v>
      </c>
      <c r="Q91" s="268">
        <f>COUNTIF('Growth Model'!H$189:H$237,'Regional Roll-up'!$D91)</f>
        <v>0</v>
      </c>
      <c r="R91" s="268">
        <f>COUNTIF('Growth Model'!I$189:I$237,'Regional Roll-up'!$D91)</f>
        <v>1</v>
      </c>
      <c r="S91" s="268">
        <f>COUNTIF('Growth Model'!J$189:J$237,'Regional Roll-up'!$D91)</f>
        <v>0</v>
      </c>
      <c r="T91" s="268">
        <f>COUNTIF('Growth Model'!K$189:K$237,'Regional Roll-up'!$D91)</f>
        <v>2</v>
      </c>
      <c r="U91" s="268">
        <f>COUNTIF('Growth Model'!L$189:L$237,'Regional Roll-up'!$D91)</f>
        <v>3</v>
      </c>
      <c r="V91" s="268">
        <f>COUNTIF('Growth Model'!M$189:M$237,'Regional Roll-up'!$D91)</f>
        <v>5</v>
      </c>
      <c r="W91" s="268">
        <f>COUNTIF('Growth Model'!N$189:N$237,'Regional Roll-up'!$D91)</f>
        <v>8</v>
      </c>
      <c r="X91" s="268">
        <f t="shared" ref="X91:AX91" si="69">X51-W51</f>
        <v>0</v>
      </c>
      <c r="Y91" s="268">
        <f t="shared" si="69"/>
        <v>0</v>
      </c>
      <c r="Z91" s="268">
        <f t="shared" si="69"/>
        <v>0</v>
      </c>
      <c r="AA91" s="268">
        <f t="shared" si="69"/>
        <v>0</v>
      </c>
      <c r="AB91" s="268">
        <f t="shared" si="69"/>
        <v>0</v>
      </c>
      <c r="AC91" s="268">
        <f t="shared" si="69"/>
        <v>0</v>
      </c>
      <c r="AD91" s="268">
        <f t="shared" si="69"/>
        <v>0</v>
      </c>
      <c r="AE91" s="268">
        <f t="shared" si="69"/>
        <v>0</v>
      </c>
      <c r="AF91" s="268">
        <f t="shared" si="69"/>
        <v>0</v>
      </c>
      <c r="AG91" s="268">
        <f t="shared" si="69"/>
        <v>0</v>
      </c>
      <c r="AH91" s="268">
        <f t="shared" si="69"/>
        <v>0</v>
      </c>
      <c r="AI91" s="268">
        <f t="shared" si="69"/>
        <v>0</v>
      </c>
      <c r="AJ91" s="268">
        <f t="shared" si="69"/>
        <v>0</v>
      </c>
      <c r="AK91" s="268">
        <f t="shared" si="69"/>
        <v>0</v>
      </c>
      <c r="AL91" s="268">
        <f t="shared" si="69"/>
        <v>0</v>
      </c>
      <c r="AM91" s="268">
        <f t="shared" si="69"/>
        <v>0</v>
      </c>
      <c r="AN91" s="268">
        <f t="shared" si="69"/>
        <v>0</v>
      </c>
      <c r="AO91" s="268">
        <f t="shared" si="69"/>
        <v>0</v>
      </c>
      <c r="AP91" s="268">
        <f t="shared" si="69"/>
        <v>0</v>
      </c>
      <c r="AQ91" s="268">
        <f t="shared" si="69"/>
        <v>0</v>
      </c>
      <c r="AR91" s="268">
        <f t="shared" si="69"/>
        <v>0</v>
      </c>
      <c r="AS91" s="268">
        <f t="shared" si="69"/>
        <v>0</v>
      </c>
      <c r="AT91" s="268">
        <f t="shared" si="69"/>
        <v>0</v>
      </c>
      <c r="AU91" s="268">
        <f t="shared" si="69"/>
        <v>0</v>
      </c>
      <c r="AV91" s="268">
        <f t="shared" si="69"/>
        <v>0</v>
      </c>
      <c r="AW91" s="268">
        <f t="shared" si="69"/>
        <v>0</v>
      </c>
      <c r="AX91" s="268">
        <f t="shared" si="69"/>
        <v>0</v>
      </c>
      <c r="AY91" s="268"/>
      <c r="AZ91" s="268"/>
      <c r="BA91" s="268"/>
      <c r="BB91" s="268"/>
    </row>
    <row r="92" ht="12.75" hidden="1" customHeight="1" outlineLevel="1">
      <c r="A92" s="90"/>
      <c r="C92" s="90" t="s">
        <v>515</v>
      </c>
      <c r="D92" s="90">
        <f t="shared" si="68"/>
        <v>2</v>
      </c>
      <c r="E92" s="113">
        <f>OFFSET('Region office'!$D$33,0,ROW(D42)-ROW($D$39))</f>
        <v>0</v>
      </c>
      <c r="F92" s="90"/>
      <c r="G92" s="90"/>
      <c r="H92" s="90"/>
      <c r="I92" s="90"/>
      <c r="J92" s="90"/>
      <c r="K92" s="90"/>
      <c r="L92" s="90"/>
      <c r="M92" s="268"/>
      <c r="N92" s="268"/>
      <c r="O92" s="268">
        <f>COUNTIF('Growth Model'!F$189:F$237,'Regional Roll-up'!$D92)</f>
        <v>0</v>
      </c>
      <c r="P92" s="268">
        <f>COUNTIF('Growth Model'!G$189:G$237,'Regional Roll-up'!$D92)</f>
        <v>0</v>
      </c>
      <c r="Q92" s="268">
        <f>COUNTIF('Growth Model'!H$189:H$237,'Regional Roll-up'!$D92)</f>
        <v>0</v>
      </c>
      <c r="R92" s="268">
        <f>COUNTIF('Growth Model'!I$189:I$237,'Regional Roll-up'!$D92)</f>
        <v>0</v>
      </c>
      <c r="S92" s="268">
        <f>COUNTIF('Growth Model'!J$189:J$237,'Regional Roll-up'!$D92)</f>
        <v>1</v>
      </c>
      <c r="T92" s="268">
        <f>COUNTIF('Growth Model'!K$189:K$237,'Regional Roll-up'!$D92)</f>
        <v>0</v>
      </c>
      <c r="U92" s="268">
        <f>COUNTIF('Growth Model'!L$189:L$237,'Regional Roll-up'!$D92)</f>
        <v>2</v>
      </c>
      <c r="V92" s="268">
        <f>COUNTIF('Growth Model'!M$189:M$237,'Regional Roll-up'!$D92)</f>
        <v>3</v>
      </c>
      <c r="W92" s="268">
        <f>COUNTIF('Growth Model'!N$189:N$237,'Regional Roll-up'!$D92)</f>
        <v>5</v>
      </c>
      <c r="X92" s="268">
        <f t="shared" ref="X92:AX92" si="70">X52-W52</f>
        <v>0</v>
      </c>
      <c r="Y92" s="268">
        <f t="shared" si="70"/>
        <v>0</v>
      </c>
      <c r="Z92" s="268">
        <f t="shared" si="70"/>
        <v>0</v>
      </c>
      <c r="AA92" s="268">
        <f t="shared" si="70"/>
        <v>0</v>
      </c>
      <c r="AB92" s="268">
        <f t="shared" si="70"/>
        <v>0</v>
      </c>
      <c r="AC92" s="268">
        <f t="shared" si="70"/>
        <v>0</v>
      </c>
      <c r="AD92" s="268">
        <f t="shared" si="70"/>
        <v>0</v>
      </c>
      <c r="AE92" s="268">
        <f t="shared" si="70"/>
        <v>0</v>
      </c>
      <c r="AF92" s="268">
        <f t="shared" si="70"/>
        <v>0</v>
      </c>
      <c r="AG92" s="268">
        <f t="shared" si="70"/>
        <v>0</v>
      </c>
      <c r="AH92" s="268">
        <f t="shared" si="70"/>
        <v>0</v>
      </c>
      <c r="AI92" s="268">
        <f t="shared" si="70"/>
        <v>0</v>
      </c>
      <c r="AJ92" s="268">
        <f t="shared" si="70"/>
        <v>0</v>
      </c>
      <c r="AK92" s="268">
        <f t="shared" si="70"/>
        <v>0</v>
      </c>
      <c r="AL92" s="268">
        <f t="shared" si="70"/>
        <v>0</v>
      </c>
      <c r="AM92" s="268">
        <f t="shared" si="70"/>
        <v>0</v>
      </c>
      <c r="AN92" s="268">
        <f t="shared" si="70"/>
        <v>0</v>
      </c>
      <c r="AO92" s="268">
        <f t="shared" si="70"/>
        <v>0</v>
      </c>
      <c r="AP92" s="268">
        <f t="shared" si="70"/>
        <v>0</v>
      </c>
      <c r="AQ92" s="268">
        <f t="shared" si="70"/>
        <v>0</v>
      </c>
      <c r="AR92" s="268">
        <f t="shared" si="70"/>
        <v>0</v>
      </c>
      <c r="AS92" s="268">
        <f t="shared" si="70"/>
        <v>0</v>
      </c>
      <c r="AT92" s="268">
        <f t="shared" si="70"/>
        <v>0</v>
      </c>
      <c r="AU92" s="268">
        <f t="shared" si="70"/>
        <v>0</v>
      </c>
      <c r="AV92" s="268">
        <f t="shared" si="70"/>
        <v>0</v>
      </c>
      <c r="AW92" s="268">
        <f t="shared" si="70"/>
        <v>0</v>
      </c>
      <c r="AX92" s="268">
        <f t="shared" si="70"/>
        <v>0</v>
      </c>
      <c r="AY92" s="268"/>
      <c r="AZ92" s="268"/>
      <c r="BA92" s="268"/>
      <c r="BB92" s="268"/>
    </row>
    <row r="93" ht="12.75" hidden="1" customHeight="1" outlineLevel="1">
      <c r="A93" s="90"/>
      <c r="C93" s="90" t="s">
        <v>515</v>
      </c>
      <c r="D93" s="90">
        <f t="shared" si="68"/>
        <v>3</v>
      </c>
      <c r="E93" s="113">
        <f>OFFSET('Region office'!$D$33,0,ROW(D43)-ROW($D$39))</f>
        <v>0</v>
      </c>
      <c r="F93" s="90"/>
      <c r="G93" s="90"/>
      <c r="H93" s="90"/>
      <c r="I93" s="90"/>
      <c r="J93" s="90"/>
      <c r="K93" s="90"/>
      <c r="L93" s="90"/>
      <c r="M93" s="268"/>
      <c r="N93" s="268"/>
      <c r="O93" s="268">
        <f>COUNTIF('Growth Model'!F$189:F$237,'Regional Roll-up'!$D93)</f>
        <v>0</v>
      </c>
      <c r="P93" s="268">
        <f>COUNTIF('Growth Model'!G$189:G$237,'Regional Roll-up'!$D93)</f>
        <v>0</v>
      </c>
      <c r="Q93" s="268">
        <f>COUNTIF('Growth Model'!H$189:H$237,'Regional Roll-up'!$D93)</f>
        <v>0</v>
      </c>
      <c r="R93" s="268">
        <f>COUNTIF('Growth Model'!I$189:I$237,'Regional Roll-up'!$D93)</f>
        <v>0</v>
      </c>
      <c r="S93" s="268">
        <f>COUNTIF('Growth Model'!J$189:J$237,'Regional Roll-up'!$D93)</f>
        <v>0</v>
      </c>
      <c r="T93" s="268">
        <f>COUNTIF('Growth Model'!K$189:K$237,'Regional Roll-up'!$D93)</f>
        <v>1</v>
      </c>
      <c r="U93" s="268">
        <f>COUNTIF('Growth Model'!L$189:L$237,'Regional Roll-up'!$D93)</f>
        <v>0</v>
      </c>
      <c r="V93" s="268">
        <f>COUNTIF('Growth Model'!M$189:M$237,'Regional Roll-up'!$D93)</f>
        <v>2</v>
      </c>
      <c r="W93" s="268">
        <f>COUNTIF('Growth Model'!N$189:N$237,'Regional Roll-up'!$D93)</f>
        <v>3</v>
      </c>
      <c r="X93" s="268">
        <f t="shared" ref="X93:AX93" si="71">X53-W53</f>
        <v>0</v>
      </c>
      <c r="Y93" s="268">
        <f t="shared" si="71"/>
        <v>0</v>
      </c>
      <c r="Z93" s="268">
        <f t="shared" si="71"/>
        <v>0</v>
      </c>
      <c r="AA93" s="268">
        <f t="shared" si="71"/>
        <v>0</v>
      </c>
      <c r="AB93" s="268">
        <f t="shared" si="71"/>
        <v>0</v>
      </c>
      <c r="AC93" s="268">
        <f t="shared" si="71"/>
        <v>0</v>
      </c>
      <c r="AD93" s="268">
        <f t="shared" si="71"/>
        <v>0</v>
      </c>
      <c r="AE93" s="268">
        <f t="shared" si="71"/>
        <v>0</v>
      </c>
      <c r="AF93" s="268">
        <f t="shared" si="71"/>
        <v>0</v>
      </c>
      <c r="AG93" s="268">
        <f t="shared" si="71"/>
        <v>0</v>
      </c>
      <c r="AH93" s="268">
        <f t="shared" si="71"/>
        <v>0</v>
      </c>
      <c r="AI93" s="268">
        <f t="shared" si="71"/>
        <v>0</v>
      </c>
      <c r="AJ93" s="268">
        <f t="shared" si="71"/>
        <v>0</v>
      </c>
      <c r="AK93" s="268">
        <f t="shared" si="71"/>
        <v>0</v>
      </c>
      <c r="AL93" s="268">
        <f t="shared" si="71"/>
        <v>0</v>
      </c>
      <c r="AM93" s="268">
        <f t="shared" si="71"/>
        <v>0</v>
      </c>
      <c r="AN93" s="268">
        <f t="shared" si="71"/>
        <v>0</v>
      </c>
      <c r="AO93" s="268">
        <f t="shared" si="71"/>
        <v>0</v>
      </c>
      <c r="AP93" s="268">
        <f t="shared" si="71"/>
        <v>0</v>
      </c>
      <c r="AQ93" s="268">
        <f t="shared" si="71"/>
        <v>0</v>
      </c>
      <c r="AR93" s="268">
        <f t="shared" si="71"/>
        <v>0</v>
      </c>
      <c r="AS93" s="268">
        <f t="shared" si="71"/>
        <v>0</v>
      </c>
      <c r="AT93" s="268">
        <f t="shared" si="71"/>
        <v>0</v>
      </c>
      <c r="AU93" s="268">
        <f t="shared" si="71"/>
        <v>0</v>
      </c>
      <c r="AV93" s="268">
        <f t="shared" si="71"/>
        <v>0</v>
      </c>
      <c r="AW93" s="268">
        <f t="shared" si="71"/>
        <v>0</v>
      </c>
      <c r="AX93" s="268">
        <f t="shared" si="71"/>
        <v>0</v>
      </c>
      <c r="AY93" s="268"/>
      <c r="AZ93" s="268"/>
      <c r="BA93" s="268"/>
      <c r="BB93" s="268"/>
    </row>
    <row r="94" ht="12.75" hidden="1" customHeight="1" outlineLevel="1">
      <c r="A94" s="90"/>
      <c r="C94" s="90" t="s">
        <v>515</v>
      </c>
      <c r="D94" s="90">
        <f t="shared" si="68"/>
        <v>4</v>
      </c>
      <c r="E94" s="113">
        <f>OFFSET('Region office'!$D$33,0,ROW(D44)-ROW($D$39))</f>
        <v>0</v>
      </c>
      <c r="F94" s="90"/>
      <c r="G94" s="90"/>
      <c r="H94" s="90"/>
      <c r="I94" s="90"/>
      <c r="J94" s="90"/>
      <c r="K94" s="90"/>
      <c r="L94" s="90"/>
      <c r="M94" s="268"/>
      <c r="N94" s="268"/>
      <c r="O94" s="268">
        <f>COUNTIF('Growth Model'!F$189:F$237,'Regional Roll-up'!$D94)</f>
        <v>0</v>
      </c>
      <c r="P94" s="268">
        <f>COUNTIF('Growth Model'!G$189:G$237,'Regional Roll-up'!$D94)</f>
        <v>0</v>
      </c>
      <c r="Q94" s="268">
        <f>COUNTIF('Growth Model'!H$189:H$237,'Regional Roll-up'!$D94)</f>
        <v>0</v>
      </c>
      <c r="R94" s="268">
        <f>COUNTIF('Growth Model'!I$189:I$237,'Regional Roll-up'!$D94)</f>
        <v>0</v>
      </c>
      <c r="S94" s="268">
        <f>COUNTIF('Growth Model'!J$189:J$237,'Regional Roll-up'!$D94)</f>
        <v>0</v>
      </c>
      <c r="T94" s="268">
        <f>COUNTIF('Growth Model'!K$189:K$237,'Regional Roll-up'!$D94)</f>
        <v>0</v>
      </c>
      <c r="U94" s="268">
        <f>COUNTIF('Growth Model'!L$189:L$237,'Regional Roll-up'!$D94)</f>
        <v>1</v>
      </c>
      <c r="V94" s="268">
        <f>COUNTIF('Growth Model'!M$189:M$237,'Regional Roll-up'!$D94)</f>
        <v>0</v>
      </c>
      <c r="W94" s="268">
        <f>COUNTIF('Growth Model'!N$189:N$237,'Regional Roll-up'!$D94)</f>
        <v>2</v>
      </c>
      <c r="X94" s="268">
        <f t="shared" ref="X94:AX94" si="72">X54-W54</f>
        <v>0</v>
      </c>
      <c r="Y94" s="268">
        <f t="shared" si="72"/>
        <v>0</v>
      </c>
      <c r="Z94" s="268">
        <f t="shared" si="72"/>
        <v>0</v>
      </c>
      <c r="AA94" s="268">
        <f t="shared" si="72"/>
        <v>0</v>
      </c>
      <c r="AB94" s="268">
        <f t="shared" si="72"/>
        <v>0</v>
      </c>
      <c r="AC94" s="268">
        <f t="shared" si="72"/>
        <v>0</v>
      </c>
      <c r="AD94" s="268">
        <f t="shared" si="72"/>
        <v>0</v>
      </c>
      <c r="AE94" s="268">
        <f t="shared" si="72"/>
        <v>0</v>
      </c>
      <c r="AF94" s="268">
        <f t="shared" si="72"/>
        <v>0</v>
      </c>
      <c r="AG94" s="268">
        <f t="shared" si="72"/>
        <v>0</v>
      </c>
      <c r="AH94" s="268">
        <f t="shared" si="72"/>
        <v>0</v>
      </c>
      <c r="AI94" s="268">
        <f t="shared" si="72"/>
        <v>0</v>
      </c>
      <c r="AJ94" s="268">
        <f t="shared" si="72"/>
        <v>0</v>
      </c>
      <c r="AK94" s="268">
        <f t="shared" si="72"/>
        <v>0</v>
      </c>
      <c r="AL94" s="268">
        <f t="shared" si="72"/>
        <v>0</v>
      </c>
      <c r="AM94" s="268">
        <f t="shared" si="72"/>
        <v>0</v>
      </c>
      <c r="AN94" s="268">
        <f t="shared" si="72"/>
        <v>0</v>
      </c>
      <c r="AO94" s="268">
        <f t="shared" si="72"/>
        <v>0</v>
      </c>
      <c r="AP94" s="268">
        <f t="shared" si="72"/>
        <v>0</v>
      </c>
      <c r="AQ94" s="268">
        <f t="shared" si="72"/>
        <v>0</v>
      </c>
      <c r="AR94" s="268">
        <f t="shared" si="72"/>
        <v>0</v>
      </c>
      <c r="AS94" s="268">
        <f t="shared" si="72"/>
        <v>0</v>
      </c>
      <c r="AT94" s="268">
        <f t="shared" si="72"/>
        <v>0</v>
      </c>
      <c r="AU94" s="268">
        <f t="shared" si="72"/>
        <v>0</v>
      </c>
      <c r="AV94" s="268">
        <f t="shared" si="72"/>
        <v>0</v>
      </c>
      <c r="AW94" s="268">
        <f t="shared" si="72"/>
        <v>0</v>
      </c>
      <c r="AX94" s="268">
        <f t="shared" si="72"/>
        <v>0</v>
      </c>
      <c r="AY94" s="268"/>
      <c r="AZ94" s="268"/>
      <c r="BA94" s="268"/>
      <c r="BB94" s="268"/>
    </row>
    <row r="95" ht="12.75" hidden="1" customHeight="1" outlineLevel="1">
      <c r="A95" s="90"/>
      <c r="C95" s="90" t="s">
        <v>515</v>
      </c>
      <c r="D95" s="90">
        <f t="shared" si="68"/>
        <v>5</v>
      </c>
      <c r="E95" s="113">
        <f>OFFSET('Region office'!$D$33,0,ROW(D45)-ROW($D$39))</f>
        <v>0</v>
      </c>
      <c r="F95" s="90"/>
      <c r="G95" s="90"/>
      <c r="H95" s="90"/>
      <c r="I95" s="90"/>
      <c r="J95" s="90"/>
      <c r="K95" s="90"/>
      <c r="L95" s="90"/>
      <c r="M95" s="268"/>
      <c r="N95" s="268"/>
      <c r="O95" s="268">
        <f>COUNTIF('Growth Model'!F$189:F$237,'Regional Roll-up'!$D95)</f>
        <v>0</v>
      </c>
      <c r="P95" s="268">
        <f>COUNTIF('Growth Model'!G$189:G$237,'Regional Roll-up'!$D95)</f>
        <v>0</v>
      </c>
      <c r="Q95" s="268">
        <f>COUNTIF('Growth Model'!H$189:H$237,'Regional Roll-up'!$D95)</f>
        <v>0</v>
      </c>
      <c r="R95" s="268">
        <f>COUNTIF('Growth Model'!I$189:I$237,'Regional Roll-up'!$D95)</f>
        <v>0</v>
      </c>
      <c r="S95" s="268">
        <f>COUNTIF('Growth Model'!J$189:J$237,'Regional Roll-up'!$D95)</f>
        <v>0</v>
      </c>
      <c r="T95" s="268">
        <f>COUNTIF('Growth Model'!K$189:K$237,'Regional Roll-up'!$D95)</f>
        <v>0</v>
      </c>
      <c r="U95" s="268">
        <f>COUNTIF('Growth Model'!L$189:L$237,'Regional Roll-up'!$D95)</f>
        <v>0</v>
      </c>
      <c r="V95" s="268">
        <f>COUNTIF('Growth Model'!M$189:M$237,'Regional Roll-up'!$D95)</f>
        <v>1</v>
      </c>
      <c r="W95" s="268">
        <f>COUNTIF('Growth Model'!N$189:N$237,'Regional Roll-up'!$D95)</f>
        <v>0</v>
      </c>
      <c r="X95" s="268">
        <f t="shared" ref="X95:AX95" si="73">X55-W55</f>
        <v>0</v>
      </c>
      <c r="Y95" s="268">
        <f t="shared" si="73"/>
        <v>0</v>
      </c>
      <c r="Z95" s="268">
        <f t="shared" si="73"/>
        <v>0</v>
      </c>
      <c r="AA95" s="268">
        <f t="shared" si="73"/>
        <v>0</v>
      </c>
      <c r="AB95" s="268">
        <f t="shared" si="73"/>
        <v>0</v>
      </c>
      <c r="AC95" s="268">
        <f t="shared" si="73"/>
        <v>0</v>
      </c>
      <c r="AD95" s="268">
        <f t="shared" si="73"/>
        <v>0</v>
      </c>
      <c r="AE95" s="268">
        <f t="shared" si="73"/>
        <v>0</v>
      </c>
      <c r="AF95" s="268">
        <f t="shared" si="73"/>
        <v>0</v>
      </c>
      <c r="AG95" s="268">
        <f t="shared" si="73"/>
        <v>0</v>
      </c>
      <c r="AH95" s="268">
        <f t="shared" si="73"/>
        <v>0</v>
      </c>
      <c r="AI95" s="268">
        <f t="shared" si="73"/>
        <v>0</v>
      </c>
      <c r="AJ95" s="268">
        <f t="shared" si="73"/>
        <v>0</v>
      </c>
      <c r="AK95" s="268">
        <f t="shared" si="73"/>
        <v>0</v>
      </c>
      <c r="AL95" s="268">
        <f t="shared" si="73"/>
        <v>0</v>
      </c>
      <c r="AM95" s="268">
        <f t="shared" si="73"/>
        <v>0</v>
      </c>
      <c r="AN95" s="268">
        <f t="shared" si="73"/>
        <v>0</v>
      </c>
      <c r="AO95" s="268">
        <f t="shared" si="73"/>
        <v>0</v>
      </c>
      <c r="AP95" s="268">
        <f t="shared" si="73"/>
        <v>0</v>
      </c>
      <c r="AQ95" s="268">
        <f t="shared" si="73"/>
        <v>0</v>
      </c>
      <c r="AR95" s="268">
        <f t="shared" si="73"/>
        <v>0</v>
      </c>
      <c r="AS95" s="268">
        <f t="shared" si="73"/>
        <v>0</v>
      </c>
      <c r="AT95" s="268">
        <f t="shared" si="73"/>
        <v>0</v>
      </c>
      <c r="AU95" s="268">
        <f t="shared" si="73"/>
        <v>0</v>
      </c>
      <c r="AV95" s="268">
        <f t="shared" si="73"/>
        <v>0</v>
      </c>
      <c r="AW95" s="268">
        <f t="shared" si="73"/>
        <v>0</v>
      </c>
      <c r="AX95" s="268">
        <f t="shared" si="73"/>
        <v>0</v>
      </c>
      <c r="AY95" s="268"/>
      <c r="AZ95" s="268"/>
      <c r="BA95" s="268"/>
      <c r="BB95" s="268"/>
    </row>
    <row r="96" ht="12.75" hidden="1" customHeight="1" outlineLevel="1">
      <c r="A96" s="90"/>
      <c r="C96" s="90" t="s">
        <v>515</v>
      </c>
      <c r="D96" s="90">
        <f t="shared" si="68"/>
        <v>6</v>
      </c>
      <c r="E96" s="113">
        <f>OFFSET('Region office'!$D$33,0,ROW(D46)-ROW($D$39))</f>
        <v>0</v>
      </c>
      <c r="F96" s="90"/>
      <c r="G96" s="90"/>
      <c r="H96" s="90"/>
      <c r="I96" s="90"/>
      <c r="J96" s="90"/>
      <c r="K96" s="90"/>
      <c r="L96" s="90"/>
      <c r="M96" s="268"/>
      <c r="N96" s="268"/>
      <c r="O96" s="268">
        <f>COUNTIF('Growth Model'!F$189:F$237,'Regional Roll-up'!$D96)</f>
        <v>0</v>
      </c>
      <c r="P96" s="268">
        <f>COUNTIF('Growth Model'!G$189:G$237,'Regional Roll-up'!$D96)</f>
        <v>0</v>
      </c>
      <c r="Q96" s="268">
        <f>COUNTIF('Growth Model'!H$189:H$237,'Regional Roll-up'!$D96)</f>
        <v>0</v>
      </c>
      <c r="R96" s="268">
        <f>COUNTIF('Growth Model'!I$189:I$237,'Regional Roll-up'!$D96)</f>
        <v>0</v>
      </c>
      <c r="S96" s="268">
        <f>COUNTIF('Growth Model'!J$189:J$237,'Regional Roll-up'!$D96)</f>
        <v>0</v>
      </c>
      <c r="T96" s="268">
        <f>COUNTIF('Growth Model'!K$189:K$237,'Regional Roll-up'!$D96)</f>
        <v>0</v>
      </c>
      <c r="U96" s="268">
        <f>COUNTIF('Growth Model'!L$189:L$237,'Regional Roll-up'!$D96)</f>
        <v>0</v>
      </c>
      <c r="V96" s="268">
        <f>COUNTIF('Growth Model'!M$189:M$237,'Regional Roll-up'!$D96)</f>
        <v>0</v>
      </c>
      <c r="W96" s="268">
        <f>COUNTIF('Growth Model'!N$189:N$237,'Regional Roll-up'!$D96)</f>
        <v>1</v>
      </c>
      <c r="X96" s="268">
        <f t="shared" ref="X96:AX96" si="74">X56-W56</f>
        <v>0</v>
      </c>
      <c r="Y96" s="268">
        <f t="shared" si="74"/>
        <v>0</v>
      </c>
      <c r="Z96" s="268">
        <f t="shared" si="74"/>
        <v>0</v>
      </c>
      <c r="AA96" s="268">
        <f t="shared" si="74"/>
        <v>0</v>
      </c>
      <c r="AB96" s="268">
        <f t="shared" si="74"/>
        <v>0</v>
      </c>
      <c r="AC96" s="268">
        <f t="shared" si="74"/>
        <v>0</v>
      </c>
      <c r="AD96" s="268">
        <f t="shared" si="74"/>
        <v>0</v>
      </c>
      <c r="AE96" s="268">
        <f t="shared" si="74"/>
        <v>0</v>
      </c>
      <c r="AF96" s="268">
        <f t="shared" si="74"/>
        <v>0</v>
      </c>
      <c r="AG96" s="268">
        <f t="shared" si="74"/>
        <v>0</v>
      </c>
      <c r="AH96" s="268">
        <f t="shared" si="74"/>
        <v>0</v>
      </c>
      <c r="AI96" s="268">
        <f t="shared" si="74"/>
        <v>0</v>
      </c>
      <c r="AJ96" s="268">
        <f t="shared" si="74"/>
        <v>0</v>
      </c>
      <c r="AK96" s="268">
        <f t="shared" si="74"/>
        <v>0</v>
      </c>
      <c r="AL96" s="268">
        <f t="shared" si="74"/>
        <v>0</v>
      </c>
      <c r="AM96" s="268">
        <f t="shared" si="74"/>
        <v>0</v>
      </c>
      <c r="AN96" s="268">
        <f t="shared" si="74"/>
        <v>0</v>
      </c>
      <c r="AO96" s="268">
        <f t="shared" si="74"/>
        <v>0</v>
      </c>
      <c r="AP96" s="268">
        <f t="shared" si="74"/>
        <v>0</v>
      </c>
      <c r="AQ96" s="268">
        <f t="shared" si="74"/>
        <v>0</v>
      </c>
      <c r="AR96" s="268">
        <f t="shared" si="74"/>
        <v>0</v>
      </c>
      <c r="AS96" s="268">
        <f t="shared" si="74"/>
        <v>0</v>
      </c>
      <c r="AT96" s="268">
        <f t="shared" si="74"/>
        <v>0</v>
      </c>
      <c r="AU96" s="268">
        <f t="shared" si="74"/>
        <v>0</v>
      </c>
      <c r="AV96" s="268">
        <f t="shared" si="74"/>
        <v>0</v>
      </c>
      <c r="AW96" s="268">
        <f t="shared" si="74"/>
        <v>0</v>
      </c>
      <c r="AX96" s="268">
        <f t="shared" si="74"/>
        <v>0</v>
      </c>
      <c r="AY96" s="268"/>
      <c r="AZ96" s="268"/>
      <c r="BA96" s="268"/>
      <c r="BB96" s="268"/>
    </row>
    <row r="97" ht="12.75" hidden="1" customHeight="1" outlineLevel="1">
      <c r="A97" s="90"/>
      <c r="C97" s="90" t="s">
        <v>515</v>
      </c>
      <c r="D97" s="90">
        <f t="shared" si="68"/>
        <v>7</v>
      </c>
      <c r="E97" s="113">
        <f>OFFSET('Region office'!$D$33,0,ROW(D47)-ROW($D$39))</f>
        <v>0</v>
      </c>
      <c r="F97" s="90"/>
      <c r="G97" s="90"/>
      <c r="H97" s="90"/>
      <c r="I97" s="90"/>
      <c r="J97" s="90"/>
      <c r="K97" s="90"/>
      <c r="L97" s="90"/>
      <c r="M97" s="268"/>
      <c r="N97" s="268"/>
      <c r="O97" s="268">
        <f>COUNTIF('Growth Model'!F$189:F$237,'Regional Roll-up'!$D97)</f>
        <v>0</v>
      </c>
      <c r="P97" s="268">
        <f>COUNTIF('Growth Model'!G$189:G$237,'Regional Roll-up'!$D97)</f>
        <v>0</v>
      </c>
      <c r="Q97" s="268">
        <f>COUNTIF('Growth Model'!H$189:H$237,'Regional Roll-up'!$D97)</f>
        <v>0</v>
      </c>
      <c r="R97" s="268">
        <f>COUNTIF('Growth Model'!I$189:I$237,'Regional Roll-up'!$D97)</f>
        <v>0</v>
      </c>
      <c r="S97" s="268">
        <f>COUNTIF('Growth Model'!J$189:J$237,'Regional Roll-up'!$D97)</f>
        <v>0</v>
      </c>
      <c r="T97" s="268">
        <f>COUNTIF('Growth Model'!K$189:K$237,'Regional Roll-up'!$D97)</f>
        <v>0</v>
      </c>
      <c r="U97" s="268">
        <f>COUNTIF('Growth Model'!L$189:L$237,'Regional Roll-up'!$D97)</f>
        <v>0</v>
      </c>
      <c r="V97" s="268">
        <f>COUNTIF('Growth Model'!M$189:M$237,'Regional Roll-up'!$D97)</f>
        <v>0</v>
      </c>
      <c r="W97" s="268">
        <f>COUNTIF('Growth Model'!N$189:N$237,'Regional Roll-up'!$D97)</f>
        <v>0</v>
      </c>
      <c r="X97" s="268">
        <f t="shared" ref="X97:AX97" si="75">X57-W57</f>
        <v>0</v>
      </c>
      <c r="Y97" s="268">
        <f t="shared" si="75"/>
        <v>0</v>
      </c>
      <c r="Z97" s="268">
        <f t="shared" si="75"/>
        <v>0</v>
      </c>
      <c r="AA97" s="268">
        <f t="shared" si="75"/>
        <v>0</v>
      </c>
      <c r="AB97" s="268">
        <f t="shared" si="75"/>
        <v>0</v>
      </c>
      <c r="AC97" s="268">
        <f t="shared" si="75"/>
        <v>0</v>
      </c>
      <c r="AD97" s="268">
        <f t="shared" si="75"/>
        <v>0</v>
      </c>
      <c r="AE97" s="268">
        <f t="shared" si="75"/>
        <v>0</v>
      </c>
      <c r="AF97" s="268">
        <f t="shared" si="75"/>
        <v>0</v>
      </c>
      <c r="AG97" s="268">
        <f t="shared" si="75"/>
        <v>0</v>
      </c>
      <c r="AH97" s="268">
        <f t="shared" si="75"/>
        <v>0</v>
      </c>
      <c r="AI97" s="268">
        <f t="shared" si="75"/>
        <v>0</v>
      </c>
      <c r="AJ97" s="268">
        <f t="shared" si="75"/>
        <v>0</v>
      </c>
      <c r="AK97" s="268">
        <f t="shared" si="75"/>
        <v>0</v>
      </c>
      <c r="AL97" s="268">
        <f t="shared" si="75"/>
        <v>0</v>
      </c>
      <c r="AM97" s="268">
        <f t="shared" si="75"/>
        <v>0</v>
      </c>
      <c r="AN97" s="268">
        <f t="shared" si="75"/>
        <v>0</v>
      </c>
      <c r="AO97" s="268">
        <f t="shared" si="75"/>
        <v>0</v>
      </c>
      <c r="AP97" s="268">
        <f t="shared" si="75"/>
        <v>0</v>
      </c>
      <c r="AQ97" s="268">
        <f t="shared" si="75"/>
        <v>0</v>
      </c>
      <c r="AR97" s="268">
        <f t="shared" si="75"/>
        <v>0</v>
      </c>
      <c r="AS97" s="268">
        <f t="shared" si="75"/>
        <v>0</v>
      </c>
      <c r="AT97" s="268">
        <f t="shared" si="75"/>
        <v>0</v>
      </c>
      <c r="AU97" s="268">
        <f t="shared" si="75"/>
        <v>0</v>
      </c>
      <c r="AV97" s="268">
        <f t="shared" si="75"/>
        <v>0</v>
      </c>
      <c r="AW97" s="268">
        <f t="shared" si="75"/>
        <v>0</v>
      </c>
      <c r="AX97" s="268">
        <f t="shared" si="75"/>
        <v>0</v>
      </c>
      <c r="AY97" s="268"/>
      <c r="AZ97" s="268"/>
      <c r="BA97" s="268"/>
      <c r="BB97" s="268"/>
    </row>
    <row r="98" ht="12.75" hidden="1" customHeight="1" outlineLevel="1">
      <c r="A98" s="90"/>
      <c r="B98" s="90"/>
      <c r="C98" s="90" t="s">
        <v>515</v>
      </c>
      <c r="D98" s="90">
        <f t="shared" si="68"/>
        <v>8</v>
      </c>
      <c r="E98" s="113">
        <f>OFFSET('Region office'!$D$33,0,ROW(D48)-ROW($D$39))</f>
        <v>0</v>
      </c>
      <c r="F98" s="90"/>
      <c r="G98" s="90"/>
      <c r="H98" s="90"/>
      <c r="I98" s="90"/>
      <c r="J98" s="90"/>
      <c r="K98" s="90"/>
      <c r="L98" s="90"/>
      <c r="M98" s="268"/>
      <c r="N98" s="268"/>
      <c r="O98" s="268">
        <f>COUNTIF('Growth Model'!F$189:F$237,'Regional Roll-up'!$D98)</f>
        <v>0</v>
      </c>
      <c r="P98" s="268">
        <f>COUNTIF('Growth Model'!G$189:G$237,'Regional Roll-up'!$D98)</f>
        <v>0</v>
      </c>
      <c r="Q98" s="268">
        <f>COUNTIF('Growth Model'!H$189:H$237,'Regional Roll-up'!$D98)</f>
        <v>0</v>
      </c>
      <c r="R98" s="268">
        <f>COUNTIF('Growth Model'!I$189:I$237,'Regional Roll-up'!$D98)</f>
        <v>0</v>
      </c>
      <c r="S98" s="268">
        <f>COUNTIF('Growth Model'!J$189:J$237,'Regional Roll-up'!$D98)</f>
        <v>0</v>
      </c>
      <c r="T98" s="268">
        <f>COUNTIF('Growth Model'!K$189:K$237,'Regional Roll-up'!$D98)</f>
        <v>0</v>
      </c>
      <c r="U98" s="268">
        <f>COUNTIF('Growth Model'!L$189:L$237,'Regional Roll-up'!$D98)</f>
        <v>0</v>
      </c>
      <c r="V98" s="268">
        <f>COUNTIF('Growth Model'!M$189:M$237,'Regional Roll-up'!$D98)</f>
        <v>0</v>
      </c>
      <c r="W98" s="268">
        <f>COUNTIF('Growth Model'!N$189:N$237,'Regional Roll-up'!$D98)</f>
        <v>0</v>
      </c>
      <c r="X98" s="268">
        <f t="shared" ref="X98:AX98" si="76">X58-W58</f>
        <v>0</v>
      </c>
      <c r="Y98" s="268">
        <f t="shared" si="76"/>
        <v>0</v>
      </c>
      <c r="Z98" s="268">
        <f t="shared" si="76"/>
        <v>0</v>
      </c>
      <c r="AA98" s="268">
        <f t="shared" si="76"/>
        <v>0</v>
      </c>
      <c r="AB98" s="268">
        <f t="shared" si="76"/>
        <v>0</v>
      </c>
      <c r="AC98" s="268">
        <f t="shared" si="76"/>
        <v>0</v>
      </c>
      <c r="AD98" s="268">
        <f t="shared" si="76"/>
        <v>0</v>
      </c>
      <c r="AE98" s="268">
        <f t="shared" si="76"/>
        <v>0</v>
      </c>
      <c r="AF98" s="268">
        <f t="shared" si="76"/>
        <v>0</v>
      </c>
      <c r="AG98" s="268">
        <f t="shared" si="76"/>
        <v>0</v>
      </c>
      <c r="AH98" s="268">
        <f t="shared" si="76"/>
        <v>0</v>
      </c>
      <c r="AI98" s="268">
        <f t="shared" si="76"/>
        <v>0</v>
      </c>
      <c r="AJ98" s="268">
        <f t="shared" si="76"/>
        <v>0</v>
      </c>
      <c r="AK98" s="268">
        <f t="shared" si="76"/>
        <v>0</v>
      </c>
      <c r="AL98" s="268">
        <f t="shared" si="76"/>
        <v>0</v>
      </c>
      <c r="AM98" s="268">
        <f t="shared" si="76"/>
        <v>0</v>
      </c>
      <c r="AN98" s="268">
        <f t="shared" si="76"/>
        <v>0</v>
      </c>
      <c r="AO98" s="268">
        <f t="shared" si="76"/>
        <v>0</v>
      </c>
      <c r="AP98" s="268">
        <f t="shared" si="76"/>
        <v>0</v>
      </c>
      <c r="AQ98" s="268">
        <f t="shared" si="76"/>
        <v>0</v>
      </c>
      <c r="AR98" s="268">
        <f t="shared" si="76"/>
        <v>0</v>
      </c>
      <c r="AS98" s="268">
        <f t="shared" si="76"/>
        <v>0</v>
      </c>
      <c r="AT98" s="268">
        <f t="shared" si="76"/>
        <v>0</v>
      </c>
      <c r="AU98" s="268">
        <f t="shared" si="76"/>
        <v>0</v>
      </c>
      <c r="AV98" s="268">
        <f t="shared" si="76"/>
        <v>0</v>
      </c>
      <c r="AW98" s="268">
        <f t="shared" si="76"/>
        <v>0</v>
      </c>
      <c r="AX98" s="268">
        <f t="shared" si="76"/>
        <v>0</v>
      </c>
      <c r="AY98" s="268"/>
      <c r="AZ98" s="268"/>
      <c r="BA98" s="268"/>
      <c r="BB98" s="268"/>
    </row>
    <row r="99" ht="12.75" hidden="1" customHeight="1" outlineLevel="1">
      <c r="A99" s="90"/>
      <c r="B99" s="90"/>
      <c r="C99" s="90" t="s">
        <v>515</v>
      </c>
      <c r="D99" s="90">
        <f t="shared" si="68"/>
        <v>9</v>
      </c>
      <c r="E99" s="113">
        <f>OFFSET('Region office'!$D$33,0,ROW(D49)-ROW($D$39))</f>
        <v>0</v>
      </c>
      <c r="F99" s="90"/>
      <c r="G99" s="90"/>
      <c r="H99" s="90"/>
      <c r="I99" s="90"/>
      <c r="J99" s="90"/>
      <c r="K99" s="90"/>
      <c r="L99" s="90"/>
      <c r="M99" s="268"/>
      <c r="N99" s="268"/>
      <c r="O99" s="268">
        <f>COUNTIF('Growth Model'!F$189:F$237,'Regional Roll-up'!$D99)</f>
        <v>0</v>
      </c>
      <c r="P99" s="268">
        <f>COUNTIF('Growth Model'!G$189:G$237,'Regional Roll-up'!$D99)</f>
        <v>0</v>
      </c>
      <c r="Q99" s="268">
        <f>COUNTIF('Growth Model'!H$189:H$237,'Regional Roll-up'!$D99)</f>
        <v>0</v>
      </c>
      <c r="R99" s="268">
        <f>COUNTIF('Growth Model'!I$189:I$237,'Regional Roll-up'!$D99)</f>
        <v>0</v>
      </c>
      <c r="S99" s="268">
        <f>COUNTIF('Growth Model'!J$189:J$237,'Regional Roll-up'!$D99)</f>
        <v>0</v>
      </c>
      <c r="T99" s="268">
        <f>COUNTIF('Growth Model'!K$189:K$237,'Regional Roll-up'!$D99)</f>
        <v>0</v>
      </c>
      <c r="U99" s="268">
        <f>COUNTIF('Growth Model'!L$189:L$237,'Regional Roll-up'!$D99)</f>
        <v>0</v>
      </c>
      <c r="V99" s="268">
        <f>COUNTIF('Growth Model'!M$189:M$237,'Regional Roll-up'!$D99)</f>
        <v>0</v>
      </c>
      <c r="W99" s="268">
        <f>COUNTIF('Growth Model'!N$189:N$237,'Regional Roll-up'!$D99)</f>
        <v>0</v>
      </c>
      <c r="X99" s="268">
        <f t="shared" ref="X99:AX99" si="77">X59-W59</f>
        <v>0</v>
      </c>
      <c r="Y99" s="268">
        <f t="shared" si="77"/>
        <v>0</v>
      </c>
      <c r="Z99" s="268">
        <f t="shared" si="77"/>
        <v>0</v>
      </c>
      <c r="AA99" s="268">
        <f t="shared" si="77"/>
        <v>0</v>
      </c>
      <c r="AB99" s="268">
        <f t="shared" si="77"/>
        <v>0</v>
      </c>
      <c r="AC99" s="268">
        <f t="shared" si="77"/>
        <v>0</v>
      </c>
      <c r="AD99" s="268">
        <f t="shared" si="77"/>
        <v>0</v>
      </c>
      <c r="AE99" s="268">
        <f t="shared" si="77"/>
        <v>0</v>
      </c>
      <c r="AF99" s="268">
        <f t="shared" si="77"/>
        <v>0</v>
      </c>
      <c r="AG99" s="268">
        <f t="shared" si="77"/>
        <v>0</v>
      </c>
      <c r="AH99" s="268">
        <f t="shared" si="77"/>
        <v>0</v>
      </c>
      <c r="AI99" s="268">
        <f t="shared" si="77"/>
        <v>0</v>
      </c>
      <c r="AJ99" s="268">
        <f t="shared" si="77"/>
        <v>0</v>
      </c>
      <c r="AK99" s="268">
        <f t="shared" si="77"/>
        <v>0</v>
      </c>
      <c r="AL99" s="268">
        <f t="shared" si="77"/>
        <v>0</v>
      </c>
      <c r="AM99" s="268">
        <f t="shared" si="77"/>
        <v>0</v>
      </c>
      <c r="AN99" s="268">
        <f t="shared" si="77"/>
        <v>0</v>
      </c>
      <c r="AO99" s="268">
        <f t="shared" si="77"/>
        <v>0</v>
      </c>
      <c r="AP99" s="268">
        <f t="shared" si="77"/>
        <v>0</v>
      </c>
      <c r="AQ99" s="268">
        <f t="shared" si="77"/>
        <v>0</v>
      </c>
      <c r="AR99" s="268">
        <f t="shared" si="77"/>
        <v>0</v>
      </c>
      <c r="AS99" s="268">
        <f t="shared" si="77"/>
        <v>0</v>
      </c>
      <c r="AT99" s="268">
        <f t="shared" si="77"/>
        <v>0</v>
      </c>
      <c r="AU99" s="268">
        <f t="shared" si="77"/>
        <v>0</v>
      </c>
      <c r="AV99" s="268">
        <f t="shared" si="77"/>
        <v>0</v>
      </c>
      <c r="AW99" s="268">
        <f t="shared" si="77"/>
        <v>0</v>
      </c>
      <c r="AX99" s="268">
        <f t="shared" si="77"/>
        <v>0</v>
      </c>
      <c r="AY99" s="268"/>
      <c r="AZ99" s="268"/>
      <c r="BA99" s="268"/>
      <c r="BB99" s="268"/>
    </row>
    <row r="100" ht="12.75" hidden="1" customHeight="1" outlineLevel="1">
      <c r="A100" s="90"/>
      <c r="C100" s="90" t="s">
        <v>515</v>
      </c>
      <c r="D100" s="90">
        <f t="shared" si="68"/>
        <v>10</v>
      </c>
      <c r="E100" s="113">
        <f>OFFSET('Region office'!$D$33,0,ROW(D50)-ROW($D$39))</f>
        <v>0</v>
      </c>
      <c r="F100" s="90"/>
      <c r="G100" s="90"/>
      <c r="H100" s="90"/>
      <c r="I100" s="90"/>
      <c r="J100" s="90"/>
      <c r="K100" s="90"/>
      <c r="L100" s="90"/>
      <c r="M100" s="268"/>
      <c r="N100" s="268"/>
      <c r="O100" s="268">
        <f>COUNTIF('Growth Model'!F$189:F$237,'Regional Roll-up'!$D100)</f>
        <v>0</v>
      </c>
      <c r="P100" s="268">
        <f>COUNTIF('Growth Model'!G$189:G$237,'Regional Roll-up'!$D100)</f>
        <v>0</v>
      </c>
      <c r="Q100" s="268">
        <f>COUNTIF('Growth Model'!H$189:H$237,'Regional Roll-up'!$D100)</f>
        <v>0</v>
      </c>
      <c r="R100" s="268">
        <f>COUNTIF('Growth Model'!I$189:I$237,'Regional Roll-up'!$D100)</f>
        <v>0</v>
      </c>
      <c r="S100" s="268">
        <f>COUNTIF('Growth Model'!J$189:J$237,'Regional Roll-up'!$D100)</f>
        <v>0</v>
      </c>
      <c r="T100" s="268">
        <f>COUNTIF('Growth Model'!K$189:K$237,'Regional Roll-up'!$D100)</f>
        <v>0</v>
      </c>
      <c r="U100" s="268">
        <f>COUNTIF('Growth Model'!L$189:L$237,'Regional Roll-up'!$D100)</f>
        <v>0</v>
      </c>
      <c r="V100" s="268">
        <f>COUNTIF('Growth Model'!M$189:M$237,'Regional Roll-up'!$D100)</f>
        <v>0</v>
      </c>
      <c r="W100" s="268">
        <f>COUNTIF('Growth Model'!N$189:N$237,'Regional Roll-up'!$D100)</f>
        <v>0</v>
      </c>
      <c r="X100" s="268">
        <f t="shared" ref="X100:AX100" si="78">X60-W60</f>
        <v>0</v>
      </c>
      <c r="Y100" s="268">
        <f t="shared" si="78"/>
        <v>0</v>
      </c>
      <c r="Z100" s="268">
        <f t="shared" si="78"/>
        <v>0</v>
      </c>
      <c r="AA100" s="268">
        <f t="shared" si="78"/>
        <v>0</v>
      </c>
      <c r="AB100" s="268">
        <f t="shared" si="78"/>
        <v>0</v>
      </c>
      <c r="AC100" s="268">
        <f t="shared" si="78"/>
        <v>0</v>
      </c>
      <c r="AD100" s="268">
        <f t="shared" si="78"/>
        <v>0</v>
      </c>
      <c r="AE100" s="268">
        <f t="shared" si="78"/>
        <v>0</v>
      </c>
      <c r="AF100" s="268">
        <f t="shared" si="78"/>
        <v>0</v>
      </c>
      <c r="AG100" s="268">
        <f t="shared" si="78"/>
        <v>0</v>
      </c>
      <c r="AH100" s="268">
        <f t="shared" si="78"/>
        <v>0</v>
      </c>
      <c r="AI100" s="268">
        <f t="shared" si="78"/>
        <v>0</v>
      </c>
      <c r="AJ100" s="268">
        <f t="shared" si="78"/>
        <v>0</v>
      </c>
      <c r="AK100" s="268">
        <f t="shared" si="78"/>
        <v>0</v>
      </c>
      <c r="AL100" s="268">
        <f t="shared" si="78"/>
        <v>0</v>
      </c>
      <c r="AM100" s="268">
        <f t="shared" si="78"/>
        <v>0</v>
      </c>
      <c r="AN100" s="268">
        <f t="shared" si="78"/>
        <v>0</v>
      </c>
      <c r="AO100" s="268">
        <f t="shared" si="78"/>
        <v>0</v>
      </c>
      <c r="AP100" s="268">
        <f t="shared" si="78"/>
        <v>0</v>
      </c>
      <c r="AQ100" s="268">
        <f t="shared" si="78"/>
        <v>0</v>
      </c>
      <c r="AR100" s="268">
        <f t="shared" si="78"/>
        <v>0</v>
      </c>
      <c r="AS100" s="268">
        <f t="shared" si="78"/>
        <v>0</v>
      </c>
      <c r="AT100" s="268">
        <f t="shared" si="78"/>
        <v>0</v>
      </c>
      <c r="AU100" s="268">
        <f t="shared" si="78"/>
        <v>0</v>
      </c>
      <c r="AV100" s="268">
        <f t="shared" si="78"/>
        <v>0</v>
      </c>
      <c r="AW100" s="268">
        <f t="shared" si="78"/>
        <v>0</v>
      </c>
      <c r="AX100" s="268">
        <f t="shared" si="78"/>
        <v>0</v>
      </c>
      <c r="AY100" s="268"/>
      <c r="AZ100" s="268"/>
      <c r="BA100" s="268"/>
      <c r="BB100" s="268"/>
    </row>
    <row r="101" ht="12.75" hidden="1" customHeight="1" outlineLevel="1">
      <c r="A101" s="90"/>
      <c r="C101" s="90" t="s">
        <v>515</v>
      </c>
      <c r="D101" s="90">
        <f t="shared" si="68"/>
        <v>11</v>
      </c>
      <c r="E101" s="113">
        <f>OFFSET('Region office'!$D$33,0,ROW(D51)-ROW($D$39))</f>
        <v>0</v>
      </c>
      <c r="F101" s="90"/>
      <c r="G101" s="90"/>
      <c r="H101" s="90"/>
      <c r="I101" s="90"/>
      <c r="J101" s="90"/>
      <c r="K101" s="90"/>
      <c r="L101" s="90"/>
      <c r="M101" s="268"/>
      <c r="N101" s="268"/>
      <c r="O101" s="268">
        <f>COUNTIF('Growth Model'!F$189:F$237,'Regional Roll-up'!$D101)</f>
        <v>0</v>
      </c>
      <c r="P101" s="268">
        <f>COUNTIF('Growth Model'!G$189:G$237,'Regional Roll-up'!$D101)</f>
        <v>0</v>
      </c>
      <c r="Q101" s="268">
        <f>COUNTIF('Growth Model'!H$189:H$237,'Regional Roll-up'!$D101)</f>
        <v>0</v>
      </c>
      <c r="R101" s="268">
        <f>COUNTIF('Growth Model'!I$189:I$237,'Regional Roll-up'!$D101)</f>
        <v>0</v>
      </c>
      <c r="S101" s="268">
        <f>COUNTIF('Growth Model'!J$189:J$237,'Regional Roll-up'!$D101)</f>
        <v>0</v>
      </c>
      <c r="T101" s="268">
        <f>COUNTIF('Growth Model'!K$189:K$237,'Regional Roll-up'!$D101)</f>
        <v>0</v>
      </c>
      <c r="U101" s="268">
        <f>COUNTIF('Growth Model'!L$189:L$237,'Regional Roll-up'!$D101)</f>
        <v>0</v>
      </c>
      <c r="V101" s="268">
        <f>COUNTIF('Growth Model'!M$189:M$237,'Regional Roll-up'!$D101)</f>
        <v>0</v>
      </c>
      <c r="W101" s="268">
        <f>COUNTIF('Growth Model'!N$189:N$237,'Regional Roll-up'!$D101)</f>
        <v>0</v>
      </c>
      <c r="X101" s="268">
        <f t="shared" ref="X101:AX101" si="79">X61-W61</f>
        <v>0</v>
      </c>
      <c r="Y101" s="268">
        <f t="shared" si="79"/>
        <v>0</v>
      </c>
      <c r="Z101" s="268">
        <f t="shared" si="79"/>
        <v>0</v>
      </c>
      <c r="AA101" s="268">
        <f t="shared" si="79"/>
        <v>0</v>
      </c>
      <c r="AB101" s="268">
        <f t="shared" si="79"/>
        <v>0</v>
      </c>
      <c r="AC101" s="268">
        <f t="shared" si="79"/>
        <v>0</v>
      </c>
      <c r="AD101" s="268">
        <f t="shared" si="79"/>
        <v>0</v>
      </c>
      <c r="AE101" s="268">
        <f t="shared" si="79"/>
        <v>0</v>
      </c>
      <c r="AF101" s="268">
        <f t="shared" si="79"/>
        <v>0</v>
      </c>
      <c r="AG101" s="268">
        <f t="shared" si="79"/>
        <v>0</v>
      </c>
      <c r="AH101" s="268">
        <f t="shared" si="79"/>
        <v>0</v>
      </c>
      <c r="AI101" s="268">
        <f t="shared" si="79"/>
        <v>0</v>
      </c>
      <c r="AJ101" s="268">
        <f t="shared" si="79"/>
        <v>0</v>
      </c>
      <c r="AK101" s="268">
        <f t="shared" si="79"/>
        <v>0</v>
      </c>
      <c r="AL101" s="268">
        <f t="shared" si="79"/>
        <v>0</v>
      </c>
      <c r="AM101" s="268">
        <f t="shared" si="79"/>
        <v>0</v>
      </c>
      <c r="AN101" s="268">
        <f t="shared" si="79"/>
        <v>0</v>
      </c>
      <c r="AO101" s="268">
        <f t="shared" si="79"/>
        <v>0</v>
      </c>
      <c r="AP101" s="268">
        <f t="shared" si="79"/>
        <v>0</v>
      </c>
      <c r="AQ101" s="268">
        <f t="shared" si="79"/>
        <v>0</v>
      </c>
      <c r="AR101" s="268">
        <f t="shared" si="79"/>
        <v>0</v>
      </c>
      <c r="AS101" s="268">
        <f t="shared" si="79"/>
        <v>0</v>
      </c>
      <c r="AT101" s="268">
        <f t="shared" si="79"/>
        <v>0</v>
      </c>
      <c r="AU101" s="268">
        <f t="shared" si="79"/>
        <v>0</v>
      </c>
      <c r="AV101" s="268">
        <f t="shared" si="79"/>
        <v>0</v>
      </c>
      <c r="AW101" s="268">
        <f t="shared" si="79"/>
        <v>0</v>
      </c>
      <c r="AX101" s="268">
        <f t="shared" si="79"/>
        <v>0</v>
      </c>
      <c r="AY101" s="268"/>
      <c r="AZ101" s="268"/>
      <c r="BA101" s="268"/>
      <c r="BB101" s="268"/>
    </row>
    <row r="102" ht="12.75" hidden="1" customHeight="1" outlineLevel="1">
      <c r="A102" s="90"/>
      <c r="C102" s="90" t="s">
        <v>515</v>
      </c>
      <c r="D102" s="90">
        <f t="shared" si="68"/>
        <v>12</v>
      </c>
      <c r="E102" s="113">
        <f>OFFSET('Region office'!$D$33,0,ROW(D52)-ROW($D$39))</f>
        <v>0</v>
      </c>
      <c r="F102" s="90"/>
      <c r="G102" s="90"/>
      <c r="H102" s="90"/>
      <c r="I102" s="90"/>
      <c r="J102" s="90"/>
      <c r="K102" s="90"/>
      <c r="L102" s="90"/>
      <c r="M102" s="268"/>
      <c r="N102" s="268"/>
      <c r="O102" s="268">
        <v>0.0</v>
      </c>
      <c r="P102" s="268">
        <v>0.0</v>
      </c>
      <c r="Q102" s="268">
        <v>0.0</v>
      </c>
      <c r="R102" s="268">
        <v>0.0</v>
      </c>
      <c r="S102" s="268">
        <v>0.0</v>
      </c>
      <c r="T102" s="268">
        <v>0.0</v>
      </c>
      <c r="U102" s="268">
        <v>0.0</v>
      </c>
      <c r="V102" s="268">
        <v>0.0</v>
      </c>
      <c r="W102" s="268">
        <v>0.0</v>
      </c>
      <c r="X102" s="268">
        <v>0.0</v>
      </c>
      <c r="Y102" s="268">
        <v>0.0</v>
      </c>
      <c r="Z102" s="268">
        <v>0.0</v>
      </c>
      <c r="AA102" s="268">
        <v>0.0</v>
      </c>
      <c r="AB102" s="268">
        <v>0.0</v>
      </c>
      <c r="AC102" s="268">
        <v>0.0</v>
      </c>
      <c r="AD102" s="268">
        <v>0.0</v>
      </c>
      <c r="AE102" s="268">
        <f t="shared" ref="AE102:AX102" si="80">AD101</f>
        <v>0</v>
      </c>
      <c r="AF102" s="268">
        <f t="shared" si="80"/>
        <v>0</v>
      </c>
      <c r="AG102" s="268">
        <f t="shared" si="80"/>
        <v>0</v>
      </c>
      <c r="AH102" s="268">
        <f t="shared" si="80"/>
        <v>0</v>
      </c>
      <c r="AI102" s="268">
        <f t="shared" si="80"/>
        <v>0</v>
      </c>
      <c r="AJ102" s="268">
        <f t="shared" si="80"/>
        <v>0</v>
      </c>
      <c r="AK102" s="268">
        <f t="shared" si="80"/>
        <v>0</v>
      </c>
      <c r="AL102" s="268">
        <f t="shared" si="80"/>
        <v>0</v>
      </c>
      <c r="AM102" s="268">
        <f t="shared" si="80"/>
        <v>0</v>
      </c>
      <c r="AN102" s="268">
        <f t="shared" si="80"/>
        <v>0</v>
      </c>
      <c r="AO102" s="268">
        <f t="shared" si="80"/>
        <v>0</v>
      </c>
      <c r="AP102" s="268">
        <f t="shared" si="80"/>
        <v>0</v>
      </c>
      <c r="AQ102" s="268">
        <f t="shared" si="80"/>
        <v>0</v>
      </c>
      <c r="AR102" s="268">
        <f t="shared" si="80"/>
        <v>0</v>
      </c>
      <c r="AS102" s="268">
        <f t="shared" si="80"/>
        <v>0</v>
      </c>
      <c r="AT102" s="268">
        <f t="shared" si="80"/>
        <v>0</v>
      </c>
      <c r="AU102" s="268">
        <f t="shared" si="80"/>
        <v>0</v>
      </c>
      <c r="AV102" s="268">
        <f t="shared" si="80"/>
        <v>0</v>
      </c>
      <c r="AW102" s="268">
        <f t="shared" si="80"/>
        <v>0</v>
      </c>
      <c r="AX102" s="268">
        <f t="shared" si="80"/>
        <v>0</v>
      </c>
      <c r="AY102" s="268"/>
      <c r="AZ102" s="268"/>
      <c r="BA102" s="268"/>
      <c r="BB102" s="268"/>
    </row>
    <row r="103" ht="12.75" hidden="1" customHeight="1" outlineLevel="1">
      <c r="A103" s="90"/>
      <c r="C103" s="90" t="s">
        <v>515</v>
      </c>
      <c r="D103" s="90">
        <f t="shared" si="68"/>
        <v>13</v>
      </c>
      <c r="E103" s="113">
        <f>OFFSET('Region office'!$D$33,0,ROW(D53)-ROW($D$39))</f>
        <v>0</v>
      </c>
      <c r="F103" s="90"/>
      <c r="G103" s="90"/>
      <c r="H103" s="90"/>
      <c r="I103" s="90"/>
      <c r="J103" s="90"/>
      <c r="K103" s="90"/>
      <c r="L103" s="90"/>
      <c r="M103" s="268"/>
      <c r="N103" s="268"/>
      <c r="O103" s="268">
        <v>0.0</v>
      </c>
      <c r="P103" s="268">
        <v>0.0</v>
      </c>
      <c r="Q103" s="268">
        <v>0.0</v>
      </c>
      <c r="R103" s="268">
        <v>0.0</v>
      </c>
      <c r="S103" s="268">
        <v>0.0</v>
      </c>
      <c r="T103" s="268">
        <v>0.0</v>
      </c>
      <c r="U103" s="268">
        <v>0.0</v>
      </c>
      <c r="V103" s="268">
        <v>0.0</v>
      </c>
      <c r="W103" s="268">
        <v>0.0</v>
      </c>
      <c r="X103" s="268">
        <v>0.0</v>
      </c>
      <c r="Y103" s="268">
        <v>0.0</v>
      </c>
      <c r="Z103" s="268">
        <v>0.0</v>
      </c>
      <c r="AA103" s="268">
        <v>0.0</v>
      </c>
      <c r="AB103" s="268">
        <v>0.0</v>
      </c>
      <c r="AC103" s="268">
        <v>0.0</v>
      </c>
      <c r="AD103" s="268">
        <v>0.0</v>
      </c>
      <c r="AE103" s="268">
        <v>0.0</v>
      </c>
      <c r="AF103" s="268">
        <f t="shared" ref="AF103:AX103" si="81">AE102</f>
        <v>0</v>
      </c>
      <c r="AG103" s="268">
        <f t="shared" si="81"/>
        <v>0</v>
      </c>
      <c r="AH103" s="268">
        <f t="shared" si="81"/>
        <v>0</v>
      </c>
      <c r="AI103" s="268">
        <f t="shared" si="81"/>
        <v>0</v>
      </c>
      <c r="AJ103" s="268">
        <f t="shared" si="81"/>
        <v>0</v>
      </c>
      <c r="AK103" s="268">
        <f t="shared" si="81"/>
        <v>0</v>
      </c>
      <c r="AL103" s="268">
        <f t="shared" si="81"/>
        <v>0</v>
      </c>
      <c r="AM103" s="268">
        <f t="shared" si="81"/>
        <v>0</v>
      </c>
      <c r="AN103" s="268">
        <f t="shared" si="81"/>
        <v>0</v>
      </c>
      <c r="AO103" s="268">
        <f t="shared" si="81"/>
        <v>0</v>
      </c>
      <c r="AP103" s="268">
        <f t="shared" si="81"/>
        <v>0</v>
      </c>
      <c r="AQ103" s="268">
        <f t="shared" si="81"/>
        <v>0</v>
      </c>
      <c r="AR103" s="268">
        <f t="shared" si="81"/>
        <v>0</v>
      </c>
      <c r="AS103" s="268">
        <f t="shared" si="81"/>
        <v>0</v>
      </c>
      <c r="AT103" s="268">
        <f t="shared" si="81"/>
        <v>0</v>
      </c>
      <c r="AU103" s="268">
        <f t="shared" si="81"/>
        <v>0</v>
      </c>
      <c r="AV103" s="268">
        <f t="shared" si="81"/>
        <v>0</v>
      </c>
      <c r="AW103" s="268">
        <f t="shared" si="81"/>
        <v>0</v>
      </c>
      <c r="AX103" s="268">
        <f t="shared" si="81"/>
        <v>0</v>
      </c>
      <c r="AY103" s="268"/>
      <c r="AZ103" s="268"/>
      <c r="BA103" s="268"/>
      <c r="BB103" s="268"/>
    </row>
    <row r="104" ht="12.75" hidden="1" customHeight="1" outlineLevel="1">
      <c r="A104" s="90"/>
      <c r="C104" s="90" t="s">
        <v>515</v>
      </c>
      <c r="D104" s="90">
        <f t="shared" si="68"/>
        <v>14</v>
      </c>
      <c r="E104" s="113">
        <f>OFFSET('Region office'!$D$33,0,ROW(D54)-ROW($D$39))</f>
        <v>0</v>
      </c>
      <c r="F104" s="90"/>
      <c r="G104" s="90"/>
      <c r="H104" s="90"/>
      <c r="I104" s="90"/>
      <c r="J104" s="90"/>
      <c r="K104" s="90"/>
      <c r="L104" s="90"/>
      <c r="M104" s="268"/>
      <c r="N104" s="268"/>
      <c r="O104" s="268">
        <v>0.0</v>
      </c>
      <c r="P104" s="268">
        <v>0.0</v>
      </c>
      <c r="Q104" s="268">
        <v>0.0</v>
      </c>
      <c r="R104" s="268">
        <v>0.0</v>
      </c>
      <c r="S104" s="268">
        <v>0.0</v>
      </c>
      <c r="T104" s="268">
        <v>0.0</v>
      </c>
      <c r="U104" s="268">
        <v>0.0</v>
      </c>
      <c r="V104" s="268">
        <v>0.0</v>
      </c>
      <c r="W104" s="268">
        <v>0.0</v>
      </c>
      <c r="X104" s="268">
        <v>0.0</v>
      </c>
      <c r="Y104" s="268">
        <v>0.0</v>
      </c>
      <c r="Z104" s="268">
        <v>0.0</v>
      </c>
      <c r="AA104" s="268">
        <v>0.0</v>
      </c>
      <c r="AB104" s="268">
        <v>0.0</v>
      </c>
      <c r="AC104" s="268">
        <v>0.0</v>
      </c>
      <c r="AD104" s="268">
        <v>0.0</v>
      </c>
      <c r="AE104" s="268">
        <v>0.0</v>
      </c>
      <c r="AF104" s="268">
        <v>0.0</v>
      </c>
      <c r="AG104" s="268">
        <f t="shared" ref="AG104:AX104" si="82">AF103</f>
        <v>0</v>
      </c>
      <c r="AH104" s="268">
        <f t="shared" si="82"/>
        <v>0</v>
      </c>
      <c r="AI104" s="268">
        <f t="shared" si="82"/>
        <v>0</v>
      </c>
      <c r="AJ104" s="268">
        <f t="shared" si="82"/>
        <v>0</v>
      </c>
      <c r="AK104" s="268">
        <f t="shared" si="82"/>
        <v>0</v>
      </c>
      <c r="AL104" s="268">
        <f t="shared" si="82"/>
        <v>0</v>
      </c>
      <c r="AM104" s="268">
        <f t="shared" si="82"/>
        <v>0</v>
      </c>
      <c r="AN104" s="268">
        <f t="shared" si="82"/>
        <v>0</v>
      </c>
      <c r="AO104" s="268">
        <f t="shared" si="82"/>
        <v>0</v>
      </c>
      <c r="AP104" s="268">
        <f t="shared" si="82"/>
        <v>0</v>
      </c>
      <c r="AQ104" s="268">
        <f t="shared" si="82"/>
        <v>0</v>
      </c>
      <c r="AR104" s="268">
        <f t="shared" si="82"/>
        <v>0</v>
      </c>
      <c r="AS104" s="268">
        <f t="shared" si="82"/>
        <v>0</v>
      </c>
      <c r="AT104" s="268">
        <f t="shared" si="82"/>
        <v>0</v>
      </c>
      <c r="AU104" s="268">
        <f t="shared" si="82"/>
        <v>0</v>
      </c>
      <c r="AV104" s="268">
        <f t="shared" si="82"/>
        <v>0</v>
      </c>
      <c r="AW104" s="268">
        <f t="shared" si="82"/>
        <v>0</v>
      </c>
      <c r="AX104" s="268">
        <f t="shared" si="82"/>
        <v>0</v>
      </c>
      <c r="AY104" s="268"/>
      <c r="AZ104" s="268"/>
      <c r="BA104" s="268"/>
      <c r="BB104" s="268"/>
    </row>
    <row r="105" ht="12.75" hidden="1" customHeight="1" outlineLevel="1">
      <c r="A105" s="90"/>
      <c r="C105" s="90" t="s">
        <v>515</v>
      </c>
      <c r="D105" s="90">
        <f t="shared" si="68"/>
        <v>15</v>
      </c>
      <c r="E105" s="113">
        <f>OFFSET('Region office'!$D$33,0,ROW(D55)-ROW($D$39))</f>
        <v>0</v>
      </c>
      <c r="F105" s="90"/>
      <c r="G105" s="90"/>
      <c r="H105" s="90"/>
      <c r="I105" s="90"/>
      <c r="J105" s="90"/>
      <c r="K105" s="90"/>
      <c r="L105" s="90"/>
      <c r="M105" s="268"/>
      <c r="N105" s="268"/>
      <c r="O105" s="268">
        <v>0.0</v>
      </c>
      <c r="P105" s="268">
        <v>0.0</v>
      </c>
      <c r="Q105" s="268">
        <v>0.0</v>
      </c>
      <c r="R105" s="268">
        <v>0.0</v>
      </c>
      <c r="S105" s="268">
        <v>0.0</v>
      </c>
      <c r="T105" s="268">
        <v>0.0</v>
      </c>
      <c r="U105" s="268">
        <v>0.0</v>
      </c>
      <c r="V105" s="268">
        <v>0.0</v>
      </c>
      <c r="W105" s="268">
        <v>0.0</v>
      </c>
      <c r="X105" s="268">
        <v>0.0</v>
      </c>
      <c r="Y105" s="268">
        <v>0.0</v>
      </c>
      <c r="Z105" s="268">
        <v>0.0</v>
      </c>
      <c r="AA105" s="268">
        <v>0.0</v>
      </c>
      <c r="AB105" s="268">
        <v>0.0</v>
      </c>
      <c r="AC105" s="268">
        <v>0.0</v>
      </c>
      <c r="AD105" s="268">
        <v>0.0</v>
      </c>
      <c r="AE105" s="268">
        <v>0.0</v>
      </c>
      <c r="AF105" s="268">
        <v>0.0</v>
      </c>
      <c r="AG105" s="268">
        <v>0.0</v>
      </c>
      <c r="AH105" s="268">
        <f t="shared" ref="AH105:AX105" si="83">AG104</f>
        <v>0</v>
      </c>
      <c r="AI105" s="268">
        <f t="shared" si="83"/>
        <v>0</v>
      </c>
      <c r="AJ105" s="268">
        <f t="shared" si="83"/>
        <v>0</v>
      </c>
      <c r="AK105" s="268">
        <f t="shared" si="83"/>
        <v>0</v>
      </c>
      <c r="AL105" s="268">
        <f t="shared" si="83"/>
        <v>0</v>
      </c>
      <c r="AM105" s="268">
        <f t="shared" si="83"/>
        <v>0</v>
      </c>
      <c r="AN105" s="268">
        <f t="shared" si="83"/>
        <v>0</v>
      </c>
      <c r="AO105" s="268">
        <f t="shared" si="83"/>
        <v>0</v>
      </c>
      <c r="AP105" s="268">
        <f t="shared" si="83"/>
        <v>0</v>
      </c>
      <c r="AQ105" s="268">
        <f t="shared" si="83"/>
        <v>0</v>
      </c>
      <c r="AR105" s="268">
        <f t="shared" si="83"/>
        <v>0</v>
      </c>
      <c r="AS105" s="268">
        <f t="shared" si="83"/>
        <v>0</v>
      </c>
      <c r="AT105" s="268">
        <f t="shared" si="83"/>
        <v>0</v>
      </c>
      <c r="AU105" s="268">
        <f t="shared" si="83"/>
        <v>0</v>
      </c>
      <c r="AV105" s="268">
        <f t="shared" si="83"/>
        <v>0</v>
      </c>
      <c r="AW105" s="268">
        <f t="shared" si="83"/>
        <v>0</v>
      </c>
      <c r="AX105" s="268">
        <f t="shared" si="83"/>
        <v>0</v>
      </c>
      <c r="AY105" s="268"/>
      <c r="AZ105" s="268"/>
      <c r="BA105" s="268"/>
      <c r="BB105" s="268"/>
    </row>
    <row r="106" ht="12.75" hidden="1" customHeight="1" outlineLevel="1">
      <c r="A106" s="90"/>
      <c r="B106" s="90"/>
      <c r="C106" s="90" t="s">
        <v>515</v>
      </c>
      <c r="D106" s="90">
        <f t="shared" si="68"/>
        <v>16</v>
      </c>
      <c r="E106" s="113">
        <f>OFFSET('Region office'!$D$33,0,ROW(D56)-ROW($D$39))</f>
        <v>0</v>
      </c>
      <c r="F106" s="90"/>
      <c r="G106" s="90"/>
      <c r="H106" s="90"/>
      <c r="I106" s="90"/>
      <c r="J106" s="90"/>
      <c r="K106" s="90"/>
      <c r="L106" s="90"/>
      <c r="M106" s="268"/>
      <c r="N106" s="268"/>
      <c r="O106" s="268">
        <v>0.0</v>
      </c>
      <c r="P106" s="268">
        <v>0.0</v>
      </c>
      <c r="Q106" s="268">
        <v>0.0</v>
      </c>
      <c r="R106" s="268">
        <v>0.0</v>
      </c>
      <c r="S106" s="268">
        <v>0.0</v>
      </c>
      <c r="T106" s="268">
        <v>0.0</v>
      </c>
      <c r="U106" s="268">
        <v>0.0</v>
      </c>
      <c r="V106" s="268">
        <v>0.0</v>
      </c>
      <c r="W106" s="268">
        <v>0.0</v>
      </c>
      <c r="X106" s="268">
        <v>0.0</v>
      </c>
      <c r="Y106" s="268">
        <v>0.0</v>
      </c>
      <c r="Z106" s="268">
        <v>0.0</v>
      </c>
      <c r="AA106" s="268">
        <v>0.0</v>
      </c>
      <c r="AB106" s="268">
        <v>0.0</v>
      </c>
      <c r="AC106" s="268">
        <v>0.0</v>
      </c>
      <c r="AD106" s="268">
        <v>0.0</v>
      </c>
      <c r="AE106" s="268">
        <v>0.0</v>
      </c>
      <c r="AF106" s="268">
        <v>0.0</v>
      </c>
      <c r="AG106" s="268">
        <v>0.0</v>
      </c>
      <c r="AH106" s="268">
        <f t="shared" ref="AH106:AX106" si="84">AG105</f>
        <v>0</v>
      </c>
      <c r="AI106" s="268">
        <f t="shared" si="84"/>
        <v>0</v>
      </c>
      <c r="AJ106" s="268">
        <f t="shared" si="84"/>
        <v>0</v>
      </c>
      <c r="AK106" s="268">
        <f t="shared" si="84"/>
        <v>0</v>
      </c>
      <c r="AL106" s="268">
        <f t="shared" si="84"/>
        <v>0</v>
      </c>
      <c r="AM106" s="268">
        <f t="shared" si="84"/>
        <v>0</v>
      </c>
      <c r="AN106" s="268">
        <f t="shared" si="84"/>
        <v>0</v>
      </c>
      <c r="AO106" s="268">
        <f t="shared" si="84"/>
        <v>0</v>
      </c>
      <c r="AP106" s="268">
        <f t="shared" si="84"/>
        <v>0</v>
      </c>
      <c r="AQ106" s="268">
        <f t="shared" si="84"/>
        <v>0</v>
      </c>
      <c r="AR106" s="268">
        <f t="shared" si="84"/>
        <v>0</v>
      </c>
      <c r="AS106" s="268">
        <f t="shared" si="84"/>
        <v>0</v>
      </c>
      <c r="AT106" s="268">
        <f t="shared" si="84"/>
        <v>0</v>
      </c>
      <c r="AU106" s="268">
        <f t="shared" si="84"/>
        <v>0</v>
      </c>
      <c r="AV106" s="268">
        <f t="shared" si="84"/>
        <v>0</v>
      </c>
      <c r="AW106" s="268">
        <f t="shared" si="84"/>
        <v>0</v>
      </c>
      <c r="AX106" s="268">
        <f t="shared" si="84"/>
        <v>0</v>
      </c>
      <c r="AY106" s="268"/>
      <c r="AZ106" s="268"/>
      <c r="BA106" s="268"/>
      <c r="BB106" s="268"/>
    </row>
    <row r="107" ht="12.75" hidden="1" customHeight="1" outlineLevel="1">
      <c r="A107" s="90"/>
      <c r="B107" s="90"/>
      <c r="C107" s="90" t="s">
        <v>515</v>
      </c>
      <c r="D107" s="90">
        <f t="shared" si="68"/>
        <v>17</v>
      </c>
      <c r="E107" s="113">
        <f>OFFSET('Region office'!$D$33,0,ROW(D57)-ROW($D$39))</f>
        <v>0</v>
      </c>
      <c r="F107" s="90"/>
      <c r="G107" s="90"/>
      <c r="H107" s="90"/>
      <c r="I107" s="90"/>
      <c r="J107" s="90"/>
      <c r="K107" s="90"/>
      <c r="L107" s="90"/>
      <c r="M107" s="268"/>
      <c r="N107" s="268"/>
      <c r="O107" s="268">
        <v>0.0</v>
      </c>
      <c r="P107" s="268">
        <v>0.0</v>
      </c>
      <c r="Q107" s="268">
        <v>0.0</v>
      </c>
      <c r="R107" s="268">
        <v>0.0</v>
      </c>
      <c r="S107" s="268">
        <v>0.0</v>
      </c>
      <c r="T107" s="268">
        <v>0.0</v>
      </c>
      <c r="U107" s="268">
        <v>0.0</v>
      </c>
      <c r="V107" s="268">
        <v>0.0</v>
      </c>
      <c r="W107" s="268">
        <v>0.0</v>
      </c>
      <c r="X107" s="268">
        <v>0.0</v>
      </c>
      <c r="Y107" s="268">
        <v>0.0</v>
      </c>
      <c r="Z107" s="268">
        <v>0.0</v>
      </c>
      <c r="AA107" s="268">
        <v>0.0</v>
      </c>
      <c r="AB107" s="268">
        <v>0.0</v>
      </c>
      <c r="AC107" s="268">
        <v>0.0</v>
      </c>
      <c r="AD107" s="268">
        <v>0.0</v>
      </c>
      <c r="AE107" s="268">
        <v>0.0</v>
      </c>
      <c r="AF107" s="268">
        <v>0.0</v>
      </c>
      <c r="AG107" s="268">
        <v>0.0</v>
      </c>
      <c r="AH107" s="268">
        <f t="shared" ref="AH107:AX107" si="85">AG106</f>
        <v>0</v>
      </c>
      <c r="AI107" s="268">
        <f t="shared" si="85"/>
        <v>0</v>
      </c>
      <c r="AJ107" s="268">
        <f t="shared" si="85"/>
        <v>0</v>
      </c>
      <c r="AK107" s="268">
        <f t="shared" si="85"/>
        <v>0</v>
      </c>
      <c r="AL107" s="268">
        <f t="shared" si="85"/>
        <v>0</v>
      </c>
      <c r="AM107" s="268">
        <f t="shared" si="85"/>
        <v>0</v>
      </c>
      <c r="AN107" s="268">
        <f t="shared" si="85"/>
        <v>0</v>
      </c>
      <c r="AO107" s="268">
        <f t="shared" si="85"/>
        <v>0</v>
      </c>
      <c r="AP107" s="268">
        <f t="shared" si="85"/>
        <v>0</v>
      </c>
      <c r="AQ107" s="268">
        <f t="shared" si="85"/>
        <v>0</v>
      </c>
      <c r="AR107" s="268">
        <f t="shared" si="85"/>
        <v>0</v>
      </c>
      <c r="AS107" s="268">
        <f t="shared" si="85"/>
        <v>0</v>
      </c>
      <c r="AT107" s="268">
        <f t="shared" si="85"/>
        <v>0</v>
      </c>
      <c r="AU107" s="268">
        <f t="shared" si="85"/>
        <v>0</v>
      </c>
      <c r="AV107" s="268">
        <f t="shared" si="85"/>
        <v>0</v>
      </c>
      <c r="AW107" s="268">
        <f t="shared" si="85"/>
        <v>0</v>
      </c>
      <c r="AX107" s="268">
        <f t="shared" si="85"/>
        <v>0</v>
      </c>
      <c r="AY107" s="268"/>
      <c r="AZ107" s="268"/>
      <c r="BA107" s="268"/>
      <c r="BB107" s="268"/>
    </row>
    <row r="108" ht="12.75" hidden="1" customHeight="1" outlineLevel="1">
      <c r="A108" s="90"/>
      <c r="B108" s="90"/>
      <c r="C108" s="90" t="s">
        <v>515</v>
      </c>
      <c r="D108" s="90">
        <f t="shared" si="68"/>
        <v>18</v>
      </c>
      <c r="E108" s="113">
        <f>OFFSET('Region office'!$D$33,0,ROW(D58)-ROW($D$39))</f>
        <v>0</v>
      </c>
      <c r="F108" s="90"/>
      <c r="G108" s="90"/>
      <c r="H108" s="90"/>
      <c r="I108" s="90"/>
      <c r="J108" s="90"/>
      <c r="K108" s="90"/>
      <c r="L108" s="90"/>
      <c r="M108" s="268"/>
      <c r="N108" s="268"/>
      <c r="O108" s="268">
        <v>0.0</v>
      </c>
      <c r="P108" s="268">
        <v>0.0</v>
      </c>
      <c r="Q108" s="268">
        <v>0.0</v>
      </c>
      <c r="R108" s="268">
        <v>0.0</v>
      </c>
      <c r="S108" s="268">
        <v>0.0</v>
      </c>
      <c r="T108" s="268">
        <v>0.0</v>
      </c>
      <c r="U108" s="268">
        <v>0.0</v>
      </c>
      <c r="V108" s="268">
        <v>0.0</v>
      </c>
      <c r="W108" s="268">
        <v>0.0</v>
      </c>
      <c r="X108" s="268">
        <v>0.0</v>
      </c>
      <c r="Y108" s="268">
        <v>0.0</v>
      </c>
      <c r="Z108" s="268">
        <v>0.0</v>
      </c>
      <c r="AA108" s="268">
        <v>0.0</v>
      </c>
      <c r="AB108" s="268">
        <v>0.0</v>
      </c>
      <c r="AC108" s="268">
        <v>0.0</v>
      </c>
      <c r="AD108" s="268">
        <v>0.0</v>
      </c>
      <c r="AE108" s="268">
        <v>0.0</v>
      </c>
      <c r="AF108" s="268">
        <v>0.0</v>
      </c>
      <c r="AG108" s="268">
        <v>0.0</v>
      </c>
      <c r="AH108" s="268">
        <f t="shared" ref="AH108:AX108" si="86">AG107</f>
        <v>0</v>
      </c>
      <c r="AI108" s="268">
        <f t="shared" si="86"/>
        <v>0</v>
      </c>
      <c r="AJ108" s="268">
        <f t="shared" si="86"/>
        <v>0</v>
      </c>
      <c r="AK108" s="268">
        <f t="shared" si="86"/>
        <v>0</v>
      </c>
      <c r="AL108" s="268">
        <f t="shared" si="86"/>
        <v>0</v>
      </c>
      <c r="AM108" s="268">
        <f t="shared" si="86"/>
        <v>0</v>
      </c>
      <c r="AN108" s="268">
        <f t="shared" si="86"/>
        <v>0</v>
      </c>
      <c r="AO108" s="268">
        <f t="shared" si="86"/>
        <v>0</v>
      </c>
      <c r="AP108" s="268">
        <f t="shared" si="86"/>
        <v>0</v>
      </c>
      <c r="AQ108" s="268">
        <f t="shared" si="86"/>
        <v>0</v>
      </c>
      <c r="AR108" s="268">
        <f t="shared" si="86"/>
        <v>0</v>
      </c>
      <c r="AS108" s="268">
        <f t="shared" si="86"/>
        <v>0</v>
      </c>
      <c r="AT108" s="268">
        <f t="shared" si="86"/>
        <v>0</v>
      </c>
      <c r="AU108" s="268">
        <f t="shared" si="86"/>
        <v>0</v>
      </c>
      <c r="AV108" s="268">
        <f t="shared" si="86"/>
        <v>0</v>
      </c>
      <c r="AW108" s="268">
        <f t="shared" si="86"/>
        <v>0</v>
      </c>
      <c r="AX108" s="268">
        <f t="shared" si="86"/>
        <v>0</v>
      </c>
      <c r="AY108" s="268"/>
      <c r="AZ108" s="268"/>
      <c r="BA108" s="268"/>
      <c r="BB108" s="268"/>
    </row>
    <row r="109" ht="12.75" hidden="1" customHeight="1" outlineLevel="1">
      <c r="A109" s="90"/>
      <c r="B109" s="90"/>
      <c r="C109" s="90" t="s">
        <v>515</v>
      </c>
      <c r="D109" s="90">
        <f t="shared" si="68"/>
        <v>19</v>
      </c>
      <c r="E109" s="113">
        <f>OFFSET('Region office'!$D$33,0,ROW(D59)-ROW($D$39))</f>
        <v>0</v>
      </c>
      <c r="F109" s="90"/>
      <c r="G109" s="90"/>
      <c r="H109" s="90"/>
      <c r="I109" s="90"/>
      <c r="J109" s="90"/>
      <c r="K109" s="90"/>
      <c r="L109" s="90"/>
      <c r="M109" s="268"/>
      <c r="N109" s="268"/>
      <c r="O109" s="268">
        <v>0.0</v>
      </c>
      <c r="P109" s="268">
        <v>0.0</v>
      </c>
      <c r="Q109" s="268">
        <v>0.0</v>
      </c>
      <c r="R109" s="268">
        <v>0.0</v>
      </c>
      <c r="S109" s="268">
        <v>0.0</v>
      </c>
      <c r="T109" s="268">
        <v>0.0</v>
      </c>
      <c r="U109" s="268">
        <v>0.0</v>
      </c>
      <c r="V109" s="268">
        <v>0.0</v>
      </c>
      <c r="W109" s="268">
        <v>0.0</v>
      </c>
      <c r="X109" s="268">
        <v>0.0</v>
      </c>
      <c r="Y109" s="268">
        <v>0.0</v>
      </c>
      <c r="Z109" s="268">
        <v>0.0</v>
      </c>
      <c r="AA109" s="268">
        <v>0.0</v>
      </c>
      <c r="AB109" s="268">
        <v>0.0</v>
      </c>
      <c r="AC109" s="268">
        <v>0.0</v>
      </c>
      <c r="AD109" s="268">
        <v>0.0</v>
      </c>
      <c r="AE109" s="268">
        <v>0.0</v>
      </c>
      <c r="AF109" s="268">
        <v>0.0</v>
      </c>
      <c r="AG109" s="268">
        <v>0.0</v>
      </c>
      <c r="AH109" s="268">
        <f t="shared" ref="AH109:AX109" si="87">AG108</f>
        <v>0</v>
      </c>
      <c r="AI109" s="268">
        <f t="shared" si="87"/>
        <v>0</v>
      </c>
      <c r="AJ109" s="268">
        <f t="shared" si="87"/>
        <v>0</v>
      </c>
      <c r="AK109" s="268">
        <f t="shared" si="87"/>
        <v>0</v>
      </c>
      <c r="AL109" s="268">
        <f t="shared" si="87"/>
        <v>0</v>
      </c>
      <c r="AM109" s="268">
        <f t="shared" si="87"/>
        <v>0</v>
      </c>
      <c r="AN109" s="268">
        <f t="shared" si="87"/>
        <v>0</v>
      </c>
      <c r="AO109" s="268">
        <f t="shared" si="87"/>
        <v>0</v>
      </c>
      <c r="AP109" s="268">
        <f t="shared" si="87"/>
        <v>0</v>
      </c>
      <c r="AQ109" s="268">
        <f t="shared" si="87"/>
        <v>0</v>
      </c>
      <c r="AR109" s="268">
        <f t="shared" si="87"/>
        <v>0</v>
      </c>
      <c r="AS109" s="268">
        <f t="shared" si="87"/>
        <v>0</v>
      </c>
      <c r="AT109" s="268">
        <f t="shared" si="87"/>
        <v>0</v>
      </c>
      <c r="AU109" s="268">
        <f t="shared" si="87"/>
        <v>0</v>
      </c>
      <c r="AV109" s="268">
        <f t="shared" si="87"/>
        <v>0</v>
      </c>
      <c r="AW109" s="268">
        <f t="shared" si="87"/>
        <v>0</v>
      </c>
      <c r="AX109" s="268">
        <f t="shared" si="87"/>
        <v>0</v>
      </c>
      <c r="AY109" s="268"/>
      <c r="AZ109" s="268"/>
      <c r="BA109" s="268"/>
      <c r="BB109" s="268"/>
    </row>
    <row r="110" ht="12.75" hidden="1" customHeight="1" outlineLevel="1">
      <c r="A110" s="90"/>
      <c r="B110" s="90"/>
      <c r="C110" s="90" t="s">
        <v>515</v>
      </c>
      <c r="D110" s="90">
        <f t="shared" si="68"/>
        <v>20</v>
      </c>
      <c r="E110" s="113">
        <f>OFFSET('Region office'!$D$33,0,ROW(D60)-ROW($D$39))</f>
        <v>0</v>
      </c>
      <c r="F110" s="90"/>
      <c r="G110" s="90"/>
      <c r="H110" s="90"/>
      <c r="I110" s="90"/>
      <c r="J110" s="90"/>
      <c r="K110" s="90"/>
      <c r="L110" s="90"/>
      <c r="M110" s="268"/>
      <c r="N110" s="268"/>
      <c r="O110" s="268">
        <v>0.0</v>
      </c>
      <c r="P110" s="268">
        <v>0.0</v>
      </c>
      <c r="Q110" s="268">
        <v>0.0</v>
      </c>
      <c r="R110" s="268">
        <v>0.0</v>
      </c>
      <c r="S110" s="268">
        <v>0.0</v>
      </c>
      <c r="T110" s="268">
        <v>0.0</v>
      </c>
      <c r="U110" s="268">
        <v>0.0</v>
      </c>
      <c r="V110" s="268">
        <v>0.0</v>
      </c>
      <c r="W110" s="268">
        <v>0.0</v>
      </c>
      <c r="X110" s="268">
        <v>0.0</v>
      </c>
      <c r="Y110" s="268">
        <v>0.0</v>
      </c>
      <c r="Z110" s="268">
        <v>0.0</v>
      </c>
      <c r="AA110" s="268">
        <v>0.0</v>
      </c>
      <c r="AB110" s="268">
        <v>0.0</v>
      </c>
      <c r="AC110" s="268">
        <v>0.0</v>
      </c>
      <c r="AD110" s="268">
        <v>0.0</v>
      </c>
      <c r="AE110" s="268">
        <v>0.0</v>
      </c>
      <c r="AF110" s="268">
        <v>0.0</v>
      </c>
      <c r="AG110" s="268">
        <v>0.0</v>
      </c>
      <c r="AH110" s="268">
        <f t="shared" ref="AH110:AX110" si="88">AG109</f>
        <v>0</v>
      </c>
      <c r="AI110" s="268">
        <f t="shared" si="88"/>
        <v>0</v>
      </c>
      <c r="AJ110" s="268">
        <f t="shared" si="88"/>
        <v>0</v>
      </c>
      <c r="AK110" s="268">
        <f t="shared" si="88"/>
        <v>0</v>
      </c>
      <c r="AL110" s="268">
        <f t="shared" si="88"/>
        <v>0</v>
      </c>
      <c r="AM110" s="268">
        <f t="shared" si="88"/>
        <v>0</v>
      </c>
      <c r="AN110" s="268">
        <f t="shared" si="88"/>
        <v>0</v>
      </c>
      <c r="AO110" s="268">
        <f t="shared" si="88"/>
        <v>0</v>
      </c>
      <c r="AP110" s="268">
        <f t="shared" si="88"/>
        <v>0</v>
      </c>
      <c r="AQ110" s="268">
        <f t="shared" si="88"/>
        <v>0</v>
      </c>
      <c r="AR110" s="268">
        <f t="shared" si="88"/>
        <v>0</v>
      </c>
      <c r="AS110" s="268">
        <f t="shared" si="88"/>
        <v>0</v>
      </c>
      <c r="AT110" s="268">
        <f t="shared" si="88"/>
        <v>0</v>
      </c>
      <c r="AU110" s="268">
        <f t="shared" si="88"/>
        <v>0</v>
      </c>
      <c r="AV110" s="268">
        <f t="shared" si="88"/>
        <v>0</v>
      </c>
      <c r="AW110" s="268">
        <f t="shared" si="88"/>
        <v>0</v>
      </c>
      <c r="AX110" s="268">
        <f t="shared" si="88"/>
        <v>0</v>
      </c>
      <c r="AY110" s="268"/>
      <c r="AZ110" s="268"/>
      <c r="BA110" s="268"/>
      <c r="BB110" s="268"/>
    </row>
    <row r="111" ht="12.75" hidden="1" customHeight="1" outlineLevel="1">
      <c r="A111" s="90"/>
      <c r="B111" s="90"/>
      <c r="C111" s="90" t="s">
        <v>515</v>
      </c>
      <c r="D111" s="90">
        <f t="shared" si="68"/>
        <v>21</v>
      </c>
      <c r="E111" s="113">
        <f>OFFSET('Region office'!$D$33,0,ROW(D61)-ROW($D$39))</f>
        <v>0</v>
      </c>
      <c r="F111" s="90"/>
      <c r="G111" s="90"/>
      <c r="H111" s="90"/>
      <c r="I111" s="90"/>
      <c r="J111" s="90"/>
      <c r="K111" s="90"/>
      <c r="L111" s="90"/>
      <c r="M111" s="268"/>
      <c r="N111" s="268"/>
      <c r="O111" s="268">
        <v>0.0</v>
      </c>
      <c r="P111" s="268">
        <v>0.0</v>
      </c>
      <c r="Q111" s="268">
        <v>0.0</v>
      </c>
      <c r="R111" s="268">
        <v>0.0</v>
      </c>
      <c r="S111" s="268">
        <v>0.0</v>
      </c>
      <c r="T111" s="268">
        <v>0.0</v>
      </c>
      <c r="U111" s="268">
        <v>0.0</v>
      </c>
      <c r="V111" s="268">
        <v>0.0</v>
      </c>
      <c r="W111" s="268">
        <v>0.0</v>
      </c>
      <c r="X111" s="268">
        <v>0.0</v>
      </c>
      <c r="Y111" s="268">
        <v>0.0</v>
      </c>
      <c r="Z111" s="268">
        <v>0.0</v>
      </c>
      <c r="AA111" s="268">
        <v>0.0</v>
      </c>
      <c r="AB111" s="268">
        <v>0.0</v>
      </c>
      <c r="AC111" s="268">
        <v>0.0</v>
      </c>
      <c r="AD111" s="268">
        <v>0.0</v>
      </c>
      <c r="AE111" s="268">
        <v>0.0</v>
      </c>
      <c r="AF111" s="268">
        <v>0.0</v>
      </c>
      <c r="AG111" s="268">
        <v>0.0</v>
      </c>
      <c r="AH111" s="268">
        <f t="shared" ref="AH111:AX111" si="89">AG110</f>
        <v>0</v>
      </c>
      <c r="AI111" s="268">
        <f t="shared" si="89"/>
        <v>0</v>
      </c>
      <c r="AJ111" s="268">
        <f t="shared" si="89"/>
        <v>0</v>
      </c>
      <c r="AK111" s="268">
        <f t="shared" si="89"/>
        <v>0</v>
      </c>
      <c r="AL111" s="268">
        <f t="shared" si="89"/>
        <v>0</v>
      </c>
      <c r="AM111" s="268">
        <f t="shared" si="89"/>
        <v>0</v>
      </c>
      <c r="AN111" s="268">
        <f t="shared" si="89"/>
        <v>0</v>
      </c>
      <c r="AO111" s="268">
        <f t="shared" si="89"/>
        <v>0</v>
      </c>
      <c r="AP111" s="268">
        <f t="shared" si="89"/>
        <v>0</v>
      </c>
      <c r="AQ111" s="268">
        <f t="shared" si="89"/>
        <v>0</v>
      </c>
      <c r="AR111" s="268">
        <f t="shared" si="89"/>
        <v>0</v>
      </c>
      <c r="AS111" s="268">
        <f t="shared" si="89"/>
        <v>0</v>
      </c>
      <c r="AT111" s="268">
        <f t="shared" si="89"/>
        <v>0</v>
      </c>
      <c r="AU111" s="268">
        <f t="shared" si="89"/>
        <v>0</v>
      </c>
      <c r="AV111" s="268">
        <f t="shared" si="89"/>
        <v>0</v>
      </c>
      <c r="AW111" s="268">
        <f t="shared" si="89"/>
        <v>0</v>
      </c>
      <c r="AX111" s="268">
        <f t="shared" si="89"/>
        <v>0</v>
      </c>
      <c r="AY111" s="268"/>
      <c r="AZ111" s="268"/>
      <c r="BA111" s="268"/>
      <c r="BB111" s="268"/>
    </row>
    <row r="112" ht="12.75" hidden="1" customHeight="1" outlineLevel="1">
      <c r="A112" s="90"/>
      <c r="B112" s="90"/>
      <c r="C112" s="90" t="s">
        <v>515</v>
      </c>
      <c r="D112" s="90">
        <f t="shared" si="68"/>
        <v>22</v>
      </c>
      <c r="E112" s="113">
        <f>OFFSET('Region office'!$D$33,0,ROW(D62)-ROW($D$39))</f>
        <v>0</v>
      </c>
      <c r="F112" s="90"/>
      <c r="G112" s="90"/>
      <c r="H112" s="90"/>
      <c r="I112" s="90"/>
      <c r="J112" s="90"/>
      <c r="K112" s="90"/>
      <c r="L112" s="90"/>
      <c r="M112" s="268"/>
      <c r="N112" s="268"/>
      <c r="O112" s="268">
        <v>0.0</v>
      </c>
      <c r="P112" s="268">
        <v>0.0</v>
      </c>
      <c r="Q112" s="268">
        <v>0.0</v>
      </c>
      <c r="R112" s="268">
        <v>0.0</v>
      </c>
      <c r="S112" s="268">
        <v>0.0</v>
      </c>
      <c r="T112" s="268">
        <v>0.0</v>
      </c>
      <c r="U112" s="268">
        <v>0.0</v>
      </c>
      <c r="V112" s="268">
        <v>0.0</v>
      </c>
      <c r="W112" s="268">
        <v>0.0</v>
      </c>
      <c r="X112" s="268">
        <v>0.0</v>
      </c>
      <c r="Y112" s="268">
        <v>0.0</v>
      </c>
      <c r="Z112" s="268">
        <v>0.0</v>
      </c>
      <c r="AA112" s="268">
        <v>0.0</v>
      </c>
      <c r="AB112" s="268">
        <v>0.0</v>
      </c>
      <c r="AC112" s="268">
        <v>0.0</v>
      </c>
      <c r="AD112" s="268">
        <v>0.0</v>
      </c>
      <c r="AE112" s="268">
        <v>0.0</v>
      </c>
      <c r="AF112" s="268">
        <v>0.0</v>
      </c>
      <c r="AG112" s="268">
        <v>0.0</v>
      </c>
      <c r="AH112" s="268">
        <f t="shared" ref="AH112:AX112" si="90">AG111</f>
        <v>0</v>
      </c>
      <c r="AI112" s="268">
        <f t="shared" si="90"/>
        <v>0</v>
      </c>
      <c r="AJ112" s="268">
        <f t="shared" si="90"/>
        <v>0</v>
      </c>
      <c r="AK112" s="268">
        <f t="shared" si="90"/>
        <v>0</v>
      </c>
      <c r="AL112" s="268">
        <f t="shared" si="90"/>
        <v>0</v>
      </c>
      <c r="AM112" s="268">
        <f t="shared" si="90"/>
        <v>0</v>
      </c>
      <c r="AN112" s="268">
        <f t="shared" si="90"/>
        <v>0</v>
      </c>
      <c r="AO112" s="268">
        <f t="shared" si="90"/>
        <v>0</v>
      </c>
      <c r="AP112" s="268">
        <f t="shared" si="90"/>
        <v>0</v>
      </c>
      <c r="AQ112" s="268">
        <f t="shared" si="90"/>
        <v>0</v>
      </c>
      <c r="AR112" s="268">
        <f t="shared" si="90"/>
        <v>0</v>
      </c>
      <c r="AS112" s="268">
        <f t="shared" si="90"/>
        <v>0</v>
      </c>
      <c r="AT112" s="268">
        <f t="shared" si="90"/>
        <v>0</v>
      </c>
      <c r="AU112" s="268">
        <f t="shared" si="90"/>
        <v>0</v>
      </c>
      <c r="AV112" s="268">
        <f t="shared" si="90"/>
        <v>0</v>
      </c>
      <c r="AW112" s="268">
        <f t="shared" si="90"/>
        <v>0</v>
      </c>
      <c r="AX112" s="268">
        <f t="shared" si="90"/>
        <v>0</v>
      </c>
      <c r="AY112" s="268"/>
      <c r="AZ112" s="268"/>
      <c r="BA112" s="268"/>
      <c r="BB112" s="268"/>
    </row>
    <row r="113" ht="12.75" hidden="1" customHeight="1" outlineLevel="1">
      <c r="A113" s="90"/>
      <c r="B113" s="90"/>
      <c r="C113" s="90" t="s">
        <v>515</v>
      </c>
      <c r="D113" s="90">
        <f t="shared" si="68"/>
        <v>23</v>
      </c>
      <c r="E113" s="113">
        <f>OFFSET('Region office'!$D$33,0,ROW(D63)-ROW($D$39))</f>
        <v>0</v>
      </c>
      <c r="F113" s="90"/>
      <c r="G113" s="90"/>
      <c r="H113" s="90"/>
      <c r="I113" s="90"/>
      <c r="J113" s="90"/>
      <c r="K113" s="90"/>
      <c r="L113" s="90"/>
      <c r="M113" s="268"/>
      <c r="N113" s="268"/>
      <c r="O113" s="268">
        <v>0.0</v>
      </c>
      <c r="P113" s="268">
        <v>0.0</v>
      </c>
      <c r="Q113" s="268">
        <v>0.0</v>
      </c>
      <c r="R113" s="268">
        <v>0.0</v>
      </c>
      <c r="S113" s="268">
        <v>0.0</v>
      </c>
      <c r="T113" s="268">
        <v>0.0</v>
      </c>
      <c r="U113" s="268">
        <v>0.0</v>
      </c>
      <c r="V113" s="268">
        <v>0.0</v>
      </c>
      <c r="W113" s="268">
        <v>0.0</v>
      </c>
      <c r="X113" s="268">
        <v>0.0</v>
      </c>
      <c r="Y113" s="268">
        <v>0.0</v>
      </c>
      <c r="Z113" s="268">
        <v>0.0</v>
      </c>
      <c r="AA113" s="268">
        <v>0.0</v>
      </c>
      <c r="AB113" s="268">
        <v>0.0</v>
      </c>
      <c r="AC113" s="268">
        <v>0.0</v>
      </c>
      <c r="AD113" s="268">
        <v>0.0</v>
      </c>
      <c r="AE113" s="268">
        <v>0.0</v>
      </c>
      <c r="AF113" s="268">
        <v>0.0</v>
      </c>
      <c r="AG113" s="268">
        <v>0.0</v>
      </c>
      <c r="AH113" s="268">
        <f t="shared" ref="AH113:AX113" si="91">AG112</f>
        <v>0</v>
      </c>
      <c r="AI113" s="268">
        <f t="shared" si="91"/>
        <v>0</v>
      </c>
      <c r="AJ113" s="268">
        <f t="shared" si="91"/>
        <v>0</v>
      </c>
      <c r="AK113" s="268">
        <f t="shared" si="91"/>
        <v>0</v>
      </c>
      <c r="AL113" s="268">
        <f t="shared" si="91"/>
        <v>0</v>
      </c>
      <c r="AM113" s="268">
        <f t="shared" si="91"/>
        <v>0</v>
      </c>
      <c r="AN113" s="268">
        <f t="shared" si="91"/>
        <v>0</v>
      </c>
      <c r="AO113" s="268">
        <f t="shared" si="91"/>
        <v>0</v>
      </c>
      <c r="AP113" s="268">
        <f t="shared" si="91"/>
        <v>0</v>
      </c>
      <c r="AQ113" s="268">
        <f t="shared" si="91"/>
        <v>0</v>
      </c>
      <c r="AR113" s="268">
        <f t="shared" si="91"/>
        <v>0</v>
      </c>
      <c r="AS113" s="268">
        <f t="shared" si="91"/>
        <v>0</v>
      </c>
      <c r="AT113" s="268">
        <f t="shared" si="91"/>
        <v>0</v>
      </c>
      <c r="AU113" s="268">
        <f t="shared" si="91"/>
        <v>0</v>
      </c>
      <c r="AV113" s="268">
        <f t="shared" si="91"/>
        <v>0</v>
      </c>
      <c r="AW113" s="268">
        <f t="shared" si="91"/>
        <v>0</v>
      </c>
      <c r="AX113" s="268">
        <f t="shared" si="91"/>
        <v>0</v>
      </c>
      <c r="AY113" s="268"/>
      <c r="AZ113" s="268"/>
      <c r="BA113" s="268"/>
      <c r="BB113" s="268"/>
    </row>
    <row r="114" ht="12.75" hidden="1" customHeight="1" outlineLevel="1">
      <c r="A114" s="90"/>
      <c r="B114" s="90"/>
      <c r="C114" s="90" t="s">
        <v>515</v>
      </c>
      <c r="D114" s="90">
        <f t="shared" si="68"/>
        <v>24</v>
      </c>
      <c r="E114" s="113">
        <f>OFFSET('Region office'!$D$33,0,ROW(D64)-ROW($D$39))</f>
        <v>0</v>
      </c>
      <c r="F114" s="90"/>
      <c r="G114" s="90"/>
      <c r="H114" s="90"/>
      <c r="I114" s="90"/>
      <c r="J114" s="90"/>
      <c r="K114" s="90"/>
      <c r="L114" s="90"/>
      <c r="M114" s="268"/>
      <c r="N114" s="268"/>
      <c r="O114" s="268">
        <v>0.0</v>
      </c>
      <c r="P114" s="268">
        <v>0.0</v>
      </c>
      <c r="Q114" s="268">
        <v>0.0</v>
      </c>
      <c r="R114" s="268">
        <v>0.0</v>
      </c>
      <c r="S114" s="268">
        <v>0.0</v>
      </c>
      <c r="T114" s="268">
        <v>0.0</v>
      </c>
      <c r="U114" s="268">
        <v>0.0</v>
      </c>
      <c r="V114" s="268">
        <v>0.0</v>
      </c>
      <c r="W114" s="268">
        <v>0.0</v>
      </c>
      <c r="X114" s="268">
        <v>0.0</v>
      </c>
      <c r="Y114" s="268">
        <v>0.0</v>
      </c>
      <c r="Z114" s="268">
        <v>0.0</v>
      </c>
      <c r="AA114" s="268">
        <v>0.0</v>
      </c>
      <c r="AB114" s="268">
        <v>0.0</v>
      </c>
      <c r="AC114" s="268">
        <v>0.0</v>
      </c>
      <c r="AD114" s="268">
        <v>0.0</v>
      </c>
      <c r="AE114" s="268">
        <v>0.0</v>
      </c>
      <c r="AF114" s="268">
        <v>0.0</v>
      </c>
      <c r="AG114" s="268">
        <v>0.0</v>
      </c>
      <c r="AH114" s="268">
        <f t="shared" ref="AH114:AX114" si="92">AG113</f>
        <v>0</v>
      </c>
      <c r="AI114" s="268">
        <f t="shared" si="92"/>
        <v>0</v>
      </c>
      <c r="AJ114" s="268">
        <f t="shared" si="92"/>
        <v>0</v>
      </c>
      <c r="AK114" s="268">
        <f t="shared" si="92"/>
        <v>0</v>
      </c>
      <c r="AL114" s="268">
        <f t="shared" si="92"/>
        <v>0</v>
      </c>
      <c r="AM114" s="268">
        <f t="shared" si="92"/>
        <v>0</v>
      </c>
      <c r="AN114" s="268">
        <f t="shared" si="92"/>
        <v>0</v>
      </c>
      <c r="AO114" s="268">
        <f t="shared" si="92"/>
        <v>0</v>
      </c>
      <c r="AP114" s="268">
        <f t="shared" si="92"/>
        <v>0</v>
      </c>
      <c r="AQ114" s="268">
        <f t="shared" si="92"/>
        <v>0</v>
      </c>
      <c r="AR114" s="268">
        <f t="shared" si="92"/>
        <v>0</v>
      </c>
      <c r="AS114" s="268">
        <f t="shared" si="92"/>
        <v>0</v>
      </c>
      <c r="AT114" s="268">
        <f t="shared" si="92"/>
        <v>0</v>
      </c>
      <c r="AU114" s="268">
        <f t="shared" si="92"/>
        <v>0</v>
      </c>
      <c r="AV114" s="268">
        <f t="shared" si="92"/>
        <v>0</v>
      </c>
      <c r="AW114" s="268">
        <f t="shared" si="92"/>
        <v>0</v>
      </c>
      <c r="AX114" s="268">
        <f t="shared" si="92"/>
        <v>0</v>
      </c>
      <c r="AY114" s="268"/>
      <c r="AZ114" s="268"/>
      <c r="BA114" s="268"/>
      <c r="BB114" s="268"/>
    </row>
    <row r="115" ht="12.75" hidden="1" customHeight="1" outlineLevel="1">
      <c r="A115" s="90"/>
      <c r="B115" s="90"/>
      <c r="C115" s="90" t="s">
        <v>515</v>
      </c>
      <c r="D115" s="90">
        <f t="shared" si="68"/>
        <v>25</v>
      </c>
      <c r="E115" s="113">
        <f>OFFSET('Region office'!$D$33,0,ROW(D65)-ROW($D$39))</f>
        <v>0</v>
      </c>
      <c r="F115" s="90"/>
      <c r="G115" s="90"/>
      <c r="H115" s="90"/>
      <c r="I115" s="90"/>
      <c r="J115" s="90"/>
      <c r="K115" s="90"/>
      <c r="L115" s="90"/>
      <c r="M115" s="268"/>
      <c r="N115" s="268"/>
      <c r="O115" s="268">
        <v>0.0</v>
      </c>
      <c r="P115" s="268">
        <v>0.0</v>
      </c>
      <c r="Q115" s="268">
        <v>0.0</v>
      </c>
      <c r="R115" s="268">
        <v>0.0</v>
      </c>
      <c r="S115" s="268">
        <v>0.0</v>
      </c>
      <c r="T115" s="268">
        <v>0.0</v>
      </c>
      <c r="U115" s="268">
        <v>0.0</v>
      </c>
      <c r="V115" s="268">
        <v>0.0</v>
      </c>
      <c r="W115" s="268">
        <v>0.0</v>
      </c>
      <c r="X115" s="268">
        <v>0.0</v>
      </c>
      <c r="Y115" s="268">
        <v>0.0</v>
      </c>
      <c r="Z115" s="268">
        <v>0.0</v>
      </c>
      <c r="AA115" s="268">
        <v>0.0</v>
      </c>
      <c r="AB115" s="268">
        <v>0.0</v>
      </c>
      <c r="AC115" s="268">
        <v>0.0</v>
      </c>
      <c r="AD115" s="268">
        <v>0.0</v>
      </c>
      <c r="AE115" s="268">
        <v>0.0</v>
      </c>
      <c r="AF115" s="268">
        <v>0.0</v>
      </c>
      <c r="AG115" s="268">
        <v>0.0</v>
      </c>
      <c r="AH115" s="268">
        <f t="shared" ref="AH115:AX115" si="93">AG114</f>
        <v>0</v>
      </c>
      <c r="AI115" s="268">
        <f t="shared" si="93"/>
        <v>0</v>
      </c>
      <c r="AJ115" s="268">
        <f t="shared" si="93"/>
        <v>0</v>
      </c>
      <c r="AK115" s="268">
        <f t="shared" si="93"/>
        <v>0</v>
      </c>
      <c r="AL115" s="268">
        <f t="shared" si="93"/>
        <v>0</v>
      </c>
      <c r="AM115" s="268">
        <f t="shared" si="93"/>
        <v>0</v>
      </c>
      <c r="AN115" s="268">
        <f t="shared" si="93"/>
        <v>0</v>
      </c>
      <c r="AO115" s="268">
        <f t="shared" si="93"/>
        <v>0</v>
      </c>
      <c r="AP115" s="268">
        <f t="shared" si="93"/>
        <v>0</v>
      </c>
      <c r="AQ115" s="268">
        <f t="shared" si="93"/>
        <v>0</v>
      </c>
      <c r="AR115" s="268">
        <f t="shared" si="93"/>
        <v>0</v>
      </c>
      <c r="AS115" s="268">
        <f t="shared" si="93"/>
        <v>0</v>
      </c>
      <c r="AT115" s="268">
        <f t="shared" si="93"/>
        <v>0</v>
      </c>
      <c r="AU115" s="268">
        <f t="shared" si="93"/>
        <v>0</v>
      </c>
      <c r="AV115" s="268">
        <f t="shared" si="93"/>
        <v>0</v>
      </c>
      <c r="AW115" s="268">
        <f t="shared" si="93"/>
        <v>0</v>
      </c>
      <c r="AX115" s="268">
        <f t="shared" si="93"/>
        <v>0</v>
      </c>
      <c r="AY115" s="268"/>
      <c r="AZ115" s="268"/>
      <c r="BA115" s="268"/>
      <c r="BB115" s="268"/>
    </row>
    <row r="116" ht="12.75" hidden="1" customHeight="1" outlineLevel="1">
      <c r="A116" s="90"/>
      <c r="B116" s="90"/>
      <c r="C116" s="90" t="s">
        <v>515</v>
      </c>
      <c r="D116" s="90">
        <f t="shared" si="68"/>
        <v>26</v>
      </c>
      <c r="E116" s="113">
        <f>OFFSET('Region office'!$D$33,0,ROW(D66)-ROW($D$39))</f>
        <v>0</v>
      </c>
      <c r="F116" s="90"/>
      <c r="G116" s="90"/>
      <c r="H116" s="90"/>
      <c r="I116" s="90"/>
      <c r="J116" s="90"/>
      <c r="K116" s="90"/>
      <c r="L116" s="90"/>
      <c r="M116" s="268"/>
      <c r="N116" s="268"/>
      <c r="O116" s="268">
        <v>0.0</v>
      </c>
      <c r="P116" s="268">
        <v>0.0</v>
      </c>
      <c r="Q116" s="268">
        <v>0.0</v>
      </c>
      <c r="R116" s="268">
        <v>0.0</v>
      </c>
      <c r="S116" s="268">
        <v>0.0</v>
      </c>
      <c r="T116" s="268">
        <v>0.0</v>
      </c>
      <c r="U116" s="268">
        <v>0.0</v>
      </c>
      <c r="V116" s="268">
        <v>0.0</v>
      </c>
      <c r="W116" s="268">
        <v>0.0</v>
      </c>
      <c r="X116" s="268">
        <v>0.0</v>
      </c>
      <c r="Y116" s="268">
        <v>0.0</v>
      </c>
      <c r="Z116" s="268">
        <v>0.0</v>
      </c>
      <c r="AA116" s="268">
        <v>0.0</v>
      </c>
      <c r="AB116" s="268">
        <v>0.0</v>
      </c>
      <c r="AC116" s="268">
        <v>0.0</v>
      </c>
      <c r="AD116" s="268">
        <v>0.0</v>
      </c>
      <c r="AE116" s="268">
        <v>0.0</v>
      </c>
      <c r="AF116" s="268">
        <v>0.0</v>
      </c>
      <c r="AG116" s="268">
        <v>0.0</v>
      </c>
      <c r="AH116" s="268">
        <f t="shared" ref="AH116:AX116" si="94">AG115</f>
        <v>0</v>
      </c>
      <c r="AI116" s="268">
        <f t="shared" si="94"/>
        <v>0</v>
      </c>
      <c r="AJ116" s="268">
        <f t="shared" si="94"/>
        <v>0</v>
      </c>
      <c r="AK116" s="268">
        <f t="shared" si="94"/>
        <v>0</v>
      </c>
      <c r="AL116" s="268">
        <f t="shared" si="94"/>
        <v>0</v>
      </c>
      <c r="AM116" s="268">
        <f t="shared" si="94"/>
        <v>0</v>
      </c>
      <c r="AN116" s="268">
        <f t="shared" si="94"/>
        <v>0</v>
      </c>
      <c r="AO116" s="268">
        <f t="shared" si="94"/>
        <v>0</v>
      </c>
      <c r="AP116" s="268">
        <f t="shared" si="94"/>
        <v>0</v>
      </c>
      <c r="AQ116" s="268">
        <f t="shared" si="94"/>
        <v>0</v>
      </c>
      <c r="AR116" s="268">
        <f t="shared" si="94"/>
        <v>0</v>
      </c>
      <c r="AS116" s="268">
        <f t="shared" si="94"/>
        <v>0</v>
      </c>
      <c r="AT116" s="268">
        <f t="shared" si="94"/>
        <v>0</v>
      </c>
      <c r="AU116" s="268">
        <f t="shared" si="94"/>
        <v>0</v>
      </c>
      <c r="AV116" s="268">
        <f t="shared" si="94"/>
        <v>0</v>
      </c>
      <c r="AW116" s="268">
        <f t="shared" si="94"/>
        <v>0</v>
      </c>
      <c r="AX116" s="268">
        <f t="shared" si="94"/>
        <v>0</v>
      </c>
      <c r="AY116" s="268"/>
      <c r="AZ116" s="268"/>
      <c r="BA116" s="268"/>
      <c r="BB116" s="268"/>
    </row>
    <row r="117" ht="12.75" hidden="1" customHeight="1" outlineLevel="1">
      <c r="A117" s="90"/>
      <c r="B117" s="90"/>
      <c r="C117" s="90" t="s">
        <v>515</v>
      </c>
      <c r="D117" s="90">
        <f t="shared" si="68"/>
        <v>27</v>
      </c>
      <c r="E117" s="113">
        <f>OFFSET('Region office'!$D$33,0,ROW(D67)-ROW($D$39))</f>
        <v>0</v>
      </c>
      <c r="F117" s="90"/>
      <c r="G117" s="90"/>
      <c r="H117" s="90"/>
      <c r="I117" s="90"/>
      <c r="J117" s="90"/>
      <c r="K117" s="90"/>
      <c r="L117" s="90"/>
      <c r="M117" s="268"/>
      <c r="N117" s="268"/>
      <c r="O117" s="268">
        <v>0.0</v>
      </c>
      <c r="P117" s="268">
        <v>0.0</v>
      </c>
      <c r="Q117" s="268">
        <v>0.0</v>
      </c>
      <c r="R117" s="268">
        <v>0.0</v>
      </c>
      <c r="S117" s="268">
        <v>0.0</v>
      </c>
      <c r="T117" s="268">
        <v>0.0</v>
      </c>
      <c r="U117" s="268">
        <v>0.0</v>
      </c>
      <c r="V117" s="268">
        <v>0.0</v>
      </c>
      <c r="W117" s="268">
        <v>0.0</v>
      </c>
      <c r="X117" s="268">
        <v>0.0</v>
      </c>
      <c r="Y117" s="268">
        <v>0.0</v>
      </c>
      <c r="Z117" s="268">
        <v>0.0</v>
      </c>
      <c r="AA117" s="268">
        <v>0.0</v>
      </c>
      <c r="AB117" s="268">
        <v>0.0</v>
      </c>
      <c r="AC117" s="268">
        <v>0.0</v>
      </c>
      <c r="AD117" s="268">
        <v>0.0</v>
      </c>
      <c r="AE117" s="268">
        <v>0.0</v>
      </c>
      <c r="AF117" s="268">
        <v>0.0</v>
      </c>
      <c r="AG117" s="268">
        <v>0.0</v>
      </c>
      <c r="AH117" s="268">
        <f t="shared" ref="AH117:AX117" si="95">AG116</f>
        <v>0</v>
      </c>
      <c r="AI117" s="268">
        <f t="shared" si="95"/>
        <v>0</v>
      </c>
      <c r="AJ117" s="268">
        <f t="shared" si="95"/>
        <v>0</v>
      </c>
      <c r="AK117" s="268">
        <f t="shared" si="95"/>
        <v>0</v>
      </c>
      <c r="AL117" s="268">
        <f t="shared" si="95"/>
        <v>0</v>
      </c>
      <c r="AM117" s="268">
        <f t="shared" si="95"/>
        <v>0</v>
      </c>
      <c r="AN117" s="268">
        <f t="shared" si="95"/>
        <v>0</v>
      </c>
      <c r="AO117" s="268">
        <f t="shared" si="95"/>
        <v>0</v>
      </c>
      <c r="AP117" s="268">
        <f t="shared" si="95"/>
        <v>0</v>
      </c>
      <c r="AQ117" s="268">
        <f t="shared" si="95"/>
        <v>0</v>
      </c>
      <c r="AR117" s="268">
        <f t="shared" si="95"/>
        <v>0</v>
      </c>
      <c r="AS117" s="268">
        <f t="shared" si="95"/>
        <v>0</v>
      </c>
      <c r="AT117" s="268">
        <f t="shared" si="95"/>
        <v>0</v>
      </c>
      <c r="AU117" s="268">
        <f t="shared" si="95"/>
        <v>0</v>
      </c>
      <c r="AV117" s="268">
        <f t="shared" si="95"/>
        <v>0</v>
      </c>
      <c r="AW117" s="268">
        <f t="shared" si="95"/>
        <v>0</v>
      </c>
      <c r="AX117" s="268">
        <f t="shared" si="95"/>
        <v>0</v>
      </c>
      <c r="AY117" s="268"/>
      <c r="AZ117" s="268"/>
      <c r="BA117" s="268"/>
      <c r="BB117" s="268"/>
    </row>
    <row r="118" ht="12.75" hidden="1" customHeight="1" outlineLevel="1">
      <c r="A118" s="90"/>
      <c r="B118" s="90"/>
      <c r="C118" s="90" t="s">
        <v>515</v>
      </c>
      <c r="D118" s="90">
        <f t="shared" si="68"/>
        <v>28</v>
      </c>
      <c r="E118" s="113">
        <f>OFFSET('Region office'!$D$33,0,ROW(D68)-ROW($D$39))</f>
        <v>0</v>
      </c>
      <c r="F118" s="90"/>
      <c r="G118" s="90"/>
      <c r="H118" s="90"/>
      <c r="I118" s="90"/>
      <c r="J118" s="90"/>
      <c r="K118" s="90"/>
      <c r="L118" s="90"/>
      <c r="M118" s="268"/>
      <c r="N118" s="268"/>
      <c r="O118" s="268">
        <v>0.0</v>
      </c>
      <c r="P118" s="268">
        <v>0.0</v>
      </c>
      <c r="Q118" s="268">
        <v>0.0</v>
      </c>
      <c r="R118" s="268">
        <v>0.0</v>
      </c>
      <c r="S118" s="268">
        <v>0.0</v>
      </c>
      <c r="T118" s="268">
        <v>0.0</v>
      </c>
      <c r="U118" s="268">
        <v>0.0</v>
      </c>
      <c r="V118" s="268">
        <v>0.0</v>
      </c>
      <c r="W118" s="268">
        <v>0.0</v>
      </c>
      <c r="X118" s="268">
        <v>0.0</v>
      </c>
      <c r="Y118" s="268">
        <v>0.0</v>
      </c>
      <c r="Z118" s="268">
        <v>0.0</v>
      </c>
      <c r="AA118" s="268">
        <v>0.0</v>
      </c>
      <c r="AB118" s="268">
        <v>0.0</v>
      </c>
      <c r="AC118" s="268">
        <v>0.0</v>
      </c>
      <c r="AD118" s="268">
        <v>0.0</v>
      </c>
      <c r="AE118" s="268">
        <v>0.0</v>
      </c>
      <c r="AF118" s="268">
        <v>0.0</v>
      </c>
      <c r="AG118" s="268">
        <v>0.0</v>
      </c>
      <c r="AH118" s="268">
        <f t="shared" ref="AH118:AX118" si="96">AG117</f>
        <v>0</v>
      </c>
      <c r="AI118" s="268">
        <f t="shared" si="96"/>
        <v>0</v>
      </c>
      <c r="AJ118" s="268">
        <f t="shared" si="96"/>
        <v>0</v>
      </c>
      <c r="AK118" s="268">
        <f t="shared" si="96"/>
        <v>0</v>
      </c>
      <c r="AL118" s="268">
        <f t="shared" si="96"/>
        <v>0</v>
      </c>
      <c r="AM118" s="268">
        <f t="shared" si="96"/>
        <v>0</v>
      </c>
      <c r="AN118" s="268">
        <f t="shared" si="96"/>
        <v>0</v>
      </c>
      <c r="AO118" s="268">
        <f t="shared" si="96"/>
        <v>0</v>
      </c>
      <c r="AP118" s="268">
        <f t="shared" si="96"/>
        <v>0</v>
      </c>
      <c r="AQ118" s="268">
        <f t="shared" si="96"/>
        <v>0</v>
      </c>
      <c r="AR118" s="268">
        <f t="shared" si="96"/>
        <v>0</v>
      </c>
      <c r="AS118" s="268">
        <f t="shared" si="96"/>
        <v>0</v>
      </c>
      <c r="AT118" s="268">
        <f t="shared" si="96"/>
        <v>0</v>
      </c>
      <c r="AU118" s="268">
        <f t="shared" si="96"/>
        <v>0</v>
      </c>
      <c r="AV118" s="268">
        <f t="shared" si="96"/>
        <v>0</v>
      </c>
      <c r="AW118" s="268">
        <f t="shared" si="96"/>
        <v>0</v>
      </c>
      <c r="AX118" s="268">
        <f t="shared" si="96"/>
        <v>0</v>
      </c>
      <c r="AY118" s="268"/>
      <c r="AZ118" s="268"/>
      <c r="BA118" s="268"/>
      <c r="BB118" s="268"/>
    </row>
    <row r="119" ht="12.75" hidden="1" customHeight="1" outlineLevel="1">
      <c r="A119" s="90"/>
      <c r="B119" s="90"/>
      <c r="C119" s="90" t="s">
        <v>515</v>
      </c>
      <c r="D119" s="90">
        <f t="shared" si="68"/>
        <v>29</v>
      </c>
      <c r="E119" s="113">
        <f>OFFSET('Region office'!$D$33,0,ROW(D69)-ROW($D$39))</f>
        <v>0</v>
      </c>
      <c r="F119" s="90"/>
      <c r="G119" s="90"/>
      <c r="H119" s="90"/>
      <c r="I119" s="90"/>
      <c r="J119" s="90"/>
      <c r="K119" s="90"/>
      <c r="L119" s="90"/>
      <c r="M119" s="268"/>
      <c r="N119" s="268"/>
      <c r="O119" s="268">
        <v>0.0</v>
      </c>
      <c r="P119" s="268">
        <v>0.0</v>
      </c>
      <c r="Q119" s="268">
        <v>0.0</v>
      </c>
      <c r="R119" s="268">
        <v>0.0</v>
      </c>
      <c r="S119" s="268">
        <v>0.0</v>
      </c>
      <c r="T119" s="268">
        <v>0.0</v>
      </c>
      <c r="U119" s="268">
        <v>0.0</v>
      </c>
      <c r="V119" s="268">
        <v>0.0</v>
      </c>
      <c r="W119" s="268">
        <v>0.0</v>
      </c>
      <c r="X119" s="268">
        <v>0.0</v>
      </c>
      <c r="Y119" s="268">
        <v>0.0</v>
      </c>
      <c r="Z119" s="268">
        <v>0.0</v>
      </c>
      <c r="AA119" s="268">
        <v>0.0</v>
      </c>
      <c r="AB119" s="268">
        <v>0.0</v>
      </c>
      <c r="AC119" s="268">
        <v>0.0</v>
      </c>
      <c r="AD119" s="268">
        <v>0.0</v>
      </c>
      <c r="AE119" s="268">
        <v>0.0</v>
      </c>
      <c r="AF119" s="268">
        <v>0.0</v>
      </c>
      <c r="AG119" s="268">
        <v>0.0</v>
      </c>
      <c r="AH119" s="268">
        <f t="shared" ref="AH119:AX119" si="97">AG118</f>
        <v>0</v>
      </c>
      <c r="AI119" s="268">
        <f t="shared" si="97"/>
        <v>0</v>
      </c>
      <c r="AJ119" s="268">
        <f t="shared" si="97"/>
        <v>0</v>
      </c>
      <c r="AK119" s="268">
        <f t="shared" si="97"/>
        <v>0</v>
      </c>
      <c r="AL119" s="268">
        <f t="shared" si="97"/>
        <v>0</v>
      </c>
      <c r="AM119" s="268">
        <f t="shared" si="97"/>
        <v>0</v>
      </c>
      <c r="AN119" s="268">
        <f t="shared" si="97"/>
        <v>0</v>
      </c>
      <c r="AO119" s="268">
        <f t="shared" si="97"/>
        <v>0</v>
      </c>
      <c r="AP119" s="268">
        <f t="shared" si="97"/>
        <v>0</v>
      </c>
      <c r="AQ119" s="268">
        <f t="shared" si="97"/>
        <v>0</v>
      </c>
      <c r="AR119" s="268">
        <f t="shared" si="97"/>
        <v>0</v>
      </c>
      <c r="AS119" s="268">
        <f t="shared" si="97"/>
        <v>0</v>
      </c>
      <c r="AT119" s="268">
        <f t="shared" si="97"/>
        <v>0</v>
      </c>
      <c r="AU119" s="268">
        <f t="shared" si="97"/>
        <v>0</v>
      </c>
      <c r="AV119" s="268">
        <f t="shared" si="97"/>
        <v>0</v>
      </c>
      <c r="AW119" s="268">
        <f t="shared" si="97"/>
        <v>0</v>
      </c>
      <c r="AX119" s="268">
        <f t="shared" si="97"/>
        <v>0</v>
      </c>
      <c r="AY119" s="268"/>
      <c r="AZ119" s="268"/>
      <c r="BA119" s="268"/>
      <c r="BB119" s="268"/>
    </row>
    <row r="120" ht="12.75" hidden="1" customHeight="1" outlineLevel="1">
      <c r="A120" s="90"/>
      <c r="B120" s="90"/>
      <c r="C120" s="90" t="s">
        <v>515</v>
      </c>
      <c r="D120" s="90">
        <f t="shared" si="68"/>
        <v>30</v>
      </c>
      <c r="E120" s="113">
        <f>OFFSET('Region office'!$D$33,0,ROW(D70)-ROW($D$39))</f>
        <v>0</v>
      </c>
      <c r="F120" s="90"/>
      <c r="G120" s="90"/>
      <c r="H120" s="90"/>
      <c r="I120" s="90"/>
      <c r="J120" s="90"/>
      <c r="K120" s="90"/>
      <c r="L120" s="90"/>
      <c r="M120" s="268"/>
      <c r="N120" s="268"/>
      <c r="O120" s="268">
        <v>0.0</v>
      </c>
      <c r="P120" s="268">
        <v>0.0</v>
      </c>
      <c r="Q120" s="268">
        <v>0.0</v>
      </c>
      <c r="R120" s="268">
        <v>0.0</v>
      </c>
      <c r="S120" s="268">
        <v>0.0</v>
      </c>
      <c r="T120" s="268">
        <v>0.0</v>
      </c>
      <c r="U120" s="268">
        <v>0.0</v>
      </c>
      <c r="V120" s="268">
        <v>0.0</v>
      </c>
      <c r="W120" s="268">
        <v>0.0</v>
      </c>
      <c r="X120" s="268">
        <v>0.0</v>
      </c>
      <c r="Y120" s="268">
        <v>0.0</v>
      </c>
      <c r="Z120" s="268">
        <v>0.0</v>
      </c>
      <c r="AA120" s="268">
        <v>0.0</v>
      </c>
      <c r="AB120" s="268">
        <v>0.0</v>
      </c>
      <c r="AC120" s="268">
        <v>0.0</v>
      </c>
      <c r="AD120" s="268">
        <v>0.0</v>
      </c>
      <c r="AE120" s="268">
        <v>0.0</v>
      </c>
      <c r="AF120" s="268">
        <v>0.0</v>
      </c>
      <c r="AG120" s="268">
        <v>0.0</v>
      </c>
      <c r="AH120" s="268">
        <f t="shared" ref="AH120:AX120" si="98">AG119</f>
        <v>0</v>
      </c>
      <c r="AI120" s="268">
        <f t="shared" si="98"/>
        <v>0</v>
      </c>
      <c r="AJ120" s="268">
        <f t="shared" si="98"/>
        <v>0</v>
      </c>
      <c r="AK120" s="268">
        <f t="shared" si="98"/>
        <v>0</v>
      </c>
      <c r="AL120" s="268">
        <f t="shared" si="98"/>
        <v>0</v>
      </c>
      <c r="AM120" s="268">
        <f t="shared" si="98"/>
        <v>0</v>
      </c>
      <c r="AN120" s="268">
        <f t="shared" si="98"/>
        <v>0</v>
      </c>
      <c r="AO120" s="268">
        <f t="shared" si="98"/>
        <v>0</v>
      </c>
      <c r="AP120" s="268">
        <f t="shared" si="98"/>
        <v>0</v>
      </c>
      <c r="AQ120" s="268">
        <f t="shared" si="98"/>
        <v>0</v>
      </c>
      <c r="AR120" s="268">
        <f t="shared" si="98"/>
        <v>0</v>
      </c>
      <c r="AS120" s="268">
        <f t="shared" si="98"/>
        <v>0</v>
      </c>
      <c r="AT120" s="268">
        <f t="shared" si="98"/>
        <v>0</v>
      </c>
      <c r="AU120" s="268">
        <f t="shared" si="98"/>
        <v>0</v>
      </c>
      <c r="AV120" s="268">
        <f t="shared" si="98"/>
        <v>0</v>
      </c>
      <c r="AW120" s="268">
        <f t="shared" si="98"/>
        <v>0</v>
      </c>
      <c r="AX120" s="268">
        <f t="shared" si="98"/>
        <v>0</v>
      </c>
      <c r="AY120" s="268"/>
      <c r="AZ120" s="268"/>
      <c r="BA120" s="268"/>
      <c r="BB120" s="268"/>
    </row>
    <row r="121" ht="12.75" hidden="1" customHeight="1" outlineLevel="1">
      <c r="A121" s="90"/>
      <c r="B121" s="90"/>
      <c r="C121" s="90" t="s">
        <v>515</v>
      </c>
      <c r="D121" s="90">
        <f t="shared" si="68"/>
        <v>31</v>
      </c>
      <c r="E121" s="113">
        <f>OFFSET('Region office'!$D$33,0,ROW(D71)-ROW($D$39))</f>
        <v>0</v>
      </c>
      <c r="F121" s="90"/>
      <c r="G121" s="90"/>
      <c r="H121" s="90"/>
      <c r="I121" s="90"/>
      <c r="J121" s="90"/>
      <c r="K121" s="90"/>
      <c r="L121" s="90"/>
      <c r="M121" s="268"/>
      <c r="N121" s="268"/>
      <c r="O121" s="268">
        <v>0.0</v>
      </c>
      <c r="P121" s="268">
        <v>0.0</v>
      </c>
      <c r="Q121" s="268">
        <v>0.0</v>
      </c>
      <c r="R121" s="268">
        <v>0.0</v>
      </c>
      <c r="S121" s="268">
        <v>0.0</v>
      </c>
      <c r="T121" s="268">
        <v>0.0</v>
      </c>
      <c r="U121" s="268">
        <v>0.0</v>
      </c>
      <c r="V121" s="268">
        <v>0.0</v>
      </c>
      <c r="W121" s="268">
        <v>0.0</v>
      </c>
      <c r="X121" s="268">
        <v>0.0</v>
      </c>
      <c r="Y121" s="268">
        <v>0.0</v>
      </c>
      <c r="Z121" s="268">
        <v>0.0</v>
      </c>
      <c r="AA121" s="268">
        <v>0.0</v>
      </c>
      <c r="AB121" s="268">
        <v>0.0</v>
      </c>
      <c r="AC121" s="268">
        <v>0.0</v>
      </c>
      <c r="AD121" s="268">
        <v>0.0</v>
      </c>
      <c r="AE121" s="268">
        <v>0.0</v>
      </c>
      <c r="AF121" s="268">
        <v>0.0</v>
      </c>
      <c r="AG121" s="268">
        <v>0.0</v>
      </c>
      <c r="AH121" s="268">
        <f t="shared" ref="AH121:AX121" si="99">AG120</f>
        <v>0</v>
      </c>
      <c r="AI121" s="268">
        <f t="shared" si="99"/>
        <v>0</v>
      </c>
      <c r="AJ121" s="268">
        <f t="shared" si="99"/>
        <v>0</v>
      </c>
      <c r="AK121" s="268">
        <f t="shared" si="99"/>
        <v>0</v>
      </c>
      <c r="AL121" s="268">
        <f t="shared" si="99"/>
        <v>0</v>
      </c>
      <c r="AM121" s="268">
        <f t="shared" si="99"/>
        <v>0</v>
      </c>
      <c r="AN121" s="268">
        <f t="shared" si="99"/>
        <v>0</v>
      </c>
      <c r="AO121" s="268">
        <f t="shared" si="99"/>
        <v>0</v>
      </c>
      <c r="AP121" s="268">
        <f t="shared" si="99"/>
        <v>0</v>
      </c>
      <c r="AQ121" s="268">
        <f t="shared" si="99"/>
        <v>0</v>
      </c>
      <c r="AR121" s="268">
        <f t="shared" si="99"/>
        <v>0</v>
      </c>
      <c r="AS121" s="268">
        <f t="shared" si="99"/>
        <v>0</v>
      </c>
      <c r="AT121" s="268">
        <f t="shared" si="99"/>
        <v>0</v>
      </c>
      <c r="AU121" s="268">
        <f t="shared" si="99"/>
        <v>0</v>
      </c>
      <c r="AV121" s="268">
        <f t="shared" si="99"/>
        <v>0</v>
      </c>
      <c r="AW121" s="268">
        <f t="shared" si="99"/>
        <v>0</v>
      </c>
      <c r="AX121" s="268">
        <f t="shared" si="99"/>
        <v>0</v>
      </c>
      <c r="AY121" s="268"/>
      <c r="AZ121" s="268"/>
      <c r="BA121" s="268"/>
      <c r="BB121" s="268"/>
    </row>
    <row r="122" ht="12.75" hidden="1" customHeight="1" outlineLevel="1">
      <c r="A122" s="90"/>
      <c r="C122" s="90"/>
      <c r="D122" s="90"/>
      <c r="E122" s="67" t="s">
        <v>203</v>
      </c>
      <c r="F122" s="90"/>
      <c r="G122" s="90"/>
      <c r="H122" s="90"/>
      <c r="I122" s="90"/>
      <c r="J122" s="90"/>
      <c r="K122" s="90"/>
      <c r="L122" s="90"/>
      <c r="M122" s="76">
        <f t="shared" ref="M122:O122" si="100">SUMPRODUCT(M$39:M$71,$E89:$E121)*M$10</f>
        <v>0</v>
      </c>
      <c r="N122" s="76">
        <f t="shared" si="100"/>
        <v>0</v>
      </c>
      <c r="O122" s="76">
        <f t="shared" si="100"/>
        <v>0</v>
      </c>
      <c r="P122" s="76">
        <f t="shared" ref="P122:AX122" si="101">SUMPRODUCT(P$39:P$71,$E89:$E121)</f>
        <v>0</v>
      </c>
      <c r="Q122" s="76">
        <f t="shared" si="101"/>
        <v>0</v>
      </c>
      <c r="R122" s="76">
        <f t="shared" si="101"/>
        <v>0</v>
      </c>
      <c r="S122" s="76">
        <f t="shared" si="101"/>
        <v>0</v>
      </c>
      <c r="T122" s="76">
        <f t="shared" si="101"/>
        <v>0</v>
      </c>
      <c r="U122" s="76">
        <f t="shared" si="101"/>
        <v>0</v>
      </c>
      <c r="V122" s="76">
        <f t="shared" si="101"/>
        <v>0</v>
      </c>
      <c r="W122" s="76">
        <f t="shared" si="101"/>
        <v>0</v>
      </c>
      <c r="X122" s="76">
        <f t="shared" si="101"/>
        <v>0</v>
      </c>
      <c r="Y122" s="76">
        <f t="shared" si="101"/>
        <v>0</v>
      </c>
      <c r="Z122" s="76">
        <f t="shared" si="101"/>
        <v>0</v>
      </c>
      <c r="AA122" s="76">
        <f t="shared" si="101"/>
        <v>0</v>
      </c>
      <c r="AB122" s="76">
        <f t="shared" si="101"/>
        <v>0</v>
      </c>
      <c r="AC122" s="76">
        <f t="shared" si="101"/>
        <v>0</v>
      </c>
      <c r="AD122" s="76">
        <f t="shared" si="101"/>
        <v>0</v>
      </c>
      <c r="AE122" s="76">
        <f t="shared" si="101"/>
        <v>0</v>
      </c>
      <c r="AF122" s="76">
        <f t="shared" si="101"/>
        <v>0</v>
      </c>
      <c r="AG122" s="76">
        <f t="shared" si="101"/>
        <v>0</v>
      </c>
      <c r="AH122" s="76">
        <f t="shared" si="101"/>
        <v>0</v>
      </c>
      <c r="AI122" s="76">
        <f t="shared" si="101"/>
        <v>0</v>
      </c>
      <c r="AJ122" s="76">
        <f t="shared" si="101"/>
        <v>0</v>
      </c>
      <c r="AK122" s="76">
        <f t="shared" si="101"/>
        <v>0</v>
      </c>
      <c r="AL122" s="76">
        <f t="shared" si="101"/>
        <v>0</v>
      </c>
      <c r="AM122" s="76">
        <f t="shared" si="101"/>
        <v>0</v>
      </c>
      <c r="AN122" s="76">
        <f t="shared" si="101"/>
        <v>0</v>
      </c>
      <c r="AO122" s="76">
        <f t="shared" si="101"/>
        <v>0</v>
      </c>
      <c r="AP122" s="76">
        <f t="shared" si="101"/>
        <v>0</v>
      </c>
      <c r="AQ122" s="76">
        <f t="shared" si="101"/>
        <v>0</v>
      </c>
      <c r="AR122" s="76">
        <f t="shared" si="101"/>
        <v>0</v>
      </c>
      <c r="AS122" s="76">
        <f t="shared" si="101"/>
        <v>0</v>
      </c>
      <c r="AT122" s="76">
        <f t="shared" si="101"/>
        <v>0</v>
      </c>
      <c r="AU122" s="76">
        <f t="shared" si="101"/>
        <v>0</v>
      </c>
      <c r="AV122" s="76">
        <f t="shared" si="101"/>
        <v>0</v>
      </c>
      <c r="AW122" s="76">
        <f t="shared" si="101"/>
        <v>0</v>
      </c>
      <c r="AX122" s="76">
        <f t="shared" si="101"/>
        <v>0</v>
      </c>
    </row>
    <row r="123" ht="12.75" hidden="1" customHeight="1" outlineLevel="1">
      <c r="A123" s="90"/>
      <c r="C123" s="90"/>
      <c r="D123" s="90"/>
      <c r="E123" s="90"/>
      <c r="F123" s="90"/>
      <c r="G123" s="90"/>
      <c r="H123" s="90"/>
      <c r="I123" s="90"/>
      <c r="J123" s="90"/>
      <c r="K123" s="90"/>
      <c r="L123" s="90"/>
      <c r="M123" s="90"/>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row>
    <row r="124" ht="12.75" hidden="1" customHeight="1" outlineLevel="1">
      <c r="A124" s="90"/>
      <c r="B124" s="67" t="s">
        <v>278</v>
      </c>
      <c r="C124" s="90"/>
      <c r="D124" s="90"/>
      <c r="E124" s="90"/>
      <c r="F124" s="90"/>
      <c r="G124" s="90"/>
      <c r="H124" s="90"/>
      <c r="I124" s="90"/>
      <c r="J124" s="90"/>
      <c r="K124" s="90"/>
      <c r="L124" s="90"/>
      <c r="M124" s="90"/>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c r="AW124" s="65"/>
      <c r="AX124" s="65"/>
    </row>
    <row r="125" ht="12.75" hidden="1" customHeight="1" outlineLevel="1">
      <c r="A125" s="90"/>
      <c r="C125" s="90"/>
      <c r="D125" s="90"/>
      <c r="E125" s="67" t="s">
        <v>519</v>
      </c>
      <c r="F125" s="90"/>
      <c r="G125" s="90"/>
      <c r="H125" s="90"/>
      <c r="I125" s="90"/>
      <c r="J125" s="90"/>
      <c r="K125" s="90"/>
      <c r="L125" s="90"/>
      <c r="M125" s="90"/>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row>
    <row r="126" ht="12.75" hidden="1" customHeight="1" outlineLevel="1">
      <c r="A126" s="90"/>
      <c r="C126" s="90" t="s">
        <v>515</v>
      </c>
      <c r="D126" s="90">
        <v>-1.0</v>
      </c>
      <c r="E126" s="113">
        <f>OFFSET('Region office'!$D$39,0,ROW(D126)-ROW($D$126))</f>
        <v>0</v>
      </c>
      <c r="F126" s="90"/>
      <c r="G126" s="90"/>
      <c r="H126" s="90"/>
      <c r="I126" s="90"/>
      <c r="J126" s="90"/>
      <c r="K126" s="90"/>
      <c r="L126" s="90"/>
      <c r="M126" s="90"/>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c r="AW126" s="65"/>
      <c r="AX126" s="65"/>
    </row>
    <row r="127" ht="12.75" hidden="1" customHeight="1" outlineLevel="1">
      <c r="A127" s="90"/>
      <c r="C127" s="90" t="s">
        <v>515</v>
      </c>
      <c r="D127" s="90">
        <f t="shared" ref="D127:D158" si="102">D126+1</f>
        <v>0</v>
      </c>
      <c r="E127" s="113">
        <f>OFFSET('Region office'!$D$39,0,ROW(D127)-ROW($D$126))</f>
        <v>300000</v>
      </c>
      <c r="F127" s="90"/>
      <c r="G127" s="90"/>
      <c r="H127" s="90"/>
      <c r="I127" s="90"/>
      <c r="J127" s="90"/>
      <c r="K127" s="90"/>
      <c r="L127" s="90"/>
      <c r="M127" s="90"/>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row>
    <row r="128" ht="12.75" hidden="1" customHeight="1" outlineLevel="1">
      <c r="A128" s="90"/>
      <c r="C128" s="90" t="s">
        <v>515</v>
      </c>
      <c r="D128" s="90">
        <f t="shared" si="102"/>
        <v>1</v>
      </c>
      <c r="E128" s="113">
        <f>OFFSET('Region office'!$D$39,0,ROW(D128)-ROW($D$126))</f>
        <v>440000</v>
      </c>
      <c r="F128" s="90"/>
      <c r="G128" s="90"/>
      <c r="H128" s="90"/>
      <c r="I128" s="90"/>
      <c r="J128" s="90"/>
      <c r="K128" s="90"/>
      <c r="L128" s="90"/>
      <c r="M128" s="90"/>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c r="AW128" s="65"/>
      <c r="AX128" s="65"/>
    </row>
    <row r="129" ht="12.75" hidden="1" customHeight="1" outlineLevel="1">
      <c r="A129" s="90"/>
      <c r="C129" s="90" t="s">
        <v>515</v>
      </c>
      <c r="D129" s="90">
        <f t="shared" si="102"/>
        <v>2</v>
      </c>
      <c r="E129" s="113">
        <f>OFFSET('Region office'!$D$39,0,ROW(D129)-ROW($D$126))</f>
        <v>440000</v>
      </c>
      <c r="F129" s="90"/>
      <c r="G129" s="90"/>
      <c r="H129" s="90"/>
      <c r="I129" s="90"/>
      <c r="J129" s="90"/>
      <c r="K129" s="90"/>
      <c r="L129" s="90"/>
      <c r="M129" s="90"/>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row>
    <row r="130" ht="12.75" hidden="1" customHeight="1" outlineLevel="1">
      <c r="A130" s="90"/>
      <c r="C130" s="90" t="s">
        <v>515</v>
      </c>
      <c r="D130" s="90">
        <f t="shared" si="102"/>
        <v>3</v>
      </c>
      <c r="E130" s="113">
        <f>OFFSET('Region office'!$D$39,0,ROW(D130)-ROW($D$126))</f>
        <v>440000</v>
      </c>
      <c r="F130" s="90"/>
      <c r="G130" s="90"/>
      <c r="H130" s="90"/>
      <c r="I130" s="90"/>
      <c r="J130" s="90"/>
      <c r="K130" s="90"/>
      <c r="L130" s="90"/>
      <c r="M130" s="90"/>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c r="AW130" s="65"/>
      <c r="AX130" s="65"/>
    </row>
    <row r="131" ht="12.75" hidden="1" customHeight="1" outlineLevel="1">
      <c r="A131" s="90"/>
      <c r="C131" s="90" t="s">
        <v>515</v>
      </c>
      <c r="D131" s="90">
        <f t="shared" si="102"/>
        <v>4</v>
      </c>
      <c r="E131" s="113">
        <f>OFFSET('Region office'!$D$39,0,ROW(D131)-ROW($D$126))</f>
        <v>620000</v>
      </c>
      <c r="F131" s="90"/>
      <c r="G131" s="90"/>
      <c r="H131" s="90"/>
      <c r="I131" s="90"/>
      <c r="J131" s="90"/>
      <c r="K131" s="90"/>
      <c r="L131" s="90"/>
      <c r="M131" s="90"/>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c r="AW131" s="65"/>
      <c r="AX131" s="65"/>
    </row>
    <row r="132" ht="12.75" hidden="1" customHeight="1" outlineLevel="1">
      <c r="A132" s="90"/>
      <c r="C132" s="90" t="s">
        <v>515</v>
      </c>
      <c r="D132" s="90">
        <f t="shared" si="102"/>
        <v>5</v>
      </c>
      <c r="E132" s="113">
        <f>OFFSET('Region office'!$D$39,0,ROW(D132)-ROW($D$126))</f>
        <v>620000</v>
      </c>
      <c r="F132" s="90"/>
      <c r="G132" s="90"/>
      <c r="H132" s="90"/>
      <c r="I132" s="90"/>
      <c r="J132" s="90"/>
      <c r="K132" s="90"/>
      <c r="L132" s="90"/>
      <c r="M132" s="90"/>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row>
    <row r="133" ht="12.75" hidden="1" customHeight="1" outlineLevel="1">
      <c r="A133" s="90"/>
      <c r="C133" s="90" t="s">
        <v>515</v>
      </c>
      <c r="D133" s="90">
        <f t="shared" si="102"/>
        <v>6</v>
      </c>
      <c r="E133" s="113">
        <f>OFFSET('Region office'!$D$39,0,ROW(D133)-ROW($D$126))</f>
        <v>960000</v>
      </c>
      <c r="F133" s="90"/>
      <c r="G133" s="90"/>
      <c r="H133" s="90"/>
      <c r="I133" s="90"/>
      <c r="J133" s="90"/>
      <c r="K133" s="90"/>
      <c r="L133" s="90"/>
      <c r="M133" s="90"/>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c r="AW133" s="65"/>
      <c r="AX133" s="65"/>
    </row>
    <row r="134" ht="12.75" hidden="1" customHeight="1" outlineLevel="1">
      <c r="A134" s="90"/>
      <c r="C134" s="90" t="s">
        <v>515</v>
      </c>
      <c r="D134" s="90">
        <f t="shared" si="102"/>
        <v>7</v>
      </c>
      <c r="E134" s="113">
        <f>OFFSET('Region office'!$D$39,0,ROW(D134)-ROW($D$126))</f>
        <v>1540000</v>
      </c>
      <c r="F134" s="90"/>
      <c r="G134" s="90"/>
      <c r="H134" s="90"/>
      <c r="I134" s="90"/>
      <c r="J134" s="90"/>
      <c r="K134" s="90"/>
      <c r="L134" s="90"/>
      <c r="M134" s="90"/>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row>
    <row r="135" ht="12.75" hidden="1" customHeight="1" outlineLevel="1">
      <c r="A135" s="90"/>
      <c r="C135" s="90" t="s">
        <v>515</v>
      </c>
      <c r="D135" s="90">
        <f t="shared" si="102"/>
        <v>8</v>
      </c>
      <c r="E135" s="113">
        <f>OFFSET('Region office'!$D$39,0,ROW(D135)-ROW($D$126))</f>
        <v>2320000</v>
      </c>
      <c r="F135" s="90"/>
      <c r="G135" s="90"/>
      <c r="H135" s="90"/>
      <c r="I135" s="90"/>
      <c r="J135" s="90"/>
      <c r="K135" s="90"/>
      <c r="L135" s="90"/>
      <c r="M135" s="90"/>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c r="AW135" s="65"/>
      <c r="AX135" s="65"/>
    </row>
    <row r="136" ht="12.75" hidden="1" customHeight="1" outlineLevel="1">
      <c r="A136" s="90"/>
      <c r="C136" s="90" t="s">
        <v>515</v>
      </c>
      <c r="D136" s="90">
        <f t="shared" si="102"/>
        <v>9</v>
      </c>
      <c r="E136" s="113">
        <f>OFFSET('Region office'!$D$39,0,ROW(D136)-ROW($D$126))</f>
        <v>3380000</v>
      </c>
      <c r="F136" s="90"/>
      <c r="G136" s="90"/>
      <c r="H136" s="90"/>
      <c r="I136" s="90"/>
      <c r="J136" s="90"/>
      <c r="K136" s="90"/>
      <c r="L136" s="90"/>
      <c r="M136" s="90"/>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row>
    <row r="137" ht="12.75" hidden="1" customHeight="1" outlineLevel="1">
      <c r="A137" s="90"/>
      <c r="C137" s="90" t="s">
        <v>515</v>
      </c>
      <c r="D137" s="90">
        <f t="shared" si="102"/>
        <v>10</v>
      </c>
      <c r="E137" s="113">
        <f>OFFSET('Region office'!$D$39,0,ROW(D137)-ROW($D$126))</f>
        <v>5380000</v>
      </c>
      <c r="F137" s="90"/>
      <c r="G137" s="90"/>
      <c r="H137" s="90"/>
      <c r="I137" s="90"/>
      <c r="J137" s="90"/>
      <c r="K137" s="90"/>
      <c r="L137" s="90"/>
      <c r="M137" s="90"/>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c r="AW137" s="65"/>
      <c r="AX137" s="65"/>
    </row>
    <row r="138" ht="12.75" hidden="1" customHeight="1" outlineLevel="1">
      <c r="A138" s="90"/>
      <c r="C138" s="90" t="s">
        <v>515</v>
      </c>
      <c r="D138" s="90">
        <f t="shared" si="102"/>
        <v>11</v>
      </c>
      <c r="E138" s="113">
        <f>OFFSET('Region office'!$D$39,0,ROW(D138)-ROW($D$126))</f>
        <v>5720000</v>
      </c>
      <c r="F138" s="90"/>
      <c r="G138" s="90"/>
      <c r="H138" s="90"/>
      <c r="I138" s="90"/>
      <c r="J138" s="90"/>
      <c r="K138" s="90"/>
      <c r="L138" s="90"/>
      <c r="M138" s="90"/>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row>
    <row r="139" ht="12.75" hidden="1" customHeight="1" outlineLevel="1">
      <c r="A139" s="90"/>
      <c r="C139" s="90" t="s">
        <v>515</v>
      </c>
      <c r="D139" s="90">
        <f t="shared" si="102"/>
        <v>12</v>
      </c>
      <c r="E139" s="113">
        <f>OFFSET('Region office'!$D$39,0,ROW(D139)-ROW($D$126))</f>
        <v>5660000</v>
      </c>
      <c r="F139" s="90"/>
      <c r="G139" s="90"/>
      <c r="H139" s="90"/>
      <c r="I139" s="90"/>
      <c r="J139" s="90"/>
      <c r="K139" s="90"/>
      <c r="L139" s="90"/>
      <c r="M139" s="90"/>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c r="AW139" s="65"/>
      <c r="AX139" s="65"/>
    </row>
    <row r="140" ht="12.75" hidden="1" customHeight="1" outlineLevel="1">
      <c r="A140" s="90"/>
      <c r="C140" s="90" t="s">
        <v>515</v>
      </c>
      <c r="D140" s="90">
        <f t="shared" si="102"/>
        <v>13</v>
      </c>
      <c r="E140" s="113">
        <f>OFFSET('Region office'!$D$39,0,ROW(D140)-ROW($D$126))</f>
        <v>5660000</v>
      </c>
      <c r="F140" s="90"/>
      <c r="G140" s="90"/>
      <c r="H140" s="90"/>
      <c r="I140" s="90"/>
      <c r="J140" s="90"/>
      <c r="K140" s="90"/>
      <c r="L140" s="90"/>
      <c r="M140" s="90"/>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row>
    <row r="141" ht="12.75" hidden="1" customHeight="1" outlineLevel="1">
      <c r="A141" s="90"/>
      <c r="C141" s="90" t="s">
        <v>515</v>
      </c>
      <c r="D141" s="90">
        <f t="shared" si="102"/>
        <v>14</v>
      </c>
      <c r="E141" s="113">
        <f>OFFSET('Region office'!$D$39,0,ROW(D141)-ROW($D$126))</f>
        <v>5660000</v>
      </c>
      <c r="F141" s="90"/>
      <c r="G141" s="90"/>
      <c r="H141" s="90"/>
      <c r="I141" s="90"/>
      <c r="J141" s="90"/>
      <c r="K141" s="90"/>
      <c r="L141" s="90"/>
      <c r="M141" s="90"/>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c r="AW141" s="65"/>
      <c r="AX141" s="65"/>
    </row>
    <row r="142" ht="12.75" hidden="1" customHeight="1" outlineLevel="1">
      <c r="A142" s="90"/>
      <c r="B142" s="90"/>
      <c r="C142" s="90" t="s">
        <v>515</v>
      </c>
      <c r="D142" s="90">
        <f t="shared" si="102"/>
        <v>15</v>
      </c>
      <c r="E142" s="113">
        <f>OFFSET('Region office'!$D$39,0,ROW(D142)-ROW($D$126))</f>
        <v>5660000</v>
      </c>
      <c r="F142" s="90"/>
      <c r="G142" s="90"/>
      <c r="H142" s="90"/>
      <c r="I142" s="90"/>
      <c r="J142" s="90"/>
      <c r="K142" s="90"/>
      <c r="L142" s="90"/>
      <c r="M142" s="90"/>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c r="AY142" s="90"/>
      <c r="AZ142" s="90"/>
      <c r="BA142" s="90"/>
      <c r="BB142" s="90"/>
    </row>
    <row r="143" ht="12.75" hidden="1" customHeight="1" outlineLevel="1">
      <c r="A143" s="90"/>
      <c r="B143" s="90"/>
      <c r="C143" s="90" t="s">
        <v>515</v>
      </c>
      <c r="D143" s="90">
        <f t="shared" si="102"/>
        <v>16</v>
      </c>
      <c r="E143" s="113">
        <f>OFFSET('Region office'!$D$39,0,ROW(D143)-ROW($D$126))</f>
        <v>5660000</v>
      </c>
      <c r="F143" s="90"/>
      <c r="G143" s="90"/>
      <c r="H143" s="90"/>
      <c r="I143" s="90"/>
      <c r="J143" s="90"/>
      <c r="K143" s="90"/>
      <c r="L143" s="90"/>
      <c r="M143" s="90"/>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c r="AW143" s="65"/>
      <c r="AX143" s="65"/>
      <c r="AY143" s="90"/>
      <c r="AZ143" s="90"/>
      <c r="BA143" s="90"/>
      <c r="BB143" s="90"/>
    </row>
    <row r="144" ht="12.75" hidden="1" customHeight="1" outlineLevel="1">
      <c r="A144" s="90"/>
      <c r="B144" s="90"/>
      <c r="C144" s="90" t="s">
        <v>515</v>
      </c>
      <c r="D144" s="90">
        <f t="shared" si="102"/>
        <v>17</v>
      </c>
      <c r="E144" s="113">
        <f>OFFSET('Region office'!$D$39,0,ROW(D144)-ROW($D$126))</f>
        <v>5660000</v>
      </c>
      <c r="F144" s="90"/>
      <c r="G144" s="90"/>
      <c r="H144" s="90"/>
      <c r="I144" s="90"/>
      <c r="J144" s="90"/>
      <c r="K144" s="90"/>
      <c r="L144" s="90"/>
      <c r="M144" s="90"/>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c r="AW144" s="65"/>
      <c r="AX144" s="65"/>
      <c r="AY144" s="90"/>
      <c r="AZ144" s="90"/>
      <c r="BA144" s="90"/>
      <c r="BB144" s="90"/>
    </row>
    <row r="145" ht="12.75" hidden="1" customHeight="1" outlineLevel="1">
      <c r="A145" s="90"/>
      <c r="B145" s="90"/>
      <c r="C145" s="90" t="s">
        <v>515</v>
      </c>
      <c r="D145" s="90">
        <f t="shared" si="102"/>
        <v>18</v>
      </c>
      <c r="E145" s="113">
        <f>OFFSET('Region office'!$D$39,0,ROW(D145)-ROW($D$126))</f>
        <v>5660000</v>
      </c>
      <c r="F145" s="90"/>
      <c r="G145" s="90"/>
      <c r="H145" s="90"/>
      <c r="I145" s="90"/>
      <c r="J145" s="90"/>
      <c r="K145" s="90"/>
      <c r="L145" s="90"/>
      <c r="M145" s="90"/>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c r="AW145" s="65"/>
      <c r="AX145" s="65"/>
      <c r="AY145" s="90"/>
      <c r="AZ145" s="90"/>
      <c r="BA145" s="90"/>
      <c r="BB145" s="90"/>
    </row>
    <row r="146" ht="12.75" hidden="1" customHeight="1" outlineLevel="1">
      <c r="A146" s="90"/>
      <c r="B146" s="90"/>
      <c r="C146" s="90" t="s">
        <v>515</v>
      </c>
      <c r="D146" s="90">
        <f t="shared" si="102"/>
        <v>19</v>
      </c>
      <c r="E146" s="113">
        <f>OFFSET('Region office'!$D$39,0,ROW(D146)-ROW($D$126))</f>
        <v>5660000</v>
      </c>
      <c r="F146" s="90"/>
      <c r="G146" s="90"/>
      <c r="H146" s="90"/>
      <c r="I146" s="90"/>
      <c r="J146" s="90"/>
      <c r="K146" s="90"/>
      <c r="L146" s="90"/>
      <c r="M146" s="90"/>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c r="AY146" s="90"/>
      <c r="AZ146" s="90"/>
      <c r="BA146" s="90"/>
      <c r="BB146" s="90"/>
    </row>
    <row r="147" ht="12.75" hidden="1" customHeight="1" outlineLevel="1">
      <c r="A147" s="90"/>
      <c r="B147" s="90"/>
      <c r="C147" s="90" t="s">
        <v>515</v>
      </c>
      <c r="D147" s="90">
        <f t="shared" si="102"/>
        <v>20</v>
      </c>
      <c r="E147" s="113">
        <f>OFFSET('Region office'!$D$39,0,ROW(D147)-ROW($D$126))</f>
        <v>5660000</v>
      </c>
      <c r="F147" s="90"/>
      <c r="G147" s="90"/>
      <c r="H147" s="90"/>
      <c r="I147" s="90"/>
      <c r="J147" s="90"/>
      <c r="K147" s="90"/>
      <c r="L147" s="90"/>
      <c r="M147" s="90"/>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c r="AW147" s="65"/>
      <c r="AX147" s="65"/>
      <c r="AY147" s="90"/>
      <c r="AZ147" s="90"/>
      <c r="BA147" s="90"/>
      <c r="BB147" s="90"/>
    </row>
    <row r="148" ht="12.75" hidden="1" customHeight="1" outlineLevel="1">
      <c r="A148" s="90"/>
      <c r="B148" s="90"/>
      <c r="C148" s="90" t="s">
        <v>515</v>
      </c>
      <c r="D148" s="90">
        <f t="shared" si="102"/>
        <v>21</v>
      </c>
      <c r="E148" s="113">
        <f>OFFSET('Region office'!$D$39,0,ROW(D148)-ROW($D$126))</f>
        <v>5660000</v>
      </c>
      <c r="F148" s="90"/>
      <c r="G148" s="90"/>
      <c r="H148" s="90"/>
      <c r="I148" s="90"/>
      <c r="J148" s="90"/>
      <c r="K148" s="90"/>
      <c r="L148" s="90"/>
      <c r="M148" s="90"/>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65"/>
      <c r="AX148" s="65"/>
      <c r="AY148" s="90"/>
      <c r="AZ148" s="90"/>
      <c r="BA148" s="90"/>
      <c r="BB148" s="90"/>
    </row>
    <row r="149" ht="12.75" hidden="1" customHeight="1" outlineLevel="1">
      <c r="A149" s="90"/>
      <c r="B149" s="90"/>
      <c r="C149" s="90" t="s">
        <v>515</v>
      </c>
      <c r="D149" s="90">
        <f t="shared" si="102"/>
        <v>22</v>
      </c>
      <c r="E149" s="113">
        <f>OFFSET('Region office'!$D$39,0,ROW(D149)-ROW($D$126))</f>
        <v>5660000</v>
      </c>
      <c r="F149" s="90"/>
      <c r="G149" s="90"/>
      <c r="H149" s="90"/>
      <c r="I149" s="90"/>
      <c r="J149" s="90"/>
      <c r="K149" s="90"/>
      <c r="L149" s="90"/>
      <c r="M149" s="90"/>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90"/>
      <c r="AZ149" s="90"/>
      <c r="BA149" s="90"/>
      <c r="BB149" s="90"/>
    </row>
    <row r="150" ht="12.75" hidden="1" customHeight="1" outlineLevel="1">
      <c r="A150" s="90"/>
      <c r="B150" s="90"/>
      <c r="C150" s="90" t="s">
        <v>515</v>
      </c>
      <c r="D150" s="90">
        <f t="shared" si="102"/>
        <v>23</v>
      </c>
      <c r="E150" s="113">
        <f>OFFSET('Region office'!$D$39,0,ROW(D150)-ROW($D$126))</f>
        <v>5660000</v>
      </c>
      <c r="F150" s="90"/>
      <c r="G150" s="90"/>
      <c r="H150" s="90"/>
      <c r="I150" s="90"/>
      <c r="J150" s="90"/>
      <c r="K150" s="90"/>
      <c r="L150" s="90"/>
      <c r="M150" s="90"/>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65"/>
      <c r="AX150" s="65"/>
      <c r="AY150" s="90"/>
      <c r="AZ150" s="90"/>
      <c r="BA150" s="90"/>
      <c r="BB150" s="90"/>
    </row>
    <row r="151" ht="12.75" hidden="1" customHeight="1" outlineLevel="1">
      <c r="A151" s="90"/>
      <c r="B151" s="90"/>
      <c r="C151" s="90" t="s">
        <v>515</v>
      </c>
      <c r="D151" s="90">
        <f t="shared" si="102"/>
        <v>24</v>
      </c>
      <c r="E151" s="113">
        <f>OFFSET('Region office'!$D$39,0,ROW(D151)-ROW($D$126))</f>
        <v>5660000</v>
      </c>
      <c r="F151" s="90"/>
      <c r="G151" s="90"/>
      <c r="H151" s="90"/>
      <c r="I151" s="90"/>
      <c r="J151" s="90"/>
      <c r="K151" s="90"/>
      <c r="L151" s="90"/>
      <c r="M151" s="90"/>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c r="AY151" s="90"/>
      <c r="AZ151" s="90"/>
      <c r="BA151" s="90"/>
      <c r="BB151" s="90"/>
    </row>
    <row r="152" ht="12.75" hidden="1" customHeight="1" outlineLevel="1">
      <c r="A152" s="90"/>
      <c r="B152" s="90"/>
      <c r="C152" s="90" t="s">
        <v>515</v>
      </c>
      <c r="D152" s="90">
        <f t="shared" si="102"/>
        <v>25</v>
      </c>
      <c r="E152" s="113">
        <f>OFFSET('Region office'!$D$39,0,ROW(D152)-ROW($D$126))</f>
        <v>5660000</v>
      </c>
      <c r="F152" s="90"/>
      <c r="G152" s="90"/>
      <c r="H152" s="90"/>
      <c r="I152" s="90"/>
      <c r="J152" s="90"/>
      <c r="K152" s="90"/>
      <c r="L152" s="90"/>
      <c r="M152" s="90"/>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65"/>
      <c r="AX152" s="65"/>
      <c r="AY152" s="90"/>
      <c r="AZ152" s="90"/>
      <c r="BA152" s="90"/>
      <c r="BB152" s="90"/>
    </row>
    <row r="153" ht="12.75" hidden="1" customHeight="1" outlineLevel="1">
      <c r="A153" s="90"/>
      <c r="B153" s="90"/>
      <c r="C153" s="90" t="s">
        <v>515</v>
      </c>
      <c r="D153" s="90">
        <f t="shared" si="102"/>
        <v>26</v>
      </c>
      <c r="E153" s="113">
        <f>OFFSET('Region office'!$D$39,0,ROW(D153)-ROW($D$126))</f>
        <v>5660000</v>
      </c>
      <c r="F153" s="90"/>
      <c r="G153" s="90"/>
      <c r="H153" s="90"/>
      <c r="I153" s="90"/>
      <c r="J153" s="90"/>
      <c r="K153" s="90"/>
      <c r="L153" s="90"/>
      <c r="M153" s="90"/>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c r="AY153" s="90"/>
      <c r="AZ153" s="90"/>
      <c r="BA153" s="90"/>
      <c r="BB153" s="90"/>
    </row>
    <row r="154" ht="12.75" hidden="1" customHeight="1" outlineLevel="1">
      <c r="A154" s="90"/>
      <c r="B154" s="90"/>
      <c r="C154" s="90" t="s">
        <v>515</v>
      </c>
      <c r="D154" s="90">
        <f t="shared" si="102"/>
        <v>27</v>
      </c>
      <c r="E154" s="113">
        <f>OFFSET('Region office'!$D$39,0,ROW(D154)-ROW($D$126))</f>
        <v>5660000</v>
      </c>
      <c r="F154" s="90"/>
      <c r="G154" s="90"/>
      <c r="H154" s="90"/>
      <c r="I154" s="90"/>
      <c r="J154" s="90"/>
      <c r="K154" s="90"/>
      <c r="L154" s="90"/>
      <c r="M154" s="90"/>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c r="AY154" s="90"/>
      <c r="AZ154" s="90"/>
      <c r="BA154" s="90"/>
      <c r="BB154" s="90"/>
    </row>
    <row r="155" ht="12.75" hidden="1" customHeight="1" outlineLevel="1">
      <c r="A155" s="90"/>
      <c r="B155" s="90"/>
      <c r="C155" s="90" t="s">
        <v>515</v>
      </c>
      <c r="D155" s="90">
        <f t="shared" si="102"/>
        <v>28</v>
      </c>
      <c r="E155" s="113">
        <f>OFFSET('Region office'!$D$39,0,ROW(D155)-ROW($D$126))</f>
        <v>5660000</v>
      </c>
      <c r="F155" s="90"/>
      <c r="G155" s="90"/>
      <c r="H155" s="90"/>
      <c r="I155" s="90"/>
      <c r="J155" s="90"/>
      <c r="K155" s="90"/>
      <c r="L155" s="90"/>
      <c r="M155" s="90"/>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c r="AW155" s="65"/>
      <c r="AX155" s="65"/>
      <c r="AY155" s="90"/>
      <c r="AZ155" s="90"/>
      <c r="BA155" s="90"/>
      <c r="BB155" s="90"/>
    </row>
    <row r="156" ht="12.75" hidden="1" customHeight="1" outlineLevel="1">
      <c r="A156" s="90"/>
      <c r="B156" s="90"/>
      <c r="C156" s="90" t="s">
        <v>515</v>
      </c>
      <c r="D156" s="90">
        <f t="shared" si="102"/>
        <v>29</v>
      </c>
      <c r="E156" s="113">
        <f>OFFSET('Region office'!$D$39,0,ROW(D156)-ROW($D$126))</f>
        <v>5660000</v>
      </c>
      <c r="F156" s="90"/>
      <c r="G156" s="90"/>
      <c r="H156" s="90"/>
      <c r="I156" s="90"/>
      <c r="J156" s="90"/>
      <c r="K156" s="90"/>
      <c r="L156" s="90"/>
      <c r="M156" s="90"/>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c r="AW156" s="65"/>
      <c r="AX156" s="65"/>
      <c r="AY156" s="90"/>
      <c r="AZ156" s="90"/>
      <c r="BA156" s="90"/>
      <c r="BB156" s="90"/>
    </row>
    <row r="157" ht="12.75" hidden="1" customHeight="1" outlineLevel="1">
      <c r="A157" s="90"/>
      <c r="B157" s="90"/>
      <c r="C157" s="90" t="s">
        <v>515</v>
      </c>
      <c r="D157" s="90">
        <f t="shared" si="102"/>
        <v>30</v>
      </c>
      <c r="E157" s="113">
        <f>OFFSET('Region office'!$D$39,0,ROW(D157)-ROW($D$126))</f>
        <v>5660000</v>
      </c>
      <c r="F157" s="90"/>
      <c r="G157" s="90"/>
      <c r="H157" s="90"/>
      <c r="I157" s="90"/>
      <c r="J157" s="90"/>
      <c r="K157" s="90"/>
      <c r="L157" s="90"/>
      <c r="M157" s="90"/>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c r="AY157" s="90"/>
      <c r="AZ157" s="90"/>
      <c r="BA157" s="90"/>
      <c r="BB157" s="90"/>
    </row>
    <row r="158" ht="12.75" hidden="1" customHeight="1" outlineLevel="1">
      <c r="A158" s="90"/>
      <c r="B158" s="90"/>
      <c r="C158" s="90" t="s">
        <v>515</v>
      </c>
      <c r="D158" s="90">
        <f t="shared" si="102"/>
        <v>31</v>
      </c>
      <c r="E158" s="113">
        <f>OFFSET('Region office'!$D$39,0,ROW(D158)-ROW($D$126))</f>
        <v>5660000</v>
      </c>
      <c r="F158" s="90"/>
      <c r="G158" s="90"/>
      <c r="H158" s="90"/>
      <c r="I158" s="90"/>
      <c r="J158" s="90"/>
      <c r="K158" s="90"/>
      <c r="L158" s="90"/>
      <c r="M158" s="90"/>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c r="AW158" s="65"/>
      <c r="AX158" s="65"/>
      <c r="AY158" s="90"/>
      <c r="AZ158" s="90"/>
      <c r="BA158" s="90"/>
      <c r="BB158" s="90"/>
    </row>
    <row r="159" ht="12.75" hidden="1" customHeight="1" outlineLevel="1">
      <c r="A159" s="90"/>
      <c r="C159" s="90"/>
      <c r="D159" s="90"/>
      <c r="E159" s="67" t="s">
        <v>312</v>
      </c>
      <c r="F159" s="90"/>
      <c r="G159" s="90"/>
      <c r="H159" s="90"/>
      <c r="I159" s="90"/>
      <c r="J159" s="90"/>
      <c r="K159" s="90"/>
      <c r="L159" s="90"/>
      <c r="M159" s="76">
        <f t="shared" ref="M159:AX159" si="103">SUMPRODUCT(M$39:M$71,$E126:$E158)*M$10</f>
        <v>0</v>
      </c>
      <c r="N159" s="76">
        <f t="shared" si="103"/>
        <v>0</v>
      </c>
      <c r="O159" s="76">
        <f t="shared" si="103"/>
        <v>0</v>
      </c>
      <c r="P159" s="76">
        <f t="shared" si="103"/>
        <v>0</v>
      </c>
      <c r="Q159" s="76">
        <f t="shared" si="103"/>
        <v>309060</v>
      </c>
      <c r="R159" s="76">
        <f t="shared" si="103"/>
        <v>462353.76</v>
      </c>
      <c r="S159" s="76">
        <f t="shared" si="103"/>
        <v>1114692.883</v>
      </c>
      <c r="T159" s="76">
        <f t="shared" si="103"/>
        <v>2427029.389</v>
      </c>
      <c r="U159" s="76">
        <f t="shared" si="103"/>
        <v>4865184</v>
      </c>
      <c r="V159" s="76">
        <f t="shared" si="103"/>
        <v>8523532.08</v>
      </c>
      <c r="W159" s="76">
        <f t="shared" si="103"/>
        <v>15396118.03</v>
      </c>
      <c r="X159" s="76">
        <f t="shared" si="103"/>
        <v>25312905.28</v>
      </c>
      <c r="Y159" s="76">
        <f t="shared" si="103"/>
        <v>30646542.38</v>
      </c>
      <c r="Z159" s="76">
        <f t="shared" si="103"/>
        <v>35760638.42</v>
      </c>
      <c r="AA159" s="76">
        <f t="shared" si="103"/>
        <v>43806533.39</v>
      </c>
      <c r="AB159" s="76">
        <f t="shared" si="103"/>
        <v>55911544.31</v>
      </c>
      <c r="AC159" s="76">
        <f t="shared" si="103"/>
        <v>68984651.72</v>
      </c>
      <c r="AD159" s="76">
        <f t="shared" si="103"/>
        <v>91441346.26</v>
      </c>
      <c r="AE159" s="76">
        <f t="shared" si="103"/>
        <v>115757153.4</v>
      </c>
      <c r="AF159" s="76">
        <f t="shared" si="103"/>
        <v>140392889.5</v>
      </c>
      <c r="AG159" s="76">
        <f t="shared" si="103"/>
        <v>162882637.4</v>
      </c>
      <c r="AH159" s="76">
        <f t="shared" si="103"/>
        <v>174881448.9</v>
      </c>
      <c r="AI159" s="76">
        <f t="shared" si="103"/>
        <v>178379077.8</v>
      </c>
      <c r="AJ159" s="76">
        <f t="shared" si="103"/>
        <v>181946659.4</v>
      </c>
      <c r="AK159" s="76">
        <f t="shared" si="103"/>
        <v>185585592.6</v>
      </c>
      <c r="AL159" s="76">
        <f t="shared" si="103"/>
        <v>189297304.4</v>
      </c>
      <c r="AM159" s="76">
        <f t="shared" si="103"/>
        <v>193083250.5</v>
      </c>
      <c r="AN159" s="76">
        <f t="shared" si="103"/>
        <v>196944915.5</v>
      </c>
      <c r="AO159" s="76">
        <f t="shared" si="103"/>
        <v>200883813.8</v>
      </c>
      <c r="AP159" s="76">
        <f t="shared" si="103"/>
        <v>204901490.1</v>
      </c>
      <c r="AQ159" s="76">
        <f t="shared" si="103"/>
        <v>208999519.9</v>
      </c>
      <c r="AR159" s="76">
        <f t="shared" si="103"/>
        <v>213179510.3</v>
      </c>
      <c r="AS159" s="76">
        <f t="shared" si="103"/>
        <v>217443100.5</v>
      </c>
      <c r="AT159" s="76">
        <f t="shared" si="103"/>
        <v>221791962.5</v>
      </c>
      <c r="AU159" s="76">
        <f t="shared" si="103"/>
        <v>226227801.8</v>
      </c>
      <c r="AV159" s="76">
        <f t="shared" si="103"/>
        <v>230752357.8</v>
      </c>
      <c r="AW159" s="76">
        <f t="shared" si="103"/>
        <v>235367405</v>
      </c>
      <c r="AX159" s="76">
        <f t="shared" si="103"/>
        <v>240074753.1</v>
      </c>
    </row>
    <row r="160" ht="12.75" hidden="1" customHeight="1" outlineLevel="1">
      <c r="A160" s="90"/>
      <c r="C160" s="90"/>
      <c r="D160" s="90"/>
      <c r="E160" s="90"/>
      <c r="F160" s="90"/>
      <c r="G160" s="90"/>
      <c r="H160" s="90"/>
      <c r="I160" s="90"/>
      <c r="J160" s="90"/>
      <c r="K160" s="90"/>
      <c r="L160" s="90"/>
      <c r="M160" s="90"/>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65"/>
      <c r="AX160" s="65"/>
    </row>
    <row r="161" ht="12.75" hidden="1" customHeight="1" outlineLevel="1">
      <c r="A161" s="90"/>
      <c r="B161" s="67" t="s">
        <v>510</v>
      </c>
      <c r="C161" s="90"/>
      <c r="D161" s="90"/>
      <c r="E161" s="90"/>
      <c r="F161" s="90"/>
      <c r="G161" s="90"/>
      <c r="H161" s="90"/>
      <c r="I161" s="90"/>
      <c r="J161" s="90"/>
      <c r="K161" s="90"/>
      <c r="L161" s="90"/>
      <c r="M161" s="90"/>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65"/>
      <c r="AX161" s="65"/>
    </row>
    <row r="162" ht="12.75" hidden="1" customHeight="1" outlineLevel="1">
      <c r="A162" s="90"/>
      <c r="C162" s="90"/>
      <c r="D162" s="90"/>
      <c r="E162" s="67" t="s">
        <v>520</v>
      </c>
      <c r="F162" s="90"/>
      <c r="G162" s="90"/>
      <c r="H162" s="90"/>
      <c r="I162" s="90"/>
      <c r="J162" s="90"/>
      <c r="K162" s="90"/>
      <c r="L162" s="90"/>
      <c r="M162" s="90"/>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c r="AW162" s="65"/>
      <c r="AX162" s="65"/>
    </row>
    <row r="163" ht="12.75" hidden="1" customHeight="1" outlineLevel="1">
      <c r="A163" s="90"/>
      <c r="C163" s="90" t="s">
        <v>515</v>
      </c>
      <c r="D163" s="90">
        <v>-1.0</v>
      </c>
      <c r="E163" s="113">
        <f>OFFSET('Region office'!$D$46,0,ROW(D163)-ROW(D$163))</f>
        <v>0</v>
      </c>
      <c r="F163" s="90"/>
      <c r="G163" s="90"/>
      <c r="H163" s="90"/>
      <c r="I163" s="90"/>
      <c r="J163" s="90"/>
      <c r="K163" s="90"/>
      <c r="L163" s="90"/>
      <c r="M163" s="90"/>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row>
    <row r="164" ht="12.75" hidden="1" customHeight="1" outlineLevel="1">
      <c r="A164" s="90"/>
      <c r="C164" s="90" t="s">
        <v>515</v>
      </c>
      <c r="D164" s="90">
        <f t="shared" ref="D164:D195" si="104">D163+1</f>
        <v>0</v>
      </c>
      <c r="E164" s="113">
        <f>OFFSET('Region office'!$D$46,0,ROW(D164)-ROW(D$163))</f>
        <v>15000</v>
      </c>
      <c r="F164" s="90"/>
      <c r="G164" s="90"/>
      <c r="H164" s="90"/>
      <c r="I164" s="90"/>
      <c r="J164" s="90"/>
      <c r="K164" s="90"/>
      <c r="L164" s="90"/>
      <c r="M164" s="90"/>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row>
    <row r="165" ht="12.75" hidden="1" customHeight="1" outlineLevel="1">
      <c r="A165" s="90"/>
      <c r="C165" s="90" t="s">
        <v>515</v>
      </c>
      <c r="D165" s="90">
        <f t="shared" si="104"/>
        <v>1</v>
      </c>
      <c r="E165" s="113">
        <f>OFFSET('Region office'!$D$46,0,ROW(D165)-ROW(D$163))</f>
        <v>12500</v>
      </c>
      <c r="F165" s="90"/>
      <c r="G165" s="90"/>
      <c r="H165" s="90"/>
      <c r="I165" s="90"/>
      <c r="J165" s="90"/>
      <c r="K165" s="90"/>
      <c r="L165" s="90"/>
      <c r="M165" s="90"/>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row>
    <row r="166" ht="12.75" hidden="1" customHeight="1" outlineLevel="1">
      <c r="A166" s="90"/>
      <c r="C166" s="90" t="s">
        <v>515</v>
      </c>
      <c r="D166" s="90">
        <f t="shared" si="104"/>
        <v>2</v>
      </c>
      <c r="E166" s="113">
        <f>OFFSET('Region office'!$D$46,0,ROW(D166)-ROW(D$163))</f>
        <v>10000</v>
      </c>
      <c r="F166" s="90"/>
      <c r="G166" s="90"/>
      <c r="H166" s="90"/>
      <c r="I166" s="90"/>
      <c r="J166" s="90"/>
      <c r="K166" s="90"/>
      <c r="L166" s="90"/>
      <c r="M166" s="90"/>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row>
    <row r="167" ht="12.75" hidden="1" customHeight="1" outlineLevel="1">
      <c r="A167" s="90"/>
      <c r="C167" s="90" t="s">
        <v>515</v>
      </c>
      <c r="D167" s="90">
        <f t="shared" si="104"/>
        <v>3</v>
      </c>
      <c r="E167" s="113">
        <f>OFFSET('Region office'!$D$46,0,ROW(D167)-ROW(D$163))</f>
        <v>10000</v>
      </c>
      <c r="F167" s="90"/>
      <c r="G167" s="90"/>
      <c r="H167" s="90"/>
      <c r="I167" s="90"/>
      <c r="J167" s="90"/>
      <c r="K167" s="90"/>
      <c r="L167" s="90"/>
      <c r="M167" s="90"/>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row>
    <row r="168" ht="12.75" hidden="1" customHeight="1" outlineLevel="1">
      <c r="A168" s="90"/>
      <c r="C168" s="90" t="s">
        <v>515</v>
      </c>
      <c r="D168" s="90">
        <f t="shared" si="104"/>
        <v>4</v>
      </c>
      <c r="E168" s="113">
        <f>OFFSET('Region office'!$D$46,0,ROW(D168)-ROW(D$163))</f>
        <v>25000</v>
      </c>
      <c r="F168" s="90"/>
      <c r="G168" s="90"/>
      <c r="H168" s="90"/>
      <c r="I168" s="90"/>
      <c r="J168" s="90"/>
      <c r="K168" s="90"/>
      <c r="L168" s="90"/>
      <c r="M168" s="90"/>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row>
    <row r="169" ht="12.75" hidden="1" customHeight="1" outlineLevel="1">
      <c r="A169" s="90"/>
      <c r="C169" s="90" t="s">
        <v>515</v>
      </c>
      <c r="D169" s="90">
        <f t="shared" si="104"/>
        <v>5</v>
      </c>
      <c r="E169" s="113">
        <f>OFFSET('Region office'!$D$46,0,ROW(D169)-ROW(D$163))</f>
        <v>17500</v>
      </c>
      <c r="F169" s="90"/>
      <c r="G169" s="90"/>
      <c r="H169" s="90"/>
      <c r="I169" s="90"/>
      <c r="J169" s="90"/>
      <c r="K169" s="90"/>
      <c r="L169" s="90"/>
      <c r="M169" s="90"/>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row>
    <row r="170" ht="12.75" hidden="1" customHeight="1" outlineLevel="1">
      <c r="A170" s="90"/>
      <c r="C170" s="90" t="s">
        <v>515</v>
      </c>
      <c r="D170" s="90">
        <f t="shared" si="104"/>
        <v>6</v>
      </c>
      <c r="E170" s="113">
        <f>OFFSET('Region office'!$D$46,0,ROW(D170)-ROW(D$163))</f>
        <v>37500</v>
      </c>
      <c r="F170" s="90"/>
      <c r="G170" s="90"/>
      <c r="H170" s="90"/>
      <c r="I170" s="90"/>
      <c r="J170" s="90"/>
      <c r="K170" s="90"/>
      <c r="L170" s="90"/>
      <c r="M170" s="90"/>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row>
    <row r="171" ht="12.75" hidden="1" customHeight="1" outlineLevel="1">
      <c r="A171" s="90"/>
      <c r="C171" s="90" t="s">
        <v>515</v>
      </c>
      <c r="D171" s="90">
        <f t="shared" si="104"/>
        <v>7</v>
      </c>
      <c r="E171" s="113">
        <f>OFFSET('Region office'!$D$46,0,ROW(D171)-ROW(D$163))</f>
        <v>62500</v>
      </c>
      <c r="F171" s="90"/>
      <c r="G171" s="90"/>
      <c r="H171" s="90"/>
      <c r="I171" s="90"/>
      <c r="J171" s="90"/>
      <c r="K171" s="90"/>
      <c r="L171" s="90"/>
      <c r="M171" s="90"/>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row>
    <row r="172" ht="12.75" hidden="1" customHeight="1" outlineLevel="1">
      <c r="A172" s="90"/>
      <c r="C172" s="90" t="s">
        <v>515</v>
      </c>
      <c r="D172" s="90">
        <f t="shared" si="104"/>
        <v>8</v>
      </c>
      <c r="E172" s="113">
        <f>OFFSET('Region office'!$D$46,0,ROW(D172)-ROW(D$163))</f>
        <v>95000</v>
      </c>
      <c r="F172" s="90"/>
      <c r="G172" s="90"/>
      <c r="H172" s="90"/>
      <c r="I172" s="90"/>
      <c r="J172" s="90"/>
      <c r="K172" s="90"/>
      <c r="L172" s="90"/>
      <c r="M172" s="90"/>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row>
    <row r="173" ht="12.75" hidden="1" customHeight="1" outlineLevel="1">
      <c r="A173" s="90"/>
      <c r="C173" s="90" t="s">
        <v>515</v>
      </c>
      <c r="D173" s="90">
        <f t="shared" si="104"/>
        <v>9</v>
      </c>
      <c r="E173" s="113">
        <f>OFFSET('Region office'!$D$46,0,ROW(D173)-ROW(D$163))</f>
        <v>140000</v>
      </c>
      <c r="F173" s="90"/>
      <c r="G173" s="90"/>
      <c r="H173" s="90"/>
      <c r="I173" s="90"/>
      <c r="J173" s="90"/>
      <c r="K173" s="90"/>
      <c r="L173" s="90"/>
      <c r="M173" s="90"/>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row>
    <row r="174" ht="12.75" hidden="1" customHeight="1" outlineLevel="1">
      <c r="A174" s="90"/>
      <c r="C174" s="90" t="s">
        <v>515</v>
      </c>
      <c r="D174" s="90">
        <f t="shared" si="104"/>
        <v>10</v>
      </c>
      <c r="E174" s="113">
        <f>OFFSET('Region office'!$D$46,0,ROW(D174)-ROW(D$163))</f>
        <v>225000</v>
      </c>
      <c r="F174" s="90"/>
      <c r="G174" s="90"/>
      <c r="H174" s="90"/>
      <c r="I174" s="90"/>
      <c r="J174" s="90"/>
      <c r="K174" s="90"/>
      <c r="L174" s="90"/>
      <c r="M174" s="90"/>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row>
    <row r="175" ht="12.75" hidden="1" customHeight="1" outlineLevel="1">
      <c r="A175" s="90"/>
      <c r="C175" s="90" t="s">
        <v>515</v>
      </c>
      <c r="D175" s="90">
        <f t="shared" si="104"/>
        <v>11</v>
      </c>
      <c r="E175" s="113">
        <f>OFFSET('Region office'!$D$46,0,ROW(D175)-ROW(D$163))</f>
        <v>185000</v>
      </c>
      <c r="F175" s="90"/>
      <c r="G175" s="90"/>
      <c r="H175" s="90"/>
      <c r="I175" s="90"/>
      <c r="J175" s="90"/>
      <c r="K175" s="90"/>
      <c r="L175" s="90"/>
      <c r="M175" s="90"/>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row>
    <row r="176" ht="12.75" hidden="1" customHeight="1" outlineLevel="1">
      <c r="A176" s="90"/>
      <c r="C176" s="90" t="s">
        <v>515</v>
      </c>
      <c r="D176" s="90">
        <f t="shared" si="104"/>
        <v>12</v>
      </c>
      <c r="E176" s="113">
        <f>OFFSET('Region office'!$D$46,0,ROW(D176)-ROW(D$163))</f>
        <v>172500</v>
      </c>
      <c r="F176" s="90"/>
      <c r="G176" s="90"/>
      <c r="H176" s="90"/>
      <c r="I176" s="90"/>
      <c r="J176" s="90"/>
      <c r="K176" s="90"/>
      <c r="L176" s="90"/>
      <c r="M176" s="90"/>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row>
    <row r="177" ht="12.75" hidden="1" customHeight="1" outlineLevel="1">
      <c r="A177" s="90"/>
      <c r="C177" s="90" t="s">
        <v>515</v>
      </c>
      <c r="D177" s="90">
        <f t="shared" si="104"/>
        <v>13</v>
      </c>
      <c r="E177" s="113">
        <f>OFFSET('Region office'!$D$46,0,ROW(D177)-ROW(D$163))</f>
        <v>172500</v>
      </c>
      <c r="F177" s="90"/>
      <c r="G177" s="90"/>
      <c r="H177" s="90"/>
      <c r="I177" s="90"/>
      <c r="J177" s="90"/>
      <c r="K177" s="90"/>
      <c r="L177" s="90"/>
      <c r="M177" s="90"/>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row>
    <row r="178" ht="12.75" hidden="1" customHeight="1" outlineLevel="1">
      <c r="A178" s="90"/>
      <c r="C178" s="90" t="s">
        <v>515</v>
      </c>
      <c r="D178" s="90">
        <f t="shared" si="104"/>
        <v>14</v>
      </c>
      <c r="E178" s="113">
        <f>OFFSET('Region office'!$D$46,0,ROW(D178)-ROW(D$163))</f>
        <v>172500</v>
      </c>
      <c r="F178" s="90"/>
      <c r="G178" s="90"/>
      <c r="H178" s="90"/>
      <c r="I178" s="90"/>
      <c r="J178" s="90"/>
      <c r="K178" s="90"/>
      <c r="L178" s="90"/>
      <c r="M178" s="90"/>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row>
    <row r="179" ht="12.75" hidden="1" customHeight="1" outlineLevel="1">
      <c r="A179" s="90"/>
      <c r="C179" s="90" t="s">
        <v>515</v>
      </c>
      <c r="D179" s="90">
        <f t="shared" si="104"/>
        <v>15</v>
      </c>
      <c r="E179" s="117">
        <f>OFFSET('Region office'!$D$46,0,ROW(D179)-ROW(D$163))</f>
        <v>172500</v>
      </c>
      <c r="F179" s="87"/>
      <c r="G179" s="87"/>
      <c r="H179" s="87"/>
      <c r="I179" s="87"/>
      <c r="J179" s="87"/>
      <c r="K179" s="87"/>
      <c r="L179" s="87"/>
      <c r="M179" s="87"/>
      <c r="N179" s="200"/>
      <c r="O179" s="200"/>
      <c r="P179" s="200"/>
      <c r="Q179" s="200"/>
      <c r="R179" s="200"/>
      <c r="S179" s="200"/>
      <c r="T179" s="200"/>
      <c r="U179" s="200"/>
      <c r="V179" s="200"/>
      <c r="W179" s="200"/>
      <c r="X179" s="200"/>
      <c r="Y179" s="200"/>
      <c r="Z179" s="200"/>
      <c r="AA179" s="200"/>
      <c r="AB179" s="200"/>
      <c r="AC179" s="200"/>
      <c r="AD179" s="200"/>
      <c r="AE179" s="200"/>
      <c r="AF179" s="200"/>
      <c r="AG179" s="200"/>
      <c r="AH179" s="200"/>
      <c r="AI179" s="200"/>
      <c r="AJ179" s="200"/>
      <c r="AK179" s="200"/>
      <c r="AL179" s="200"/>
      <c r="AM179" s="200"/>
      <c r="AN179" s="200"/>
      <c r="AO179" s="200"/>
      <c r="AP179" s="200"/>
      <c r="AQ179" s="200"/>
      <c r="AR179" s="200"/>
      <c r="AS179" s="200"/>
      <c r="AT179" s="200"/>
      <c r="AU179" s="200"/>
      <c r="AV179" s="200"/>
      <c r="AW179" s="200"/>
      <c r="AX179" s="200"/>
    </row>
    <row r="180" ht="12.75" hidden="1" customHeight="1" outlineLevel="1">
      <c r="A180" s="90"/>
      <c r="C180" s="90" t="s">
        <v>515</v>
      </c>
      <c r="D180" s="90">
        <f t="shared" si="104"/>
        <v>16</v>
      </c>
      <c r="E180" s="113">
        <f>OFFSET('Region office'!$D$46,0,ROW(D180)-ROW(D$163))</f>
        <v>172500</v>
      </c>
      <c r="F180" s="90"/>
      <c r="G180" s="90"/>
      <c r="H180" s="90"/>
      <c r="I180" s="90"/>
      <c r="J180" s="90"/>
      <c r="K180" s="90"/>
      <c r="L180" s="90"/>
      <c r="M180" s="90"/>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c r="AW180" s="65"/>
      <c r="AX180" s="65"/>
    </row>
    <row r="181" ht="12.75" hidden="1" customHeight="1" outlineLevel="1">
      <c r="A181" s="90"/>
      <c r="C181" s="90" t="s">
        <v>515</v>
      </c>
      <c r="D181" s="90">
        <f t="shared" si="104"/>
        <v>17</v>
      </c>
      <c r="E181" s="113">
        <f>OFFSET('Region office'!$D$46,0,ROW(D181)-ROW(D$163))</f>
        <v>172500</v>
      </c>
      <c r="F181" s="90"/>
      <c r="G181" s="90"/>
      <c r="H181" s="90"/>
      <c r="I181" s="90"/>
      <c r="J181" s="90"/>
      <c r="K181" s="90"/>
      <c r="L181" s="90"/>
      <c r="M181" s="90"/>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row>
    <row r="182" ht="12.75" hidden="1" customHeight="1" outlineLevel="1">
      <c r="A182" s="90"/>
      <c r="C182" s="90" t="s">
        <v>515</v>
      </c>
      <c r="D182" s="90">
        <f t="shared" si="104"/>
        <v>18</v>
      </c>
      <c r="E182" s="113">
        <f>OFFSET('Region office'!$D$46,0,ROW(D182)-ROW(D$163))</f>
        <v>172500</v>
      </c>
      <c r="F182" s="90"/>
      <c r="G182" s="90"/>
      <c r="H182" s="90"/>
      <c r="I182" s="90"/>
      <c r="J182" s="90"/>
      <c r="K182" s="90"/>
      <c r="L182" s="90"/>
      <c r="M182" s="90"/>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row>
    <row r="183" ht="12.75" hidden="1" customHeight="1" outlineLevel="1">
      <c r="A183" s="90"/>
      <c r="C183" s="90" t="s">
        <v>515</v>
      </c>
      <c r="D183" s="90">
        <f t="shared" si="104"/>
        <v>19</v>
      </c>
      <c r="E183" s="113">
        <f>OFFSET('Region office'!$D$46,0,ROW(D183)-ROW(D$163))</f>
        <v>172500</v>
      </c>
      <c r="F183" s="90"/>
      <c r="G183" s="90"/>
      <c r="H183" s="90"/>
      <c r="I183" s="90"/>
      <c r="J183" s="90"/>
      <c r="K183" s="90"/>
      <c r="L183" s="90"/>
      <c r="M183" s="90"/>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row>
    <row r="184" ht="12.75" hidden="1" customHeight="1" outlineLevel="1">
      <c r="A184" s="90"/>
      <c r="C184" s="90" t="s">
        <v>515</v>
      </c>
      <c r="D184" s="90">
        <f t="shared" si="104"/>
        <v>20</v>
      </c>
      <c r="E184" s="113">
        <f>OFFSET('Region office'!$D$46,0,ROW(D184)-ROW(D$163))</f>
        <v>172500</v>
      </c>
      <c r="F184" s="90"/>
      <c r="G184" s="90"/>
      <c r="H184" s="90"/>
      <c r="I184" s="90"/>
      <c r="J184" s="90"/>
      <c r="K184" s="90"/>
      <c r="L184" s="90"/>
      <c r="M184" s="90"/>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row>
    <row r="185" ht="12.75" hidden="1" customHeight="1" outlineLevel="1">
      <c r="A185" s="90"/>
      <c r="C185" s="90" t="s">
        <v>515</v>
      </c>
      <c r="D185" s="90">
        <f t="shared" si="104"/>
        <v>21</v>
      </c>
      <c r="E185" s="113">
        <f>OFFSET('Region office'!$D$46,0,ROW(D185)-ROW(D$163))</f>
        <v>172500</v>
      </c>
      <c r="F185" s="90"/>
      <c r="G185" s="90"/>
      <c r="H185" s="90"/>
      <c r="I185" s="90"/>
      <c r="J185" s="90"/>
      <c r="K185" s="90"/>
      <c r="L185" s="90"/>
      <c r="M185" s="90"/>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c r="AW185" s="65"/>
      <c r="AX185" s="65"/>
    </row>
    <row r="186" ht="12.75" hidden="1" customHeight="1" outlineLevel="1">
      <c r="A186" s="90"/>
      <c r="C186" s="90" t="s">
        <v>515</v>
      </c>
      <c r="D186" s="90">
        <f t="shared" si="104"/>
        <v>22</v>
      </c>
      <c r="E186" s="113">
        <f>OFFSET('Region office'!$D$46,0,ROW(D186)-ROW(D$163))</f>
        <v>172500</v>
      </c>
      <c r="F186" s="90"/>
      <c r="G186" s="90"/>
      <c r="H186" s="90"/>
      <c r="I186" s="90"/>
      <c r="J186" s="90"/>
      <c r="K186" s="90"/>
      <c r="L186" s="90"/>
      <c r="M186" s="90"/>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row>
    <row r="187" ht="12.75" hidden="1" customHeight="1" outlineLevel="1">
      <c r="A187" s="90"/>
      <c r="C187" s="90" t="s">
        <v>515</v>
      </c>
      <c r="D187" s="90">
        <f t="shared" si="104"/>
        <v>23</v>
      </c>
      <c r="E187" s="113">
        <f>OFFSET('Region office'!$D$46,0,ROW(D187)-ROW(D$163))</f>
        <v>172500</v>
      </c>
      <c r="F187" s="90"/>
      <c r="G187" s="90"/>
      <c r="H187" s="90"/>
      <c r="I187" s="90"/>
      <c r="J187" s="90"/>
      <c r="K187" s="90"/>
      <c r="L187" s="90"/>
      <c r="M187" s="90"/>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c r="AW187" s="65"/>
      <c r="AX187" s="65"/>
    </row>
    <row r="188" ht="12.75" hidden="1" customHeight="1" outlineLevel="1">
      <c r="A188" s="90"/>
      <c r="C188" s="90" t="s">
        <v>515</v>
      </c>
      <c r="D188" s="90">
        <f t="shared" si="104"/>
        <v>24</v>
      </c>
      <c r="E188" s="113">
        <f>OFFSET('Region office'!$D$46,0,ROW(D188)-ROW(D$163))</f>
        <v>172500</v>
      </c>
      <c r="F188" s="90"/>
      <c r="G188" s="90"/>
      <c r="H188" s="90"/>
      <c r="I188" s="90"/>
      <c r="J188" s="90"/>
      <c r="K188" s="90"/>
      <c r="L188" s="90"/>
      <c r="M188" s="90"/>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row>
    <row r="189" ht="12.75" hidden="1" customHeight="1" outlineLevel="1">
      <c r="A189" s="90"/>
      <c r="C189" s="90" t="s">
        <v>515</v>
      </c>
      <c r="D189" s="90">
        <f t="shared" si="104"/>
        <v>25</v>
      </c>
      <c r="E189" s="113">
        <f>OFFSET('Region office'!$D$46,0,ROW(D189)-ROW(D$163))</f>
        <v>172500</v>
      </c>
      <c r="F189" s="90"/>
      <c r="G189" s="90"/>
      <c r="H189" s="90"/>
      <c r="I189" s="90"/>
      <c r="J189" s="90"/>
      <c r="K189" s="90"/>
      <c r="L189" s="90"/>
      <c r="M189" s="90"/>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row>
    <row r="190" ht="12.75" hidden="1" customHeight="1" outlineLevel="1">
      <c r="A190" s="90"/>
      <c r="C190" s="90" t="s">
        <v>515</v>
      </c>
      <c r="D190" s="90">
        <f t="shared" si="104"/>
        <v>26</v>
      </c>
      <c r="E190" s="113">
        <f>OFFSET('Region office'!$D$46,0,ROW(D190)-ROW(D$163))</f>
        <v>172500</v>
      </c>
      <c r="F190" s="90"/>
      <c r="G190" s="90"/>
      <c r="H190" s="90"/>
      <c r="I190" s="90"/>
      <c r="J190" s="90"/>
      <c r="K190" s="90"/>
      <c r="L190" s="90"/>
      <c r="M190" s="90"/>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row>
    <row r="191" ht="12.75" hidden="1" customHeight="1" outlineLevel="1">
      <c r="A191" s="90"/>
      <c r="C191" s="90" t="s">
        <v>515</v>
      </c>
      <c r="D191" s="90">
        <f t="shared" si="104"/>
        <v>27</v>
      </c>
      <c r="E191" s="113">
        <f>OFFSET('Region office'!$D$46,0,ROW(D191)-ROW(D$163))</f>
        <v>172500</v>
      </c>
      <c r="F191" s="90"/>
      <c r="G191" s="90"/>
      <c r="H191" s="90"/>
      <c r="I191" s="90"/>
      <c r="J191" s="90"/>
      <c r="K191" s="90"/>
      <c r="L191" s="90"/>
      <c r="M191" s="90"/>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row>
    <row r="192" ht="12.75" hidden="1" customHeight="1" outlineLevel="1">
      <c r="A192" s="90"/>
      <c r="C192" s="90" t="s">
        <v>515</v>
      </c>
      <c r="D192" s="90">
        <f t="shared" si="104"/>
        <v>28</v>
      </c>
      <c r="E192" s="113">
        <f>OFFSET('Region office'!$D$46,0,ROW(D192)-ROW(D$163))</f>
        <v>172500</v>
      </c>
      <c r="F192" s="90"/>
      <c r="G192" s="90"/>
      <c r="H192" s="90"/>
      <c r="I192" s="90"/>
      <c r="J192" s="90"/>
      <c r="K192" s="90"/>
      <c r="L192" s="90"/>
      <c r="M192" s="90"/>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row>
    <row r="193" ht="12.75" hidden="1" customHeight="1" outlineLevel="1">
      <c r="A193" s="90"/>
      <c r="C193" s="90" t="s">
        <v>515</v>
      </c>
      <c r="D193" s="90">
        <f t="shared" si="104"/>
        <v>29</v>
      </c>
      <c r="E193" s="113">
        <f>OFFSET('Region office'!$D$46,0,ROW(D193)-ROW(D$163))</f>
        <v>172500</v>
      </c>
      <c r="F193" s="90"/>
      <c r="G193" s="90"/>
      <c r="H193" s="90"/>
      <c r="I193" s="90"/>
      <c r="J193" s="90"/>
      <c r="K193" s="90"/>
      <c r="L193" s="90"/>
      <c r="M193" s="90"/>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c r="AW193" s="65"/>
      <c r="AX193" s="65"/>
    </row>
    <row r="194" ht="12.75" hidden="1" customHeight="1" outlineLevel="1">
      <c r="A194" s="90"/>
      <c r="C194" s="90" t="s">
        <v>515</v>
      </c>
      <c r="D194" s="90">
        <f t="shared" si="104"/>
        <v>30</v>
      </c>
      <c r="E194" s="113">
        <f>OFFSET('Region office'!$D$46,0,ROW(D194)-ROW(D$163))</f>
        <v>172500</v>
      </c>
      <c r="F194" s="90"/>
      <c r="G194" s="90"/>
      <c r="H194" s="90"/>
      <c r="I194" s="90"/>
      <c r="J194" s="90"/>
      <c r="K194" s="90"/>
      <c r="L194" s="90"/>
      <c r="M194" s="90"/>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row>
    <row r="195" ht="12.75" hidden="1" customHeight="1" outlineLevel="1">
      <c r="A195" s="90"/>
      <c r="C195" s="90" t="s">
        <v>515</v>
      </c>
      <c r="D195" s="90">
        <f t="shared" si="104"/>
        <v>31</v>
      </c>
      <c r="E195" s="113">
        <f>OFFSET('Region office'!$D$46,0,ROW(D195)-ROW(D$163))</f>
        <v>172500</v>
      </c>
      <c r="F195" s="90"/>
      <c r="G195" s="90"/>
      <c r="H195" s="90"/>
      <c r="I195" s="90"/>
      <c r="J195" s="90"/>
      <c r="K195" s="90"/>
      <c r="L195" s="90"/>
      <c r="M195" s="90"/>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c r="AW195" s="65"/>
      <c r="AX195" s="65"/>
    </row>
    <row r="196" ht="12.75" hidden="1" customHeight="1" outlineLevel="1">
      <c r="A196" s="90"/>
      <c r="C196" s="90"/>
      <c r="D196" s="90"/>
      <c r="E196" s="67" t="s">
        <v>521</v>
      </c>
      <c r="F196" s="90"/>
      <c r="G196" s="90"/>
      <c r="H196" s="90"/>
      <c r="I196" s="90"/>
      <c r="J196" s="90"/>
      <c r="K196" s="90"/>
      <c r="L196" s="90"/>
      <c r="M196" s="76">
        <f t="shared" ref="M196:AH196" si="105">SUMPRODUCT(M$39:M$71,$E163:$E195)*M$10</f>
        <v>0</v>
      </c>
      <c r="N196" s="76">
        <f t="shared" si="105"/>
        <v>0</v>
      </c>
      <c r="O196" s="76">
        <f t="shared" si="105"/>
        <v>0</v>
      </c>
      <c r="P196" s="76">
        <f t="shared" si="105"/>
        <v>0</v>
      </c>
      <c r="Q196" s="76">
        <f t="shared" si="105"/>
        <v>15453</v>
      </c>
      <c r="R196" s="76">
        <f t="shared" si="105"/>
        <v>13135.05</v>
      </c>
      <c r="S196" s="76">
        <f t="shared" si="105"/>
        <v>42872.8032</v>
      </c>
      <c r="T196" s="76">
        <f t="shared" si="105"/>
        <v>87460.51853</v>
      </c>
      <c r="U196" s="76">
        <f t="shared" si="105"/>
        <v>177376.5</v>
      </c>
      <c r="V196" s="76">
        <f t="shared" si="105"/>
        <v>287181</v>
      </c>
      <c r="W196" s="76">
        <f t="shared" si="105"/>
        <v>541910.547</v>
      </c>
      <c r="X196" s="76">
        <f t="shared" si="105"/>
        <v>860495.3637</v>
      </c>
      <c r="Y196" s="76">
        <f t="shared" si="105"/>
        <v>899038.3852</v>
      </c>
      <c r="Z196" s="76">
        <f t="shared" si="105"/>
        <v>1103531.523</v>
      </c>
      <c r="AA196" s="76">
        <f t="shared" si="105"/>
        <v>1518770.23</v>
      </c>
      <c r="AB196" s="76">
        <f t="shared" si="105"/>
        <v>2121585.67</v>
      </c>
      <c r="AC196" s="76">
        <f t="shared" si="105"/>
        <v>2602758.713</v>
      </c>
      <c r="AD196" s="76">
        <f t="shared" si="105"/>
        <v>3681072.741</v>
      </c>
      <c r="AE196" s="76">
        <f t="shared" si="105"/>
        <v>4712244.178</v>
      </c>
      <c r="AF196" s="76">
        <f t="shared" si="105"/>
        <v>5741181.399</v>
      </c>
      <c r="AG196" s="76">
        <f t="shared" si="105"/>
        <v>6691556.964</v>
      </c>
      <c r="AH196" s="76">
        <f t="shared" si="105"/>
        <v>7196887.349</v>
      </c>
      <c r="AI196" s="76"/>
      <c r="AJ196" s="76"/>
      <c r="AK196" s="76"/>
      <c r="AL196" s="76"/>
      <c r="AM196" s="76"/>
      <c r="AN196" s="76"/>
      <c r="AO196" s="76"/>
      <c r="AP196" s="76"/>
      <c r="AQ196" s="76"/>
      <c r="AR196" s="76"/>
      <c r="AS196" s="76"/>
      <c r="AT196" s="76"/>
      <c r="AU196" s="76"/>
      <c r="AV196" s="76"/>
      <c r="AW196" s="76"/>
      <c r="AX196" s="76"/>
    </row>
    <row r="197" ht="12.75" hidden="1" customHeight="1" outlineLevel="1">
      <c r="A197" s="90"/>
      <c r="C197" s="90"/>
      <c r="D197" s="90"/>
      <c r="E197" s="90"/>
      <c r="F197" s="90"/>
      <c r="G197" s="90"/>
      <c r="H197" s="90"/>
      <c r="I197" s="90"/>
      <c r="J197" s="90"/>
      <c r="K197" s="90"/>
      <c r="L197" s="90"/>
      <c r="M197" s="90"/>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row>
    <row r="198" ht="12.75" hidden="1" customHeight="1" outlineLevel="1">
      <c r="A198" s="90"/>
      <c r="B198" s="67" t="s">
        <v>314</v>
      </c>
      <c r="C198" s="90"/>
      <c r="D198" s="90"/>
      <c r="E198" s="90"/>
      <c r="F198" s="90"/>
      <c r="G198" s="90"/>
      <c r="H198" s="90"/>
      <c r="I198" s="90"/>
      <c r="J198" s="90"/>
      <c r="K198" s="90"/>
      <c r="L198" s="90"/>
      <c r="M198" s="90"/>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row>
    <row r="199" ht="12.75" hidden="1" customHeight="1" outlineLevel="1">
      <c r="A199" s="90"/>
      <c r="C199" s="90"/>
      <c r="D199" s="90"/>
      <c r="E199" s="67" t="s">
        <v>522</v>
      </c>
      <c r="F199" s="90"/>
      <c r="G199" s="90"/>
      <c r="H199" s="90"/>
      <c r="I199" s="90"/>
      <c r="J199" s="90"/>
      <c r="K199" s="90"/>
      <c r="L199" s="90"/>
      <c r="M199" s="90"/>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row>
    <row r="200" ht="12.75" hidden="1" customHeight="1" outlineLevel="1">
      <c r="A200" s="90"/>
      <c r="C200" s="90" t="s">
        <v>515</v>
      </c>
      <c r="D200" s="90">
        <v>-1.0</v>
      </c>
      <c r="E200" s="113">
        <f>OFFSET('Region office'!$D$54,0,ROW(C200)-ROW($C$200))</f>
        <v>0</v>
      </c>
      <c r="F200" s="90"/>
      <c r="G200" s="90"/>
      <c r="H200" s="90"/>
      <c r="I200" s="90"/>
      <c r="J200" s="90"/>
      <c r="K200" s="90"/>
      <c r="L200" s="90"/>
      <c r="M200" s="90"/>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row>
    <row r="201" ht="12.75" hidden="1" customHeight="1" outlineLevel="1">
      <c r="A201" s="90"/>
      <c r="C201" s="90" t="s">
        <v>515</v>
      </c>
      <c r="D201" s="90">
        <f t="shared" ref="D201:D232" si="106">D200+1</f>
        <v>0</v>
      </c>
      <c r="E201" s="113">
        <f>OFFSET('Region office'!$D$54,0,ROW(C201)-ROW($C$200))</f>
        <v>83000</v>
      </c>
      <c r="F201" s="90"/>
      <c r="G201" s="90"/>
      <c r="H201" s="90"/>
      <c r="I201" s="90"/>
      <c r="J201" s="90"/>
      <c r="K201" s="90"/>
      <c r="L201" s="90"/>
      <c r="M201" s="90"/>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row>
    <row r="202" ht="12.75" hidden="1" customHeight="1" outlineLevel="1">
      <c r="A202" s="90"/>
      <c r="C202" s="90" t="s">
        <v>515</v>
      </c>
      <c r="D202" s="90">
        <f t="shared" si="106"/>
        <v>1</v>
      </c>
      <c r="E202" s="113">
        <f>OFFSET('Region office'!$D$54,0,ROW(C202)-ROW($C$200))</f>
        <v>91500</v>
      </c>
      <c r="F202" s="90"/>
      <c r="G202" s="90"/>
      <c r="H202" s="90"/>
      <c r="I202" s="90"/>
      <c r="J202" s="90"/>
      <c r="K202" s="90"/>
      <c r="L202" s="90"/>
      <c r="M202" s="90"/>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row>
    <row r="203" ht="12.75" hidden="1" customHeight="1" outlineLevel="1">
      <c r="A203" s="90"/>
      <c r="C203" s="90" t="s">
        <v>515</v>
      </c>
      <c r="D203" s="90">
        <f t="shared" si="106"/>
        <v>2</v>
      </c>
      <c r="E203" s="113">
        <f>OFFSET('Region office'!$D$54,0,ROW(C203)-ROW($C$200))</f>
        <v>91500</v>
      </c>
      <c r="F203" s="90"/>
      <c r="G203" s="90"/>
      <c r="H203" s="90"/>
      <c r="I203" s="90"/>
      <c r="J203" s="90"/>
      <c r="K203" s="90"/>
      <c r="L203" s="90"/>
      <c r="M203" s="90"/>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row>
    <row r="204" ht="12.75" hidden="1" customHeight="1" outlineLevel="1">
      <c r="A204" s="90"/>
      <c r="C204" s="90" t="s">
        <v>515</v>
      </c>
      <c r="D204" s="90">
        <f t="shared" si="106"/>
        <v>3</v>
      </c>
      <c r="E204" s="113">
        <f>OFFSET('Region office'!$D$54,0,ROW(C204)-ROW($C$200))</f>
        <v>96500</v>
      </c>
      <c r="F204" s="90"/>
      <c r="G204" s="90"/>
      <c r="H204" s="90"/>
      <c r="I204" s="90"/>
      <c r="J204" s="90"/>
      <c r="K204" s="90"/>
      <c r="L204" s="90"/>
      <c r="M204" s="90"/>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row>
    <row r="205" ht="12.75" hidden="1" customHeight="1" outlineLevel="1">
      <c r="A205" s="90"/>
      <c r="C205" s="90" t="s">
        <v>515</v>
      </c>
      <c r="D205" s="90">
        <f t="shared" si="106"/>
        <v>4</v>
      </c>
      <c r="E205" s="113">
        <f>OFFSET('Region office'!$D$54,0,ROW(C205)-ROW($C$200))</f>
        <v>117000</v>
      </c>
      <c r="F205" s="90"/>
      <c r="G205" s="90"/>
      <c r="H205" s="90"/>
      <c r="I205" s="90"/>
      <c r="J205" s="90"/>
      <c r="K205" s="90"/>
      <c r="L205" s="90"/>
      <c r="M205" s="90"/>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c r="AW205" s="65"/>
      <c r="AX205" s="65"/>
    </row>
    <row r="206" ht="12.75" hidden="1" customHeight="1" outlineLevel="1">
      <c r="A206" s="90"/>
      <c r="C206" s="90" t="s">
        <v>515</v>
      </c>
      <c r="D206" s="90">
        <f t="shared" si="106"/>
        <v>5</v>
      </c>
      <c r="E206" s="113">
        <f>OFFSET('Region office'!$D$54,0,ROW(C206)-ROW($C$200))</f>
        <v>137000</v>
      </c>
      <c r="F206" s="90"/>
      <c r="G206" s="90"/>
      <c r="H206" s="90"/>
      <c r="I206" s="90"/>
      <c r="J206" s="90"/>
      <c r="K206" s="90"/>
      <c r="L206" s="90"/>
      <c r="M206" s="90"/>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row>
    <row r="207" ht="12.75" hidden="1" customHeight="1" outlineLevel="1">
      <c r="A207" s="90"/>
      <c r="C207" s="90" t="s">
        <v>515</v>
      </c>
      <c r="D207" s="90">
        <f t="shared" si="106"/>
        <v>6</v>
      </c>
      <c r="E207" s="113">
        <f>OFFSET('Region office'!$D$54,0,ROW(C207)-ROW($C$200))</f>
        <v>272125</v>
      </c>
      <c r="F207" s="90"/>
      <c r="G207" s="90"/>
      <c r="H207" s="90"/>
      <c r="I207" s="90"/>
      <c r="J207" s="90"/>
      <c r="K207" s="90"/>
      <c r="L207" s="90"/>
      <c r="M207" s="90"/>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row>
    <row r="208" ht="12.75" hidden="1" customHeight="1" outlineLevel="1">
      <c r="A208" s="90"/>
      <c r="C208" s="90" t="s">
        <v>515</v>
      </c>
      <c r="D208" s="90">
        <f t="shared" si="106"/>
        <v>7</v>
      </c>
      <c r="E208" s="113">
        <f>OFFSET('Region office'!$D$54,0,ROW(C208)-ROW($C$200))</f>
        <v>400125</v>
      </c>
      <c r="F208" s="90"/>
      <c r="G208" s="90"/>
      <c r="H208" s="90"/>
      <c r="I208" s="90"/>
      <c r="J208" s="90"/>
      <c r="K208" s="90"/>
      <c r="L208" s="90"/>
      <c r="M208" s="90"/>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row>
    <row r="209" ht="12.75" hidden="1" customHeight="1" outlineLevel="1">
      <c r="A209" s="90"/>
      <c r="C209" s="90" t="s">
        <v>515</v>
      </c>
      <c r="D209" s="90">
        <f t="shared" si="106"/>
        <v>8</v>
      </c>
      <c r="E209" s="113">
        <f>OFFSET('Region office'!$D$54,0,ROW(C209)-ROW($C$200))</f>
        <v>595750</v>
      </c>
      <c r="F209" s="90"/>
      <c r="G209" s="90"/>
      <c r="H209" s="90"/>
      <c r="I209" s="90"/>
      <c r="J209" s="90"/>
      <c r="K209" s="90"/>
      <c r="L209" s="90"/>
      <c r="M209" s="90"/>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c r="AW209" s="65"/>
      <c r="AX209" s="65"/>
    </row>
    <row r="210" ht="12.75" hidden="1" customHeight="1" outlineLevel="1">
      <c r="A210" s="90"/>
      <c r="C210" s="90" t="s">
        <v>515</v>
      </c>
      <c r="D210" s="90">
        <f t="shared" si="106"/>
        <v>9</v>
      </c>
      <c r="E210" s="113">
        <f>OFFSET('Region office'!$D$54,0,ROW(C210)-ROW($C$200))</f>
        <v>892375</v>
      </c>
      <c r="F210" s="90"/>
      <c r="G210" s="90"/>
      <c r="H210" s="90"/>
      <c r="I210" s="90"/>
      <c r="J210" s="90"/>
      <c r="K210" s="90"/>
      <c r="L210" s="90"/>
      <c r="M210" s="90"/>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c r="AW210" s="65"/>
      <c r="AX210" s="65"/>
    </row>
    <row r="211" ht="12.75" hidden="1" customHeight="1" outlineLevel="1">
      <c r="A211" s="90"/>
      <c r="C211" s="90" t="s">
        <v>515</v>
      </c>
      <c r="D211" s="90">
        <f t="shared" si="106"/>
        <v>10</v>
      </c>
      <c r="E211" s="113">
        <f>OFFSET('Region office'!$D$54,0,ROW(C211)-ROW($C$200))</f>
        <v>1384625</v>
      </c>
      <c r="F211" s="90"/>
      <c r="G211" s="90"/>
      <c r="H211" s="90"/>
      <c r="I211" s="90"/>
      <c r="J211" s="90"/>
      <c r="K211" s="90"/>
      <c r="L211" s="90"/>
      <c r="M211" s="90"/>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row>
    <row r="212" ht="12.75" hidden="1" customHeight="1" outlineLevel="1">
      <c r="A212" s="90"/>
      <c r="B212" s="90"/>
      <c r="C212" s="90" t="s">
        <v>515</v>
      </c>
      <c r="D212" s="90">
        <f t="shared" si="106"/>
        <v>11</v>
      </c>
      <c r="E212" s="113">
        <f>OFFSET('Region office'!$D$54,0,ROW(C212)-ROW($C$200))</f>
        <v>1510000</v>
      </c>
      <c r="F212" s="90"/>
      <c r="G212" s="90"/>
      <c r="H212" s="90"/>
      <c r="I212" s="90"/>
      <c r="J212" s="90"/>
      <c r="K212" s="90"/>
      <c r="L212" s="90"/>
      <c r="M212" s="90"/>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c r="AY212" s="90"/>
      <c r="AZ212" s="90"/>
      <c r="BA212" s="90"/>
      <c r="BB212" s="90"/>
    </row>
    <row r="213" ht="12.75" hidden="1" customHeight="1" outlineLevel="1">
      <c r="A213" s="90"/>
      <c r="B213" s="90"/>
      <c r="C213" s="90" t="s">
        <v>515</v>
      </c>
      <c r="D213" s="90">
        <f t="shared" si="106"/>
        <v>12</v>
      </c>
      <c r="E213" s="113">
        <f>OFFSET('Region office'!$D$54,0,ROW(C213)-ROW($C$200))</f>
        <v>1501000</v>
      </c>
      <c r="F213" s="90"/>
      <c r="G213" s="90"/>
      <c r="H213" s="90"/>
      <c r="I213" s="90"/>
      <c r="J213" s="90"/>
      <c r="K213" s="90"/>
      <c r="L213" s="90"/>
      <c r="M213" s="90"/>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c r="AY213" s="90"/>
      <c r="AZ213" s="90"/>
      <c r="BA213" s="90"/>
      <c r="BB213" s="90"/>
    </row>
    <row r="214" ht="12.75" hidden="1" customHeight="1" outlineLevel="1">
      <c r="A214" s="90"/>
      <c r="B214" s="90"/>
      <c r="C214" s="90" t="s">
        <v>515</v>
      </c>
      <c r="D214" s="90">
        <f t="shared" si="106"/>
        <v>13</v>
      </c>
      <c r="E214" s="113">
        <f>OFFSET('Region office'!$D$54,0,ROW(C214)-ROW($C$200))</f>
        <v>1501000</v>
      </c>
      <c r="F214" s="90"/>
      <c r="G214" s="90"/>
      <c r="H214" s="90"/>
      <c r="I214" s="90"/>
      <c r="J214" s="90"/>
      <c r="K214" s="90"/>
      <c r="L214" s="90"/>
      <c r="M214" s="90"/>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90"/>
      <c r="AZ214" s="90"/>
      <c r="BA214" s="90"/>
      <c r="BB214" s="90"/>
    </row>
    <row r="215" ht="12.75" hidden="1" customHeight="1" outlineLevel="1">
      <c r="A215" s="90"/>
      <c r="B215" s="90"/>
      <c r="C215" s="90" t="s">
        <v>515</v>
      </c>
      <c r="D215" s="90">
        <f t="shared" si="106"/>
        <v>14</v>
      </c>
      <c r="E215" s="113">
        <f>OFFSET('Region office'!$D$54,0,ROW(C215)-ROW($C$200))</f>
        <v>1501000</v>
      </c>
      <c r="F215" s="90"/>
      <c r="G215" s="90"/>
      <c r="H215" s="90"/>
      <c r="I215" s="90"/>
      <c r="J215" s="90"/>
      <c r="K215" s="90"/>
      <c r="L215" s="90"/>
      <c r="M215" s="90"/>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c r="AW215" s="65"/>
      <c r="AX215" s="65"/>
      <c r="AY215" s="90"/>
      <c r="AZ215" s="90"/>
      <c r="BA215" s="90"/>
      <c r="BB215" s="90"/>
    </row>
    <row r="216" ht="12.75" hidden="1" customHeight="1" outlineLevel="1">
      <c r="A216" s="90"/>
      <c r="B216" s="90"/>
      <c r="C216" s="90" t="s">
        <v>515</v>
      </c>
      <c r="D216" s="90">
        <f t="shared" si="106"/>
        <v>15</v>
      </c>
      <c r="E216" s="113">
        <f>OFFSET('Region office'!$D$54,0,ROW(C216)-ROW($C$200))</f>
        <v>1501000</v>
      </c>
      <c r="F216" s="90"/>
      <c r="G216" s="90"/>
      <c r="H216" s="90"/>
      <c r="I216" s="90"/>
      <c r="J216" s="90"/>
      <c r="K216" s="90"/>
      <c r="L216" s="90"/>
      <c r="M216" s="90"/>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c r="AW216" s="65"/>
      <c r="AX216" s="65"/>
      <c r="AY216" s="90"/>
      <c r="AZ216" s="90"/>
      <c r="BA216" s="90"/>
      <c r="BB216" s="90"/>
    </row>
    <row r="217" ht="12.75" hidden="1" customHeight="1" outlineLevel="1">
      <c r="A217" s="90"/>
      <c r="B217" s="90"/>
      <c r="C217" s="90" t="s">
        <v>515</v>
      </c>
      <c r="D217" s="90">
        <f t="shared" si="106"/>
        <v>16</v>
      </c>
      <c r="E217" s="113">
        <f>OFFSET('Region office'!$D$54,0,ROW(C217)-ROW($C$200))</f>
        <v>1501000</v>
      </c>
      <c r="F217" s="90"/>
      <c r="G217" s="90"/>
      <c r="H217" s="90"/>
      <c r="I217" s="90"/>
      <c r="J217" s="90"/>
      <c r="K217" s="90"/>
      <c r="L217" s="90"/>
      <c r="M217" s="90"/>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c r="AW217" s="65"/>
      <c r="AX217" s="65"/>
      <c r="AY217" s="90"/>
      <c r="AZ217" s="90"/>
      <c r="BA217" s="90"/>
      <c r="BB217" s="90"/>
    </row>
    <row r="218" ht="12.75" hidden="1" customHeight="1" outlineLevel="1">
      <c r="A218" s="90"/>
      <c r="B218" s="90"/>
      <c r="C218" s="90" t="s">
        <v>515</v>
      </c>
      <c r="D218" s="90">
        <f t="shared" si="106"/>
        <v>17</v>
      </c>
      <c r="E218" s="113">
        <f>OFFSET('Region office'!$D$54,0,ROW(C218)-ROW($C$200))</f>
        <v>1501000</v>
      </c>
      <c r="F218" s="90"/>
      <c r="G218" s="90"/>
      <c r="H218" s="90"/>
      <c r="I218" s="90"/>
      <c r="J218" s="90"/>
      <c r="K218" s="90"/>
      <c r="L218" s="90"/>
      <c r="M218" s="90"/>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c r="AW218" s="65"/>
      <c r="AX218" s="65"/>
      <c r="AY218" s="90"/>
      <c r="AZ218" s="90"/>
      <c r="BA218" s="90"/>
      <c r="BB218" s="90"/>
    </row>
    <row r="219" ht="12.75" hidden="1" customHeight="1" outlineLevel="1">
      <c r="A219" s="90"/>
      <c r="B219" s="90"/>
      <c r="C219" s="90" t="s">
        <v>515</v>
      </c>
      <c r="D219" s="90">
        <f t="shared" si="106"/>
        <v>18</v>
      </c>
      <c r="E219" s="113">
        <f>OFFSET('Region office'!$D$54,0,ROW(C219)-ROW($C$200))</f>
        <v>1501000</v>
      </c>
      <c r="F219" s="90"/>
      <c r="G219" s="90"/>
      <c r="H219" s="90"/>
      <c r="I219" s="90"/>
      <c r="J219" s="90"/>
      <c r="K219" s="90"/>
      <c r="L219" s="90"/>
      <c r="M219" s="90"/>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c r="AW219" s="65"/>
      <c r="AX219" s="65"/>
      <c r="AY219" s="90"/>
      <c r="AZ219" s="90"/>
      <c r="BA219" s="90"/>
      <c r="BB219" s="90"/>
    </row>
    <row r="220" ht="12.75" hidden="1" customHeight="1" outlineLevel="1">
      <c r="A220" s="90"/>
      <c r="B220" s="90"/>
      <c r="C220" s="90" t="s">
        <v>515</v>
      </c>
      <c r="D220" s="90">
        <f t="shared" si="106"/>
        <v>19</v>
      </c>
      <c r="E220" s="113">
        <f>OFFSET('Region office'!$D$54,0,ROW(C220)-ROW($C$200))</f>
        <v>1501000</v>
      </c>
      <c r="F220" s="90"/>
      <c r="G220" s="90"/>
      <c r="H220" s="90"/>
      <c r="I220" s="90"/>
      <c r="J220" s="90"/>
      <c r="K220" s="90"/>
      <c r="L220" s="90"/>
      <c r="M220" s="90"/>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c r="AW220" s="65"/>
      <c r="AX220" s="65"/>
      <c r="AY220" s="90"/>
      <c r="AZ220" s="90"/>
      <c r="BA220" s="90"/>
      <c r="BB220" s="90"/>
    </row>
    <row r="221" ht="12.75" hidden="1" customHeight="1" outlineLevel="1">
      <c r="A221" s="90"/>
      <c r="B221" s="90"/>
      <c r="C221" s="90" t="s">
        <v>515</v>
      </c>
      <c r="D221" s="90">
        <f t="shared" si="106"/>
        <v>20</v>
      </c>
      <c r="E221" s="113">
        <f>OFFSET('Region office'!$D$54,0,ROW(C221)-ROW($C$200))</f>
        <v>1501000</v>
      </c>
      <c r="F221" s="90"/>
      <c r="G221" s="90"/>
      <c r="H221" s="90"/>
      <c r="I221" s="90"/>
      <c r="J221" s="90"/>
      <c r="K221" s="90"/>
      <c r="L221" s="90"/>
      <c r="M221" s="90"/>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c r="AW221" s="65"/>
      <c r="AX221" s="65"/>
      <c r="AY221" s="90"/>
      <c r="AZ221" s="90"/>
      <c r="BA221" s="90"/>
      <c r="BB221" s="90"/>
    </row>
    <row r="222" ht="12.75" hidden="1" customHeight="1" outlineLevel="1">
      <c r="A222" s="90"/>
      <c r="B222" s="90"/>
      <c r="C222" s="90" t="s">
        <v>515</v>
      </c>
      <c r="D222" s="90">
        <f t="shared" si="106"/>
        <v>21</v>
      </c>
      <c r="E222" s="113">
        <f>OFFSET('Region office'!$D$54,0,ROW(C222)-ROW($C$200))</f>
        <v>1501000</v>
      </c>
      <c r="F222" s="90"/>
      <c r="G222" s="90"/>
      <c r="H222" s="90"/>
      <c r="I222" s="90"/>
      <c r="J222" s="90"/>
      <c r="K222" s="90"/>
      <c r="L222" s="90"/>
      <c r="M222" s="90"/>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c r="AW222" s="65"/>
      <c r="AX222" s="65"/>
      <c r="AY222" s="90"/>
      <c r="AZ222" s="90"/>
      <c r="BA222" s="90"/>
      <c r="BB222" s="90"/>
    </row>
    <row r="223" ht="12.75" hidden="1" customHeight="1" outlineLevel="1">
      <c r="A223" s="90"/>
      <c r="B223" s="90"/>
      <c r="C223" s="90" t="s">
        <v>515</v>
      </c>
      <c r="D223" s="90">
        <f t="shared" si="106"/>
        <v>22</v>
      </c>
      <c r="E223" s="113">
        <f>OFFSET('Region office'!$D$54,0,ROW(C223)-ROW($C$200))</f>
        <v>1501000</v>
      </c>
      <c r="F223" s="90"/>
      <c r="G223" s="90"/>
      <c r="H223" s="90"/>
      <c r="I223" s="90"/>
      <c r="J223" s="90"/>
      <c r="K223" s="90"/>
      <c r="L223" s="90"/>
      <c r="M223" s="90"/>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c r="AW223" s="65"/>
      <c r="AX223" s="65"/>
      <c r="AY223" s="90"/>
      <c r="AZ223" s="90"/>
      <c r="BA223" s="90"/>
      <c r="BB223" s="90"/>
    </row>
    <row r="224" ht="12.75" hidden="1" customHeight="1" outlineLevel="1">
      <c r="A224" s="90"/>
      <c r="B224" s="90"/>
      <c r="C224" s="90" t="s">
        <v>515</v>
      </c>
      <c r="D224" s="90">
        <f t="shared" si="106"/>
        <v>23</v>
      </c>
      <c r="E224" s="113">
        <f>OFFSET('Region office'!$D$54,0,ROW(C224)-ROW($C$200))</f>
        <v>1501000</v>
      </c>
      <c r="F224" s="90"/>
      <c r="G224" s="90"/>
      <c r="H224" s="90"/>
      <c r="I224" s="90"/>
      <c r="J224" s="90"/>
      <c r="K224" s="90"/>
      <c r="L224" s="90"/>
      <c r="M224" s="90"/>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c r="AW224" s="65"/>
      <c r="AX224" s="65"/>
      <c r="AY224" s="90"/>
      <c r="AZ224" s="90"/>
      <c r="BA224" s="90"/>
      <c r="BB224" s="90"/>
    </row>
    <row r="225" ht="12.75" hidden="1" customHeight="1" outlineLevel="1">
      <c r="A225" s="90"/>
      <c r="B225" s="90"/>
      <c r="C225" s="90" t="s">
        <v>515</v>
      </c>
      <c r="D225" s="90">
        <f t="shared" si="106"/>
        <v>24</v>
      </c>
      <c r="E225" s="113">
        <f>OFFSET('Region office'!$D$54,0,ROW(C225)-ROW($C$200))</f>
        <v>1501000</v>
      </c>
      <c r="F225" s="90"/>
      <c r="G225" s="90"/>
      <c r="H225" s="90"/>
      <c r="I225" s="90"/>
      <c r="J225" s="90"/>
      <c r="K225" s="90"/>
      <c r="L225" s="90"/>
      <c r="M225" s="90"/>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c r="AY225" s="90"/>
      <c r="AZ225" s="90"/>
      <c r="BA225" s="90"/>
      <c r="BB225" s="90"/>
    </row>
    <row r="226" ht="12.75" hidden="1" customHeight="1" outlineLevel="1">
      <c r="A226" s="90"/>
      <c r="B226" s="90"/>
      <c r="C226" s="90" t="s">
        <v>515</v>
      </c>
      <c r="D226" s="90">
        <f t="shared" si="106"/>
        <v>25</v>
      </c>
      <c r="E226" s="113">
        <f>OFFSET('Region office'!$D$54,0,ROW(C226)-ROW($C$200))</f>
        <v>1501000</v>
      </c>
      <c r="F226" s="90"/>
      <c r="G226" s="90"/>
      <c r="H226" s="90"/>
      <c r="I226" s="90"/>
      <c r="J226" s="90"/>
      <c r="K226" s="90"/>
      <c r="L226" s="90"/>
      <c r="M226" s="90"/>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c r="AY226" s="90"/>
      <c r="AZ226" s="90"/>
      <c r="BA226" s="90"/>
      <c r="BB226" s="90"/>
    </row>
    <row r="227" ht="12.75" hidden="1" customHeight="1" outlineLevel="1">
      <c r="A227" s="90"/>
      <c r="B227" s="90"/>
      <c r="C227" s="90" t="s">
        <v>515</v>
      </c>
      <c r="D227" s="90">
        <f t="shared" si="106"/>
        <v>26</v>
      </c>
      <c r="E227" s="113">
        <f>OFFSET('Region office'!$D$54,0,ROW(C227)-ROW($C$200))</f>
        <v>1501000</v>
      </c>
      <c r="F227" s="90"/>
      <c r="G227" s="90"/>
      <c r="H227" s="90"/>
      <c r="I227" s="90"/>
      <c r="J227" s="90"/>
      <c r="K227" s="90"/>
      <c r="L227" s="90"/>
      <c r="M227" s="90"/>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c r="AW227" s="65"/>
      <c r="AX227" s="65"/>
      <c r="AY227" s="90"/>
      <c r="AZ227" s="90"/>
      <c r="BA227" s="90"/>
      <c r="BB227" s="90"/>
    </row>
    <row r="228" ht="12.75" hidden="1" customHeight="1" outlineLevel="1">
      <c r="A228" s="90"/>
      <c r="B228" s="90"/>
      <c r="C228" s="90" t="s">
        <v>515</v>
      </c>
      <c r="D228" s="90">
        <f t="shared" si="106"/>
        <v>27</v>
      </c>
      <c r="E228" s="113">
        <f>OFFSET('Region office'!$D$54,0,ROW(C228)-ROW($C$200))</f>
        <v>1501000</v>
      </c>
      <c r="F228" s="90"/>
      <c r="G228" s="90"/>
      <c r="H228" s="90"/>
      <c r="I228" s="90"/>
      <c r="J228" s="90"/>
      <c r="K228" s="90"/>
      <c r="L228" s="90"/>
      <c r="M228" s="90"/>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c r="AW228" s="65"/>
      <c r="AX228" s="65"/>
      <c r="AY228" s="90"/>
      <c r="AZ228" s="90"/>
      <c r="BA228" s="90"/>
      <c r="BB228" s="90"/>
    </row>
    <row r="229" ht="12.75" hidden="1" customHeight="1" outlineLevel="1">
      <c r="A229" s="90"/>
      <c r="B229" s="90"/>
      <c r="C229" s="90" t="s">
        <v>515</v>
      </c>
      <c r="D229" s="90">
        <f t="shared" si="106"/>
        <v>28</v>
      </c>
      <c r="E229" s="113">
        <f>OFFSET('Region office'!$D$54,0,ROW(C229)-ROW($C$200))</f>
        <v>1501000</v>
      </c>
      <c r="F229" s="90"/>
      <c r="G229" s="90"/>
      <c r="H229" s="90"/>
      <c r="I229" s="90"/>
      <c r="J229" s="90"/>
      <c r="K229" s="90"/>
      <c r="L229" s="90"/>
      <c r="M229" s="90"/>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c r="AW229" s="65"/>
      <c r="AX229" s="65"/>
      <c r="AY229" s="90"/>
      <c r="AZ229" s="90"/>
      <c r="BA229" s="90"/>
      <c r="BB229" s="90"/>
    </row>
    <row r="230" ht="12.75" hidden="1" customHeight="1" outlineLevel="1">
      <c r="A230" s="90"/>
      <c r="B230" s="90"/>
      <c r="C230" s="90" t="s">
        <v>515</v>
      </c>
      <c r="D230" s="90">
        <f t="shared" si="106"/>
        <v>29</v>
      </c>
      <c r="E230" s="113">
        <f>OFFSET('Region office'!$D$54,0,ROW(C230)-ROW($C$200))</f>
        <v>1501000</v>
      </c>
      <c r="F230" s="90"/>
      <c r="G230" s="90"/>
      <c r="H230" s="90"/>
      <c r="I230" s="90"/>
      <c r="J230" s="90"/>
      <c r="K230" s="90"/>
      <c r="L230" s="90"/>
      <c r="M230" s="90"/>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c r="AW230" s="65"/>
      <c r="AX230" s="65"/>
      <c r="AY230" s="90"/>
      <c r="AZ230" s="90"/>
      <c r="BA230" s="90"/>
      <c r="BB230" s="90"/>
    </row>
    <row r="231" ht="12.75" hidden="1" customHeight="1" outlineLevel="1">
      <c r="A231" s="90"/>
      <c r="B231" s="90"/>
      <c r="C231" s="90" t="s">
        <v>515</v>
      </c>
      <c r="D231" s="90">
        <f t="shared" si="106"/>
        <v>30</v>
      </c>
      <c r="E231" s="113">
        <f>OFFSET('Region office'!$D$54,0,ROW(C231)-ROW($C$200))</f>
        <v>1501000</v>
      </c>
      <c r="F231" s="90"/>
      <c r="G231" s="90"/>
      <c r="H231" s="90"/>
      <c r="I231" s="90"/>
      <c r="J231" s="90"/>
      <c r="K231" s="90"/>
      <c r="L231" s="90"/>
      <c r="M231" s="90"/>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c r="AW231" s="65"/>
      <c r="AX231" s="65"/>
      <c r="AY231" s="90"/>
      <c r="AZ231" s="90"/>
      <c r="BA231" s="90"/>
      <c r="BB231" s="90"/>
    </row>
    <row r="232" ht="12.75" hidden="1" customHeight="1" outlineLevel="1">
      <c r="A232" s="90"/>
      <c r="C232" s="90" t="s">
        <v>515</v>
      </c>
      <c r="D232" s="90">
        <f t="shared" si="106"/>
        <v>31</v>
      </c>
      <c r="E232" s="117">
        <f>OFFSET('Region office'!$D$54,0,ROW(C232)-ROW($C$200))</f>
        <v>1501000</v>
      </c>
      <c r="F232" s="87"/>
      <c r="G232" s="87"/>
      <c r="H232" s="87"/>
      <c r="I232" s="87"/>
      <c r="J232" s="87"/>
      <c r="K232" s="87"/>
      <c r="L232" s="87"/>
      <c r="M232" s="87"/>
      <c r="N232" s="200"/>
      <c r="O232" s="200"/>
      <c r="P232" s="200"/>
      <c r="Q232" s="200"/>
      <c r="R232" s="200"/>
      <c r="S232" s="200"/>
      <c r="T232" s="200"/>
      <c r="U232" s="200"/>
      <c r="V232" s="200"/>
      <c r="W232" s="200"/>
      <c r="X232" s="200"/>
      <c r="Y232" s="200"/>
      <c r="Z232" s="200"/>
      <c r="AA232" s="200"/>
      <c r="AB232" s="200"/>
      <c r="AC232" s="200"/>
      <c r="AD232" s="200"/>
      <c r="AE232" s="200"/>
      <c r="AF232" s="200"/>
      <c r="AG232" s="200"/>
      <c r="AH232" s="200"/>
      <c r="AI232" s="200"/>
      <c r="AJ232" s="200"/>
      <c r="AK232" s="200"/>
      <c r="AL232" s="200"/>
      <c r="AM232" s="200"/>
      <c r="AN232" s="200"/>
      <c r="AO232" s="200"/>
      <c r="AP232" s="200"/>
      <c r="AQ232" s="200"/>
      <c r="AR232" s="200"/>
      <c r="AS232" s="200"/>
      <c r="AT232" s="200"/>
      <c r="AU232" s="200"/>
      <c r="AV232" s="200"/>
      <c r="AW232" s="200"/>
      <c r="AX232" s="200"/>
    </row>
    <row r="233" ht="12.75" hidden="1" customHeight="1" outlineLevel="1">
      <c r="A233" s="90"/>
      <c r="C233" s="90"/>
      <c r="D233" s="90"/>
      <c r="E233" s="67" t="s">
        <v>315</v>
      </c>
      <c r="F233" s="90"/>
      <c r="G233" s="90"/>
      <c r="H233" s="90"/>
      <c r="I233" s="90"/>
      <c r="J233" s="90"/>
      <c r="K233" s="90"/>
      <c r="L233" s="90"/>
      <c r="M233" s="76">
        <f t="shared" ref="M233:AX233" si="107">SUMPRODUCT(M$39:M$71,$E200:$E232)*M$10</f>
        <v>0</v>
      </c>
      <c r="N233" s="76">
        <f t="shared" si="107"/>
        <v>0</v>
      </c>
      <c r="O233" s="76">
        <f t="shared" si="107"/>
        <v>0</v>
      </c>
      <c r="P233" s="76">
        <f t="shared" si="107"/>
        <v>0</v>
      </c>
      <c r="Q233" s="76">
        <f t="shared" si="107"/>
        <v>85506.6</v>
      </c>
      <c r="R233" s="76">
        <f t="shared" si="107"/>
        <v>96148.566</v>
      </c>
      <c r="S233" s="76">
        <f t="shared" si="107"/>
        <v>275993.6706</v>
      </c>
      <c r="T233" s="76">
        <f t="shared" si="107"/>
        <v>577786.0505</v>
      </c>
      <c r="U233" s="76">
        <f t="shared" si="107"/>
        <v>1114374.9</v>
      </c>
      <c r="V233" s="76">
        <f t="shared" si="107"/>
        <v>1982697.624</v>
      </c>
      <c r="W233" s="76">
        <f t="shared" si="107"/>
        <v>3590230.605</v>
      </c>
      <c r="X233" s="76">
        <f t="shared" si="107"/>
        <v>5784590.448</v>
      </c>
      <c r="Y233" s="76">
        <f t="shared" si="107"/>
        <v>6652731.671</v>
      </c>
      <c r="Z233" s="76">
        <f t="shared" si="107"/>
        <v>8017234.228</v>
      </c>
      <c r="AA233" s="76">
        <f t="shared" si="107"/>
        <v>10170211.8</v>
      </c>
      <c r="AB233" s="76">
        <f t="shared" si="107"/>
        <v>13387173.24</v>
      </c>
      <c r="AC233" s="76">
        <f t="shared" si="107"/>
        <v>17772652.52</v>
      </c>
      <c r="AD233" s="76">
        <f t="shared" si="107"/>
        <v>24249319.04</v>
      </c>
      <c r="AE233" s="76">
        <f t="shared" si="107"/>
        <v>30008724.1</v>
      </c>
      <c r="AF233" s="76">
        <f t="shared" si="107"/>
        <v>36379311</v>
      </c>
      <c r="AG233" s="76">
        <f t="shared" si="107"/>
        <v>42614577.07</v>
      </c>
      <c r="AH233" s="76">
        <f t="shared" si="107"/>
        <v>45618286.3</v>
      </c>
      <c r="AI233" s="76">
        <f t="shared" si="107"/>
        <v>46530652.03</v>
      </c>
      <c r="AJ233" s="76">
        <f t="shared" si="107"/>
        <v>47461265.07</v>
      </c>
      <c r="AK233" s="76">
        <f t="shared" si="107"/>
        <v>48410490.37</v>
      </c>
      <c r="AL233" s="76">
        <f t="shared" si="107"/>
        <v>49378700.18</v>
      </c>
      <c r="AM233" s="76">
        <f t="shared" si="107"/>
        <v>50366274.18</v>
      </c>
      <c r="AN233" s="76">
        <f t="shared" si="107"/>
        <v>51373599.66</v>
      </c>
      <c r="AO233" s="76">
        <f t="shared" si="107"/>
        <v>52401071.66</v>
      </c>
      <c r="AP233" s="76">
        <f t="shared" si="107"/>
        <v>53449093.09</v>
      </c>
      <c r="AQ233" s="76">
        <f t="shared" si="107"/>
        <v>54518074.95</v>
      </c>
      <c r="AR233" s="76">
        <f t="shared" si="107"/>
        <v>55608436.45</v>
      </c>
      <c r="AS233" s="76">
        <f t="shared" si="107"/>
        <v>56720605.18</v>
      </c>
      <c r="AT233" s="76">
        <f t="shared" si="107"/>
        <v>57855017.28</v>
      </c>
      <c r="AU233" s="76">
        <f t="shared" si="107"/>
        <v>59012117.63</v>
      </c>
      <c r="AV233" s="76">
        <f t="shared" si="107"/>
        <v>60192359.98</v>
      </c>
      <c r="AW233" s="76">
        <f t="shared" si="107"/>
        <v>61396207.18</v>
      </c>
      <c r="AX233" s="76">
        <f t="shared" si="107"/>
        <v>62624131.33</v>
      </c>
    </row>
    <row r="234" ht="12.75" hidden="1" customHeight="1" outlineLevel="1">
      <c r="A234" s="90"/>
      <c r="C234" s="90"/>
      <c r="D234" s="90"/>
      <c r="E234" s="90"/>
      <c r="F234" s="90"/>
      <c r="G234" s="90"/>
      <c r="H234" s="90"/>
      <c r="I234" s="90"/>
      <c r="J234" s="90"/>
      <c r="K234" s="90"/>
      <c r="L234" s="90"/>
      <c r="M234" s="90"/>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row>
    <row r="235" ht="12.75" hidden="1" customHeight="1" outlineLevel="1">
      <c r="A235" s="90"/>
      <c r="B235" s="67" t="s">
        <v>190</v>
      </c>
      <c r="C235" s="90"/>
      <c r="D235" s="90"/>
      <c r="E235" s="90"/>
      <c r="F235" s="90"/>
      <c r="G235" s="90"/>
      <c r="H235" s="90"/>
      <c r="I235" s="90"/>
      <c r="J235" s="90"/>
      <c r="K235" s="90"/>
      <c r="L235" s="90"/>
      <c r="M235" s="90"/>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c r="AW235" s="65"/>
      <c r="AX235" s="65"/>
    </row>
    <row r="236" ht="12.75" hidden="1" customHeight="1" outlineLevel="1">
      <c r="A236" s="90"/>
      <c r="C236" s="90"/>
      <c r="D236" s="90"/>
      <c r="E236" s="67" t="s">
        <v>523</v>
      </c>
      <c r="F236" s="90"/>
      <c r="G236" s="90"/>
      <c r="H236" s="90"/>
      <c r="I236" s="90"/>
      <c r="J236" s="90"/>
      <c r="K236" s="90"/>
      <c r="L236" s="90"/>
      <c r="M236" s="90"/>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c r="AW236" s="65"/>
      <c r="AX236" s="65"/>
    </row>
    <row r="237" ht="12.75" hidden="1" customHeight="1" outlineLevel="1">
      <c r="A237" s="90"/>
      <c r="C237" s="90" t="s">
        <v>515</v>
      </c>
      <c r="D237" s="90">
        <v>-1.0</v>
      </c>
      <c r="E237" s="271">
        <f>OFFSET('Region Staffing'!$I$7,0,ROW(D237)-ROW($D$237))</f>
        <v>0</v>
      </c>
      <c r="F237" s="90"/>
      <c r="G237" s="90"/>
      <c r="H237" s="90"/>
      <c r="I237" s="90"/>
      <c r="J237" s="90"/>
      <c r="K237" s="90"/>
      <c r="L237" s="90"/>
      <c r="M237" s="90"/>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c r="AW237" s="65"/>
      <c r="AX237" s="65"/>
    </row>
    <row r="238" ht="12.75" hidden="1" customHeight="1" outlineLevel="1">
      <c r="A238" s="90"/>
      <c r="C238" s="90" t="s">
        <v>515</v>
      </c>
      <c r="D238" s="90">
        <f t="shared" ref="D238:D269" si="108">D237+1</f>
        <v>0</v>
      </c>
      <c r="E238" s="271">
        <f>OFFSET('Region Staffing'!$I$7,0,ROW(D238)-ROW($D$237))</f>
        <v>3</v>
      </c>
      <c r="F238" s="90"/>
      <c r="G238" s="90"/>
      <c r="H238" s="90"/>
      <c r="I238" s="90"/>
      <c r="J238" s="90"/>
      <c r="K238" s="90"/>
      <c r="L238" s="90"/>
      <c r="M238" s="90"/>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c r="AW238" s="65"/>
      <c r="AX238" s="65"/>
    </row>
    <row r="239" ht="12.75" hidden="1" customHeight="1" outlineLevel="1">
      <c r="A239" s="90"/>
      <c r="C239" s="90" t="s">
        <v>515</v>
      </c>
      <c r="D239" s="90">
        <f t="shared" si="108"/>
        <v>1</v>
      </c>
      <c r="E239" s="271">
        <f>OFFSET('Region Staffing'!$I$7,0,ROW(D239)-ROW($D$237))</f>
        <v>4</v>
      </c>
      <c r="F239" s="90"/>
      <c r="G239" s="90"/>
      <c r="H239" s="90"/>
      <c r="I239" s="90"/>
      <c r="J239" s="90"/>
      <c r="K239" s="90"/>
      <c r="L239" s="90"/>
      <c r="M239" s="90"/>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c r="AW239" s="65"/>
      <c r="AX239" s="65"/>
    </row>
    <row r="240" ht="12.75" hidden="1" customHeight="1" outlineLevel="1">
      <c r="A240" s="90"/>
      <c r="C240" s="90" t="s">
        <v>515</v>
      </c>
      <c r="D240" s="90">
        <f t="shared" si="108"/>
        <v>2</v>
      </c>
      <c r="E240" s="271">
        <f>OFFSET('Region Staffing'!$I$7,0,ROW(D240)-ROW($D$237))</f>
        <v>4</v>
      </c>
      <c r="F240" s="90"/>
      <c r="G240" s="90"/>
      <c r="H240" s="90"/>
      <c r="I240" s="90"/>
      <c r="J240" s="90"/>
      <c r="K240" s="90"/>
      <c r="L240" s="90"/>
      <c r="M240" s="90"/>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c r="AW240" s="65"/>
      <c r="AX240" s="65"/>
    </row>
    <row r="241" ht="12.75" hidden="1" customHeight="1" outlineLevel="1">
      <c r="A241" s="90"/>
      <c r="C241" s="90" t="s">
        <v>515</v>
      </c>
      <c r="D241" s="90">
        <f t="shared" si="108"/>
        <v>3</v>
      </c>
      <c r="E241" s="271">
        <f>OFFSET('Region Staffing'!$I$7,0,ROW(D241)-ROW($D$237))</f>
        <v>4</v>
      </c>
      <c r="F241" s="90"/>
      <c r="G241" s="90"/>
      <c r="H241" s="90"/>
      <c r="I241" s="90"/>
      <c r="J241" s="90"/>
      <c r="K241" s="90"/>
      <c r="L241" s="90"/>
      <c r="M241" s="90"/>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c r="AW241" s="65"/>
      <c r="AX241" s="65"/>
    </row>
    <row r="242" ht="12.75" hidden="1" customHeight="1" outlineLevel="1">
      <c r="A242" s="90"/>
      <c r="C242" s="90" t="s">
        <v>515</v>
      </c>
      <c r="D242" s="90">
        <f t="shared" si="108"/>
        <v>4</v>
      </c>
      <c r="E242" s="271">
        <f>OFFSET('Region Staffing'!$I$7,0,ROW(D242)-ROW($D$237))</f>
        <v>7</v>
      </c>
      <c r="F242" s="90"/>
      <c r="G242" s="90"/>
      <c r="H242" s="90"/>
      <c r="I242" s="90"/>
      <c r="J242" s="90"/>
      <c r="K242" s="90"/>
      <c r="L242" s="90"/>
      <c r="M242" s="90"/>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c r="AW242" s="65"/>
      <c r="AX242" s="65"/>
    </row>
    <row r="243" ht="12.75" hidden="1" customHeight="1" outlineLevel="1">
      <c r="A243" s="90"/>
      <c r="C243" s="90" t="s">
        <v>515</v>
      </c>
      <c r="D243" s="90">
        <f t="shared" si="108"/>
        <v>5</v>
      </c>
      <c r="E243" s="271">
        <f>OFFSET('Region Staffing'!$I$7,0,ROW(D243)-ROW($D$237))</f>
        <v>7</v>
      </c>
      <c r="F243" s="90"/>
      <c r="G243" s="90"/>
      <c r="H243" s="90"/>
      <c r="I243" s="90"/>
      <c r="J243" s="90"/>
      <c r="K243" s="90"/>
      <c r="L243" s="90"/>
      <c r="M243" s="90"/>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c r="AW243" s="65"/>
      <c r="AX243" s="65"/>
    </row>
    <row r="244" ht="12.75" hidden="1" customHeight="1" outlineLevel="1">
      <c r="A244" s="90"/>
      <c r="C244" s="90" t="s">
        <v>515</v>
      </c>
      <c r="D244" s="90">
        <f t="shared" si="108"/>
        <v>6</v>
      </c>
      <c r="E244" s="271">
        <f>OFFSET('Region Staffing'!$I$7,0,ROW(D244)-ROW($D$237))</f>
        <v>11</v>
      </c>
      <c r="F244" s="90"/>
      <c r="G244" s="90"/>
      <c r="H244" s="90"/>
      <c r="I244" s="90"/>
      <c r="J244" s="90"/>
      <c r="K244" s="90"/>
      <c r="L244" s="90"/>
      <c r="M244" s="90"/>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c r="AW244" s="65"/>
      <c r="AX244" s="65"/>
    </row>
    <row r="245" ht="12.75" hidden="1" customHeight="1" outlineLevel="1">
      <c r="A245" s="90"/>
      <c r="C245" s="90" t="s">
        <v>515</v>
      </c>
      <c r="D245" s="90">
        <f t="shared" si="108"/>
        <v>7</v>
      </c>
      <c r="E245" s="271">
        <f>OFFSET('Region Staffing'!$I$7,0,ROW(D245)-ROW($D$237))</f>
        <v>18</v>
      </c>
      <c r="F245" s="90"/>
      <c r="G245" s="90"/>
      <c r="H245" s="90"/>
      <c r="I245" s="90"/>
      <c r="J245" s="90"/>
      <c r="K245" s="90"/>
      <c r="L245" s="90"/>
      <c r="M245" s="90"/>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c r="AW245" s="65"/>
      <c r="AX245" s="65"/>
    </row>
    <row r="246" ht="12.75" hidden="1" customHeight="1" outlineLevel="1">
      <c r="A246" s="90"/>
      <c r="C246" s="90" t="s">
        <v>515</v>
      </c>
      <c r="D246" s="90">
        <f t="shared" si="108"/>
        <v>8</v>
      </c>
      <c r="E246" s="271">
        <f>OFFSET('Region Staffing'!$I$7,0,ROW(D246)-ROW($D$237))</f>
        <v>28</v>
      </c>
      <c r="F246" s="90"/>
      <c r="G246" s="90"/>
      <c r="H246" s="90"/>
      <c r="I246" s="90"/>
      <c r="J246" s="90"/>
      <c r="K246" s="90"/>
      <c r="L246" s="90"/>
      <c r="M246" s="90"/>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c r="AW246" s="65"/>
      <c r="AX246" s="65"/>
    </row>
    <row r="247" ht="12.75" hidden="1" customHeight="1" outlineLevel="1">
      <c r="A247" s="90"/>
      <c r="C247" s="90" t="s">
        <v>515</v>
      </c>
      <c r="D247" s="90">
        <f t="shared" si="108"/>
        <v>9</v>
      </c>
      <c r="E247" s="271">
        <f>OFFSET('Region Staffing'!$I$7,0,ROW(D247)-ROW($D$237))</f>
        <v>42</v>
      </c>
      <c r="F247" s="90"/>
      <c r="G247" s="90"/>
      <c r="H247" s="90"/>
      <c r="I247" s="90"/>
      <c r="J247" s="90"/>
      <c r="K247" s="90"/>
      <c r="L247" s="90"/>
      <c r="M247" s="90"/>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c r="AW247" s="65"/>
      <c r="AX247" s="65"/>
    </row>
    <row r="248" ht="12.75" hidden="1" customHeight="1" outlineLevel="1">
      <c r="A248" s="90"/>
      <c r="C248" s="90" t="s">
        <v>515</v>
      </c>
      <c r="D248" s="90">
        <f t="shared" si="108"/>
        <v>10</v>
      </c>
      <c r="E248" s="271">
        <f>OFFSET('Region Staffing'!$I$7,0,ROW(D248)-ROW($D$237))</f>
        <v>66</v>
      </c>
      <c r="F248" s="90"/>
      <c r="G248" s="90"/>
      <c r="H248" s="90"/>
      <c r="I248" s="90"/>
      <c r="J248" s="90"/>
      <c r="K248" s="90"/>
      <c r="L248" s="90"/>
      <c r="M248" s="90"/>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c r="AW248" s="65"/>
      <c r="AX248" s="65"/>
    </row>
    <row r="249" ht="12.75" hidden="1" customHeight="1" outlineLevel="1">
      <c r="A249" s="90"/>
      <c r="C249" s="90" t="s">
        <v>515</v>
      </c>
      <c r="D249" s="90">
        <f t="shared" si="108"/>
        <v>11</v>
      </c>
      <c r="E249" s="271">
        <f>OFFSET('Region Staffing'!$I$7,0,ROW(D249)-ROW($D$237))</f>
        <v>70</v>
      </c>
      <c r="F249" s="90"/>
      <c r="G249" s="90"/>
      <c r="H249" s="90"/>
      <c r="I249" s="90"/>
      <c r="J249" s="90"/>
      <c r="K249" s="90"/>
      <c r="L249" s="90"/>
      <c r="M249" s="90"/>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c r="AW249" s="65"/>
      <c r="AX249" s="65"/>
    </row>
    <row r="250" ht="12.75" hidden="1" customHeight="1" outlineLevel="1">
      <c r="A250" s="90"/>
      <c r="C250" s="90" t="s">
        <v>515</v>
      </c>
      <c r="D250" s="90">
        <f t="shared" si="108"/>
        <v>12</v>
      </c>
      <c r="E250" s="271">
        <f>OFFSET('Region Staffing'!$I$7,0,ROW(D250)-ROW($D$237))</f>
        <v>69</v>
      </c>
      <c r="F250" s="90"/>
      <c r="G250" s="90"/>
      <c r="H250" s="90"/>
      <c r="I250" s="90"/>
      <c r="J250" s="90"/>
      <c r="K250" s="90"/>
      <c r="L250" s="90"/>
      <c r="M250" s="90"/>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c r="AW250" s="65"/>
      <c r="AX250" s="65"/>
    </row>
    <row r="251" ht="12.75" hidden="1" customHeight="1" outlineLevel="1">
      <c r="A251" s="90"/>
      <c r="C251" s="90" t="s">
        <v>515</v>
      </c>
      <c r="D251" s="90">
        <f t="shared" si="108"/>
        <v>13</v>
      </c>
      <c r="E251" s="271">
        <f>OFFSET('Region Staffing'!$I$7,0,ROW(D251)-ROW($D$237))</f>
        <v>69</v>
      </c>
      <c r="F251" s="90"/>
      <c r="G251" s="90"/>
      <c r="H251" s="90"/>
      <c r="I251" s="90"/>
      <c r="J251" s="90"/>
      <c r="K251" s="90"/>
      <c r="L251" s="90"/>
      <c r="M251" s="90"/>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c r="AW251" s="65"/>
      <c r="AX251" s="65"/>
    </row>
    <row r="252" ht="12.75" hidden="1" customHeight="1" outlineLevel="1">
      <c r="A252" s="90"/>
      <c r="C252" s="90" t="s">
        <v>515</v>
      </c>
      <c r="D252" s="90">
        <f t="shared" si="108"/>
        <v>14</v>
      </c>
      <c r="E252" s="271">
        <f>OFFSET('Region Staffing'!$I$7,0,ROW(D252)-ROW($D$237))</f>
        <v>69</v>
      </c>
      <c r="F252" s="90"/>
      <c r="G252" s="90"/>
      <c r="H252" s="90"/>
      <c r="I252" s="90"/>
      <c r="J252" s="90"/>
      <c r="K252" s="90"/>
      <c r="L252" s="90"/>
      <c r="M252" s="90"/>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c r="AW252" s="65"/>
      <c r="AX252" s="65"/>
    </row>
    <row r="253" ht="12.75" hidden="1" customHeight="1" outlineLevel="1">
      <c r="A253" s="90"/>
      <c r="B253" s="90"/>
      <c r="C253" s="90" t="s">
        <v>515</v>
      </c>
      <c r="D253" s="90">
        <f t="shared" si="108"/>
        <v>15</v>
      </c>
      <c r="E253" s="271">
        <f>OFFSET('Region Staffing'!$I$7,0,ROW(D253)-ROW($D$237))</f>
        <v>69</v>
      </c>
      <c r="F253" s="90"/>
      <c r="G253" s="90"/>
      <c r="H253" s="90"/>
      <c r="I253" s="90"/>
      <c r="J253" s="90"/>
      <c r="K253" s="90"/>
      <c r="L253" s="90"/>
      <c r="M253" s="90"/>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c r="AW253" s="65"/>
      <c r="AX253" s="65"/>
      <c r="AY253" s="90"/>
      <c r="AZ253" s="90"/>
      <c r="BA253" s="90"/>
      <c r="BB253" s="90"/>
    </row>
    <row r="254" ht="12.75" hidden="1" customHeight="1" outlineLevel="1">
      <c r="A254" s="90"/>
      <c r="B254" s="90"/>
      <c r="C254" s="90" t="s">
        <v>515</v>
      </c>
      <c r="D254" s="90">
        <f t="shared" si="108"/>
        <v>16</v>
      </c>
      <c r="E254" s="271">
        <f>OFFSET('Region Staffing'!$I$7,0,ROW(D254)-ROW($D$237))</f>
        <v>69</v>
      </c>
      <c r="F254" s="90"/>
      <c r="G254" s="90"/>
      <c r="H254" s="90"/>
      <c r="I254" s="90"/>
      <c r="J254" s="90"/>
      <c r="K254" s="90"/>
      <c r="L254" s="90"/>
      <c r="M254" s="90"/>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c r="AW254" s="65"/>
      <c r="AX254" s="65"/>
      <c r="AY254" s="90"/>
      <c r="AZ254" s="90"/>
      <c r="BA254" s="90"/>
      <c r="BB254" s="90"/>
    </row>
    <row r="255" ht="12.75" hidden="1" customHeight="1" outlineLevel="1">
      <c r="A255" s="90"/>
      <c r="B255" s="90"/>
      <c r="C255" s="90" t="s">
        <v>515</v>
      </c>
      <c r="D255" s="90">
        <f t="shared" si="108"/>
        <v>17</v>
      </c>
      <c r="E255" s="271">
        <f>OFFSET('Region Staffing'!$I$7,0,ROW(D255)-ROW($D$237))</f>
        <v>69</v>
      </c>
      <c r="F255" s="90"/>
      <c r="G255" s="90"/>
      <c r="H255" s="90"/>
      <c r="I255" s="90"/>
      <c r="J255" s="90"/>
      <c r="K255" s="90"/>
      <c r="L255" s="90"/>
      <c r="M255" s="90"/>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c r="AW255" s="65"/>
      <c r="AX255" s="65"/>
      <c r="AY255" s="90"/>
      <c r="AZ255" s="90"/>
      <c r="BA255" s="90"/>
      <c r="BB255" s="90"/>
    </row>
    <row r="256" ht="12.75" hidden="1" customHeight="1" outlineLevel="1">
      <c r="A256" s="90"/>
      <c r="B256" s="90"/>
      <c r="C256" s="90" t="s">
        <v>515</v>
      </c>
      <c r="D256" s="90">
        <f t="shared" si="108"/>
        <v>18</v>
      </c>
      <c r="E256" s="271">
        <f>OFFSET('Region Staffing'!$I$7,0,ROW(D256)-ROW($D$237))</f>
        <v>69</v>
      </c>
      <c r="F256" s="90"/>
      <c r="G256" s="90"/>
      <c r="H256" s="90"/>
      <c r="I256" s="90"/>
      <c r="J256" s="90"/>
      <c r="K256" s="90"/>
      <c r="L256" s="90"/>
      <c r="M256" s="90"/>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c r="AW256" s="65"/>
      <c r="AX256" s="65"/>
      <c r="AY256" s="90"/>
      <c r="AZ256" s="90"/>
      <c r="BA256" s="90"/>
      <c r="BB256" s="90"/>
    </row>
    <row r="257" ht="12.75" hidden="1" customHeight="1" outlineLevel="1">
      <c r="A257" s="90"/>
      <c r="B257" s="90"/>
      <c r="C257" s="90" t="s">
        <v>515</v>
      </c>
      <c r="D257" s="90">
        <f t="shared" si="108"/>
        <v>19</v>
      </c>
      <c r="E257" s="271">
        <f>OFFSET('Region Staffing'!$I$7,0,ROW(D257)-ROW($D$237))</f>
        <v>69</v>
      </c>
      <c r="F257" s="90"/>
      <c r="G257" s="90"/>
      <c r="H257" s="90"/>
      <c r="I257" s="90"/>
      <c r="J257" s="90"/>
      <c r="K257" s="90"/>
      <c r="L257" s="90"/>
      <c r="M257" s="90"/>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c r="AW257" s="65"/>
      <c r="AX257" s="65"/>
      <c r="AY257" s="90"/>
      <c r="AZ257" s="90"/>
      <c r="BA257" s="90"/>
      <c r="BB257" s="90"/>
    </row>
    <row r="258" ht="12.75" hidden="1" customHeight="1" outlineLevel="1">
      <c r="A258" s="90"/>
      <c r="B258" s="90"/>
      <c r="C258" s="90" t="s">
        <v>515</v>
      </c>
      <c r="D258" s="90">
        <f t="shared" si="108"/>
        <v>20</v>
      </c>
      <c r="E258" s="271">
        <f>OFFSET('Region Staffing'!$I$7,0,ROW(D258)-ROW($D$237))</f>
        <v>69</v>
      </c>
      <c r="F258" s="90"/>
      <c r="G258" s="90"/>
      <c r="H258" s="90"/>
      <c r="I258" s="90"/>
      <c r="J258" s="90"/>
      <c r="K258" s="90"/>
      <c r="L258" s="90"/>
      <c r="M258" s="90"/>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c r="AW258" s="65"/>
      <c r="AX258" s="65"/>
      <c r="AY258" s="90"/>
      <c r="AZ258" s="90"/>
      <c r="BA258" s="90"/>
      <c r="BB258" s="90"/>
    </row>
    <row r="259" ht="12.75" hidden="1" customHeight="1" outlineLevel="1">
      <c r="A259" s="90"/>
      <c r="B259" s="90"/>
      <c r="C259" s="90" t="s">
        <v>515</v>
      </c>
      <c r="D259" s="90">
        <f t="shared" si="108"/>
        <v>21</v>
      </c>
      <c r="E259" s="271">
        <f>OFFSET('Region Staffing'!$I$7,0,ROW(D259)-ROW($D$237))</f>
        <v>69</v>
      </c>
      <c r="F259" s="90"/>
      <c r="G259" s="90"/>
      <c r="H259" s="90"/>
      <c r="I259" s="90"/>
      <c r="J259" s="90"/>
      <c r="K259" s="90"/>
      <c r="L259" s="90"/>
      <c r="M259" s="90"/>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c r="AW259" s="65"/>
      <c r="AX259" s="65"/>
      <c r="AY259" s="90"/>
      <c r="AZ259" s="90"/>
      <c r="BA259" s="90"/>
      <c r="BB259" s="90"/>
    </row>
    <row r="260" ht="12.75" hidden="1" customHeight="1" outlineLevel="1">
      <c r="A260" s="90"/>
      <c r="B260" s="90"/>
      <c r="C260" s="90" t="s">
        <v>515</v>
      </c>
      <c r="D260" s="90">
        <f t="shared" si="108"/>
        <v>22</v>
      </c>
      <c r="E260" s="271">
        <f>OFFSET('Region Staffing'!$I$7,0,ROW(D260)-ROW($D$237))</f>
        <v>69</v>
      </c>
      <c r="F260" s="90"/>
      <c r="G260" s="90"/>
      <c r="H260" s="90"/>
      <c r="I260" s="90"/>
      <c r="J260" s="90"/>
      <c r="K260" s="90"/>
      <c r="L260" s="90"/>
      <c r="M260" s="90"/>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c r="AW260" s="65"/>
      <c r="AX260" s="65"/>
      <c r="AY260" s="90"/>
      <c r="AZ260" s="90"/>
      <c r="BA260" s="90"/>
      <c r="BB260" s="90"/>
    </row>
    <row r="261" ht="12.75" hidden="1" customHeight="1" outlineLevel="1">
      <c r="A261" s="90"/>
      <c r="B261" s="90"/>
      <c r="C261" s="90" t="s">
        <v>515</v>
      </c>
      <c r="D261" s="90">
        <f t="shared" si="108"/>
        <v>23</v>
      </c>
      <c r="E261" s="271">
        <f>OFFSET('Region Staffing'!$I$7,0,ROW(D261)-ROW($D$237))</f>
        <v>69</v>
      </c>
      <c r="F261" s="90"/>
      <c r="G261" s="90"/>
      <c r="H261" s="90"/>
      <c r="I261" s="90"/>
      <c r="J261" s="90"/>
      <c r="K261" s="90"/>
      <c r="L261" s="90"/>
      <c r="M261" s="90"/>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c r="AW261" s="65"/>
      <c r="AX261" s="65"/>
      <c r="AY261" s="90"/>
      <c r="AZ261" s="90"/>
      <c r="BA261" s="90"/>
      <c r="BB261" s="90"/>
    </row>
    <row r="262" ht="12.75" hidden="1" customHeight="1" outlineLevel="1">
      <c r="A262" s="90"/>
      <c r="B262" s="90"/>
      <c r="C262" s="90" t="s">
        <v>515</v>
      </c>
      <c r="D262" s="90">
        <f t="shared" si="108"/>
        <v>24</v>
      </c>
      <c r="E262" s="271">
        <f>OFFSET('Region Staffing'!$I$7,0,ROW(D262)-ROW($D$237))</f>
        <v>69</v>
      </c>
      <c r="F262" s="90"/>
      <c r="G262" s="90"/>
      <c r="H262" s="90"/>
      <c r="I262" s="90"/>
      <c r="J262" s="90"/>
      <c r="K262" s="90"/>
      <c r="L262" s="90"/>
      <c r="M262" s="90"/>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c r="AW262" s="65"/>
      <c r="AX262" s="65"/>
      <c r="AY262" s="90"/>
      <c r="AZ262" s="90"/>
      <c r="BA262" s="90"/>
      <c r="BB262" s="90"/>
    </row>
    <row r="263" ht="12.75" hidden="1" customHeight="1" outlineLevel="1">
      <c r="A263" s="90"/>
      <c r="B263" s="90"/>
      <c r="C263" s="90" t="s">
        <v>515</v>
      </c>
      <c r="D263" s="90">
        <f t="shared" si="108"/>
        <v>25</v>
      </c>
      <c r="E263" s="271">
        <f>OFFSET('Region Staffing'!$I$7,0,ROW(D263)-ROW($D$237))</f>
        <v>69</v>
      </c>
      <c r="F263" s="90"/>
      <c r="G263" s="90"/>
      <c r="H263" s="90"/>
      <c r="I263" s="90"/>
      <c r="J263" s="90"/>
      <c r="K263" s="90"/>
      <c r="L263" s="90"/>
      <c r="M263" s="90"/>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c r="AW263" s="65"/>
      <c r="AX263" s="65"/>
      <c r="AY263" s="90"/>
      <c r="AZ263" s="90"/>
      <c r="BA263" s="90"/>
      <c r="BB263" s="90"/>
    </row>
    <row r="264" ht="12.75" hidden="1" customHeight="1" outlineLevel="1">
      <c r="A264" s="90"/>
      <c r="B264" s="90"/>
      <c r="C264" s="90" t="s">
        <v>515</v>
      </c>
      <c r="D264" s="90">
        <f t="shared" si="108"/>
        <v>26</v>
      </c>
      <c r="E264" s="271">
        <f>OFFSET('Region Staffing'!$I$7,0,ROW(D264)-ROW($D$237))</f>
        <v>69</v>
      </c>
      <c r="F264" s="90"/>
      <c r="G264" s="90"/>
      <c r="H264" s="90"/>
      <c r="I264" s="90"/>
      <c r="J264" s="90"/>
      <c r="K264" s="90"/>
      <c r="L264" s="90"/>
      <c r="M264" s="90"/>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c r="AW264" s="65"/>
      <c r="AX264" s="65"/>
      <c r="AY264" s="90"/>
      <c r="AZ264" s="90"/>
      <c r="BA264" s="90"/>
      <c r="BB264" s="90"/>
    </row>
    <row r="265" ht="12.75" hidden="1" customHeight="1" outlineLevel="1">
      <c r="A265" s="90"/>
      <c r="B265" s="90"/>
      <c r="C265" s="90" t="s">
        <v>515</v>
      </c>
      <c r="D265" s="90">
        <f t="shared" si="108"/>
        <v>27</v>
      </c>
      <c r="E265" s="271">
        <f>OFFSET('Region Staffing'!$I$7,0,ROW(D265)-ROW($D$237))</f>
        <v>69</v>
      </c>
      <c r="F265" s="90"/>
      <c r="G265" s="90"/>
      <c r="H265" s="90"/>
      <c r="I265" s="90"/>
      <c r="J265" s="90"/>
      <c r="K265" s="90"/>
      <c r="L265" s="90"/>
      <c r="M265" s="90"/>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c r="AW265" s="65"/>
      <c r="AX265" s="65"/>
      <c r="AY265" s="90"/>
      <c r="AZ265" s="90"/>
      <c r="BA265" s="90"/>
      <c r="BB265" s="90"/>
    </row>
    <row r="266" ht="12.75" hidden="1" customHeight="1" outlineLevel="1">
      <c r="A266" s="90"/>
      <c r="B266" s="90"/>
      <c r="C266" s="90" t="s">
        <v>515</v>
      </c>
      <c r="D266" s="90">
        <f t="shared" si="108"/>
        <v>28</v>
      </c>
      <c r="E266" s="271">
        <f>OFFSET('Region Staffing'!$I$7,0,ROW(D266)-ROW($D$237))</f>
        <v>69</v>
      </c>
      <c r="F266" s="90"/>
      <c r="G266" s="90"/>
      <c r="H266" s="90"/>
      <c r="I266" s="90"/>
      <c r="J266" s="90"/>
      <c r="K266" s="90"/>
      <c r="L266" s="90"/>
      <c r="M266" s="90"/>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c r="AW266" s="65"/>
      <c r="AX266" s="65"/>
      <c r="AY266" s="90"/>
      <c r="AZ266" s="90"/>
      <c r="BA266" s="90"/>
      <c r="BB266" s="90"/>
    </row>
    <row r="267" ht="12.75" hidden="1" customHeight="1" outlineLevel="1">
      <c r="A267" s="90"/>
      <c r="B267" s="90"/>
      <c r="C267" s="90" t="s">
        <v>515</v>
      </c>
      <c r="D267" s="90">
        <f t="shared" si="108"/>
        <v>29</v>
      </c>
      <c r="E267" s="271">
        <f>OFFSET('Region Staffing'!$I$7,0,ROW(D267)-ROW($D$237))</f>
        <v>69</v>
      </c>
      <c r="F267" s="90"/>
      <c r="G267" s="90"/>
      <c r="H267" s="90"/>
      <c r="I267" s="90"/>
      <c r="J267" s="90"/>
      <c r="K267" s="90"/>
      <c r="L267" s="90"/>
      <c r="M267" s="90"/>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c r="AW267" s="65"/>
      <c r="AX267" s="65"/>
      <c r="AY267" s="90"/>
      <c r="AZ267" s="90"/>
      <c r="BA267" s="90"/>
      <c r="BB267" s="90"/>
    </row>
    <row r="268" ht="12.75" hidden="1" customHeight="1" outlineLevel="1">
      <c r="A268" s="90"/>
      <c r="B268" s="90"/>
      <c r="C268" s="90" t="s">
        <v>515</v>
      </c>
      <c r="D268" s="90">
        <f t="shared" si="108"/>
        <v>30</v>
      </c>
      <c r="E268" s="271">
        <f>OFFSET('Region Staffing'!$I$7,0,ROW(D268)-ROW($D$237))</f>
        <v>69</v>
      </c>
      <c r="F268" s="90"/>
      <c r="G268" s="90"/>
      <c r="H268" s="90"/>
      <c r="I268" s="90"/>
      <c r="J268" s="90"/>
      <c r="K268" s="90"/>
      <c r="L268" s="90"/>
      <c r="M268" s="90"/>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c r="AW268" s="65"/>
      <c r="AX268" s="65"/>
      <c r="AY268" s="90"/>
      <c r="AZ268" s="90"/>
      <c r="BA268" s="90"/>
      <c r="BB268" s="90"/>
    </row>
    <row r="269" ht="12.75" hidden="1" customHeight="1" outlineLevel="1">
      <c r="A269" s="90"/>
      <c r="B269" s="90"/>
      <c r="C269" s="90" t="s">
        <v>515</v>
      </c>
      <c r="D269" s="90">
        <f t="shared" si="108"/>
        <v>31</v>
      </c>
      <c r="E269" s="271">
        <f>OFFSET('Region Staffing'!$I$7,0,ROW(D269)-ROW($D$237))</f>
        <v>69</v>
      </c>
      <c r="F269" s="90"/>
      <c r="G269" s="90"/>
      <c r="H269" s="90"/>
      <c r="I269" s="90"/>
      <c r="J269" s="90"/>
      <c r="K269" s="90"/>
      <c r="L269" s="90"/>
      <c r="M269" s="90"/>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c r="AW269" s="65"/>
      <c r="AX269" s="65"/>
      <c r="AY269" s="90"/>
      <c r="AZ269" s="90"/>
      <c r="BA269" s="90"/>
      <c r="BB269" s="90"/>
    </row>
    <row r="270" ht="12.75" hidden="1" customHeight="1" outlineLevel="1">
      <c r="A270" s="90"/>
      <c r="C270" s="90"/>
      <c r="D270" s="90"/>
      <c r="E270" s="67" t="s">
        <v>273</v>
      </c>
      <c r="F270" s="90"/>
      <c r="G270" s="90"/>
      <c r="H270" s="90"/>
      <c r="I270" s="90"/>
      <c r="J270" s="90"/>
      <c r="K270" s="90"/>
      <c r="L270" s="90"/>
      <c r="M270" s="272">
        <f t="shared" ref="M270:AX270" si="109">SUMPRODUCT(M$39:M$71,$E237:$E269)</f>
        <v>0</v>
      </c>
      <c r="N270" s="272">
        <f t="shared" si="109"/>
        <v>0</v>
      </c>
      <c r="O270" s="272">
        <f t="shared" si="109"/>
        <v>0</v>
      </c>
      <c r="P270" s="272">
        <f t="shared" si="109"/>
        <v>0</v>
      </c>
      <c r="Q270" s="272">
        <f t="shared" si="109"/>
        <v>3</v>
      </c>
      <c r="R270" s="272">
        <f t="shared" si="109"/>
        <v>4</v>
      </c>
      <c r="S270" s="272">
        <f t="shared" si="109"/>
        <v>10</v>
      </c>
      <c r="T270" s="272">
        <f t="shared" si="109"/>
        <v>21</v>
      </c>
      <c r="U270" s="272">
        <f t="shared" si="109"/>
        <v>42</v>
      </c>
      <c r="V270" s="272">
        <f t="shared" si="109"/>
        <v>71</v>
      </c>
      <c r="W270" s="272">
        <f t="shared" si="109"/>
        <v>128</v>
      </c>
      <c r="X270" s="272">
        <f t="shared" si="109"/>
        <v>208</v>
      </c>
      <c r="Y270" s="272">
        <f t="shared" si="109"/>
        <v>248</v>
      </c>
      <c r="Z270" s="272">
        <f t="shared" si="109"/>
        <v>298</v>
      </c>
      <c r="AA270" s="272">
        <f t="shared" si="109"/>
        <v>378</v>
      </c>
      <c r="AB270" s="272">
        <f t="shared" si="109"/>
        <v>496</v>
      </c>
      <c r="AC270" s="272">
        <f t="shared" si="109"/>
        <v>604</v>
      </c>
      <c r="AD270" s="272">
        <f t="shared" si="109"/>
        <v>793</v>
      </c>
      <c r="AE270" s="272">
        <f t="shared" si="109"/>
        <v>996</v>
      </c>
      <c r="AF270" s="272">
        <f t="shared" si="109"/>
        <v>1202</v>
      </c>
      <c r="AG270" s="272">
        <f t="shared" si="109"/>
        <v>1384</v>
      </c>
      <c r="AH270" s="272">
        <f t="shared" si="109"/>
        <v>1456</v>
      </c>
      <c r="AI270" s="272">
        <f t="shared" si="109"/>
        <v>1456</v>
      </c>
      <c r="AJ270" s="272">
        <f t="shared" si="109"/>
        <v>1456</v>
      </c>
      <c r="AK270" s="272">
        <f t="shared" si="109"/>
        <v>1456</v>
      </c>
      <c r="AL270" s="272">
        <f t="shared" si="109"/>
        <v>1456</v>
      </c>
      <c r="AM270" s="272">
        <f t="shared" si="109"/>
        <v>1456</v>
      </c>
      <c r="AN270" s="272">
        <f t="shared" si="109"/>
        <v>1456</v>
      </c>
      <c r="AO270" s="272">
        <f t="shared" si="109"/>
        <v>1456</v>
      </c>
      <c r="AP270" s="272">
        <f t="shared" si="109"/>
        <v>1456</v>
      </c>
      <c r="AQ270" s="272">
        <f t="shared" si="109"/>
        <v>1456</v>
      </c>
      <c r="AR270" s="272">
        <f t="shared" si="109"/>
        <v>1456</v>
      </c>
      <c r="AS270" s="272">
        <f t="shared" si="109"/>
        <v>1456</v>
      </c>
      <c r="AT270" s="272">
        <f t="shared" si="109"/>
        <v>1456</v>
      </c>
      <c r="AU270" s="272">
        <f t="shared" si="109"/>
        <v>1456</v>
      </c>
      <c r="AV270" s="272">
        <f t="shared" si="109"/>
        <v>1456</v>
      </c>
      <c r="AW270" s="272">
        <f t="shared" si="109"/>
        <v>1456</v>
      </c>
      <c r="AX270" s="272">
        <f t="shared" si="109"/>
        <v>1456</v>
      </c>
    </row>
    <row r="271" ht="12.75" customHeight="1">
      <c r="A271" s="90"/>
      <c r="C271" s="90"/>
      <c r="D271" s="90"/>
      <c r="E271" s="90"/>
      <c r="F271" s="90"/>
      <c r="G271" s="90"/>
      <c r="H271" s="90"/>
      <c r="I271" s="90"/>
      <c r="J271" s="90"/>
      <c r="K271" s="90"/>
      <c r="L271" s="90"/>
      <c r="M271" s="90"/>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c r="AW271" s="65"/>
      <c r="AX271" s="65"/>
    </row>
    <row r="272" ht="12.75" customHeight="1">
      <c r="A272" s="106" t="s">
        <v>496</v>
      </c>
      <c r="B272" s="253"/>
      <c r="C272" s="253"/>
      <c r="D272" s="253"/>
      <c r="E272" s="253"/>
      <c r="F272" s="253"/>
      <c r="G272" s="253"/>
      <c r="H272" s="253"/>
      <c r="I272" s="253"/>
      <c r="J272" s="253"/>
      <c r="K272" s="253"/>
      <c r="L272" s="253"/>
      <c r="M272" s="253"/>
      <c r="N272" s="253"/>
      <c r="O272" s="253"/>
      <c r="P272" s="253"/>
      <c r="Q272" s="253"/>
      <c r="R272" s="253"/>
      <c r="S272" s="253"/>
      <c r="T272" s="253"/>
      <c r="U272" s="253"/>
      <c r="V272" s="253"/>
      <c r="W272" s="253"/>
      <c r="X272" s="253"/>
      <c r="Y272" s="253"/>
      <c r="Z272" s="253"/>
      <c r="AA272" s="253"/>
      <c r="AB272" s="253"/>
      <c r="AC272" s="253"/>
      <c r="AD272" s="253"/>
      <c r="AE272" s="253"/>
      <c r="AF272" s="253"/>
      <c r="AG272" s="253"/>
      <c r="AH272" s="253"/>
      <c r="AI272" s="253"/>
      <c r="AJ272" s="253"/>
      <c r="AK272" s="253"/>
      <c r="AL272" s="253"/>
      <c r="AM272" s="253"/>
      <c r="AN272" s="253"/>
      <c r="AO272" s="253"/>
      <c r="AP272" s="253"/>
      <c r="AQ272" s="253"/>
      <c r="AR272" s="253"/>
      <c r="AS272" s="253"/>
      <c r="AT272" s="253"/>
      <c r="AU272" s="253"/>
      <c r="AV272" s="253"/>
      <c r="AW272" s="253"/>
      <c r="AX272" s="253"/>
    </row>
    <row r="273" ht="12.75" hidden="1" customHeight="1" outlineLevel="1">
      <c r="A273" s="90"/>
      <c r="B273" s="90"/>
      <c r="C273" s="90"/>
      <c r="D273" s="90"/>
      <c r="E273" s="90"/>
      <c r="F273" s="90"/>
      <c r="G273" s="90"/>
      <c r="H273" s="90"/>
      <c r="I273" s="90"/>
      <c r="J273" s="90"/>
      <c r="K273" s="90"/>
      <c r="L273" s="90"/>
      <c r="M273" s="90"/>
      <c r="N273" s="90"/>
      <c r="O273" s="90"/>
      <c r="P273" s="90"/>
      <c r="Q273" s="90"/>
    </row>
    <row r="274" ht="12.75" hidden="1" customHeight="1" outlineLevel="1">
      <c r="A274" s="90"/>
      <c r="B274" s="67" t="s">
        <v>242</v>
      </c>
      <c r="C274" s="90"/>
      <c r="D274" s="90"/>
      <c r="E274" s="90"/>
      <c r="F274" s="90"/>
      <c r="G274" s="90"/>
      <c r="H274" s="90"/>
      <c r="I274" s="90"/>
      <c r="J274" s="90"/>
      <c r="K274" s="90"/>
      <c r="L274" s="90"/>
      <c r="M274" s="90"/>
      <c r="N274" s="90"/>
      <c r="O274" s="90"/>
      <c r="P274" s="90"/>
      <c r="Q274" s="90"/>
    </row>
    <row r="275" ht="12.75" hidden="1" customHeight="1" outlineLevel="1">
      <c r="A275" s="90"/>
      <c r="B275" s="90"/>
      <c r="C275" s="90" t="s">
        <v>243</v>
      </c>
      <c r="D275" s="90"/>
      <c r="E275" s="90"/>
      <c r="F275" s="90"/>
      <c r="G275" s="99"/>
      <c r="H275" s="99"/>
      <c r="I275" s="99"/>
      <c r="J275" s="99"/>
      <c r="K275" s="99"/>
      <c r="L275" s="99"/>
      <c r="M275" s="99">
        <f t="shared" ref="M275:AX275" si="110">M284-M277</f>
        <v>0</v>
      </c>
      <c r="N275" s="99">
        <f t="shared" si="110"/>
        <v>0</v>
      </c>
      <c r="O275" s="93">
        <f t="shared" si="110"/>
        <v>0.38494</v>
      </c>
      <c r="P275" s="93">
        <f t="shared" si="110"/>
        <v>950000.7575</v>
      </c>
      <c r="Q275" s="93">
        <f t="shared" si="110"/>
        <v>551761.4708</v>
      </c>
      <c r="R275" s="93">
        <f t="shared" si="110"/>
        <v>3144383.118</v>
      </c>
      <c r="S275" s="93">
        <f t="shared" si="110"/>
        <v>5157250.395</v>
      </c>
      <c r="T275" s="93">
        <f t="shared" si="110"/>
        <v>2590820.792</v>
      </c>
      <c r="U275" s="93">
        <f t="shared" si="110"/>
        <v>-3193856.621</v>
      </c>
      <c r="V275" s="93">
        <f t="shared" si="110"/>
        <v>-12735209.39</v>
      </c>
      <c r="W275" s="93">
        <f t="shared" si="110"/>
        <v>-29356804.01</v>
      </c>
      <c r="X275" s="93">
        <f t="shared" si="110"/>
        <v>-54484158.76</v>
      </c>
      <c r="Y275" s="93">
        <f t="shared" si="110"/>
        <v>-77655522.11</v>
      </c>
      <c r="Z275" s="93">
        <f t="shared" si="110"/>
        <v>-96112741.78</v>
      </c>
      <c r="AA275" s="93">
        <f t="shared" si="110"/>
        <v>-105229072.6</v>
      </c>
      <c r="AB275" s="93">
        <f t="shared" si="110"/>
        <v>-102965215.1</v>
      </c>
      <c r="AC275" s="93">
        <f t="shared" si="110"/>
        <v>-82942951.39</v>
      </c>
      <c r="AD275" s="93">
        <f t="shared" si="110"/>
        <v>-53918465.15</v>
      </c>
      <c r="AE275" s="93">
        <f t="shared" si="110"/>
        <v>-10078835.67</v>
      </c>
      <c r="AF275" s="93">
        <f t="shared" si="110"/>
        <v>52076362.83</v>
      </c>
      <c r="AG275" s="93">
        <f t="shared" si="110"/>
        <v>135097106.2</v>
      </c>
      <c r="AH275" s="93">
        <f t="shared" si="110"/>
        <v>240979231.4</v>
      </c>
      <c r="AI275" s="93">
        <f t="shared" si="110"/>
        <v>349697543.7</v>
      </c>
      <c r="AJ275" s="93">
        <f t="shared" si="110"/>
        <v>446217763.3</v>
      </c>
      <c r="AK275" s="93">
        <f t="shared" si="110"/>
        <v>530967940.1</v>
      </c>
      <c r="AL275" s="93">
        <f t="shared" si="110"/>
        <v>614749005.6</v>
      </c>
      <c r="AM275" s="93">
        <f t="shared" si="110"/>
        <v>699789793.5</v>
      </c>
      <c r="AN275" s="93">
        <f t="shared" si="110"/>
        <v>786311543.2</v>
      </c>
      <c r="AO275" s="93">
        <f t="shared" si="110"/>
        <v>874455876.7</v>
      </c>
      <c r="AP275" s="93">
        <f t="shared" si="110"/>
        <v>964347263.8</v>
      </c>
      <c r="AQ275" s="93" t="str">
        <f t="shared" si="110"/>
        <v>#REF!</v>
      </c>
      <c r="AR275" s="93" t="str">
        <f t="shared" si="110"/>
        <v>#REF!</v>
      </c>
      <c r="AS275" s="93" t="str">
        <f t="shared" si="110"/>
        <v>#REF!</v>
      </c>
      <c r="AT275" s="93" t="str">
        <f t="shared" si="110"/>
        <v>#REF!</v>
      </c>
      <c r="AU275" s="93" t="str">
        <f t="shared" si="110"/>
        <v>#REF!</v>
      </c>
      <c r="AV275" s="93" t="str">
        <f t="shared" si="110"/>
        <v>#REF!</v>
      </c>
      <c r="AW275" s="93" t="str">
        <f t="shared" si="110"/>
        <v>#REF!</v>
      </c>
      <c r="AX275" s="93" t="str">
        <f t="shared" si="110"/>
        <v>#REF!</v>
      </c>
    </row>
    <row r="276" ht="12.75" hidden="1" customHeight="1" outlineLevel="1">
      <c r="A276" s="90"/>
      <c r="B276" s="90"/>
      <c r="C276" s="90" t="s">
        <v>252</v>
      </c>
      <c r="D276" s="90"/>
      <c r="E276" s="90"/>
      <c r="F276" s="90"/>
      <c r="G276" s="99"/>
      <c r="H276" s="99"/>
      <c r="I276" s="99"/>
      <c r="J276" s="99"/>
      <c r="K276" s="99"/>
      <c r="L276" s="99"/>
      <c r="M276" s="99">
        <v>0.0</v>
      </c>
      <c r="N276" s="99">
        <v>0.0</v>
      </c>
      <c r="O276" s="93">
        <v>0.0</v>
      </c>
      <c r="P276" s="93">
        <v>0.0</v>
      </c>
      <c r="Q276" s="93">
        <v>0.0</v>
      </c>
      <c r="R276" s="93">
        <v>0.0</v>
      </c>
      <c r="S276" s="93">
        <v>0.0</v>
      </c>
      <c r="T276" s="93">
        <v>0.0</v>
      </c>
      <c r="U276" s="93">
        <v>0.0</v>
      </c>
      <c r="V276" s="93">
        <v>0.0</v>
      </c>
      <c r="W276" s="93">
        <v>0.0</v>
      </c>
      <c r="X276" s="93">
        <v>0.0</v>
      </c>
      <c r="Y276" s="93">
        <v>0.0</v>
      </c>
      <c r="Z276" s="93">
        <v>0.0</v>
      </c>
      <c r="AA276" s="93">
        <v>0.0</v>
      </c>
      <c r="AB276" s="93">
        <v>0.0</v>
      </c>
      <c r="AC276" s="93">
        <v>0.0</v>
      </c>
      <c r="AD276" s="93">
        <v>0.0</v>
      </c>
      <c r="AE276" s="93">
        <v>0.0</v>
      </c>
      <c r="AF276" s="93">
        <v>0.0</v>
      </c>
      <c r="AG276" s="93">
        <v>0.0</v>
      </c>
      <c r="AH276" s="93">
        <v>0.0</v>
      </c>
      <c r="AI276" s="93">
        <v>0.0</v>
      </c>
      <c r="AJ276" s="93">
        <v>0.0</v>
      </c>
      <c r="AK276" s="93">
        <v>0.0</v>
      </c>
      <c r="AL276" s="93">
        <v>0.0</v>
      </c>
      <c r="AM276" s="93">
        <v>0.0</v>
      </c>
      <c r="AN276" s="93">
        <v>0.0</v>
      </c>
      <c r="AO276" s="93">
        <v>0.0</v>
      </c>
      <c r="AP276" s="93">
        <v>0.0</v>
      </c>
      <c r="AQ276" s="93">
        <v>0.0</v>
      </c>
      <c r="AR276" s="93">
        <v>0.0</v>
      </c>
      <c r="AS276" s="93">
        <v>0.0</v>
      </c>
      <c r="AT276" s="93">
        <v>0.0</v>
      </c>
      <c r="AU276" s="93">
        <v>0.0</v>
      </c>
      <c r="AV276" s="93">
        <v>0.0</v>
      </c>
      <c r="AW276" s="93">
        <v>0.0</v>
      </c>
      <c r="AX276" s="93">
        <v>0.0</v>
      </c>
    </row>
    <row r="277" ht="12.75" hidden="1" customHeight="1" outlineLevel="1">
      <c r="A277" s="90"/>
      <c r="B277" s="157">
        <f>B281</f>
        <v>0.05</v>
      </c>
      <c r="C277" s="87" t="s">
        <v>142</v>
      </c>
      <c r="D277" s="87"/>
      <c r="E277" s="87"/>
      <c r="F277" s="87"/>
      <c r="G277" s="125"/>
      <c r="H277" s="125"/>
      <c r="I277" s="125"/>
      <c r="J277" s="125"/>
      <c r="K277" s="125"/>
      <c r="L277" s="125"/>
      <c r="M277" s="125">
        <f t="shared" ref="M277:AX277" si="111">$B277*M18</f>
        <v>0</v>
      </c>
      <c r="N277" s="125">
        <f t="shared" si="111"/>
        <v>0</v>
      </c>
      <c r="O277" s="119">
        <f t="shared" si="111"/>
        <v>0.02026</v>
      </c>
      <c r="P277" s="119">
        <f t="shared" si="111"/>
        <v>50000.01854</v>
      </c>
      <c r="Q277" s="119">
        <f t="shared" si="111"/>
        <v>309.0976209</v>
      </c>
      <c r="R277" s="119">
        <f t="shared" si="111"/>
        <v>171363.1912</v>
      </c>
      <c r="S277" s="119">
        <f t="shared" si="111"/>
        <v>182632.8446</v>
      </c>
      <c r="T277" s="119">
        <f t="shared" si="111"/>
        <v>41041.49706</v>
      </c>
      <c r="U277" s="119">
        <f t="shared" si="111"/>
        <v>64289.69985</v>
      </c>
      <c r="V277" s="119">
        <f t="shared" si="111"/>
        <v>146888.4052</v>
      </c>
      <c r="W277" s="119">
        <f t="shared" si="111"/>
        <v>296556.9078</v>
      </c>
      <c r="X277" s="119">
        <f t="shared" si="111"/>
        <v>598544.5973</v>
      </c>
      <c r="Y277" s="119">
        <f t="shared" si="111"/>
        <v>1094734.617</v>
      </c>
      <c r="Z277" s="119">
        <f t="shared" si="111"/>
        <v>1726651.616</v>
      </c>
      <c r="AA277" s="119">
        <f t="shared" si="111"/>
        <v>2824776.837</v>
      </c>
      <c r="AB277" s="119">
        <f t="shared" si="111"/>
        <v>4327922.583</v>
      </c>
      <c r="AC277" s="119">
        <f t="shared" si="111"/>
        <v>6273170.281</v>
      </c>
      <c r="AD277" s="119">
        <f t="shared" si="111"/>
        <v>8446975.936</v>
      </c>
      <c r="AE277" s="119">
        <f t="shared" si="111"/>
        <v>11027081.89</v>
      </c>
      <c r="AF277" s="119">
        <f t="shared" si="111"/>
        <v>13823956.74</v>
      </c>
      <c r="AG277" s="119">
        <f t="shared" si="111"/>
        <v>16604662.19</v>
      </c>
      <c r="AH277" s="119">
        <f t="shared" si="111"/>
        <v>18660032.89</v>
      </c>
      <c r="AI277" s="119">
        <f t="shared" si="111"/>
        <v>18648014.58</v>
      </c>
      <c r="AJ277" s="119">
        <f t="shared" si="111"/>
        <v>18265486.39</v>
      </c>
      <c r="AK277" s="119">
        <f t="shared" si="111"/>
        <v>17949482.5</v>
      </c>
      <c r="AL277" s="119">
        <f t="shared" si="111"/>
        <v>18204114.19</v>
      </c>
      <c r="AM277" s="119">
        <f t="shared" si="111"/>
        <v>18551799.59</v>
      </c>
      <c r="AN277" s="119">
        <f t="shared" si="111"/>
        <v>18912127.31</v>
      </c>
      <c r="AO277" s="119">
        <f t="shared" si="111"/>
        <v>19285257.07</v>
      </c>
      <c r="AP277" s="119">
        <f t="shared" si="111"/>
        <v>19670397.99</v>
      </c>
      <c r="AQ277" s="119" t="str">
        <f t="shared" si="111"/>
        <v>#REF!</v>
      </c>
      <c r="AR277" s="119" t="str">
        <f t="shared" si="111"/>
        <v>#REF!</v>
      </c>
      <c r="AS277" s="119" t="str">
        <f t="shared" si="111"/>
        <v>#REF!</v>
      </c>
      <c r="AT277" s="119" t="str">
        <f t="shared" si="111"/>
        <v>#REF!</v>
      </c>
      <c r="AU277" s="119" t="str">
        <f t="shared" si="111"/>
        <v>#REF!</v>
      </c>
      <c r="AV277" s="119" t="str">
        <f t="shared" si="111"/>
        <v>#REF!</v>
      </c>
      <c r="AW277" s="119" t="str">
        <f t="shared" si="111"/>
        <v>#REF!</v>
      </c>
      <c r="AX277" s="119" t="str">
        <f t="shared" si="111"/>
        <v>#REF!</v>
      </c>
    </row>
    <row r="278" ht="12.75" hidden="1" customHeight="1" outlineLevel="1">
      <c r="A278" s="90"/>
      <c r="B278" s="67" t="s">
        <v>249</v>
      </c>
      <c r="C278" s="90"/>
      <c r="D278" s="90"/>
      <c r="E278" s="90"/>
      <c r="F278" s="90"/>
      <c r="G278" s="99"/>
      <c r="H278" s="99"/>
      <c r="I278" s="99"/>
      <c r="J278" s="99"/>
      <c r="K278" s="99"/>
      <c r="L278" s="99"/>
      <c r="M278" s="99">
        <f t="shared" ref="M278:AX278" si="112">SUM(M275:M277)</f>
        <v>0</v>
      </c>
      <c r="N278" s="99">
        <f t="shared" si="112"/>
        <v>0</v>
      </c>
      <c r="O278" s="93">
        <f t="shared" si="112"/>
        <v>0.4052</v>
      </c>
      <c r="P278" s="93">
        <f t="shared" si="112"/>
        <v>1000000.776</v>
      </c>
      <c r="Q278" s="93">
        <f t="shared" si="112"/>
        <v>552070.5684</v>
      </c>
      <c r="R278" s="93">
        <f t="shared" si="112"/>
        <v>3315746.309</v>
      </c>
      <c r="S278" s="93">
        <f t="shared" si="112"/>
        <v>5339883.24</v>
      </c>
      <c r="T278" s="93">
        <f t="shared" si="112"/>
        <v>2631862.289</v>
      </c>
      <c r="U278" s="93">
        <f t="shared" si="112"/>
        <v>-3129566.921</v>
      </c>
      <c r="V278" s="93">
        <f t="shared" si="112"/>
        <v>-12588320.98</v>
      </c>
      <c r="W278" s="93">
        <f t="shared" si="112"/>
        <v>-29060247.1</v>
      </c>
      <c r="X278" s="93">
        <f t="shared" si="112"/>
        <v>-53885614.16</v>
      </c>
      <c r="Y278" s="93">
        <f t="shared" si="112"/>
        <v>-76560787.5</v>
      </c>
      <c r="Z278" s="93">
        <f t="shared" si="112"/>
        <v>-94386090.16</v>
      </c>
      <c r="AA278" s="93">
        <f t="shared" si="112"/>
        <v>-102404295.8</v>
      </c>
      <c r="AB278" s="93">
        <f t="shared" si="112"/>
        <v>-98637292.56</v>
      </c>
      <c r="AC278" s="93">
        <f t="shared" si="112"/>
        <v>-76669781.11</v>
      </c>
      <c r="AD278" s="93">
        <f t="shared" si="112"/>
        <v>-45471489.21</v>
      </c>
      <c r="AE278" s="93">
        <f t="shared" si="112"/>
        <v>948246.219</v>
      </c>
      <c r="AF278" s="93">
        <f t="shared" si="112"/>
        <v>65900319.57</v>
      </c>
      <c r="AG278" s="93">
        <f t="shared" si="112"/>
        <v>151701768.4</v>
      </c>
      <c r="AH278" s="93">
        <f t="shared" si="112"/>
        <v>259639264.3</v>
      </c>
      <c r="AI278" s="93">
        <f t="shared" si="112"/>
        <v>368345558.3</v>
      </c>
      <c r="AJ278" s="93">
        <f t="shared" si="112"/>
        <v>464483249.7</v>
      </c>
      <c r="AK278" s="93">
        <f t="shared" si="112"/>
        <v>548917422.7</v>
      </c>
      <c r="AL278" s="93">
        <f t="shared" si="112"/>
        <v>632953119.8</v>
      </c>
      <c r="AM278" s="93">
        <f t="shared" si="112"/>
        <v>718341593.1</v>
      </c>
      <c r="AN278" s="93">
        <f t="shared" si="112"/>
        <v>805223670.5</v>
      </c>
      <c r="AO278" s="93">
        <f t="shared" si="112"/>
        <v>893741133.8</v>
      </c>
      <c r="AP278" s="93">
        <f t="shared" si="112"/>
        <v>984017661.8</v>
      </c>
      <c r="AQ278" s="93" t="str">
        <f t="shared" si="112"/>
        <v>#REF!</v>
      </c>
      <c r="AR278" s="93" t="str">
        <f t="shared" si="112"/>
        <v>#REF!</v>
      </c>
      <c r="AS278" s="93" t="str">
        <f t="shared" si="112"/>
        <v>#REF!</v>
      </c>
      <c r="AT278" s="93" t="str">
        <f t="shared" si="112"/>
        <v>#REF!</v>
      </c>
      <c r="AU278" s="93" t="str">
        <f t="shared" si="112"/>
        <v>#REF!</v>
      </c>
      <c r="AV278" s="93" t="str">
        <f t="shared" si="112"/>
        <v>#REF!</v>
      </c>
      <c r="AW278" s="93" t="str">
        <f t="shared" si="112"/>
        <v>#REF!</v>
      </c>
      <c r="AX278" s="93" t="str">
        <f t="shared" si="112"/>
        <v>#REF!</v>
      </c>
    </row>
    <row r="279" ht="12.75" hidden="1" customHeight="1" outlineLevel="1">
      <c r="A279" s="90"/>
      <c r="B279" s="90"/>
      <c r="C279" s="90"/>
      <c r="D279" s="90"/>
      <c r="E279" s="90"/>
      <c r="F279" s="90"/>
      <c r="G279" s="99"/>
      <c r="H279" s="99"/>
      <c r="I279" s="99"/>
      <c r="J279" s="99"/>
      <c r="K279" s="99"/>
      <c r="L279" s="99"/>
      <c r="O279" s="93"/>
      <c r="P279" s="93"/>
      <c r="Q279" s="93"/>
      <c r="R279" s="93"/>
      <c r="S279" s="93"/>
      <c r="T279" s="93"/>
      <c r="U279" s="93"/>
      <c r="V279" s="93"/>
      <c r="W279" s="93"/>
      <c r="X279" s="93"/>
      <c r="Y279" s="93"/>
      <c r="Z279" s="93"/>
      <c r="AA279" s="93"/>
      <c r="AB279" s="93"/>
      <c r="AC279" s="93"/>
      <c r="AD279" s="93"/>
      <c r="AE279" s="93"/>
      <c r="AF279" s="93"/>
      <c r="AG279" s="93"/>
      <c r="AH279" s="93"/>
      <c r="AI279" s="93"/>
      <c r="AJ279" s="93"/>
      <c r="AK279" s="93"/>
      <c r="AL279" s="93"/>
      <c r="AM279" s="93"/>
      <c r="AN279" s="93"/>
      <c r="AO279" s="93"/>
      <c r="AP279" s="93"/>
      <c r="AQ279" s="93"/>
      <c r="AR279" s="93"/>
      <c r="AS279" s="93"/>
      <c r="AT279" s="93"/>
      <c r="AU279" s="93"/>
      <c r="AV279" s="93"/>
      <c r="AW279" s="93"/>
      <c r="AX279" s="93"/>
    </row>
    <row r="280" ht="12.75" hidden="1" customHeight="1" outlineLevel="1">
      <c r="A280" s="90"/>
      <c r="B280" s="67" t="s">
        <v>250</v>
      </c>
      <c r="C280" s="90"/>
      <c r="D280" s="90"/>
      <c r="E280" s="90"/>
      <c r="F280" s="90"/>
      <c r="G280" s="99"/>
      <c r="H280" s="99"/>
      <c r="I280" s="99"/>
      <c r="J280" s="99"/>
      <c r="K280" s="99"/>
      <c r="L280" s="99"/>
      <c r="O280" s="93"/>
      <c r="P280" s="93"/>
      <c r="Q280" s="93"/>
      <c r="R280" s="93"/>
      <c r="S280" s="93"/>
      <c r="T280" s="93"/>
      <c r="U280" s="93"/>
      <c r="V280" s="93"/>
      <c r="W280" s="93"/>
      <c r="X280" s="93"/>
      <c r="Y280" s="93"/>
      <c r="Z280" s="93"/>
      <c r="AA280" s="93"/>
      <c r="AB280" s="93"/>
      <c r="AC280" s="93"/>
      <c r="AD280" s="93"/>
      <c r="AE280" s="93"/>
      <c r="AF280" s="93"/>
      <c r="AG280" s="93"/>
      <c r="AH280" s="93"/>
      <c r="AI280" s="93"/>
      <c r="AJ280" s="93"/>
      <c r="AK280" s="93"/>
      <c r="AL280" s="93"/>
      <c r="AM280" s="93"/>
      <c r="AN280" s="93"/>
      <c r="AO280" s="93"/>
      <c r="AP280" s="93"/>
      <c r="AQ280" s="93"/>
      <c r="AR280" s="93"/>
      <c r="AS280" s="93"/>
      <c r="AT280" s="93"/>
      <c r="AU280" s="93"/>
      <c r="AV280" s="93"/>
      <c r="AW280" s="93"/>
      <c r="AX280" s="93"/>
    </row>
    <row r="281" ht="12.75" hidden="1" customHeight="1" outlineLevel="1">
      <c r="A281" s="90"/>
      <c r="B281" s="157">
        <f>Assumptions!H29</f>
        <v>0.05</v>
      </c>
      <c r="C281" s="90" t="s">
        <v>500</v>
      </c>
      <c r="D281" s="90"/>
      <c r="E281" s="90"/>
      <c r="F281" s="90"/>
      <c r="G281" s="99"/>
      <c r="H281" s="99"/>
      <c r="I281" s="99"/>
      <c r="J281" s="99"/>
      <c r="K281" s="99"/>
      <c r="L281" s="99"/>
      <c r="M281" s="99">
        <f t="shared" ref="M281:AX281" si="113">$B281*M25</f>
        <v>0</v>
      </c>
      <c r="N281" s="99">
        <f t="shared" si="113"/>
        <v>0</v>
      </c>
      <c r="O281" s="93">
        <f t="shared" si="113"/>
        <v>0</v>
      </c>
      <c r="P281" s="93">
        <f t="shared" si="113"/>
        <v>0</v>
      </c>
      <c r="Q281" s="93">
        <f t="shared" si="113"/>
        <v>23900.64</v>
      </c>
      <c r="R281" s="93">
        <f t="shared" si="113"/>
        <v>33667.76016</v>
      </c>
      <c r="S281" s="93">
        <f t="shared" si="113"/>
        <v>83939.58957</v>
      </c>
      <c r="T281" s="93">
        <f t="shared" si="113"/>
        <v>181311.1212</v>
      </c>
      <c r="U281" s="93">
        <f t="shared" si="113"/>
        <v>361363.794</v>
      </c>
      <c r="V281" s="93">
        <f t="shared" si="113"/>
        <v>633429.3881</v>
      </c>
      <c r="W281" s="93">
        <f t="shared" si="113"/>
        <v>1145770.257</v>
      </c>
      <c r="X281" s="93">
        <f t="shared" si="113"/>
        <v>1876341.513</v>
      </c>
      <c r="Y281" s="93">
        <f t="shared" si="113"/>
        <v>2247027.588</v>
      </c>
      <c r="Z281" s="93">
        <f t="shared" si="113"/>
        <v>2637437.231</v>
      </c>
      <c r="AA281" s="93">
        <f t="shared" si="113"/>
        <v>3256647.638</v>
      </c>
      <c r="AB281" s="93">
        <f t="shared" si="113"/>
        <v>4186042.148</v>
      </c>
      <c r="AC281" s="93">
        <f t="shared" si="113"/>
        <v>5226834.317</v>
      </c>
      <c r="AD281" s="93">
        <f t="shared" si="113"/>
        <v>6974441.711</v>
      </c>
      <c r="AE281" s="93">
        <f t="shared" si="113"/>
        <v>8797234.772</v>
      </c>
      <c r="AF281" s="93">
        <f t="shared" si="113"/>
        <v>10669990.88</v>
      </c>
      <c r="AG281" s="93">
        <f t="shared" si="113"/>
        <v>12401147.58</v>
      </c>
      <c r="AH281" s="93">
        <f t="shared" si="113"/>
        <v>13308527.06</v>
      </c>
      <c r="AI281" s="93">
        <f t="shared" si="113"/>
        <v>13207656.35</v>
      </c>
      <c r="AJ281" s="93">
        <f t="shared" si="113"/>
        <v>13471809.48</v>
      </c>
      <c r="AK281" s="93">
        <f t="shared" si="113"/>
        <v>13741245.67</v>
      </c>
      <c r="AL281" s="93">
        <f t="shared" si="113"/>
        <v>14016070.58</v>
      </c>
      <c r="AM281" s="93">
        <f t="shared" si="113"/>
        <v>14296391.99</v>
      </c>
      <c r="AN281" s="93">
        <f t="shared" si="113"/>
        <v>14582319.83</v>
      </c>
      <c r="AO281" s="93">
        <f t="shared" si="113"/>
        <v>14873966.23</v>
      </c>
      <c r="AP281" s="93">
        <f t="shared" si="113"/>
        <v>15171445.55</v>
      </c>
      <c r="AQ281" s="93">
        <f t="shared" si="113"/>
        <v>15474874.46</v>
      </c>
      <c r="AR281" s="93">
        <f t="shared" si="113"/>
        <v>15784371.95</v>
      </c>
      <c r="AS281" s="93">
        <f t="shared" si="113"/>
        <v>16100059.39</v>
      </c>
      <c r="AT281" s="93">
        <f t="shared" si="113"/>
        <v>16422060.58</v>
      </c>
      <c r="AU281" s="93">
        <f t="shared" si="113"/>
        <v>16750501.79</v>
      </c>
      <c r="AV281" s="93">
        <f t="shared" si="113"/>
        <v>17085511.83</v>
      </c>
      <c r="AW281" s="93">
        <f t="shared" si="113"/>
        <v>17427222.06</v>
      </c>
      <c r="AX281" s="93">
        <f t="shared" si="113"/>
        <v>17775766.5</v>
      </c>
    </row>
    <row r="282" ht="12.75" hidden="1" customHeight="1" outlineLevel="1">
      <c r="A282" s="90"/>
      <c r="B282" s="90"/>
      <c r="C282" s="90" t="s">
        <v>251</v>
      </c>
      <c r="D282" s="90"/>
      <c r="E282" s="90"/>
      <c r="F282" s="90"/>
      <c r="G282" s="99"/>
      <c r="H282" s="99"/>
      <c r="I282" s="99"/>
      <c r="J282" s="99"/>
      <c r="K282" s="99"/>
      <c r="L282" s="99"/>
      <c r="M282" s="99">
        <v>0.0</v>
      </c>
      <c r="N282" s="99">
        <v>0.0</v>
      </c>
      <c r="O282" s="93">
        <v>0.0</v>
      </c>
      <c r="P282" s="93">
        <v>0.0</v>
      </c>
      <c r="Q282" s="93">
        <v>0.0</v>
      </c>
      <c r="R282" s="93">
        <v>0.0</v>
      </c>
      <c r="S282" s="93">
        <v>0.0</v>
      </c>
      <c r="T282" s="93">
        <v>0.0</v>
      </c>
      <c r="U282" s="93">
        <v>0.0</v>
      </c>
      <c r="V282" s="93">
        <v>0.0</v>
      </c>
      <c r="W282" s="93">
        <v>0.0</v>
      </c>
      <c r="X282" s="93">
        <v>0.0</v>
      </c>
      <c r="Y282" s="93">
        <v>0.0</v>
      </c>
      <c r="Z282" s="93">
        <v>0.0</v>
      </c>
      <c r="AA282" s="93">
        <v>0.0</v>
      </c>
      <c r="AB282" s="93">
        <v>0.0</v>
      </c>
      <c r="AC282" s="93">
        <v>0.0</v>
      </c>
      <c r="AD282" s="93">
        <v>0.0</v>
      </c>
      <c r="AE282" s="93">
        <v>0.0</v>
      </c>
      <c r="AF282" s="93">
        <v>0.0</v>
      </c>
      <c r="AG282" s="93">
        <v>0.0</v>
      </c>
      <c r="AH282" s="93">
        <v>0.0</v>
      </c>
      <c r="AI282" s="93">
        <v>0.0</v>
      </c>
      <c r="AJ282" s="93">
        <v>0.0</v>
      </c>
      <c r="AK282" s="93">
        <v>0.0</v>
      </c>
      <c r="AL282" s="93">
        <v>0.0</v>
      </c>
      <c r="AM282" s="93">
        <v>0.0</v>
      </c>
      <c r="AN282" s="93">
        <v>0.0</v>
      </c>
      <c r="AO282" s="93">
        <v>0.0</v>
      </c>
      <c r="AP282" s="93">
        <v>0.0</v>
      </c>
      <c r="AQ282" s="93">
        <v>0.0</v>
      </c>
      <c r="AR282" s="93">
        <v>0.0</v>
      </c>
      <c r="AS282" s="93">
        <v>0.0</v>
      </c>
      <c r="AT282" s="93">
        <v>0.0</v>
      </c>
      <c r="AU282" s="93">
        <v>0.0</v>
      </c>
      <c r="AV282" s="93">
        <v>0.0</v>
      </c>
      <c r="AW282" s="93">
        <v>0.0</v>
      </c>
      <c r="AX282" s="93">
        <v>0.0</v>
      </c>
    </row>
    <row r="283" ht="12.75" hidden="1" customHeight="1" outlineLevel="1">
      <c r="A283" s="90"/>
      <c r="B283" s="87"/>
      <c r="C283" s="87" t="s">
        <v>253</v>
      </c>
      <c r="D283" s="87"/>
      <c r="E283" s="87"/>
      <c r="F283" s="87"/>
      <c r="G283" s="125"/>
      <c r="H283" s="125"/>
      <c r="I283" s="125"/>
      <c r="J283" s="125"/>
      <c r="K283" s="125"/>
      <c r="L283" s="125"/>
      <c r="M283" s="125">
        <f t="shared" ref="M283:AX283" si="114">M28</f>
        <v>0</v>
      </c>
      <c r="N283" s="125">
        <f t="shared" si="114"/>
        <v>0</v>
      </c>
      <c r="O283" s="119">
        <f t="shared" si="114"/>
        <v>0.4052</v>
      </c>
      <c r="P283" s="119">
        <f t="shared" si="114"/>
        <v>1000000.776</v>
      </c>
      <c r="Q283" s="119">
        <f t="shared" si="114"/>
        <v>528169.9284</v>
      </c>
      <c r="R283" s="119">
        <f t="shared" si="114"/>
        <v>3282078.549</v>
      </c>
      <c r="S283" s="119">
        <f t="shared" si="114"/>
        <v>5255943.65</v>
      </c>
      <c r="T283" s="119">
        <f t="shared" si="114"/>
        <v>2450551.168</v>
      </c>
      <c r="U283" s="119">
        <f t="shared" si="114"/>
        <v>-3490930.715</v>
      </c>
      <c r="V283" s="119">
        <f t="shared" si="114"/>
        <v>-13221750.37</v>
      </c>
      <c r="W283" s="119">
        <f t="shared" si="114"/>
        <v>-30206017.36</v>
      </c>
      <c r="X283" s="119">
        <f t="shared" si="114"/>
        <v>-55761955.67</v>
      </c>
      <c r="Y283" s="119">
        <f t="shared" si="114"/>
        <v>-78807815.08</v>
      </c>
      <c r="Z283" s="119">
        <f t="shared" si="114"/>
        <v>-97023527.4</v>
      </c>
      <c r="AA283" s="119">
        <f t="shared" si="114"/>
        <v>-105660943.4</v>
      </c>
      <c r="AB283" s="119">
        <f t="shared" si="114"/>
        <v>-102823334.7</v>
      </c>
      <c r="AC283" s="119">
        <f t="shared" si="114"/>
        <v>-81896615.42</v>
      </c>
      <c r="AD283" s="119">
        <f t="shared" si="114"/>
        <v>-52445930.92</v>
      </c>
      <c r="AE283" s="119">
        <f t="shared" si="114"/>
        <v>-7848988.553</v>
      </c>
      <c r="AF283" s="119">
        <f t="shared" si="114"/>
        <v>55230328.69</v>
      </c>
      <c r="AG283" s="119">
        <f t="shared" si="114"/>
        <v>139300620.8</v>
      </c>
      <c r="AH283" s="119">
        <f t="shared" si="114"/>
        <v>246330737.3</v>
      </c>
      <c r="AI283" s="119">
        <f t="shared" si="114"/>
        <v>355137901.9</v>
      </c>
      <c r="AJ283" s="119">
        <f t="shared" si="114"/>
        <v>451011440.2</v>
      </c>
      <c r="AK283" s="119">
        <f t="shared" si="114"/>
        <v>535176177</v>
      </c>
      <c r="AL283" s="119">
        <f t="shared" si="114"/>
        <v>618937049.2</v>
      </c>
      <c r="AM283" s="119">
        <f t="shared" si="114"/>
        <v>704045201.1</v>
      </c>
      <c r="AN283" s="119">
        <f t="shared" si="114"/>
        <v>790641350.6</v>
      </c>
      <c r="AO283" s="119">
        <f t="shared" si="114"/>
        <v>878867167.5</v>
      </c>
      <c r="AP283" s="119">
        <f t="shared" si="114"/>
        <v>968846216.2</v>
      </c>
      <c r="AQ283" s="119" t="str">
        <f t="shared" si="114"/>
        <v>#REF!</v>
      </c>
      <c r="AR283" s="119" t="str">
        <f t="shared" si="114"/>
        <v>#REF!</v>
      </c>
      <c r="AS283" s="119" t="str">
        <f t="shared" si="114"/>
        <v>#REF!</v>
      </c>
      <c r="AT283" s="119" t="str">
        <f t="shared" si="114"/>
        <v>#REF!</v>
      </c>
      <c r="AU283" s="119" t="str">
        <f t="shared" si="114"/>
        <v>#REF!</v>
      </c>
      <c r="AV283" s="119" t="str">
        <f t="shared" si="114"/>
        <v>#REF!</v>
      </c>
      <c r="AW283" s="119" t="str">
        <f t="shared" si="114"/>
        <v>#REF!</v>
      </c>
      <c r="AX283" s="119" t="str">
        <f t="shared" si="114"/>
        <v>#REF!</v>
      </c>
    </row>
    <row r="284" ht="12.75" hidden="1" customHeight="1" outlineLevel="1">
      <c r="A284" s="90"/>
      <c r="B284" s="67" t="s">
        <v>254</v>
      </c>
      <c r="C284" s="90"/>
      <c r="D284" s="90"/>
      <c r="E284" s="90"/>
      <c r="F284" s="90"/>
      <c r="G284" s="99"/>
      <c r="H284" s="99"/>
      <c r="I284" s="99"/>
      <c r="J284" s="99"/>
      <c r="K284" s="99"/>
      <c r="L284" s="99"/>
      <c r="M284" s="99">
        <f t="shared" ref="M284:AX284" si="115">SUM(M281:M283)</f>
        <v>0</v>
      </c>
      <c r="N284" s="99">
        <f t="shared" si="115"/>
        <v>0</v>
      </c>
      <c r="O284" s="93">
        <f t="shared" si="115"/>
        <v>0.4052</v>
      </c>
      <c r="P284" s="93">
        <f t="shared" si="115"/>
        <v>1000000.776</v>
      </c>
      <c r="Q284" s="93">
        <f t="shared" si="115"/>
        <v>552070.5684</v>
      </c>
      <c r="R284" s="93">
        <f t="shared" si="115"/>
        <v>3315746.309</v>
      </c>
      <c r="S284" s="93">
        <f t="shared" si="115"/>
        <v>5339883.24</v>
      </c>
      <c r="T284" s="93">
        <f t="shared" si="115"/>
        <v>2631862.289</v>
      </c>
      <c r="U284" s="93">
        <f t="shared" si="115"/>
        <v>-3129566.921</v>
      </c>
      <c r="V284" s="93">
        <f t="shared" si="115"/>
        <v>-12588320.98</v>
      </c>
      <c r="W284" s="93">
        <f t="shared" si="115"/>
        <v>-29060247.1</v>
      </c>
      <c r="X284" s="93">
        <f t="shared" si="115"/>
        <v>-53885614.16</v>
      </c>
      <c r="Y284" s="93">
        <f t="shared" si="115"/>
        <v>-76560787.5</v>
      </c>
      <c r="Z284" s="93">
        <f t="shared" si="115"/>
        <v>-94386090.16</v>
      </c>
      <c r="AA284" s="93">
        <f t="shared" si="115"/>
        <v>-102404295.8</v>
      </c>
      <c r="AB284" s="93">
        <f t="shared" si="115"/>
        <v>-98637292.56</v>
      </c>
      <c r="AC284" s="93">
        <f t="shared" si="115"/>
        <v>-76669781.11</v>
      </c>
      <c r="AD284" s="93">
        <f t="shared" si="115"/>
        <v>-45471489.21</v>
      </c>
      <c r="AE284" s="93">
        <f t="shared" si="115"/>
        <v>948246.219</v>
      </c>
      <c r="AF284" s="93">
        <f t="shared" si="115"/>
        <v>65900319.57</v>
      </c>
      <c r="AG284" s="93">
        <f t="shared" si="115"/>
        <v>151701768.4</v>
      </c>
      <c r="AH284" s="93">
        <f t="shared" si="115"/>
        <v>259639264.3</v>
      </c>
      <c r="AI284" s="93">
        <f t="shared" si="115"/>
        <v>368345558.3</v>
      </c>
      <c r="AJ284" s="93">
        <f t="shared" si="115"/>
        <v>464483249.7</v>
      </c>
      <c r="AK284" s="93">
        <f t="shared" si="115"/>
        <v>548917422.7</v>
      </c>
      <c r="AL284" s="93">
        <f t="shared" si="115"/>
        <v>632953119.8</v>
      </c>
      <c r="AM284" s="93">
        <f t="shared" si="115"/>
        <v>718341593.1</v>
      </c>
      <c r="AN284" s="93">
        <f t="shared" si="115"/>
        <v>805223670.5</v>
      </c>
      <c r="AO284" s="93">
        <f t="shared" si="115"/>
        <v>893741133.8</v>
      </c>
      <c r="AP284" s="93">
        <f t="shared" si="115"/>
        <v>984017661.8</v>
      </c>
      <c r="AQ284" s="93" t="str">
        <f t="shared" si="115"/>
        <v>#REF!</v>
      </c>
      <c r="AR284" s="93" t="str">
        <f t="shared" si="115"/>
        <v>#REF!</v>
      </c>
      <c r="AS284" s="93" t="str">
        <f t="shared" si="115"/>
        <v>#REF!</v>
      </c>
      <c r="AT284" s="93" t="str">
        <f t="shared" si="115"/>
        <v>#REF!</v>
      </c>
      <c r="AU284" s="93" t="str">
        <f t="shared" si="115"/>
        <v>#REF!</v>
      </c>
      <c r="AV284" s="93" t="str">
        <f t="shared" si="115"/>
        <v>#REF!</v>
      </c>
      <c r="AW284" s="93" t="str">
        <f t="shared" si="115"/>
        <v>#REF!</v>
      </c>
      <c r="AX284" s="93" t="str">
        <f t="shared" si="115"/>
        <v>#REF!</v>
      </c>
    </row>
    <row r="285" ht="12.75" hidden="1" customHeight="1" outlineLevel="1">
      <c r="A285" s="273"/>
      <c r="B285" s="274"/>
      <c r="C285" s="274"/>
      <c r="D285" s="274"/>
      <c r="E285" s="274"/>
      <c r="F285" s="274"/>
      <c r="G285" s="275"/>
      <c r="H285" s="275"/>
      <c r="I285" s="275"/>
      <c r="J285" s="275"/>
      <c r="K285" s="275"/>
      <c r="L285" s="275"/>
      <c r="M285" s="275">
        <f t="shared" ref="M285:AX285" si="116">M284-M278</f>
        <v>0</v>
      </c>
      <c r="N285" s="275">
        <f t="shared" si="116"/>
        <v>0</v>
      </c>
      <c r="O285" s="275">
        <f t="shared" si="116"/>
        <v>0</v>
      </c>
      <c r="P285" s="275">
        <f t="shared" si="116"/>
        <v>0</v>
      </c>
      <c r="Q285" s="275">
        <f t="shared" si="116"/>
        <v>0</v>
      </c>
      <c r="R285" s="275">
        <f t="shared" si="116"/>
        <v>0</v>
      </c>
      <c r="S285" s="275">
        <f t="shared" si="116"/>
        <v>0</v>
      </c>
      <c r="T285" s="275">
        <f t="shared" si="116"/>
        <v>0</v>
      </c>
      <c r="U285" s="275">
        <f t="shared" si="116"/>
        <v>0</v>
      </c>
      <c r="V285" s="275">
        <f t="shared" si="116"/>
        <v>0</v>
      </c>
      <c r="W285" s="275">
        <f t="shared" si="116"/>
        <v>0</v>
      </c>
      <c r="X285" s="275">
        <f t="shared" si="116"/>
        <v>0</v>
      </c>
      <c r="Y285" s="275">
        <f t="shared" si="116"/>
        <v>0</v>
      </c>
      <c r="Z285" s="275">
        <f t="shared" si="116"/>
        <v>0</v>
      </c>
      <c r="AA285" s="275">
        <f t="shared" si="116"/>
        <v>0</v>
      </c>
      <c r="AB285" s="275">
        <f t="shared" si="116"/>
        <v>0</v>
      </c>
      <c r="AC285" s="275">
        <f t="shared" si="116"/>
        <v>0</v>
      </c>
      <c r="AD285" s="275">
        <f t="shared" si="116"/>
        <v>0</v>
      </c>
      <c r="AE285" s="275">
        <f t="shared" si="116"/>
        <v>0</v>
      </c>
      <c r="AF285" s="275">
        <f t="shared" si="116"/>
        <v>0.000000007450580597</v>
      </c>
      <c r="AG285" s="275">
        <f t="shared" si="116"/>
        <v>0</v>
      </c>
      <c r="AH285" s="275">
        <f t="shared" si="116"/>
        <v>0</v>
      </c>
      <c r="AI285" s="275">
        <f t="shared" si="116"/>
        <v>0</v>
      </c>
      <c r="AJ285" s="275">
        <f t="shared" si="116"/>
        <v>0</v>
      </c>
      <c r="AK285" s="275">
        <f t="shared" si="116"/>
        <v>0</v>
      </c>
      <c r="AL285" s="275">
        <f t="shared" si="116"/>
        <v>0</v>
      </c>
      <c r="AM285" s="275">
        <f t="shared" si="116"/>
        <v>0</v>
      </c>
      <c r="AN285" s="275">
        <f t="shared" si="116"/>
        <v>0</v>
      </c>
      <c r="AO285" s="275">
        <f t="shared" si="116"/>
        <v>0</v>
      </c>
      <c r="AP285" s="275">
        <f t="shared" si="116"/>
        <v>0</v>
      </c>
      <c r="AQ285" s="275" t="str">
        <f t="shared" si="116"/>
        <v>#REF!</v>
      </c>
      <c r="AR285" s="275" t="str">
        <f t="shared" si="116"/>
        <v>#REF!</v>
      </c>
      <c r="AS285" s="275" t="str">
        <f t="shared" si="116"/>
        <v>#REF!</v>
      </c>
      <c r="AT285" s="275" t="str">
        <f t="shared" si="116"/>
        <v>#REF!</v>
      </c>
      <c r="AU285" s="275" t="str">
        <f t="shared" si="116"/>
        <v>#REF!</v>
      </c>
      <c r="AV285" s="275" t="str">
        <f t="shared" si="116"/>
        <v>#REF!</v>
      </c>
      <c r="AW285" s="275" t="str">
        <f t="shared" si="116"/>
        <v>#REF!</v>
      </c>
      <c r="AX285" s="275" t="str">
        <f t="shared" si="116"/>
        <v>#REF!</v>
      </c>
    </row>
    <row r="286" ht="12.75" customHeight="1">
      <c r="G286" s="90"/>
      <c r="H286" s="90"/>
      <c r="I286" s="90"/>
      <c r="J286" s="90"/>
      <c r="K286" s="90"/>
      <c r="L286" s="90"/>
      <c r="M286" s="90"/>
      <c r="N286" s="90"/>
      <c r="O286" s="90"/>
      <c r="P286" s="90"/>
      <c r="Q286" s="90"/>
    </row>
    <row r="287" ht="12.75" customHeight="1"/>
    <row r="288" ht="12.75" customHeight="1"/>
    <row r="289" ht="12.75" customHeight="1">
      <c r="A289" s="90"/>
      <c r="B289" s="90"/>
      <c r="C289" s="90"/>
      <c r="D289" s="90"/>
      <c r="E289" s="90"/>
      <c r="F289" s="90"/>
      <c r="G289" s="90"/>
      <c r="H289" s="90"/>
      <c r="I289" s="90"/>
      <c r="J289" s="90"/>
      <c r="K289" s="90"/>
      <c r="L289" s="99"/>
      <c r="M289" s="99"/>
      <c r="N289" s="99"/>
      <c r="O289" s="99"/>
      <c r="P289" s="99"/>
      <c r="Q289" s="99"/>
      <c r="R289" s="99"/>
      <c r="S289" s="99"/>
      <c r="T289" s="99"/>
      <c r="U289" s="99"/>
      <c r="V289" s="99"/>
      <c r="W289" s="99"/>
      <c r="X289" s="99"/>
      <c r="Y289" s="99"/>
      <c r="Z289" s="99"/>
      <c r="AA289" s="99"/>
      <c r="AB289" s="99"/>
      <c r="AC289" s="99"/>
      <c r="AD289" s="99"/>
      <c r="AE289" s="99"/>
      <c r="AF289" s="99"/>
      <c r="AG289" s="99"/>
      <c r="AH289" s="99"/>
      <c r="AI289" s="99"/>
      <c r="AJ289" s="99"/>
      <c r="AK289" s="99"/>
      <c r="AL289" s="99"/>
      <c r="AM289" s="99"/>
      <c r="AN289" s="99"/>
      <c r="AO289" s="99"/>
      <c r="AP289" s="99"/>
      <c r="AQ289" s="99"/>
      <c r="AR289" s="99"/>
    </row>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J1:J2"/>
  </mergeCells>
  <printOptions/>
  <pageMargins bottom="0.35" footer="0.0" header="0.0" left="0.629861111111111" right="0.390277777777778" top="1.04027777777778"/>
  <pageSetup paperSize="5" orientation="landscape"/>
  <headerFooter>
    <oddHeader>&amp;CRegional Office Roll-up (Excluding Bay Area Region)</oddHeader>
    <oddFooter>&amp;C&amp;A&amp;R&amp;P</oddFooter>
  </headerFooter>
  <colBreaks count="3" manualBreakCount="3">
    <brk id="32" man="1"/>
    <brk id="40" man="1"/>
    <brk id="24" man="1"/>
  </colBrea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CC00"/>
    <pageSetUpPr/>
  </sheetPr>
  <sheetViews>
    <sheetView workbookViewId="0">
      <pane xSplit="12.0" ySplit="20.0" topLeftCell="M21" activePane="bottomRight" state="frozen"/>
      <selection activeCell="M1" sqref="M1" pane="topRight"/>
      <selection activeCell="A21" sqref="A21" pane="bottomLeft"/>
      <selection activeCell="M21" sqref="M21" pane="bottomRight"/>
    </sheetView>
  </sheetViews>
  <sheetFormatPr customHeight="1" defaultColWidth="12.63" defaultRowHeight="15.0" outlineLevelCol="1" outlineLevelRow="1"/>
  <cols>
    <col customWidth="1" min="1" max="1" width="2.0"/>
    <col customWidth="1" min="2" max="2" width="12.0"/>
    <col customWidth="1" min="3" max="3" width="13.38"/>
    <col customWidth="1" min="4" max="5" width="10.75"/>
    <col customWidth="1" min="6" max="6" width="1.13"/>
    <col customWidth="1" hidden="1" min="7" max="7" width="2.88" outlineLevel="1"/>
    <col customWidth="1" hidden="1" min="8" max="9" width="16.38" outlineLevel="1"/>
    <col customWidth="1" hidden="1" min="10" max="10" width="11.5" outlineLevel="1"/>
    <col customWidth="1" hidden="1" min="11" max="12" width="16.38" outlineLevel="1"/>
    <col customWidth="1" min="13" max="17" width="12.38"/>
    <col customWidth="1" min="18" max="22" width="12.88"/>
    <col customWidth="1" min="23" max="24" width="14.5"/>
    <col customWidth="1" min="25" max="25" width="18.0"/>
    <col customWidth="1" min="26" max="27" width="18.38"/>
    <col customWidth="1" min="28" max="28" width="19.13"/>
    <col customWidth="1" min="29" max="29" width="20.88"/>
    <col customWidth="1" min="30" max="30" width="20.38"/>
    <col customWidth="1" min="31" max="31" width="20.13"/>
    <col customWidth="1" min="32" max="32" width="20.38"/>
    <col customWidth="1" min="33" max="33" width="19.88"/>
    <col customWidth="1" min="34" max="34" width="20.13"/>
    <col customWidth="1" min="35" max="35" width="20.5"/>
    <col customWidth="1" min="36" max="36" width="20.13"/>
    <col customWidth="1" min="37" max="37" width="21.88"/>
    <col customWidth="1" min="38" max="38" width="21.25"/>
    <col customWidth="1" hidden="1" min="39" max="40" width="21.5" outlineLevel="1"/>
    <col customWidth="1" hidden="1" min="41" max="41" width="21.88" outlineLevel="1"/>
    <col customWidth="1" hidden="1" min="42" max="42" width="20.5" outlineLevel="1"/>
    <col customWidth="1" hidden="1" min="43" max="44" width="20.88" outlineLevel="1"/>
    <col customWidth="1" hidden="1" min="45" max="46" width="20.5" outlineLevel="1"/>
    <col customWidth="1" hidden="1" min="47" max="47" width="21.5" outlineLevel="1"/>
    <col customWidth="1" hidden="1" min="48" max="48" width="21.25" outlineLevel="1"/>
    <col customWidth="1" min="49" max="49" width="11.88"/>
    <col customWidth="1" min="50" max="68" width="8.88"/>
  </cols>
  <sheetData>
    <row r="1" ht="12.75" customHeight="1">
      <c r="A1" s="276" t="s">
        <v>524</v>
      </c>
      <c r="B1" s="277"/>
      <c r="C1" s="277"/>
      <c r="D1" s="277"/>
      <c r="E1" s="277"/>
      <c r="F1" s="277"/>
      <c r="G1" s="278"/>
      <c r="H1" s="166">
        <v>2006.0</v>
      </c>
      <c r="I1" s="166">
        <f t="shared" ref="I1:AV1" si="1">H1+1</f>
        <v>2007</v>
      </c>
      <c r="J1" s="166">
        <f t="shared" si="1"/>
        <v>2008</v>
      </c>
      <c r="K1" s="166">
        <f t="shared" si="1"/>
        <v>2009</v>
      </c>
      <c r="L1" s="166">
        <f t="shared" si="1"/>
        <v>2010</v>
      </c>
      <c r="M1" s="166">
        <f t="shared" si="1"/>
        <v>2011</v>
      </c>
      <c r="N1" s="166">
        <f t="shared" si="1"/>
        <v>2012</v>
      </c>
      <c r="O1" s="166">
        <f t="shared" si="1"/>
        <v>2013</v>
      </c>
      <c r="P1" s="166">
        <f t="shared" si="1"/>
        <v>2014</v>
      </c>
      <c r="Q1" s="166">
        <f t="shared" si="1"/>
        <v>2015</v>
      </c>
      <c r="R1" s="166">
        <f t="shared" si="1"/>
        <v>2016</v>
      </c>
      <c r="S1" s="166">
        <f t="shared" si="1"/>
        <v>2017</v>
      </c>
      <c r="T1" s="166">
        <f t="shared" si="1"/>
        <v>2018</v>
      </c>
      <c r="U1" s="166">
        <f t="shared" si="1"/>
        <v>2019</v>
      </c>
      <c r="V1" s="166">
        <f t="shared" si="1"/>
        <v>2020</v>
      </c>
      <c r="W1" s="166">
        <f t="shared" si="1"/>
        <v>2021</v>
      </c>
      <c r="X1" s="166">
        <f t="shared" si="1"/>
        <v>2022</v>
      </c>
      <c r="Y1" s="166">
        <f t="shared" si="1"/>
        <v>2023</v>
      </c>
      <c r="Z1" s="166">
        <f t="shared" si="1"/>
        <v>2024</v>
      </c>
      <c r="AA1" s="166">
        <f t="shared" si="1"/>
        <v>2025</v>
      </c>
      <c r="AB1" s="166">
        <f t="shared" si="1"/>
        <v>2026</v>
      </c>
      <c r="AC1" s="166">
        <f t="shared" si="1"/>
        <v>2027</v>
      </c>
      <c r="AD1" s="166">
        <f t="shared" si="1"/>
        <v>2028</v>
      </c>
      <c r="AE1" s="166">
        <f t="shared" si="1"/>
        <v>2029</v>
      </c>
      <c r="AF1" s="166">
        <f t="shared" si="1"/>
        <v>2030</v>
      </c>
      <c r="AG1" s="166">
        <f t="shared" si="1"/>
        <v>2031</v>
      </c>
      <c r="AH1" s="166">
        <f t="shared" si="1"/>
        <v>2032</v>
      </c>
      <c r="AI1" s="166">
        <f t="shared" si="1"/>
        <v>2033</v>
      </c>
      <c r="AJ1" s="166">
        <f t="shared" si="1"/>
        <v>2034</v>
      </c>
      <c r="AK1" s="166">
        <f t="shared" si="1"/>
        <v>2035</v>
      </c>
      <c r="AL1" s="166">
        <f t="shared" si="1"/>
        <v>2036</v>
      </c>
      <c r="AM1" s="166">
        <f t="shared" si="1"/>
        <v>2037</v>
      </c>
      <c r="AN1" s="166">
        <f t="shared" si="1"/>
        <v>2038</v>
      </c>
      <c r="AO1" s="166">
        <f t="shared" si="1"/>
        <v>2039</v>
      </c>
      <c r="AP1" s="166">
        <f t="shared" si="1"/>
        <v>2040</v>
      </c>
      <c r="AQ1" s="166">
        <f t="shared" si="1"/>
        <v>2041</v>
      </c>
      <c r="AR1" s="166">
        <f t="shared" si="1"/>
        <v>2042</v>
      </c>
      <c r="AS1" s="166">
        <f t="shared" si="1"/>
        <v>2043</v>
      </c>
      <c r="AT1" s="166">
        <f t="shared" si="1"/>
        <v>2044</v>
      </c>
      <c r="AU1" s="166">
        <f t="shared" si="1"/>
        <v>2045</v>
      </c>
      <c r="AV1" s="167">
        <f t="shared" si="1"/>
        <v>2046</v>
      </c>
      <c r="AW1" s="90"/>
      <c r="AX1" s="90"/>
      <c r="AY1" s="90"/>
      <c r="AZ1" s="90"/>
      <c r="BA1" s="90"/>
      <c r="BB1" s="90"/>
      <c r="BC1" s="90"/>
      <c r="BD1" s="90"/>
      <c r="BE1" s="90"/>
      <c r="BF1" s="90"/>
      <c r="BG1" s="90"/>
      <c r="BH1" s="90"/>
      <c r="BI1" s="90"/>
      <c r="BJ1" s="90"/>
      <c r="BK1" s="90"/>
      <c r="BL1" s="90"/>
      <c r="BM1" s="90"/>
      <c r="BN1" s="90"/>
      <c r="BO1" s="90"/>
      <c r="BP1" s="90"/>
    </row>
    <row r="2" ht="12.75" customHeight="1">
      <c r="A2" s="279" t="s">
        <v>186</v>
      </c>
      <c r="B2" s="97"/>
      <c r="C2" s="97"/>
      <c r="D2" s="97"/>
      <c r="E2" s="97"/>
      <c r="F2" s="97"/>
      <c r="G2" s="97"/>
      <c r="H2" s="280">
        <v>0.0</v>
      </c>
      <c r="I2" s="280">
        <f t="shared" ref="I2:AV2" si="2">H2+1</f>
        <v>1</v>
      </c>
      <c r="J2" s="280">
        <f t="shared" si="2"/>
        <v>2</v>
      </c>
      <c r="K2" s="280">
        <f t="shared" si="2"/>
        <v>3</v>
      </c>
      <c r="L2" s="280">
        <f t="shared" si="2"/>
        <v>4</v>
      </c>
      <c r="M2" s="280">
        <f t="shared" si="2"/>
        <v>5</v>
      </c>
      <c r="N2" s="280">
        <f t="shared" si="2"/>
        <v>6</v>
      </c>
      <c r="O2" s="280">
        <f t="shared" si="2"/>
        <v>7</v>
      </c>
      <c r="P2" s="280">
        <f t="shared" si="2"/>
        <v>8</v>
      </c>
      <c r="Q2" s="280">
        <f t="shared" si="2"/>
        <v>9</v>
      </c>
      <c r="R2" s="280">
        <f t="shared" si="2"/>
        <v>10</v>
      </c>
      <c r="S2" s="280">
        <f t="shared" si="2"/>
        <v>11</v>
      </c>
      <c r="T2" s="280">
        <f t="shared" si="2"/>
        <v>12</v>
      </c>
      <c r="U2" s="280">
        <f t="shared" si="2"/>
        <v>13</v>
      </c>
      <c r="V2" s="280">
        <f t="shared" si="2"/>
        <v>14</v>
      </c>
      <c r="W2" s="280">
        <f t="shared" si="2"/>
        <v>15</v>
      </c>
      <c r="X2" s="280">
        <f t="shared" si="2"/>
        <v>16</v>
      </c>
      <c r="Y2" s="280">
        <f t="shared" si="2"/>
        <v>17</v>
      </c>
      <c r="Z2" s="280">
        <f t="shared" si="2"/>
        <v>18</v>
      </c>
      <c r="AA2" s="280">
        <f t="shared" si="2"/>
        <v>19</v>
      </c>
      <c r="AB2" s="280">
        <f t="shared" si="2"/>
        <v>20</v>
      </c>
      <c r="AC2" s="280">
        <f t="shared" si="2"/>
        <v>21</v>
      </c>
      <c r="AD2" s="280">
        <f t="shared" si="2"/>
        <v>22</v>
      </c>
      <c r="AE2" s="280">
        <f t="shared" si="2"/>
        <v>23</v>
      </c>
      <c r="AF2" s="280">
        <f t="shared" si="2"/>
        <v>24</v>
      </c>
      <c r="AG2" s="280">
        <f t="shared" si="2"/>
        <v>25</v>
      </c>
      <c r="AH2" s="280">
        <f t="shared" si="2"/>
        <v>26</v>
      </c>
      <c r="AI2" s="280">
        <f t="shared" si="2"/>
        <v>27</v>
      </c>
      <c r="AJ2" s="280">
        <f t="shared" si="2"/>
        <v>28</v>
      </c>
      <c r="AK2" s="280">
        <f t="shared" si="2"/>
        <v>29</v>
      </c>
      <c r="AL2" s="280">
        <f t="shared" si="2"/>
        <v>30</v>
      </c>
      <c r="AM2" s="280">
        <f t="shared" si="2"/>
        <v>31</v>
      </c>
      <c r="AN2" s="280">
        <f t="shared" si="2"/>
        <v>32</v>
      </c>
      <c r="AO2" s="280">
        <f t="shared" si="2"/>
        <v>33</v>
      </c>
      <c r="AP2" s="280">
        <f t="shared" si="2"/>
        <v>34</v>
      </c>
      <c r="AQ2" s="280">
        <f t="shared" si="2"/>
        <v>35</v>
      </c>
      <c r="AR2" s="280">
        <f t="shared" si="2"/>
        <v>36</v>
      </c>
      <c r="AS2" s="280">
        <f t="shared" si="2"/>
        <v>37</v>
      </c>
      <c r="AT2" s="280">
        <f t="shared" si="2"/>
        <v>38</v>
      </c>
      <c r="AU2" s="280">
        <f t="shared" si="2"/>
        <v>39</v>
      </c>
      <c r="AV2" s="281">
        <f t="shared" si="2"/>
        <v>40</v>
      </c>
      <c r="AW2" s="90"/>
      <c r="AX2" s="90"/>
      <c r="AY2" s="90"/>
      <c r="AZ2" s="90"/>
      <c r="BA2" s="90"/>
      <c r="BB2" s="90"/>
      <c r="BC2" s="90"/>
      <c r="BD2" s="90"/>
      <c r="BE2" s="90"/>
      <c r="BF2" s="90"/>
      <c r="BG2" s="90"/>
      <c r="BH2" s="90"/>
      <c r="BI2" s="90"/>
      <c r="BJ2" s="90"/>
      <c r="BK2" s="90"/>
      <c r="BL2" s="90"/>
      <c r="BM2" s="90"/>
      <c r="BN2" s="90"/>
      <c r="BO2" s="90"/>
      <c r="BP2" s="90"/>
    </row>
    <row r="3" ht="12.75" customHeight="1">
      <c r="A3" s="282" t="s">
        <v>525</v>
      </c>
      <c r="B3" s="90"/>
      <c r="C3" s="90"/>
      <c r="D3" s="90"/>
      <c r="E3" s="90"/>
      <c r="F3" s="90"/>
      <c r="G3" s="90"/>
      <c r="H3" s="90"/>
      <c r="I3" s="90"/>
      <c r="J3" s="90"/>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90"/>
      <c r="AX3" s="90"/>
      <c r="AY3" s="90"/>
      <c r="AZ3" s="90"/>
      <c r="BA3" s="90"/>
      <c r="BB3" s="90"/>
      <c r="BC3" s="90"/>
      <c r="BD3" s="90"/>
      <c r="BE3" s="90"/>
      <c r="BF3" s="90"/>
      <c r="BG3" s="90"/>
      <c r="BH3" s="90"/>
      <c r="BI3" s="90"/>
      <c r="BJ3" s="90"/>
      <c r="BK3" s="90"/>
      <c r="BL3" s="90"/>
      <c r="BM3" s="90"/>
      <c r="BN3" s="90"/>
      <c r="BO3" s="90"/>
      <c r="BP3" s="90"/>
    </row>
    <row r="4" ht="12.75" customHeight="1">
      <c r="A4" s="90"/>
      <c r="B4" s="90"/>
      <c r="C4" s="90"/>
      <c r="D4" s="237">
        <v>7.0</v>
      </c>
      <c r="E4" s="237">
        <f>Assumptions!D32</f>
        <v>100</v>
      </c>
      <c r="F4" s="90"/>
      <c r="G4" s="90"/>
      <c r="H4" s="90"/>
      <c r="I4" s="90"/>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row>
    <row r="5" ht="12.75" customHeight="1" outlineLevel="1">
      <c r="A5" s="67" t="s">
        <v>526</v>
      </c>
      <c r="B5" s="90"/>
      <c r="C5" s="90"/>
      <c r="D5" s="90"/>
      <c r="E5" s="90"/>
      <c r="F5" s="90"/>
      <c r="G5" s="90"/>
      <c r="H5" s="90"/>
      <c r="I5" s="90"/>
      <c r="J5" s="90"/>
      <c r="K5" s="90"/>
      <c r="L5" s="90"/>
      <c r="M5" s="268"/>
      <c r="N5" s="268"/>
      <c r="O5" s="268"/>
      <c r="P5" s="268"/>
      <c r="Q5" s="268"/>
      <c r="R5" s="268"/>
      <c r="S5" s="268"/>
      <c r="T5" s="268"/>
      <c r="U5" s="268"/>
      <c r="V5" s="268"/>
      <c r="W5" s="268"/>
      <c r="X5" s="268"/>
      <c r="Y5" s="268"/>
      <c r="Z5" s="268"/>
      <c r="AA5" s="268"/>
      <c r="AB5" s="268"/>
      <c r="AC5" s="268"/>
      <c r="AD5" s="268"/>
      <c r="AE5" s="268"/>
      <c r="AF5" s="268"/>
      <c r="AG5" s="268"/>
      <c r="AH5" s="268"/>
      <c r="AI5" s="268"/>
      <c r="AJ5" s="268"/>
      <c r="AK5" s="268"/>
      <c r="AL5" s="268"/>
      <c r="AM5" s="268"/>
      <c r="AN5" s="268"/>
      <c r="AO5" s="268"/>
      <c r="AP5" s="268"/>
      <c r="AQ5" s="90"/>
      <c r="AR5" s="90"/>
      <c r="AS5" s="90"/>
      <c r="AT5" s="90"/>
      <c r="AU5" s="90"/>
      <c r="AV5" s="90"/>
      <c r="AW5" s="90"/>
      <c r="AX5" s="90"/>
      <c r="AY5" s="90"/>
      <c r="AZ5" s="90"/>
      <c r="BA5" s="90"/>
      <c r="BB5" s="90"/>
      <c r="BC5" s="90"/>
      <c r="BD5" s="90"/>
      <c r="BE5" s="90"/>
      <c r="BF5" s="90"/>
      <c r="BG5" s="90"/>
      <c r="BH5" s="90"/>
      <c r="BI5" s="90"/>
      <c r="BJ5" s="90"/>
      <c r="BK5" s="90"/>
      <c r="BL5" s="90"/>
      <c r="BM5" s="90"/>
      <c r="BN5" s="90"/>
      <c r="BO5" s="90"/>
      <c r="BP5" s="90"/>
    </row>
    <row r="6" ht="12.75" customHeight="1" outlineLevel="1">
      <c r="A6" s="90"/>
      <c r="B6" s="90" t="s">
        <v>527</v>
      </c>
      <c r="C6" s="90"/>
      <c r="D6" s="90"/>
      <c r="E6" s="90"/>
      <c r="F6" s="90"/>
      <c r="G6" s="90"/>
      <c r="H6" s="102">
        <f>I7</f>
        <v>1</v>
      </c>
      <c r="I6" s="102">
        <v>0.0</v>
      </c>
      <c r="J6" s="102">
        <v>0.0</v>
      </c>
      <c r="K6" s="283">
        <f t="shared" ref="K6:AS6" si="3">L7</f>
        <v>1</v>
      </c>
      <c r="L6" s="284">
        <f t="shared" si="3"/>
        <v>2</v>
      </c>
      <c r="M6" s="284">
        <f t="shared" si="3"/>
        <v>3</v>
      </c>
      <c r="N6" s="102">
        <f t="shared" si="3"/>
        <v>5</v>
      </c>
      <c r="O6" s="102">
        <f t="shared" si="3"/>
        <v>8</v>
      </c>
      <c r="P6" s="102">
        <f t="shared" si="3"/>
        <v>13</v>
      </c>
      <c r="Q6" s="102">
        <f t="shared" si="3"/>
        <v>22</v>
      </c>
      <c r="R6" s="102">
        <f t="shared" si="3"/>
        <v>34</v>
      </c>
      <c r="S6" s="102">
        <f t="shared" si="3"/>
        <v>45</v>
      </c>
      <c r="T6" s="102">
        <f t="shared" si="3"/>
        <v>45</v>
      </c>
      <c r="U6" s="102">
        <f t="shared" si="3"/>
        <v>66</v>
      </c>
      <c r="V6" s="102">
        <f t="shared" si="3"/>
        <v>80</v>
      </c>
      <c r="W6" s="102">
        <f t="shared" si="3"/>
        <v>142</v>
      </c>
      <c r="X6" s="102">
        <f t="shared" si="3"/>
        <v>193</v>
      </c>
      <c r="Y6" s="102">
        <f t="shared" si="3"/>
        <v>242</v>
      </c>
      <c r="Z6" s="102">
        <f t="shared" si="3"/>
        <v>273</v>
      </c>
      <c r="AA6" s="102">
        <f t="shared" si="3"/>
        <v>324</v>
      </c>
      <c r="AB6" s="102">
        <f t="shared" si="3"/>
        <v>350</v>
      </c>
      <c r="AC6" s="102">
        <f t="shared" si="3"/>
        <v>345</v>
      </c>
      <c r="AD6" s="102">
        <f t="shared" si="3"/>
        <v>272</v>
      </c>
      <c r="AE6" s="102">
        <f t="shared" si="3"/>
        <v>33</v>
      </c>
      <c r="AF6" s="102">
        <f t="shared" si="3"/>
        <v>0</v>
      </c>
      <c r="AG6" s="102">
        <f t="shared" si="3"/>
        <v>0</v>
      </c>
      <c r="AH6" s="102">
        <f t="shared" si="3"/>
        <v>0</v>
      </c>
      <c r="AI6" s="102">
        <f t="shared" si="3"/>
        <v>0</v>
      </c>
      <c r="AJ6" s="102">
        <f t="shared" si="3"/>
        <v>0</v>
      </c>
      <c r="AK6" s="102">
        <f t="shared" si="3"/>
        <v>0</v>
      </c>
      <c r="AL6" s="102">
        <f t="shared" si="3"/>
        <v>0</v>
      </c>
      <c r="AM6" s="102">
        <f t="shared" si="3"/>
        <v>0</v>
      </c>
      <c r="AN6" s="102">
        <f t="shared" si="3"/>
        <v>0</v>
      </c>
      <c r="AO6" s="102" t="str">
        <f t="shared" si="3"/>
        <v>#REF!</v>
      </c>
      <c r="AP6" s="102" t="str">
        <f t="shared" si="3"/>
        <v>#REF!</v>
      </c>
      <c r="AQ6" s="102" t="str">
        <f t="shared" si="3"/>
        <v>#REF!</v>
      </c>
      <c r="AR6" s="102" t="str">
        <f t="shared" si="3"/>
        <v>#REF!</v>
      </c>
      <c r="AS6" s="102" t="str">
        <f t="shared" si="3"/>
        <v>#REF!</v>
      </c>
      <c r="AT6" s="102">
        <v>0.0</v>
      </c>
      <c r="AU6" s="102">
        <v>0.0</v>
      </c>
      <c r="AV6" s="102">
        <v>0.0</v>
      </c>
      <c r="AW6" s="90"/>
      <c r="AX6" s="90"/>
      <c r="AY6" s="90"/>
      <c r="AZ6" s="90"/>
      <c r="BA6" s="90"/>
      <c r="BB6" s="90"/>
      <c r="BC6" s="90"/>
      <c r="BD6" s="90"/>
      <c r="BE6" s="90"/>
      <c r="BF6" s="90"/>
      <c r="BG6" s="90"/>
      <c r="BH6" s="90"/>
      <c r="BI6" s="90"/>
      <c r="BJ6" s="90"/>
      <c r="BK6" s="90"/>
      <c r="BL6" s="90"/>
      <c r="BM6" s="90"/>
      <c r="BN6" s="90"/>
      <c r="BO6" s="90"/>
      <c r="BP6" s="90"/>
    </row>
    <row r="7" ht="12.75" customHeight="1" outlineLevel="1">
      <c r="A7" s="90"/>
      <c r="B7" s="90" t="s">
        <v>528</v>
      </c>
      <c r="C7" s="90"/>
      <c r="D7" s="90"/>
      <c r="E7" s="90"/>
      <c r="F7" s="90"/>
      <c r="G7" s="90"/>
      <c r="H7" s="102"/>
      <c r="I7" s="102">
        <v>1.0</v>
      </c>
      <c r="J7" s="102">
        <v>1.0</v>
      </c>
      <c r="K7" s="283">
        <v>1.0</v>
      </c>
      <c r="L7" s="283">
        <f t="shared" ref="L7:AT7" si="4">M8</f>
        <v>1</v>
      </c>
      <c r="M7" s="284">
        <f t="shared" si="4"/>
        <v>2</v>
      </c>
      <c r="N7" s="284">
        <f t="shared" si="4"/>
        <v>3</v>
      </c>
      <c r="O7" s="102">
        <f t="shared" si="4"/>
        <v>5</v>
      </c>
      <c r="P7" s="102">
        <f t="shared" si="4"/>
        <v>8</v>
      </c>
      <c r="Q7" s="102">
        <f t="shared" si="4"/>
        <v>13</v>
      </c>
      <c r="R7" s="102">
        <f t="shared" si="4"/>
        <v>22</v>
      </c>
      <c r="S7" s="102">
        <f t="shared" si="4"/>
        <v>34</v>
      </c>
      <c r="T7" s="102">
        <f t="shared" si="4"/>
        <v>45</v>
      </c>
      <c r="U7" s="102">
        <f t="shared" si="4"/>
        <v>45</v>
      </c>
      <c r="V7" s="102">
        <f t="shared" si="4"/>
        <v>66</v>
      </c>
      <c r="W7" s="102">
        <f t="shared" si="4"/>
        <v>80</v>
      </c>
      <c r="X7" s="102">
        <f t="shared" si="4"/>
        <v>142</v>
      </c>
      <c r="Y7" s="102">
        <f t="shared" si="4"/>
        <v>193</v>
      </c>
      <c r="Z7" s="102">
        <f t="shared" si="4"/>
        <v>242</v>
      </c>
      <c r="AA7" s="102">
        <f t="shared" si="4"/>
        <v>273</v>
      </c>
      <c r="AB7" s="102">
        <f t="shared" si="4"/>
        <v>324</v>
      </c>
      <c r="AC7" s="102">
        <f t="shared" si="4"/>
        <v>350</v>
      </c>
      <c r="AD7" s="102">
        <f t="shared" si="4"/>
        <v>345</v>
      </c>
      <c r="AE7" s="102">
        <f t="shared" si="4"/>
        <v>272</v>
      </c>
      <c r="AF7" s="102">
        <f t="shared" si="4"/>
        <v>33</v>
      </c>
      <c r="AG7" s="102">
        <f t="shared" si="4"/>
        <v>0</v>
      </c>
      <c r="AH7" s="102">
        <f t="shared" si="4"/>
        <v>0</v>
      </c>
      <c r="AI7" s="102">
        <f t="shared" si="4"/>
        <v>0</v>
      </c>
      <c r="AJ7" s="102">
        <f t="shared" si="4"/>
        <v>0</v>
      </c>
      <c r="AK7" s="102">
        <f t="shared" si="4"/>
        <v>0</v>
      </c>
      <c r="AL7" s="102">
        <f t="shared" si="4"/>
        <v>0</v>
      </c>
      <c r="AM7" s="102">
        <f t="shared" si="4"/>
        <v>0</v>
      </c>
      <c r="AN7" s="102">
        <f t="shared" si="4"/>
        <v>0</v>
      </c>
      <c r="AO7" s="102">
        <f t="shared" si="4"/>
        <v>0</v>
      </c>
      <c r="AP7" s="102" t="str">
        <f t="shared" si="4"/>
        <v>#REF!</v>
      </c>
      <c r="AQ7" s="102" t="str">
        <f t="shared" si="4"/>
        <v>#REF!</v>
      </c>
      <c r="AR7" s="102" t="str">
        <f t="shared" si="4"/>
        <v>#REF!</v>
      </c>
      <c r="AS7" s="102" t="str">
        <f t="shared" si="4"/>
        <v>#REF!</v>
      </c>
      <c r="AT7" s="102" t="str">
        <f t="shared" si="4"/>
        <v>#REF!</v>
      </c>
      <c r="AU7" s="102">
        <v>0.0</v>
      </c>
      <c r="AV7" s="102">
        <v>0.0</v>
      </c>
      <c r="AW7" s="90"/>
      <c r="AX7" s="90"/>
      <c r="AY7" s="90"/>
      <c r="AZ7" s="90"/>
      <c r="BA7" s="90"/>
      <c r="BB7" s="90"/>
      <c r="BC7" s="90"/>
      <c r="BD7" s="90"/>
      <c r="BE7" s="90"/>
      <c r="BF7" s="90"/>
      <c r="BG7" s="90"/>
      <c r="BH7" s="90"/>
      <c r="BI7" s="90"/>
      <c r="BJ7" s="90"/>
      <c r="BK7" s="90"/>
      <c r="BL7" s="90"/>
      <c r="BM7" s="90"/>
      <c r="BN7" s="90"/>
      <c r="BO7" s="90"/>
      <c r="BP7" s="90"/>
    </row>
    <row r="8" ht="12.75" customHeight="1" outlineLevel="1">
      <c r="A8" s="90"/>
      <c r="B8" s="90" t="s">
        <v>529</v>
      </c>
      <c r="C8" s="90"/>
      <c r="D8" s="90"/>
      <c r="E8" s="90"/>
      <c r="F8" s="90"/>
      <c r="G8" s="90"/>
      <c r="H8" s="102">
        <v>0.0</v>
      </c>
      <c r="I8" s="102">
        <v>0.0</v>
      </c>
      <c r="J8" s="102">
        <v>1.0</v>
      </c>
      <c r="K8" s="102">
        <v>0.0</v>
      </c>
      <c r="L8" s="283">
        <v>1.0</v>
      </c>
      <c r="M8" s="283">
        <v>1.0</v>
      </c>
      <c r="N8" s="284">
        <f>'Growth Model'!G8-'Growth Model'!F8</f>
        <v>2</v>
      </c>
      <c r="O8" s="284">
        <f>'Growth Model'!H8-'Growth Model'!G8</f>
        <v>3</v>
      </c>
      <c r="P8" s="102">
        <f>'Growth Model'!I8-'Growth Model'!H8</f>
        <v>5</v>
      </c>
      <c r="Q8" s="102">
        <f>'Growth Model'!J8-'Growth Model'!I8</f>
        <v>8</v>
      </c>
      <c r="R8" s="102">
        <f>'Growth Model'!K8-'Growth Model'!J8</f>
        <v>13</v>
      </c>
      <c r="S8" s="102">
        <f>'Growth Model'!L8-'Growth Model'!K8</f>
        <v>22</v>
      </c>
      <c r="T8" s="102">
        <f>'Growth Model'!M8-'Growth Model'!L8</f>
        <v>34</v>
      </c>
      <c r="U8" s="102">
        <f>'Growth Model'!N8-'Growth Model'!M8</f>
        <v>45</v>
      </c>
      <c r="V8" s="102">
        <f>'Growth Model'!O8-'Growth Model'!N8</f>
        <v>45</v>
      </c>
      <c r="W8" s="102">
        <f>'Growth Model'!P8-'Growth Model'!O8</f>
        <v>66</v>
      </c>
      <c r="X8" s="102">
        <f>'Growth Model'!Q8-'Growth Model'!P8</f>
        <v>80</v>
      </c>
      <c r="Y8" s="102">
        <f>'Growth Model'!R8-'Growth Model'!Q8</f>
        <v>142</v>
      </c>
      <c r="Z8" s="102">
        <f>'Growth Model'!S8-'Growth Model'!R8</f>
        <v>193</v>
      </c>
      <c r="AA8" s="102">
        <f>'Growth Model'!T8-'Growth Model'!S8</f>
        <v>242</v>
      </c>
      <c r="AB8" s="102">
        <f>'Growth Model'!U8-'Growth Model'!T8</f>
        <v>273</v>
      </c>
      <c r="AC8" s="102">
        <f>'Growth Model'!V8-'Growth Model'!U8</f>
        <v>324</v>
      </c>
      <c r="AD8" s="102">
        <f>'Growth Model'!W8-'Growth Model'!V8</f>
        <v>350</v>
      </c>
      <c r="AE8" s="102">
        <f>'Growth Model'!X8-'Growth Model'!W8</f>
        <v>345</v>
      </c>
      <c r="AF8" s="102">
        <f>'Growth Model'!Y8-'Growth Model'!X8</f>
        <v>272</v>
      </c>
      <c r="AG8" s="102">
        <f>'Growth Model'!Z8-'Growth Model'!Y8</f>
        <v>33</v>
      </c>
      <c r="AH8" s="102">
        <f>'Growth Model'!AA8-'Growth Model'!Z8</f>
        <v>0</v>
      </c>
      <c r="AI8" s="102">
        <v>0.0</v>
      </c>
      <c r="AJ8" s="102">
        <f>'Growth Model'!AC8-'Growth Model'!AB8</f>
        <v>0</v>
      </c>
      <c r="AK8" s="102">
        <f>'Growth Model'!AD8-'Growth Model'!AC8</f>
        <v>0</v>
      </c>
      <c r="AL8" s="102">
        <f>'Growth Model'!AE8-'Growth Model'!AD8</f>
        <v>0</v>
      </c>
      <c r="AM8" s="102">
        <f>'Growth Model'!AF8-'Growth Model'!AE8</f>
        <v>0</v>
      </c>
      <c r="AN8" s="102">
        <f>'Growth Model'!AG8-'Growth Model'!AF8</f>
        <v>0</v>
      </c>
      <c r="AO8" s="102">
        <f>'Growth Model'!AH8-'Growth Model'!AG8</f>
        <v>0</v>
      </c>
      <c r="AP8" s="102">
        <f>'Growth Model'!AI8-'Growth Model'!AH8</f>
        <v>0</v>
      </c>
      <c r="AQ8" s="102" t="str">
        <f t="shared" ref="AQ8:AU8" si="5">'[4]'!AN60</f>
        <v>#REF!</v>
      </c>
      <c r="AR8" s="102" t="str">
        <f t="shared" si="5"/>
        <v>#REF!</v>
      </c>
      <c r="AS8" s="102" t="str">
        <f t="shared" si="5"/>
        <v>#REF!</v>
      </c>
      <c r="AT8" s="102" t="str">
        <f t="shared" si="5"/>
        <v>#REF!</v>
      </c>
      <c r="AU8" s="102" t="str">
        <f t="shared" si="5"/>
        <v>#REF!</v>
      </c>
      <c r="AV8" s="102">
        <v>0.0</v>
      </c>
      <c r="AW8" s="90"/>
      <c r="AX8" s="90"/>
      <c r="AY8" s="90"/>
      <c r="AZ8" s="90"/>
      <c r="BA8" s="90"/>
      <c r="BB8" s="90"/>
      <c r="BC8" s="90"/>
      <c r="BD8" s="90"/>
      <c r="BE8" s="90"/>
      <c r="BF8" s="90"/>
      <c r="BG8" s="90"/>
      <c r="BH8" s="90"/>
      <c r="BI8" s="90"/>
      <c r="BJ8" s="90"/>
      <c r="BK8" s="90"/>
      <c r="BL8" s="90"/>
      <c r="BM8" s="90"/>
      <c r="BN8" s="90"/>
      <c r="BO8" s="90"/>
      <c r="BP8" s="90"/>
    </row>
    <row r="9" ht="12.75" customHeight="1" outlineLevel="1">
      <c r="A9" s="90"/>
      <c r="B9" s="90" t="s">
        <v>530</v>
      </c>
      <c r="C9" s="90"/>
      <c r="D9" s="90"/>
      <c r="E9" s="90"/>
      <c r="F9" s="90"/>
      <c r="G9" s="90"/>
      <c r="H9" s="102"/>
      <c r="I9" s="102"/>
      <c r="J9" s="102">
        <f t="shared" ref="J9:AV9" si="6">I8</f>
        <v>0</v>
      </c>
      <c r="K9" s="283">
        <f t="shared" si="6"/>
        <v>1</v>
      </c>
      <c r="L9" s="102">
        <f t="shared" si="6"/>
        <v>0</v>
      </c>
      <c r="M9" s="283">
        <f t="shared" si="6"/>
        <v>1</v>
      </c>
      <c r="N9" s="283">
        <f t="shared" si="6"/>
        <v>1</v>
      </c>
      <c r="O9" s="284">
        <f t="shared" si="6"/>
        <v>2</v>
      </c>
      <c r="P9" s="284">
        <f t="shared" si="6"/>
        <v>3</v>
      </c>
      <c r="Q9" s="102">
        <f t="shared" si="6"/>
        <v>5</v>
      </c>
      <c r="R9" s="102">
        <f t="shared" si="6"/>
        <v>8</v>
      </c>
      <c r="S9" s="102">
        <f t="shared" si="6"/>
        <v>13</v>
      </c>
      <c r="T9" s="102">
        <f t="shared" si="6"/>
        <v>22</v>
      </c>
      <c r="U9" s="102">
        <f t="shared" si="6"/>
        <v>34</v>
      </c>
      <c r="V9" s="102">
        <f t="shared" si="6"/>
        <v>45</v>
      </c>
      <c r="W9" s="102">
        <f t="shared" si="6"/>
        <v>45</v>
      </c>
      <c r="X9" s="102">
        <f t="shared" si="6"/>
        <v>66</v>
      </c>
      <c r="Y9" s="102">
        <f t="shared" si="6"/>
        <v>80</v>
      </c>
      <c r="Z9" s="102">
        <f t="shared" si="6"/>
        <v>142</v>
      </c>
      <c r="AA9" s="102">
        <f t="shared" si="6"/>
        <v>193</v>
      </c>
      <c r="AB9" s="102">
        <f t="shared" si="6"/>
        <v>242</v>
      </c>
      <c r="AC9" s="102">
        <f t="shared" si="6"/>
        <v>273</v>
      </c>
      <c r="AD9" s="102">
        <f t="shared" si="6"/>
        <v>324</v>
      </c>
      <c r="AE9" s="102">
        <f t="shared" si="6"/>
        <v>350</v>
      </c>
      <c r="AF9" s="102">
        <f t="shared" si="6"/>
        <v>345</v>
      </c>
      <c r="AG9" s="102">
        <f t="shared" si="6"/>
        <v>272</v>
      </c>
      <c r="AH9" s="102">
        <f t="shared" si="6"/>
        <v>33</v>
      </c>
      <c r="AI9" s="102">
        <f t="shared" si="6"/>
        <v>0</v>
      </c>
      <c r="AJ9" s="102">
        <f t="shared" si="6"/>
        <v>0</v>
      </c>
      <c r="AK9" s="102">
        <f t="shared" si="6"/>
        <v>0</v>
      </c>
      <c r="AL9" s="102">
        <f t="shared" si="6"/>
        <v>0</v>
      </c>
      <c r="AM9" s="102">
        <f t="shared" si="6"/>
        <v>0</v>
      </c>
      <c r="AN9" s="102">
        <f t="shared" si="6"/>
        <v>0</v>
      </c>
      <c r="AO9" s="102">
        <f t="shared" si="6"/>
        <v>0</v>
      </c>
      <c r="AP9" s="102">
        <f t="shared" si="6"/>
        <v>0</v>
      </c>
      <c r="AQ9" s="102">
        <f t="shared" si="6"/>
        <v>0</v>
      </c>
      <c r="AR9" s="102" t="str">
        <f t="shared" si="6"/>
        <v>#REF!</v>
      </c>
      <c r="AS9" s="102" t="str">
        <f t="shared" si="6"/>
        <v>#REF!</v>
      </c>
      <c r="AT9" s="102" t="str">
        <f t="shared" si="6"/>
        <v>#REF!</v>
      </c>
      <c r="AU9" s="102" t="str">
        <f t="shared" si="6"/>
        <v>#REF!</v>
      </c>
      <c r="AV9" s="102" t="str">
        <f t="shared" si="6"/>
        <v>#REF!</v>
      </c>
      <c r="AW9" s="90"/>
      <c r="AX9" s="90"/>
      <c r="AY9" s="90"/>
      <c r="AZ9" s="90"/>
      <c r="BA9" s="90"/>
      <c r="BB9" s="90"/>
      <c r="BC9" s="90"/>
      <c r="BD9" s="90"/>
      <c r="BE9" s="90"/>
      <c r="BF9" s="90"/>
      <c r="BG9" s="90"/>
      <c r="BH9" s="90"/>
      <c r="BI9" s="90"/>
      <c r="BJ9" s="90"/>
      <c r="BK9" s="90"/>
      <c r="BL9" s="90"/>
      <c r="BM9" s="90"/>
      <c r="BN9" s="90"/>
      <c r="BO9" s="90"/>
      <c r="BP9" s="90"/>
    </row>
    <row r="10" ht="12.75" customHeight="1" outlineLevel="1">
      <c r="A10" s="90"/>
      <c r="B10" s="90" t="s">
        <v>531</v>
      </c>
      <c r="C10" s="90"/>
      <c r="D10" s="90"/>
      <c r="E10" s="90"/>
      <c r="F10" s="90"/>
      <c r="G10" s="90"/>
      <c r="H10" s="102"/>
      <c r="I10" s="102"/>
      <c r="J10" s="102">
        <v>0.0</v>
      </c>
      <c r="K10" s="102">
        <v>0.0</v>
      </c>
      <c r="L10" s="283">
        <f t="shared" ref="L10:AV10" si="7">K9</f>
        <v>1</v>
      </c>
      <c r="M10" s="102">
        <f t="shared" si="7"/>
        <v>0</v>
      </c>
      <c r="N10" s="283">
        <f t="shared" si="7"/>
        <v>1</v>
      </c>
      <c r="O10" s="283">
        <f t="shared" si="7"/>
        <v>1</v>
      </c>
      <c r="P10" s="284">
        <f t="shared" si="7"/>
        <v>2</v>
      </c>
      <c r="Q10" s="284">
        <f t="shared" si="7"/>
        <v>3</v>
      </c>
      <c r="R10" s="102">
        <f t="shared" si="7"/>
        <v>5</v>
      </c>
      <c r="S10" s="102">
        <f t="shared" si="7"/>
        <v>8</v>
      </c>
      <c r="T10" s="102">
        <f t="shared" si="7"/>
        <v>13</v>
      </c>
      <c r="U10" s="102">
        <f t="shared" si="7"/>
        <v>22</v>
      </c>
      <c r="V10" s="102">
        <f t="shared" si="7"/>
        <v>34</v>
      </c>
      <c r="W10" s="102">
        <f t="shared" si="7"/>
        <v>45</v>
      </c>
      <c r="X10" s="102">
        <f t="shared" si="7"/>
        <v>45</v>
      </c>
      <c r="Y10" s="102">
        <f t="shared" si="7"/>
        <v>66</v>
      </c>
      <c r="Z10" s="102">
        <f t="shared" si="7"/>
        <v>80</v>
      </c>
      <c r="AA10" s="102">
        <f t="shared" si="7"/>
        <v>142</v>
      </c>
      <c r="AB10" s="102">
        <f t="shared" si="7"/>
        <v>193</v>
      </c>
      <c r="AC10" s="102">
        <f t="shared" si="7"/>
        <v>242</v>
      </c>
      <c r="AD10" s="102">
        <f t="shared" si="7"/>
        <v>273</v>
      </c>
      <c r="AE10" s="102">
        <f t="shared" si="7"/>
        <v>324</v>
      </c>
      <c r="AF10" s="102">
        <f t="shared" si="7"/>
        <v>350</v>
      </c>
      <c r="AG10" s="102">
        <f t="shared" si="7"/>
        <v>345</v>
      </c>
      <c r="AH10" s="102">
        <f t="shared" si="7"/>
        <v>272</v>
      </c>
      <c r="AI10" s="102">
        <f t="shared" si="7"/>
        <v>33</v>
      </c>
      <c r="AJ10" s="102">
        <f t="shared" si="7"/>
        <v>0</v>
      </c>
      <c r="AK10" s="102">
        <f t="shared" si="7"/>
        <v>0</v>
      </c>
      <c r="AL10" s="102">
        <f t="shared" si="7"/>
        <v>0</v>
      </c>
      <c r="AM10" s="102">
        <f t="shared" si="7"/>
        <v>0</v>
      </c>
      <c r="AN10" s="102">
        <f t="shared" si="7"/>
        <v>0</v>
      </c>
      <c r="AO10" s="102">
        <f t="shared" si="7"/>
        <v>0</v>
      </c>
      <c r="AP10" s="102">
        <f t="shared" si="7"/>
        <v>0</v>
      </c>
      <c r="AQ10" s="102">
        <f t="shared" si="7"/>
        <v>0</v>
      </c>
      <c r="AR10" s="102">
        <f t="shared" si="7"/>
        <v>0</v>
      </c>
      <c r="AS10" s="102" t="str">
        <f t="shared" si="7"/>
        <v>#REF!</v>
      </c>
      <c r="AT10" s="102" t="str">
        <f t="shared" si="7"/>
        <v>#REF!</v>
      </c>
      <c r="AU10" s="102" t="str">
        <f t="shared" si="7"/>
        <v>#REF!</v>
      </c>
      <c r="AV10" s="102" t="str">
        <f t="shared" si="7"/>
        <v>#REF!</v>
      </c>
      <c r="AW10" s="90"/>
      <c r="AX10" s="90"/>
      <c r="AY10" s="90"/>
      <c r="AZ10" s="90"/>
      <c r="BA10" s="90"/>
      <c r="BB10" s="90"/>
      <c r="BC10" s="90"/>
      <c r="BD10" s="90"/>
      <c r="BE10" s="90"/>
      <c r="BF10" s="90"/>
      <c r="BG10" s="90"/>
      <c r="BH10" s="90"/>
      <c r="BI10" s="90"/>
      <c r="BJ10" s="90"/>
      <c r="BK10" s="90"/>
      <c r="BL10" s="90"/>
      <c r="BM10" s="90"/>
      <c r="BN10" s="90"/>
      <c r="BO10" s="90"/>
      <c r="BP10" s="90"/>
    </row>
    <row r="11" ht="12.75" customHeight="1" outlineLevel="1">
      <c r="A11" s="90"/>
      <c r="B11" s="90" t="s">
        <v>532</v>
      </c>
      <c r="C11" s="90"/>
      <c r="D11" s="90"/>
      <c r="E11" s="90"/>
      <c r="F11" s="90"/>
      <c r="G11" s="90"/>
      <c r="H11" s="102"/>
      <c r="I11" s="102"/>
      <c r="J11" s="102">
        <v>0.0</v>
      </c>
      <c r="K11" s="102">
        <v>0.0</v>
      </c>
      <c r="L11" s="102">
        <v>0.0</v>
      </c>
      <c r="M11" s="283">
        <f t="shared" ref="M11:AV11" si="8">L10</f>
        <v>1</v>
      </c>
      <c r="N11" s="102">
        <f t="shared" si="8"/>
        <v>0</v>
      </c>
      <c r="O11" s="283">
        <f t="shared" si="8"/>
        <v>1</v>
      </c>
      <c r="P11" s="283">
        <f t="shared" si="8"/>
        <v>1</v>
      </c>
      <c r="Q11" s="284">
        <f t="shared" si="8"/>
        <v>2</v>
      </c>
      <c r="R11" s="284">
        <f t="shared" si="8"/>
        <v>3</v>
      </c>
      <c r="S11" s="102">
        <f t="shared" si="8"/>
        <v>5</v>
      </c>
      <c r="T11" s="102">
        <f t="shared" si="8"/>
        <v>8</v>
      </c>
      <c r="U11" s="102">
        <f t="shared" si="8"/>
        <v>13</v>
      </c>
      <c r="V11" s="102">
        <f t="shared" si="8"/>
        <v>22</v>
      </c>
      <c r="W11" s="102">
        <f t="shared" si="8"/>
        <v>34</v>
      </c>
      <c r="X11" s="102">
        <f t="shared" si="8"/>
        <v>45</v>
      </c>
      <c r="Y11" s="102">
        <f t="shared" si="8"/>
        <v>45</v>
      </c>
      <c r="Z11" s="102">
        <f t="shared" si="8"/>
        <v>66</v>
      </c>
      <c r="AA11" s="102">
        <f t="shared" si="8"/>
        <v>80</v>
      </c>
      <c r="AB11" s="102">
        <f t="shared" si="8"/>
        <v>142</v>
      </c>
      <c r="AC11" s="102">
        <f t="shared" si="8"/>
        <v>193</v>
      </c>
      <c r="AD11" s="102">
        <f t="shared" si="8"/>
        <v>242</v>
      </c>
      <c r="AE11" s="102">
        <f t="shared" si="8"/>
        <v>273</v>
      </c>
      <c r="AF11" s="102">
        <f t="shared" si="8"/>
        <v>324</v>
      </c>
      <c r="AG11" s="102">
        <f t="shared" si="8"/>
        <v>350</v>
      </c>
      <c r="AH11" s="102">
        <f t="shared" si="8"/>
        <v>345</v>
      </c>
      <c r="AI11" s="102">
        <f t="shared" si="8"/>
        <v>272</v>
      </c>
      <c r="AJ11" s="102">
        <f t="shared" si="8"/>
        <v>33</v>
      </c>
      <c r="AK11" s="102">
        <f t="shared" si="8"/>
        <v>0</v>
      </c>
      <c r="AL11" s="102">
        <f t="shared" si="8"/>
        <v>0</v>
      </c>
      <c r="AM11" s="102">
        <f t="shared" si="8"/>
        <v>0</v>
      </c>
      <c r="AN11" s="102">
        <f t="shared" si="8"/>
        <v>0</v>
      </c>
      <c r="AO11" s="102">
        <f t="shared" si="8"/>
        <v>0</v>
      </c>
      <c r="AP11" s="102">
        <f t="shared" si="8"/>
        <v>0</v>
      </c>
      <c r="AQ11" s="102">
        <f t="shared" si="8"/>
        <v>0</v>
      </c>
      <c r="AR11" s="102">
        <f t="shared" si="8"/>
        <v>0</v>
      </c>
      <c r="AS11" s="102">
        <f t="shared" si="8"/>
        <v>0</v>
      </c>
      <c r="AT11" s="102" t="str">
        <f t="shared" si="8"/>
        <v>#REF!</v>
      </c>
      <c r="AU11" s="102" t="str">
        <f t="shared" si="8"/>
        <v>#REF!</v>
      </c>
      <c r="AV11" s="102" t="str">
        <f t="shared" si="8"/>
        <v>#REF!</v>
      </c>
      <c r="AW11" s="90"/>
      <c r="AX11" s="90"/>
      <c r="AY11" s="90"/>
      <c r="AZ11" s="90"/>
      <c r="BA11" s="90"/>
      <c r="BB11" s="90"/>
      <c r="BC11" s="90"/>
      <c r="BD11" s="90"/>
      <c r="BE11" s="90"/>
      <c r="BF11" s="90"/>
      <c r="BG11" s="90"/>
      <c r="BH11" s="90"/>
      <c r="BI11" s="90"/>
      <c r="BJ11" s="90"/>
      <c r="BK11" s="90"/>
      <c r="BL11" s="90"/>
      <c r="BM11" s="90"/>
      <c r="BN11" s="90"/>
      <c r="BO11" s="90"/>
      <c r="BP11" s="90"/>
    </row>
    <row r="12" ht="12.75" customHeight="1" outlineLevel="1">
      <c r="A12" s="90"/>
      <c r="B12" s="90" t="s">
        <v>533</v>
      </c>
      <c r="C12" s="90"/>
      <c r="D12" s="90"/>
      <c r="E12" s="90"/>
      <c r="F12" s="90"/>
      <c r="G12" s="90"/>
      <c r="H12" s="102"/>
      <c r="I12" s="102"/>
      <c r="J12" s="102">
        <v>0.0</v>
      </c>
      <c r="K12" s="102">
        <v>0.0</v>
      </c>
      <c r="L12" s="102">
        <v>0.0</v>
      </c>
      <c r="M12" s="102">
        <v>0.0</v>
      </c>
      <c r="N12" s="283">
        <f t="shared" ref="N12:AV12" si="9">M11</f>
        <v>1</v>
      </c>
      <c r="O12" s="102">
        <f t="shared" si="9"/>
        <v>0</v>
      </c>
      <c r="P12" s="283">
        <f t="shared" si="9"/>
        <v>1</v>
      </c>
      <c r="Q12" s="283">
        <f t="shared" si="9"/>
        <v>1</v>
      </c>
      <c r="R12" s="284">
        <f t="shared" si="9"/>
        <v>2</v>
      </c>
      <c r="S12" s="284">
        <f t="shared" si="9"/>
        <v>3</v>
      </c>
      <c r="T12" s="102">
        <f t="shared" si="9"/>
        <v>5</v>
      </c>
      <c r="U12" s="102">
        <f t="shared" si="9"/>
        <v>8</v>
      </c>
      <c r="V12" s="102">
        <f t="shared" si="9"/>
        <v>13</v>
      </c>
      <c r="W12" s="102">
        <f t="shared" si="9"/>
        <v>22</v>
      </c>
      <c r="X12" s="102">
        <f t="shared" si="9"/>
        <v>34</v>
      </c>
      <c r="Y12" s="102">
        <f t="shared" si="9"/>
        <v>45</v>
      </c>
      <c r="Z12" s="102">
        <f t="shared" si="9"/>
        <v>45</v>
      </c>
      <c r="AA12" s="102">
        <f t="shared" si="9"/>
        <v>66</v>
      </c>
      <c r="AB12" s="102">
        <f t="shared" si="9"/>
        <v>80</v>
      </c>
      <c r="AC12" s="102">
        <f t="shared" si="9"/>
        <v>142</v>
      </c>
      <c r="AD12" s="102">
        <f t="shared" si="9"/>
        <v>193</v>
      </c>
      <c r="AE12" s="102">
        <f t="shared" si="9"/>
        <v>242</v>
      </c>
      <c r="AF12" s="102">
        <f t="shared" si="9"/>
        <v>273</v>
      </c>
      <c r="AG12" s="102">
        <f t="shared" si="9"/>
        <v>324</v>
      </c>
      <c r="AH12" s="102">
        <f t="shared" si="9"/>
        <v>350</v>
      </c>
      <c r="AI12" s="102">
        <f t="shared" si="9"/>
        <v>345</v>
      </c>
      <c r="AJ12" s="102">
        <f t="shared" si="9"/>
        <v>272</v>
      </c>
      <c r="AK12" s="102">
        <f t="shared" si="9"/>
        <v>33</v>
      </c>
      <c r="AL12" s="102">
        <f t="shared" si="9"/>
        <v>0</v>
      </c>
      <c r="AM12" s="102">
        <f t="shared" si="9"/>
        <v>0</v>
      </c>
      <c r="AN12" s="102">
        <f t="shared" si="9"/>
        <v>0</v>
      </c>
      <c r="AO12" s="102">
        <f t="shared" si="9"/>
        <v>0</v>
      </c>
      <c r="AP12" s="102">
        <f t="shared" si="9"/>
        <v>0</v>
      </c>
      <c r="AQ12" s="102">
        <f t="shared" si="9"/>
        <v>0</v>
      </c>
      <c r="AR12" s="102">
        <f t="shared" si="9"/>
        <v>0</v>
      </c>
      <c r="AS12" s="102">
        <f t="shared" si="9"/>
        <v>0</v>
      </c>
      <c r="AT12" s="102">
        <f t="shared" si="9"/>
        <v>0</v>
      </c>
      <c r="AU12" s="102" t="str">
        <f t="shared" si="9"/>
        <v>#REF!</v>
      </c>
      <c r="AV12" s="102" t="str">
        <f t="shared" si="9"/>
        <v>#REF!</v>
      </c>
      <c r="AW12" s="90"/>
      <c r="AX12" s="90"/>
      <c r="AY12" s="90"/>
      <c r="AZ12" s="90"/>
      <c r="BA12" s="90"/>
      <c r="BB12" s="90"/>
      <c r="BC12" s="90"/>
      <c r="BD12" s="90"/>
      <c r="BE12" s="90"/>
      <c r="BF12" s="90"/>
      <c r="BG12" s="90"/>
      <c r="BH12" s="90"/>
      <c r="BI12" s="90"/>
      <c r="BJ12" s="90"/>
      <c r="BK12" s="90"/>
      <c r="BL12" s="90"/>
      <c r="BM12" s="90"/>
      <c r="BN12" s="90"/>
      <c r="BO12" s="90"/>
      <c r="BP12" s="90"/>
    </row>
    <row r="13" ht="12.75" customHeight="1" outlineLevel="1">
      <c r="A13" s="90"/>
      <c r="B13" s="90" t="s">
        <v>534</v>
      </c>
      <c r="C13" s="90"/>
      <c r="D13" s="90"/>
      <c r="E13" s="90"/>
      <c r="F13" s="90"/>
      <c r="G13" s="90"/>
      <c r="H13" s="102"/>
      <c r="I13" s="102"/>
      <c r="J13" s="102">
        <v>0.0</v>
      </c>
      <c r="K13" s="102">
        <v>0.0</v>
      </c>
      <c r="L13" s="102">
        <v>0.0</v>
      </c>
      <c r="M13" s="102">
        <v>0.0</v>
      </c>
      <c r="N13" s="102">
        <v>0.0</v>
      </c>
      <c r="O13" s="283">
        <f t="shared" ref="O13:AV13" si="10">N12</f>
        <v>1</v>
      </c>
      <c r="P13" s="102">
        <f t="shared" si="10"/>
        <v>0</v>
      </c>
      <c r="Q13" s="283">
        <f t="shared" si="10"/>
        <v>1</v>
      </c>
      <c r="R13" s="283">
        <f t="shared" si="10"/>
        <v>1</v>
      </c>
      <c r="S13" s="284">
        <f t="shared" si="10"/>
        <v>2</v>
      </c>
      <c r="T13" s="284">
        <f t="shared" si="10"/>
        <v>3</v>
      </c>
      <c r="U13" s="102">
        <f t="shared" si="10"/>
        <v>5</v>
      </c>
      <c r="V13" s="102">
        <f t="shared" si="10"/>
        <v>8</v>
      </c>
      <c r="W13" s="102">
        <f t="shared" si="10"/>
        <v>13</v>
      </c>
      <c r="X13" s="102">
        <f t="shared" si="10"/>
        <v>22</v>
      </c>
      <c r="Y13" s="102">
        <f t="shared" si="10"/>
        <v>34</v>
      </c>
      <c r="Z13" s="102">
        <f t="shared" si="10"/>
        <v>45</v>
      </c>
      <c r="AA13" s="102">
        <f t="shared" si="10"/>
        <v>45</v>
      </c>
      <c r="AB13" s="102">
        <f t="shared" si="10"/>
        <v>66</v>
      </c>
      <c r="AC13" s="102">
        <f t="shared" si="10"/>
        <v>80</v>
      </c>
      <c r="AD13" s="102">
        <f t="shared" si="10"/>
        <v>142</v>
      </c>
      <c r="AE13" s="102">
        <f t="shared" si="10"/>
        <v>193</v>
      </c>
      <c r="AF13" s="102">
        <f t="shared" si="10"/>
        <v>242</v>
      </c>
      <c r="AG13" s="102">
        <f t="shared" si="10"/>
        <v>273</v>
      </c>
      <c r="AH13" s="102">
        <f t="shared" si="10"/>
        <v>324</v>
      </c>
      <c r="AI13" s="102">
        <f t="shared" si="10"/>
        <v>350</v>
      </c>
      <c r="AJ13" s="102">
        <f t="shared" si="10"/>
        <v>345</v>
      </c>
      <c r="AK13" s="102">
        <f t="shared" si="10"/>
        <v>272</v>
      </c>
      <c r="AL13" s="102">
        <f t="shared" si="10"/>
        <v>33</v>
      </c>
      <c r="AM13" s="102">
        <f t="shared" si="10"/>
        <v>0</v>
      </c>
      <c r="AN13" s="102">
        <f t="shared" si="10"/>
        <v>0</v>
      </c>
      <c r="AO13" s="102">
        <f t="shared" si="10"/>
        <v>0</v>
      </c>
      <c r="AP13" s="102">
        <f t="shared" si="10"/>
        <v>0</v>
      </c>
      <c r="AQ13" s="102">
        <f t="shared" si="10"/>
        <v>0</v>
      </c>
      <c r="AR13" s="102">
        <f t="shared" si="10"/>
        <v>0</v>
      </c>
      <c r="AS13" s="102">
        <f t="shared" si="10"/>
        <v>0</v>
      </c>
      <c r="AT13" s="102">
        <f t="shared" si="10"/>
        <v>0</v>
      </c>
      <c r="AU13" s="102">
        <f t="shared" si="10"/>
        <v>0</v>
      </c>
      <c r="AV13" s="102" t="str">
        <f t="shared" si="10"/>
        <v>#REF!</v>
      </c>
      <c r="AW13" s="90"/>
      <c r="AX13" s="90"/>
      <c r="AY13" s="90"/>
      <c r="AZ13" s="90"/>
      <c r="BA13" s="90"/>
      <c r="BB13" s="90"/>
      <c r="BC13" s="90"/>
      <c r="BD13" s="90"/>
      <c r="BE13" s="90"/>
      <c r="BF13" s="90"/>
      <c r="BG13" s="90"/>
      <c r="BH13" s="90"/>
      <c r="BI13" s="90"/>
      <c r="BJ13" s="90"/>
      <c r="BK13" s="90"/>
      <c r="BL13" s="90"/>
      <c r="BM13" s="90"/>
      <c r="BN13" s="90"/>
      <c r="BO13" s="90"/>
      <c r="BP13" s="90"/>
    </row>
    <row r="14" ht="12.75" customHeight="1" outlineLevel="1">
      <c r="A14" s="90"/>
      <c r="B14" s="90" t="s">
        <v>535</v>
      </c>
      <c r="C14" s="90"/>
      <c r="D14" s="90"/>
      <c r="E14" s="90"/>
      <c r="F14" s="90"/>
      <c r="G14" s="90"/>
      <c r="H14" s="102"/>
      <c r="I14" s="102"/>
      <c r="J14" s="102">
        <v>0.0</v>
      </c>
      <c r="K14" s="102">
        <f t="shared" ref="K14:AV14" si="11">J13</f>
        <v>0</v>
      </c>
      <c r="L14" s="102">
        <f t="shared" si="11"/>
        <v>0</v>
      </c>
      <c r="M14" s="102">
        <f t="shared" si="11"/>
        <v>0</v>
      </c>
      <c r="N14" s="102">
        <f t="shared" si="11"/>
        <v>0</v>
      </c>
      <c r="O14" s="102">
        <f t="shared" si="11"/>
        <v>0</v>
      </c>
      <c r="P14" s="283">
        <f t="shared" si="11"/>
        <v>1</v>
      </c>
      <c r="Q14" s="102">
        <f t="shared" si="11"/>
        <v>0</v>
      </c>
      <c r="R14" s="283">
        <f t="shared" si="11"/>
        <v>1</v>
      </c>
      <c r="S14" s="283">
        <f t="shared" si="11"/>
        <v>1</v>
      </c>
      <c r="T14" s="284">
        <f t="shared" si="11"/>
        <v>2</v>
      </c>
      <c r="U14" s="284">
        <f t="shared" si="11"/>
        <v>3</v>
      </c>
      <c r="V14" s="102">
        <f t="shared" si="11"/>
        <v>5</v>
      </c>
      <c r="W14" s="102">
        <f t="shared" si="11"/>
        <v>8</v>
      </c>
      <c r="X14" s="102">
        <f t="shared" si="11"/>
        <v>13</v>
      </c>
      <c r="Y14" s="102">
        <f t="shared" si="11"/>
        <v>22</v>
      </c>
      <c r="Z14" s="102">
        <f t="shared" si="11"/>
        <v>34</v>
      </c>
      <c r="AA14" s="102">
        <f t="shared" si="11"/>
        <v>45</v>
      </c>
      <c r="AB14" s="102">
        <f t="shared" si="11"/>
        <v>45</v>
      </c>
      <c r="AC14" s="102">
        <f t="shared" si="11"/>
        <v>66</v>
      </c>
      <c r="AD14" s="102">
        <f t="shared" si="11"/>
        <v>80</v>
      </c>
      <c r="AE14" s="102">
        <f t="shared" si="11"/>
        <v>142</v>
      </c>
      <c r="AF14" s="102">
        <f t="shared" si="11"/>
        <v>193</v>
      </c>
      <c r="AG14" s="102">
        <f t="shared" si="11"/>
        <v>242</v>
      </c>
      <c r="AH14" s="102">
        <f t="shared" si="11"/>
        <v>273</v>
      </c>
      <c r="AI14" s="102">
        <f t="shared" si="11"/>
        <v>324</v>
      </c>
      <c r="AJ14" s="102">
        <f t="shared" si="11"/>
        <v>350</v>
      </c>
      <c r="AK14" s="102">
        <f t="shared" si="11"/>
        <v>345</v>
      </c>
      <c r="AL14" s="102">
        <f t="shared" si="11"/>
        <v>272</v>
      </c>
      <c r="AM14" s="102">
        <f t="shared" si="11"/>
        <v>33</v>
      </c>
      <c r="AN14" s="102">
        <f t="shared" si="11"/>
        <v>0</v>
      </c>
      <c r="AO14" s="102">
        <f t="shared" si="11"/>
        <v>0</v>
      </c>
      <c r="AP14" s="102">
        <f t="shared" si="11"/>
        <v>0</v>
      </c>
      <c r="AQ14" s="102">
        <f t="shared" si="11"/>
        <v>0</v>
      </c>
      <c r="AR14" s="102">
        <f t="shared" si="11"/>
        <v>0</v>
      </c>
      <c r="AS14" s="102">
        <f t="shared" si="11"/>
        <v>0</v>
      </c>
      <c r="AT14" s="102">
        <f t="shared" si="11"/>
        <v>0</v>
      </c>
      <c r="AU14" s="102">
        <f t="shared" si="11"/>
        <v>0</v>
      </c>
      <c r="AV14" s="102">
        <f t="shared" si="11"/>
        <v>0</v>
      </c>
      <c r="AW14" s="90"/>
      <c r="AX14" s="90"/>
      <c r="AY14" s="90"/>
      <c r="AZ14" s="90"/>
      <c r="BA14" s="90"/>
      <c r="BB14" s="90"/>
      <c r="BC14" s="90"/>
      <c r="BD14" s="90"/>
      <c r="BE14" s="90"/>
      <c r="BF14" s="90"/>
      <c r="BG14" s="90"/>
      <c r="BH14" s="90"/>
      <c r="BI14" s="90"/>
      <c r="BJ14" s="90"/>
      <c r="BK14" s="90"/>
      <c r="BL14" s="90"/>
      <c r="BM14" s="90"/>
      <c r="BN14" s="90"/>
      <c r="BO14" s="90"/>
      <c r="BP14" s="90"/>
    </row>
    <row r="15" ht="12.75" customHeight="1" outlineLevel="1">
      <c r="A15" s="90"/>
      <c r="B15" s="90" t="s">
        <v>536</v>
      </c>
      <c r="C15" s="90"/>
      <c r="D15" s="90"/>
      <c r="E15" s="90"/>
      <c r="F15" s="90"/>
      <c r="G15" s="90"/>
      <c r="H15" s="102"/>
      <c r="I15" s="102"/>
      <c r="J15" s="102">
        <f t="shared" ref="J15:AV15" si="12">I15+I14</f>
        <v>0</v>
      </c>
      <c r="K15" s="102">
        <f t="shared" si="12"/>
        <v>0</v>
      </c>
      <c r="L15" s="102">
        <f t="shared" si="12"/>
        <v>0</v>
      </c>
      <c r="M15" s="102">
        <f t="shared" si="12"/>
        <v>0</v>
      </c>
      <c r="N15" s="102">
        <f t="shared" si="12"/>
        <v>0</v>
      </c>
      <c r="O15" s="102">
        <f t="shared" si="12"/>
        <v>0</v>
      </c>
      <c r="P15" s="102">
        <f t="shared" si="12"/>
        <v>0</v>
      </c>
      <c r="Q15" s="283">
        <f t="shared" si="12"/>
        <v>1</v>
      </c>
      <c r="R15" s="102">
        <f t="shared" si="12"/>
        <v>1</v>
      </c>
      <c r="S15" s="102">
        <f t="shared" si="12"/>
        <v>2</v>
      </c>
      <c r="T15" s="102">
        <f t="shared" si="12"/>
        <v>3</v>
      </c>
      <c r="U15" s="284">
        <f t="shared" si="12"/>
        <v>5</v>
      </c>
      <c r="V15" s="284">
        <f t="shared" si="12"/>
        <v>8</v>
      </c>
      <c r="W15" s="102">
        <f t="shared" si="12"/>
        <v>13</v>
      </c>
      <c r="X15" s="102">
        <f t="shared" si="12"/>
        <v>21</v>
      </c>
      <c r="Y15" s="102">
        <f t="shared" si="12"/>
        <v>34</v>
      </c>
      <c r="Z15" s="102">
        <f t="shared" si="12"/>
        <v>56</v>
      </c>
      <c r="AA15" s="102">
        <f t="shared" si="12"/>
        <v>90</v>
      </c>
      <c r="AB15" s="102">
        <f t="shared" si="12"/>
        <v>135</v>
      </c>
      <c r="AC15" s="102">
        <f t="shared" si="12"/>
        <v>180</v>
      </c>
      <c r="AD15" s="102">
        <f t="shared" si="12"/>
        <v>246</v>
      </c>
      <c r="AE15" s="102">
        <f t="shared" si="12"/>
        <v>326</v>
      </c>
      <c r="AF15" s="102">
        <f t="shared" si="12"/>
        <v>468</v>
      </c>
      <c r="AG15" s="102">
        <f t="shared" si="12"/>
        <v>661</v>
      </c>
      <c r="AH15" s="102">
        <f t="shared" si="12"/>
        <v>903</v>
      </c>
      <c r="AI15" s="102">
        <f t="shared" si="12"/>
        <v>1176</v>
      </c>
      <c r="AJ15" s="102">
        <f t="shared" si="12"/>
        <v>1500</v>
      </c>
      <c r="AK15" s="102">
        <f t="shared" si="12"/>
        <v>1850</v>
      </c>
      <c r="AL15" s="102">
        <f t="shared" si="12"/>
        <v>2195</v>
      </c>
      <c r="AM15" s="102">
        <f t="shared" si="12"/>
        <v>2467</v>
      </c>
      <c r="AN15" s="102">
        <f t="shared" si="12"/>
        <v>2500</v>
      </c>
      <c r="AO15" s="102">
        <f t="shared" si="12"/>
        <v>2500</v>
      </c>
      <c r="AP15" s="102">
        <f t="shared" si="12"/>
        <v>2500</v>
      </c>
      <c r="AQ15" s="102">
        <f t="shared" si="12"/>
        <v>2500</v>
      </c>
      <c r="AR15" s="102">
        <f t="shared" si="12"/>
        <v>2500</v>
      </c>
      <c r="AS15" s="102">
        <f t="shared" si="12"/>
        <v>2500</v>
      </c>
      <c r="AT15" s="102">
        <f t="shared" si="12"/>
        <v>2500</v>
      </c>
      <c r="AU15" s="102">
        <f t="shared" si="12"/>
        <v>2500</v>
      </c>
      <c r="AV15" s="102">
        <f t="shared" si="12"/>
        <v>2500</v>
      </c>
      <c r="AW15" s="90"/>
      <c r="AX15" s="90"/>
      <c r="AY15" s="90"/>
      <c r="AZ15" s="90"/>
      <c r="BA15" s="90"/>
      <c r="BB15" s="90"/>
      <c r="BC15" s="90"/>
      <c r="BD15" s="90"/>
      <c r="BE15" s="90"/>
      <c r="BF15" s="90"/>
      <c r="BG15" s="90"/>
      <c r="BH15" s="90"/>
      <c r="BI15" s="90"/>
      <c r="BJ15" s="90"/>
      <c r="BK15" s="90"/>
      <c r="BL15" s="90"/>
      <c r="BM15" s="90"/>
      <c r="BN15" s="90"/>
      <c r="BO15" s="90"/>
      <c r="BP15" s="90"/>
    </row>
    <row r="16" ht="12.75" customHeight="1">
      <c r="A16" s="90"/>
      <c r="B16" s="148" t="s">
        <v>537</v>
      </c>
      <c r="C16" s="148"/>
      <c r="D16" s="148"/>
      <c r="E16" s="148"/>
      <c r="F16" s="148"/>
      <c r="G16" s="148"/>
      <c r="H16" s="285">
        <f t="shared" ref="H16:AV16" si="13">SUM(H8:H15)</f>
        <v>0</v>
      </c>
      <c r="I16" s="285">
        <f t="shared" si="13"/>
        <v>0</v>
      </c>
      <c r="J16" s="285">
        <f t="shared" si="13"/>
        <v>1</v>
      </c>
      <c r="K16" s="286">
        <f t="shared" si="13"/>
        <v>1</v>
      </c>
      <c r="L16" s="286">
        <f t="shared" si="13"/>
        <v>2</v>
      </c>
      <c r="M16" s="286">
        <f t="shared" si="13"/>
        <v>3</v>
      </c>
      <c r="N16" s="286">
        <f t="shared" si="13"/>
        <v>5</v>
      </c>
      <c r="O16" s="286">
        <f t="shared" si="13"/>
        <v>8</v>
      </c>
      <c r="P16" s="286">
        <f t="shared" si="13"/>
        <v>13</v>
      </c>
      <c r="Q16" s="286">
        <f t="shared" si="13"/>
        <v>21</v>
      </c>
      <c r="R16" s="286">
        <f t="shared" si="13"/>
        <v>34</v>
      </c>
      <c r="S16" s="286">
        <f t="shared" si="13"/>
        <v>56</v>
      </c>
      <c r="T16" s="286">
        <f t="shared" si="13"/>
        <v>90</v>
      </c>
      <c r="U16" s="286">
        <f t="shared" si="13"/>
        <v>135</v>
      </c>
      <c r="V16" s="286">
        <f t="shared" si="13"/>
        <v>180</v>
      </c>
      <c r="W16" s="286">
        <f t="shared" si="13"/>
        <v>246</v>
      </c>
      <c r="X16" s="286">
        <f t="shared" si="13"/>
        <v>326</v>
      </c>
      <c r="Y16" s="286">
        <f t="shared" si="13"/>
        <v>468</v>
      </c>
      <c r="Z16" s="286">
        <f t="shared" si="13"/>
        <v>661</v>
      </c>
      <c r="AA16" s="286">
        <f t="shared" si="13"/>
        <v>903</v>
      </c>
      <c r="AB16" s="286">
        <f t="shared" si="13"/>
        <v>1176</v>
      </c>
      <c r="AC16" s="286">
        <f t="shared" si="13"/>
        <v>1500</v>
      </c>
      <c r="AD16" s="286">
        <f t="shared" si="13"/>
        <v>1850</v>
      </c>
      <c r="AE16" s="286">
        <f t="shared" si="13"/>
        <v>2195</v>
      </c>
      <c r="AF16" s="286">
        <f t="shared" si="13"/>
        <v>2467</v>
      </c>
      <c r="AG16" s="286">
        <f t="shared" si="13"/>
        <v>2500</v>
      </c>
      <c r="AH16" s="286">
        <f t="shared" si="13"/>
        <v>2500</v>
      </c>
      <c r="AI16" s="286">
        <f t="shared" si="13"/>
        <v>2500</v>
      </c>
      <c r="AJ16" s="286">
        <f t="shared" si="13"/>
        <v>2500</v>
      </c>
      <c r="AK16" s="286">
        <f t="shared" si="13"/>
        <v>2500</v>
      </c>
      <c r="AL16" s="286">
        <f t="shared" si="13"/>
        <v>2500</v>
      </c>
      <c r="AM16" s="286">
        <f t="shared" si="13"/>
        <v>2500</v>
      </c>
      <c r="AN16" s="286">
        <f t="shared" si="13"/>
        <v>2500</v>
      </c>
      <c r="AO16" s="286">
        <f t="shared" si="13"/>
        <v>2500</v>
      </c>
      <c r="AP16" s="286">
        <f t="shared" si="13"/>
        <v>2500</v>
      </c>
      <c r="AQ16" s="286" t="str">
        <f t="shared" si="13"/>
        <v>#REF!</v>
      </c>
      <c r="AR16" s="286" t="str">
        <f t="shared" si="13"/>
        <v>#REF!</v>
      </c>
      <c r="AS16" s="286" t="str">
        <f t="shared" si="13"/>
        <v>#REF!</v>
      </c>
      <c r="AT16" s="286" t="str">
        <f t="shared" si="13"/>
        <v>#REF!</v>
      </c>
      <c r="AU16" s="286" t="str">
        <f t="shared" si="13"/>
        <v>#REF!</v>
      </c>
      <c r="AV16" s="286" t="str">
        <f t="shared" si="13"/>
        <v>#REF!</v>
      </c>
      <c r="AW16" s="90"/>
      <c r="AX16" s="90"/>
      <c r="AY16" s="90"/>
      <c r="AZ16" s="90"/>
      <c r="BA16" s="90"/>
      <c r="BB16" s="90"/>
      <c r="BC16" s="90"/>
      <c r="BD16" s="90"/>
      <c r="BE16" s="90"/>
      <c r="BF16" s="90"/>
      <c r="BG16" s="90"/>
      <c r="BH16" s="90"/>
      <c r="BI16" s="90"/>
      <c r="BJ16" s="90"/>
      <c r="BK16" s="90"/>
      <c r="BL16" s="90"/>
      <c r="BM16" s="90"/>
      <c r="BN16" s="90"/>
      <c r="BO16" s="90"/>
      <c r="BP16" s="90"/>
    </row>
    <row r="17" ht="12.75" customHeight="1">
      <c r="A17" s="90"/>
      <c r="B17" s="90" t="s">
        <v>260</v>
      </c>
      <c r="C17" s="90"/>
      <c r="D17" s="90"/>
      <c r="E17" s="90"/>
      <c r="F17" s="90"/>
      <c r="G17" s="90"/>
      <c r="H17" s="102"/>
      <c r="I17" s="102"/>
      <c r="J17" s="102"/>
      <c r="K17" s="101">
        <v>1.0</v>
      </c>
      <c r="L17" s="101">
        <v>1.0</v>
      </c>
      <c r="M17" s="101">
        <f>'Growth Model'!F10</f>
        <v>1</v>
      </c>
      <c r="N17" s="101">
        <f>'Growth Model'!G10</f>
        <v>1</v>
      </c>
      <c r="O17" s="101">
        <f>'Growth Model'!H10</f>
        <v>1</v>
      </c>
      <c r="P17" s="101">
        <f>'Growth Model'!I10</f>
        <v>2</v>
      </c>
      <c r="Q17" s="101">
        <f>'Growth Model'!J10</f>
        <v>2</v>
      </c>
      <c r="R17" s="101">
        <f>'Growth Model'!K10</f>
        <v>4</v>
      </c>
      <c r="S17" s="101">
        <f>'Growth Model'!L10</f>
        <v>7</v>
      </c>
      <c r="T17" s="101">
        <f>'Growth Model'!M10</f>
        <v>12</v>
      </c>
      <c r="U17" s="101">
        <f>'Growth Model'!N10</f>
        <v>20</v>
      </c>
      <c r="V17" s="101">
        <f>'Growth Model'!O10</f>
        <v>33</v>
      </c>
      <c r="W17" s="101">
        <f>'Growth Model'!P10</f>
        <v>50</v>
      </c>
      <c r="X17" s="101">
        <f>'Growth Model'!Q10</f>
        <v>50</v>
      </c>
      <c r="Y17" s="101">
        <f>'Growth Model'!R10</f>
        <v>50</v>
      </c>
      <c r="Z17" s="101">
        <f>'Growth Model'!S10</f>
        <v>50</v>
      </c>
      <c r="AA17" s="101">
        <f>'Growth Model'!T10</f>
        <v>50</v>
      </c>
      <c r="AB17" s="101">
        <f>'Growth Model'!U10</f>
        <v>50</v>
      </c>
      <c r="AC17" s="101">
        <f>'Growth Model'!V10</f>
        <v>50</v>
      </c>
      <c r="AD17" s="101">
        <f>'Growth Model'!W10</f>
        <v>50</v>
      </c>
      <c r="AE17" s="101">
        <f>'Growth Model'!X10</f>
        <v>50</v>
      </c>
      <c r="AF17" s="101">
        <f>'Growth Model'!Y10</f>
        <v>50</v>
      </c>
      <c r="AG17" s="101">
        <f>'Growth Model'!Z10</f>
        <v>50</v>
      </c>
      <c r="AH17" s="101">
        <f>'Growth Model'!AA10</f>
        <v>50</v>
      </c>
      <c r="AI17" s="101">
        <f t="shared" ref="AI17:AP17" si="14">AH17</f>
        <v>50</v>
      </c>
      <c r="AJ17" s="101">
        <f t="shared" si="14"/>
        <v>50</v>
      </c>
      <c r="AK17" s="101">
        <f t="shared" si="14"/>
        <v>50</v>
      </c>
      <c r="AL17" s="101">
        <f t="shared" si="14"/>
        <v>50</v>
      </c>
      <c r="AM17" s="101">
        <f t="shared" si="14"/>
        <v>50</v>
      </c>
      <c r="AN17" s="101">
        <f t="shared" si="14"/>
        <v>50</v>
      </c>
      <c r="AO17" s="101">
        <f t="shared" si="14"/>
        <v>50</v>
      </c>
      <c r="AP17" s="101">
        <f t="shared" si="14"/>
        <v>50</v>
      </c>
      <c r="AQ17" s="101" t="str">
        <f t="shared" ref="AQ17:AV17" si="15">'[4]'!AN62</f>
        <v>#REF!</v>
      </c>
      <c r="AR17" s="101" t="str">
        <f t="shared" si="15"/>
        <v>#REF!</v>
      </c>
      <c r="AS17" s="101" t="str">
        <f t="shared" si="15"/>
        <v>#REF!</v>
      </c>
      <c r="AT17" s="101" t="str">
        <f t="shared" si="15"/>
        <v>#REF!</v>
      </c>
      <c r="AU17" s="101" t="str">
        <f t="shared" si="15"/>
        <v>#REF!</v>
      </c>
      <c r="AV17" s="101" t="str">
        <f t="shared" si="15"/>
        <v>#REF!</v>
      </c>
      <c r="AW17" s="90"/>
      <c r="AX17" s="90"/>
      <c r="AY17" s="90"/>
      <c r="AZ17" s="90"/>
      <c r="BA17" s="90"/>
      <c r="BB17" s="90"/>
      <c r="BC17" s="90"/>
      <c r="BD17" s="90"/>
      <c r="BE17" s="90"/>
      <c r="BF17" s="90"/>
      <c r="BG17" s="90"/>
      <c r="BH17" s="90"/>
      <c r="BI17" s="90"/>
      <c r="BJ17" s="90"/>
      <c r="BK17" s="90"/>
      <c r="BL17" s="90"/>
      <c r="BM17" s="90"/>
      <c r="BN17" s="90"/>
      <c r="BO17" s="90"/>
      <c r="BP17" s="90"/>
    </row>
    <row r="18" ht="12.75" customHeight="1">
      <c r="A18" s="90"/>
      <c r="B18" s="90" t="s">
        <v>165</v>
      </c>
      <c r="C18" s="90"/>
      <c r="D18" s="90"/>
      <c r="E18" s="90"/>
      <c r="F18" s="90"/>
      <c r="G18" s="90"/>
      <c r="H18" s="176" t="str">
        <f>'RS1'!G46</f>
        <v/>
      </c>
      <c r="I18" s="176" t="str">
        <f>'RS1'!H46</f>
        <v/>
      </c>
      <c r="J18" s="176">
        <f>'RS1'!I46+'RS2'!I46+'RS3'!I46+J445</f>
        <v>160</v>
      </c>
      <c r="K18" s="101">
        <f>'RS1'!J46+'RS2'!J46+'RS3'!J46+K445</f>
        <v>320</v>
      </c>
      <c r="L18" s="101">
        <f>'RS1'!K46+'RS2'!K46+'RS3'!K46+L445</f>
        <v>874</v>
      </c>
      <c r="M18" s="101">
        <f>'RS1'!L46+'RS2'!L46+'RS3'!L46+M445</f>
        <v>1352</v>
      </c>
      <c r="N18" s="101">
        <f>'RS1'!M46+'RS2'!M46+'RS3'!M46+N445</f>
        <v>2228</v>
      </c>
      <c r="O18" s="101">
        <f>'RS1'!N46+'RS2'!N46+'RS3'!N46+O445</f>
        <v>3584</v>
      </c>
      <c r="P18" s="101">
        <f>'RS1'!O46+'RS2'!O46+'RS3'!O46+P445</f>
        <v>5832</v>
      </c>
      <c r="Q18" s="101">
        <f>'RS1'!P46+'RS2'!P46+'RS3'!P46+Q445</f>
        <v>9436</v>
      </c>
      <c r="R18" s="101">
        <f>'RS1'!Q46+'RS2'!Q46+'RS3'!Q46+R445</f>
        <v>15288</v>
      </c>
      <c r="S18" s="101">
        <f>'RS1'!R46+'RS2'!R46+'RS3'!R46+S445</f>
        <v>25136</v>
      </c>
      <c r="T18" s="101">
        <f>'RS1'!S46+'RS2'!S46+'RS3'!S46+T445</f>
        <v>40516</v>
      </c>
      <c r="U18" s="101">
        <f>'RS1'!T46+'RS2'!T46+'RS3'!T46+U445</f>
        <v>61396</v>
      </c>
      <c r="V18" s="101">
        <f>'RS1'!U46+'RS2'!U46+'RS3'!U46+V445</f>
        <v>83500</v>
      </c>
      <c r="W18" s="101">
        <f>'RS1'!V46+'RS2'!V46+'RS3'!V46+W445</f>
        <v>114232</v>
      </c>
      <c r="X18" s="101">
        <f>'RS1'!W46+'RS2'!W46+'RS3'!W46+X445</f>
        <v>151964</v>
      </c>
      <c r="Y18" s="101">
        <f>'RS1'!X46+'RS2'!X46+'RS3'!X46+Y445</f>
        <v>215764</v>
      </c>
      <c r="Z18" s="101">
        <f>'RS1'!Y46+'RS2'!Y46+'RS3'!Y46+Z445</f>
        <v>304524</v>
      </c>
      <c r="AA18" s="101">
        <f>'RS1'!Z46+'RS2'!Z46+'RS3'!Z46+AA445</f>
        <v>418396</v>
      </c>
      <c r="AB18" s="101">
        <f>'RS1'!AA46+'RS2'!AA46+'RS3'!AA46+AB445</f>
        <v>549784</v>
      </c>
      <c r="AC18" s="101">
        <f>'RS1'!AB46+'RS2'!AB46+'RS3'!AB46+AC445</f>
        <v>705160</v>
      </c>
      <c r="AD18" s="101">
        <f>'RS1'!AC46+'RS2'!AC46+'RS3'!AC46+AD445</f>
        <v>875516</v>
      </c>
      <c r="AE18" s="101">
        <f>'RS1'!AD46+'RS2'!AD46+'RS3'!AD46+AE445</f>
        <v>1047620</v>
      </c>
      <c r="AF18" s="101">
        <f>'RS1'!AE46+'RS2'!AE46+'RS3'!AE46+AF445</f>
        <v>1191684</v>
      </c>
      <c r="AG18" s="101">
        <f>'RS1'!AF46+'RS2'!AF46+'RS3'!AF46+AG445</f>
        <v>1236624</v>
      </c>
      <c r="AH18" s="101">
        <f>'RS1'!AG46+'RS2'!AG46+'RS3'!AG46+AH445</f>
        <v>1248792</v>
      </c>
      <c r="AI18" s="101">
        <f>'RS1'!AH46+'RS2'!AH46+'RS3'!AH46+AI445</f>
        <v>1249980</v>
      </c>
      <c r="AJ18" s="101">
        <f>'RS1'!AI46+'RS2'!AI46+'RS3'!AI46+AJ445</f>
        <v>1249980</v>
      </c>
      <c r="AK18" s="101">
        <f>'RS1'!AJ46+'RS2'!AJ46+'RS3'!AJ46+AK445</f>
        <v>1249980</v>
      </c>
      <c r="AL18" s="101">
        <f>'RS1'!AK46+'RS2'!AK46+'RS3'!AK46+AL445</f>
        <v>1249980</v>
      </c>
      <c r="AM18" s="101">
        <f>'RS1'!AL46+'RS2'!AL46+'RS3'!AL46+AM445</f>
        <v>1249980</v>
      </c>
      <c r="AN18" s="101">
        <f>'RS1'!AM46+'RS2'!AM46+'RS3'!AM46+AN445</f>
        <v>1249980</v>
      </c>
      <c r="AO18" s="101">
        <f>'RS1'!AN46+'RS2'!AN46+'RS3'!AN46+AO445</f>
        <v>1249980</v>
      </c>
      <c r="AP18" s="101" t="str">
        <f>'RS1'!AO46+'RS2'!AO46+'RS3'!AO46+AP445</f>
        <v>#REF!</v>
      </c>
      <c r="AQ18" s="101" t="str">
        <f>'RS1'!AP46+'RS2'!AP46+'RS3'!AP46+AQ445</f>
        <v>#REF!</v>
      </c>
      <c r="AR18" s="101" t="str">
        <f>'RS1'!AQ46+'RS2'!AQ46+'RS3'!AQ46+AR445</f>
        <v>#REF!</v>
      </c>
      <c r="AS18" s="101" t="str">
        <f>'RS1'!AR46+'RS2'!AR46+'RS3'!AR46+AS445</f>
        <v>#REF!</v>
      </c>
      <c r="AT18" s="101" t="str">
        <f>'RS1'!AS46+'RS2'!AS46+'RS3'!AS46+AT445</f>
        <v>#REF!</v>
      </c>
      <c r="AU18" s="101" t="str">
        <f>'RS1'!AT46+'RS2'!AT46+'RS3'!AT46+AU445</f>
        <v>#REF!</v>
      </c>
      <c r="AV18" s="101" t="str">
        <f>'RS1'!AU46+'RS2'!AU46+'RS3'!AU46+AV445</f>
        <v>#REF!</v>
      </c>
      <c r="AW18" s="90"/>
      <c r="AX18" s="90"/>
      <c r="AY18" s="90"/>
      <c r="AZ18" s="90"/>
      <c r="BA18" s="90"/>
      <c r="BB18" s="90"/>
      <c r="BC18" s="90"/>
      <c r="BD18" s="90"/>
      <c r="BE18" s="90"/>
      <c r="BF18" s="90"/>
      <c r="BG18" s="90"/>
      <c r="BH18" s="90"/>
      <c r="BI18" s="90"/>
      <c r="BJ18" s="90"/>
      <c r="BK18" s="90"/>
      <c r="BL18" s="90"/>
      <c r="BM18" s="90"/>
      <c r="BN18" s="90"/>
      <c r="BO18" s="90"/>
      <c r="BP18" s="90"/>
    </row>
    <row r="19" ht="12.75" customHeight="1">
      <c r="A19" s="90"/>
      <c r="B19" s="90" t="s">
        <v>538</v>
      </c>
      <c r="C19" s="90"/>
      <c r="D19" s="90"/>
      <c r="E19" s="90"/>
      <c r="F19" s="90"/>
      <c r="G19" s="90"/>
      <c r="H19" s="176" t="str">
        <f>'RS1'!G55</f>
        <v/>
      </c>
      <c r="I19" s="176" t="str">
        <f>'RS1'!H55</f>
        <v/>
      </c>
      <c r="J19" s="176">
        <f>'RS1'!I55+'RS2'!I55+'RS3'!I55+J458</f>
        <v>153.6</v>
      </c>
      <c r="K19" s="101">
        <f>'RS1'!J55+'RS2'!J55+'RS3'!J55+K458</f>
        <v>301.056</v>
      </c>
      <c r="L19" s="101">
        <f>'RS1'!K55+'RS2'!K55+'RS3'!K55+L458</f>
        <v>839.04</v>
      </c>
      <c r="M19" s="101">
        <f>'RS1'!L55+'RS2'!L55+'RS3'!L55+M458</f>
        <v>1297.92</v>
      </c>
      <c r="N19" s="101">
        <f>'RS1'!M55+'RS2'!M55+'RS3'!M55+N458</f>
        <v>2138.88</v>
      </c>
      <c r="O19" s="101">
        <f>'RS1'!N55+'RS2'!N55+'RS3'!N55+O458</f>
        <v>3440.64</v>
      </c>
      <c r="P19" s="101">
        <f>'RS1'!O55+'RS2'!O55+'RS3'!O55+P458</f>
        <v>5598.72</v>
      </c>
      <c r="Q19" s="101">
        <f>'RS1'!P55+'RS2'!P55+'RS3'!P55+Q458</f>
        <v>9058.56</v>
      </c>
      <c r="R19" s="101">
        <f>'RS1'!Q55+'RS2'!Q55+'RS3'!Q55+R458</f>
        <v>14676.48</v>
      </c>
      <c r="S19" s="101">
        <f>'RS1'!R55+'RS2'!R55+'RS3'!R55+S458</f>
        <v>24130.56</v>
      </c>
      <c r="T19" s="101">
        <f>'RS1'!S55+'RS2'!S55+'RS3'!S55+T458</f>
        <v>38895.36</v>
      </c>
      <c r="U19" s="101">
        <f>'RS1'!T55+'RS2'!T55+'RS3'!T55+U458</f>
        <v>58940.16</v>
      </c>
      <c r="V19" s="101">
        <f>'RS1'!U55+'RS2'!U55+'RS3'!U55+V458</f>
        <v>80160</v>
      </c>
      <c r="W19" s="101">
        <f>'RS1'!V55+'RS2'!V55+'RS3'!V55+W458</f>
        <v>109662.72</v>
      </c>
      <c r="X19" s="101">
        <f>'RS1'!W55+'RS2'!W55+'RS3'!W55+X458</f>
        <v>145885.44</v>
      </c>
      <c r="Y19" s="101">
        <f>'RS1'!X55+'RS2'!X55+'RS3'!X55+Y458</f>
        <v>207133.44</v>
      </c>
      <c r="Z19" s="101">
        <f>'RS1'!Y55+'RS2'!Y55+'RS3'!Y55+Z458</f>
        <v>292343.04</v>
      </c>
      <c r="AA19" s="101">
        <f>'RS1'!Z55+'RS2'!Z55+'RS3'!Z55+AA458</f>
        <v>401660.16</v>
      </c>
      <c r="AB19" s="101">
        <f>'RS1'!AA55+'RS2'!AA55+'RS3'!AA55+AB458</f>
        <v>527792.64</v>
      </c>
      <c r="AC19" s="101">
        <f>'RS1'!AB55+'RS2'!AB55+'RS3'!AB55+AC458</f>
        <v>676953.6</v>
      </c>
      <c r="AD19" s="101">
        <f>'RS1'!AC55+'RS2'!AC55+'RS3'!AC55+AD458</f>
        <v>840495.36</v>
      </c>
      <c r="AE19" s="101">
        <f>'RS1'!AD55+'RS2'!AD55+'RS3'!AD55+AE458</f>
        <v>1005715.2</v>
      </c>
      <c r="AF19" s="101">
        <f>'RS1'!AE55+'RS2'!AE55+'RS3'!AE55+AF458</f>
        <v>1144016.64</v>
      </c>
      <c r="AG19" s="101">
        <f>'RS1'!AF55+'RS2'!AF55+'RS3'!AF55+AG458</f>
        <v>1187159.04</v>
      </c>
      <c r="AH19" s="101">
        <f>'RS1'!AG55+'RS2'!AG55+'RS3'!AG55+AH458</f>
        <v>1198840.32</v>
      </c>
      <c r="AI19" s="101">
        <f>'RS1'!AH55+'RS2'!AH55+'RS3'!AH55+AI458</f>
        <v>1199980.8</v>
      </c>
      <c r="AJ19" s="101">
        <f>'RS1'!AI55+'RS2'!AI55+'RS3'!AI55+AJ458</f>
        <v>1199980.8</v>
      </c>
      <c r="AK19" s="101">
        <f>'RS1'!AJ55+'RS2'!AJ55+'RS3'!AJ55+AK458</f>
        <v>1199980.8</v>
      </c>
      <c r="AL19" s="101">
        <f>'RS1'!AK55+'RS2'!AK55+'RS3'!AK55+AL458</f>
        <v>1199980.8</v>
      </c>
      <c r="AM19" s="101">
        <f>'RS1'!AL55+'RS2'!AL55+'RS3'!AL55+AM458</f>
        <v>1199980.8</v>
      </c>
      <c r="AN19" s="101">
        <f>'RS1'!AM55+'RS2'!AM55+'RS3'!AM55+AN458</f>
        <v>1199980.8</v>
      </c>
      <c r="AO19" s="101">
        <f>'RS1'!AN55+'RS2'!AN55+'RS3'!AN55+AO458</f>
        <v>1199980.8</v>
      </c>
      <c r="AP19" s="101" t="str">
        <f>'RS1'!AO55+'RS2'!AO55+'RS3'!AO55+AP458</f>
        <v>#REF!</v>
      </c>
      <c r="AQ19" s="101" t="str">
        <f>'RS1'!AP55+'RS2'!AP55+'RS3'!AP55+AQ458</f>
        <v>#REF!</v>
      </c>
      <c r="AR19" s="101" t="str">
        <f>'RS1'!AQ55+'RS2'!AQ55+'RS3'!AQ55+AR458</f>
        <v>#REF!</v>
      </c>
      <c r="AS19" s="101" t="str">
        <f>'RS1'!AR55+'RS2'!AR55+'RS3'!AR55+AS458</f>
        <v>#REF!</v>
      </c>
      <c r="AT19" s="101" t="str">
        <f>'RS1'!AS55+'RS2'!AS55+'RS3'!AS55+AT458</f>
        <v>#REF!</v>
      </c>
      <c r="AU19" s="101" t="str">
        <f>'RS1'!AT55+'RS2'!AT55+'RS3'!AT55+AU458</f>
        <v>#REF!</v>
      </c>
      <c r="AV19" s="101" t="str">
        <f>'RS1'!AU55+'RS2'!AU55+'RS3'!AU55+AV458</f>
        <v>#REF!</v>
      </c>
      <c r="AW19" s="90"/>
      <c r="AX19" s="90"/>
      <c r="AY19" s="90"/>
      <c r="AZ19" s="90"/>
      <c r="BA19" s="90"/>
      <c r="BB19" s="90"/>
      <c r="BC19" s="90"/>
      <c r="BD19" s="90"/>
      <c r="BE19" s="90"/>
      <c r="BF19" s="90"/>
      <c r="BG19" s="90"/>
      <c r="BH19" s="90"/>
      <c r="BI19" s="90"/>
      <c r="BJ19" s="90"/>
      <c r="BK19" s="90"/>
      <c r="BL19" s="90"/>
      <c r="BM19" s="90"/>
      <c r="BN19" s="90"/>
      <c r="BO19" s="90"/>
      <c r="BP19" s="90"/>
    </row>
    <row r="20" ht="12.75" customHeight="1">
      <c r="A20" s="90"/>
      <c r="B20" s="90" t="s">
        <v>190</v>
      </c>
      <c r="K20" s="101"/>
      <c r="L20" s="101">
        <f>'RS1'!K157+'RS2'!K157+'RS3'!K158+'All Schools Roll-up'!L471</f>
        <v>48</v>
      </c>
      <c r="M20" s="101">
        <f>'RS1'!L157+'RS2'!L157+'RS3'!L158+'All Schools Roll-up'!M471</f>
        <v>73.75</v>
      </c>
      <c r="N20" s="101">
        <f>'RS1'!M157+'RS2'!M157+'RS3'!M158+'All Schools Roll-up'!N471</f>
        <v>115.75</v>
      </c>
      <c r="O20" s="101">
        <f>'RS1'!N157+'RS2'!N157+'RS3'!N158+'All Schools Roll-up'!O471</f>
        <v>174.5</v>
      </c>
      <c r="P20" s="101">
        <f>'RS1'!O157+'RS2'!O157+'RS3'!O158+'All Schools Roll-up'!P471</f>
        <v>268.25</v>
      </c>
      <c r="Q20" s="101">
        <f>'RS1'!P157+'RS2'!P157+'RS3'!P158+'All Schools Roll-up'!Q471</f>
        <v>418.75</v>
      </c>
      <c r="R20" s="101">
        <f>'RS1'!Q157+'RS2'!Q157+'RS3'!Q158+'All Schools Roll-up'!R471</f>
        <v>666.5</v>
      </c>
      <c r="S20" s="101">
        <f>'RS1'!R157+'RS2'!R157+'RS3'!R158+'All Schools Roll-up'!S471</f>
        <v>1094</v>
      </c>
      <c r="T20" s="101">
        <f>'RS1'!S157+'RS2'!S157+'RS3'!S158+'All Schools Roll-up'!T471</f>
        <v>1744</v>
      </c>
      <c r="U20" s="101">
        <f>'RS1'!T157+'RS2'!T157+'RS3'!T158+'All Schools Roll-up'!U471</f>
        <v>2587.25</v>
      </c>
      <c r="V20" s="101">
        <f>'RS1'!U157+'RS2'!U157+'RS3'!U158+'All Schools Roll-up'!V471</f>
        <v>3474</v>
      </c>
      <c r="W20" s="101">
        <f>'RS1'!V157+'RS2'!V157+'RS3'!V158+'All Schools Roll-up'!W471</f>
        <v>4744.5</v>
      </c>
      <c r="X20" s="101">
        <f>'RS1'!W157+'RS2'!W157+'RS3'!W158+'All Schools Roll-up'!X471</f>
        <v>6342.5</v>
      </c>
      <c r="Y20" s="101">
        <f>'RS1'!X157+'RS2'!X157+'RS3'!X158+'All Schools Roll-up'!Y471</f>
        <v>9076.5</v>
      </c>
      <c r="Z20" s="101">
        <f>'RS1'!Y157+'RS2'!Y157+'RS3'!Y158+'All Schools Roll-up'!Z471</f>
        <v>12752.25</v>
      </c>
      <c r="AA20" s="101">
        <f>'RS1'!Z157+'RS2'!Z157+'RS3'!Z158+'All Schools Roll-up'!AA471</f>
        <v>17357.25</v>
      </c>
      <c r="AB20" s="101">
        <f>'RS1'!AA157+'RS2'!AA157+'RS3'!AA158+'All Schools Roll-up'!AB471</f>
        <v>22609</v>
      </c>
      <c r="AC20" s="101">
        <f>'RS1'!AB157+'RS2'!AB157+'RS3'!AB158+'All Schools Roll-up'!AC471</f>
        <v>28803</v>
      </c>
      <c r="AD20" s="101">
        <f>'RS1'!AC157+'RS2'!AC157+'RS3'!AC158+'All Schools Roll-up'!AD471</f>
        <v>35456</v>
      </c>
      <c r="AE20" s="101">
        <f>'RS1'!AD157+'RS2'!AD157+'RS3'!AD158+'All Schools Roll-up'!AE471</f>
        <v>41966.75</v>
      </c>
      <c r="AF20" s="101">
        <f>'RS1'!AE157+'RS2'!AE157+'RS3'!AE158+'All Schools Roll-up'!AF471</f>
        <v>46922.25</v>
      </c>
      <c r="AG20" s="101">
        <f>'RS1'!AF157+'RS2'!AF157+'RS3'!AF158+'All Schools Roll-up'!AG471</f>
        <v>47820</v>
      </c>
      <c r="AH20" s="101">
        <f>'RS1'!AG157+'RS2'!AG157+'RS3'!AG158+'All Schools Roll-up'!AH471</f>
        <v>48092</v>
      </c>
      <c r="AI20" s="101">
        <f>'RS1'!AH157+'RS2'!AH157+'RS3'!AH158+'All Schools Roll-up'!AI471</f>
        <v>48125</v>
      </c>
      <c r="AJ20" s="101">
        <f>'RS1'!AI157+'RS2'!AI157+'RS3'!AI158+'All Schools Roll-up'!AJ471</f>
        <v>48125</v>
      </c>
      <c r="AK20" s="101">
        <f>'RS1'!AJ157+'RS2'!AJ157+'RS3'!AJ158+'All Schools Roll-up'!AK471</f>
        <v>48125</v>
      </c>
      <c r="AL20" s="101">
        <f>'RS1'!AK157+'RS2'!AK157+'RS3'!AK158+'All Schools Roll-up'!AL471</f>
        <v>48125</v>
      </c>
      <c r="AM20" s="101">
        <f>'RS1'!AL157+'RS2'!AL157+'RS3'!AL158+'All Schools Roll-up'!AM471</f>
        <v>48125</v>
      </c>
      <c r="AN20" s="101">
        <f>'RS1'!AM157+'RS2'!AM157+'RS3'!AM158+'All Schools Roll-up'!AN471</f>
        <v>48125</v>
      </c>
      <c r="AO20" s="101">
        <f>'RS1'!AN157+'RS2'!AN157+'RS3'!AN158+'All Schools Roll-up'!AO471</f>
        <v>48125</v>
      </c>
      <c r="AP20" s="101" t="str">
        <f>'RS1'!AO157+'RS2'!AO157+'RS3'!AO158+'All Schools Roll-up'!AP471</f>
        <v>#REF!</v>
      </c>
      <c r="AQ20" s="101" t="str">
        <f>'RS1'!AP157+'RS2'!AP157+'RS3'!AP158+'All Schools Roll-up'!AQ471</f>
        <v>#REF!</v>
      </c>
      <c r="AR20" s="101" t="str">
        <f>'RS1'!AQ157+'RS2'!AQ157+'RS3'!AQ158+'All Schools Roll-up'!AR471</f>
        <v>#REF!</v>
      </c>
      <c r="AS20" s="101" t="str">
        <f>'RS1'!AR157+'RS2'!AR157+'RS3'!AR158+'All Schools Roll-up'!AS471</f>
        <v>#REF!</v>
      </c>
      <c r="AT20" s="101" t="str">
        <f>'RS1'!AS157+'RS2'!AS157+'RS3'!AS158+'All Schools Roll-up'!AT471</f>
        <v>#REF!</v>
      </c>
      <c r="AU20" s="101" t="str">
        <f>'RS1'!AT157+'RS2'!AT157+'RS3'!AT158+'All Schools Roll-up'!AU471</f>
        <v>#REF!</v>
      </c>
      <c r="AV20" s="101" t="str">
        <f>'RS1'!AU157+'RS2'!AU157+'RS3'!AU158+'All Schools Roll-up'!AV471</f>
        <v>#REF!</v>
      </c>
      <c r="AW20" s="90"/>
      <c r="AX20" s="90"/>
      <c r="AY20" s="90"/>
      <c r="AZ20" s="90"/>
      <c r="BA20" s="90"/>
      <c r="BB20" s="90"/>
      <c r="BC20" s="90"/>
      <c r="BD20" s="90"/>
      <c r="BE20" s="90"/>
      <c r="BF20" s="90"/>
      <c r="BG20" s="90"/>
      <c r="BH20" s="90"/>
      <c r="BI20" s="90"/>
      <c r="BJ20" s="90"/>
      <c r="BK20" s="90"/>
      <c r="BL20" s="90"/>
      <c r="BM20" s="90"/>
      <c r="BN20" s="90"/>
      <c r="BO20" s="90"/>
      <c r="BP20" s="90"/>
    </row>
    <row r="21" ht="12.75" customHeight="1">
      <c r="A21" s="90"/>
      <c r="B21" s="90"/>
      <c r="Q21" s="90"/>
      <c r="S21" s="223"/>
      <c r="T21" s="90"/>
      <c r="AW21" s="90"/>
      <c r="AX21" s="90"/>
      <c r="AY21" s="90"/>
      <c r="AZ21" s="90"/>
      <c r="BA21" s="90"/>
      <c r="BB21" s="90"/>
      <c r="BC21" s="90"/>
      <c r="BD21" s="90"/>
      <c r="BE21" s="90"/>
      <c r="BF21" s="90"/>
      <c r="BG21" s="90"/>
      <c r="BH21" s="90"/>
      <c r="BI21" s="90"/>
      <c r="BJ21" s="90"/>
      <c r="BK21" s="90"/>
      <c r="BL21" s="90"/>
      <c r="BM21" s="90"/>
      <c r="BN21" s="90"/>
      <c r="BO21" s="90"/>
      <c r="BP21" s="90"/>
    </row>
    <row r="22" ht="12.75" customHeight="1">
      <c r="A22" s="198" t="s">
        <v>539</v>
      </c>
      <c r="B22" s="253"/>
      <c r="C22" s="253"/>
      <c r="D22" s="253"/>
      <c r="E22" s="253"/>
      <c r="F22" s="253"/>
      <c r="G22" s="253"/>
      <c r="H22" s="287"/>
      <c r="I22" s="287"/>
      <c r="J22" s="288" t="s">
        <v>540</v>
      </c>
      <c r="K22" s="288" t="s">
        <v>541</v>
      </c>
      <c r="L22" s="288" t="s">
        <v>542</v>
      </c>
      <c r="M22" s="288" t="s">
        <v>542</v>
      </c>
      <c r="N22" s="288" t="s">
        <v>543</v>
      </c>
      <c r="O22" s="288" t="s">
        <v>543</v>
      </c>
      <c r="P22" s="288" t="s">
        <v>543</v>
      </c>
      <c r="Q22" s="288" t="s">
        <v>543</v>
      </c>
      <c r="R22" s="288" t="s">
        <v>543</v>
      </c>
      <c r="S22" s="288" t="s">
        <v>543</v>
      </c>
      <c r="T22" s="288" t="s">
        <v>543</v>
      </c>
      <c r="U22" s="288" t="s">
        <v>543</v>
      </c>
      <c r="V22" s="288" t="s">
        <v>543</v>
      </c>
      <c r="W22" s="288" t="s">
        <v>543</v>
      </c>
      <c r="X22" s="288" t="s">
        <v>543</v>
      </c>
      <c r="Y22" s="288" t="s">
        <v>543</v>
      </c>
      <c r="Z22" s="288" t="s">
        <v>543</v>
      </c>
      <c r="AA22" s="288" t="s">
        <v>543</v>
      </c>
      <c r="AB22" s="288" t="s">
        <v>543</v>
      </c>
      <c r="AC22" s="288" t="s">
        <v>543</v>
      </c>
      <c r="AD22" s="288" t="s">
        <v>543</v>
      </c>
      <c r="AE22" s="288" t="s">
        <v>543</v>
      </c>
      <c r="AF22" s="288" t="s">
        <v>543</v>
      </c>
      <c r="AG22" s="288" t="s">
        <v>543</v>
      </c>
      <c r="AH22" s="288" t="s">
        <v>543</v>
      </c>
      <c r="AI22" s="288" t="s">
        <v>543</v>
      </c>
      <c r="AJ22" s="288" t="s">
        <v>543</v>
      </c>
      <c r="AK22" s="288" t="s">
        <v>543</v>
      </c>
      <c r="AL22" s="288" t="s">
        <v>543</v>
      </c>
      <c r="AM22" s="288" t="s">
        <v>543</v>
      </c>
      <c r="AN22" s="288" t="s">
        <v>543</v>
      </c>
      <c r="AO22" s="288" t="s">
        <v>543</v>
      </c>
      <c r="AP22" s="288" t="s">
        <v>543</v>
      </c>
      <c r="AQ22" s="288" t="s">
        <v>543</v>
      </c>
      <c r="AR22" s="288" t="s">
        <v>543</v>
      </c>
      <c r="AS22" s="288" t="s">
        <v>543</v>
      </c>
      <c r="AT22" s="288" t="s">
        <v>543</v>
      </c>
      <c r="AU22" s="288" t="s">
        <v>543</v>
      </c>
      <c r="AV22" s="288" t="s">
        <v>543</v>
      </c>
      <c r="AW22" s="90"/>
      <c r="AX22" s="90"/>
      <c r="AY22" s="90"/>
      <c r="AZ22" s="90"/>
      <c r="BA22" s="90"/>
      <c r="BB22" s="90"/>
      <c r="BC22" s="90"/>
      <c r="BD22" s="90"/>
      <c r="BE22" s="90"/>
      <c r="BF22" s="90"/>
      <c r="BG22" s="90"/>
      <c r="BH22" s="90"/>
      <c r="BI22" s="90"/>
      <c r="BJ22" s="90"/>
      <c r="BK22" s="90"/>
      <c r="BL22" s="90"/>
      <c r="BM22" s="90"/>
      <c r="BN22" s="90"/>
      <c r="BO22" s="90"/>
      <c r="BP22" s="90"/>
    </row>
    <row r="23" ht="12.75" customHeight="1">
      <c r="A23" s="90"/>
      <c r="C23" s="90"/>
      <c r="D23" s="90"/>
      <c r="E23" s="90"/>
      <c r="F23" s="90"/>
      <c r="G23" s="90"/>
      <c r="H23" s="196"/>
      <c r="I23" s="196"/>
      <c r="J23" s="90"/>
      <c r="K23" s="90"/>
      <c r="L23" s="90"/>
      <c r="M23" s="90"/>
      <c r="N23" s="90"/>
      <c r="O23" s="90"/>
      <c r="P23" s="223"/>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c r="BF23" s="90"/>
      <c r="BG23" s="90"/>
      <c r="BH23" s="90"/>
      <c r="BI23" s="90"/>
      <c r="BJ23" s="90"/>
      <c r="BK23" s="90"/>
      <c r="BL23" s="90"/>
      <c r="BM23" s="90"/>
      <c r="BN23" s="90"/>
      <c r="BO23" s="90"/>
      <c r="BP23" s="90"/>
    </row>
    <row r="24" ht="12.75" customHeight="1">
      <c r="A24" s="67" t="s">
        <v>275</v>
      </c>
      <c r="B24" s="90"/>
      <c r="C24" s="90"/>
      <c r="D24" s="90"/>
      <c r="E24" s="90"/>
      <c r="F24" s="90"/>
      <c r="G24" s="90"/>
      <c r="H24" s="196"/>
      <c r="I24" s="196"/>
      <c r="J24" s="289"/>
      <c r="K24" s="290"/>
      <c r="L24" s="291"/>
      <c r="M24" s="292"/>
      <c r="N24" s="292"/>
      <c r="O24" s="292"/>
      <c r="P24" s="292"/>
      <c r="Q24" s="292"/>
      <c r="R24" s="292"/>
      <c r="S24" s="291"/>
      <c r="T24" s="291"/>
      <c r="U24" s="291"/>
      <c r="V24" s="291"/>
      <c r="W24" s="291"/>
      <c r="X24" s="291"/>
      <c r="Y24" s="291"/>
      <c r="Z24" s="291"/>
      <c r="AA24" s="291"/>
      <c r="AB24" s="291"/>
      <c r="AC24" s="291"/>
      <c r="AD24" s="290"/>
      <c r="AE24" s="290"/>
      <c r="AF24" s="290"/>
      <c r="AG24" s="290"/>
      <c r="AH24" s="290"/>
      <c r="AI24" s="290"/>
      <c r="AJ24" s="290"/>
      <c r="AK24" s="290"/>
      <c r="AL24" s="290"/>
      <c r="AM24" s="290"/>
      <c r="AN24" s="290"/>
      <c r="AO24" s="290"/>
      <c r="AP24" s="290"/>
      <c r="AQ24" s="290"/>
      <c r="AR24" s="290"/>
      <c r="AS24" s="290"/>
      <c r="AT24" s="290"/>
      <c r="AU24" s="290"/>
      <c r="AV24" s="290"/>
      <c r="AW24" s="90"/>
      <c r="AX24" s="90"/>
      <c r="AY24" s="90"/>
      <c r="AZ24" s="90"/>
      <c r="BA24" s="90"/>
      <c r="BB24" s="90"/>
      <c r="BC24" s="90"/>
      <c r="BD24" s="90"/>
      <c r="BE24" s="90"/>
      <c r="BF24" s="90"/>
      <c r="BG24" s="90"/>
      <c r="BH24" s="90"/>
      <c r="BI24" s="90"/>
      <c r="BJ24" s="90"/>
      <c r="BK24" s="90"/>
      <c r="BL24" s="90"/>
      <c r="BM24" s="90"/>
      <c r="BN24" s="90"/>
      <c r="BO24" s="90"/>
      <c r="BP24" s="90"/>
    </row>
    <row r="25" ht="12.75" customHeight="1">
      <c r="A25" s="90"/>
      <c r="B25" s="90" t="s">
        <v>544</v>
      </c>
      <c r="C25" s="90"/>
      <c r="D25" s="90"/>
      <c r="E25" s="90"/>
      <c r="F25" s="90"/>
      <c r="G25" s="90"/>
      <c r="H25" s="90"/>
      <c r="I25" s="99"/>
      <c r="J25" s="99"/>
      <c r="K25" s="99">
        <f>'RS1'!J272+'RS2'!J271+'RS3'!J272+K128</f>
        <v>2666871.1</v>
      </c>
      <c r="L25" s="99">
        <f>'RS1'!K272+'RS2'!K271+'RS3'!K272+L128</f>
        <v>5956528.41</v>
      </c>
      <c r="M25" s="93">
        <f>'RS1'!L272+'RS2'!L271+'RS3'!L272+M128</f>
        <v>8574460.576</v>
      </c>
      <c r="N25" s="93">
        <f>'RS1'!M272+'RS2'!M271+'RS3'!M272+N128</f>
        <v>14076167.33</v>
      </c>
      <c r="O25" s="93">
        <f>'RS1'!N272+'RS2'!N271+'RS3'!N272+O128</f>
        <v>22872986.5</v>
      </c>
      <c r="P25" s="93">
        <f>'RS1'!O272+'RS2'!O271+'RS3'!O272+P128</f>
        <v>37800815.69</v>
      </c>
      <c r="Q25" s="93">
        <f>'RS1'!P272+'RS2'!P271+'RS3'!P272+Q128</f>
        <v>62232252.02</v>
      </c>
      <c r="R25" s="93">
        <f>'RS1'!Q272+'RS2'!Q271+'RS3'!Q272+R128</f>
        <v>102700452.1</v>
      </c>
      <c r="S25" s="93">
        <f>'RS1'!R272+'RS2'!R271+'RS3'!R272+S128</f>
        <v>173798406.9</v>
      </c>
      <c r="T25" s="93">
        <f>'RS1'!S272+'RS2'!S271+'RS3'!S272+T128</f>
        <v>285546379.2</v>
      </c>
      <c r="U25" s="93">
        <f>'RS1'!T272+'RS2'!T271+'RS3'!T272+U128</f>
        <v>441116104.5</v>
      </c>
      <c r="V25" s="93">
        <f>'RS1'!U272+'RS2'!U271+'RS3'!U272+V128</f>
        <v>611632547.1</v>
      </c>
      <c r="W25" s="93">
        <f>'RS1'!V272+'RS2'!V271+'RS3'!V272+W128</f>
        <v>853749575.7</v>
      </c>
      <c r="X25" s="93">
        <f>'RS1'!W272+'RS2'!W271+'RS3'!W272+X128</f>
        <v>1158000227</v>
      </c>
      <c r="Y25" s="93">
        <f>'RS1'!X272+'RS2'!X271+'RS3'!X272+Y128</f>
        <v>1677264357</v>
      </c>
      <c r="Z25" s="93">
        <f>'RS1'!Y272+'RS2'!Y271+'RS3'!Y272+Z128</f>
        <v>2413545698</v>
      </c>
      <c r="AA25" s="93">
        <f>'RS1'!Z272+'RS2'!Z271+'RS3'!Z272+AA128</f>
        <v>3381679145</v>
      </c>
      <c r="AB25" s="93">
        <f>'RS1'!AA272+'RS2'!AA271+'RS3'!AA272+AB128</f>
        <v>4532145727</v>
      </c>
      <c r="AC25" s="93">
        <f>'RS1'!AB272+'RS2'!AB271+'RS3'!AB272+AC128</f>
        <v>5929511581</v>
      </c>
      <c r="AD25" s="93">
        <f>'RS1'!AC272+'RS2'!AC271+'RS3'!AC272+AD128</f>
        <v>7507805149</v>
      </c>
      <c r="AE25" s="93">
        <f>'RS1'!AD272+'RS2'!AD271+'RS3'!AD272+AE128</f>
        <v>9160853218</v>
      </c>
      <c r="AF25" s="93">
        <f>'RS1'!AE272+'RS2'!AE271+'RS3'!AE272+AF128</f>
        <v>10624913603</v>
      </c>
      <c r="AG25" s="93">
        <f>'RS1'!AF272+'RS2'!AF271+'RS3'!AF272+AG128</f>
        <v>11238184694</v>
      </c>
      <c r="AH25" s="93">
        <f>'RS1'!AG272+'RS2'!AG271+'RS3'!AG272+AH128</f>
        <v>11573282462</v>
      </c>
      <c r="AI25" s="93">
        <f>'RS1'!AH272+'RS2'!AH271+'RS3'!AH272+AI128</f>
        <v>11806562644</v>
      </c>
      <c r="AJ25" s="93">
        <f>'RS1'!AI272+'RS2'!AI271+'RS3'!AI272+AJ128</f>
        <v>12028979596</v>
      </c>
      <c r="AK25" s="93">
        <f>'RS1'!AJ272+'RS2'!AJ271+'RS3'!AJ272+AK128</f>
        <v>12258627839</v>
      </c>
      <c r="AL25" s="93">
        <f>'RS1'!AK272+'RS2'!AK271+'RS3'!AK272+AL128</f>
        <v>12496661483</v>
      </c>
      <c r="AM25" s="93">
        <f>'RS1'!AL272+'RS2'!AL271+'RS3'!AL272+AM128</f>
        <v>12743186118</v>
      </c>
      <c r="AN25" s="93">
        <f>'RS1'!AM272+'RS2'!AM271+'RS3'!AM272+AN128</f>
        <v>12997673594</v>
      </c>
      <c r="AO25" s="93" t="str">
        <f>'RS1'!AN272+'RS2'!AN271+'RS3'!AN272+AO128</f>
        <v>#REF!</v>
      </c>
      <c r="AP25" s="93" t="str">
        <f>'RS1'!AO272+'RS2'!AO271+'RS3'!AO272+AP128</f>
        <v>#REF!</v>
      </c>
      <c r="AQ25" s="93" t="str">
        <f>'RS1'!AP272+'RS2'!AP271+'RS3'!AP272+AQ128</f>
        <v>#REF!</v>
      </c>
      <c r="AR25" s="93" t="str">
        <f>'RS1'!AQ272+'RS2'!AQ271+'RS3'!AQ272+AR128</f>
        <v>#REF!</v>
      </c>
      <c r="AS25" s="93" t="str">
        <f>'RS1'!AR272+'RS2'!AR271+'RS3'!AR272+AS128</f>
        <v>#REF!</v>
      </c>
      <c r="AT25" s="93" t="str">
        <f>'RS1'!AS272+'RS2'!AS271+'RS3'!AS272+AT128</f>
        <v>#REF!</v>
      </c>
      <c r="AU25" s="93" t="str">
        <f>'RS1'!AT272+'RS2'!AT271+'RS3'!AT272+AU128</f>
        <v>#REF!</v>
      </c>
      <c r="AV25" s="93" t="str">
        <f>'RS1'!AU272+'RS2'!AU271+'RS3'!AU272+AV128</f>
        <v>#REF!</v>
      </c>
      <c r="AW25" s="93"/>
      <c r="AX25" s="90"/>
      <c r="AY25" s="90"/>
      <c r="AZ25" s="90"/>
      <c r="BA25" s="90"/>
      <c r="BB25" s="90"/>
      <c r="BC25" s="90"/>
      <c r="BD25" s="90"/>
      <c r="BE25" s="90"/>
      <c r="BF25" s="90"/>
      <c r="BG25" s="90"/>
      <c r="BH25" s="90"/>
      <c r="BI25" s="90"/>
      <c r="BJ25" s="90"/>
      <c r="BK25" s="90"/>
      <c r="BL25" s="90"/>
      <c r="BM25" s="90"/>
      <c r="BN25" s="90"/>
      <c r="BO25" s="90"/>
      <c r="BP25" s="90"/>
    </row>
    <row r="26" ht="12.75" customHeight="1">
      <c r="A26" s="90"/>
      <c r="B26" s="90" t="s">
        <v>545</v>
      </c>
      <c r="C26" s="90"/>
      <c r="D26" s="90"/>
      <c r="E26" s="90"/>
      <c r="F26" s="90"/>
      <c r="G26" s="90"/>
      <c r="H26" s="90"/>
      <c r="I26" s="99"/>
      <c r="J26" s="99"/>
      <c r="K26" s="99">
        <f>'RS1'!J282+'RS2'!J281+'RS3'!J281+K141</f>
        <v>417565.2</v>
      </c>
      <c r="L26" s="99">
        <f>'RS1'!K282+'RS2'!K281+'RS3'!K281+L141+'RS2'!K284+'RS3'!K284</f>
        <v>1359882.22</v>
      </c>
      <c r="M26" s="176">
        <f>'RS1'!L282+'RS2'!L281+'RS3'!L281+M141+'RS1'!L288+'RS2'!L284+'RS3'!L284</f>
        <v>1544861.144</v>
      </c>
      <c r="N26" s="176">
        <f>'RS1'!M282+'RS2'!M281+'RS3'!M281+N141+'RS1'!M288+'RS2'!M284+'RS3'!M284</f>
        <v>2686855.665</v>
      </c>
      <c r="O26" s="93">
        <f>'RS1'!N282+'RS2'!N281+'RS3'!N281+O141</f>
        <v>4440048.265</v>
      </c>
      <c r="P26" s="93">
        <f>'RS1'!O282+'RS2'!O281+'RS3'!O281+P141</f>
        <v>7321802.363</v>
      </c>
      <c r="Q26" s="93">
        <f>'RS1'!P282+'RS2'!P281+'RS3'!P281+Q141</f>
        <v>12082311.99</v>
      </c>
      <c r="R26" s="93">
        <f>'RS1'!Q282+'RS2'!Q281+'RS3'!Q281+R141</f>
        <v>20156917.89</v>
      </c>
      <c r="S26" s="93">
        <f>'RS1'!R282+'RS2'!R281+'RS3'!R281+S141</f>
        <v>33448585.65</v>
      </c>
      <c r="T26" s="93">
        <f>'RS1'!S282+'RS2'!S281+'RS3'!S281+T141</f>
        <v>52489854.36</v>
      </c>
      <c r="U26" s="93">
        <f>'RS1'!T282+'RS2'!T281+'RS3'!T281+U141</f>
        <v>73948623.21</v>
      </c>
      <c r="V26" s="93">
        <f>'RS1'!U282+'RS2'!U281+'RS3'!U281+V141</f>
        <v>98840929.52</v>
      </c>
      <c r="W26" s="93">
        <f>'RS1'!V282+'RS2'!V281+'RS3'!V281+W141</f>
        <v>133912065.8</v>
      </c>
      <c r="X26" s="93">
        <f>'RS1'!W282+'RS2'!W281+'RS3'!W281+X141</f>
        <v>189263068.6</v>
      </c>
      <c r="Y26" s="93">
        <f>'RS1'!X282+'RS2'!X281+'RS3'!X281+Y141</f>
        <v>278192674.5</v>
      </c>
      <c r="Z26" s="93">
        <f>'RS1'!Y282+'RS2'!Y281+'RS3'!Y281+Z141</f>
        <v>395518103.2</v>
      </c>
      <c r="AA26" s="93">
        <f>'RS1'!Z282+'RS2'!Z281+'RS3'!Z281+AA141</f>
        <v>530808250</v>
      </c>
      <c r="AB26" s="93">
        <f>'RS1'!AA282+'RS2'!AA281+'RS3'!AA281+AB141</f>
        <v>685298229</v>
      </c>
      <c r="AC26" s="93">
        <f>'RS1'!AB282+'RS2'!AB281+'RS3'!AB281+AC141</f>
        <v>862750130.9</v>
      </c>
      <c r="AD26" s="93">
        <f>'RS1'!AC282+'RS2'!AC281+'RS3'!AC281+AD141</f>
        <v>1046932806</v>
      </c>
      <c r="AE26" s="93">
        <f>'RS1'!AD282+'RS2'!AD281+'RS3'!AD281+AE141</f>
        <v>1204632309</v>
      </c>
      <c r="AF26" s="93">
        <f>'RS1'!AE282+'RS2'!AE281+'RS3'!AE281+AF141</f>
        <v>1264040764</v>
      </c>
      <c r="AG26" s="93">
        <f>'RS1'!AF282+'RS2'!AF281+'RS3'!AF281+AG141</f>
        <v>1220661834</v>
      </c>
      <c r="AH26" s="93">
        <f>'RS1'!AG282+'RS2'!AG281+'RS3'!AG281+AH141</f>
        <v>1194304128</v>
      </c>
      <c r="AI26" s="93">
        <f>'RS1'!AH282+'RS2'!AH281+'RS3'!AH281+AI141</f>
        <v>1212263867</v>
      </c>
      <c r="AJ26" s="93">
        <f>'RS1'!AI282+'RS2'!AI281+'RS3'!AI281+AJ141</f>
        <v>1236509144</v>
      </c>
      <c r="AK26" s="93">
        <f>'RS1'!AJ282+'RS2'!AJ281+'RS3'!AJ281+AK141</f>
        <v>1261239327</v>
      </c>
      <c r="AL26" s="93">
        <f>'RS1'!AK282+'RS2'!AK281+'RS3'!AK281+AL141</f>
        <v>1286464114</v>
      </c>
      <c r="AM26" s="93">
        <f>'RS1'!AL282+'RS2'!AL281+'RS3'!AL281+AM141</f>
        <v>1312193396</v>
      </c>
      <c r="AN26" s="93">
        <f>'RS1'!AM282+'RS2'!AM281+'RS3'!AM281+AN141</f>
        <v>1338437264</v>
      </c>
      <c r="AO26" s="93" t="str">
        <f>'RS1'!AN282+'RS2'!AN281+'RS3'!AN281+AO141</f>
        <v>#REF!</v>
      </c>
      <c r="AP26" s="93" t="str">
        <f>'RS1'!AO282+'RS2'!AO281+'RS3'!AO281+AP141</f>
        <v>#REF!</v>
      </c>
      <c r="AQ26" s="93" t="str">
        <f>'RS1'!AP282+'RS2'!AP281+'RS3'!AP281+AQ141</f>
        <v>#REF!</v>
      </c>
      <c r="AR26" s="93" t="str">
        <f>'RS1'!AQ282+'RS2'!AQ281+'RS3'!AQ281+AR141</f>
        <v>#REF!</v>
      </c>
      <c r="AS26" s="93" t="str">
        <f>'RS1'!AR282+'RS2'!AR281+'RS3'!AR281+AS141</f>
        <v>#REF!</v>
      </c>
      <c r="AT26" s="93" t="str">
        <f>'RS1'!AS282+'RS2'!AS281+'RS3'!AS281+AT141</f>
        <v>#REF!</v>
      </c>
      <c r="AU26" s="93" t="str">
        <f>'RS1'!AT282+'RS2'!AT281+'RS3'!AT281+AU141</f>
        <v>#REF!</v>
      </c>
      <c r="AV26" s="93" t="str">
        <f>'RS1'!AU282+'RS2'!AU281+'RS3'!AU281+AV141</f>
        <v>#REF!</v>
      </c>
      <c r="AW26" s="90"/>
      <c r="AX26" s="90"/>
      <c r="AY26" s="90"/>
      <c r="AZ26" s="90"/>
      <c r="BA26" s="90"/>
      <c r="BB26" s="90"/>
      <c r="BC26" s="90"/>
      <c r="BD26" s="90"/>
      <c r="BE26" s="90"/>
      <c r="BF26" s="90"/>
      <c r="BG26" s="90"/>
      <c r="BH26" s="90"/>
      <c r="BI26" s="90"/>
      <c r="BJ26" s="90"/>
      <c r="BK26" s="90"/>
      <c r="BL26" s="90"/>
      <c r="BM26" s="90"/>
      <c r="BN26" s="90"/>
      <c r="BO26" s="90"/>
      <c r="BP26" s="90"/>
    </row>
    <row r="27" ht="12.75" customHeight="1">
      <c r="A27" s="90"/>
      <c r="B27" s="90" t="s">
        <v>546</v>
      </c>
      <c r="C27" s="90"/>
      <c r="D27" s="90"/>
      <c r="E27" s="90"/>
      <c r="F27" s="90"/>
      <c r="G27" s="90"/>
      <c r="H27" s="90"/>
      <c r="I27" s="99"/>
      <c r="J27" s="99"/>
      <c r="K27" s="99">
        <f>'RS1'!J294+'RS2'!J294+'RS3'!J294+K155</f>
        <v>10316.02</v>
      </c>
      <c r="L27" s="99">
        <f>'RS1'!K294+'RS2'!K294+'RS3'!K294+L155</f>
        <v>53225.99</v>
      </c>
      <c r="M27" s="93">
        <f>'RS1'!L294+'RS2'!L294+'RS3'!L294+M155</f>
        <v>209523.2</v>
      </c>
      <c r="N27" s="93">
        <f>'RS1'!M294+'RS2'!M294+'RS3'!M294+N155</f>
        <v>358883.936</v>
      </c>
      <c r="O27" s="93">
        <f>'RS1'!N294+'RS2'!N294+'RS3'!N294+O155</f>
        <v>585859.5962</v>
      </c>
      <c r="P27" s="93">
        <f>'RS1'!O294+'RS2'!O294+'RS3'!O294+P155</f>
        <v>972267.0526</v>
      </c>
      <c r="Q27" s="93">
        <f>'RS1'!P294+'RS2'!P294+'RS3'!P294+Q155</f>
        <v>1604612.918</v>
      </c>
      <c r="R27" s="93">
        <f>'RS1'!Q294+'RS2'!Q294+'RS3'!Q294+R155</f>
        <v>2653570.491</v>
      </c>
      <c r="S27" s="93">
        <f>'RS1'!R294+'RS2'!R294+'RS3'!R294+S155</f>
        <v>4449643.247</v>
      </c>
      <c r="T27" s="93">
        <f>'RS1'!S294+'RS2'!S294+'RS3'!S294+T155</f>
        <v>7323263.099</v>
      </c>
      <c r="U27" s="93">
        <f>'RS1'!T294+'RS2'!T294+'RS3'!T294+U155</f>
        <v>11365514.1</v>
      </c>
      <c r="V27" s="93">
        <f>'RS1'!U294+'RS2'!U294+'RS3'!U294+V155</f>
        <v>15895133.33</v>
      </c>
      <c r="W27" s="93">
        <f>'RS1'!V294+'RS2'!V294+'RS3'!V294+W155</f>
        <v>22259352.6</v>
      </c>
      <c r="X27" s="93">
        <f>'RS1'!W294+'RS2'!W294+'RS3'!W294+X155</f>
        <v>30226101.32</v>
      </c>
      <c r="Y27" s="93">
        <f>'RS1'!X294+'RS2'!X294+'RS3'!X294+Y155</f>
        <v>43654935.72</v>
      </c>
      <c r="Z27" s="93">
        <f>'RS1'!Y294+'RS2'!Y294+'RS3'!Y294+Z155</f>
        <v>62709528.39</v>
      </c>
      <c r="AA27" s="93">
        <f>'RS1'!Z294+'RS2'!Z294+'RS3'!Z294+AA155</f>
        <v>88089834.29</v>
      </c>
      <c r="AB27" s="93">
        <f>'RS1'!AA294+'RS2'!AA294+'RS3'!AA294+AB155</f>
        <v>118525916</v>
      </c>
      <c r="AC27" s="93">
        <f>'RS1'!AB294+'RS2'!AB294+'RS3'!AB294+AC155</f>
        <v>155563027.7</v>
      </c>
      <c r="AD27" s="93">
        <f>'RS1'!AC294+'RS2'!AC294+'RS3'!AC294+AD155</f>
        <v>197570541.8</v>
      </c>
      <c r="AE27" s="93">
        <f>'RS1'!AD294+'RS2'!AD294+'RS3'!AD294+AE155</f>
        <v>242070180.3</v>
      </c>
      <c r="AF27" s="93">
        <f>'RS1'!AE294+'RS2'!AE294+'RS3'!AE294+AF155</f>
        <v>282350587.3</v>
      </c>
      <c r="AG27" s="93">
        <f>'RS1'!AF294+'RS2'!AF294+'RS3'!AF294+AG155</f>
        <v>301793421.6</v>
      </c>
      <c r="AH27" s="93">
        <f>'RS1'!AG294+'RS2'!AG294+'RS3'!AG294+AH155</f>
        <v>313125747.2</v>
      </c>
      <c r="AI27" s="93">
        <f>'RS1'!AH294+'RS2'!AH294+'RS3'!AH294+AI155</f>
        <v>319962485.5</v>
      </c>
      <c r="AJ27" s="93">
        <f>'RS1'!AI294+'RS2'!AI294+'RS3'!AI294+AJ155</f>
        <v>326358360.7</v>
      </c>
      <c r="AK27" s="93">
        <f>'RS1'!AJ294+'RS2'!AJ294+'RS3'!AJ294+AK155</f>
        <v>332882153.4</v>
      </c>
      <c r="AL27" s="93">
        <f>'RS1'!AK294+'RS2'!AK294+'RS3'!AK294+AL155</f>
        <v>339536422</v>
      </c>
      <c r="AM27" s="93">
        <f>'RS1'!AL294+'RS2'!AL294+'RS3'!AL294+AM155</f>
        <v>346323775.9</v>
      </c>
      <c r="AN27" s="93">
        <f>'RS1'!AM294+'RS2'!AM294+'RS3'!AM294+AN155</f>
        <v>353246876.9</v>
      </c>
      <c r="AO27" s="93" t="str">
        <f>'RS1'!AN294+'RS2'!AN294+'RS3'!AN294+AO155</f>
        <v>#REF!</v>
      </c>
      <c r="AP27" s="93" t="str">
        <f>'RS1'!AO294+'RS2'!AO294+'RS3'!AO294+AP155</f>
        <v>#REF!</v>
      </c>
      <c r="AQ27" s="93" t="str">
        <f>'RS1'!AP294+'RS2'!AP294+'RS3'!AP294+AQ155</f>
        <v>#REF!</v>
      </c>
      <c r="AR27" s="93" t="str">
        <f>'RS1'!AQ294+'RS2'!AQ294+'RS3'!AQ294+AR155</f>
        <v>#REF!</v>
      </c>
      <c r="AS27" s="93" t="str">
        <f>'RS1'!AR294+'RS2'!AR294+'RS3'!AR294+AS155</f>
        <v>#REF!</v>
      </c>
      <c r="AT27" s="93" t="str">
        <f>'RS1'!AS294+'RS2'!AS294+'RS3'!AS294+AT155</f>
        <v>#REF!</v>
      </c>
      <c r="AU27" s="93" t="str">
        <f>'RS1'!AT294+'RS2'!AT294+'RS3'!AT294+AU155</f>
        <v>#REF!</v>
      </c>
      <c r="AV27" s="93" t="str">
        <f>'RS1'!AU294+'RS2'!AU294+'RS3'!AU294+AV155</f>
        <v>#REF!</v>
      </c>
      <c r="AW27" s="90"/>
      <c r="AX27" s="90"/>
      <c r="AY27" s="90"/>
      <c r="AZ27" s="90"/>
      <c r="BA27" s="90"/>
      <c r="BB27" s="90"/>
      <c r="BC27" s="90"/>
      <c r="BD27" s="90"/>
      <c r="BE27" s="90"/>
      <c r="BF27" s="90"/>
      <c r="BG27" s="90"/>
      <c r="BH27" s="90"/>
      <c r="BI27" s="90"/>
      <c r="BJ27" s="90"/>
      <c r="BK27" s="90"/>
      <c r="BL27" s="90"/>
      <c r="BM27" s="90"/>
      <c r="BN27" s="90"/>
      <c r="BO27" s="90"/>
      <c r="BP27" s="90"/>
    </row>
    <row r="28" ht="12.75" customHeight="1">
      <c r="A28" s="90"/>
      <c r="B28" s="90" t="s">
        <v>547</v>
      </c>
      <c r="C28" s="90"/>
      <c r="D28" s="90"/>
      <c r="E28" s="90"/>
      <c r="F28" s="90"/>
      <c r="G28" s="90"/>
      <c r="H28" s="90"/>
      <c r="I28" s="90"/>
      <c r="J28" s="99"/>
      <c r="K28" s="99">
        <f>SUM('RS1'!J285:J287)+SUM('RS2'!J285:J287)+SUM('RS3'!J285:J287)+K168</f>
        <v>382959.48</v>
      </c>
      <c r="L28" s="99">
        <f>SUM('RS1'!K285:K287)+SUM('RS2'!K285:K287)+SUM('RS3'!K285:K287)+L168</f>
        <v>504298.84</v>
      </c>
      <c r="M28" s="93">
        <f>SUM('RS1'!L285:L287)+SUM('RS2'!L285:L287)+SUM('RS3'!L285:L287)+M168</f>
        <v>634999.91</v>
      </c>
      <c r="N28" s="93">
        <f>SUM('RS1'!M285:M287)+SUM('RS2'!M285:M287)+SUM('RS3'!M285:M287)+N168</f>
        <v>750000</v>
      </c>
      <c r="O28" s="93">
        <f>SUM('RS1'!N285:N287)+SUM('RS2'!N285:N287)+SUM('RS3'!N285:N287)+O168</f>
        <v>1000000</v>
      </c>
      <c r="P28" s="93">
        <f>SUM('RS1'!O285:O287)+SUM('RS2'!O285:O287)+SUM('RS3'!O285:O287)+P168</f>
        <v>1250000</v>
      </c>
      <c r="Q28" s="93">
        <f>SUM('RS1'!P285:P287)+SUM('RS2'!P285:P287)+SUM('RS3'!P285:P287)+Q168</f>
        <v>2000000</v>
      </c>
      <c r="R28" s="93">
        <f>SUM('RS1'!Q285:Q287)+SUM('RS2'!Q285:Q287)+SUM('RS3'!Q285:Q287)+R168</f>
        <v>3250000</v>
      </c>
      <c r="S28" s="93">
        <f>SUM('RS1'!R285:R287)+SUM('RS2'!R285:R287)+SUM('RS3'!R285:R287)+S168</f>
        <v>5500000</v>
      </c>
      <c r="T28" s="93">
        <f>SUM('RS1'!S285:S287)+SUM('RS2'!S285:S287)+SUM('RS3'!S285:S287)+T168</f>
        <v>8500000</v>
      </c>
      <c r="U28" s="93">
        <f>SUM('RS1'!T285:T287)+SUM('RS2'!T285:T287)+SUM('RS3'!T285:T287)+U168</f>
        <v>2500000</v>
      </c>
      <c r="V28" s="93">
        <f>SUM('RS1'!U285:U287)+SUM('RS2'!U285:U287)+SUM('RS3'!U285:U287)+V168</f>
        <v>0</v>
      </c>
      <c r="W28" s="93">
        <f>SUM('RS1'!V285:V287)+SUM('RS2'!V285:V287)+SUM('RS3'!V285:V287)+W168</f>
        <v>0</v>
      </c>
      <c r="X28" s="93">
        <f>SUM('RS1'!W285:W287)+SUM('RS2'!W285:W287)+SUM('RS3'!W285:W287)+X168</f>
        <v>0</v>
      </c>
      <c r="Y28" s="93">
        <f>SUM('RS1'!X285:X287)+SUM('RS2'!X285:X287)+SUM('RS3'!X285:X287)+Y168</f>
        <v>0</v>
      </c>
      <c r="Z28" s="93">
        <f>SUM('RS1'!Y285:Y287)+SUM('RS2'!Y285:Y287)+SUM('RS3'!Y285:Y287)+Z168</f>
        <v>0</v>
      </c>
      <c r="AA28" s="93">
        <f>SUM('RS1'!Z285:Z287)+SUM('RS2'!Z285:Z287)+SUM('RS3'!Z285:Z287)+AA168</f>
        <v>0</v>
      </c>
      <c r="AB28" s="93">
        <f>SUM('RS1'!AA285:AA287)+SUM('RS2'!AA285:AA287)+SUM('RS3'!AA285:AA287)+AB168</f>
        <v>0</v>
      </c>
      <c r="AC28" s="93">
        <f>SUM('RS1'!AB285:AB287)+SUM('RS2'!AB285:AB287)+SUM('RS3'!AB285:AB287)+AC168</f>
        <v>0</v>
      </c>
      <c r="AD28" s="93">
        <f>SUM('RS1'!AC285:AC287)+SUM('RS2'!AC285:AC287)+SUM('RS3'!AC285:AC287)+AD168</f>
        <v>0</v>
      </c>
      <c r="AE28" s="93">
        <f>SUM('RS1'!AD285:AD287)+SUM('RS2'!AD285:AD287)+SUM('RS3'!AD285:AD287)+AE168</f>
        <v>0</v>
      </c>
      <c r="AF28" s="93">
        <f>SUM('RS1'!AE285:AE287)+SUM('RS2'!AE285:AE287)+SUM('RS3'!AE285:AE287)+AF168</f>
        <v>0</v>
      </c>
      <c r="AG28" s="93">
        <f>SUM('RS1'!AF285:AF287)+SUM('RS2'!AF285:AF287)+SUM('RS3'!AF285:AF287)+AG168</f>
        <v>0</v>
      </c>
      <c r="AH28" s="93">
        <f>SUM('RS1'!AG285:AG287)+SUM('RS2'!AG285:AG287)+SUM('RS3'!AG285:AG287)+AH168</f>
        <v>0</v>
      </c>
      <c r="AI28" s="93">
        <f>SUM('RS1'!AH285:AH287)+SUM('RS2'!AH285:AH287)+SUM('RS3'!AH285:AH287)+AI168</f>
        <v>0</v>
      </c>
      <c r="AJ28" s="93">
        <f>SUM('RS1'!AI285:AI287)+SUM('RS2'!AI285:AI287)+SUM('RS3'!AI285:AI287)+AJ168</f>
        <v>0</v>
      </c>
      <c r="AK28" s="93">
        <f>SUM('RS1'!AJ285:AJ287)+SUM('RS2'!AJ285:AJ287)+SUM('RS3'!AJ285:AJ287)+AK168</f>
        <v>0</v>
      </c>
      <c r="AL28" s="93">
        <f>SUM('RS1'!AK285:AK287)+SUM('RS2'!AK285:AK287)+SUM('RS3'!AK285:AK287)+AL168</f>
        <v>0</v>
      </c>
      <c r="AM28" s="93">
        <f>SUM('RS1'!AL285:AL287)+SUM('RS2'!AL285:AL287)+SUM('RS3'!AL285:AL287)+AM168</f>
        <v>0</v>
      </c>
      <c r="AN28" s="93">
        <f>SUM('RS1'!AM285:AM287)+SUM('RS2'!AM285:AM287)+SUM('RS3'!AM285:AM287)+AN168</f>
        <v>0</v>
      </c>
      <c r="AO28" s="93" t="str">
        <f>SUM('RS1'!AN285:AN287)+SUM('RS2'!AN285:AN287)+SUM('RS3'!AN285:AN287)+AO168</f>
        <v>#REF!</v>
      </c>
      <c r="AP28" s="93" t="str">
        <f>SUM('RS1'!AO285:AO287)+SUM('RS2'!AO285:AO287)+SUM('RS3'!AO285:AO287)+AP168</f>
        <v>#REF!</v>
      </c>
      <c r="AQ28" s="93" t="str">
        <f>SUM('RS1'!AP285:AP287)+SUM('RS2'!AP285:AP287)+SUM('RS3'!AP285:AP287)+AQ168</f>
        <v>#REF!</v>
      </c>
      <c r="AR28" s="93" t="str">
        <f>SUM('RS1'!AQ285:AQ287)+SUM('RS2'!AQ285:AQ287)+SUM('RS3'!AQ285:AQ287)+AR168</f>
        <v>#REF!</v>
      </c>
      <c r="AS28" s="93" t="str">
        <f>SUM('RS1'!AR285:AR287)+SUM('RS2'!AR285:AR287)+SUM('RS3'!AR285:AR287)+AS168</f>
        <v>#REF!</v>
      </c>
      <c r="AT28" s="93" t="str">
        <f>SUM('RS1'!AS285:AS287)+SUM('RS2'!AS285:AS287)+SUM('RS3'!AS285:AS287)+AT168</f>
        <v>#REF!</v>
      </c>
      <c r="AU28" s="93" t="str">
        <f>SUM('RS1'!AT285:AT287)+SUM('RS2'!AT285:AT287)+SUM('RS3'!AT285:AT287)+AU168</f>
        <v>#REF!</v>
      </c>
      <c r="AV28" s="93" t="str">
        <f>SUM('RS1'!AU285:AU287)+SUM('RS2'!AU285:AU287)+SUM('RS3'!AU285:AU287)+AV168</f>
        <v>#REF!</v>
      </c>
      <c r="AW28" s="90"/>
      <c r="AX28" s="90"/>
      <c r="AY28" s="90"/>
      <c r="AZ28" s="90"/>
      <c r="BA28" s="90"/>
      <c r="BB28" s="90"/>
      <c r="BC28" s="90"/>
      <c r="BD28" s="90"/>
      <c r="BE28" s="90"/>
      <c r="BF28" s="90"/>
      <c r="BG28" s="90"/>
      <c r="BH28" s="90"/>
      <c r="BI28" s="90"/>
      <c r="BJ28" s="90"/>
      <c r="BK28" s="90"/>
      <c r="BL28" s="90"/>
      <c r="BM28" s="90"/>
      <c r="BN28" s="90"/>
      <c r="BO28" s="90"/>
      <c r="BP28" s="90"/>
    </row>
    <row r="29" ht="12.75" customHeight="1">
      <c r="A29" s="109" t="s">
        <v>548</v>
      </c>
      <c r="B29" s="109"/>
      <c r="C29" s="109"/>
      <c r="D29" s="109"/>
      <c r="E29" s="109"/>
      <c r="F29" s="109"/>
      <c r="G29" s="109"/>
      <c r="H29" s="143"/>
      <c r="I29" s="293"/>
      <c r="J29" s="293"/>
      <c r="K29" s="293">
        <f t="shared" ref="K29:AV29" si="16">SUM(K25:K28)</f>
        <v>3477711.8</v>
      </c>
      <c r="L29" s="293">
        <f t="shared" si="16"/>
        <v>7873935.46</v>
      </c>
      <c r="M29" s="112">
        <f t="shared" si="16"/>
        <v>10963844.83</v>
      </c>
      <c r="N29" s="112">
        <f t="shared" si="16"/>
        <v>17871906.93</v>
      </c>
      <c r="O29" s="112">
        <f t="shared" si="16"/>
        <v>28898894.36</v>
      </c>
      <c r="P29" s="112">
        <f t="shared" si="16"/>
        <v>47344885.11</v>
      </c>
      <c r="Q29" s="112">
        <f t="shared" si="16"/>
        <v>77919176.93</v>
      </c>
      <c r="R29" s="112">
        <f t="shared" si="16"/>
        <v>128760940.5</v>
      </c>
      <c r="S29" s="112">
        <f t="shared" si="16"/>
        <v>217196635.8</v>
      </c>
      <c r="T29" s="112">
        <f t="shared" si="16"/>
        <v>353859496.6</v>
      </c>
      <c r="U29" s="112">
        <f t="shared" si="16"/>
        <v>528930241.8</v>
      </c>
      <c r="V29" s="112">
        <f t="shared" si="16"/>
        <v>726368610</v>
      </c>
      <c r="W29" s="112">
        <f t="shared" si="16"/>
        <v>1009920994</v>
      </c>
      <c r="X29" s="112">
        <f t="shared" si="16"/>
        <v>1377489397</v>
      </c>
      <c r="Y29" s="112">
        <f t="shared" si="16"/>
        <v>1999111967</v>
      </c>
      <c r="Z29" s="112">
        <f t="shared" si="16"/>
        <v>2871773330</v>
      </c>
      <c r="AA29" s="112">
        <f t="shared" si="16"/>
        <v>4000577229</v>
      </c>
      <c r="AB29" s="112">
        <f t="shared" si="16"/>
        <v>5335969872</v>
      </c>
      <c r="AC29" s="112">
        <f t="shared" si="16"/>
        <v>6947824739</v>
      </c>
      <c r="AD29" s="112">
        <f t="shared" si="16"/>
        <v>8752308496</v>
      </c>
      <c r="AE29" s="112">
        <f t="shared" si="16"/>
        <v>10607555708</v>
      </c>
      <c r="AF29" s="112">
        <f t="shared" si="16"/>
        <v>12171304954</v>
      </c>
      <c r="AG29" s="112">
        <f t="shared" si="16"/>
        <v>12760639949</v>
      </c>
      <c r="AH29" s="112">
        <f t="shared" si="16"/>
        <v>13080712337</v>
      </c>
      <c r="AI29" s="112">
        <f t="shared" si="16"/>
        <v>13338788996</v>
      </c>
      <c r="AJ29" s="112">
        <f t="shared" si="16"/>
        <v>13591847101</v>
      </c>
      <c r="AK29" s="112">
        <f t="shared" si="16"/>
        <v>13852749320</v>
      </c>
      <c r="AL29" s="112">
        <f t="shared" si="16"/>
        <v>14122662018</v>
      </c>
      <c r="AM29" s="112">
        <f t="shared" si="16"/>
        <v>14401703289</v>
      </c>
      <c r="AN29" s="112">
        <f t="shared" si="16"/>
        <v>14689357735</v>
      </c>
      <c r="AO29" s="112" t="str">
        <f t="shared" si="16"/>
        <v>#REF!</v>
      </c>
      <c r="AP29" s="112" t="str">
        <f t="shared" si="16"/>
        <v>#REF!</v>
      </c>
      <c r="AQ29" s="112" t="str">
        <f t="shared" si="16"/>
        <v>#REF!</v>
      </c>
      <c r="AR29" s="112" t="str">
        <f t="shared" si="16"/>
        <v>#REF!</v>
      </c>
      <c r="AS29" s="112" t="str">
        <f t="shared" si="16"/>
        <v>#REF!</v>
      </c>
      <c r="AT29" s="112" t="str">
        <f t="shared" si="16"/>
        <v>#REF!</v>
      </c>
      <c r="AU29" s="112" t="str">
        <f t="shared" si="16"/>
        <v>#REF!</v>
      </c>
      <c r="AV29" s="112" t="str">
        <f t="shared" si="16"/>
        <v>#REF!</v>
      </c>
      <c r="AW29" s="90"/>
      <c r="AX29" s="90"/>
      <c r="AY29" s="90"/>
      <c r="AZ29" s="90"/>
      <c r="BA29" s="90"/>
      <c r="BB29" s="90"/>
      <c r="BC29" s="90"/>
      <c r="BD29" s="90"/>
      <c r="BE29" s="90"/>
      <c r="BF29" s="90"/>
      <c r="BG29" s="90"/>
      <c r="BH29" s="90"/>
      <c r="BI29" s="90"/>
      <c r="BJ29" s="90"/>
      <c r="BK29" s="90"/>
      <c r="BL29" s="90"/>
      <c r="BM29" s="90"/>
      <c r="BN29" s="90"/>
      <c r="BO29" s="90"/>
      <c r="BP29" s="90"/>
    </row>
    <row r="30" ht="12.75" customHeight="1">
      <c r="A30" s="102"/>
      <c r="B30" s="102"/>
      <c r="C30" s="102"/>
      <c r="D30" s="102"/>
      <c r="E30" s="102"/>
      <c r="F30" s="102"/>
      <c r="G30" s="102"/>
      <c r="H30" s="102"/>
      <c r="I30" s="102"/>
      <c r="J30" s="152"/>
      <c r="K30" s="223"/>
      <c r="L30" s="113"/>
      <c r="M30" s="93"/>
      <c r="N30" s="93"/>
      <c r="O30" s="93"/>
      <c r="P30" s="93"/>
      <c r="Q30" s="93"/>
      <c r="R30" s="93"/>
      <c r="S30" s="93"/>
      <c r="T30" s="93"/>
      <c r="U30" s="93"/>
      <c r="V30" s="93"/>
      <c r="W30" s="93"/>
      <c r="X30" s="93"/>
      <c r="Y30" s="93"/>
      <c r="Z30" s="93"/>
      <c r="AA30" s="93"/>
      <c r="AB30" s="93"/>
      <c r="AC30" s="93"/>
      <c r="AD30" s="93"/>
      <c r="AE30" s="93"/>
      <c r="AF30" s="93"/>
      <c r="AG30" s="93"/>
      <c r="AH30" s="93"/>
      <c r="AI30" s="93"/>
      <c r="AJ30" s="93"/>
      <c r="AK30" s="93"/>
      <c r="AL30" s="93"/>
      <c r="AM30" s="93"/>
      <c r="AN30" s="93"/>
      <c r="AO30" s="93"/>
      <c r="AP30" s="93"/>
      <c r="AQ30" s="93"/>
      <c r="AR30" s="93"/>
      <c r="AS30" s="93"/>
      <c r="AT30" s="93"/>
      <c r="AU30" s="93"/>
      <c r="AV30" s="93"/>
      <c r="AW30" s="102"/>
      <c r="AX30" s="102"/>
      <c r="AY30" s="102"/>
      <c r="AZ30" s="102"/>
      <c r="BA30" s="102"/>
      <c r="BB30" s="102"/>
      <c r="BC30" s="102"/>
      <c r="BD30" s="102"/>
      <c r="BE30" s="102"/>
      <c r="BF30" s="102"/>
      <c r="BG30" s="102"/>
      <c r="BH30" s="102"/>
      <c r="BI30" s="102"/>
      <c r="BJ30" s="102"/>
      <c r="BK30" s="102"/>
      <c r="BL30" s="102"/>
      <c r="BM30" s="102"/>
      <c r="BN30" s="102"/>
      <c r="BO30" s="102"/>
      <c r="BP30" s="102"/>
    </row>
    <row r="31" ht="12.75" customHeight="1">
      <c r="A31" s="67" t="s">
        <v>304</v>
      </c>
      <c r="J31" s="152"/>
      <c r="K31" s="152"/>
      <c r="L31" s="152"/>
      <c r="M31" s="93"/>
      <c r="N31" s="93"/>
      <c r="O31" s="93"/>
      <c r="P31" s="93"/>
      <c r="Q31" s="93"/>
      <c r="R31" s="93"/>
      <c r="S31" s="93"/>
      <c r="T31" s="93"/>
      <c r="U31" s="93"/>
      <c r="V31" s="93"/>
      <c r="W31" s="93"/>
      <c r="X31" s="93"/>
      <c r="Y31" s="93"/>
      <c r="Z31" s="93"/>
      <c r="AA31" s="93"/>
      <c r="AB31" s="93"/>
      <c r="AC31" s="93"/>
      <c r="AD31" s="93"/>
      <c r="AE31" s="93"/>
      <c r="AF31" s="93"/>
      <c r="AG31" s="93"/>
      <c r="AH31" s="93"/>
      <c r="AI31" s="93"/>
      <c r="AJ31" s="93"/>
      <c r="AK31" s="93"/>
      <c r="AL31" s="93"/>
      <c r="AM31" s="93"/>
      <c r="AN31" s="93"/>
      <c r="AO31" s="93"/>
      <c r="AP31" s="93"/>
      <c r="AQ31" s="93"/>
      <c r="AR31" s="93"/>
      <c r="AS31" s="93"/>
      <c r="AT31" s="93"/>
      <c r="AU31" s="93"/>
      <c r="AV31" s="93"/>
      <c r="AW31" s="90"/>
      <c r="AX31" s="90"/>
      <c r="AY31" s="90"/>
      <c r="AZ31" s="90"/>
      <c r="BA31" s="90"/>
      <c r="BB31" s="90"/>
      <c r="BC31" s="90"/>
      <c r="BD31" s="90"/>
      <c r="BE31" s="90"/>
      <c r="BF31" s="90"/>
      <c r="BG31" s="90"/>
      <c r="BH31" s="90"/>
      <c r="BI31" s="90"/>
      <c r="BJ31" s="90"/>
      <c r="BK31" s="90"/>
      <c r="BL31" s="90"/>
      <c r="BM31" s="90"/>
      <c r="BN31" s="90"/>
      <c r="BO31" s="90"/>
      <c r="BP31" s="90"/>
    </row>
    <row r="32" ht="12.75" customHeight="1">
      <c r="A32" s="90"/>
      <c r="B32" s="90" t="s">
        <v>549</v>
      </c>
      <c r="C32" s="90"/>
      <c r="D32" s="90"/>
      <c r="E32" s="90"/>
      <c r="F32" s="90"/>
      <c r="G32" s="90"/>
      <c r="J32" s="99"/>
      <c r="K32" s="99">
        <f>'RS1'!J319+'RS2'!J319+'RS3'!J319+K182</f>
        <v>1058150.67</v>
      </c>
      <c r="L32" s="99" t="str">
        <f>'RS1'!K319+'RS2'!K319+'RS3'!K319+L182</f>
        <v>#REF!</v>
      </c>
      <c r="M32" s="93">
        <f>'RS1'!L319+'RS2'!L319+'RS3'!L319+M182</f>
        <v>3874120</v>
      </c>
      <c r="N32" s="93">
        <f>'RS1'!M319+'RS2'!M319+'RS3'!M319+N182</f>
        <v>6150804.8</v>
      </c>
      <c r="O32" s="93">
        <f>'RS1'!N319+'RS2'!N319+'RS3'!N319+O182</f>
        <v>9395788.191</v>
      </c>
      <c r="P32" s="93">
        <f>'RS1'!O319+'RS2'!O319+'RS3'!O319+P182</f>
        <v>14616313.83</v>
      </c>
      <c r="Q32" s="93">
        <f>'RS1'!P319+'RS2'!P319+'RS3'!P319+Q182</f>
        <v>23173821.47</v>
      </c>
      <c r="R32" s="93">
        <f>'RS1'!Q319+'RS2'!Q319+'RS3'!Q319+R182</f>
        <v>37545355.61</v>
      </c>
      <c r="S32" s="93">
        <f>'RS1'!R319+'RS2'!R319+'RS3'!R319+S182</f>
        <v>62745136.23</v>
      </c>
      <c r="T32" s="93">
        <f>'RS1'!S319+'RS2'!S319+'RS3'!S319+T182</f>
        <v>101659440.1</v>
      </c>
      <c r="U32" s="93">
        <f>'RS1'!T319+'RS2'!T319+'RS3'!T319+U182</f>
        <v>153050244.9</v>
      </c>
      <c r="V32" s="93">
        <f>'RS1'!U319+'RS2'!U319+'RS3'!U319+V182</f>
        <v>210287723.9</v>
      </c>
      <c r="W32" s="93">
        <f>'RS1'!V319+'RS2'!V319+'RS3'!V319+W182</f>
        <v>292410230.4</v>
      </c>
      <c r="X32" s="93">
        <f>'RS1'!W319+'RS2'!W319+'RS3'!W319+X182</f>
        <v>400496845.8</v>
      </c>
      <c r="Y32" s="93">
        <f>'RS1'!X319+'RS2'!X319+'RS3'!X319+Y182</f>
        <v>583348055</v>
      </c>
      <c r="Z32" s="93">
        <f>'RS1'!Y319+'RS2'!Y319+'RS3'!Y319+Z182</f>
        <v>834709458.4</v>
      </c>
      <c r="AA32" s="93">
        <f>'RS1'!Z319+'RS2'!Z319+'RS3'!Z319+AA182</f>
        <v>1156821484</v>
      </c>
      <c r="AB32" s="93">
        <f>'RS1'!AA319+'RS2'!AA319+'RS3'!AA319+AB182</f>
        <v>1536820118</v>
      </c>
      <c r="AC32" s="93">
        <f>'RS1'!AB319+'RS2'!AB319+'RS3'!AB319+AC182</f>
        <v>1994811155</v>
      </c>
      <c r="AD32" s="93">
        <f>'RS1'!AC319+'RS2'!AC319+'RS3'!AC319+AD182</f>
        <v>2502029656</v>
      </c>
      <c r="AE32" s="93">
        <f>'RS1'!AD319+'RS2'!AD319+'RS3'!AD319+AE182</f>
        <v>3016174725</v>
      </c>
      <c r="AF32" s="93">
        <f>'RS1'!AE319+'RS2'!AE319+'RS3'!AE319+AF182</f>
        <v>3429685991</v>
      </c>
      <c r="AG32" s="93">
        <f>'RS1'!AF319+'RS2'!AF319+'RS3'!AF319+AG182</f>
        <v>3572331416</v>
      </c>
      <c r="AH32" s="93">
        <f>'RS1'!AG319+'RS2'!AG319+'RS3'!AG319+AH182</f>
        <v>3666704165</v>
      </c>
      <c r="AI32" s="93">
        <f>'RS1'!AH319+'RS2'!AH319+'RS3'!AH319+AI182</f>
        <v>3742745993</v>
      </c>
      <c r="AJ32" s="93">
        <f>'RS1'!AI319+'RS2'!AI319+'RS3'!AI319+AJ182</f>
        <v>3817600913</v>
      </c>
      <c r="AK32" s="93">
        <f>'RS1'!AJ319+'RS2'!AJ319+'RS3'!AJ319+AK182</f>
        <v>3893952931</v>
      </c>
      <c r="AL32" s="93">
        <f>'RS1'!AK319+'RS2'!AK319+'RS3'!AK319+AL182</f>
        <v>3971831990</v>
      </c>
      <c r="AM32" s="93">
        <f>'RS1'!AL319+'RS2'!AL319+'RS3'!AL319+AM182</f>
        <v>4051268630</v>
      </c>
      <c r="AN32" s="93">
        <f>'RS1'!AM319+'RS2'!AM319+'RS3'!AM319+AN182</f>
        <v>4132294002</v>
      </c>
      <c r="AO32" s="93">
        <f>'RS1'!AN319+'RS2'!AN319+'RS3'!AN319+AO182</f>
        <v>4214939882</v>
      </c>
      <c r="AP32" s="93" t="str">
        <f>'RS1'!AO319+'RS2'!AO319+'RS3'!AO319+AP182</f>
        <v>#REF!</v>
      </c>
      <c r="AQ32" s="93" t="str">
        <f>'RS1'!AP319+'RS2'!AP319+'RS3'!AP319+AQ182</f>
        <v>#REF!</v>
      </c>
      <c r="AR32" s="93" t="str">
        <f>'RS1'!AQ319+'RS2'!AQ319+'RS3'!AQ319+AR182</f>
        <v>#REF!</v>
      </c>
      <c r="AS32" s="93" t="str">
        <f>'RS1'!AR319+'RS2'!AR319+'RS3'!AR319+AS182</f>
        <v>#REF!</v>
      </c>
      <c r="AT32" s="93" t="str">
        <f>'RS1'!AS319+'RS2'!AS319+'RS3'!AS319+AT182</f>
        <v>#REF!</v>
      </c>
      <c r="AU32" s="93" t="str">
        <f>'RS1'!AT319+'RS2'!AT319+'RS3'!AT319+AU182</f>
        <v>#REF!</v>
      </c>
      <c r="AV32" s="93" t="str">
        <f>'RS1'!AU319+'RS2'!AU319+'RS3'!AU319+AV182</f>
        <v>#REF!</v>
      </c>
      <c r="AW32" s="90"/>
      <c r="AX32" s="90"/>
      <c r="AY32" s="90"/>
      <c r="AZ32" s="90"/>
      <c r="BA32" s="90"/>
      <c r="BB32" s="90"/>
      <c r="BC32" s="90"/>
      <c r="BD32" s="90"/>
      <c r="BE32" s="90"/>
      <c r="BF32" s="90"/>
      <c r="BG32" s="90"/>
      <c r="BH32" s="90"/>
      <c r="BI32" s="90"/>
      <c r="BJ32" s="90"/>
      <c r="BK32" s="90"/>
      <c r="BL32" s="90"/>
      <c r="BM32" s="90"/>
      <c r="BN32" s="90"/>
      <c r="BO32" s="90"/>
      <c r="BP32" s="90"/>
    </row>
    <row r="33" ht="12.75" customHeight="1">
      <c r="A33" s="90"/>
      <c r="B33" s="90" t="s">
        <v>133</v>
      </c>
      <c r="C33" s="90"/>
      <c r="D33" s="90"/>
      <c r="E33" s="90"/>
      <c r="F33" s="90"/>
      <c r="G33" s="90"/>
      <c r="J33" s="99"/>
      <c r="K33" s="99">
        <f>'RS1'!J330+'RS2'!J330+'RS3'!J330+K195</f>
        <v>219385.77</v>
      </c>
      <c r="L33" s="99">
        <f>'RS1'!K330+'RS2'!K330+'RS3'!K330+L195</f>
        <v>467313.21</v>
      </c>
      <c r="M33" s="93" t="str">
        <f>'RS1'!L330+'RS2'!L330+'RS3'!L330+M195</f>
        <v>#REF!</v>
      </c>
      <c r="N33" s="93" t="str">
        <f>'RS1'!M330+'RS2'!M330+'RS3'!M330+N195</f>
        <v>#REF!</v>
      </c>
      <c r="O33" s="93" t="str">
        <f>'RS1'!N330+'RS2'!N330+'RS3'!N330+O195</f>
        <v>#REF!</v>
      </c>
      <c r="P33" s="93" t="str">
        <f>'RS1'!O330+'RS2'!O330+'RS3'!O330+P195</f>
        <v>#REF!</v>
      </c>
      <c r="Q33" s="93" t="str">
        <f>'RS1'!P330+'RS2'!P330+'RS3'!P330+Q195</f>
        <v>#REF!</v>
      </c>
      <c r="R33" s="93" t="str">
        <f>'RS1'!Q330+'RS2'!Q330+'RS3'!Q330+R195</f>
        <v>#REF!</v>
      </c>
      <c r="S33" s="93" t="str">
        <f>'RS1'!R330+'RS2'!R330+'RS3'!R330+S195</f>
        <v>#REF!</v>
      </c>
      <c r="T33" s="93" t="str">
        <f>'RS1'!S330+'RS2'!S330+'RS3'!S330+T195</f>
        <v>#REF!</v>
      </c>
      <c r="U33" s="93" t="str">
        <f>'RS1'!T330+'RS2'!T330+'RS3'!T330+U195</f>
        <v>#REF!</v>
      </c>
      <c r="V33" s="93" t="str">
        <f>'RS1'!U330+'RS2'!U330+'RS3'!U330+V195</f>
        <v>#REF!</v>
      </c>
      <c r="W33" s="93" t="str">
        <f>'RS1'!V330+'RS2'!V330+'RS3'!V330+W195</f>
        <v>#REF!</v>
      </c>
      <c r="X33" s="93" t="str">
        <f>'RS1'!W330+'RS2'!W330+'RS3'!W330+X195</f>
        <v>#REF!</v>
      </c>
      <c r="Y33" s="93" t="str">
        <f>'RS1'!X330+'RS2'!X330+'RS3'!X330+Y195</f>
        <v>#REF!</v>
      </c>
      <c r="Z33" s="93" t="str">
        <f>'RS1'!Y330+'RS2'!Y330+'RS3'!Y330+Z195</f>
        <v>#REF!</v>
      </c>
      <c r="AA33" s="93" t="str">
        <f>'RS1'!Z330+'RS2'!Z330+'RS3'!Z330+AA195</f>
        <v>#REF!</v>
      </c>
      <c r="AB33" s="93" t="str">
        <f>'RS1'!AA330+'RS2'!AA330+'RS3'!AA330+AB195</f>
        <v>#REF!</v>
      </c>
      <c r="AC33" s="93" t="str">
        <f>'RS1'!AB330+'RS2'!AB330+'RS3'!AB330+AC195</f>
        <v>#REF!</v>
      </c>
      <c r="AD33" s="93" t="str">
        <f>'RS1'!AC330+'RS2'!AC330+'RS3'!AC330+AD195</f>
        <v>#REF!</v>
      </c>
      <c r="AE33" s="93" t="str">
        <f>'RS1'!AD330+'RS2'!AD330+'RS3'!AD330+AE195</f>
        <v>#REF!</v>
      </c>
      <c r="AF33" s="93" t="str">
        <f>'RS1'!AE330+'RS2'!AE330+'RS3'!AE330+AF195</f>
        <v>#REF!</v>
      </c>
      <c r="AG33" s="93" t="str">
        <f>'RS1'!AF330+'RS2'!AF330+'RS3'!AF330+AG195</f>
        <v>#REF!</v>
      </c>
      <c r="AH33" s="93" t="str">
        <f>'RS1'!AG330+'RS2'!AG330+'RS3'!AG330+AH195</f>
        <v>#REF!</v>
      </c>
      <c r="AI33" s="93" t="str">
        <f>'RS1'!AH330+'RS2'!AH330+'RS3'!AH330+AI195</f>
        <v>#REF!</v>
      </c>
      <c r="AJ33" s="93" t="str">
        <f>'RS1'!AI330+'RS2'!AI330+'RS3'!AI330+AJ195</f>
        <v>#REF!</v>
      </c>
      <c r="AK33" s="93" t="str">
        <f>'RS1'!AJ330+'RS2'!AJ330+'RS3'!AJ330+AK195</f>
        <v>#REF!</v>
      </c>
      <c r="AL33" s="93" t="str">
        <f>'RS1'!AK330+'RS2'!AK330+'RS3'!AK330+AL195</f>
        <v>#REF!</v>
      </c>
      <c r="AM33" s="93" t="str">
        <f>'RS1'!AL330+'RS2'!AL330+'RS3'!AL330+AM195</f>
        <v>#REF!</v>
      </c>
      <c r="AN33" s="93" t="str">
        <f>'RS1'!AM330+'RS2'!AM330+'RS3'!AM330+AN195</f>
        <v>#REF!</v>
      </c>
      <c r="AO33" s="93" t="str">
        <f>'RS1'!AN330+'RS2'!AN330+'RS3'!AN330+AO195</f>
        <v>#REF!</v>
      </c>
      <c r="AP33" s="93" t="str">
        <f>'RS1'!AO330+'RS2'!AO330+'RS3'!AO330+AP195</f>
        <v>#REF!</v>
      </c>
      <c r="AQ33" s="93" t="str">
        <f>'RS1'!AP330+'RS2'!AP330+'RS3'!AP330+AQ195</f>
        <v>#REF!</v>
      </c>
      <c r="AR33" s="93" t="str">
        <f>'RS1'!AQ330+'RS2'!AQ330+'RS3'!AQ330+AR195</f>
        <v>#REF!</v>
      </c>
      <c r="AS33" s="93" t="str">
        <f>'RS1'!AR330+'RS2'!AR330+'RS3'!AR330+AS195</f>
        <v>#REF!</v>
      </c>
      <c r="AT33" s="93" t="str">
        <f>'RS1'!AS330+'RS2'!AS330+'RS3'!AS330+AT195</f>
        <v>#REF!</v>
      </c>
      <c r="AU33" s="93" t="str">
        <f>'RS1'!AT330+'RS2'!AT330+'RS3'!AT330+AU195</f>
        <v>#REF!</v>
      </c>
      <c r="AV33" s="93" t="str">
        <f>'RS1'!AU330+'RS2'!AU330+'RS3'!AU330+AV195</f>
        <v>#REF!</v>
      </c>
      <c r="AW33" s="90"/>
      <c r="AX33" s="90"/>
      <c r="AY33" s="90"/>
      <c r="AZ33" s="90"/>
      <c r="BA33" s="90"/>
      <c r="BB33" s="90"/>
      <c r="BC33" s="90"/>
      <c r="BD33" s="90"/>
      <c r="BE33" s="90"/>
      <c r="BF33" s="90"/>
      <c r="BG33" s="90"/>
      <c r="BH33" s="90"/>
      <c r="BI33" s="90"/>
      <c r="BJ33" s="90"/>
      <c r="BK33" s="90"/>
      <c r="BL33" s="90"/>
      <c r="BM33" s="90"/>
      <c r="BN33" s="90"/>
      <c r="BO33" s="90"/>
      <c r="BP33" s="90"/>
    </row>
    <row r="34" ht="12.75" customHeight="1">
      <c r="A34" s="90"/>
      <c r="B34" s="90" t="s">
        <v>550</v>
      </c>
      <c r="C34" s="90"/>
      <c r="D34" s="90"/>
      <c r="E34" s="90"/>
      <c r="F34" s="90"/>
      <c r="G34" s="90"/>
      <c r="J34" s="99"/>
      <c r="K34" s="99">
        <f>'RS1'!J339+'RS2'!J339+'RS3'!J339+K208</f>
        <v>365721.7</v>
      </c>
      <c r="L34" s="99" t="str">
        <f>'RS1'!K339+'RS2'!K339+'RS3'!K339+L208</f>
        <v>#REF!</v>
      </c>
      <c r="M34" s="93">
        <f>'RS1'!L339+'RS2'!L339+'RS3'!L339+M208</f>
        <v>1218477.3</v>
      </c>
      <c r="N34" s="93">
        <f>'RS1'!M339+'RS2'!M339+'RS3'!M339+N208</f>
        <v>2099729.244</v>
      </c>
      <c r="O34" s="93">
        <f>'RS1'!N339+'RS2'!N339+'RS3'!N339+O208</f>
        <v>3380615.976</v>
      </c>
      <c r="P34" s="93">
        <f>'RS1'!O339+'RS2'!O339+'RS3'!O339+P208</f>
        <v>5608082.948</v>
      </c>
      <c r="Q34" s="93">
        <f>'RS1'!P339+'RS2'!P339+'RS3'!P339+Q208</f>
        <v>9207773.279</v>
      </c>
      <c r="R34" s="93">
        <f>'RS1'!Q339+'RS2'!Q339+'RS3'!Q339+R208</f>
        <v>15216875.91</v>
      </c>
      <c r="S34" s="93">
        <f>'RS1'!R339+'RS2'!R339+'RS3'!R339+S208</f>
        <v>25672657.74</v>
      </c>
      <c r="T34" s="93">
        <f>'RS1'!S339+'RS2'!S339+'RS3'!S339+T208</f>
        <v>41782999.53</v>
      </c>
      <c r="U34" s="93">
        <f>'RS1'!T339+'RS2'!T339+'RS3'!T339+U208</f>
        <v>62687007.55</v>
      </c>
      <c r="V34" s="93">
        <f>'RS1'!U339+'RS2'!U339+'RS3'!U339+V208</f>
        <v>82366512.34</v>
      </c>
      <c r="W34" s="93">
        <f>'RS1'!V339+'RS2'!V339+'RS3'!V339+W208</f>
        <v>115758991</v>
      </c>
      <c r="X34" s="93">
        <f>'RS1'!W339+'RS2'!W339+'RS3'!W339+X208</f>
        <v>154851210.6</v>
      </c>
      <c r="Y34" s="93">
        <f>'RS1'!X339+'RS2'!X339+'RS3'!X339+Y208</f>
        <v>232548727.3</v>
      </c>
      <c r="Z34" s="93">
        <f>'RS1'!Y339+'RS2'!Y339+'RS3'!Y339+Z208</f>
        <v>332863552.1</v>
      </c>
      <c r="AA34" s="93">
        <f>'RS1'!Z339+'RS2'!Z339+'RS3'!Z339+AA208</f>
        <v>459291827.5</v>
      </c>
      <c r="AB34" s="93">
        <f>'RS1'!AA339+'RS2'!AA339+'RS3'!AA339+AB208</f>
        <v>600676520.1</v>
      </c>
      <c r="AC34" s="93">
        <f>'RS1'!AB339+'RS2'!AB339+'RS3'!AB339+AC208</f>
        <v>775767203.1</v>
      </c>
      <c r="AD34" s="93">
        <f>'RS1'!AC339+'RS2'!AC339+'RS3'!AC339+AD208</f>
        <v>963513262.3</v>
      </c>
      <c r="AE34" s="93">
        <f>'RS1'!AD339+'RS2'!AD339+'RS3'!AD339+AE208</f>
        <v>1148781285</v>
      </c>
      <c r="AF34" s="93">
        <f>'RS1'!AE339+'RS2'!AE339+'RS3'!AE339+AF208</f>
        <v>1287349939</v>
      </c>
      <c r="AG34" s="93">
        <f>'RS1'!AF339+'RS2'!AF339+'RS3'!AF339+AG208</f>
        <v>1270703700</v>
      </c>
      <c r="AH34" s="93">
        <f>'RS1'!AG339+'RS2'!AG339+'RS3'!AG339+AH208</f>
        <v>1288091013</v>
      </c>
      <c r="AI34" s="93">
        <f>'RS1'!AH339+'RS2'!AH339+'RS3'!AH339+AI208</f>
        <v>1309631019</v>
      </c>
      <c r="AJ34" s="93">
        <f>'RS1'!AI339+'RS2'!AI339+'RS3'!AI339+AJ208</f>
        <v>1335195170</v>
      </c>
      <c r="AK34" s="93">
        <f>'RS1'!AJ339+'RS2'!AJ339+'RS3'!AJ339+AK208</f>
        <v>1361897659</v>
      </c>
      <c r="AL34" s="93">
        <f>'RS1'!AK339+'RS2'!AK339+'RS3'!AK339+AL208</f>
        <v>1389134197</v>
      </c>
      <c r="AM34" s="93">
        <f>'RS1'!AL339+'RS2'!AL339+'RS3'!AL339+AM208</f>
        <v>1416915466</v>
      </c>
      <c r="AN34" s="93">
        <f>'RS1'!AM339+'RS2'!AM339+'RS3'!AM339+AN208</f>
        <v>1445252360</v>
      </c>
      <c r="AO34" s="93" t="str">
        <f>'RS1'!AN339+'RS2'!AN339+'RS3'!AN339+AO208</f>
        <v>#REF!</v>
      </c>
      <c r="AP34" s="93" t="str">
        <f>'RS1'!AO339+'RS2'!AO339+'RS3'!AO339+AP208</f>
        <v>#REF!</v>
      </c>
      <c r="AQ34" s="93" t="str">
        <f>'RS1'!AP339+'RS2'!AP339+'RS3'!AP339+AQ208</f>
        <v>#REF!</v>
      </c>
      <c r="AR34" s="93" t="str">
        <f>'RS1'!AQ339+'RS2'!AQ339+'RS3'!AQ339+AR208</f>
        <v>#REF!</v>
      </c>
      <c r="AS34" s="93" t="str">
        <f>'RS1'!AR339+'RS2'!AR339+'RS3'!AR339+AS208</f>
        <v>#REF!</v>
      </c>
      <c r="AT34" s="93" t="str">
        <f>'RS1'!AS339+'RS2'!AS339+'RS3'!AS339+AT208</f>
        <v>#REF!</v>
      </c>
      <c r="AU34" s="93" t="str">
        <f>'RS1'!AT339+'RS2'!AT339+'RS3'!AT339+AU208</f>
        <v>#REF!</v>
      </c>
      <c r="AV34" s="93" t="str">
        <f>'RS1'!AU339+'RS2'!AU339+'RS3'!AU339+AV208</f>
        <v>#REF!</v>
      </c>
      <c r="AW34" s="90"/>
      <c r="AX34" s="90"/>
      <c r="AY34" s="90"/>
      <c r="AZ34" s="90"/>
      <c r="BA34" s="90"/>
      <c r="BB34" s="90"/>
      <c r="BC34" s="90"/>
      <c r="BD34" s="90"/>
      <c r="BE34" s="90"/>
      <c r="BF34" s="90"/>
      <c r="BG34" s="90"/>
      <c r="BH34" s="90"/>
      <c r="BI34" s="90"/>
      <c r="BJ34" s="90"/>
      <c r="BK34" s="90"/>
      <c r="BL34" s="90"/>
      <c r="BM34" s="90"/>
      <c r="BN34" s="90"/>
      <c r="BO34" s="90"/>
      <c r="BP34" s="90"/>
    </row>
    <row r="35" ht="12.75" customHeight="1">
      <c r="A35" s="90"/>
      <c r="B35" s="90" t="s">
        <v>551</v>
      </c>
      <c r="C35" s="90"/>
      <c r="D35" s="90"/>
      <c r="E35" s="90"/>
      <c r="F35" s="90"/>
      <c r="G35" s="90"/>
      <c r="J35" s="99"/>
      <c r="K35" s="99"/>
      <c r="L35" s="152"/>
      <c r="M35" s="93"/>
      <c r="N35" s="93"/>
      <c r="O35" s="93"/>
      <c r="P35" s="93"/>
      <c r="Q35" s="93"/>
      <c r="R35" s="93"/>
      <c r="S35" s="93"/>
      <c r="T35" s="93"/>
      <c r="U35" s="93"/>
      <c r="V35" s="93"/>
      <c r="W35" s="93"/>
      <c r="X35" s="93"/>
      <c r="Y35" s="93"/>
      <c r="Z35" s="93"/>
      <c r="AA35" s="93"/>
      <c r="AB35" s="93"/>
      <c r="AC35" s="93"/>
      <c r="AD35" s="93"/>
      <c r="AE35" s="93"/>
      <c r="AF35" s="93"/>
      <c r="AG35" s="93"/>
      <c r="AH35" s="93"/>
      <c r="AI35" s="93"/>
      <c r="AJ35" s="93"/>
      <c r="AK35" s="93"/>
      <c r="AL35" s="93"/>
      <c r="AM35" s="93"/>
      <c r="AN35" s="93"/>
      <c r="AO35" s="93"/>
      <c r="AP35" s="93"/>
      <c r="AQ35" s="93"/>
      <c r="AR35" s="93"/>
      <c r="AS35" s="93"/>
      <c r="AT35" s="93"/>
      <c r="AU35" s="93"/>
      <c r="AV35" s="93"/>
      <c r="AW35" s="90"/>
      <c r="AX35" s="90"/>
      <c r="AY35" s="90"/>
      <c r="AZ35" s="90"/>
      <c r="BA35" s="90"/>
      <c r="BB35" s="90"/>
      <c r="BC35" s="90"/>
      <c r="BD35" s="90"/>
      <c r="BE35" s="90"/>
      <c r="BF35" s="90"/>
      <c r="BG35" s="90"/>
      <c r="BH35" s="90"/>
      <c r="BI35" s="90"/>
      <c r="BJ35" s="90"/>
      <c r="BK35" s="90"/>
      <c r="BL35" s="90"/>
      <c r="BM35" s="90"/>
      <c r="BN35" s="90"/>
      <c r="BO35" s="90"/>
      <c r="BP35" s="90"/>
    </row>
    <row r="36" ht="12.75" customHeight="1">
      <c r="A36" s="90"/>
      <c r="B36" s="64" t="s">
        <v>552</v>
      </c>
      <c r="D36" s="90"/>
      <c r="E36" s="90"/>
      <c r="F36" s="90"/>
      <c r="G36" s="90"/>
      <c r="H36" s="90"/>
      <c r="I36" s="90"/>
      <c r="J36" s="99"/>
      <c r="K36" s="99">
        <f t="shared" ref="K36:AV36" si="17">SUM(K37:K39)</f>
        <v>1139616.52</v>
      </c>
      <c r="L36" s="99">
        <f t="shared" si="17"/>
        <v>2682036.98</v>
      </c>
      <c r="M36" s="93">
        <f t="shared" si="17"/>
        <v>3499073.738</v>
      </c>
      <c r="N36" s="93">
        <f t="shared" si="17"/>
        <v>5731884.174</v>
      </c>
      <c r="O36" s="93">
        <f t="shared" si="17"/>
        <v>9284275.283</v>
      </c>
      <c r="P36" s="93">
        <f t="shared" si="17"/>
        <v>15206467.35</v>
      </c>
      <c r="Q36" s="93">
        <f t="shared" si="17"/>
        <v>25034763.95</v>
      </c>
      <c r="R36" s="93">
        <f t="shared" si="17"/>
        <v>41353707.88</v>
      </c>
      <c r="S36" s="93">
        <f t="shared" si="17"/>
        <v>70026868.76</v>
      </c>
      <c r="T36" s="93">
        <f t="shared" si="17"/>
        <v>113529961</v>
      </c>
      <c r="U36" s="93">
        <f t="shared" si="17"/>
        <v>164244312.8</v>
      </c>
      <c r="V36" s="93">
        <f t="shared" si="17"/>
        <v>225076040.1</v>
      </c>
      <c r="W36" s="93">
        <f t="shared" si="17"/>
        <v>312818783.5</v>
      </c>
      <c r="X36" s="93">
        <f t="shared" si="17"/>
        <v>425468991.4</v>
      </c>
      <c r="Y36" s="93">
        <f t="shared" si="17"/>
        <v>613383314.2</v>
      </c>
      <c r="Z36" s="93">
        <f t="shared" si="17"/>
        <v>884774512.4</v>
      </c>
      <c r="AA36" s="93">
        <f t="shared" si="17"/>
        <v>1240747839</v>
      </c>
      <c r="AB36" s="93">
        <f t="shared" si="17"/>
        <v>1665116238</v>
      </c>
      <c r="AC36" s="93">
        <f t="shared" si="17"/>
        <v>2177424722</v>
      </c>
      <c r="AD36" s="93">
        <f t="shared" si="17"/>
        <v>2759237380</v>
      </c>
      <c r="AE36" s="93">
        <f t="shared" si="17"/>
        <v>3368711090</v>
      </c>
      <c r="AF36" s="93">
        <f t="shared" si="17"/>
        <v>3910524845</v>
      </c>
      <c r="AG36" s="93">
        <f t="shared" si="17"/>
        <v>4150006030</v>
      </c>
      <c r="AH36" s="93">
        <f t="shared" si="17"/>
        <v>4258754688</v>
      </c>
      <c r="AI36" s="93">
        <f t="shared" si="17"/>
        <v>4342286927</v>
      </c>
      <c r="AJ36" s="93">
        <f t="shared" si="17"/>
        <v>4424332660</v>
      </c>
      <c r="AK36" s="93">
        <f t="shared" si="17"/>
        <v>4508993341</v>
      </c>
      <c r="AL36" s="93">
        <f t="shared" si="17"/>
        <v>4596674589</v>
      </c>
      <c r="AM36" s="93">
        <f t="shared" si="17"/>
        <v>4687415072</v>
      </c>
      <c r="AN36" s="93">
        <f t="shared" si="17"/>
        <v>4781031687</v>
      </c>
      <c r="AO36" s="93" t="str">
        <f t="shared" si="17"/>
        <v>#REF!</v>
      </c>
      <c r="AP36" s="93" t="str">
        <f t="shared" si="17"/>
        <v>#REF!</v>
      </c>
      <c r="AQ36" s="93" t="str">
        <f t="shared" si="17"/>
        <v>#REF!</v>
      </c>
      <c r="AR36" s="93" t="str">
        <f t="shared" si="17"/>
        <v>#REF!</v>
      </c>
      <c r="AS36" s="93" t="str">
        <f t="shared" si="17"/>
        <v>#REF!</v>
      </c>
      <c r="AT36" s="93" t="str">
        <f t="shared" si="17"/>
        <v>#REF!</v>
      </c>
      <c r="AU36" s="93" t="str">
        <f t="shared" si="17"/>
        <v>#REF!</v>
      </c>
      <c r="AV36" s="93" t="str">
        <f t="shared" si="17"/>
        <v>#REF!</v>
      </c>
      <c r="AW36" s="90"/>
      <c r="AX36" s="90"/>
      <c r="AY36" s="90"/>
      <c r="AZ36" s="90"/>
      <c r="BA36" s="90"/>
      <c r="BB36" s="90"/>
      <c r="BC36" s="90"/>
      <c r="BD36" s="90"/>
      <c r="BE36" s="90"/>
      <c r="BF36" s="90"/>
      <c r="BG36" s="90"/>
      <c r="BH36" s="90"/>
      <c r="BI36" s="90"/>
      <c r="BJ36" s="90"/>
      <c r="BK36" s="90"/>
      <c r="BL36" s="90"/>
      <c r="BM36" s="90"/>
      <c r="BN36" s="90"/>
      <c r="BO36" s="90"/>
      <c r="BP36" s="90"/>
    </row>
    <row r="37" ht="12.75" customHeight="1">
      <c r="A37" s="90"/>
      <c r="B37" s="64" t="s">
        <v>276</v>
      </c>
      <c r="D37" s="90"/>
      <c r="E37" s="90"/>
      <c r="F37" s="90"/>
      <c r="G37" s="90"/>
      <c r="H37" s="90"/>
      <c r="I37" s="90"/>
      <c r="J37" s="99"/>
      <c r="K37" s="99">
        <f>('RS1'!J381+'RS2'!J379+'RS3'!J378+K221)*0.75</f>
        <v>335709.6975</v>
      </c>
      <c r="L37" s="99">
        <f>('RS1'!K381+'RS2'!K379+'RS3'!K378+L221)</f>
        <v>1123269.08</v>
      </c>
      <c r="M37" s="93">
        <f>('RS1'!L381+'RS2'!L379+'RS3'!L378+M221)</f>
        <v>1255682.424</v>
      </c>
      <c r="N37" s="93">
        <f>('RS1'!M381+'RS2'!M379+'RS3'!M378+N221)</f>
        <v>1996440.79</v>
      </c>
      <c r="O37" s="93">
        <f>('RS1'!N381+'RS2'!N379+'RS3'!N378+O221)</f>
        <v>3222630.277</v>
      </c>
      <c r="P37" s="93">
        <f>('RS1'!O381+'RS2'!O379+'RS3'!O378+P221)</f>
        <v>5137166.911</v>
      </c>
      <c r="Q37" s="93">
        <f>('RS1'!P381+'RS2'!P379+'RS3'!P378+Q221)</f>
        <v>8313599.494</v>
      </c>
      <c r="R37" s="93">
        <f>('RS1'!Q381+'RS2'!Q379+'RS3'!Q378+R221)</f>
        <v>13629862.48</v>
      </c>
      <c r="S37" s="93">
        <f>('RS1'!R381+'RS2'!R379+'RS3'!R378+S221)</f>
        <v>23038622.82</v>
      </c>
      <c r="T37" s="93">
        <f>('RS1'!S381+'RS2'!S379+'RS3'!S378+T221)</f>
        <v>36549832.32</v>
      </c>
      <c r="U37" s="93">
        <f>('RS1'!T381+'RS2'!T379+'RS3'!T378+U221)</f>
        <v>48487643.98</v>
      </c>
      <c r="V37" s="93">
        <f>('RS1'!U381+'RS2'!U379+'RS3'!U378+V221)</f>
        <v>67084918.99</v>
      </c>
      <c r="W37" s="93">
        <f>('RS1'!V381+'RS2'!V379+'RS3'!V378+W221)</f>
        <v>93195979.57</v>
      </c>
      <c r="X37" s="93">
        <f>('RS1'!W381+'RS2'!W379+'RS3'!W378+X221)</f>
        <v>128320500.9</v>
      </c>
      <c r="Y37" s="93">
        <f>('RS1'!X381+'RS2'!X379+'RS3'!X378+Y221)</f>
        <v>180706670.9</v>
      </c>
      <c r="Z37" s="93">
        <f>('RS1'!Y381+'RS2'!Y379+'RS3'!Y378+Z221)</f>
        <v>261440523.2</v>
      </c>
      <c r="AA37" s="93">
        <f>('RS1'!Z381+'RS2'!Z379+'RS3'!Z378+AA221)</f>
        <v>369494620.5</v>
      </c>
      <c r="AB37" s="93">
        <f>('RS1'!AA381+'RS2'!AA379+'RS3'!AA378+AB221)</f>
        <v>504086924.3</v>
      </c>
      <c r="AC37" s="93">
        <f>('RS1'!AB381+'RS2'!AB379+'RS3'!AB378+AC221)</f>
        <v>665800757</v>
      </c>
      <c r="AD37" s="93">
        <f>('RS1'!AC381+'RS2'!AC379+'RS3'!AC378+AD221)</f>
        <v>855361269.6</v>
      </c>
      <c r="AE37" s="93">
        <f>('RS1'!AD381+'RS2'!AD379+'RS3'!AD378+AE221)</f>
        <v>1060145684</v>
      </c>
      <c r="AF37" s="93">
        <f>('RS1'!AE381+'RS2'!AE379+'RS3'!AE378+AF221)</f>
        <v>1257461006</v>
      </c>
      <c r="AG37" s="93">
        <f>('RS1'!AF381+'RS2'!AF379+'RS3'!AF378+AG221)</f>
        <v>1387449195</v>
      </c>
      <c r="AH37" s="93">
        <f>('RS1'!AG381+'RS2'!AG379+'RS3'!AG378+AH221)</f>
        <v>1445312764</v>
      </c>
      <c r="AI37" s="93">
        <f>('RS1'!AH381+'RS2'!AH379+'RS3'!AH378+AI221)</f>
        <v>1487141214</v>
      </c>
      <c r="AJ37" s="93">
        <f>('RS1'!AI381+'RS2'!AI379+'RS3'!AI378+AJ221)</f>
        <v>1516914055</v>
      </c>
      <c r="AK37" s="93">
        <f>('RS1'!AJ381+'RS2'!AJ379+'RS3'!AJ378+AK221)</f>
        <v>1545940574</v>
      </c>
      <c r="AL37" s="93">
        <f>('RS1'!AK381+'RS2'!AK379+'RS3'!AK378+AL221)</f>
        <v>1576002716</v>
      </c>
      <c r="AM37" s="93">
        <f>('RS1'!AL381+'RS2'!AL379+'RS3'!AL378+AM221)</f>
        <v>1607113739</v>
      </c>
      <c r="AN37" s="93">
        <f>('RS1'!AM381+'RS2'!AM379+'RS3'!AM378+AN221)</f>
        <v>1639210864</v>
      </c>
      <c r="AO37" s="93" t="str">
        <f>('RS1'!AN381+'RS2'!AN379+'RS3'!AN378+AO221)</f>
        <v>#REF!</v>
      </c>
      <c r="AP37" s="93" t="str">
        <f>('RS1'!AO381+'RS2'!AO379+'RS3'!AO378+AP221)</f>
        <v>#REF!</v>
      </c>
      <c r="AQ37" s="93" t="str">
        <f>('RS1'!AP381+'RS2'!AP379+'RS3'!AP378+AQ221)</f>
        <v>#REF!</v>
      </c>
      <c r="AR37" s="93" t="str">
        <f>('RS1'!AQ381+'RS2'!AQ379+'RS3'!AQ378+AR221)</f>
        <v>#REF!</v>
      </c>
      <c r="AS37" s="93" t="str">
        <f>('RS1'!AR381+'RS2'!AR379+'RS3'!AR378+AS221)</f>
        <v>#REF!</v>
      </c>
      <c r="AT37" s="93" t="str">
        <f>('RS1'!AS381+'RS2'!AS379+'RS3'!AS378+AT221)</f>
        <v>#REF!</v>
      </c>
      <c r="AU37" s="93" t="str">
        <f>('RS1'!AT381+'RS2'!AT379+'RS3'!AT378+AU221)</f>
        <v>#REF!</v>
      </c>
      <c r="AV37" s="93" t="str">
        <f>('RS1'!AU381+'RS2'!AU379+'RS3'!AU378+AV221)</f>
        <v>#REF!</v>
      </c>
      <c r="AW37" s="90"/>
      <c r="AX37" s="90"/>
      <c r="AY37" s="90"/>
      <c r="AZ37" s="90"/>
      <c r="BA37" s="90"/>
      <c r="BB37" s="90"/>
      <c r="BC37" s="90"/>
      <c r="BD37" s="90"/>
      <c r="BE37" s="90"/>
      <c r="BF37" s="90"/>
      <c r="BG37" s="90"/>
      <c r="BH37" s="90"/>
      <c r="BI37" s="90"/>
      <c r="BJ37" s="90"/>
      <c r="BK37" s="90"/>
      <c r="BL37" s="90"/>
      <c r="BM37" s="90"/>
      <c r="BN37" s="90"/>
      <c r="BO37" s="90"/>
      <c r="BP37" s="90"/>
    </row>
    <row r="38" ht="12.75" customHeight="1">
      <c r="A38" s="294"/>
      <c r="B38" s="295" t="s">
        <v>184</v>
      </c>
      <c r="C38" s="294"/>
      <c r="D38" s="294"/>
      <c r="E38" s="294"/>
      <c r="F38" s="90"/>
      <c r="G38" s="294"/>
      <c r="H38" s="294"/>
      <c r="I38" s="294"/>
      <c r="J38" s="296"/>
      <c r="K38" s="296">
        <f>('RS1'!J381+'RS2'!J379+'RS3'!J378+K221)*0.25</f>
        <v>111903.2325</v>
      </c>
      <c r="L38" s="296">
        <f>+L234+'RS1'!K383+'RS2'!K381+'RS3'!K380</f>
        <v>0</v>
      </c>
      <c r="M38" s="297">
        <f>+M234+'RS1'!L383+'RS2'!L381+'RS3'!L380</f>
        <v>313920.6061</v>
      </c>
      <c r="N38" s="297">
        <f>+N234+'RS1'!M383+'RS2'!M381+'RS3'!M380</f>
        <v>503040.4415</v>
      </c>
      <c r="O38" s="297">
        <f>+O234+'RS1'!N383+'RS2'!N381+'RS3'!N380</f>
        <v>844647.7014</v>
      </c>
      <c r="P38" s="297">
        <f>+P234+'RS1'!O383+'RS2'!O381+'RS3'!O380</f>
        <v>1524000.788</v>
      </c>
      <c r="Q38" s="297">
        <f>+Q234+'RS1'!P383+'RS2'!P381+'RS3'!P380</f>
        <v>2654447.819</v>
      </c>
      <c r="R38" s="297">
        <f>+R234+'RS1'!Q383+'RS2'!Q381+'RS3'!Q380</f>
        <v>4505469.061</v>
      </c>
      <c r="S38" s="297">
        <f>+S234+'RS1'!R383+'RS2'!R381+'RS3'!R380</f>
        <v>7629306.075</v>
      </c>
      <c r="T38" s="297">
        <f>+T234+'RS1'!S383+'RS2'!S381+'RS3'!S380</f>
        <v>12440636.27</v>
      </c>
      <c r="U38" s="297">
        <f>+U234+'RS1'!T383+'RS2'!T381+'RS3'!T380</f>
        <v>18828841.08</v>
      </c>
      <c r="V38" s="297">
        <f>+V234+'RS1'!U383+'RS2'!U381+'RS3'!U380</f>
        <v>25378361.36</v>
      </c>
      <c r="W38" s="297">
        <f>+W234+'RS1'!V383+'RS2'!V381+'RS3'!V380</f>
        <v>34818168.94</v>
      </c>
      <c r="X38" s="297">
        <f>+X234+'RS1'!W383+'RS2'!W381+'RS3'!W380</f>
        <v>46734031.78</v>
      </c>
      <c r="Y38" s="297">
        <f>+Y234+'RS1'!X383+'RS2'!X381+'RS3'!X380</f>
        <v>68717803.88</v>
      </c>
      <c r="Z38" s="297">
        <f>+Z234+'RS1'!Y383+'RS2'!Y381+'RS3'!Y380</f>
        <v>99006526.06</v>
      </c>
      <c r="AA38" s="297">
        <f>+AA234+'RS1'!Z383+'RS2'!Z381+'RS3'!Z380</f>
        <v>138146365.1</v>
      </c>
      <c r="AB38" s="297">
        <f>+AB234+'RS1'!AA383+'RS2'!AA381+'RS3'!AA380</f>
        <v>181868046.4</v>
      </c>
      <c r="AC38" s="297">
        <f>+AC234+'RS1'!AB383+'RS2'!AB381+'RS3'!AB380</f>
        <v>233727357.9</v>
      </c>
      <c r="AD38" s="297">
        <f>+AD234+'RS1'!AC383+'RS2'!AC381+'RS3'!AC380</f>
        <v>289928567.2</v>
      </c>
      <c r="AE38" s="297">
        <f>+AE234+'RS1'!AD383+'RS2'!AD381+'RS3'!AD380</f>
        <v>345811662.3</v>
      </c>
      <c r="AF38" s="297">
        <f>+AF234+'RS1'!AE383+'RS2'!AE381+'RS3'!AE380</f>
        <v>387193442</v>
      </c>
      <c r="AG38" s="297">
        <f>+AG234+'RS1'!AF383+'RS2'!AF381+'RS3'!AF380</f>
        <v>387232929.6</v>
      </c>
      <c r="AH38" s="297">
        <f>+AH234+'RS1'!AG383+'RS2'!AG381+'RS3'!AG380</f>
        <v>379867816</v>
      </c>
      <c r="AI38" s="297">
        <f>+AI234+'RS1'!AH383+'RS2'!AH381+'RS3'!AH380</f>
        <v>373838897.9</v>
      </c>
      <c r="AJ38" s="297">
        <f>+AJ234+'RS1'!AI383+'RS2'!AI381+'RS3'!AI380</f>
        <v>379228513.7</v>
      </c>
      <c r="AK38" s="297">
        <f>+AK234+'RS1'!AJ383+'RS2'!AJ381+'RS3'!AJ380</f>
        <v>386485143.5</v>
      </c>
      <c r="AL38" s="297">
        <f>+AL234+'RS1'!AK383+'RS2'!AK381+'RS3'!AK380</f>
        <v>394000679</v>
      </c>
      <c r="AM38" s="297">
        <f>+AM234+'RS1'!AL383+'RS2'!AL381+'RS3'!AL380</f>
        <v>401778434.7</v>
      </c>
      <c r="AN38" s="297">
        <f>+AN234+'RS1'!AM383+'RS2'!AM381+'RS3'!AM380</f>
        <v>409802716.1</v>
      </c>
      <c r="AO38" s="297" t="str">
        <f>+AO234+'RS1'!AN383+'RS2'!AN381+'RS3'!AN380</f>
        <v>#REF!</v>
      </c>
      <c r="AP38" s="297" t="str">
        <f>+AP234+'RS1'!AO383+'RS2'!AO381+'RS3'!AO380</f>
        <v>#REF!</v>
      </c>
      <c r="AQ38" s="297" t="str">
        <f>+AQ234+'RS1'!AP383+'RS2'!AP381+'RS3'!AP380</f>
        <v>#REF!</v>
      </c>
      <c r="AR38" s="297" t="str">
        <f>+AR234+'RS1'!AQ383+'RS2'!AQ381+'RS3'!AQ380</f>
        <v>#REF!</v>
      </c>
      <c r="AS38" s="297" t="str">
        <f>+AS234+'RS1'!AR383+'RS2'!AR381+'RS3'!AR380</f>
        <v>#REF!</v>
      </c>
      <c r="AT38" s="297" t="str">
        <f>+AT234+'RS1'!AS383+'RS2'!AS381+'RS3'!AS380</f>
        <v>#REF!</v>
      </c>
      <c r="AU38" s="297" t="str">
        <f>+AU234+'RS1'!AT383+'RS2'!AT381+'RS3'!AT380</f>
        <v>#REF!</v>
      </c>
      <c r="AV38" s="297" t="str">
        <f>+AV234+'RS1'!AU383+'RS2'!AU381+'RS3'!AU380</f>
        <v>#REF!</v>
      </c>
      <c r="AW38" s="294"/>
      <c r="AX38" s="294"/>
      <c r="AY38" s="294"/>
      <c r="AZ38" s="294"/>
      <c r="BA38" s="294"/>
      <c r="BB38" s="294"/>
      <c r="BC38" s="294"/>
      <c r="BD38" s="294"/>
      <c r="BE38" s="294"/>
      <c r="BF38" s="294"/>
      <c r="BG38" s="294"/>
      <c r="BH38" s="294"/>
      <c r="BI38" s="294"/>
      <c r="BJ38" s="294"/>
      <c r="BK38" s="294"/>
      <c r="BL38" s="294"/>
      <c r="BM38" s="294"/>
      <c r="BN38" s="294"/>
      <c r="BO38" s="294"/>
      <c r="BP38" s="294"/>
    </row>
    <row r="39" ht="12.75" customHeight="1">
      <c r="A39" s="294"/>
      <c r="B39" s="295" t="s">
        <v>553</v>
      </c>
      <c r="C39" s="294"/>
      <c r="D39" s="294"/>
      <c r="E39" s="294"/>
      <c r="F39" s="90"/>
      <c r="G39" s="294"/>
      <c r="H39" s="294"/>
      <c r="I39" s="294"/>
      <c r="J39" s="296"/>
      <c r="K39" s="296">
        <f>'RS1'!J382+'RS2'!J380+'RS3'!J379+K247</f>
        <v>692003.59</v>
      </c>
      <c r="L39" s="296">
        <f>'RS1'!K382+'RS2'!K380+'RS3'!K379+L247</f>
        <v>1558767.9</v>
      </c>
      <c r="M39" s="297">
        <f>'RS1'!L382+'RS2'!L380+'RS3'!L379+M247</f>
        <v>1929470.707</v>
      </c>
      <c r="N39" s="297">
        <f>'RS1'!M382+'RS2'!M380+'RS3'!M379+N247</f>
        <v>3232402.943</v>
      </c>
      <c r="O39" s="297">
        <f>'RS1'!N382+'RS2'!N380+'RS3'!N379+O247</f>
        <v>5216997.305</v>
      </c>
      <c r="P39" s="297">
        <f>'RS1'!O382+'RS2'!O380+'RS3'!O379+P247</f>
        <v>8545299.652</v>
      </c>
      <c r="Q39" s="297">
        <f>'RS1'!P382+'RS2'!P380+'RS3'!P379+Q247</f>
        <v>14066716.64</v>
      </c>
      <c r="R39" s="297">
        <f>'RS1'!Q382+'RS2'!Q380+'RS3'!Q379+R247</f>
        <v>23218376.35</v>
      </c>
      <c r="S39" s="297">
        <f>'RS1'!R382+'RS2'!R380+'RS3'!R379+S247</f>
        <v>39358939.86</v>
      </c>
      <c r="T39" s="297">
        <f>'RS1'!S382+'RS2'!S380+'RS3'!S379+T247</f>
        <v>64539492.46</v>
      </c>
      <c r="U39" s="297">
        <f>'RS1'!T382+'RS2'!T380+'RS3'!T379+U247</f>
        <v>96927827.78</v>
      </c>
      <c r="V39" s="297">
        <f>'RS1'!U382+'RS2'!U380+'RS3'!U379+V247</f>
        <v>132612759.7</v>
      </c>
      <c r="W39" s="297">
        <f>'RS1'!V382+'RS2'!V380+'RS3'!V379+W247</f>
        <v>184804635</v>
      </c>
      <c r="X39" s="297">
        <f>'RS1'!W382+'RS2'!W380+'RS3'!W379+X247</f>
        <v>250414458.7</v>
      </c>
      <c r="Y39" s="297">
        <f>'RS1'!X382+'RS2'!X380+'RS3'!X379+Y247</f>
        <v>363958839.4</v>
      </c>
      <c r="Z39" s="297">
        <f>'RS1'!Y382+'RS2'!Y380+'RS3'!Y379+Z247</f>
        <v>524327463.2</v>
      </c>
      <c r="AA39" s="297">
        <f>'RS1'!Z382+'RS2'!Z380+'RS3'!Z379+AA247</f>
        <v>733106853.4</v>
      </c>
      <c r="AB39" s="297">
        <f>'RS1'!AA382+'RS2'!AA380+'RS3'!AA379+AB247</f>
        <v>979161267.5</v>
      </c>
      <c r="AC39" s="297">
        <f>'RS1'!AB382+'RS2'!AB380+'RS3'!AB379+AC247</f>
        <v>1277896607</v>
      </c>
      <c r="AD39" s="297">
        <f>'RS1'!AC382+'RS2'!AC380+'RS3'!AC379+AD247</f>
        <v>1613947544</v>
      </c>
      <c r="AE39" s="297">
        <f>'RS1'!AD382+'RS2'!AD380+'RS3'!AD379+AE247</f>
        <v>1962753744</v>
      </c>
      <c r="AF39" s="297">
        <f>'RS1'!AE382+'RS2'!AE380+'RS3'!AE379+AF247</f>
        <v>2265870397</v>
      </c>
      <c r="AG39" s="297">
        <f>'RS1'!AF382+'RS2'!AF380+'RS3'!AF379+AG247</f>
        <v>2375323906</v>
      </c>
      <c r="AH39" s="297">
        <f>'RS1'!AG382+'RS2'!AG380+'RS3'!AG379+AH247</f>
        <v>2433574107</v>
      </c>
      <c r="AI39" s="297">
        <f>'RS1'!AH382+'RS2'!AH380+'RS3'!AH379+AI247</f>
        <v>2481306815</v>
      </c>
      <c r="AJ39" s="297">
        <f>'RS1'!AI382+'RS2'!AI380+'RS3'!AI379+AJ247</f>
        <v>2528190092</v>
      </c>
      <c r="AK39" s="297">
        <f>'RS1'!AJ382+'RS2'!AJ380+'RS3'!AJ379+AK247</f>
        <v>2576567624</v>
      </c>
      <c r="AL39" s="297">
        <f>'RS1'!AK382+'RS2'!AK380+'RS3'!AK379+AL247</f>
        <v>2626671193</v>
      </c>
      <c r="AM39" s="297">
        <f>'RS1'!AL382+'RS2'!AL380+'RS3'!AL379+AM247</f>
        <v>2678522898</v>
      </c>
      <c r="AN39" s="297">
        <f>'RS1'!AM382+'RS2'!AM380+'RS3'!AM379+AN247</f>
        <v>2732018107</v>
      </c>
      <c r="AO39" s="297" t="str">
        <f>'RS1'!AN382+'RS2'!AN380+'RS3'!AN379+AO247</f>
        <v>#REF!</v>
      </c>
      <c r="AP39" s="297" t="str">
        <f>'RS1'!AO382+'RS2'!AO380+'RS3'!AO379+AP247</f>
        <v>#REF!</v>
      </c>
      <c r="AQ39" s="297" t="str">
        <f>'RS1'!AP382+'RS2'!AP380+'RS3'!AP379+AQ247</f>
        <v>#REF!</v>
      </c>
      <c r="AR39" s="297" t="str">
        <f>'RS1'!AQ382+'RS2'!AQ380+'RS3'!AQ379+AR247</f>
        <v>#REF!</v>
      </c>
      <c r="AS39" s="297" t="str">
        <f>'RS1'!AR382+'RS2'!AR380+'RS3'!AR379+AS247</f>
        <v>#REF!</v>
      </c>
      <c r="AT39" s="297" t="str">
        <f>'RS1'!AS382+'RS2'!AS380+'RS3'!AS379+AT247</f>
        <v>#REF!</v>
      </c>
      <c r="AU39" s="297" t="str">
        <f>'RS1'!AT382+'RS2'!AT380+'RS3'!AT379+AU247</f>
        <v>#REF!</v>
      </c>
      <c r="AV39" s="297" t="str">
        <f>'RS1'!AU382+'RS2'!AU380+'RS3'!AU379+AV247</f>
        <v>#REF!</v>
      </c>
      <c r="AW39" s="294"/>
      <c r="AX39" s="294"/>
      <c r="AY39" s="294"/>
      <c r="AZ39" s="294"/>
      <c r="BA39" s="294"/>
      <c r="BB39" s="294"/>
      <c r="BC39" s="294"/>
      <c r="BD39" s="294"/>
      <c r="BE39" s="294"/>
      <c r="BF39" s="294"/>
      <c r="BG39" s="294"/>
      <c r="BH39" s="294"/>
      <c r="BI39" s="294"/>
      <c r="BJ39" s="294"/>
      <c r="BK39" s="294"/>
      <c r="BL39" s="294"/>
      <c r="BM39" s="294"/>
      <c r="BN39" s="294"/>
      <c r="BO39" s="294"/>
      <c r="BP39" s="294"/>
    </row>
    <row r="40" ht="12.75" customHeight="1">
      <c r="A40" s="90"/>
      <c r="B40" s="64" t="s">
        <v>554</v>
      </c>
      <c r="D40" s="90"/>
      <c r="E40" s="90"/>
      <c r="F40" s="90"/>
      <c r="G40" s="90"/>
      <c r="J40" s="99"/>
      <c r="K40" s="99">
        <f>'RS1'!J19+'RS2'!J19+'RS3'!J19+'All Schools Roll-up'!K261+'All Schools Roll-up'!K273+'All Schools Roll-up'!K285</f>
        <v>471181.22</v>
      </c>
      <c r="L40" s="99">
        <f>'RS1'!K19+'RS2'!K19+'RS3'!K19+'All Schools Roll-up'!L261+'All Schools Roll-up'!L273+'All Schools Roll-up'!L285</f>
        <v>681593.79</v>
      </c>
      <c r="M40" s="93">
        <f>'RS1'!L19+'RS2'!L19+'RS3'!L19+'All Schools Roll-up'!M261+'All Schools Roll-up'!M273+'All Schools Roll-up'!M285</f>
        <v>850320.5107</v>
      </c>
      <c r="N40" s="93">
        <f>'RS1'!M19+'RS2'!M19+'RS3'!M19+'All Schools Roll-up'!N261+'All Schools Roll-up'!N273+'All Schools Roll-up'!N285</f>
        <v>1805733.474</v>
      </c>
      <c r="O40" s="93">
        <f>'RS1'!N19+'RS2'!N19+'RS3'!N19+'All Schools Roll-up'!O261+'All Schools Roll-up'!O273+'All Schools Roll-up'!O285</f>
        <v>3856871.798</v>
      </c>
      <c r="P40" s="93">
        <f>'RS1'!O19+'RS2'!O19+'RS3'!O19+'All Schools Roll-up'!P261+'All Schools Roll-up'!P273+'All Schools Roll-up'!P285</f>
        <v>7590620.621</v>
      </c>
      <c r="Q40" s="93">
        <f>'RS1'!P19+'RS2'!P19+'RS3'!P19+'All Schools Roll-up'!Q261+'All Schools Roll-up'!Q273+'All Schools Roll-up'!Q285</f>
        <v>13687130.12</v>
      </c>
      <c r="R40" s="93">
        <f>'RS1'!Q19+'RS2'!Q19+'RS3'!Q19+'All Schools Roll-up'!R261+'All Schools Roll-up'!R273+'All Schools Roll-up'!R285</f>
        <v>23692621.14</v>
      </c>
      <c r="S40" s="93">
        <f>'RS1'!R19+'RS2'!R19+'RS3'!R19+'All Schools Roll-up'!S261+'All Schools Roll-up'!S273+'All Schools Roll-up'!S285</f>
        <v>39667416.54</v>
      </c>
      <c r="T40" s="93">
        <f>'RS1'!S19+'RS2'!S19+'RS3'!S19+'All Schools Roll-up'!T261+'All Schools Roll-up'!T273+'All Schools Roll-up'!T285</f>
        <v>65328842.95</v>
      </c>
      <c r="U40" s="93">
        <f>'RS1'!T19+'RS2'!T19+'RS3'!T19+'All Schools Roll-up'!U261+'All Schools Roll-up'!U273+'All Schools Roll-up'!U285</f>
        <v>101697933.9</v>
      </c>
      <c r="V40" s="93">
        <f>'RS1'!U19+'RS2'!U19+'RS3'!U19+'All Schools Roll-up'!V261+'All Schools Roll-up'!V273+'All Schools Roll-up'!V285</f>
        <v>143438460.2</v>
      </c>
      <c r="W40" s="93">
        <f>'RS1'!V19+'RS2'!V19+'RS3'!V19+'All Schools Roll-up'!W261+'All Schools Roll-up'!W273+'All Schools Roll-up'!W285</f>
        <v>198637382.6</v>
      </c>
      <c r="X40" s="93">
        <f>'RS1'!W19+'RS2'!W19+'RS3'!W19+'All Schools Roll-up'!X261+'All Schools Roll-up'!X273+'All Schools Roll-up'!X285</f>
        <v>271330935.4</v>
      </c>
      <c r="Y40" s="93">
        <f>'RS1'!X19+'RS2'!X19+'RS3'!X19+'All Schools Roll-up'!Y261+'All Schools Roll-up'!Y273+'All Schools Roll-up'!Y285</f>
        <v>387747922.5</v>
      </c>
      <c r="Z40" s="93">
        <f>'RS1'!Y19+'RS2'!Y19+'RS3'!Y19+'All Schools Roll-up'!Z261+'All Schools Roll-up'!Z273+'All Schools Roll-up'!Z285</f>
        <v>560403153.9</v>
      </c>
      <c r="AA40" s="93">
        <f>'RS1'!Z19+'RS2'!Z19+'RS3'!Z19+'All Schools Roll-up'!AA261+'All Schools Roll-up'!AA273+'All Schools Roll-up'!AA285</f>
        <v>788393023.1</v>
      </c>
      <c r="AB40" s="93">
        <f>'RS1'!AA19+'RS2'!AA19+'RS3'!AA19+'All Schools Roll-up'!AB261+'All Schools Roll-up'!AB273+'All Schools Roll-up'!AB285</f>
        <v>1063228811</v>
      </c>
      <c r="AC40" s="93">
        <f>'RS1'!AB19+'RS2'!AB19+'RS3'!AB19+'All Schools Roll-up'!AC261+'All Schools Roll-up'!AC273+'All Schools Roll-up'!AC285</f>
        <v>1392850585</v>
      </c>
      <c r="AD40" s="93">
        <f>'RS1'!AC19+'RS2'!AC19+'RS3'!AC19+'All Schools Roll-up'!AD261+'All Schools Roll-up'!AD273+'All Schools Roll-up'!AD285</f>
        <v>1771222016</v>
      </c>
      <c r="AE40" s="93">
        <f>'RS1'!AD19+'RS2'!AD19+'RS3'!AD19+'All Schools Roll-up'!AE261+'All Schools Roll-up'!AE273+'All Schools Roll-up'!AE285</f>
        <v>2171283480</v>
      </c>
      <c r="AF40" s="93">
        <f>'RS1'!AE19+'RS2'!AE19+'RS3'!AE19+'All Schools Roll-up'!AF261+'All Schools Roll-up'!AF273+'All Schools Roll-up'!AF285</f>
        <v>2535007308</v>
      </c>
      <c r="AG40" s="93">
        <f>'RS1'!AF19+'RS2'!AF19+'RS3'!AF19+'All Schools Roll-up'!AG261+'All Schools Roll-up'!AG273+'All Schools Roll-up'!AG285</f>
        <v>2724066225</v>
      </c>
      <c r="AH40" s="93">
        <f>'RS1'!AG19+'RS2'!AG19+'RS3'!AG19+'All Schools Roll-up'!AH261+'All Schools Roll-up'!AH273+'All Schools Roll-up'!AH285</f>
        <v>2798878026</v>
      </c>
      <c r="AI40" s="93">
        <f>'RS1'!AH19+'RS2'!AH19+'RS3'!AH19+'All Schools Roll-up'!AI261+'All Schools Roll-up'!AI273+'All Schools Roll-up'!AI285</f>
        <v>2855635535</v>
      </c>
      <c r="AJ40" s="93">
        <f>'RS1'!AI19+'RS2'!AI19+'RS3'!AI19+'All Schools Roll-up'!AJ261+'All Schools Roll-up'!AJ273+'All Schools Roll-up'!AJ285</f>
        <v>2912615497</v>
      </c>
      <c r="AK40" s="93">
        <f>'RS1'!AJ19+'RS2'!AJ19+'RS3'!AJ19+'All Schools Roll-up'!AK261+'All Schools Roll-up'!AK273+'All Schools Roll-up'!AK285</f>
        <v>2970761235</v>
      </c>
      <c r="AL40" s="93">
        <f>'RS1'!AK19+'RS2'!AK19+'RS3'!AK19+'All Schools Roll-up'!AL261+'All Schools Roll-up'!AL273+'All Schools Roll-up'!AL285</f>
        <v>3030109281</v>
      </c>
      <c r="AM40" s="93">
        <f>'RS1'!AL19+'RS2'!AL19+'RS3'!AL19+'All Schools Roll-up'!AM261+'All Schools Roll-up'!AM273+'All Schools Roll-up'!AM285</f>
        <v>3090685424</v>
      </c>
      <c r="AN40" s="93">
        <f>'RS1'!AM19+'RS2'!AM19+'RS3'!AM19+'All Schools Roll-up'!AN261+'All Schools Roll-up'!AN273+'All Schools Roll-up'!AN285</f>
        <v>3152499675</v>
      </c>
      <c r="AO40" s="93" t="str">
        <f>'RS1'!AN19+'RS2'!AN19+'RS3'!AN19+'All Schools Roll-up'!AO261+'All Schools Roll-up'!AO273+'All Schools Roll-up'!AO285</f>
        <v>#REF!</v>
      </c>
      <c r="AP40" s="93" t="str">
        <f>'RS1'!AO19+'RS2'!AO19+'RS3'!AO19+'All Schools Roll-up'!AP261+'All Schools Roll-up'!AP273+'All Schools Roll-up'!AP285</f>
        <v>#REF!</v>
      </c>
      <c r="AQ40" s="93" t="str">
        <f>'RS1'!AP19+'RS2'!AP19+'RS3'!AP19+'All Schools Roll-up'!AQ261+'All Schools Roll-up'!AQ273+'All Schools Roll-up'!AQ285</f>
        <v>#REF!</v>
      </c>
      <c r="AR40" s="93" t="str">
        <f>'RS1'!AQ19+'RS2'!AQ19+'RS3'!AQ19+'All Schools Roll-up'!AR261+'All Schools Roll-up'!AR273+'All Schools Roll-up'!AR285</f>
        <v>#REF!</v>
      </c>
      <c r="AS40" s="93" t="str">
        <f>'RS1'!AR19+'RS2'!AR19+'RS3'!AR19+'All Schools Roll-up'!AS261+'All Schools Roll-up'!AS273+'All Schools Roll-up'!AS285</f>
        <v>#REF!</v>
      </c>
      <c r="AT40" s="93" t="str">
        <f>'RS1'!AS19+'RS2'!AS19+'RS3'!AS19+'All Schools Roll-up'!AT261+'All Schools Roll-up'!AT273+'All Schools Roll-up'!AT285</f>
        <v>#REF!</v>
      </c>
      <c r="AU40" s="93" t="str">
        <f>'RS1'!AT19+'RS2'!AT19+'RS3'!AT19+'All Schools Roll-up'!AU261+'All Schools Roll-up'!AU273+'All Schools Roll-up'!AU285</f>
        <v>#REF!</v>
      </c>
      <c r="AV40" s="93" t="str">
        <f>'RS1'!AU19+'RS2'!AU19+'RS3'!AU19+'All Schools Roll-up'!AV261+'All Schools Roll-up'!AV273+'All Schools Roll-up'!AV285</f>
        <v>#REF!</v>
      </c>
      <c r="AW40" s="90"/>
      <c r="AX40" s="90"/>
      <c r="AY40" s="90"/>
      <c r="AZ40" s="90"/>
      <c r="BA40" s="90"/>
      <c r="BB40" s="90"/>
      <c r="BC40" s="90"/>
      <c r="BD40" s="90"/>
      <c r="BE40" s="90"/>
      <c r="BF40" s="90"/>
      <c r="BG40" s="90"/>
      <c r="BH40" s="90"/>
      <c r="BI40" s="90"/>
      <c r="BJ40" s="90"/>
      <c r="BK40" s="90"/>
      <c r="BL40" s="90"/>
      <c r="BM40" s="90"/>
      <c r="BN40" s="90"/>
      <c r="BO40" s="90"/>
      <c r="BP40" s="90"/>
    </row>
    <row r="41" ht="12.75" customHeight="1">
      <c r="A41" s="90"/>
      <c r="B41" s="90" t="s">
        <v>555</v>
      </c>
      <c r="C41" s="90"/>
      <c r="D41" s="90"/>
      <c r="E41" s="90"/>
      <c r="F41" s="90"/>
      <c r="G41" s="90"/>
      <c r="H41" s="90"/>
      <c r="I41" s="90"/>
      <c r="J41" s="99"/>
      <c r="K41" s="99">
        <f t="shared" ref="K41:AV41" si="18">SUM(K42:K47)</f>
        <v>103719.34</v>
      </c>
      <c r="L41" s="99">
        <f t="shared" si="18"/>
        <v>45478.66</v>
      </c>
      <c r="M41" s="93" t="str">
        <f t="shared" si="18"/>
        <v>#REF!</v>
      </c>
      <c r="N41" s="93" t="str">
        <f t="shared" si="18"/>
        <v>#REF!</v>
      </c>
      <c r="O41" s="93" t="str">
        <f t="shared" si="18"/>
        <v>#REF!</v>
      </c>
      <c r="P41" s="93" t="str">
        <f t="shared" si="18"/>
        <v>#REF!</v>
      </c>
      <c r="Q41" s="93" t="str">
        <f t="shared" si="18"/>
        <v>#REF!</v>
      </c>
      <c r="R41" s="93" t="str">
        <f t="shared" si="18"/>
        <v>#REF!</v>
      </c>
      <c r="S41" s="93" t="str">
        <f t="shared" si="18"/>
        <v>#REF!</v>
      </c>
      <c r="T41" s="93" t="str">
        <f t="shared" si="18"/>
        <v>#REF!</v>
      </c>
      <c r="U41" s="93" t="str">
        <f t="shared" si="18"/>
        <v>#REF!</v>
      </c>
      <c r="V41" s="93" t="str">
        <f t="shared" si="18"/>
        <v>#REF!</v>
      </c>
      <c r="W41" s="93" t="str">
        <f t="shared" si="18"/>
        <v>#REF!</v>
      </c>
      <c r="X41" s="93" t="str">
        <f t="shared" si="18"/>
        <v>#REF!</v>
      </c>
      <c r="Y41" s="93" t="str">
        <f t="shared" si="18"/>
        <v>#REF!</v>
      </c>
      <c r="Z41" s="93" t="str">
        <f t="shared" si="18"/>
        <v>#REF!</v>
      </c>
      <c r="AA41" s="93" t="str">
        <f t="shared" si="18"/>
        <v>#REF!</v>
      </c>
      <c r="AB41" s="93" t="str">
        <f t="shared" si="18"/>
        <v>#REF!</v>
      </c>
      <c r="AC41" s="93" t="str">
        <f t="shared" si="18"/>
        <v>#REF!</v>
      </c>
      <c r="AD41" s="93" t="str">
        <f t="shared" si="18"/>
        <v>#REF!</v>
      </c>
      <c r="AE41" s="93" t="str">
        <f t="shared" si="18"/>
        <v>#REF!</v>
      </c>
      <c r="AF41" s="93" t="str">
        <f t="shared" si="18"/>
        <v>#REF!</v>
      </c>
      <c r="AG41" s="93" t="str">
        <f t="shared" si="18"/>
        <v>#REF!</v>
      </c>
      <c r="AH41" s="93" t="str">
        <f t="shared" si="18"/>
        <v>#REF!</v>
      </c>
      <c r="AI41" s="93" t="str">
        <f t="shared" si="18"/>
        <v>#REF!</v>
      </c>
      <c r="AJ41" s="93" t="str">
        <f t="shared" si="18"/>
        <v>#REF!</v>
      </c>
      <c r="AK41" s="93" t="str">
        <f t="shared" si="18"/>
        <v>#REF!</v>
      </c>
      <c r="AL41" s="93" t="str">
        <f t="shared" si="18"/>
        <v>#REF!</v>
      </c>
      <c r="AM41" s="93" t="str">
        <f t="shared" si="18"/>
        <v>#REF!</v>
      </c>
      <c r="AN41" s="93" t="str">
        <f t="shared" si="18"/>
        <v>#REF!</v>
      </c>
      <c r="AO41" s="93" t="str">
        <f t="shared" si="18"/>
        <v>#REF!</v>
      </c>
      <c r="AP41" s="93" t="str">
        <f t="shared" si="18"/>
        <v>#REF!</v>
      </c>
      <c r="AQ41" s="93" t="str">
        <f t="shared" si="18"/>
        <v>#REF!</v>
      </c>
      <c r="AR41" s="93" t="str">
        <f t="shared" si="18"/>
        <v>#REF!</v>
      </c>
      <c r="AS41" s="93" t="str">
        <f t="shared" si="18"/>
        <v>#REF!</v>
      </c>
      <c r="AT41" s="93" t="str">
        <f t="shared" si="18"/>
        <v>#REF!</v>
      </c>
      <c r="AU41" s="93" t="str">
        <f t="shared" si="18"/>
        <v>#REF!</v>
      </c>
      <c r="AV41" s="93" t="str">
        <f t="shared" si="18"/>
        <v>#REF!</v>
      </c>
      <c r="AW41" s="90"/>
      <c r="AX41" s="90"/>
      <c r="AY41" s="90"/>
      <c r="AZ41" s="90"/>
      <c r="BA41" s="90"/>
      <c r="BB41" s="90"/>
      <c r="BC41" s="90"/>
      <c r="BD41" s="90"/>
      <c r="BE41" s="90"/>
      <c r="BF41" s="90"/>
      <c r="BG41" s="90"/>
      <c r="BH41" s="90"/>
      <c r="BI41" s="90"/>
      <c r="BJ41" s="90"/>
      <c r="BK41" s="90"/>
      <c r="BL41" s="90"/>
      <c r="BM41" s="90"/>
      <c r="BN41" s="90"/>
      <c r="BO41" s="90"/>
      <c r="BP41" s="90"/>
    </row>
    <row r="42" ht="12.75" hidden="1" customHeight="1" outlineLevel="1">
      <c r="A42" s="90"/>
      <c r="B42" s="64" t="s">
        <v>556</v>
      </c>
      <c r="D42" s="90"/>
      <c r="E42" s="90"/>
      <c r="F42" s="90"/>
      <c r="G42" s="90"/>
      <c r="H42" s="90"/>
      <c r="I42" s="90"/>
      <c r="J42" s="99"/>
      <c r="K42" s="99"/>
      <c r="L42" s="99"/>
      <c r="M42" s="93"/>
      <c r="N42" s="93"/>
      <c r="O42" s="93"/>
      <c r="P42" s="93"/>
      <c r="Q42" s="93"/>
      <c r="R42" s="93"/>
      <c r="S42" s="93"/>
      <c r="T42" s="93"/>
      <c r="U42" s="93"/>
      <c r="V42" s="93"/>
      <c r="W42" s="93"/>
      <c r="X42" s="93"/>
      <c r="Y42" s="93"/>
      <c r="Z42" s="93"/>
      <c r="AA42" s="93"/>
      <c r="AB42" s="93"/>
      <c r="AC42" s="93"/>
      <c r="AD42" s="93"/>
      <c r="AE42" s="93"/>
      <c r="AF42" s="93"/>
      <c r="AG42" s="93"/>
      <c r="AH42" s="93"/>
      <c r="AI42" s="93"/>
      <c r="AJ42" s="93"/>
      <c r="AK42" s="93"/>
      <c r="AL42" s="93"/>
      <c r="AM42" s="93"/>
      <c r="AN42" s="93"/>
      <c r="AO42" s="93"/>
      <c r="AP42" s="93"/>
      <c r="AQ42" s="93"/>
      <c r="AR42" s="93"/>
      <c r="AS42" s="93"/>
      <c r="AT42" s="93"/>
      <c r="AU42" s="93"/>
      <c r="AV42" s="93"/>
      <c r="AW42" s="90"/>
      <c r="AX42" s="90"/>
      <c r="AY42" s="90"/>
      <c r="AZ42" s="90"/>
      <c r="BA42" s="90"/>
      <c r="BB42" s="90"/>
      <c r="BC42" s="90"/>
      <c r="BD42" s="90"/>
      <c r="BE42" s="90"/>
      <c r="BF42" s="90"/>
      <c r="BG42" s="90"/>
      <c r="BH42" s="90"/>
      <c r="BI42" s="90"/>
      <c r="BJ42" s="90"/>
      <c r="BK42" s="90"/>
      <c r="BL42" s="90"/>
      <c r="BM42" s="90"/>
      <c r="BN42" s="90"/>
      <c r="BO42" s="90"/>
      <c r="BP42" s="90"/>
    </row>
    <row r="43" ht="12.75" hidden="1" customHeight="1" outlineLevel="1">
      <c r="A43" s="90"/>
      <c r="B43" s="295" t="s">
        <v>557</v>
      </c>
      <c r="D43" s="90"/>
      <c r="E43" s="90"/>
      <c r="F43" s="90"/>
      <c r="G43" s="90"/>
      <c r="H43" s="90"/>
      <c r="I43" s="90"/>
      <c r="J43" s="99"/>
      <c r="K43" s="99">
        <f>'RS1'!J392+'RS2'!J390+'RS3'!J389+K297</f>
        <v>0</v>
      </c>
      <c r="L43" s="99">
        <f>'RS1'!K392+'RS2'!K390+'RS3'!K389+L297</f>
        <v>13251.55</v>
      </c>
      <c r="M43" s="93">
        <f>'RS1'!L392+'RS2'!L390+'RS3'!L389+M297</f>
        <v>25361.63</v>
      </c>
      <c r="N43" s="93">
        <f>'RS1'!M392+'RS2'!M390+'RS3'!M389+N297</f>
        <v>43761.63</v>
      </c>
      <c r="O43" s="93">
        <f>'RS1'!N392+'RS2'!N390+'RS3'!N389+O297</f>
        <v>69220.03</v>
      </c>
      <c r="P43" s="93">
        <f>'RS1'!O392+'RS2'!O390+'RS3'!O389+P297</f>
        <v>102263.888</v>
      </c>
      <c r="Q43" s="93">
        <f>'RS1'!P392+'RS2'!P390+'RS3'!P389+Q297</f>
        <v>167035.0954</v>
      </c>
      <c r="R43" s="93">
        <f>'RS1'!Q392+'RS2'!Q390+'RS3'!Q389+R297</f>
        <v>264979.3928</v>
      </c>
      <c r="S43" s="93">
        <f>'RS1'!R392+'RS2'!R390+'RS3'!R389+S297</f>
        <v>448212.6429</v>
      </c>
      <c r="T43" s="93">
        <f>'RS1'!S392+'RS2'!S390+'RS3'!S389+T297</f>
        <v>730564.0846</v>
      </c>
      <c r="U43" s="93">
        <f>'RS1'!T392+'RS2'!T390+'RS3'!T389+U297</f>
        <v>1080269.949</v>
      </c>
      <c r="V43" s="93">
        <f>'RS1'!U392+'RS2'!U390+'RS3'!U389+V297</f>
        <v>1348064.417</v>
      </c>
      <c r="W43" s="93">
        <f>'RS1'!V392+'RS2'!V390+'RS3'!V389+W297</f>
        <v>1791921.797</v>
      </c>
      <c r="X43" s="93">
        <f>'RS1'!W392+'RS2'!W390+'RS3'!W389+X297</f>
        <v>2295268.973</v>
      </c>
      <c r="Y43" s="93">
        <f>'RS1'!X392+'RS2'!X390+'RS3'!X389+Y297</f>
        <v>3457227.132</v>
      </c>
      <c r="Z43" s="93">
        <f>'RS1'!Y392+'RS2'!Y390+'RS3'!Y389+Z297</f>
        <v>5045065.859</v>
      </c>
      <c r="AA43" s="93">
        <f>'RS1'!Z392+'RS2'!Z390+'RS3'!Z389+AA297</f>
        <v>6951014.124</v>
      </c>
      <c r="AB43" s="93">
        <f>'RS1'!AA392+'RS2'!AA390+'RS3'!AA389+AB297</f>
        <v>8818129.353</v>
      </c>
      <c r="AC43" s="93">
        <f>'RS1'!AB392+'RS2'!AB390+'RS3'!AB389+AC297</f>
        <v>10888936.21</v>
      </c>
      <c r="AD43" s="93">
        <f>'RS1'!AC392+'RS2'!AC390+'RS3'!AC389+AD297</f>
        <v>12719793.05</v>
      </c>
      <c r="AE43" s="93">
        <f>'RS1'!AD392+'RS2'!AD390+'RS3'!AD389+AE297</f>
        <v>13953965.84</v>
      </c>
      <c r="AF43" s="93">
        <f>'RS1'!AE392+'RS2'!AE390+'RS3'!AE389+AF297</f>
        <v>13726074.87</v>
      </c>
      <c r="AG43" s="93">
        <f>'RS1'!AF392+'RS2'!AF390+'RS3'!AF389+AG297</f>
        <v>9842915.551</v>
      </c>
      <c r="AH43" s="93">
        <f>'RS1'!AG392+'RS2'!AG390+'RS3'!AG389+AH297</f>
        <v>6026289.383</v>
      </c>
      <c r="AI43" s="93">
        <f>'RS1'!AH392+'RS2'!AH390+'RS3'!AH389+AI297</f>
        <v>3054855.829</v>
      </c>
      <c r="AJ43" s="93">
        <f>'RS1'!AI392+'RS2'!AI390+'RS3'!AI389+AJ297</f>
        <v>1065983.903</v>
      </c>
      <c r="AK43" s="93">
        <f>'RS1'!AJ392+'RS2'!AJ390+'RS3'!AJ389+AK297</f>
        <v>106156.8585</v>
      </c>
      <c r="AL43" s="93">
        <f>'RS1'!AK392+'RS2'!AK390+'RS3'!AK389+AL297</f>
        <v>0</v>
      </c>
      <c r="AM43" s="93">
        <f>'RS1'!AL392+'RS2'!AL390+'RS3'!AL389+AM297</f>
        <v>0</v>
      </c>
      <c r="AN43" s="93">
        <f>'RS1'!AM392+'RS2'!AM390+'RS3'!AM389+AN297</f>
        <v>0</v>
      </c>
      <c r="AO43" s="93">
        <f>'RS1'!AN392+'RS2'!AN390+'RS3'!AN389+AO297</f>
        <v>0</v>
      </c>
      <c r="AP43" s="93" t="str">
        <f>'RS1'!AO392+'RS2'!AO390+'RS3'!AO389+AP297</f>
        <v>#REF!</v>
      </c>
      <c r="AQ43" s="93" t="str">
        <f>'RS1'!AP392+'RS2'!AP390+'RS3'!AP389+AQ297</f>
        <v>#REF!</v>
      </c>
      <c r="AR43" s="93" t="str">
        <f>'RS1'!AQ392+'RS2'!AQ390+'RS3'!AQ389+AR297</f>
        <v>#REF!</v>
      </c>
      <c r="AS43" s="93" t="str">
        <f>'RS1'!AR392+'RS2'!AR390+'RS3'!AR389+AS297</f>
        <v>#REF!</v>
      </c>
      <c r="AT43" s="93" t="str">
        <f>'RS1'!AS392+'RS2'!AS390+'RS3'!AS389+AT297</f>
        <v>#REF!</v>
      </c>
      <c r="AU43" s="93" t="str">
        <f>'RS1'!AT392+'RS2'!AT390+'RS3'!AT389+AU297</f>
        <v>#REF!</v>
      </c>
      <c r="AV43" s="93" t="str">
        <f>'RS1'!AU392+'RS2'!AU390+'RS3'!AU389+AV297</f>
        <v>#REF!</v>
      </c>
      <c r="AW43" s="90"/>
      <c r="AX43" s="90"/>
      <c r="AY43" s="90"/>
      <c r="AZ43" s="90"/>
      <c r="BA43" s="90"/>
      <c r="BB43" s="90"/>
      <c r="BC43" s="90"/>
      <c r="BD43" s="90"/>
      <c r="BE43" s="90"/>
      <c r="BF43" s="90"/>
      <c r="BG43" s="90"/>
      <c r="BH43" s="90"/>
      <c r="BI43" s="90"/>
      <c r="BJ43" s="90"/>
      <c r="BK43" s="90"/>
      <c r="BL43" s="90"/>
      <c r="BM43" s="90"/>
      <c r="BN43" s="90"/>
      <c r="BO43" s="90"/>
      <c r="BP43" s="90"/>
    </row>
    <row r="44" ht="12.75" hidden="1" customHeight="1" outlineLevel="1">
      <c r="A44" s="90"/>
      <c r="B44" s="295" t="s">
        <v>148</v>
      </c>
      <c r="D44" s="90"/>
      <c r="E44" s="90"/>
      <c r="F44" s="90"/>
      <c r="G44" s="90"/>
      <c r="H44" s="90"/>
      <c r="I44" s="90"/>
      <c r="J44" s="99"/>
      <c r="K44" s="99">
        <f>'RS1'!J393+'RS2'!J391+'RS3'!J390+K309</f>
        <v>59677.25</v>
      </c>
      <c r="L44" s="99">
        <f>'RS1'!K393+'RS2'!K391+'RS3'!K390+L309</f>
        <v>29232.79</v>
      </c>
      <c r="M44" s="93" t="str">
        <f>'RS1'!L393+'RS2'!L391+'RS3'!L390+M309</f>
        <v>#REF!</v>
      </c>
      <c r="N44" s="93" t="str">
        <f>'RS1'!M393+'RS2'!M391+'RS3'!M390+N309</f>
        <v>#REF!</v>
      </c>
      <c r="O44" s="93" t="str">
        <f>'RS1'!N393+'RS2'!N391+'RS3'!N390+O309</f>
        <v>#REF!</v>
      </c>
      <c r="P44" s="93" t="str">
        <f>'RS1'!O393+'RS2'!O391+'RS3'!O390+P309</f>
        <v>#REF!</v>
      </c>
      <c r="Q44" s="93" t="str">
        <f>'RS1'!P393+'RS2'!P391+'RS3'!P390+Q309</f>
        <v>#REF!</v>
      </c>
      <c r="R44" s="93" t="str">
        <f>'RS1'!Q393+'RS2'!Q391+'RS3'!Q390+R309</f>
        <v>#REF!</v>
      </c>
      <c r="S44" s="93" t="str">
        <f>'RS1'!R393+'RS2'!R391+'RS3'!R390+S309</f>
        <v>#REF!</v>
      </c>
      <c r="T44" s="93" t="str">
        <f>'RS1'!S393+'RS2'!S391+'RS3'!S390+T309</f>
        <v>#REF!</v>
      </c>
      <c r="U44" s="93" t="str">
        <f>'RS1'!T393+'RS2'!T391+'RS3'!T390+U309</f>
        <v>#REF!</v>
      </c>
      <c r="V44" s="93" t="str">
        <f>'RS1'!U393+'RS2'!U391+'RS3'!U390+V309</f>
        <v>#REF!</v>
      </c>
      <c r="W44" s="93" t="str">
        <f>'RS1'!V393+'RS2'!V391+'RS3'!V390+W309</f>
        <v>#REF!</v>
      </c>
      <c r="X44" s="93" t="str">
        <f>'RS1'!W393+'RS2'!W391+'RS3'!W390+X309</f>
        <v>#REF!</v>
      </c>
      <c r="Y44" s="93" t="str">
        <f>'RS1'!X393+'RS2'!X391+'RS3'!X390+Y309</f>
        <v>#REF!</v>
      </c>
      <c r="Z44" s="93" t="str">
        <f>'RS1'!Y393+'RS2'!Y391+'RS3'!Y390+Z309</f>
        <v>#REF!</v>
      </c>
      <c r="AA44" s="93" t="str">
        <f>'RS1'!Z393+'RS2'!Z391+'RS3'!Z390+AA309</f>
        <v>#REF!</v>
      </c>
      <c r="AB44" s="93" t="str">
        <f>'RS1'!AA393+'RS2'!AA391+'RS3'!AA390+AB309</f>
        <v>#REF!</v>
      </c>
      <c r="AC44" s="93" t="str">
        <f>'RS1'!AB393+'RS2'!AB391+'RS3'!AB390+AC309</f>
        <v>#REF!</v>
      </c>
      <c r="AD44" s="93" t="str">
        <f>'RS1'!AC393+'RS2'!AC391+'RS3'!AC390+AD309</f>
        <v>#REF!</v>
      </c>
      <c r="AE44" s="93" t="str">
        <f>'RS1'!AD393+'RS2'!AD391+'RS3'!AD390+AE309</f>
        <v>#REF!</v>
      </c>
      <c r="AF44" s="93" t="str">
        <f>'RS1'!AE393+'RS2'!AE391+'RS3'!AE390+AF309</f>
        <v>#REF!</v>
      </c>
      <c r="AG44" s="93" t="str">
        <f>'RS1'!AF393+'RS2'!AF391+'RS3'!AF390+AG309</f>
        <v>#REF!</v>
      </c>
      <c r="AH44" s="93" t="str">
        <f>'RS1'!AG393+'RS2'!AG391+'RS3'!AG390+AH309</f>
        <v>#REF!</v>
      </c>
      <c r="AI44" s="93" t="str">
        <f>'RS1'!AH393+'RS2'!AH391+'RS3'!AH390+AI309</f>
        <v>#REF!</v>
      </c>
      <c r="AJ44" s="93" t="str">
        <f>'RS1'!AI393+'RS2'!AI391+'RS3'!AI390+AJ309</f>
        <v>#REF!</v>
      </c>
      <c r="AK44" s="93" t="str">
        <f>'RS1'!AJ393+'RS2'!AJ391+'RS3'!AJ390+AK309</f>
        <v>#REF!</v>
      </c>
      <c r="AL44" s="93" t="str">
        <f>'RS1'!AK393+'RS2'!AK391+'RS3'!AK390+AL309</f>
        <v>#REF!</v>
      </c>
      <c r="AM44" s="93" t="str">
        <f>'RS1'!AL393+'RS2'!AL391+'RS3'!AL390+AM309</f>
        <v>#REF!</v>
      </c>
      <c r="AN44" s="93" t="str">
        <f>'RS1'!AM393+'RS2'!AM391+'RS3'!AM390+AN309</f>
        <v>#REF!</v>
      </c>
      <c r="AO44" s="93" t="str">
        <f>'RS1'!AN393+'RS2'!AN391+'RS3'!AN390+AO309</f>
        <v>#REF!</v>
      </c>
      <c r="AP44" s="93" t="str">
        <f>'RS1'!AO393+'RS2'!AO391+'RS3'!AO390+AP309</f>
        <v>#REF!</v>
      </c>
      <c r="AQ44" s="93" t="str">
        <f>'RS1'!AP393+'RS2'!AP391+'RS3'!AP390+AQ309</f>
        <v>#REF!</v>
      </c>
      <c r="AR44" s="93" t="str">
        <f>'RS1'!AQ393+'RS2'!AQ391+'RS3'!AQ390+AR309</f>
        <v>#REF!</v>
      </c>
      <c r="AS44" s="93" t="str">
        <f>'RS1'!AR393+'RS2'!AR391+'RS3'!AR390+AS309</f>
        <v>#REF!</v>
      </c>
      <c r="AT44" s="93" t="str">
        <f>'RS1'!AS393+'RS2'!AS391+'RS3'!AS390+AT309</f>
        <v>#REF!</v>
      </c>
      <c r="AU44" s="93" t="str">
        <f>'RS1'!AT393+'RS2'!AT391+'RS3'!AT390+AU309</f>
        <v>#REF!</v>
      </c>
      <c r="AV44" s="93" t="str">
        <f>'RS1'!AU393+'RS2'!AU391+'RS3'!AU390+AV309</f>
        <v>#REF!</v>
      </c>
      <c r="AW44" s="90"/>
      <c r="AX44" s="90"/>
      <c r="AY44" s="90"/>
      <c r="AZ44" s="90"/>
      <c r="BA44" s="90"/>
      <c r="BB44" s="90"/>
      <c r="BC44" s="90"/>
      <c r="BD44" s="90"/>
      <c r="BE44" s="90"/>
      <c r="BF44" s="90"/>
      <c r="BG44" s="90"/>
      <c r="BH44" s="90"/>
      <c r="BI44" s="90"/>
      <c r="BJ44" s="90"/>
      <c r="BK44" s="90"/>
      <c r="BL44" s="90"/>
      <c r="BM44" s="90"/>
      <c r="BN44" s="90"/>
      <c r="BO44" s="90"/>
      <c r="BP44" s="90"/>
    </row>
    <row r="45" ht="12.75" hidden="1" customHeight="1" outlineLevel="1">
      <c r="A45" s="90"/>
      <c r="B45" s="295" t="s">
        <v>558</v>
      </c>
      <c r="D45" s="90"/>
      <c r="E45" s="90"/>
      <c r="F45" s="90"/>
      <c r="G45" s="90"/>
      <c r="H45" s="90"/>
      <c r="I45" s="90"/>
      <c r="J45" s="99"/>
      <c r="K45" s="99">
        <f>'RS1'!J394+'RS2'!J393+'RS3'!J391+K321</f>
        <v>0</v>
      </c>
      <c r="L45" s="99">
        <f>'RS1'!K394+'RS2'!K393+'RS3'!K391+L321</f>
        <v>0</v>
      </c>
      <c r="M45" s="93">
        <f>'RS1'!L394+'RS2'!L393+'RS3'!L391+M321</f>
        <v>0</v>
      </c>
      <c r="N45" s="93">
        <f>'RS1'!M394+'RS2'!M393+'RS3'!M391+N321</f>
        <v>26539.56637</v>
      </c>
      <c r="O45" s="93">
        <f>'RS1'!N394+'RS2'!N393+'RS3'!N391+O321</f>
        <v>54087.11613</v>
      </c>
      <c r="P45" s="93">
        <f>'RS1'!O394+'RS2'!O393+'RS3'!O391+P321</f>
        <v>69496.47015</v>
      </c>
      <c r="Q45" s="93">
        <f>'RS1'!P394+'RS2'!P393+'RS3'!P391+Q321</f>
        <v>140348.5653</v>
      </c>
      <c r="R45" s="93">
        <f>'RS1'!Q394+'RS2'!Q393+'RS3'!Q391+R321</f>
        <v>256887.6566</v>
      </c>
      <c r="S45" s="93">
        <f>'RS1'!R394+'RS2'!R393+'RS3'!R391+S321</f>
        <v>452322.5119</v>
      </c>
      <c r="T45" s="93">
        <f>'RS1'!S394+'RS2'!S393+'RS3'!S391+T321</f>
        <v>789489.2651</v>
      </c>
      <c r="U45" s="93">
        <f>'RS1'!T394+'RS2'!T393+'RS3'!T391+U321</f>
        <v>1323862.741</v>
      </c>
      <c r="V45" s="93">
        <f>'RS1'!U394+'RS2'!U393+'RS3'!U391+V321</f>
        <v>2015294.606</v>
      </c>
      <c r="W45" s="93">
        <f>'RS1'!V394+'RS2'!V393+'RS3'!V391+W321</f>
        <v>2777333.107</v>
      </c>
      <c r="X45" s="93">
        <f>'RS1'!W394+'RS2'!W393+'RS3'!W391+X321</f>
        <v>3889640.888</v>
      </c>
      <c r="Y45" s="93">
        <f>'RS1'!X394+'RS2'!X393+'RS3'!X391+Y321</f>
        <v>5288172.814</v>
      </c>
      <c r="Z45" s="93">
        <f>'RS1'!Y394+'RS2'!Y393+'RS3'!Y391+Z321</f>
        <v>7706077.621</v>
      </c>
      <c r="AA45" s="93">
        <f>'RS1'!Z394+'RS2'!Z393+'RS3'!Z391+AA321</f>
        <v>11122836.36</v>
      </c>
      <c r="AB45" s="93">
        <f>'RS1'!AA394+'RS2'!AA393+'RS3'!AA391+AB321</f>
        <v>15575730.64</v>
      </c>
      <c r="AC45" s="93">
        <f>'RS1'!AB394+'RS2'!AB393+'RS3'!AB391+AC321</f>
        <v>20828014.37</v>
      </c>
      <c r="AD45" s="93">
        <f>'RS1'!AC394+'RS2'!AC393+'RS3'!AC391+AD321</f>
        <v>27205081.63</v>
      </c>
      <c r="AE45" s="93">
        <f>'RS1'!AD394+'RS2'!AD393+'RS3'!AD391+AE321</f>
        <v>34382489.51</v>
      </c>
      <c r="AF45" s="93">
        <f>'RS1'!AE394+'RS2'!AE393+'RS3'!AE391+AF321</f>
        <v>41839773.06</v>
      </c>
      <c r="AG45" s="93">
        <f>'RS1'!AF394+'RS2'!AF393+'RS3'!AF391+AG321</f>
        <v>48335568.99</v>
      </c>
      <c r="AH45" s="93">
        <f>'RS1'!AG394+'RS2'!AG393+'RS3'!AG391+AH321</f>
        <v>50724573.19</v>
      </c>
      <c r="AI45" s="93">
        <f>'RS1'!AH394+'RS2'!AH393+'RS3'!AH391+AI321</f>
        <v>52006819.03</v>
      </c>
      <c r="AJ45" s="93">
        <f>'RS1'!AI394+'RS2'!AI393+'RS3'!AI391+AJ321</f>
        <v>53044108.25</v>
      </c>
      <c r="AK45" s="93">
        <f>'RS1'!AJ394+'RS2'!AJ393+'RS3'!AJ391+AK321</f>
        <v>54064009.57</v>
      </c>
      <c r="AL45" s="93">
        <f>'RS1'!AK394+'RS2'!AK393+'RS3'!AK391+AL321</f>
        <v>55116761.52</v>
      </c>
      <c r="AM45" s="93">
        <f>'RS1'!AL394+'RS2'!AL393+'RS3'!AL391+AM321</f>
        <v>56207611.12</v>
      </c>
      <c r="AN45" s="93">
        <f>'RS1'!AM394+'RS2'!AM393+'RS3'!AM391+AN321</f>
        <v>57330296.3</v>
      </c>
      <c r="AO45" s="93">
        <f>'RS1'!AN394+'RS2'!AN393+'RS3'!AN391+AO321</f>
        <v>58476902.22</v>
      </c>
      <c r="AP45" s="93" t="str">
        <f>'RS1'!AO394+'RS2'!AO393+'RS3'!AO391+AP321</f>
        <v>#REF!</v>
      </c>
      <c r="AQ45" s="93" t="str">
        <f>'RS1'!AP394+'RS2'!AP393+'RS3'!AP391+AQ321</f>
        <v>#REF!</v>
      </c>
      <c r="AR45" s="93" t="str">
        <f>'RS1'!AQ394+'RS2'!AQ393+'RS3'!AQ391+AR321</f>
        <v>#REF!</v>
      </c>
      <c r="AS45" s="93" t="str">
        <f>'RS1'!AR394+'RS2'!AR393+'RS3'!AR391+AS321</f>
        <v>#REF!</v>
      </c>
      <c r="AT45" s="93" t="str">
        <f>'RS1'!AS394+'RS2'!AS393+'RS3'!AS391+AT321</f>
        <v>#REF!</v>
      </c>
      <c r="AU45" s="93" t="str">
        <f>'RS1'!AT394+'RS2'!AT393+'RS3'!AT391+AU321</f>
        <v>#REF!</v>
      </c>
      <c r="AV45" s="93" t="str">
        <f>'RS1'!AU394+'RS2'!AU393+'RS3'!AU391+AV321</f>
        <v>#REF!</v>
      </c>
      <c r="AW45" s="90"/>
      <c r="AX45" s="90"/>
      <c r="AY45" s="90"/>
      <c r="AZ45" s="90"/>
      <c r="BA45" s="90"/>
      <c r="BB45" s="90"/>
      <c r="BC45" s="90"/>
      <c r="BD45" s="90"/>
      <c r="BE45" s="90"/>
      <c r="BF45" s="90"/>
      <c r="BG45" s="90"/>
      <c r="BH45" s="90"/>
      <c r="BI45" s="90"/>
      <c r="BJ45" s="90"/>
      <c r="BK45" s="90"/>
      <c r="BL45" s="90"/>
      <c r="BM45" s="90"/>
      <c r="BN45" s="90"/>
      <c r="BO45" s="90"/>
      <c r="BP45" s="90"/>
    </row>
    <row r="46" ht="12.75" hidden="1" customHeight="1" outlineLevel="1">
      <c r="A46" s="90"/>
      <c r="B46" s="295" t="s">
        <v>465</v>
      </c>
      <c r="D46" s="90"/>
      <c r="E46" s="90"/>
      <c r="F46" s="90"/>
      <c r="G46" s="90"/>
      <c r="H46" s="90"/>
      <c r="I46" s="90"/>
      <c r="J46" s="99"/>
      <c r="K46" s="99">
        <f>'RS1'!J20+'RS2'!J20+'RS3'!J20+K345</f>
        <v>44042.09</v>
      </c>
      <c r="L46" s="99">
        <f>'RS1'!K20+'RS2'!K20+'RS3'!K20+L345</f>
        <v>2994.32</v>
      </c>
      <c r="M46" s="93">
        <f>'RS1'!L20+'RS2'!L20+'RS3'!L361+M345</f>
        <v>2994.32</v>
      </c>
      <c r="N46" s="93">
        <f>'RS1'!M20+'RS2'!M20+'RS3'!M361+N345</f>
        <v>2994.32</v>
      </c>
      <c r="O46" s="93">
        <f>'RS1'!N20+'RS2'!N20+'RS3'!N361+O345</f>
        <v>5494.33</v>
      </c>
      <c r="P46" s="93">
        <f>'RS1'!O20+'RS2'!O20+'RS3'!O361+P345</f>
        <v>5494.33</v>
      </c>
      <c r="Q46" s="93">
        <f>'RS1'!P20+'RS2'!P20+'RS3'!P361+Q345</f>
        <v>0</v>
      </c>
      <c r="R46" s="93">
        <f>'RS1'!Q20+'RS2'!Q20+'RS3'!Q361+R345</f>
        <v>0</v>
      </c>
      <c r="S46" s="93">
        <f>'RS1'!R20+'RS2'!R20+'RS3'!R361+S345</f>
        <v>0</v>
      </c>
      <c r="T46" s="93">
        <f>'RS1'!S20+'RS2'!S20+'RS3'!S361+T345</f>
        <v>0</v>
      </c>
      <c r="U46" s="93">
        <f>'RS1'!T20+'RS2'!T20+'RS3'!T361+U345</f>
        <v>0</v>
      </c>
      <c r="V46" s="93">
        <f>'RS1'!U20+'RS2'!U20+'RS3'!U361+V345</f>
        <v>0</v>
      </c>
      <c r="W46" s="93">
        <f>'RS1'!V20+'RS2'!V20+'RS3'!V361+W345</f>
        <v>0</v>
      </c>
      <c r="X46" s="93">
        <f>'RS1'!W20+'RS2'!W20+'RS3'!W361+X345</f>
        <v>0</v>
      </c>
      <c r="Y46" s="93">
        <f>'RS1'!X20+'RS2'!X20+'RS3'!X361+Y345</f>
        <v>0</v>
      </c>
      <c r="Z46" s="93">
        <f>'RS1'!Y20+'RS2'!Y20+'RS3'!Y361+Z345</f>
        <v>0</v>
      </c>
      <c r="AA46" s="93">
        <f>'RS1'!Z20+'RS2'!Z20+'RS3'!Z361+AA345</f>
        <v>0</v>
      </c>
      <c r="AB46" s="93">
        <f>'RS1'!AA20+'RS2'!AA20+'RS3'!AA361+AB345</f>
        <v>0</v>
      </c>
      <c r="AC46" s="93">
        <f>'RS1'!AB20+'RS2'!AB20+'RS3'!AB361+AC345</f>
        <v>0</v>
      </c>
      <c r="AD46" s="93">
        <f>'RS1'!AC20+'RS2'!AC20+'RS3'!AC361+AD345</f>
        <v>0</v>
      </c>
      <c r="AE46" s="93">
        <f>'RS1'!AD20+'RS2'!AD20+'RS3'!AD361+AE345</f>
        <v>0</v>
      </c>
      <c r="AF46" s="93">
        <f>'RS1'!AE20+'RS2'!AE20+'RS3'!AE361+AF345</f>
        <v>0</v>
      </c>
      <c r="AG46" s="93">
        <f>'RS1'!AF20+'RS2'!AF20+'RS3'!AF361+AG345</f>
        <v>0</v>
      </c>
      <c r="AH46" s="93">
        <f>'RS1'!AG20+'RS2'!AG20+'RS3'!AG361+AH345</f>
        <v>0</v>
      </c>
      <c r="AI46" s="93">
        <f>'RS1'!AH20+'RS2'!AH20+'RS3'!AH361+AI345</f>
        <v>0</v>
      </c>
      <c r="AJ46" s="93">
        <f>'RS1'!AI20+'RS2'!AI20+'RS3'!AI361+AJ345</f>
        <v>0</v>
      </c>
      <c r="AK46" s="93">
        <f>'RS1'!AJ20+'RS2'!AJ20+'RS3'!AJ361+AK345</f>
        <v>0</v>
      </c>
      <c r="AL46" s="93">
        <f>'RS1'!AK20+'RS2'!AK20+'RS3'!AK361+AL345</f>
        <v>0</v>
      </c>
      <c r="AM46" s="93">
        <f>'RS1'!AL20+'RS2'!AL20+'RS3'!AL20+AM345</f>
        <v>55676.87683</v>
      </c>
      <c r="AN46" s="93">
        <f>'RS1'!AM20+'RS2'!AM20+'RS3'!AM20+AN345</f>
        <v>56798.24156</v>
      </c>
      <c r="AO46" s="93">
        <f>'RS1'!AN20+'RS2'!AN20+'RS3'!AN20+AO345</f>
        <v>57942.03358</v>
      </c>
      <c r="AP46" s="93" t="str">
        <f>'RS1'!AO20+'RS2'!AO20+'RS3'!AO20+AP345</f>
        <v>#REF!</v>
      </c>
      <c r="AQ46" s="93" t="str">
        <f>'RS1'!AP20+'RS2'!AP20+'RS3'!AP20+AQ345</f>
        <v>#REF!</v>
      </c>
      <c r="AR46" s="93" t="str">
        <f>'RS1'!AQ20+'RS2'!AQ20+'RS3'!AQ20+AR345</f>
        <v>#REF!</v>
      </c>
      <c r="AS46" s="93" t="str">
        <f>'RS1'!AR20+'RS2'!AR20+'RS3'!AR20+AS345</f>
        <v>#REF!</v>
      </c>
      <c r="AT46" s="93" t="str">
        <f>'RS1'!AS20+'RS2'!AS20+'RS3'!AS20+AT345</f>
        <v>#REF!</v>
      </c>
      <c r="AU46" s="93" t="str">
        <f>'RS1'!AT20+'RS2'!AT20+'RS3'!AT20+AU345</f>
        <v>#REF!</v>
      </c>
      <c r="AV46" s="93" t="str">
        <f>'RS1'!AU20+'RS2'!AU20+'RS3'!AU20+AV345</f>
        <v>#REF!</v>
      </c>
      <c r="AW46" s="90"/>
      <c r="AX46" s="90"/>
      <c r="AY46" s="90"/>
      <c r="AZ46" s="90"/>
      <c r="BA46" s="90"/>
      <c r="BB46" s="90"/>
      <c r="BC46" s="90"/>
      <c r="BD46" s="90"/>
      <c r="BE46" s="90"/>
      <c r="BF46" s="90"/>
      <c r="BG46" s="90"/>
      <c r="BH46" s="90"/>
      <c r="BI46" s="90"/>
      <c r="BJ46" s="90"/>
      <c r="BK46" s="90"/>
      <c r="BL46" s="90"/>
      <c r="BM46" s="90"/>
      <c r="BN46" s="90"/>
      <c r="BO46" s="90"/>
      <c r="BP46" s="90"/>
    </row>
    <row r="47" ht="12.75" hidden="1" customHeight="1" outlineLevel="1">
      <c r="A47" s="90"/>
      <c r="B47" s="83" t="s">
        <v>559</v>
      </c>
      <c r="D47" s="87"/>
      <c r="E47" s="90"/>
      <c r="F47" s="90"/>
      <c r="G47" s="90"/>
      <c r="H47" s="90"/>
      <c r="I47" s="90"/>
      <c r="J47" s="99"/>
      <c r="K47" s="99">
        <f>'RS1'!J395+'RS2'!J395+'RS3'!J392+K333</f>
        <v>0</v>
      </c>
      <c r="L47" s="99">
        <f>'RS1'!K395+'RS2'!K395+'RS3'!K392+L333</f>
        <v>0</v>
      </c>
      <c r="M47" s="93">
        <f>'RS1'!L395+'RS2'!L395+'RS3'!L392+M333</f>
        <v>184460.1446</v>
      </c>
      <c r="N47" s="93" t="str">
        <f>'RS1'!M395+'RS2'!M395+'RS3'!M392+N333</f>
        <v>#REF!</v>
      </c>
      <c r="O47" s="93" t="str">
        <f>'RS1'!N395+'RS2'!N395+'RS3'!N392+O333</f>
        <v>#REF!</v>
      </c>
      <c r="P47" s="93" t="str">
        <f>'RS1'!O395+'RS2'!O395+'RS3'!O392+P333</f>
        <v>#REF!</v>
      </c>
      <c r="Q47" s="93" t="str">
        <f>'RS1'!P395+'RS2'!P395+'RS3'!P392+Q333</f>
        <v>#REF!</v>
      </c>
      <c r="R47" s="93" t="str">
        <f>'RS1'!Q395+'RS2'!Q395+'RS3'!Q392+R333</f>
        <v>#REF!</v>
      </c>
      <c r="S47" s="93" t="str">
        <f>'RS1'!R395+'RS2'!R395+'RS3'!R392+S333</f>
        <v>#REF!</v>
      </c>
      <c r="T47" s="93" t="str">
        <f>'RS1'!S395+'RS2'!S395+'RS3'!S392+T333</f>
        <v>#REF!</v>
      </c>
      <c r="U47" s="93" t="str">
        <f>'RS1'!T395+'RS2'!T395+'RS3'!T392+U333</f>
        <v>#REF!</v>
      </c>
      <c r="V47" s="93" t="str">
        <f>'RS1'!U395+'RS2'!U395+'RS3'!U392+V333</f>
        <v>#REF!</v>
      </c>
      <c r="W47" s="93" t="str">
        <f>'RS1'!V395+'RS2'!V395+'RS3'!V392+W333</f>
        <v>#REF!</v>
      </c>
      <c r="X47" s="93" t="str">
        <f>'RS1'!W395+'RS2'!W395+'RS3'!W392+X333</f>
        <v>#REF!</v>
      </c>
      <c r="Y47" s="93" t="str">
        <f>'RS1'!X395+'RS2'!X395+'RS3'!X392+Y333</f>
        <v>#REF!</v>
      </c>
      <c r="Z47" s="93" t="str">
        <f>'RS1'!Y395+'RS2'!Y395+'RS3'!Y392+Z333</f>
        <v>#REF!</v>
      </c>
      <c r="AA47" s="93" t="str">
        <f>'RS1'!Z395+'RS2'!Z395+'RS3'!Z392+AA333</f>
        <v>#REF!</v>
      </c>
      <c r="AB47" s="93" t="str">
        <f>'RS1'!AA395+'RS2'!AA395+'RS3'!AA392+AB333</f>
        <v>#REF!</v>
      </c>
      <c r="AC47" s="93" t="str">
        <f>'RS1'!AB395+'RS2'!AB395+'RS3'!AB392+AC333</f>
        <v>#REF!</v>
      </c>
      <c r="AD47" s="93" t="str">
        <f>'RS1'!AC395+'RS2'!AC395+'RS3'!AC392+AD333</f>
        <v>#REF!</v>
      </c>
      <c r="AE47" s="93" t="str">
        <f>'RS1'!AD395+'RS2'!AD395+'RS3'!AD392+AE333</f>
        <v>#REF!</v>
      </c>
      <c r="AF47" s="93" t="str">
        <f>'RS1'!AE395+'RS2'!AE395+'RS3'!AE392+AF333</f>
        <v>#REF!</v>
      </c>
      <c r="AG47" s="93" t="str">
        <f>'RS1'!AF395+'RS2'!AF395+'RS3'!AF392+AG333</f>
        <v>#REF!</v>
      </c>
      <c r="AH47" s="93" t="str">
        <f>'RS1'!AG395+'RS2'!AG395+'RS3'!AG392+AH333</f>
        <v>#REF!</v>
      </c>
      <c r="AI47" s="93" t="str">
        <f>'RS1'!AH395+'RS2'!AH395+'RS3'!AH392+AI333</f>
        <v>#REF!</v>
      </c>
      <c r="AJ47" s="93" t="str">
        <f>'RS1'!AI395+'RS2'!AI395+'RS3'!AI392+AJ333</f>
        <v>#REF!</v>
      </c>
      <c r="AK47" s="93" t="str">
        <f>'RS1'!AJ395+'RS2'!AJ395+'RS3'!AJ392+AK333</f>
        <v>#REF!</v>
      </c>
      <c r="AL47" s="93" t="str">
        <f>'RS1'!AK395+'RS2'!AK395+'RS3'!AK392+AL333</f>
        <v>#REF!</v>
      </c>
      <c r="AM47" s="93" t="str">
        <f>'RS1'!AL395+'RS2'!AL395+'RS3'!AL392+AM333</f>
        <v>#REF!</v>
      </c>
      <c r="AN47" s="93" t="str">
        <f>'RS1'!AM395+'RS2'!AM395+'RS3'!AM392+AN333</f>
        <v>#REF!</v>
      </c>
      <c r="AO47" s="93" t="str">
        <f>'RS1'!AN395+'RS2'!AN395+'RS3'!AN392+AO333</f>
        <v>#REF!</v>
      </c>
      <c r="AP47" s="93" t="str">
        <f>'RS1'!AO395+'RS2'!AO395+'RS3'!AO392+AP333</f>
        <v>#REF!</v>
      </c>
      <c r="AQ47" s="93" t="str">
        <f>'RS1'!AP395+'RS2'!AP395+'RS3'!AP392+AQ333</f>
        <v>#REF!</v>
      </c>
      <c r="AR47" s="93" t="str">
        <f>'RS1'!AQ395+'RS2'!AQ395+'RS3'!AQ392+AR333</f>
        <v>#REF!</v>
      </c>
      <c r="AS47" s="93" t="str">
        <f>'RS1'!AR395+'RS2'!AR395+'RS3'!AR392+AS333</f>
        <v>#REF!</v>
      </c>
      <c r="AT47" s="93" t="str">
        <f>'RS1'!AS395+'RS2'!AS395+'RS3'!AS392+AT333</f>
        <v>#REF!</v>
      </c>
      <c r="AU47" s="93" t="str">
        <f>'RS1'!AT395+'RS2'!AT395+'RS3'!AT392+AU333</f>
        <v>#REF!</v>
      </c>
      <c r="AV47" s="93" t="str">
        <f>'RS1'!AU395+'RS2'!AU395+'RS3'!AU392+AV333</f>
        <v>#REF!</v>
      </c>
      <c r="AW47" s="90"/>
      <c r="AX47" s="90"/>
      <c r="AY47" s="90"/>
      <c r="AZ47" s="90"/>
      <c r="BA47" s="90"/>
      <c r="BB47" s="90"/>
      <c r="BC47" s="90"/>
      <c r="BD47" s="90"/>
      <c r="BE47" s="90"/>
      <c r="BF47" s="90"/>
      <c r="BG47" s="90"/>
      <c r="BH47" s="90"/>
      <c r="BI47" s="90"/>
      <c r="BJ47" s="90"/>
      <c r="BK47" s="90"/>
      <c r="BL47" s="90"/>
      <c r="BM47" s="90"/>
      <c r="BN47" s="90"/>
      <c r="BO47" s="90"/>
      <c r="BP47" s="90"/>
    </row>
    <row r="48" ht="12.75" customHeight="1">
      <c r="A48" s="109" t="s">
        <v>560</v>
      </c>
      <c r="B48" s="109"/>
      <c r="C48" s="109"/>
      <c r="D48" s="109"/>
      <c r="E48" s="109"/>
      <c r="F48" s="109"/>
      <c r="G48" s="109"/>
      <c r="H48" s="143"/>
      <c r="I48" s="293"/>
      <c r="J48" s="293"/>
      <c r="K48" s="293">
        <f>SUM(K32:K36)+K40+SUM(K42:K47)</f>
        <v>3357775.22</v>
      </c>
      <c r="L48" s="293" t="str">
        <f t="shared" ref="L48:AV48" si="19">SUM(L32:L36)+L40+SUM(L41)</f>
        <v>#REF!</v>
      </c>
      <c r="M48" s="112" t="str">
        <f t="shared" si="19"/>
        <v>#REF!</v>
      </c>
      <c r="N48" s="112" t="str">
        <f t="shared" si="19"/>
        <v>#REF!</v>
      </c>
      <c r="O48" s="112" t="str">
        <f t="shared" si="19"/>
        <v>#REF!</v>
      </c>
      <c r="P48" s="112" t="str">
        <f t="shared" si="19"/>
        <v>#REF!</v>
      </c>
      <c r="Q48" s="112" t="str">
        <f t="shared" si="19"/>
        <v>#REF!</v>
      </c>
      <c r="R48" s="112" t="str">
        <f t="shared" si="19"/>
        <v>#REF!</v>
      </c>
      <c r="S48" s="112" t="str">
        <f t="shared" si="19"/>
        <v>#REF!</v>
      </c>
      <c r="T48" s="112" t="str">
        <f t="shared" si="19"/>
        <v>#REF!</v>
      </c>
      <c r="U48" s="112" t="str">
        <f t="shared" si="19"/>
        <v>#REF!</v>
      </c>
      <c r="V48" s="112" t="str">
        <f t="shared" si="19"/>
        <v>#REF!</v>
      </c>
      <c r="W48" s="112" t="str">
        <f t="shared" si="19"/>
        <v>#REF!</v>
      </c>
      <c r="X48" s="112" t="str">
        <f t="shared" si="19"/>
        <v>#REF!</v>
      </c>
      <c r="Y48" s="112" t="str">
        <f t="shared" si="19"/>
        <v>#REF!</v>
      </c>
      <c r="Z48" s="112" t="str">
        <f t="shared" si="19"/>
        <v>#REF!</v>
      </c>
      <c r="AA48" s="112" t="str">
        <f t="shared" si="19"/>
        <v>#REF!</v>
      </c>
      <c r="AB48" s="112" t="str">
        <f t="shared" si="19"/>
        <v>#REF!</v>
      </c>
      <c r="AC48" s="112" t="str">
        <f t="shared" si="19"/>
        <v>#REF!</v>
      </c>
      <c r="AD48" s="112" t="str">
        <f t="shared" si="19"/>
        <v>#REF!</v>
      </c>
      <c r="AE48" s="112" t="str">
        <f t="shared" si="19"/>
        <v>#REF!</v>
      </c>
      <c r="AF48" s="112" t="str">
        <f t="shared" si="19"/>
        <v>#REF!</v>
      </c>
      <c r="AG48" s="112" t="str">
        <f t="shared" si="19"/>
        <v>#REF!</v>
      </c>
      <c r="AH48" s="112" t="str">
        <f t="shared" si="19"/>
        <v>#REF!</v>
      </c>
      <c r="AI48" s="112" t="str">
        <f t="shared" si="19"/>
        <v>#REF!</v>
      </c>
      <c r="AJ48" s="112" t="str">
        <f t="shared" si="19"/>
        <v>#REF!</v>
      </c>
      <c r="AK48" s="112" t="str">
        <f t="shared" si="19"/>
        <v>#REF!</v>
      </c>
      <c r="AL48" s="112" t="str">
        <f t="shared" si="19"/>
        <v>#REF!</v>
      </c>
      <c r="AM48" s="112" t="str">
        <f t="shared" si="19"/>
        <v>#REF!</v>
      </c>
      <c r="AN48" s="112" t="str">
        <f t="shared" si="19"/>
        <v>#REF!</v>
      </c>
      <c r="AO48" s="112" t="str">
        <f t="shared" si="19"/>
        <v>#REF!</v>
      </c>
      <c r="AP48" s="112" t="str">
        <f t="shared" si="19"/>
        <v>#REF!</v>
      </c>
      <c r="AQ48" s="112" t="str">
        <f t="shared" si="19"/>
        <v>#REF!</v>
      </c>
      <c r="AR48" s="112" t="str">
        <f t="shared" si="19"/>
        <v>#REF!</v>
      </c>
      <c r="AS48" s="112" t="str">
        <f t="shared" si="19"/>
        <v>#REF!</v>
      </c>
      <c r="AT48" s="112" t="str">
        <f t="shared" si="19"/>
        <v>#REF!</v>
      </c>
      <c r="AU48" s="112" t="str">
        <f t="shared" si="19"/>
        <v>#REF!</v>
      </c>
      <c r="AV48" s="112" t="str">
        <f t="shared" si="19"/>
        <v>#REF!</v>
      </c>
      <c r="AW48" s="90"/>
      <c r="AX48" s="90"/>
      <c r="AY48" s="90"/>
      <c r="AZ48" s="90"/>
      <c r="BA48" s="90"/>
      <c r="BB48" s="90"/>
      <c r="BC48" s="90"/>
      <c r="BD48" s="90"/>
      <c r="BE48" s="90"/>
      <c r="BF48" s="90"/>
      <c r="BG48" s="90"/>
      <c r="BH48" s="90"/>
      <c r="BI48" s="90"/>
      <c r="BJ48" s="90"/>
      <c r="BK48" s="90"/>
      <c r="BL48" s="90"/>
      <c r="BM48" s="90"/>
      <c r="BN48" s="90"/>
      <c r="BO48" s="90"/>
      <c r="BP48" s="90"/>
    </row>
    <row r="49" ht="12.75" customHeight="1">
      <c r="A49" s="90"/>
      <c r="B49" s="90"/>
      <c r="C49" s="90"/>
      <c r="D49" s="90"/>
      <c r="E49" s="90"/>
      <c r="F49" s="90"/>
      <c r="G49" s="90"/>
      <c r="J49" s="102"/>
      <c r="K49" s="102"/>
      <c r="L49" s="102"/>
      <c r="M49" s="93"/>
      <c r="N49" s="93"/>
      <c r="O49" s="93"/>
      <c r="P49" s="93"/>
      <c r="Q49" s="93"/>
      <c r="R49" s="93"/>
      <c r="S49" s="93"/>
      <c r="T49" s="93"/>
      <c r="U49" s="93"/>
      <c r="V49" s="93"/>
      <c r="W49" s="93"/>
      <c r="X49" s="93"/>
      <c r="Y49" s="93"/>
      <c r="Z49" s="93"/>
      <c r="AA49" s="93"/>
      <c r="AB49" s="93"/>
      <c r="AC49" s="93"/>
      <c r="AD49" s="93"/>
      <c r="AE49" s="93"/>
      <c r="AF49" s="93"/>
      <c r="AG49" s="93"/>
      <c r="AH49" s="93"/>
      <c r="AI49" s="93"/>
      <c r="AJ49" s="93"/>
      <c r="AK49" s="93"/>
      <c r="AL49" s="93"/>
      <c r="AM49" s="93"/>
      <c r="AN49" s="93"/>
      <c r="AO49" s="93"/>
      <c r="AP49" s="93"/>
      <c r="AQ49" s="93"/>
      <c r="AR49" s="93"/>
      <c r="AS49" s="93"/>
      <c r="AT49" s="93"/>
      <c r="AU49" s="93"/>
      <c r="AV49" s="93"/>
      <c r="AW49" s="90"/>
      <c r="AX49" s="90"/>
      <c r="AY49" s="90"/>
      <c r="AZ49" s="90"/>
      <c r="BA49" s="90"/>
      <c r="BB49" s="90"/>
      <c r="BC49" s="90"/>
      <c r="BD49" s="90"/>
      <c r="BE49" s="90"/>
      <c r="BF49" s="90"/>
      <c r="BG49" s="90"/>
      <c r="BH49" s="90"/>
      <c r="BI49" s="90"/>
      <c r="BJ49" s="90"/>
      <c r="BK49" s="90"/>
      <c r="BL49" s="90"/>
      <c r="BM49" s="90"/>
      <c r="BN49" s="90"/>
      <c r="BO49" s="90"/>
      <c r="BP49" s="90"/>
    </row>
    <row r="50" ht="12.75" customHeight="1">
      <c r="A50" s="126" t="s">
        <v>561</v>
      </c>
      <c r="B50" s="298"/>
      <c r="C50" s="298"/>
      <c r="D50" s="298"/>
      <c r="E50" s="298"/>
      <c r="F50" s="298"/>
      <c r="G50" s="298"/>
      <c r="H50" s="128"/>
      <c r="I50" s="128"/>
      <c r="J50" s="128"/>
      <c r="K50" s="128">
        <f t="shared" ref="K50:AV50" si="20">K29-K48</f>
        <v>119936.58</v>
      </c>
      <c r="L50" s="128" t="str">
        <f t="shared" si="20"/>
        <v>#REF!</v>
      </c>
      <c r="M50" s="130" t="str">
        <f t="shared" si="20"/>
        <v>#REF!</v>
      </c>
      <c r="N50" s="130" t="str">
        <f t="shared" si="20"/>
        <v>#REF!</v>
      </c>
      <c r="O50" s="130" t="str">
        <f t="shared" si="20"/>
        <v>#REF!</v>
      </c>
      <c r="P50" s="130" t="str">
        <f t="shared" si="20"/>
        <v>#REF!</v>
      </c>
      <c r="Q50" s="130" t="str">
        <f t="shared" si="20"/>
        <v>#REF!</v>
      </c>
      <c r="R50" s="130" t="str">
        <f t="shared" si="20"/>
        <v>#REF!</v>
      </c>
      <c r="S50" s="130" t="str">
        <f t="shared" si="20"/>
        <v>#REF!</v>
      </c>
      <c r="T50" s="130" t="str">
        <f t="shared" si="20"/>
        <v>#REF!</v>
      </c>
      <c r="U50" s="130" t="str">
        <f t="shared" si="20"/>
        <v>#REF!</v>
      </c>
      <c r="V50" s="130" t="str">
        <f t="shared" si="20"/>
        <v>#REF!</v>
      </c>
      <c r="W50" s="130" t="str">
        <f t="shared" si="20"/>
        <v>#REF!</v>
      </c>
      <c r="X50" s="130" t="str">
        <f t="shared" si="20"/>
        <v>#REF!</v>
      </c>
      <c r="Y50" s="130" t="str">
        <f t="shared" si="20"/>
        <v>#REF!</v>
      </c>
      <c r="Z50" s="130" t="str">
        <f t="shared" si="20"/>
        <v>#REF!</v>
      </c>
      <c r="AA50" s="130" t="str">
        <f t="shared" si="20"/>
        <v>#REF!</v>
      </c>
      <c r="AB50" s="130" t="str">
        <f t="shared" si="20"/>
        <v>#REF!</v>
      </c>
      <c r="AC50" s="130" t="str">
        <f t="shared" si="20"/>
        <v>#REF!</v>
      </c>
      <c r="AD50" s="130" t="str">
        <f t="shared" si="20"/>
        <v>#REF!</v>
      </c>
      <c r="AE50" s="130" t="str">
        <f t="shared" si="20"/>
        <v>#REF!</v>
      </c>
      <c r="AF50" s="130" t="str">
        <f t="shared" si="20"/>
        <v>#REF!</v>
      </c>
      <c r="AG50" s="130" t="str">
        <f t="shared" si="20"/>
        <v>#REF!</v>
      </c>
      <c r="AH50" s="130" t="str">
        <f t="shared" si="20"/>
        <v>#REF!</v>
      </c>
      <c r="AI50" s="130" t="str">
        <f t="shared" si="20"/>
        <v>#REF!</v>
      </c>
      <c r="AJ50" s="130" t="str">
        <f t="shared" si="20"/>
        <v>#REF!</v>
      </c>
      <c r="AK50" s="130" t="str">
        <f t="shared" si="20"/>
        <v>#REF!</v>
      </c>
      <c r="AL50" s="130" t="str">
        <f t="shared" si="20"/>
        <v>#REF!</v>
      </c>
      <c r="AM50" s="130" t="str">
        <f t="shared" si="20"/>
        <v>#REF!</v>
      </c>
      <c r="AN50" s="130" t="str">
        <f t="shared" si="20"/>
        <v>#REF!</v>
      </c>
      <c r="AO50" s="130" t="str">
        <f t="shared" si="20"/>
        <v>#REF!</v>
      </c>
      <c r="AP50" s="130" t="str">
        <f t="shared" si="20"/>
        <v>#REF!</v>
      </c>
      <c r="AQ50" s="130" t="str">
        <f t="shared" si="20"/>
        <v>#REF!</v>
      </c>
      <c r="AR50" s="130" t="str">
        <f t="shared" si="20"/>
        <v>#REF!</v>
      </c>
      <c r="AS50" s="130" t="str">
        <f t="shared" si="20"/>
        <v>#REF!</v>
      </c>
      <c r="AT50" s="130" t="str">
        <f t="shared" si="20"/>
        <v>#REF!</v>
      </c>
      <c r="AU50" s="130" t="str">
        <f t="shared" si="20"/>
        <v>#REF!</v>
      </c>
      <c r="AV50" s="130" t="str">
        <f t="shared" si="20"/>
        <v>#REF!</v>
      </c>
      <c r="AW50" s="90"/>
      <c r="AX50" s="90"/>
      <c r="AY50" s="90"/>
      <c r="AZ50" s="90"/>
      <c r="BA50" s="90"/>
      <c r="BB50" s="90"/>
      <c r="BC50" s="90"/>
      <c r="BD50" s="90"/>
      <c r="BE50" s="90"/>
      <c r="BF50" s="90"/>
      <c r="BG50" s="90"/>
      <c r="BH50" s="90"/>
      <c r="BI50" s="90"/>
      <c r="BJ50" s="90"/>
      <c r="BK50" s="90"/>
      <c r="BL50" s="90"/>
      <c r="BM50" s="90"/>
      <c r="BN50" s="90"/>
      <c r="BO50" s="90"/>
      <c r="BP50" s="90"/>
    </row>
    <row r="51" ht="12.75" customHeight="1">
      <c r="A51" s="67" t="s">
        <v>195</v>
      </c>
      <c r="B51" s="90"/>
      <c r="C51" s="90"/>
      <c r="D51" s="90"/>
      <c r="E51" s="90"/>
      <c r="F51" s="90"/>
      <c r="G51" s="90"/>
      <c r="H51" s="79"/>
      <c r="I51" s="79"/>
      <c r="J51" s="79"/>
      <c r="K51" s="79">
        <f>K93</f>
        <v>115097.58</v>
      </c>
      <c r="L51" s="79" t="str">
        <f t="shared" ref="L51:AV51" si="21">K51+L50</f>
        <v>#REF!</v>
      </c>
      <c r="M51" s="115" t="str">
        <f t="shared" si="21"/>
        <v>#REF!</v>
      </c>
      <c r="N51" s="115" t="str">
        <f t="shared" si="21"/>
        <v>#REF!</v>
      </c>
      <c r="O51" s="115" t="str">
        <f t="shared" si="21"/>
        <v>#REF!</v>
      </c>
      <c r="P51" s="115" t="str">
        <f t="shared" si="21"/>
        <v>#REF!</v>
      </c>
      <c r="Q51" s="115" t="str">
        <f t="shared" si="21"/>
        <v>#REF!</v>
      </c>
      <c r="R51" s="115" t="str">
        <f t="shared" si="21"/>
        <v>#REF!</v>
      </c>
      <c r="S51" s="115" t="str">
        <f t="shared" si="21"/>
        <v>#REF!</v>
      </c>
      <c r="T51" s="115" t="str">
        <f t="shared" si="21"/>
        <v>#REF!</v>
      </c>
      <c r="U51" s="115" t="str">
        <f t="shared" si="21"/>
        <v>#REF!</v>
      </c>
      <c r="V51" s="115" t="str">
        <f t="shared" si="21"/>
        <v>#REF!</v>
      </c>
      <c r="W51" s="115" t="str">
        <f t="shared" si="21"/>
        <v>#REF!</v>
      </c>
      <c r="X51" s="115" t="str">
        <f t="shared" si="21"/>
        <v>#REF!</v>
      </c>
      <c r="Y51" s="115" t="str">
        <f t="shared" si="21"/>
        <v>#REF!</v>
      </c>
      <c r="Z51" s="115" t="str">
        <f t="shared" si="21"/>
        <v>#REF!</v>
      </c>
      <c r="AA51" s="115" t="str">
        <f t="shared" si="21"/>
        <v>#REF!</v>
      </c>
      <c r="AB51" s="115" t="str">
        <f t="shared" si="21"/>
        <v>#REF!</v>
      </c>
      <c r="AC51" s="115" t="str">
        <f t="shared" si="21"/>
        <v>#REF!</v>
      </c>
      <c r="AD51" s="115" t="str">
        <f t="shared" si="21"/>
        <v>#REF!</v>
      </c>
      <c r="AE51" s="115" t="str">
        <f t="shared" si="21"/>
        <v>#REF!</v>
      </c>
      <c r="AF51" s="115" t="str">
        <f t="shared" si="21"/>
        <v>#REF!</v>
      </c>
      <c r="AG51" s="115" t="str">
        <f t="shared" si="21"/>
        <v>#REF!</v>
      </c>
      <c r="AH51" s="115" t="str">
        <f t="shared" si="21"/>
        <v>#REF!</v>
      </c>
      <c r="AI51" s="115" t="str">
        <f t="shared" si="21"/>
        <v>#REF!</v>
      </c>
      <c r="AJ51" s="115" t="str">
        <f t="shared" si="21"/>
        <v>#REF!</v>
      </c>
      <c r="AK51" s="115" t="str">
        <f t="shared" si="21"/>
        <v>#REF!</v>
      </c>
      <c r="AL51" s="115" t="str">
        <f t="shared" si="21"/>
        <v>#REF!</v>
      </c>
      <c r="AM51" s="115" t="str">
        <f t="shared" si="21"/>
        <v>#REF!</v>
      </c>
      <c r="AN51" s="115" t="str">
        <f t="shared" si="21"/>
        <v>#REF!</v>
      </c>
      <c r="AO51" s="115" t="str">
        <f t="shared" si="21"/>
        <v>#REF!</v>
      </c>
      <c r="AP51" s="115" t="str">
        <f t="shared" si="21"/>
        <v>#REF!</v>
      </c>
      <c r="AQ51" s="115" t="str">
        <f t="shared" si="21"/>
        <v>#REF!</v>
      </c>
      <c r="AR51" s="115" t="str">
        <f t="shared" si="21"/>
        <v>#REF!</v>
      </c>
      <c r="AS51" s="115" t="str">
        <f t="shared" si="21"/>
        <v>#REF!</v>
      </c>
      <c r="AT51" s="115" t="str">
        <f t="shared" si="21"/>
        <v>#REF!</v>
      </c>
      <c r="AU51" s="115" t="str">
        <f t="shared" si="21"/>
        <v>#REF!</v>
      </c>
      <c r="AV51" s="115" t="str">
        <f t="shared" si="21"/>
        <v>#REF!</v>
      </c>
      <c r="AW51" s="90"/>
      <c r="AX51" s="90"/>
      <c r="AY51" s="90"/>
      <c r="AZ51" s="90"/>
      <c r="BA51" s="90"/>
      <c r="BB51" s="90"/>
      <c r="BC51" s="90"/>
      <c r="BD51" s="90"/>
      <c r="BE51" s="90"/>
      <c r="BF51" s="90"/>
      <c r="BG51" s="90"/>
      <c r="BH51" s="90"/>
      <c r="BI51" s="90"/>
      <c r="BJ51" s="90"/>
      <c r="BK51" s="90"/>
      <c r="BL51" s="90"/>
      <c r="BM51" s="90"/>
      <c r="BN51" s="90"/>
      <c r="BO51" s="90"/>
      <c r="BP51" s="90"/>
    </row>
    <row r="52" ht="12.75" customHeight="1">
      <c r="A52" s="67" t="s">
        <v>196</v>
      </c>
      <c r="B52" s="90"/>
      <c r="C52" s="90"/>
      <c r="D52" s="90"/>
      <c r="E52" s="90"/>
      <c r="F52" s="90"/>
      <c r="G52" s="90"/>
      <c r="H52" s="79"/>
      <c r="I52" s="79"/>
      <c r="J52" s="79"/>
      <c r="K52" s="79">
        <f t="shared" ref="K52:AV52" si="22">K77</f>
        <v>242669.38</v>
      </c>
      <c r="L52" s="79" t="str">
        <f t="shared" si="22"/>
        <v>#REF!</v>
      </c>
      <c r="M52" s="115" t="str">
        <f t="shared" si="22"/>
        <v>#REF!</v>
      </c>
      <c r="N52" s="115" t="str">
        <f t="shared" si="22"/>
        <v>#REF!</v>
      </c>
      <c r="O52" s="115" t="str">
        <f t="shared" si="22"/>
        <v>#REF!</v>
      </c>
      <c r="P52" s="115" t="str">
        <f t="shared" si="22"/>
        <v>#REF!</v>
      </c>
      <c r="Q52" s="115" t="str">
        <f t="shared" si="22"/>
        <v>#REF!</v>
      </c>
      <c r="R52" s="115" t="str">
        <f t="shared" si="22"/>
        <v>#REF!</v>
      </c>
      <c r="S52" s="115" t="str">
        <f t="shared" si="22"/>
        <v>#REF!</v>
      </c>
      <c r="T52" s="115" t="str">
        <f t="shared" si="22"/>
        <v>#REF!</v>
      </c>
      <c r="U52" s="115" t="str">
        <f t="shared" si="22"/>
        <v>#REF!</v>
      </c>
      <c r="V52" s="115" t="str">
        <f t="shared" si="22"/>
        <v>#REF!</v>
      </c>
      <c r="W52" s="115" t="str">
        <f t="shared" si="22"/>
        <v>#REF!</v>
      </c>
      <c r="X52" s="115" t="str">
        <f t="shared" si="22"/>
        <v>#REF!</v>
      </c>
      <c r="Y52" s="115" t="str">
        <f t="shared" si="22"/>
        <v>#REF!</v>
      </c>
      <c r="Z52" s="115" t="str">
        <f t="shared" si="22"/>
        <v>#REF!</v>
      </c>
      <c r="AA52" s="115" t="str">
        <f t="shared" si="22"/>
        <v>#REF!</v>
      </c>
      <c r="AB52" s="115" t="str">
        <f t="shared" si="22"/>
        <v>#REF!</v>
      </c>
      <c r="AC52" s="115" t="str">
        <f t="shared" si="22"/>
        <v>#REF!</v>
      </c>
      <c r="AD52" s="115" t="str">
        <f t="shared" si="22"/>
        <v>#REF!</v>
      </c>
      <c r="AE52" s="115" t="str">
        <f t="shared" si="22"/>
        <v>#REF!</v>
      </c>
      <c r="AF52" s="115" t="str">
        <f t="shared" si="22"/>
        <v>#REF!</v>
      </c>
      <c r="AG52" s="115" t="str">
        <f t="shared" si="22"/>
        <v>#REF!</v>
      </c>
      <c r="AH52" s="115" t="str">
        <f t="shared" si="22"/>
        <v>#REF!</v>
      </c>
      <c r="AI52" s="115" t="str">
        <f t="shared" si="22"/>
        <v>#REF!</v>
      </c>
      <c r="AJ52" s="115" t="str">
        <f t="shared" si="22"/>
        <v>#REF!</v>
      </c>
      <c r="AK52" s="115" t="str">
        <f t="shared" si="22"/>
        <v>#REF!</v>
      </c>
      <c r="AL52" s="115" t="str">
        <f t="shared" si="22"/>
        <v>#REF!</v>
      </c>
      <c r="AM52" s="115" t="str">
        <f t="shared" si="22"/>
        <v>#REF!</v>
      </c>
      <c r="AN52" s="115" t="str">
        <f t="shared" si="22"/>
        <v>#REF!</v>
      </c>
      <c r="AO52" s="115" t="str">
        <f t="shared" si="22"/>
        <v>#REF!</v>
      </c>
      <c r="AP52" s="115" t="str">
        <f t="shared" si="22"/>
        <v>#REF!</v>
      </c>
      <c r="AQ52" s="115" t="str">
        <f t="shared" si="22"/>
        <v>#REF!</v>
      </c>
      <c r="AR52" s="115" t="str">
        <f t="shared" si="22"/>
        <v>#REF!</v>
      </c>
      <c r="AS52" s="115" t="str">
        <f t="shared" si="22"/>
        <v>#REF!</v>
      </c>
      <c r="AT52" s="115" t="str">
        <f t="shared" si="22"/>
        <v>#REF!</v>
      </c>
      <c r="AU52" s="115" t="str">
        <f t="shared" si="22"/>
        <v>#REF!</v>
      </c>
      <c r="AV52" s="115" t="str">
        <f t="shared" si="22"/>
        <v>#REF!</v>
      </c>
      <c r="AW52" s="90"/>
      <c r="AX52" s="90"/>
      <c r="AY52" s="90"/>
      <c r="AZ52" s="90"/>
      <c r="BA52" s="90"/>
      <c r="BB52" s="90"/>
      <c r="BC52" s="90"/>
      <c r="BD52" s="90"/>
      <c r="BE52" s="90"/>
      <c r="BF52" s="90"/>
      <c r="BG52" s="90"/>
      <c r="BH52" s="90"/>
      <c r="BI52" s="90"/>
      <c r="BJ52" s="90"/>
      <c r="BK52" s="90"/>
      <c r="BL52" s="90"/>
      <c r="BM52" s="90"/>
      <c r="BN52" s="90"/>
      <c r="BO52" s="90"/>
      <c r="BP52" s="90"/>
    </row>
    <row r="53" ht="12.75" customHeight="1">
      <c r="A53" s="90"/>
      <c r="J53" s="99"/>
      <c r="K53" s="99"/>
      <c r="L53" s="99"/>
      <c r="M53" s="179"/>
      <c r="N53" s="179"/>
      <c r="O53" s="179"/>
      <c r="P53" s="179"/>
      <c r="Q53" s="179"/>
      <c r="R53" s="179"/>
      <c r="S53" s="179"/>
      <c r="T53" s="179"/>
      <c r="U53" s="179"/>
      <c r="V53" s="179"/>
      <c r="W53" s="179"/>
      <c r="X53" s="179"/>
      <c r="Y53" s="179"/>
      <c r="Z53" s="179"/>
      <c r="AA53" s="179"/>
      <c r="AB53" s="179"/>
      <c r="AC53" s="179"/>
      <c r="AD53" s="179"/>
      <c r="AE53" s="179"/>
      <c r="AF53" s="179"/>
      <c r="AG53" s="179"/>
      <c r="AH53" s="179"/>
      <c r="AI53" s="179"/>
      <c r="AJ53" s="179"/>
      <c r="AK53" s="93"/>
      <c r="AL53" s="93"/>
      <c r="AM53" s="93"/>
      <c r="AN53" s="93"/>
      <c r="AO53" s="93"/>
      <c r="AP53" s="93"/>
      <c r="AQ53" s="93"/>
      <c r="AR53" s="93"/>
      <c r="AS53" s="93"/>
      <c r="AT53" s="93"/>
      <c r="AU53" s="93"/>
      <c r="AV53" s="93"/>
      <c r="AW53" s="90"/>
      <c r="AX53" s="90"/>
      <c r="AY53" s="90"/>
      <c r="AZ53" s="90"/>
      <c r="BA53" s="90"/>
      <c r="BB53" s="90"/>
      <c r="BC53" s="90"/>
      <c r="BD53" s="90"/>
      <c r="BE53" s="90"/>
      <c r="BF53" s="90"/>
      <c r="BG53" s="90"/>
      <c r="BH53" s="90"/>
      <c r="BI53" s="90"/>
      <c r="BJ53" s="90"/>
      <c r="BK53" s="90"/>
      <c r="BL53" s="90"/>
      <c r="BM53" s="90"/>
      <c r="BN53" s="90"/>
      <c r="BO53" s="90"/>
      <c r="BP53" s="90"/>
    </row>
    <row r="54" ht="12.75" customHeight="1">
      <c r="A54" s="198" t="s">
        <v>562</v>
      </c>
      <c r="B54" s="253"/>
      <c r="C54" s="253"/>
      <c r="D54" s="253"/>
      <c r="E54" s="253"/>
      <c r="F54" s="253"/>
      <c r="G54" s="253"/>
      <c r="H54" s="287"/>
      <c r="I54" s="287"/>
      <c r="J54" s="288"/>
      <c r="K54" s="288"/>
      <c r="L54" s="288"/>
      <c r="M54" s="299"/>
      <c r="N54" s="299"/>
      <c r="O54" s="255"/>
      <c r="P54" s="255"/>
      <c r="Q54" s="255"/>
      <c r="R54" s="255"/>
      <c r="S54" s="255"/>
      <c r="T54" s="255"/>
      <c r="U54" s="255"/>
      <c r="V54" s="255"/>
      <c r="W54" s="255"/>
      <c r="X54" s="255"/>
      <c r="Y54" s="255"/>
      <c r="Z54" s="255"/>
      <c r="AA54" s="255"/>
      <c r="AB54" s="255"/>
      <c r="AC54" s="255"/>
      <c r="AD54" s="255"/>
      <c r="AE54" s="255"/>
      <c r="AF54" s="255"/>
      <c r="AG54" s="255"/>
      <c r="AH54" s="255"/>
      <c r="AI54" s="255"/>
      <c r="AJ54" s="255"/>
      <c r="AK54" s="255"/>
      <c r="AL54" s="255"/>
      <c r="AM54" s="255"/>
      <c r="AN54" s="255"/>
      <c r="AO54" s="255"/>
      <c r="AP54" s="255"/>
      <c r="AQ54" s="255"/>
      <c r="AR54" s="255"/>
      <c r="AS54" s="255"/>
      <c r="AT54" s="255"/>
      <c r="AU54" s="255"/>
      <c r="AV54" s="255"/>
      <c r="AW54" s="90"/>
      <c r="AX54" s="90"/>
      <c r="AY54" s="90"/>
      <c r="AZ54" s="90"/>
      <c r="BA54" s="90"/>
      <c r="BB54" s="90"/>
      <c r="BC54" s="90"/>
      <c r="BD54" s="90"/>
      <c r="BE54" s="90"/>
      <c r="BF54" s="90"/>
      <c r="BG54" s="90"/>
      <c r="BH54" s="90"/>
      <c r="BI54" s="90"/>
      <c r="BJ54" s="90"/>
      <c r="BK54" s="90"/>
      <c r="BL54" s="90"/>
      <c r="BM54" s="90"/>
      <c r="BN54" s="90"/>
      <c r="BO54" s="90"/>
      <c r="BP54" s="90"/>
    </row>
    <row r="55" ht="12.75" hidden="1" customHeight="1" outlineLevel="1">
      <c r="A55" s="206"/>
      <c r="B55" s="206" t="s">
        <v>464</v>
      </c>
      <c r="C55" s="201"/>
      <c r="D55" s="201"/>
      <c r="E55" s="201"/>
      <c r="F55" s="201"/>
      <c r="G55" s="201"/>
      <c r="H55" s="179"/>
      <c r="I55" s="179"/>
      <c r="J55" s="114"/>
      <c r="K55" s="114"/>
      <c r="L55" s="114"/>
      <c r="M55" s="115"/>
      <c r="N55" s="115"/>
      <c r="O55" s="115"/>
      <c r="P55" s="115"/>
      <c r="Q55" s="115"/>
      <c r="R55" s="115"/>
      <c r="S55" s="115"/>
      <c r="T55" s="115"/>
      <c r="U55" s="93"/>
      <c r="V55" s="93"/>
      <c r="W55" s="93"/>
      <c r="X55" s="93"/>
      <c r="Y55" s="93"/>
      <c r="Z55" s="93"/>
      <c r="AA55" s="93"/>
      <c r="AB55" s="93"/>
      <c r="AC55" s="93"/>
      <c r="AD55" s="93"/>
      <c r="AE55" s="93"/>
      <c r="AF55" s="93"/>
      <c r="AG55" s="93"/>
      <c r="AH55" s="93"/>
      <c r="AI55" s="93"/>
      <c r="AJ55" s="93"/>
      <c r="AK55" s="93"/>
      <c r="AL55" s="93"/>
      <c r="AM55" s="93"/>
      <c r="AN55" s="93"/>
      <c r="AO55" s="93"/>
      <c r="AP55" s="93"/>
      <c r="AQ55" s="93"/>
      <c r="AR55" s="93"/>
      <c r="AS55" s="93"/>
      <c r="AT55" s="93"/>
      <c r="AU55" s="93"/>
      <c r="AV55" s="93"/>
      <c r="AW55" s="90"/>
      <c r="AX55" s="90"/>
      <c r="AY55" s="90"/>
      <c r="AZ55" s="90"/>
      <c r="BA55" s="90"/>
      <c r="BB55" s="90"/>
      <c r="BC55" s="90"/>
      <c r="BD55" s="90"/>
      <c r="BE55" s="90"/>
      <c r="BF55" s="90"/>
      <c r="BG55" s="90"/>
      <c r="BH55" s="90"/>
      <c r="BI55" s="90"/>
      <c r="BJ55" s="90"/>
      <c r="BK55" s="90"/>
      <c r="BL55" s="90"/>
      <c r="BM55" s="90"/>
      <c r="BN55" s="90"/>
      <c r="BO55" s="90"/>
      <c r="BP55" s="90"/>
    </row>
    <row r="56" ht="12.75" hidden="1" customHeight="1" outlineLevel="1">
      <c r="A56" s="90"/>
      <c r="B56" s="64" t="s">
        <v>194</v>
      </c>
      <c r="C56" s="90"/>
      <c r="D56" s="90"/>
      <c r="E56" s="90"/>
      <c r="F56" s="90"/>
      <c r="G56" s="90"/>
      <c r="H56" s="179"/>
      <c r="I56" s="179"/>
      <c r="J56" s="147"/>
      <c r="K56" s="147">
        <f t="shared" ref="K56:AV56" si="23">K50</f>
        <v>119936.58</v>
      </c>
      <c r="L56" s="147" t="str">
        <f t="shared" si="23"/>
        <v>#REF!</v>
      </c>
      <c r="M56" s="93" t="str">
        <f t="shared" si="23"/>
        <v>#REF!</v>
      </c>
      <c r="N56" s="93" t="str">
        <f t="shared" si="23"/>
        <v>#REF!</v>
      </c>
      <c r="O56" s="93" t="str">
        <f t="shared" si="23"/>
        <v>#REF!</v>
      </c>
      <c r="P56" s="93" t="str">
        <f t="shared" si="23"/>
        <v>#REF!</v>
      </c>
      <c r="Q56" s="93" t="str">
        <f t="shared" si="23"/>
        <v>#REF!</v>
      </c>
      <c r="R56" s="93" t="str">
        <f t="shared" si="23"/>
        <v>#REF!</v>
      </c>
      <c r="S56" s="93" t="str">
        <f t="shared" si="23"/>
        <v>#REF!</v>
      </c>
      <c r="T56" s="93" t="str">
        <f t="shared" si="23"/>
        <v>#REF!</v>
      </c>
      <c r="U56" s="93" t="str">
        <f t="shared" si="23"/>
        <v>#REF!</v>
      </c>
      <c r="V56" s="93" t="str">
        <f t="shared" si="23"/>
        <v>#REF!</v>
      </c>
      <c r="W56" s="93" t="str">
        <f t="shared" si="23"/>
        <v>#REF!</v>
      </c>
      <c r="X56" s="93" t="str">
        <f t="shared" si="23"/>
        <v>#REF!</v>
      </c>
      <c r="Y56" s="93" t="str">
        <f t="shared" si="23"/>
        <v>#REF!</v>
      </c>
      <c r="Z56" s="93" t="str">
        <f t="shared" si="23"/>
        <v>#REF!</v>
      </c>
      <c r="AA56" s="93" t="str">
        <f t="shared" si="23"/>
        <v>#REF!</v>
      </c>
      <c r="AB56" s="93" t="str">
        <f t="shared" si="23"/>
        <v>#REF!</v>
      </c>
      <c r="AC56" s="93" t="str">
        <f t="shared" si="23"/>
        <v>#REF!</v>
      </c>
      <c r="AD56" s="93" t="str">
        <f t="shared" si="23"/>
        <v>#REF!</v>
      </c>
      <c r="AE56" s="93" t="str">
        <f t="shared" si="23"/>
        <v>#REF!</v>
      </c>
      <c r="AF56" s="93" t="str">
        <f t="shared" si="23"/>
        <v>#REF!</v>
      </c>
      <c r="AG56" s="93" t="str">
        <f t="shared" si="23"/>
        <v>#REF!</v>
      </c>
      <c r="AH56" s="93" t="str">
        <f t="shared" si="23"/>
        <v>#REF!</v>
      </c>
      <c r="AI56" s="93" t="str">
        <f t="shared" si="23"/>
        <v>#REF!</v>
      </c>
      <c r="AJ56" s="93" t="str">
        <f t="shared" si="23"/>
        <v>#REF!</v>
      </c>
      <c r="AK56" s="93" t="str">
        <f t="shared" si="23"/>
        <v>#REF!</v>
      </c>
      <c r="AL56" s="93" t="str">
        <f t="shared" si="23"/>
        <v>#REF!</v>
      </c>
      <c r="AM56" s="93" t="str">
        <f t="shared" si="23"/>
        <v>#REF!</v>
      </c>
      <c r="AN56" s="93" t="str">
        <f t="shared" si="23"/>
        <v>#REF!</v>
      </c>
      <c r="AO56" s="93" t="str">
        <f t="shared" si="23"/>
        <v>#REF!</v>
      </c>
      <c r="AP56" s="93" t="str">
        <f t="shared" si="23"/>
        <v>#REF!</v>
      </c>
      <c r="AQ56" s="93" t="str">
        <f t="shared" si="23"/>
        <v>#REF!</v>
      </c>
      <c r="AR56" s="93" t="str">
        <f t="shared" si="23"/>
        <v>#REF!</v>
      </c>
      <c r="AS56" s="93" t="str">
        <f t="shared" si="23"/>
        <v>#REF!</v>
      </c>
      <c r="AT56" s="93" t="str">
        <f t="shared" si="23"/>
        <v>#REF!</v>
      </c>
      <c r="AU56" s="93" t="str">
        <f t="shared" si="23"/>
        <v>#REF!</v>
      </c>
      <c r="AV56" s="93" t="str">
        <f t="shared" si="23"/>
        <v>#REF!</v>
      </c>
      <c r="AW56" s="90"/>
      <c r="AX56" s="90"/>
      <c r="AY56" s="90"/>
      <c r="AZ56" s="90"/>
      <c r="BA56" s="90"/>
      <c r="BB56" s="90"/>
      <c r="BC56" s="90"/>
      <c r="BD56" s="90"/>
      <c r="BE56" s="90"/>
      <c r="BF56" s="90"/>
      <c r="BG56" s="90"/>
      <c r="BH56" s="90"/>
      <c r="BI56" s="90"/>
      <c r="BJ56" s="90"/>
      <c r="BK56" s="90"/>
      <c r="BL56" s="90"/>
      <c r="BM56" s="90"/>
      <c r="BN56" s="90"/>
      <c r="BO56" s="90"/>
      <c r="BP56" s="90"/>
    </row>
    <row r="57" ht="12.75" hidden="1" customHeight="1" outlineLevel="1">
      <c r="A57" s="90"/>
      <c r="B57" s="64" t="s">
        <v>465</v>
      </c>
      <c r="C57" s="90"/>
      <c r="D57" s="90"/>
      <c r="E57" s="90"/>
      <c r="F57" s="90"/>
      <c r="G57" s="90"/>
      <c r="H57" s="179"/>
      <c r="I57" s="179"/>
      <c r="J57" s="99"/>
      <c r="K57" s="99">
        <f>'RS1'!J405+'RS2'!J405+'RS3'!J402+K345</f>
        <v>44042.09</v>
      </c>
      <c r="L57" s="99">
        <f>L46</f>
        <v>2994.32</v>
      </c>
      <c r="M57" s="93">
        <f>'RS1'!L405+'RS2'!L405+'RS3'!L402+M345</f>
        <v>2994.32</v>
      </c>
      <c r="N57" s="93">
        <f>'RS1'!M405+'RS2'!M405+'RS3'!M402+N345</f>
        <v>2994.32</v>
      </c>
      <c r="O57" s="93">
        <f>'RS1'!N405+'RS2'!N405+'RS3'!N402+O345</f>
        <v>5494.33</v>
      </c>
      <c r="P57" s="93">
        <f>'RS1'!O405+'RS2'!O405+'RS3'!O402+P345</f>
        <v>5494.33</v>
      </c>
      <c r="Q57" s="93">
        <f>'RS1'!P405+'RS2'!P405+'RS3'!P402+Q345</f>
        <v>0</v>
      </c>
      <c r="R57" s="93">
        <f>'RS1'!Q405+'RS2'!Q405+'RS3'!Q402+R345</f>
        <v>0</v>
      </c>
      <c r="S57" s="93">
        <f>'RS1'!R405+'RS2'!R405+'RS3'!R402+S345</f>
        <v>0</v>
      </c>
      <c r="T57" s="93">
        <f>'RS1'!S405+'RS2'!S405+'RS3'!S402+T345</f>
        <v>0</v>
      </c>
      <c r="U57" s="93">
        <f>'RS1'!T405+'RS2'!T405+'RS3'!T402+U345</f>
        <v>0</v>
      </c>
      <c r="V57" s="93">
        <f>'RS1'!U405+'RS2'!U405+'RS3'!U402+V345</f>
        <v>0</v>
      </c>
      <c r="W57" s="93">
        <f>'RS1'!V405+'RS2'!V405+'RS3'!V402+W345</f>
        <v>0</v>
      </c>
      <c r="X57" s="93">
        <f>'RS1'!W405+'RS2'!W405+'RS3'!W402+X345</f>
        <v>0</v>
      </c>
      <c r="Y57" s="93">
        <f>'RS1'!X405+'RS2'!X405+'RS3'!X402+Y345</f>
        <v>0</v>
      </c>
      <c r="Z57" s="93">
        <f>'RS1'!Y405+'RS2'!Y405+'RS3'!Y402+Z345</f>
        <v>0</v>
      </c>
      <c r="AA57" s="93">
        <f>'RS1'!Z405+'RS2'!Z405+'RS3'!Z402+AA345</f>
        <v>0</v>
      </c>
      <c r="AB57" s="93">
        <f>'RS1'!AA405+'RS2'!AA405+'RS3'!AA402+AB345</f>
        <v>0</v>
      </c>
      <c r="AC57" s="93">
        <f>'RS1'!AB405+'RS2'!AB405+'RS3'!AB402+AC345</f>
        <v>0</v>
      </c>
      <c r="AD57" s="93">
        <f>'RS1'!AC405+'RS2'!AC405+'RS3'!AC402+AD345</f>
        <v>0</v>
      </c>
      <c r="AE57" s="93">
        <f>'RS1'!AD405+'RS2'!AD405+'RS3'!AD402+AE345</f>
        <v>0</v>
      </c>
      <c r="AF57" s="93">
        <f>'RS1'!AE405+'RS2'!AE405+'RS3'!AE402+AF345</f>
        <v>0</v>
      </c>
      <c r="AG57" s="93">
        <f>'RS1'!AF405+'RS2'!AF405+'RS3'!AF402+AG345</f>
        <v>0</v>
      </c>
      <c r="AH57" s="93">
        <f>'RS1'!AG405+'RS2'!AG405+'RS3'!AG402+AH345</f>
        <v>0</v>
      </c>
      <c r="AI57" s="93">
        <f>'RS1'!AH405+'RS2'!AH405+'RS3'!AH402+AI345</f>
        <v>0</v>
      </c>
      <c r="AJ57" s="93">
        <f>'RS1'!AI405+'RS2'!AI405+'RS3'!AI402+AJ345</f>
        <v>0</v>
      </c>
      <c r="AK57" s="93">
        <f>'RS1'!AJ405+'RS2'!AJ405+'RS3'!AJ402+AK345</f>
        <v>0</v>
      </c>
      <c r="AL57" s="93">
        <f>'RS1'!AK405+'RS2'!AK405+'RS3'!AK402+AL345</f>
        <v>0</v>
      </c>
      <c r="AM57" s="93">
        <f>'RS1'!AL405+'RS2'!AL405+'RS3'!AL402+AM345</f>
        <v>0</v>
      </c>
      <c r="AN57" s="93">
        <f>'RS1'!AM405+'RS2'!AM405+'RS3'!AM402+AN345</f>
        <v>0</v>
      </c>
      <c r="AO57" s="93">
        <f>'RS1'!AN405+'RS2'!AN405+'RS3'!AN402+AO345</f>
        <v>0</v>
      </c>
      <c r="AP57" s="93" t="str">
        <f>'RS1'!AO405+'RS2'!AO405+'RS3'!AO402+AP345</f>
        <v>#REF!</v>
      </c>
      <c r="AQ57" s="93" t="str">
        <f>'RS1'!AP405+'RS2'!AP405+'RS3'!AP402+AQ345</f>
        <v>#REF!</v>
      </c>
      <c r="AR57" s="93" t="str">
        <f>'RS1'!AQ405+'RS2'!AQ405+'RS3'!AQ402+AR345</f>
        <v>#REF!</v>
      </c>
      <c r="AS57" s="93" t="str">
        <f>'RS1'!AR405+'RS2'!AR405+'RS3'!AR402+AS345</f>
        <v>#REF!</v>
      </c>
      <c r="AT57" s="93" t="str">
        <f>'RS1'!AS405+'RS2'!AS405+'RS3'!AS402+AT345</f>
        <v>#REF!</v>
      </c>
      <c r="AU57" s="93" t="str">
        <f>'RS1'!AT405+'RS2'!AT405+'RS3'!AT402+AU345</f>
        <v>#REF!</v>
      </c>
      <c r="AV57" s="93" t="str">
        <f>'RS1'!AU405+'RS2'!AU405+'RS3'!AU402+AV345</f>
        <v>#REF!</v>
      </c>
      <c r="AW57" s="90"/>
      <c r="AX57" s="90"/>
      <c r="AY57" s="90"/>
      <c r="AZ57" s="90"/>
      <c r="BA57" s="90"/>
      <c r="BB57" s="90"/>
      <c r="BC57" s="90"/>
      <c r="BD57" s="90"/>
      <c r="BE57" s="90"/>
      <c r="BF57" s="90"/>
      <c r="BG57" s="90"/>
      <c r="BH57" s="90"/>
      <c r="BI57" s="90"/>
      <c r="BJ57" s="90"/>
      <c r="BK57" s="90"/>
      <c r="BL57" s="90"/>
      <c r="BM57" s="90"/>
      <c r="BN57" s="90"/>
      <c r="BO57" s="90"/>
      <c r="BP57" s="90"/>
    </row>
    <row r="58" ht="12.75" hidden="1" customHeight="1" outlineLevel="1">
      <c r="A58" s="90"/>
      <c r="B58" s="64" t="s">
        <v>467</v>
      </c>
      <c r="C58" s="90"/>
      <c r="D58" s="90"/>
      <c r="E58" s="90"/>
      <c r="F58" s="90"/>
      <c r="G58" s="90"/>
      <c r="H58" s="179"/>
      <c r="I58" s="179"/>
      <c r="J58" s="99"/>
      <c r="K58" s="99">
        <v>-602137.95</v>
      </c>
      <c r="L58" s="99" t="str">
        <f>L90-K90+K84-L84+K86-L86+L91-K91+L92-K92-L74</f>
        <v>#REF!</v>
      </c>
      <c r="M58" s="93" t="str">
        <f t="shared" ref="M58:AL58" si="24">M90-L90+L84-M84+L86-M86</f>
        <v>#REF!</v>
      </c>
      <c r="N58" s="93" t="str">
        <f t="shared" si="24"/>
        <v>#REF!</v>
      </c>
      <c r="O58" s="93" t="str">
        <f t="shared" si="24"/>
        <v>#REF!</v>
      </c>
      <c r="P58" s="93" t="str">
        <f t="shared" si="24"/>
        <v>#REF!</v>
      </c>
      <c r="Q58" s="93" t="str">
        <f t="shared" si="24"/>
        <v>#REF!</v>
      </c>
      <c r="R58" s="93" t="str">
        <f t="shared" si="24"/>
        <v>#REF!</v>
      </c>
      <c r="S58" s="93" t="str">
        <f t="shared" si="24"/>
        <v>#REF!</v>
      </c>
      <c r="T58" s="93" t="str">
        <f t="shared" si="24"/>
        <v>#REF!</v>
      </c>
      <c r="U58" s="93" t="str">
        <f t="shared" si="24"/>
        <v>#REF!</v>
      </c>
      <c r="V58" s="93" t="str">
        <f t="shared" si="24"/>
        <v>#REF!</v>
      </c>
      <c r="W58" s="93" t="str">
        <f t="shared" si="24"/>
        <v>#REF!</v>
      </c>
      <c r="X58" s="93" t="str">
        <f t="shared" si="24"/>
        <v>#REF!</v>
      </c>
      <c r="Y58" s="93" t="str">
        <f t="shared" si="24"/>
        <v>#REF!</v>
      </c>
      <c r="Z58" s="93" t="str">
        <f t="shared" si="24"/>
        <v>#REF!</v>
      </c>
      <c r="AA58" s="93" t="str">
        <f t="shared" si="24"/>
        <v>#REF!</v>
      </c>
      <c r="AB58" s="93" t="str">
        <f t="shared" si="24"/>
        <v>#REF!</v>
      </c>
      <c r="AC58" s="93" t="str">
        <f t="shared" si="24"/>
        <v>#REF!</v>
      </c>
      <c r="AD58" s="93" t="str">
        <f t="shared" si="24"/>
        <v>#REF!</v>
      </c>
      <c r="AE58" s="93" t="str">
        <f t="shared" si="24"/>
        <v>#REF!</v>
      </c>
      <c r="AF58" s="93" t="str">
        <f t="shared" si="24"/>
        <v>#REF!</v>
      </c>
      <c r="AG58" s="93" t="str">
        <f t="shared" si="24"/>
        <v>#REF!</v>
      </c>
      <c r="AH58" s="93" t="str">
        <f t="shared" si="24"/>
        <v>#REF!</v>
      </c>
      <c r="AI58" s="93" t="str">
        <f t="shared" si="24"/>
        <v>#REF!</v>
      </c>
      <c r="AJ58" s="93" t="str">
        <f t="shared" si="24"/>
        <v>#REF!</v>
      </c>
      <c r="AK58" s="93" t="str">
        <f t="shared" si="24"/>
        <v>#REF!</v>
      </c>
      <c r="AL58" s="93" t="str">
        <f t="shared" si="24"/>
        <v>#REF!</v>
      </c>
      <c r="AM58" s="93" t="str">
        <f t="shared" ref="AM58:AV58" si="25">AM90-AL90+AL84-AM84</f>
        <v>#REF!</v>
      </c>
      <c r="AN58" s="93" t="str">
        <f t="shared" si="25"/>
        <v>#REF!</v>
      </c>
      <c r="AO58" s="93" t="str">
        <f t="shared" si="25"/>
        <v>#REF!</v>
      </c>
      <c r="AP58" s="93" t="str">
        <f t="shared" si="25"/>
        <v>#REF!</v>
      </c>
      <c r="AQ58" s="93" t="str">
        <f t="shared" si="25"/>
        <v>#REF!</v>
      </c>
      <c r="AR58" s="93" t="str">
        <f t="shared" si="25"/>
        <v>#REF!</v>
      </c>
      <c r="AS58" s="93" t="str">
        <f t="shared" si="25"/>
        <v>#REF!</v>
      </c>
      <c r="AT58" s="93" t="str">
        <f t="shared" si="25"/>
        <v>#REF!</v>
      </c>
      <c r="AU58" s="93" t="str">
        <f t="shared" si="25"/>
        <v>#REF!</v>
      </c>
      <c r="AV58" s="93" t="str">
        <f t="shared" si="25"/>
        <v>#REF!</v>
      </c>
      <c r="AW58" s="90"/>
      <c r="AX58" s="90"/>
      <c r="AY58" s="90"/>
      <c r="AZ58" s="90"/>
      <c r="BA58" s="90"/>
      <c r="BB58" s="90"/>
      <c r="BC58" s="90"/>
      <c r="BD58" s="90"/>
      <c r="BE58" s="90"/>
      <c r="BF58" s="90"/>
      <c r="BG58" s="90"/>
      <c r="BH58" s="90"/>
      <c r="BI58" s="90"/>
      <c r="BJ58" s="90"/>
      <c r="BK58" s="90"/>
      <c r="BL58" s="90"/>
      <c r="BM58" s="90"/>
      <c r="BN58" s="90"/>
      <c r="BO58" s="90"/>
      <c r="BP58" s="90"/>
    </row>
    <row r="59" ht="12.75" hidden="1" customHeight="1" outlineLevel="1">
      <c r="A59" s="90"/>
      <c r="B59" s="64" t="s">
        <v>468</v>
      </c>
      <c r="C59" s="90"/>
      <c r="D59" s="90"/>
      <c r="E59" s="90"/>
      <c r="F59" s="90"/>
      <c r="G59" s="90"/>
      <c r="H59" s="179"/>
      <c r="I59" s="179"/>
      <c r="J59" s="99"/>
      <c r="K59" s="99">
        <v>-43083.92</v>
      </c>
      <c r="L59" s="99">
        <v>0.0</v>
      </c>
      <c r="M59" s="93">
        <v>0.0</v>
      </c>
      <c r="N59" s="93">
        <v>0.0</v>
      </c>
      <c r="O59" s="93">
        <v>0.0</v>
      </c>
      <c r="P59" s="93">
        <v>0.0</v>
      </c>
      <c r="Q59" s="93">
        <v>0.0</v>
      </c>
      <c r="R59" s="93">
        <v>0.0</v>
      </c>
      <c r="S59" s="93">
        <v>0.0</v>
      </c>
      <c r="T59" s="93">
        <v>0.0</v>
      </c>
      <c r="U59" s="93">
        <v>0.0</v>
      </c>
      <c r="V59" s="93">
        <v>0.0</v>
      </c>
      <c r="W59" s="93">
        <v>0.0</v>
      </c>
      <c r="X59" s="93">
        <v>0.0</v>
      </c>
      <c r="Y59" s="93">
        <v>0.0</v>
      </c>
      <c r="Z59" s="93">
        <v>0.0</v>
      </c>
      <c r="AA59" s="93">
        <v>0.0</v>
      </c>
      <c r="AB59" s="93">
        <v>0.0</v>
      </c>
      <c r="AC59" s="93">
        <v>0.0</v>
      </c>
      <c r="AD59" s="93">
        <v>0.0</v>
      </c>
      <c r="AE59" s="93">
        <v>0.0</v>
      </c>
      <c r="AF59" s="93">
        <v>0.0</v>
      </c>
      <c r="AG59" s="93">
        <v>0.0</v>
      </c>
      <c r="AH59" s="93">
        <v>0.0</v>
      </c>
      <c r="AI59" s="93">
        <v>0.0</v>
      </c>
      <c r="AJ59" s="93">
        <v>0.0</v>
      </c>
      <c r="AK59" s="93">
        <v>0.0</v>
      </c>
      <c r="AL59" s="93">
        <v>0.0</v>
      </c>
      <c r="AM59" s="93">
        <v>0.0</v>
      </c>
      <c r="AN59" s="93">
        <v>0.0</v>
      </c>
      <c r="AO59" s="93">
        <v>0.0</v>
      </c>
      <c r="AP59" s="93">
        <v>0.0</v>
      </c>
      <c r="AQ59" s="93">
        <v>0.0</v>
      </c>
      <c r="AR59" s="93">
        <v>0.0</v>
      </c>
      <c r="AS59" s="93">
        <v>0.0</v>
      </c>
      <c r="AT59" s="93">
        <v>0.0</v>
      </c>
      <c r="AU59" s="93">
        <v>0.0</v>
      </c>
      <c r="AV59" s="93">
        <v>0.0</v>
      </c>
      <c r="AW59" s="90"/>
      <c r="AX59" s="90"/>
      <c r="AY59" s="90"/>
      <c r="AZ59" s="90"/>
      <c r="BA59" s="90"/>
      <c r="BB59" s="90"/>
      <c r="BC59" s="90"/>
      <c r="BD59" s="90"/>
      <c r="BE59" s="90"/>
      <c r="BF59" s="90"/>
      <c r="BG59" s="90"/>
      <c r="BH59" s="90"/>
      <c r="BI59" s="90"/>
      <c r="BJ59" s="90"/>
      <c r="BK59" s="90"/>
      <c r="BL59" s="90"/>
      <c r="BM59" s="90"/>
      <c r="BN59" s="90"/>
      <c r="BO59" s="90"/>
      <c r="BP59" s="90"/>
    </row>
    <row r="60" ht="12.75" hidden="1" customHeight="1" outlineLevel="1">
      <c r="A60" s="90"/>
      <c r="B60" s="134" t="s">
        <v>469</v>
      </c>
      <c r="C60" s="148"/>
      <c r="D60" s="148"/>
      <c r="E60" s="148"/>
      <c r="F60" s="148"/>
      <c r="G60" s="148"/>
      <c r="H60" s="300"/>
      <c r="I60" s="300"/>
      <c r="J60" s="251"/>
      <c r="K60" s="251">
        <f t="shared" ref="K60:AV60" si="26">SUM(K56:K59)</f>
        <v>-481243.2</v>
      </c>
      <c r="L60" s="251" t="str">
        <f t="shared" si="26"/>
        <v>#REF!</v>
      </c>
      <c r="M60" s="151" t="str">
        <f t="shared" si="26"/>
        <v>#REF!</v>
      </c>
      <c r="N60" s="151" t="str">
        <f t="shared" si="26"/>
        <v>#REF!</v>
      </c>
      <c r="O60" s="151" t="str">
        <f t="shared" si="26"/>
        <v>#REF!</v>
      </c>
      <c r="P60" s="151" t="str">
        <f t="shared" si="26"/>
        <v>#REF!</v>
      </c>
      <c r="Q60" s="151" t="str">
        <f t="shared" si="26"/>
        <v>#REF!</v>
      </c>
      <c r="R60" s="151" t="str">
        <f t="shared" si="26"/>
        <v>#REF!</v>
      </c>
      <c r="S60" s="151" t="str">
        <f t="shared" si="26"/>
        <v>#REF!</v>
      </c>
      <c r="T60" s="151" t="str">
        <f t="shared" si="26"/>
        <v>#REF!</v>
      </c>
      <c r="U60" s="151" t="str">
        <f t="shared" si="26"/>
        <v>#REF!</v>
      </c>
      <c r="V60" s="151" t="str">
        <f t="shared" si="26"/>
        <v>#REF!</v>
      </c>
      <c r="W60" s="151" t="str">
        <f t="shared" si="26"/>
        <v>#REF!</v>
      </c>
      <c r="X60" s="151" t="str">
        <f t="shared" si="26"/>
        <v>#REF!</v>
      </c>
      <c r="Y60" s="151" t="str">
        <f t="shared" si="26"/>
        <v>#REF!</v>
      </c>
      <c r="Z60" s="151" t="str">
        <f t="shared" si="26"/>
        <v>#REF!</v>
      </c>
      <c r="AA60" s="151" t="str">
        <f t="shared" si="26"/>
        <v>#REF!</v>
      </c>
      <c r="AB60" s="151" t="str">
        <f t="shared" si="26"/>
        <v>#REF!</v>
      </c>
      <c r="AC60" s="151" t="str">
        <f t="shared" si="26"/>
        <v>#REF!</v>
      </c>
      <c r="AD60" s="151" t="str">
        <f t="shared" si="26"/>
        <v>#REF!</v>
      </c>
      <c r="AE60" s="151" t="str">
        <f t="shared" si="26"/>
        <v>#REF!</v>
      </c>
      <c r="AF60" s="151" t="str">
        <f t="shared" si="26"/>
        <v>#REF!</v>
      </c>
      <c r="AG60" s="151" t="str">
        <f t="shared" si="26"/>
        <v>#REF!</v>
      </c>
      <c r="AH60" s="151" t="str">
        <f t="shared" si="26"/>
        <v>#REF!</v>
      </c>
      <c r="AI60" s="151" t="str">
        <f t="shared" si="26"/>
        <v>#REF!</v>
      </c>
      <c r="AJ60" s="151" t="str">
        <f t="shared" si="26"/>
        <v>#REF!</v>
      </c>
      <c r="AK60" s="151" t="str">
        <f t="shared" si="26"/>
        <v>#REF!</v>
      </c>
      <c r="AL60" s="151" t="str">
        <f t="shared" si="26"/>
        <v>#REF!</v>
      </c>
      <c r="AM60" s="151" t="str">
        <f t="shared" si="26"/>
        <v>#REF!</v>
      </c>
      <c r="AN60" s="151" t="str">
        <f t="shared" si="26"/>
        <v>#REF!</v>
      </c>
      <c r="AO60" s="151" t="str">
        <f t="shared" si="26"/>
        <v>#REF!</v>
      </c>
      <c r="AP60" s="151" t="str">
        <f t="shared" si="26"/>
        <v>#REF!</v>
      </c>
      <c r="AQ60" s="151" t="str">
        <f t="shared" si="26"/>
        <v>#REF!</v>
      </c>
      <c r="AR60" s="151" t="str">
        <f t="shared" si="26"/>
        <v>#REF!</v>
      </c>
      <c r="AS60" s="151" t="str">
        <f t="shared" si="26"/>
        <v>#REF!</v>
      </c>
      <c r="AT60" s="151" t="str">
        <f t="shared" si="26"/>
        <v>#REF!</v>
      </c>
      <c r="AU60" s="151" t="str">
        <f t="shared" si="26"/>
        <v>#REF!</v>
      </c>
      <c r="AV60" s="151" t="str">
        <f t="shared" si="26"/>
        <v>#REF!</v>
      </c>
      <c r="AW60" s="90"/>
      <c r="AX60" s="90"/>
      <c r="AY60" s="90"/>
      <c r="AZ60" s="90"/>
      <c r="BA60" s="90"/>
      <c r="BB60" s="90"/>
      <c r="BC60" s="90"/>
      <c r="BD60" s="90"/>
      <c r="BE60" s="90"/>
      <c r="BF60" s="90"/>
      <c r="BG60" s="90"/>
      <c r="BH60" s="90"/>
      <c r="BI60" s="90"/>
      <c r="BJ60" s="90"/>
      <c r="BK60" s="90"/>
      <c r="BL60" s="90"/>
      <c r="BM60" s="90"/>
      <c r="BN60" s="90"/>
      <c r="BO60" s="90"/>
      <c r="BP60" s="90"/>
    </row>
    <row r="61" ht="12.75" hidden="1" customHeight="1" outlineLevel="1">
      <c r="A61" s="90"/>
      <c r="B61" s="67"/>
      <c r="C61" s="90"/>
      <c r="D61" s="90"/>
      <c r="E61" s="90"/>
      <c r="F61" s="90"/>
      <c r="G61" s="90"/>
      <c r="H61" s="179"/>
      <c r="I61" s="179"/>
      <c r="J61" s="147"/>
      <c r="K61" s="147"/>
      <c r="L61" s="147"/>
      <c r="M61" s="93"/>
      <c r="N61" s="93"/>
      <c r="O61" s="93"/>
      <c r="P61" s="93"/>
      <c r="Q61" s="93"/>
      <c r="R61" s="93"/>
      <c r="S61" s="93"/>
      <c r="T61" s="93"/>
      <c r="U61" s="93"/>
      <c r="V61" s="93"/>
      <c r="W61" s="93"/>
      <c r="X61" s="93"/>
      <c r="Y61" s="93"/>
      <c r="Z61" s="93"/>
      <c r="AA61" s="93"/>
      <c r="AB61" s="93"/>
      <c r="AC61" s="93"/>
      <c r="AD61" s="93"/>
      <c r="AE61" s="93"/>
      <c r="AF61" s="93"/>
      <c r="AG61" s="93"/>
      <c r="AH61" s="93"/>
      <c r="AI61" s="93"/>
      <c r="AJ61" s="93"/>
      <c r="AK61" s="93"/>
      <c r="AL61" s="93"/>
      <c r="AM61" s="93"/>
      <c r="AN61" s="93"/>
      <c r="AO61" s="93"/>
      <c r="AP61" s="93"/>
      <c r="AQ61" s="93"/>
      <c r="AR61" s="93"/>
      <c r="AS61" s="93"/>
      <c r="AT61" s="93"/>
      <c r="AU61" s="93"/>
      <c r="AV61" s="93"/>
      <c r="AW61" s="90"/>
      <c r="AX61" s="90"/>
      <c r="AY61" s="90"/>
      <c r="AZ61" s="90"/>
      <c r="BA61" s="90"/>
      <c r="BB61" s="90"/>
      <c r="BC61" s="90"/>
      <c r="BD61" s="90"/>
      <c r="BE61" s="90"/>
      <c r="BF61" s="90"/>
      <c r="BG61" s="90"/>
      <c r="BH61" s="90"/>
      <c r="BI61" s="90"/>
      <c r="BJ61" s="90"/>
      <c r="BK61" s="90"/>
      <c r="BL61" s="90"/>
      <c r="BM61" s="90"/>
      <c r="BN61" s="90"/>
      <c r="BO61" s="90"/>
      <c r="BP61" s="90"/>
    </row>
    <row r="62" ht="12.75" hidden="1" customHeight="1" outlineLevel="1">
      <c r="A62" s="90"/>
      <c r="B62" s="206" t="s">
        <v>470</v>
      </c>
      <c r="C62" s="90"/>
      <c r="D62" s="90"/>
      <c r="E62" s="90"/>
      <c r="F62" s="90"/>
      <c r="G62" s="90"/>
      <c r="H62" s="179"/>
      <c r="I62" s="179"/>
      <c r="J62" s="114"/>
      <c r="K62" s="114"/>
      <c r="L62" s="114"/>
      <c r="M62" s="115"/>
      <c r="N62" s="115"/>
      <c r="O62" s="115"/>
      <c r="P62" s="115"/>
      <c r="Q62" s="115"/>
      <c r="R62" s="115"/>
      <c r="S62" s="115"/>
      <c r="T62" s="115"/>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90"/>
      <c r="AX62" s="90"/>
      <c r="AY62" s="90"/>
      <c r="AZ62" s="90"/>
      <c r="BA62" s="90"/>
      <c r="BB62" s="90"/>
      <c r="BC62" s="90"/>
      <c r="BD62" s="90"/>
      <c r="BE62" s="90"/>
      <c r="BF62" s="90"/>
      <c r="BG62" s="90"/>
      <c r="BH62" s="90"/>
      <c r="BI62" s="90"/>
      <c r="BJ62" s="90"/>
      <c r="BK62" s="90"/>
      <c r="BL62" s="90"/>
      <c r="BM62" s="90"/>
      <c r="BN62" s="90"/>
      <c r="BO62" s="90"/>
      <c r="BP62" s="90"/>
    </row>
    <row r="63" ht="12.75" hidden="1" customHeight="1" outlineLevel="1">
      <c r="A63" s="90"/>
      <c r="B63" s="64" t="s">
        <v>563</v>
      </c>
      <c r="C63" s="90"/>
      <c r="D63" s="90"/>
      <c r="E63" s="90"/>
      <c r="F63" s="90"/>
      <c r="G63" s="90"/>
      <c r="H63" s="179"/>
      <c r="I63" s="179"/>
      <c r="J63" s="99"/>
      <c r="K63" s="99">
        <f>'RS1'!J412+'RS2'!J412+'RS3'!J410+K371</f>
        <v>26918.83</v>
      </c>
      <c r="L63" s="147" t="str">
        <f>'RS1'!K412+'RS2'!K412+'RS3'!K409+'RSGen 1-7'!I410</f>
        <v>#REF!</v>
      </c>
      <c r="M63" s="93">
        <f>'RS1'!L412+'RS2'!L412+'RS3'!L409+'RSGen 1-7'!J410</f>
        <v>0</v>
      </c>
      <c r="N63" s="93">
        <f>'RS1'!M412+'RS2'!M412+'RS3'!M409+'RSGen 1-7'!K410</f>
        <v>0</v>
      </c>
      <c r="O63" s="93">
        <f>'RS1'!N412+'RS2'!N412+'RS3'!N409+'RSGen 1-7'!L410</f>
        <v>0</v>
      </c>
      <c r="P63" s="93">
        <f>'RS1'!O412+'RS2'!O412+'RS3'!O409+'RSGen 1-7'!M410</f>
        <v>0</v>
      </c>
      <c r="Q63" s="93">
        <f>'RS1'!P412+'RS2'!P412+'RS3'!P409+'RSGen 1-7'!N410</f>
        <v>0</v>
      </c>
      <c r="R63" s="93">
        <f>'RS1'!Q412+'RS2'!Q412+'RS3'!Q409+'RSGen 1-7'!O410</f>
        <v>0</v>
      </c>
      <c r="S63" s="93">
        <f>'RS1'!R412+'RS2'!R412+'RS3'!R409+'RSGen 1-7'!P410</f>
        <v>0</v>
      </c>
      <c r="T63" s="93">
        <f>'RS1'!S412+'RS2'!S412+'RS3'!S409+'RSGen 1-7'!Q410</f>
        <v>0</v>
      </c>
      <c r="U63" s="93">
        <f>'RS1'!T412+'RS2'!T412+'RS3'!T409+'RSGen 1-7'!R410</f>
        <v>0</v>
      </c>
      <c r="V63" s="93">
        <f>'RS1'!U412+'RS2'!U412+'RS3'!U409+'RSGen 1-7'!S410</f>
        <v>0</v>
      </c>
      <c r="W63" s="93">
        <f>'RS1'!V412+'RS2'!V412+'RS3'!V409+'RSGen 1-7'!T410</f>
        <v>0</v>
      </c>
      <c r="X63" s="93">
        <f>'RS1'!W412+'RS2'!W412+'RS3'!W409+'RSGen 1-7'!U410</f>
        <v>0</v>
      </c>
      <c r="Y63" s="93">
        <f>'RS1'!X412+'RS2'!X412+'RS3'!X409+'RSGen 1-7'!V410</f>
        <v>0</v>
      </c>
      <c r="Z63" s="93">
        <f>'RS1'!Y412+'RS2'!Y412+'RS3'!Y409+'RSGen 1-7'!W410</f>
        <v>0</v>
      </c>
      <c r="AA63" s="93">
        <f>'RS1'!Z412+'RS2'!Z412+'RS3'!Z409+'RSGen 1-7'!X410</f>
        <v>0</v>
      </c>
      <c r="AB63" s="93">
        <f>'RS1'!AA412+'RS2'!AA412+'RS3'!AA409+'RSGen 1-7'!Y410</f>
        <v>0</v>
      </c>
      <c r="AC63" s="93">
        <f>'RS1'!AB412+'RS2'!AB412+'RS3'!AB409+'RSGen 1-7'!Z410</f>
        <v>0</v>
      </c>
      <c r="AD63" s="93">
        <f>'RS1'!AC412+'RS2'!AC412+'RS3'!AC409+'RSGen 1-7'!AA410</f>
        <v>0</v>
      </c>
      <c r="AE63" s="93">
        <f>'RS1'!AD412+'RS2'!AD412+'RS3'!AD409+'RSGen 1-7'!AB410</f>
        <v>0</v>
      </c>
      <c r="AF63" s="93">
        <f>'RS1'!AE412+'RS2'!AE412+'RS3'!AE409+'RSGen 1-7'!AC410</f>
        <v>0</v>
      </c>
      <c r="AG63" s="93">
        <f>'RS1'!AF412+'RS2'!AF412+'RS3'!AF409+'RSGen 1-7'!AD410</f>
        <v>0</v>
      </c>
      <c r="AH63" s="93">
        <f>'RS1'!AG412+'RS2'!AG412+'RS3'!AG409+'RSGen 1-7'!AE410</f>
        <v>0</v>
      </c>
      <c r="AI63" s="93">
        <f>'RS1'!AH412+'RS2'!AH412+'RS3'!AH409+'RSGen 1-7'!AF410</f>
        <v>0</v>
      </c>
      <c r="AJ63" s="93">
        <f>'RS1'!AI412+'RS2'!AI412+'RS3'!AI409+'RSGen 1-7'!AG410</f>
        <v>0</v>
      </c>
      <c r="AK63" s="93">
        <f>'RS1'!AJ412+'RS2'!AJ412+'RS3'!AJ409+'RSGen 1-7'!AH410</f>
        <v>0</v>
      </c>
      <c r="AL63" s="93">
        <f>'RS1'!AK412+'RS2'!AK412+'RS3'!AK409+'RSGen 1-7'!AI410</f>
        <v>0</v>
      </c>
      <c r="AM63" s="93">
        <f>'RS1'!AL412+'RS2'!AL412+'RS3'!AL409+'RSGen 1-7'!AJ410</f>
        <v>0</v>
      </c>
      <c r="AN63" s="93">
        <f>'RS1'!AM412+'RS2'!AM412+'RS3'!AM409+'RSGen 1-7'!AK410</f>
        <v>0</v>
      </c>
      <c r="AO63" s="93">
        <f>'RS1'!AN412+'RS2'!AN412+'RS3'!AN409+'RSGen 1-7'!AL410</f>
        <v>0</v>
      </c>
      <c r="AP63" s="93">
        <f>'RS1'!AO412+'RS2'!AO412+'RS3'!AO409+'RSGen 1-7'!AM410</f>
        <v>0</v>
      </c>
      <c r="AQ63" s="93">
        <f>'RS1'!AP412+'RS2'!AP412+'RS3'!AP409+'RSGen 1-7'!AN410</f>
        <v>0</v>
      </c>
      <c r="AR63" s="93">
        <f>'RS1'!AQ412+'RS2'!AQ412+'RS3'!AQ409+'RSGen 1-7'!AO410</f>
        <v>0</v>
      </c>
      <c r="AS63" s="93">
        <f>'RS1'!AR412+'RS2'!AR412+'RS3'!AR409+'RSGen 1-7'!AP410</f>
        <v>0</v>
      </c>
      <c r="AT63" s="93">
        <f>'RS1'!AS412+'RS2'!AS412+'RS3'!AS409+'RSGen 1-7'!AQ410</f>
        <v>0</v>
      </c>
      <c r="AU63" s="93">
        <f>'RS1'!AT412+'RS2'!AT412+'RS3'!AT409+'RSGen 1-7'!AR410</f>
        <v>0</v>
      </c>
      <c r="AV63" s="93">
        <f>'RS1'!AU412+'RS2'!AU412+'RS3'!AU409+'RSGen 1-7'!AS410</f>
        <v>0</v>
      </c>
      <c r="AW63" s="90"/>
      <c r="AX63" s="90"/>
      <c r="AY63" s="90"/>
      <c r="AZ63" s="90"/>
      <c r="BA63" s="90"/>
      <c r="BB63" s="90"/>
      <c r="BC63" s="90"/>
      <c r="BD63" s="90"/>
      <c r="BE63" s="90"/>
      <c r="BF63" s="90"/>
      <c r="BG63" s="90"/>
      <c r="BH63" s="90"/>
      <c r="BI63" s="90"/>
      <c r="BJ63" s="90"/>
      <c r="BK63" s="90"/>
      <c r="BL63" s="90"/>
      <c r="BM63" s="90"/>
      <c r="BN63" s="90"/>
      <c r="BO63" s="90"/>
      <c r="BP63" s="90"/>
    </row>
    <row r="64" ht="12.75" hidden="1" customHeight="1" outlineLevel="1">
      <c r="A64" s="90"/>
      <c r="B64" s="64" t="s">
        <v>564</v>
      </c>
      <c r="C64" s="90"/>
      <c r="D64" s="90"/>
      <c r="E64" s="90"/>
      <c r="F64" s="90"/>
      <c r="G64" s="90"/>
      <c r="H64" s="179"/>
      <c r="I64" s="179"/>
      <c r="J64" s="90"/>
      <c r="K64" s="90"/>
      <c r="L64" s="99">
        <f>'RS3'!K410+'All Schools Roll-up'!L371</f>
        <v>-250000</v>
      </c>
      <c r="M64" s="93">
        <f>'RS3'!L410+'All Schools Roll-up'!M371</f>
        <v>-400000</v>
      </c>
      <c r="N64" s="93">
        <f>'RS3'!M410+'All Schools Roll-up'!N371</f>
        <v>-600000</v>
      </c>
      <c r="O64" s="93">
        <f>'RS3'!N410+'All Schools Roll-up'!O371</f>
        <v>-1000000</v>
      </c>
      <c r="P64" s="93">
        <f>'RS3'!O410+'All Schools Roll-up'!P371</f>
        <v>-1600000</v>
      </c>
      <c r="Q64" s="93">
        <f>'RS3'!P410+'All Schools Roll-up'!Q371</f>
        <v>-2600000</v>
      </c>
      <c r="R64" s="93">
        <f>'RS3'!Q410+'All Schools Roll-up'!R371</f>
        <v>-4400000</v>
      </c>
      <c r="S64" s="93">
        <f>'RS3'!R410+'All Schools Roll-up'!S371</f>
        <v>-6550000</v>
      </c>
      <c r="T64" s="93">
        <f>'RS3'!S410+'All Schools Roll-up'!T371</f>
        <v>-8600000</v>
      </c>
      <c r="U64" s="93">
        <f>'RS3'!T410+'All Schools Roll-up'!U371</f>
        <v>-8400000</v>
      </c>
      <c r="V64" s="93">
        <f>'RS3'!U410+'All Schools Roll-up'!V371</f>
        <v>-12200000</v>
      </c>
      <c r="W64" s="93">
        <f>'RS3'!V410+'All Schools Roll-up'!W371</f>
        <v>-14400000</v>
      </c>
      <c r="X64" s="93">
        <f>'RS3'!W410+'All Schools Roll-up'!X371</f>
        <v>-25800000</v>
      </c>
      <c r="Y64" s="93">
        <f>'RS3'!X410+'All Schools Roll-up'!Y371</f>
        <v>-34200000</v>
      </c>
      <c r="Z64" s="93">
        <f>'RS3'!Y410+'All Schools Roll-up'!Z371</f>
        <v>-41600000</v>
      </c>
      <c r="AA64" s="93">
        <f>'RS3'!Z410+'All Schools Roll-up'!AA371</f>
        <v>-45600000</v>
      </c>
      <c r="AB64" s="93">
        <f>'RS3'!AA410+'All Schools Roll-up'!AB371</f>
        <v>-55800000</v>
      </c>
      <c r="AC64" s="93">
        <f>'RS3'!AB410+'All Schools Roll-up'!AC371</f>
        <v>-56800000</v>
      </c>
      <c r="AD64" s="93">
        <f>'RS3'!AC410+'All Schools Roll-up'!AD371</f>
        <v>-53000000</v>
      </c>
      <c r="AE64" s="93">
        <f>'RS3'!AD410+'All Schools Roll-up'!AE371</f>
        <v>-26000000</v>
      </c>
      <c r="AF64" s="93">
        <f>'RS3'!AE410+'All Schools Roll-up'!AF371</f>
        <v>32000000</v>
      </c>
      <c r="AG64" s="93">
        <f>'RS3'!AF410+'All Schools Roll-up'!AG371</f>
        <v>48400000</v>
      </c>
      <c r="AH64" s="93">
        <f>'RS3'!AG410+'All Schools Roll-up'!AH371</f>
        <v>54600000</v>
      </c>
      <c r="AI64" s="93">
        <f>'RS3'!AH410+'All Schools Roll-up'!AI371</f>
        <v>64800000</v>
      </c>
      <c r="AJ64" s="93">
        <f>'RS3'!AI410+'All Schools Roll-up'!AJ371</f>
        <v>70000000</v>
      </c>
      <c r="AK64" s="93">
        <f>'RS3'!AJ410+'All Schools Roll-up'!AK371</f>
        <v>69000000</v>
      </c>
      <c r="AL64" s="93">
        <f>'RS3'!AK410+'All Schools Roll-up'!AL371</f>
        <v>54400000</v>
      </c>
      <c r="AM64" s="93">
        <f>'RS3'!AL410+'All Schools Roll-up'!AM371</f>
        <v>6600000</v>
      </c>
      <c r="AN64" s="93">
        <f>'RS3'!AM410+'All Schools Roll-up'!AN371</f>
        <v>0</v>
      </c>
      <c r="AO64" s="93">
        <f>'RS3'!AN410+'All Schools Roll-up'!AO371</f>
        <v>0</v>
      </c>
      <c r="AP64" s="93" t="str">
        <f>'RS3'!AO410+'All Schools Roll-up'!AP371</f>
        <v>#REF!</v>
      </c>
      <c r="AQ64" s="93" t="str">
        <f>'RS3'!AP410+'All Schools Roll-up'!AQ371</f>
        <v>#REF!</v>
      </c>
      <c r="AR64" s="93" t="str">
        <f>'RS3'!AQ410+'All Schools Roll-up'!AR371</f>
        <v>#REF!</v>
      </c>
      <c r="AS64" s="93" t="str">
        <f>'RS3'!AR410+'All Schools Roll-up'!AS371</f>
        <v>#REF!</v>
      </c>
      <c r="AT64" s="93" t="str">
        <f>'RS3'!AS410+'All Schools Roll-up'!AT371</f>
        <v>#REF!</v>
      </c>
      <c r="AU64" s="93" t="str">
        <f>'RS3'!AT410+'All Schools Roll-up'!AU371</f>
        <v>#REF!</v>
      </c>
      <c r="AV64" s="93" t="str">
        <f>'RS3'!AU410+'All Schools Roll-up'!AV371</f>
        <v>#REF!</v>
      </c>
      <c r="AW64" s="90"/>
      <c r="AX64" s="90"/>
      <c r="AY64" s="90"/>
      <c r="AZ64" s="90"/>
      <c r="BA64" s="90"/>
      <c r="BB64" s="90"/>
      <c r="BC64" s="90"/>
      <c r="BD64" s="90"/>
      <c r="BE64" s="90"/>
      <c r="BF64" s="90"/>
      <c r="BG64" s="90"/>
      <c r="BH64" s="90"/>
      <c r="BI64" s="90"/>
      <c r="BJ64" s="90"/>
      <c r="BK64" s="90"/>
      <c r="BL64" s="90"/>
      <c r="BM64" s="90"/>
      <c r="BN64" s="90"/>
      <c r="BO64" s="90"/>
      <c r="BP64" s="90"/>
    </row>
    <row r="65" ht="12.75" hidden="1" customHeight="1" outlineLevel="1">
      <c r="A65" s="90"/>
      <c r="B65" s="134" t="s">
        <v>473</v>
      </c>
      <c r="C65" s="148"/>
      <c r="D65" s="148"/>
      <c r="E65" s="148"/>
      <c r="F65" s="148"/>
      <c r="G65" s="148"/>
      <c r="H65" s="300"/>
      <c r="I65" s="300"/>
      <c r="J65" s="251"/>
      <c r="K65" s="251">
        <f t="shared" ref="K65:AV65" si="27">SUM(K63:K64)</f>
        <v>26918.83</v>
      </c>
      <c r="L65" s="251" t="str">
        <f t="shared" si="27"/>
        <v>#REF!</v>
      </c>
      <c r="M65" s="151">
        <f t="shared" si="27"/>
        <v>-400000</v>
      </c>
      <c r="N65" s="151">
        <f t="shared" si="27"/>
        <v>-600000</v>
      </c>
      <c r="O65" s="151">
        <f t="shared" si="27"/>
        <v>-1000000</v>
      </c>
      <c r="P65" s="151">
        <f t="shared" si="27"/>
        <v>-1600000</v>
      </c>
      <c r="Q65" s="151">
        <f t="shared" si="27"/>
        <v>-2600000</v>
      </c>
      <c r="R65" s="151">
        <f t="shared" si="27"/>
        <v>-4400000</v>
      </c>
      <c r="S65" s="151">
        <f t="shared" si="27"/>
        <v>-6550000</v>
      </c>
      <c r="T65" s="151">
        <f t="shared" si="27"/>
        <v>-8600000</v>
      </c>
      <c r="U65" s="151">
        <f t="shared" si="27"/>
        <v>-8400000</v>
      </c>
      <c r="V65" s="151">
        <f t="shared" si="27"/>
        <v>-12200000</v>
      </c>
      <c r="W65" s="151">
        <f t="shared" si="27"/>
        <v>-14400000</v>
      </c>
      <c r="X65" s="151">
        <f t="shared" si="27"/>
        <v>-25800000</v>
      </c>
      <c r="Y65" s="151">
        <f t="shared" si="27"/>
        <v>-34200000</v>
      </c>
      <c r="Z65" s="151">
        <f t="shared" si="27"/>
        <v>-41600000</v>
      </c>
      <c r="AA65" s="151">
        <f t="shared" si="27"/>
        <v>-45600000</v>
      </c>
      <c r="AB65" s="151">
        <f t="shared" si="27"/>
        <v>-55800000</v>
      </c>
      <c r="AC65" s="151">
        <f t="shared" si="27"/>
        <v>-56800000</v>
      </c>
      <c r="AD65" s="151">
        <f t="shared" si="27"/>
        <v>-53000000</v>
      </c>
      <c r="AE65" s="151">
        <f t="shared" si="27"/>
        <v>-26000000</v>
      </c>
      <c r="AF65" s="151">
        <f t="shared" si="27"/>
        <v>32000000</v>
      </c>
      <c r="AG65" s="151">
        <f t="shared" si="27"/>
        <v>48400000</v>
      </c>
      <c r="AH65" s="151">
        <f t="shared" si="27"/>
        <v>54600000</v>
      </c>
      <c r="AI65" s="151">
        <f t="shared" si="27"/>
        <v>64800000</v>
      </c>
      <c r="AJ65" s="151">
        <f t="shared" si="27"/>
        <v>70000000</v>
      </c>
      <c r="AK65" s="151">
        <f t="shared" si="27"/>
        <v>69000000</v>
      </c>
      <c r="AL65" s="151">
        <f t="shared" si="27"/>
        <v>54400000</v>
      </c>
      <c r="AM65" s="151">
        <f t="shared" si="27"/>
        <v>6600000</v>
      </c>
      <c r="AN65" s="151">
        <f t="shared" si="27"/>
        <v>0</v>
      </c>
      <c r="AO65" s="151">
        <f t="shared" si="27"/>
        <v>0</v>
      </c>
      <c r="AP65" s="151" t="str">
        <f t="shared" si="27"/>
        <v>#REF!</v>
      </c>
      <c r="AQ65" s="151" t="str">
        <f t="shared" si="27"/>
        <v>#REF!</v>
      </c>
      <c r="AR65" s="151" t="str">
        <f t="shared" si="27"/>
        <v>#REF!</v>
      </c>
      <c r="AS65" s="151" t="str">
        <f t="shared" si="27"/>
        <v>#REF!</v>
      </c>
      <c r="AT65" s="151" t="str">
        <f t="shared" si="27"/>
        <v>#REF!</v>
      </c>
      <c r="AU65" s="151" t="str">
        <f t="shared" si="27"/>
        <v>#REF!</v>
      </c>
      <c r="AV65" s="151" t="str">
        <f t="shared" si="27"/>
        <v>#REF!</v>
      </c>
      <c r="AW65" s="90"/>
      <c r="AX65" s="90"/>
      <c r="AY65" s="90"/>
      <c r="AZ65" s="90"/>
      <c r="BA65" s="90"/>
      <c r="BB65" s="90"/>
      <c r="BC65" s="90"/>
      <c r="BD65" s="90"/>
      <c r="BE65" s="90"/>
      <c r="BF65" s="90"/>
      <c r="BG65" s="90"/>
      <c r="BH65" s="90"/>
      <c r="BI65" s="90"/>
      <c r="BJ65" s="90"/>
      <c r="BK65" s="90"/>
      <c r="BL65" s="90"/>
      <c r="BM65" s="90"/>
      <c r="BN65" s="90"/>
      <c r="BO65" s="90"/>
      <c r="BP65" s="90"/>
    </row>
    <row r="66" ht="12.75" hidden="1" customHeight="1" outlineLevel="1">
      <c r="A66" s="90"/>
      <c r="B66" s="67"/>
      <c r="C66" s="90"/>
      <c r="D66" s="90"/>
      <c r="E66" s="90"/>
      <c r="F66" s="90"/>
      <c r="G66" s="90"/>
      <c r="H66" s="179"/>
      <c r="I66" s="179"/>
      <c r="J66" s="114"/>
      <c r="K66" s="114"/>
      <c r="L66" s="114"/>
      <c r="M66" s="115"/>
      <c r="N66" s="115"/>
      <c r="O66" s="115"/>
      <c r="P66" s="115"/>
      <c r="Q66" s="115"/>
      <c r="R66" s="115"/>
      <c r="S66" s="115"/>
      <c r="T66" s="115"/>
      <c r="U66" s="115"/>
      <c r="V66" s="115"/>
      <c r="W66" s="115"/>
      <c r="X66" s="115"/>
      <c r="Y66" s="115"/>
      <c r="Z66" s="115"/>
      <c r="AA66" s="115"/>
      <c r="AB66" s="115"/>
      <c r="AC66" s="115"/>
      <c r="AD66" s="115"/>
      <c r="AE66" s="115"/>
      <c r="AF66" s="115"/>
      <c r="AG66" s="115"/>
      <c r="AH66" s="115"/>
      <c r="AI66" s="115"/>
      <c r="AJ66" s="115"/>
      <c r="AK66" s="115"/>
      <c r="AL66" s="115"/>
      <c r="AM66" s="115"/>
      <c r="AN66" s="115"/>
      <c r="AO66" s="115"/>
      <c r="AP66" s="115"/>
      <c r="AQ66" s="115"/>
      <c r="AR66" s="115"/>
      <c r="AS66" s="115"/>
      <c r="AT66" s="115"/>
      <c r="AU66" s="115"/>
      <c r="AV66" s="115"/>
      <c r="AW66" s="90"/>
      <c r="AX66" s="90"/>
      <c r="AY66" s="90"/>
      <c r="AZ66" s="90"/>
      <c r="BA66" s="90"/>
      <c r="BB66" s="90"/>
      <c r="BC66" s="90"/>
      <c r="BD66" s="90"/>
      <c r="BE66" s="90"/>
      <c r="BF66" s="90"/>
      <c r="BG66" s="90"/>
      <c r="BH66" s="90"/>
      <c r="BI66" s="90"/>
      <c r="BJ66" s="90"/>
      <c r="BK66" s="90"/>
      <c r="BL66" s="90"/>
      <c r="BM66" s="90"/>
      <c r="BN66" s="90"/>
      <c r="BO66" s="90"/>
      <c r="BP66" s="90"/>
    </row>
    <row r="67" ht="12.75" hidden="1" customHeight="1" outlineLevel="1">
      <c r="A67" s="90"/>
      <c r="B67" s="206" t="s">
        <v>474</v>
      </c>
      <c r="C67" s="90"/>
      <c r="D67" s="90"/>
      <c r="E67" s="90"/>
      <c r="F67" s="90"/>
      <c r="G67" s="90"/>
      <c r="H67" s="179"/>
      <c r="I67" s="179"/>
      <c r="J67" s="114"/>
      <c r="K67" s="114"/>
      <c r="L67" s="114"/>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c r="AW67" s="90"/>
      <c r="AX67" s="90"/>
      <c r="AY67" s="90"/>
      <c r="AZ67" s="90"/>
      <c r="BA67" s="90"/>
      <c r="BB67" s="90"/>
      <c r="BC67" s="90"/>
      <c r="BD67" s="90"/>
      <c r="BE67" s="90"/>
      <c r="BF67" s="90"/>
      <c r="BG67" s="90"/>
      <c r="BH67" s="90"/>
      <c r="BI67" s="90"/>
      <c r="BJ67" s="90"/>
      <c r="BK67" s="90"/>
      <c r="BL67" s="90"/>
      <c r="BM67" s="90"/>
      <c r="BN67" s="90"/>
      <c r="BO67" s="90"/>
      <c r="BP67" s="90"/>
    </row>
    <row r="68" ht="12.75" hidden="1" customHeight="1" outlineLevel="1">
      <c r="A68" s="90"/>
      <c r="B68" s="64" t="s">
        <v>565</v>
      </c>
      <c r="D68" s="90"/>
      <c r="E68" s="90"/>
      <c r="F68" s="90"/>
      <c r="G68" s="90"/>
      <c r="H68" s="179"/>
      <c r="I68" s="179"/>
      <c r="J68" s="90"/>
      <c r="K68" s="90"/>
      <c r="L68" s="90"/>
      <c r="M68" s="93"/>
      <c r="N68" s="93"/>
      <c r="O68" s="93"/>
      <c r="P68" s="93"/>
      <c r="Q68" s="93"/>
      <c r="R68" s="93"/>
      <c r="S68" s="93"/>
      <c r="T68" s="93"/>
      <c r="U68" s="93"/>
      <c r="V68" s="93"/>
      <c r="W68" s="93"/>
      <c r="X68" s="93"/>
      <c r="Y68" s="93"/>
      <c r="Z68" s="93"/>
      <c r="AA68" s="93"/>
      <c r="AB68" s="93"/>
      <c r="AC68" s="93"/>
      <c r="AD68" s="93"/>
      <c r="AE68" s="93"/>
      <c r="AF68" s="93"/>
      <c r="AG68" s="93"/>
      <c r="AH68" s="93"/>
      <c r="AI68" s="93"/>
      <c r="AJ68" s="93"/>
      <c r="AK68" s="93"/>
      <c r="AL68" s="93"/>
      <c r="AM68" s="93"/>
      <c r="AN68" s="93"/>
      <c r="AO68" s="93"/>
      <c r="AP68" s="93"/>
      <c r="AQ68" s="93"/>
      <c r="AR68" s="93"/>
      <c r="AS68" s="93"/>
      <c r="AT68" s="93"/>
      <c r="AU68" s="93"/>
      <c r="AV68" s="93"/>
      <c r="AW68" s="90"/>
      <c r="AX68" s="90"/>
      <c r="AY68" s="90"/>
      <c r="AZ68" s="90"/>
      <c r="BA68" s="90"/>
      <c r="BB68" s="90"/>
      <c r="BC68" s="90"/>
      <c r="BD68" s="90"/>
      <c r="BE68" s="90"/>
      <c r="BF68" s="90"/>
      <c r="BG68" s="90"/>
      <c r="BH68" s="90"/>
      <c r="BI68" s="90"/>
      <c r="BJ68" s="90"/>
      <c r="BK68" s="90"/>
      <c r="BL68" s="90"/>
      <c r="BM68" s="90"/>
      <c r="BN68" s="90"/>
      <c r="BO68" s="90"/>
      <c r="BP68" s="90"/>
    </row>
    <row r="69" ht="12.75" hidden="1" customHeight="1" outlineLevel="1">
      <c r="A69" s="90"/>
      <c r="B69" s="64" t="s">
        <v>557</v>
      </c>
      <c r="F69" s="90"/>
      <c r="G69" s="90"/>
      <c r="H69" s="179"/>
      <c r="I69" s="179"/>
      <c r="J69" s="99"/>
      <c r="K69" s="99">
        <f>'RS1'!J417+'RS2'!J417+'RS3'!J415+K383</f>
        <v>200000</v>
      </c>
      <c r="L69" s="99">
        <f>'RS1'!K417+'RS2'!K417+'RS3'!K415+L383+'RS1'!K439+'RS2'!K424+'RS3'!K421</f>
        <v>59186.33</v>
      </c>
      <c r="M69" s="93">
        <f>'RS1'!L417+'RS2'!L417+'RS3'!L415+M383+'RS1'!L439+'RS2'!L424+'RS3'!L421</f>
        <v>420813.67</v>
      </c>
      <c r="N69" s="93">
        <f>'RS1'!M417+'RS2'!M417+'RS3'!M415+N383+'RS1'!M439+'RS2'!M424+'RS3'!M421</f>
        <v>520000</v>
      </c>
      <c r="O69" s="93">
        <f>'RS1'!N417+'RS2'!N417+'RS3'!N415+O383+'RS1'!N439+'RS2'!N424+'RS3'!N421</f>
        <v>870000</v>
      </c>
      <c r="P69" s="93">
        <f>'RS1'!O417+'RS2'!O417+'RS3'!O415+P383+'RS1'!O439+'RS2'!O424+'RS3'!O421</f>
        <v>1420000</v>
      </c>
      <c r="Q69" s="93">
        <f>'RS1'!P417+'RS2'!P417+'RS3'!P415+Q383+'RS1'!P439+'RS2'!P424+'RS3'!P421</f>
        <v>2310000</v>
      </c>
      <c r="R69" s="93">
        <f>'RS1'!Q417+'RS2'!Q417+'RS3'!Q415+R383+'RS1'!Q439+'RS2'!Q424+'RS3'!Q421</f>
        <v>3950000</v>
      </c>
      <c r="S69" s="93">
        <f>'RS1'!R417+'RS2'!R417+'RS3'!R415+S383</f>
        <v>5950000</v>
      </c>
      <c r="T69" s="93">
        <f>'RS1'!S417+'RS2'!S417+'RS3'!S415+T383</f>
        <v>7150000</v>
      </c>
      <c r="U69" s="93">
        <f>'RS1'!T417+'RS2'!T417+'RS3'!T415+U383</f>
        <v>5150000</v>
      </c>
      <c r="V69" s="93">
        <f>'RS1'!U417+'RS2'!U417+'RS3'!U415+V383</f>
        <v>8550000</v>
      </c>
      <c r="W69" s="93">
        <f>'RS1'!V417+'RS2'!V417+'RS3'!V415+W383</f>
        <v>9400000</v>
      </c>
      <c r="X69" s="93">
        <f>'RS1'!W417+'RS2'!W417+'RS3'!W415+X383</f>
        <v>22000000</v>
      </c>
      <c r="Y69" s="93">
        <f>'RS1'!X417+'RS2'!X417+'RS3'!X415+Y383</f>
        <v>29350000</v>
      </c>
      <c r="Z69" s="93">
        <f>'RS1'!Y417+'RS2'!Y417+'RS3'!Y415+Z383</f>
        <v>34200000</v>
      </c>
      <c r="AA69" s="93">
        <f>'RS1'!Z417+'RS2'!Z417+'RS3'!Z415+AA383</f>
        <v>32100000</v>
      </c>
      <c r="AB69" s="93">
        <f>'RS1'!AA417+'RS2'!AA417+'RS3'!AA415+AB383</f>
        <v>34500000</v>
      </c>
      <c r="AC69" s="93">
        <f>'RS1'!AB417+'RS2'!AB417+'RS3'!AB415+AC383</f>
        <v>28800000</v>
      </c>
      <c r="AD69" s="93">
        <f>'RS1'!AC417+'RS2'!AC417+'RS3'!AC415+AD383</f>
        <v>17150000</v>
      </c>
      <c r="AE69" s="93">
        <f>'RS1'!AD417+'RS2'!AD417+'RS3'!AD415+AE383</f>
        <v>-8700000</v>
      </c>
      <c r="AF69" s="93">
        <f>'RS1'!AE417+'RS2'!AE417+'RS3'!AE415+AF383</f>
        <v>-69950000</v>
      </c>
      <c r="AG69" s="93">
        <f>'RS1'!AF417+'RS2'!AF417+'RS3'!AF415+AG383</f>
        <v>-66200000</v>
      </c>
      <c r="AH69" s="93">
        <f>'RS1'!AG417+'RS2'!AG417+'RS3'!AG415+AH383</f>
        <v>-50000000</v>
      </c>
      <c r="AI69" s="93">
        <f>'RS1'!AH417+'RS2'!AH417+'RS3'!AH415+AI383</f>
        <v>-32500000</v>
      </c>
      <c r="AJ69" s="93">
        <f>'RS1'!AI417+'RS2'!AI417+'RS3'!AI415+AJ383</f>
        <v>-15250000</v>
      </c>
      <c r="AK69" s="93">
        <f>'RS1'!AJ417+'RS2'!AJ417+'RS3'!AJ415+AK383</f>
        <v>-1650000</v>
      </c>
      <c r="AL69" s="93">
        <f>'RS1'!AK417+'RS2'!AK417+'RS3'!AK415+AL383</f>
        <v>0</v>
      </c>
      <c r="AM69" s="93">
        <f>'RS1'!AL417+'RS2'!AL417+'RS3'!AL415+AM383</f>
        <v>0</v>
      </c>
      <c r="AN69" s="93">
        <f>'RS1'!AM417+'RS2'!AM417+'RS3'!AM415+AN383</f>
        <v>0</v>
      </c>
      <c r="AO69" s="93">
        <f>'RS1'!AN417+'RS2'!AN417+'RS3'!AN415+AO383</f>
        <v>0</v>
      </c>
      <c r="AP69" s="93" t="str">
        <f>'RS1'!AO417+'RS2'!AO417+'RS3'!AO415+AP383</f>
        <v>#REF!</v>
      </c>
      <c r="AQ69" s="93" t="str">
        <f>'RS1'!AP417+'RS2'!AP417+'RS3'!AP415+AQ383</f>
        <v>#REF!</v>
      </c>
      <c r="AR69" s="93" t="str">
        <f>'RS1'!AQ417+'RS2'!AQ417+'RS3'!AQ415+AR383</f>
        <v>#REF!</v>
      </c>
      <c r="AS69" s="93" t="str">
        <f>'RS1'!AR417+'RS2'!AR417+'RS3'!AR415+AS383</f>
        <v>#REF!</v>
      </c>
      <c r="AT69" s="93" t="str">
        <f>'RS1'!AS417+'RS2'!AS417+'RS3'!AS415+AT383</f>
        <v>#REF!</v>
      </c>
      <c r="AU69" s="93" t="str">
        <f>'RS1'!AT417+'RS2'!AT417+'RS3'!AT415+AU383</f>
        <v>#REF!</v>
      </c>
      <c r="AV69" s="93" t="str">
        <f>'RS1'!AU417+'RS2'!AU417+'RS3'!AU415+AV383</f>
        <v>#REF!</v>
      </c>
      <c r="AW69" s="90"/>
      <c r="AX69" s="90"/>
      <c r="AY69" s="90"/>
      <c r="AZ69" s="90"/>
      <c r="BA69" s="90"/>
      <c r="BB69" s="90"/>
      <c r="BC69" s="90"/>
      <c r="BD69" s="90"/>
      <c r="BE69" s="90"/>
      <c r="BF69" s="90"/>
      <c r="BG69" s="90"/>
      <c r="BH69" s="90"/>
      <c r="BI69" s="90"/>
      <c r="BJ69" s="90"/>
      <c r="BK69" s="90"/>
      <c r="BL69" s="90"/>
      <c r="BM69" s="90"/>
      <c r="BN69" s="90"/>
      <c r="BO69" s="90"/>
      <c r="BP69" s="90"/>
    </row>
    <row r="70" ht="12.75" hidden="1" customHeight="1" outlineLevel="1">
      <c r="A70" s="90"/>
      <c r="B70" s="64" t="s">
        <v>566</v>
      </c>
      <c r="F70" s="90"/>
      <c r="G70" s="90"/>
      <c r="H70" s="179"/>
      <c r="I70" s="179"/>
      <c r="J70" s="99"/>
      <c r="K70" s="99">
        <f>+'RS2'!J418+'RS3'!J416+K396</f>
        <v>0</v>
      </c>
      <c r="L70" s="99">
        <f>'RS2'!K418+'RS3'!K416+L396</f>
        <v>1000000</v>
      </c>
      <c r="M70" s="93">
        <f>'RS2'!L418+'RS3'!L416+M396</f>
        <v>500000</v>
      </c>
      <c r="N70" s="93">
        <f>'RS2'!M418+'RS3'!M416+N396</f>
        <v>0</v>
      </c>
      <c r="O70" s="93">
        <f>'RS2'!N418+'RS3'!N416+O396</f>
        <v>0</v>
      </c>
      <c r="P70" s="93" t="str">
        <f>'RS1'!O418+'RS2'!O418+'RS3'!O416+P396</f>
        <v>#REF!</v>
      </c>
      <c r="Q70" s="93" t="str">
        <f>'RS1'!P418+'RS2'!P418+'RS3'!P416+Q396</f>
        <v>#REF!</v>
      </c>
      <c r="R70" s="93" t="str">
        <f>'RS1'!Q418+'RS2'!Q418+'RS3'!Q416+R396</f>
        <v>#REF!</v>
      </c>
      <c r="S70" s="93" t="str">
        <f>'RS1'!R418+'RS2'!R418+'RS3'!R416+S396</f>
        <v>#REF!</v>
      </c>
      <c r="T70" s="93" t="str">
        <f>'RS1'!S418+'RS2'!S418+'RS3'!S416+T396</f>
        <v>#REF!</v>
      </c>
      <c r="U70" s="93" t="str">
        <f>'RS1'!T418+'RS2'!T418+'RS3'!T416+U396</f>
        <v>#REF!</v>
      </c>
      <c r="V70" s="93" t="str">
        <f>'RS1'!U418+'RS2'!U418+'RS3'!U416+V396</f>
        <v>#REF!</v>
      </c>
      <c r="W70" s="93" t="str">
        <f>'RS1'!V418+'RS2'!V418+'RS3'!V416+W396</f>
        <v>#REF!</v>
      </c>
      <c r="X70" s="93" t="str">
        <f>'RS1'!W418+'RS2'!W418+'RS3'!W416+X396</f>
        <v>#REF!</v>
      </c>
      <c r="Y70" s="93" t="str">
        <f>'RS1'!X418+'RS2'!X418+'RS3'!X416+Y396</f>
        <v>#REF!</v>
      </c>
      <c r="Z70" s="93" t="str">
        <f>'RS1'!Y418+'RS2'!Y418+'RS3'!Y416+Z396</f>
        <v>#REF!</v>
      </c>
      <c r="AA70" s="93" t="str">
        <f>'RS1'!Z418+'RS2'!Z418+'RS3'!Z416+AA396</f>
        <v>#REF!</v>
      </c>
      <c r="AB70" s="93" t="str">
        <f>'RS1'!AA418+'RS2'!AA418+'RS3'!AA416+AB396</f>
        <v>#REF!</v>
      </c>
      <c r="AC70" s="93" t="str">
        <f>'RS1'!AB418+'RS2'!AB418+'RS3'!AB416+AC396</f>
        <v>#REF!</v>
      </c>
      <c r="AD70" s="93" t="str">
        <f>'RS1'!AC418+'RS2'!AC418+'RS3'!AC416+AD396</f>
        <v>#REF!</v>
      </c>
      <c r="AE70" s="93" t="str">
        <f>'RS1'!AD418+'RS2'!AD418+'RS3'!AD416+AE396</f>
        <v>#REF!</v>
      </c>
      <c r="AF70" s="93" t="str">
        <f>'RS1'!AE418+'RS2'!AE418+'RS3'!AE416+AF396</f>
        <v>#REF!</v>
      </c>
      <c r="AG70" s="93" t="str">
        <f>'RS1'!AF418+'RS2'!AF418+'RS3'!AF416+AG396</f>
        <v>#REF!</v>
      </c>
      <c r="AH70" s="93" t="str">
        <f>'RS1'!AG418+'RS2'!AG418+'RS3'!AG416+AH396</f>
        <v>#REF!</v>
      </c>
      <c r="AI70" s="93" t="str">
        <f>'RS1'!AH418+'RS2'!AH418+'RS3'!AH416+AI396</f>
        <v>#REF!</v>
      </c>
      <c r="AJ70" s="93" t="str">
        <f>'RS1'!AI418+'RS2'!AI418+'RS3'!AI416+AJ396</f>
        <v>#REF!</v>
      </c>
      <c r="AK70" s="93" t="str">
        <f>'RS1'!AJ418+'RS2'!AJ418+'RS3'!AJ416+AK396</f>
        <v>#REF!</v>
      </c>
      <c r="AL70" s="93" t="str">
        <f>'RS1'!AK418+'RS2'!AK418+'RS3'!AK416+AL396</f>
        <v>#REF!</v>
      </c>
      <c r="AM70" s="93" t="str">
        <f>'RS1'!AL418+'RS2'!AL418+'RS3'!AL416+AM396</f>
        <v>#REF!</v>
      </c>
      <c r="AN70" s="93" t="str">
        <f>'RS1'!AM418+'RS2'!AM418+'RS3'!AM416+AN396</f>
        <v>#REF!</v>
      </c>
      <c r="AO70" s="93" t="str">
        <f>'RS1'!AN418+'RS2'!AN418+'RS3'!AN416+AO396</f>
        <v>#REF!</v>
      </c>
      <c r="AP70" s="93" t="str">
        <f>'RS1'!AO418+'RS2'!AO418+'RS3'!AO416+AP396</f>
        <v>#REF!</v>
      </c>
      <c r="AQ70" s="93" t="str">
        <f>'RS1'!AP418+'RS2'!AP418+'RS3'!AP416+AQ396</f>
        <v>#REF!</v>
      </c>
      <c r="AR70" s="93" t="str">
        <f>'RS1'!AQ418+'RS2'!AQ418+'RS3'!AQ416+AR396</f>
        <v>#REF!</v>
      </c>
      <c r="AS70" s="93" t="str">
        <f>'RS1'!AR418+'RS2'!AR418+'RS3'!AR416+AS396</f>
        <v>#REF!</v>
      </c>
      <c r="AT70" s="93" t="str">
        <f>'RS1'!AS418+'RS2'!AS418+'RS3'!AS416+AT396</f>
        <v>#REF!</v>
      </c>
      <c r="AU70" s="93" t="str">
        <f>'RS1'!AT418+'RS2'!AT418+'RS3'!AT416+AU396</f>
        <v>#REF!</v>
      </c>
      <c r="AV70" s="93" t="str">
        <f>'RS1'!AU418+'RS2'!AU418+'RS3'!AU416+AV396</f>
        <v>#REF!</v>
      </c>
      <c r="AW70" s="90"/>
      <c r="AX70" s="90"/>
      <c r="AY70" s="90"/>
      <c r="AZ70" s="90"/>
      <c r="BA70" s="90"/>
      <c r="BB70" s="90"/>
      <c r="BC70" s="90"/>
      <c r="BD70" s="90"/>
      <c r="BE70" s="90"/>
      <c r="BF70" s="90"/>
      <c r="BG70" s="90"/>
      <c r="BH70" s="90"/>
      <c r="BI70" s="90"/>
      <c r="BJ70" s="90"/>
      <c r="BK70" s="90"/>
      <c r="BL70" s="90"/>
      <c r="BM70" s="90"/>
      <c r="BN70" s="90"/>
      <c r="BO70" s="90"/>
      <c r="BP70" s="90"/>
    </row>
    <row r="71" ht="12.75" hidden="1" customHeight="1" outlineLevel="1">
      <c r="A71" s="90"/>
      <c r="B71" s="64" t="s">
        <v>567</v>
      </c>
      <c r="F71" s="90"/>
      <c r="G71" s="90"/>
      <c r="H71" s="179"/>
      <c r="I71" s="179"/>
      <c r="J71" s="99"/>
      <c r="K71" s="99">
        <f>+'RS1'!J424+'RS2'!J425+'RS3'!J422+K409</f>
        <v>0</v>
      </c>
      <c r="L71" s="99">
        <f>+'RS2'!K425+'RS3'!K422+L409</f>
        <v>-250000</v>
      </c>
      <c r="M71" s="93">
        <f>+'RS2'!L425+'RS3'!L422+M409</f>
        <v>-250000</v>
      </c>
      <c r="N71" s="93">
        <f>+'RS2'!M425+'RS3'!M422+N409</f>
        <v>-500000</v>
      </c>
      <c r="O71" s="93">
        <f>+'RS2'!N425+'RS3'!N422+O409</f>
        <v>-500000</v>
      </c>
      <c r="P71" s="93">
        <f>+'RS2'!O425+'RS3'!O422+P409</f>
        <v>0</v>
      </c>
      <c r="Q71" s="93">
        <f>+'RS2'!P425+'RS3'!P422+Q409</f>
        <v>0</v>
      </c>
      <c r="R71" s="93">
        <f>+'RS2'!Q425+'RS3'!Q422+R409</f>
        <v>0</v>
      </c>
      <c r="S71" s="93">
        <f>+'RS2'!R425+'RS3'!R422+S409</f>
        <v>0</v>
      </c>
      <c r="T71" s="93">
        <f>+'RS2'!S425+'RS3'!S422+T409</f>
        <v>0</v>
      </c>
      <c r="U71" s="93">
        <f>+'RS2'!T425+'RS3'!T422+U409</f>
        <v>0</v>
      </c>
      <c r="V71" s="93">
        <f>+'RS2'!U425+'RS3'!U422+V409</f>
        <v>0</v>
      </c>
      <c r="W71" s="93">
        <f>+'RS2'!V425+'RS3'!V422+W409</f>
        <v>0</v>
      </c>
      <c r="X71" s="93">
        <f>+'RS2'!W425+'RS3'!W422+X409</f>
        <v>0</v>
      </c>
      <c r="Y71" s="93">
        <f>+'RS2'!X425+'RS3'!X422+Y409</f>
        <v>0</v>
      </c>
      <c r="Z71" s="93">
        <f>+'RS2'!Y425+'RS3'!Y422+Z409</f>
        <v>0</v>
      </c>
      <c r="AA71" s="93">
        <f>+'RS2'!Z425+'RS3'!Z422+AA409</f>
        <v>0</v>
      </c>
      <c r="AB71" s="93">
        <f>+'RS2'!AA425+'RS3'!AA422+AB409</f>
        <v>0</v>
      </c>
      <c r="AC71" s="93">
        <f>+'RS2'!AB425+'RS3'!AB422+AC409</f>
        <v>0</v>
      </c>
      <c r="AD71" s="93">
        <f>+'RS2'!AC425+'RS3'!AC422+AD409</f>
        <v>0</v>
      </c>
      <c r="AE71" s="93">
        <f>+'RS2'!AD425+'RS3'!AD422+AE409</f>
        <v>0</v>
      </c>
      <c r="AF71" s="93">
        <f>+'RS2'!AE425+'RS3'!AE422+AF409</f>
        <v>0</v>
      </c>
      <c r="AG71" s="93" t="str">
        <f>+'RS1'!AF424+'RS2'!AF425+'RS3'!AF422+AG409</f>
        <v>#REF!</v>
      </c>
      <c r="AH71" s="93" t="str">
        <f>+'RS1'!AG424+'RS2'!AG425+'RS3'!AG422+AH409</f>
        <v>#REF!</v>
      </c>
      <c r="AI71" s="93" t="str">
        <f>+'RS1'!AH424+'RS2'!AH425+'RS3'!AH422+AI409</f>
        <v>#REF!</v>
      </c>
      <c r="AJ71" s="93" t="str">
        <f>+'RS1'!AI424+'RS2'!AI425+'RS3'!AI422+AJ409</f>
        <v>#REF!</v>
      </c>
      <c r="AK71" s="93" t="str">
        <f>+'RS1'!AJ424+'RS2'!AJ425+'RS3'!AJ422+AK409</f>
        <v>#REF!</v>
      </c>
      <c r="AL71" s="93" t="str">
        <f>+'RS1'!AK424+'RS2'!AK425+'RS3'!AK422+AL409</f>
        <v>#REF!</v>
      </c>
      <c r="AM71" s="93" t="str">
        <f>+'RS1'!AL424+'RS2'!AL425+'RS3'!AL422+AM409</f>
        <v>#REF!</v>
      </c>
      <c r="AN71" s="93" t="str">
        <f>+'RS1'!AM424+'RS2'!AM425+'RS3'!AM422+AN409</f>
        <v>#REF!</v>
      </c>
      <c r="AO71" s="93" t="str">
        <f>+'RS1'!AN424+'RS2'!AN425+'RS3'!AN422+AO409</f>
        <v>#REF!</v>
      </c>
      <c r="AP71" s="93" t="str">
        <f>+'RS1'!AO424+'RS2'!AO425+'RS3'!AO422+AP409</f>
        <v>#REF!</v>
      </c>
      <c r="AQ71" s="93" t="str">
        <f>+'RS1'!AP424+'RS2'!AP425+'RS3'!AP422+AQ409</f>
        <v>#REF!</v>
      </c>
      <c r="AR71" s="93" t="str">
        <f>+'RS1'!AQ424+'RS2'!AQ425+'RS3'!AQ422+AR409</f>
        <v>#REF!</v>
      </c>
      <c r="AS71" s="93" t="str">
        <f>+'RS1'!AR424+'RS2'!AR425+'RS3'!AR422+AS409</f>
        <v>#REF!</v>
      </c>
      <c r="AT71" s="93" t="str">
        <f>+'RS1'!AS424+'RS2'!AS425+'RS3'!AS422+AT409</f>
        <v>#REF!</v>
      </c>
      <c r="AU71" s="93" t="str">
        <f>+'RS1'!AT424+'RS2'!AT425+'RS3'!AT422+AU409</f>
        <v>#REF!</v>
      </c>
      <c r="AV71" s="93" t="str">
        <f>+'RS1'!AU424+'RS2'!AU425+'RS3'!AU422+AV409</f>
        <v>#REF!</v>
      </c>
      <c r="AW71" s="90"/>
      <c r="AX71" s="90"/>
      <c r="AY71" s="90"/>
      <c r="AZ71" s="90"/>
      <c r="BA71" s="90"/>
      <c r="BB71" s="90"/>
      <c r="BC71" s="90"/>
      <c r="BD71" s="90"/>
      <c r="BE71" s="90"/>
      <c r="BF71" s="90"/>
      <c r="BG71" s="90"/>
      <c r="BH71" s="90"/>
      <c r="BI71" s="90"/>
      <c r="BJ71" s="90"/>
      <c r="BK71" s="90"/>
      <c r="BL71" s="90"/>
      <c r="BM71" s="90"/>
      <c r="BN71" s="90"/>
      <c r="BO71" s="90"/>
      <c r="BP71" s="90"/>
    </row>
    <row r="72" ht="12.75" hidden="1" customHeight="1" outlineLevel="1">
      <c r="A72" s="90"/>
      <c r="B72" s="64" t="s">
        <v>568</v>
      </c>
      <c r="F72" s="90"/>
      <c r="G72" s="90"/>
      <c r="H72" s="179"/>
      <c r="I72" s="179"/>
      <c r="J72" s="99"/>
      <c r="K72" s="99" t="str">
        <f>K421</f>
        <v/>
      </c>
      <c r="L72" s="99">
        <f>L421+'RS1'!K419+'RS3'!K417+'RS1'!K425+'RS3'!K423+'RS2'!K468-'RS2'!J468</f>
        <v>450000</v>
      </c>
      <c r="M72" s="93">
        <f>M421+'RS1'!L419+'RS3'!L417+'RS1'!L425+'RS3'!L423+'RS2'!L468-'RS2'!K468</f>
        <v>-200000</v>
      </c>
      <c r="N72" s="93">
        <f>N421+'RS1'!M419+'RS3'!M417+'RS1'!M425+'RS3'!M423+'RS2'!M468-'RS2'!L468</f>
        <v>0</v>
      </c>
      <c r="O72" s="93">
        <f>O421+'RS1'!N419+'RS3'!N417+'RS1'!N425+'RS3'!N423+'RS2'!N468-'RS2'!M468</f>
        <v>0</v>
      </c>
      <c r="P72" s="93">
        <f>P421+'RS1'!O419+'RS3'!O417+'RS1'!O425+'RS3'!O423+'RS2'!O468-'RS2'!N468</f>
        <v>0</v>
      </c>
      <c r="Q72" s="93">
        <f>Q421+'RS1'!P419+'RS3'!P417+'RS1'!P425+'RS3'!P423+'RS2'!P468-'RS2'!O468</f>
        <v>54121.608</v>
      </c>
      <c r="R72" s="93">
        <f>R421+'RS1'!Q419+'RS3'!Q417+'RS1'!Q425+'RS3'!Q423+'RS2'!Q468-'RS2'!P468</f>
        <v>303622.2209</v>
      </c>
      <c r="S72" s="93">
        <f>S421+'RS1'!R419+'RS3'!R417+'RS1'!R425+'RS3'!R423+'RS2'!R468-'RS2'!Q468</f>
        <v>397543.3911</v>
      </c>
      <c r="T72" s="93">
        <f>T421+'RS1'!S419+'RS3'!S417+'RS1'!S425+'RS3'!S423+'RS2'!S468-'RS2'!R468</f>
        <v>1263554.234</v>
      </c>
      <c r="U72" s="93">
        <f>U421+'RS1'!T419+'RS3'!T417+'RS1'!T425+'RS3'!T423+'RS2'!T468-'RS2'!S468</f>
        <v>1991820.948</v>
      </c>
      <c r="V72" s="93">
        <f>V421+'RS1'!U419+'RS3'!U417+'RS1'!U425+'RS3'!U423+'RS2'!U468-'RS2'!T468</f>
        <v>2775717.947</v>
      </c>
      <c r="W72" s="93">
        <f>W421+'RS1'!V419+'RS3'!V417+'RS1'!V425+'RS3'!V423+'RS2'!V468-'RS2'!U468</f>
        <v>9414249.46</v>
      </c>
      <c r="X72" s="93">
        <f>X421+'RS1'!W419+'RS3'!W417+'RS1'!W425+'RS3'!W423+'RS2'!W468-'RS2'!V468</f>
        <v>10464333.91</v>
      </c>
      <c r="Y72" s="93">
        <f>Y421+'RS1'!X419+'RS3'!X417+'RS1'!X425+'RS3'!X423+'RS2'!X468-'RS2'!W468</f>
        <v>12231984.46</v>
      </c>
      <c r="Z72" s="93">
        <f>Z421+'RS1'!Y419+'RS3'!Y417+'RS1'!Y425+'RS3'!Y423+'RS2'!Y468-'RS2'!X468</f>
        <v>13243675.25</v>
      </c>
      <c r="AA72" s="93">
        <f>AA421+'RS1'!Z419+'RS3'!Z417+'RS1'!Z425+'RS3'!Z423+'RS2'!Z468-'RS2'!Y468</f>
        <v>25069434.81</v>
      </c>
      <c r="AB72" s="93">
        <f>AB421+'RS1'!AA419+'RS3'!AA417+'RS1'!AA425+'RS3'!AA423+'RS2'!AA468-'RS2'!Z468</f>
        <v>37166102.56</v>
      </c>
      <c r="AC72" s="93">
        <f>AC421+'RS1'!AB419+'RS3'!AB417+'RS1'!AB425+'RS3'!AB423+'RS2'!AB468-'RS2'!AA468</f>
        <v>45457033.91</v>
      </c>
      <c r="AD72" s="93">
        <f>AD421+'RS1'!AC419+'RS3'!AC417+'RS1'!AC425+'RS3'!AC423+'RS2'!AC468-'RS2'!AB468</f>
        <v>50877798.95</v>
      </c>
      <c r="AE72" s="93">
        <f>AE421+'RS1'!AD419+'RS3'!AD417+'RS1'!AD425+'RS3'!AD423+'RS2'!AD468-'RS2'!AC468</f>
        <v>51704057.06</v>
      </c>
      <c r="AF72" s="93">
        <f>AF421+'RS1'!AE419+'RS3'!AE417+'RS1'!AE425+'RS3'!AE423+'RS2'!AE468-'RS2'!AD468</f>
        <v>48006178.05</v>
      </c>
      <c r="AG72" s="93">
        <f>AG421+'RS1'!AF419+'RS3'!AF417+'RS1'!AF425+'RS3'!AF423+'RS2'!AF468-'RS2'!AE468</f>
        <v>36095345.19</v>
      </c>
      <c r="AH72" s="93">
        <f>AH421+'RS1'!AG419+'RS3'!AG417+'RS1'!AG425+'RS3'!AG423+'RS2'!AG468-'RS2'!AF468</f>
        <v>9022512.855</v>
      </c>
      <c r="AI72" s="93">
        <f>AI421+'RS1'!AH419+'RS3'!AH417+'RS1'!AH425+'RS3'!AH423+'RS2'!AH468-'RS2'!AG468</f>
        <v>-69187872.93</v>
      </c>
      <c r="AJ72" s="93">
        <f>AJ421+'RS1'!AI419+'RS3'!AI417+'RS1'!AI425+'RS3'!AI423+'RS2'!AI468-'RS2'!AH468</f>
        <v>-87730551.76</v>
      </c>
      <c r="AK72" s="93">
        <f>AK421+'RS1'!AJ419+'RS3'!AJ417+'RS1'!AJ425+'RS3'!AJ423+'RS2'!AJ468-'RS2'!AI468</f>
        <v>-90657221.22</v>
      </c>
      <c r="AL72" s="93">
        <f>AL421+'RS1'!AK419+'RS3'!AK417+'RS1'!AK425+'RS3'!AK423+'RS2'!AK468-'RS2'!AJ468</f>
        <v>-77736102.72</v>
      </c>
      <c r="AM72" s="93" t="str">
        <f>AM421+'RS1'!AL419+'RS2'!AL419+'RS3'!AL417+'RS1'!AL425+'RS2'!AL426+'RS3'!AL423</f>
        <v>#REF!</v>
      </c>
      <c r="AN72" s="93" t="str">
        <f>AN421+'RS1'!AM419+'RS2'!AM419+'RS3'!AM417+'RS1'!AM425+'RS2'!AM426+'RS3'!AM423</f>
        <v>#REF!</v>
      </c>
      <c r="AO72" s="93" t="str">
        <f>AO421+'RS1'!AN419+'RS2'!AN419+'RS3'!AN417+'RS1'!AN425+'RS2'!AN426+'RS3'!AN423</f>
        <v>#REF!</v>
      </c>
      <c r="AP72" s="93" t="str">
        <f>AP421+'RS1'!AO419+'RS2'!AO419+'RS3'!AO417+'RS1'!AO425+'RS2'!AO426+'RS3'!AO423</f>
        <v>#REF!</v>
      </c>
      <c r="AQ72" s="93" t="str">
        <f>AQ421+'RS1'!AP419+'RS2'!AP419+'RS3'!AP417+'RS1'!AP425+'RS2'!AP426+'RS3'!AP423</f>
        <v>#REF!</v>
      </c>
      <c r="AR72" s="93" t="str">
        <f>AR421+'RS1'!AQ419+'RS2'!AQ419+'RS3'!AQ417+'RS1'!AQ425+'RS2'!AQ426+'RS3'!AQ423</f>
        <v>#REF!</v>
      </c>
      <c r="AS72" s="93" t="str">
        <f>AS421+'RS1'!AR419+'RS2'!AR419+'RS3'!AR417+'RS1'!AR425+'RS2'!AR426+'RS3'!AR423</f>
        <v>#REF!</v>
      </c>
      <c r="AT72" s="93" t="str">
        <f>AT421+'RS1'!AS419+'RS2'!AS419+'RS3'!AS417+'RS1'!AS425+'RS2'!AS426+'RS3'!AS423</f>
        <v>#REF!</v>
      </c>
      <c r="AU72" s="93" t="str">
        <f>AU421+'RS1'!AT419+'RS2'!AT419+'RS3'!AT417+'RS1'!AT425+'RS2'!AT426+'RS3'!AT423</f>
        <v>#REF!</v>
      </c>
      <c r="AV72" s="93" t="str">
        <f>AV421+'RS1'!AU419+'RS2'!AU419+'RS3'!AU417+'RS1'!AU425+'RS2'!AU426+'RS3'!AU423</f>
        <v>#REF!</v>
      </c>
      <c r="AW72" s="90"/>
      <c r="AX72" s="90"/>
      <c r="AY72" s="90"/>
      <c r="AZ72" s="90"/>
      <c r="BA72" s="90"/>
      <c r="BB72" s="90"/>
      <c r="BC72" s="90"/>
      <c r="BD72" s="90"/>
      <c r="BE72" s="90"/>
      <c r="BF72" s="90"/>
      <c r="BG72" s="90"/>
      <c r="BH72" s="90"/>
      <c r="BI72" s="90"/>
      <c r="BJ72" s="90"/>
      <c r="BK72" s="90"/>
      <c r="BL72" s="90"/>
      <c r="BM72" s="90"/>
      <c r="BN72" s="90"/>
      <c r="BO72" s="90"/>
      <c r="BP72" s="90"/>
    </row>
    <row r="73" ht="12.75" hidden="1" customHeight="1" outlineLevel="1">
      <c r="A73" s="90"/>
      <c r="B73" s="64" t="s">
        <v>569</v>
      </c>
      <c r="F73" s="90"/>
      <c r="G73" s="90"/>
      <c r="H73" s="179"/>
      <c r="I73" s="179"/>
      <c r="J73" s="99"/>
      <c r="K73" s="99">
        <f>'RS1'!J418++'RS1'!J424</f>
        <v>325000</v>
      </c>
      <c r="L73" s="99" t="str">
        <f>L433+'RS3'!K418+'RS3'!K424+'RS1'!K418+'RS1'!K424+'RS2'!K419+'RS2'!K426</f>
        <v>#REF!</v>
      </c>
      <c r="M73" s="93" t="str">
        <f>M433+'RS3'!L418+'RS3'!L424+'RS1'!L418+'RS1'!L424+'RS2'!L419+'RS2'!L426</f>
        <v>#REF!</v>
      </c>
      <c r="N73" s="93" t="str">
        <f>N433+'RS3'!M418+'RS3'!M424+'RS1'!M418+'RS1'!M424+'RS2'!M419+'RS2'!M426</f>
        <v>#REF!</v>
      </c>
      <c r="O73" s="93" t="str">
        <f>O433+'RS3'!N418+'RS3'!N424+'RS1'!N418+'RS1'!N424+'RS2'!N419+'RS2'!N426</f>
        <v>#REF!</v>
      </c>
      <c r="P73" s="93" t="str">
        <f>P433+'RS3'!O418+'RS3'!O424+'RS1'!O418+'RS1'!O424+'RS2'!O419+'RS2'!O426</f>
        <v>#REF!</v>
      </c>
      <c r="Q73" s="93" t="str">
        <f>Q433+'RS3'!P418+'RS3'!P424+'RS1'!P418+'RS1'!P424+'RS2'!P419+'RS2'!P426</f>
        <v>#REF!</v>
      </c>
      <c r="R73" s="93" t="str">
        <f>R433+'RS3'!Q418+'RS3'!Q424+'RS1'!Q418+'RS1'!Q424+'RS2'!Q419+'RS2'!Q426</f>
        <v>#REF!</v>
      </c>
      <c r="S73" s="93" t="str">
        <f>S433+'RS3'!R418+'RS3'!R424+'RS1'!R418+'RS1'!R424+'RS2'!R419+'RS2'!R426</f>
        <v>#REF!</v>
      </c>
      <c r="T73" s="93" t="str">
        <f>T433+'RS3'!S418+'RS3'!S424+'RS1'!S418+'RS1'!S424+'RS2'!S419+'RS2'!S426</f>
        <v>#REF!</v>
      </c>
      <c r="U73" s="93" t="str">
        <f>U433+'RS3'!T418+'RS3'!T424+'RS1'!T418+'RS1'!T424+'RS2'!T419+'RS2'!T426</f>
        <v>#REF!</v>
      </c>
      <c r="V73" s="93" t="str">
        <f>V433+'RS3'!U418+'RS3'!U424+'RS1'!U418+'RS1'!U424+'RS2'!U419+'RS2'!U426</f>
        <v>#REF!</v>
      </c>
      <c r="W73" s="93" t="str">
        <f>W433+'RS3'!V418+'RS3'!V424+'RS1'!V418+'RS1'!V424+'RS2'!V419+'RS2'!V426</f>
        <v>#REF!</v>
      </c>
      <c r="X73" s="93" t="str">
        <f>X433+'RS3'!W418+'RS3'!W424+'RS1'!W418+'RS1'!W424+'RS2'!W419+'RS2'!W426</f>
        <v>#REF!</v>
      </c>
      <c r="Y73" s="93" t="str">
        <f>Y433+'RS3'!X418+'RS3'!X424+'RS1'!X418+'RS1'!X424+'RS2'!X419+'RS2'!X426</f>
        <v>#REF!</v>
      </c>
      <c r="Z73" s="93" t="str">
        <f>Z433+'RS3'!Y418+'RS3'!Y424+'RS1'!Y418+'RS1'!Y424+'RS2'!Y419+'RS2'!Y426</f>
        <v>#REF!</v>
      </c>
      <c r="AA73" s="93" t="str">
        <f>AA433+'RS3'!Z418+'RS3'!Z424+'RS1'!Z418+'RS1'!Z424+'RS2'!Z419+'RS2'!Z426</f>
        <v>#REF!</v>
      </c>
      <c r="AB73" s="93" t="str">
        <f>AB433+'RS3'!AA418+'RS3'!AA424+'RS1'!AA418+'RS1'!AA424+'RS2'!AA419+'RS2'!AA426</f>
        <v>#REF!</v>
      </c>
      <c r="AC73" s="93" t="str">
        <f>AC433+'RS3'!AB418+'RS3'!AB424+'RS1'!AB418+'RS1'!AB424+'RS2'!AB419+'RS2'!AB426</f>
        <v>#REF!</v>
      </c>
      <c r="AD73" s="93" t="str">
        <f>AD433+'RS3'!AC418+'RS3'!AC424+'RS1'!AC418+'RS1'!AC424+'RS2'!AC419+'RS2'!AC426</f>
        <v>#REF!</v>
      </c>
      <c r="AE73" s="93" t="str">
        <f>AE433+'RS3'!AD418+'RS3'!AD424+'RS1'!AD418+'RS1'!AD424+'RS2'!AD419+'RS2'!AD426</f>
        <v>#REF!</v>
      </c>
      <c r="AF73" s="93" t="str">
        <f>AF433+'RS3'!AE418+'RS3'!AE424+'RS1'!AE418+'RS1'!AE424+'RS2'!AE419+'RS2'!AE426</f>
        <v>#REF!</v>
      </c>
      <c r="AG73" s="93" t="str">
        <f>AG433+'RS3'!AF418+'RS3'!AF424</f>
        <v>#REF!</v>
      </c>
      <c r="AH73" s="93" t="str">
        <f>AH433+'RS3'!AG418+'RS3'!AG424</f>
        <v>#REF!</v>
      </c>
      <c r="AI73" s="93" t="str">
        <f>AI433+'RS3'!AH418+'RS3'!AH424</f>
        <v>#REF!</v>
      </c>
      <c r="AJ73" s="93" t="str">
        <f>AJ433+'RS3'!AI418+'RS3'!AI424</f>
        <v>#REF!</v>
      </c>
      <c r="AK73" s="93" t="str">
        <f>AK433+'RS3'!AJ418+'RS3'!AJ424</f>
        <v>#REF!</v>
      </c>
      <c r="AL73" s="93" t="str">
        <f>AL433+'RS3'!AK418+'RS3'!AK424</f>
        <v>#REF!</v>
      </c>
      <c r="AM73" s="93" t="str">
        <f>AM433+'RS3'!AL418+'RS3'!AL424</f>
        <v>#REF!</v>
      </c>
      <c r="AN73" s="93" t="str">
        <f>AN433+'RS3'!AM418+'RS3'!AM424</f>
        <v>#REF!</v>
      </c>
      <c r="AO73" s="93" t="str">
        <f>AO433+'RS3'!AN418+'RS3'!AN424</f>
        <v>#REF!</v>
      </c>
      <c r="AP73" s="93" t="str">
        <f>AP433+'RS3'!AO418+'RS3'!AO424</f>
        <v>#REF!</v>
      </c>
      <c r="AQ73" s="93" t="str">
        <f>AQ433+'RS3'!AP418+'RS3'!AP424</f>
        <v>#REF!</v>
      </c>
      <c r="AR73" s="93" t="str">
        <f>AR433+'RS3'!AQ418+'RS3'!AQ424</f>
        <v>#REF!</v>
      </c>
      <c r="AS73" s="93" t="str">
        <f>AS433+'RS3'!AR418+'RS3'!AR424</f>
        <v>#REF!</v>
      </c>
      <c r="AT73" s="93" t="str">
        <f>AT433+'RS3'!AS418+'RS3'!AS424</f>
        <v>#REF!</v>
      </c>
      <c r="AU73" s="93" t="str">
        <f>AU433+'RS3'!AT418+'RS3'!AT424</f>
        <v>#REF!</v>
      </c>
      <c r="AV73" s="93" t="str">
        <f>AV433+'RS3'!AU418+'RS3'!AU424</f>
        <v>#REF!</v>
      </c>
      <c r="AW73" s="90"/>
      <c r="AX73" s="90"/>
      <c r="AY73" s="90"/>
      <c r="AZ73" s="90"/>
      <c r="BA73" s="90"/>
      <c r="BB73" s="90"/>
      <c r="BC73" s="90"/>
      <c r="BD73" s="90"/>
      <c r="BE73" s="90"/>
      <c r="BF73" s="90"/>
      <c r="BG73" s="90"/>
      <c r="BH73" s="90"/>
      <c r="BI73" s="90"/>
      <c r="BJ73" s="90"/>
      <c r="BK73" s="90"/>
      <c r="BL73" s="90"/>
      <c r="BM73" s="90"/>
      <c r="BN73" s="90"/>
      <c r="BO73" s="90"/>
      <c r="BP73" s="90"/>
    </row>
    <row r="74" ht="12.75" hidden="1" customHeight="1" outlineLevel="1">
      <c r="A74" s="90"/>
      <c r="B74" s="134" t="s">
        <v>482</v>
      </c>
      <c r="C74" s="148"/>
      <c r="D74" s="148"/>
      <c r="E74" s="148"/>
      <c r="F74" s="148"/>
      <c r="G74" s="148"/>
      <c r="H74" s="148"/>
      <c r="I74" s="148"/>
      <c r="J74" s="150"/>
      <c r="K74" s="150">
        <f t="shared" ref="K74:AV74" si="28">SUM(K69:K73)</f>
        <v>525000</v>
      </c>
      <c r="L74" s="150" t="str">
        <f t="shared" si="28"/>
        <v>#REF!</v>
      </c>
      <c r="M74" s="151" t="str">
        <f t="shared" si="28"/>
        <v>#REF!</v>
      </c>
      <c r="N74" s="151" t="str">
        <f t="shared" si="28"/>
        <v>#REF!</v>
      </c>
      <c r="O74" s="151" t="str">
        <f t="shared" si="28"/>
        <v>#REF!</v>
      </c>
      <c r="P74" s="151" t="str">
        <f t="shared" si="28"/>
        <v>#REF!</v>
      </c>
      <c r="Q74" s="151" t="str">
        <f t="shared" si="28"/>
        <v>#REF!</v>
      </c>
      <c r="R74" s="151" t="str">
        <f t="shared" si="28"/>
        <v>#REF!</v>
      </c>
      <c r="S74" s="151" t="str">
        <f t="shared" si="28"/>
        <v>#REF!</v>
      </c>
      <c r="T74" s="151" t="str">
        <f t="shared" si="28"/>
        <v>#REF!</v>
      </c>
      <c r="U74" s="151" t="str">
        <f t="shared" si="28"/>
        <v>#REF!</v>
      </c>
      <c r="V74" s="151" t="str">
        <f t="shared" si="28"/>
        <v>#REF!</v>
      </c>
      <c r="W74" s="151" t="str">
        <f t="shared" si="28"/>
        <v>#REF!</v>
      </c>
      <c r="X74" s="151" t="str">
        <f t="shared" si="28"/>
        <v>#REF!</v>
      </c>
      <c r="Y74" s="151" t="str">
        <f t="shared" si="28"/>
        <v>#REF!</v>
      </c>
      <c r="Z74" s="151" t="str">
        <f t="shared" si="28"/>
        <v>#REF!</v>
      </c>
      <c r="AA74" s="151" t="str">
        <f t="shared" si="28"/>
        <v>#REF!</v>
      </c>
      <c r="AB74" s="151" t="str">
        <f t="shared" si="28"/>
        <v>#REF!</v>
      </c>
      <c r="AC74" s="151" t="str">
        <f t="shared" si="28"/>
        <v>#REF!</v>
      </c>
      <c r="AD74" s="151" t="str">
        <f t="shared" si="28"/>
        <v>#REF!</v>
      </c>
      <c r="AE74" s="151" t="str">
        <f t="shared" si="28"/>
        <v>#REF!</v>
      </c>
      <c r="AF74" s="151" t="str">
        <f t="shared" si="28"/>
        <v>#REF!</v>
      </c>
      <c r="AG74" s="151" t="str">
        <f t="shared" si="28"/>
        <v>#REF!</v>
      </c>
      <c r="AH74" s="151" t="str">
        <f t="shared" si="28"/>
        <v>#REF!</v>
      </c>
      <c r="AI74" s="151" t="str">
        <f t="shared" si="28"/>
        <v>#REF!</v>
      </c>
      <c r="AJ74" s="151" t="str">
        <f t="shared" si="28"/>
        <v>#REF!</v>
      </c>
      <c r="AK74" s="151" t="str">
        <f t="shared" si="28"/>
        <v>#REF!</v>
      </c>
      <c r="AL74" s="151" t="str">
        <f t="shared" si="28"/>
        <v>#REF!</v>
      </c>
      <c r="AM74" s="151" t="str">
        <f t="shared" si="28"/>
        <v>#REF!</v>
      </c>
      <c r="AN74" s="151" t="str">
        <f t="shared" si="28"/>
        <v>#REF!</v>
      </c>
      <c r="AO74" s="151" t="str">
        <f t="shared" si="28"/>
        <v>#REF!</v>
      </c>
      <c r="AP74" s="151" t="str">
        <f t="shared" si="28"/>
        <v>#REF!</v>
      </c>
      <c r="AQ74" s="151" t="str">
        <f t="shared" si="28"/>
        <v>#REF!</v>
      </c>
      <c r="AR74" s="151" t="str">
        <f t="shared" si="28"/>
        <v>#REF!</v>
      </c>
      <c r="AS74" s="151" t="str">
        <f t="shared" si="28"/>
        <v>#REF!</v>
      </c>
      <c r="AT74" s="151" t="str">
        <f t="shared" si="28"/>
        <v>#REF!</v>
      </c>
      <c r="AU74" s="151" t="str">
        <f t="shared" si="28"/>
        <v>#REF!</v>
      </c>
      <c r="AV74" s="151" t="str">
        <f t="shared" si="28"/>
        <v>#REF!</v>
      </c>
      <c r="AW74" s="90"/>
      <c r="AX74" s="90"/>
      <c r="AY74" s="90"/>
      <c r="AZ74" s="90"/>
      <c r="BA74" s="90"/>
      <c r="BB74" s="90"/>
      <c r="BC74" s="90"/>
      <c r="BD74" s="90"/>
      <c r="BE74" s="90"/>
      <c r="BF74" s="90"/>
      <c r="BG74" s="90"/>
      <c r="BH74" s="90"/>
      <c r="BI74" s="90"/>
      <c r="BJ74" s="90"/>
      <c r="BK74" s="90"/>
      <c r="BL74" s="90"/>
      <c r="BM74" s="90"/>
      <c r="BN74" s="90"/>
      <c r="BO74" s="90"/>
      <c r="BP74" s="90"/>
    </row>
    <row r="75" ht="12.75" hidden="1" customHeight="1" outlineLevel="1">
      <c r="A75" s="134" t="s">
        <v>483</v>
      </c>
      <c r="B75" s="134"/>
      <c r="C75" s="134"/>
      <c r="D75" s="134"/>
      <c r="E75" s="134"/>
      <c r="F75" s="134"/>
      <c r="G75" s="134"/>
      <c r="H75" s="300"/>
      <c r="I75" s="300"/>
      <c r="J75" s="251"/>
      <c r="K75" s="251">
        <f t="shared" ref="K75:AV75" si="29">K60+K65+K74</f>
        <v>70675.63</v>
      </c>
      <c r="L75" s="251" t="str">
        <f t="shared" si="29"/>
        <v>#REF!</v>
      </c>
      <c r="M75" s="151" t="str">
        <f t="shared" si="29"/>
        <v>#REF!</v>
      </c>
      <c r="N75" s="151" t="str">
        <f t="shared" si="29"/>
        <v>#REF!</v>
      </c>
      <c r="O75" s="151" t="str">
        <f t="shared" si="29"/>
        <v>#REF!</v>
      </c>
      <c r="P75" s="151" t="str">
        <f t="shared" si="29"/>
        <v>#REF!</v>
      </c>
      <c r="Q75" s="151" t="str">
        <f t="shared" si="29"/>
        <v>#REF!</v>
      </c>
      <c r="R75" s="151" t="str">
        <f t="shared" si="29"/>
        <v>#REF!</v>
      </c>
      <c r="S75" s="151" t="str">
        <f t="shared" si="29"/>
        <v>#REF!</v>
      </c>
      <c r="T75" s="151" t="str">
        <f t="shared" si="29"/>
        <v>#REF!</v>
      </c>
      <c r="U75" s="151" t="str">
        <f t="shared" si="29"/>
        <v>#REF!</v>
      </c>
      <c r="V75" s="151" t="str">
        <f t="shared" si="29"/>
        <v>#REF!</v>
      </c>
      <c r="W75" s="151" t="str">
        <f t="shared" si="29"/>
        <v>#REF!</v>
      </c>
      <c r="X75" s="151" t="str">
        <f t="shared" si="29"/>
        <v>#REF!</v>
      </c>
      <c r="Y75" s="151" t="str">
        <f t="shared" si="29"/>
        <v>#REF!</v>
      </c>
      <c r="Z75" s="151" t="str">
        <f t="shared" si="29"/>
        <v>#REF!</v>
      </c>
      <c r="AA75" s="151" t="str">
        <f t="shared" si="29"/>
        <v>#REF!</v>
      </c>
      <c r="AB75" s="151" t="str">
        <f t="shared" si="29"/>
        <v>#REF!</v>
      </c>
      <c r="AC75" s="151" t="str">
        <f t="shared" si="29"/>
        <v>#REF!</v>
      </c>
      <c r="AD75" s="151" t="str">
        <f t="shared" si="29"/>
        <v>#REF!</v>
      </c>
      <c r="AE75" s="151" t="str">
        <f t="shared" si="29"/>
        <v>#REF!</v>
      </c>
      <c r="AF75" s="151" t="str">
        <f t="shared" si="29"/>
        <v>#REF!</v>
      </c>
      <c r="AG75" s="151" t="str">
        <f t="shared" si="29"/>
        <v>#REF!</v>
      </c>
      <c r="AH75" s="151" t="str">
        <f t="shared" si="29"/>
        <v>#REF!</v>
      </c>
      <c r="AI75" s="151" t="str">
        <f t="shared" si="29"/>
        <v>#REF!</v>
      </c>
      <c r="AJ75" s="151" t="str">
        <f t="shared" si="29"/>
        <v>#REF!</v>
      </c>
      <c r="AK75" s="151" t="str">
        <f t="shared" si="29"/>
        <v>#REF!</v>
      </c>
      <c r="AL75" s="151" t="str">
        <f t="shared" si="29"/>
        <v>#REF!</v>
      </c>
      <c r="AM75" s="151" t="str">
        <f t="shared" si="29"/>
        <v>#REF!</v>
      </c>
      <c r="AN75" s="151" t="str">
        <f t="shared" si="29"/>
        <v>#REF!</v>
      </c>
      <c r="AO75" s="151" t="str">
        <f t="shared" si="29"/>
        <v>#REF!</v>
      </c>
      <c r="AP75" s="151" t="str">
        <f t="shared" si="29"/>
        <v>#REF!</v>
      </c>
      <c r="AQ75" s="151" t="str">
        <f t="shared" si="29"/>
        <v>#REF!</v>
      </c>
      <c r="AR75" s="151" t="str">
        <f t="shared" si="29"/>
        <v>#REF!</v>
      </c>
      <c r="AS75" s="151" t="str">
        <f t="shared" si="29"/>
        <v>#REF!</v>
      </c>
      <c r="AT75" s="151" t="str">
        <f t="shared" si="29"/>
        <v>#REF!</v>
      </c>
      <c r="AU75" s="151" t="str">
        <f t="shared" si="29"/>
        <v>#REF!</v>
      </c>
      <c r="AV75" s="151" t="str">
        <f t="shared" si="29"/>
        <v>#REF!</v>
      </c>
      <c r="AW75" s="90"/>
      <c r="AX75" s="90"/>
      <c r="AY75" s="90"/>
      <c r="AZ75" s="90"/>
      <c r="BA75" s="90"/>
      <c r="BB75" s="90"/>
      <c r="BC75" s="90"/>
      <c r="BD75" s="90"/>
      <c r="BE75" s="90"/>
      <c r="BF75" s="90"/>
      <c r="BG75" s="90"/>
      <c r="BH75" s="90"/>
      <c r="BI75" s="90"/>
      <c r="BJ75" s="90"/>
      <c r="BK75" s="90"/>
      <c r="BL75" s="90"/>
      <c r="BM75" s="90"/>
      <c r="BN75" s="90"/>
      <c r="BO75" s="90"/>
      <c r="BP75" s="90"/>
    </row>
    <row r="76" ht="12.75" hidden="1" customHeight="1" outlineLevel="1">
      <c r="A76" s="67"/>
      <c r="B76" s="90" t="s">
        <v>216</v>
      </c>
      <c r="C76" s="67"/>
      <c r="D76" s="67"/>
      <c r="E76" s="67"/>
      <c r="F76" s="67"/>
      <c r="G76" s="67"/>
      <c r="H76" s="179"/>
      <c r="I76" s="179"/>
      <c r="J76" s="99"/>
      <c r="K76" s="147">
        <f>'RS1'!J429</f>
        <v>159494</v>
      </c>
      <c r="L76" s="147">
        <f t="shared" ref="L76:AV76" si="30">K77</f>
        <v>242669.38</v>
      </c>
      <c r="M76" s="93" t="str">
        <f t="shared" si="30"/>
        <v>#REF!</v>
      </c>
      <c r="N76" s="93" t="str">
        <f t="shared" si="30"/>
        <v>#REF!</v>
      </c>
      <c r="O76" s="93" t="str">
        <f t="shared" si="30"/>
        <v>#REF!</v>
      </c>
      <c r="P76" s="93" t="str">
        <f t="shared" si="30"/>
        <v>#REF!</v>
      </c>
      <c r="Q76" s="93" t="str">
        <f t="shared" si="30"/>
        <v>#REF!</v>
      </c>
      <c r="R76" s="93" t="str">
        <f t="shared" si="30"/>
        <v>#REF!</v>
      </c>
      <c r="S76" s="93" t="str">
        <f t="shared" si="30"/>
        <v>#REF!</v>
      </c>
      <c r="T76" s="93" t="str">
        <f t="shared" si="30"/>
        <v>#REF!</v>
      </c>
      <c r="U76" s="93" t="str">
        <f t="shared" si="30"/>
        <v>#REF!</v>
      </c>
      <c r="V76" s="93" t="str">
        <f t="shared" si="30"/>
        <v>#REF!</v>
      </c>
      <c r="W76" s="93" t="str">
        <f t="shared" si="30"/>
        <v>#REF!</v>
      </c>
      <c r="X76" s="93" t="str">
        <f t="shared" si="30"/>
        <v>#REF!</v>
      </c>
      <c r="Y76" s="93" t="str">
        <f t="shared" si="30"/>
        <v>#REF!</v>
      </c>
      <c r="Z76" s="93" t="str">
        <f t="shared" si="30"/>
        <v>#REF!</v>
      </c>
      <c r="AA76" s="93" t="str">
        <f t="shared" si="30"/>
        <v>#REF!</v>
      </c>
      <c r="AB76" s="93" t="str">
        <f t="shared" si="30"/>
        <v>#REF!</v>
      </c>
      <c r="AC76" s="93" t="str">
        <f t="shared" si="30"/>
        <v>#REF!</v>
      </c>
      <c r="AD76" s="93" t="str">
        <f t="shared" si="30"/>
        <v>#REF!</v>
      </c>
      <c r="AE76" s="93" t="str">
        <f t="shared" si="30"/>
        <v>#REF!</v>
      </c>
      <c r="AF76" s="93" t="str">
        <f t="shared" si="30"/>
        <v>#REF!</v>
      </c>
      <c r="AG76" s="93" t="str">
        <f t="shared" si="30"/>
        <v>#REF!</v>
      </c>
      <c r="AH76" s="93" t="str">
        <f t="shared" si="30"/>
        <v>#REF!</v>
      </c>
      <c r="AI76" s="93" t="str">
        <f t="shared" si="30"/>
        <v>#REF!</v>
      </c>
      <c r="AJ76" s="93" t="str">
        <f t="shared" si="30"/>
        <v>#REF!</v>
      </c>
      <c r="AK76" s="93" t="str">
        <f t="shared" si="30"/>
        <v>#REF!</v>
      </c>
      <c r="AL76" s="93" t="str">
        <f t="shared" si="30"/>
        <v>#REF!</v>
      </c>
      <c r="AM76" s="93" t="str">
        <f t="shared" si="30"/>
        <v>#REF!</v>
      </c>
      <c r="AN76" s="93" t="str">
        <f t="shared" si="30"/>
        <v>#REF!</v>
      </c>
      <c r="AO76" s="93" t="str">
        <f t="shared" si="30"/>
        <v>#REF!</v>
      </c>
      <c r="AP76" s="93" t="str">
        <f t="shared" si="30"/>
        <v>#REF!</v>
      </c>
      <c r="AQ76" s="93" t="str">
        <f t="shared" si="30"/>
        <v>#REF!</v>
      </c>
      <c r="AR76" s="93" t="str">
        <f t="shared" si="30"/>
        <v>#REF!</v>
      </c>
      <c r="AS76" s="93" t="str">
        <f t="shared" si="30"/>
        <v>#REF!</v>
      </c>
      <c r="AT76" s="93" t="str">
        <f t="shared" si="30"/>
        <v>#REF!</v>
      </c>
      <c r="AU76" s="93" t="str">
        <f t="shared" si="30"/>
        <v>#REF!</v>
      </c>
      <c r="AV76" s="93" t="str">
        <f t="shared" si="30"/>
        <v>#REF!</v>
      </c>
      <c r="AW76" s="90"/>
      <c r="AX76" s="90"/>
      <c r="AY76" s="90"/>
      <c r="AZ76" s="90"/>
      <c r="BA76" s="90"/>
      <c r="BB76" s="90"/>
      <c r="BC76" s="90"/>
      <c r="BD76" s="90"/>
      <c r="BE76" s="90"/>
      <c r="BF76" s="90"/>
      <c r="BG76" s="90"/>
      <c r="BH76" s="90"/>
      <c r="BI76" s="90"/>
      <c r="BJ76" s="90"/>
      <c r="BK76" s="90"/>
      <c r="BL76" s="90"/>
      <c r="BM76" s="90"/>
      <c r="BN76" s="90"/>
      <c r="BO76" s="90"/>
      <c r="BP76" s="90"/>
    </row>
    <row r="77" ht="12.75" hidden="1" customHeight="1" outlineLevel="1">
      <c r="A77" s="131" t="s">
        <v>484</v>
      </c>
      <c r="B77" s="131"/>
      <c r="C77" s="131"/>
      <c r="D77" s="131"/>
      <c r="E77" s="131"/>
      <c r="F77" s="131"/>
      <c r="G77" s="131"/>
      <c r="H77" s="131"/>
      <c r="I77" s="131"/>
      <c r="J77" s="252"/>
      <c r="K77" s="252">
        <v>242669.38</v>
      </c>
      <c r="L77" s="252" t="str">
        <f t="shared" ref="L77:AV77" si="31">L75+L76</f>
        <v>#REF!</v>
      </c>
      <c r="M77" s="133" t="str">
        <f t="shared" si="31"/>
        <v>#REF!</v>
      </c>
      <c r="N77" s="133" t="str">
        <f t="shared" si="31"/>
        <v>#REF!</v>
      </c>
      <c r="O77" s="133" t="str">
        <f t="shared" si="31"/>
        <v>#REF!</v>
      </c>
      <c r="P77" s="133" t="str">
        <f t="shared" si="31"/>
        <v>#REF!</v>
      </c>
      <c r="Q77" s="133" t="str">
        <f t="shared" si="31"/>
        <v>#REF!</v>
      </c>
      <c r="R77" s="133" t="str">
        <f t="shared" si="31"/>
        <v>#REF!</v>
      </c>
      <c r="S77" s="133" t="str">
        <f t="shared" si="31"/>
        <v>#REF!</v>
      </c>
      <c r="T77" s="133" t="str">
        <f t="shared" si="31"/>
        <v>#REF!</v>
      </c>
      <c r="U77" s="133" t="str">
        <f t="shared" si="31"/>
        <v>#REF!</v>
      </c>
      <c r="V77" s="133" t="str">
        <f t="shared" si="31"/>
        <v>#REF!</v>
      </c>
      <c r="W77" s="133" t="str">
        <f t="shared" si="31"/>
        <v>#REF!</v>
      </c>
      <c r="X77" s="133" t="str">
        <f t="shared" si="31"/>
        <v>#REF!</v>
      </c>
      <c r="Y77" s="133" t="str">
        <f t="shared" si="31"/>
        <v>#REF!</v>
      </c>
      <c r="Z77" s="133" t="str">
        <f t="shared" si="31"/>
        <v>#REF!</v>
      </c>
      <c r="AA77" s="133" t="str">
        <f t="shared" si="31"/>
        <v>#REF!</v>
      </c>
      <c r="AB77" s="133" t="str">
        <f t="shared" si="31"/>
        <v>#REF!</v>
      </c>
      <c r="AC77" s="133" t="str">
        <f t="shared" si="31"/>
        <v>#REF!</v>
      </c>
      <c r="AD77" s="133" t="str">
        <f t="shared" si="31"/>
        <v>#REF!</v>
      </c>
      <c r="AE77" s="133" t="str">
        <f t="shared" si="31"/>
        <v>#REF!</v>
      </c>
      <c r="AF77" s="133" t="str">
        <f t="shared" si="31"/>
        <v>#REF!</v>
      </c>
      <c r="AG77" s="133" t="str">
        <f t="shared" si="31"/>
        <v>#REF!</v>
      </c>
      <c r="AH77" s="133" t="str">
        <f t="shared" si="31"/>
        <v>#REF!</v>
      </c>
      <c r="AI77" s="133" t="str">
        <f t="shared" si="31"/>
        <v>#REF!</v>
      </c>
      <c r="AJ77" s="133" t="str">
        <f t="shared" si="31"/>
        <v>#REF!</v>
      </c>
      <c r="AK77" s="133" t="str">
        <f t="shared" si="31"/>
        <v>#REF!</v>
      </c>
      <c r="AL77" s="133" t="str">
        <f t="shared" si="31"/>
        <v>#REF!</v>
      </c>
      <c r="AM77" s="133" t="str">
        <f t="shared" si="31"/>
        <v>#REF!</v>
      </c>
      <c r="AN77" s="133" t="str">
        <f t="shared" si="31"/>
        <v>#REF!</v>
      </c>
      <c r="AO77" s="133" t="str">
        <f t="shared" si="31"/>
        <v>#REF!</v>
      </c>
      <c r="AP77" s="133" t="str">
        <f t="shared" si="31"/>
        <v>#REF!</v>
      </c>
      <c r="AQ77" s="133" t="str">
        <f t="shared" si="31"/>
        <v>#REF!</v>
      </c>
      <c r="AR77" s="133" t="str">
        <f t="shared" si="31"/>
        <v>#REF!</v>
      </c>
      <c r="AS77" s="133" t="str">
        <f t="shared" si="31"/>
        <v>#REF!</v>
      </c>
      <c r="AT77" s="133" t="str">
        <f t="shared" si="31"/>
        <v>#REF!</v>
      </c>
      <c r="AU77" s="133" t="str">
        <f t="shared" si="31"/>
        <v>#REF!</v>
      </c>
      <c r="AV77" s="133" t="str">
        <f t="shared" si="31"/>
        <v>#REF!</v>
      </c>
      <c r="AW77" s="90"/>
      <c r="AX77" s="90"/>
      <c r="AY77" s="90"/>
      <c r="AZ77" s="90"/>
      <c r="BA77" s="90"/>
      <c r="BB77" s="90"/>
      <c r="BC77" s="90"/>
      <c r="BD77" s="90"/>
      <c r="BE77" s="90"/>
      <c r="BF77" s="90"/>
      <c r="BG77" s="90"/>
      <c r="BH77" s="90"/>
      <c r="BI77" s="90"/>
      <c r="BJ77" s="90"/>
      <c r="BK77" s="90"/>
      <c r="BL77" s="90"/>
      <c r="BM77" s="90"/>
      <c r="BN77" s="90"/>
      <c r="BO77" s="90"/>
      <c r="BP77" s="90"/>
    </row>
    <row r="78" ht="12.75" customHeight="1">
      <c r="A78" s="67"/>
      <c r="B78" s="67"/>
      <c r="C78" s="67"/>
      <c r="D78" s="67"/>
      <c r="E78" s="67"/>
      <c r="F78" s="67"/>
      <c r="G78" s="67"/>
      <c r="H78" s="67"/>
      <c r="I78" s="67"/>
      <c r="J78" s="79"/>
      <c r="K78" s="79"/>
      <c r="L78" s="79"/>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90"/>
      <c r="AX78" s="90"/>
      <c r="AY78" s="90"/>
      <c r="AZ78" s="90"/>
      <c r="BA78" s="90"/>
      <c r="BB78" s="90"/>
      <c r="BC78" s="90"/>
      <c r="BD78" s="90"/>
      <c r="BE78" s="90"/>
      <c r="BF78" s="90"/>
      <c r="BG78" s="90"/>
      <c r="BH78" s="90"/>
      <c r="BI78" s="90"/>
      <c r="BJ78" s="90"/>
      <c r="BK78" s="90"/>
      <c r="BL78" s="90"/>
      <c r="BM78" s="90"/>
      <c r="BN78" s="90"/>
      <c r="BO78" s="90"/>
      <c r="BP78" s="90"/>
    </row>
    <row r="79" ht="12.75" customHeight="1">
      <c r="A79" s="198" t="s">
        <v>496</v>
      </c>
      <c r="B79" s="253"/>
      <c r="C79" s="253"/>
      <c r="D79" s="253"/>
      <c r="E79" s="253"/>
      <c r="F79" s="253"/>
      <c r="G79" s="253"/>
      <c r="H79" s="253"/>
      <c r="I79" s="253"/>
      <c r="J79" s="253"/>
      <c r="K79" s="253"/>
      <c r="L79" s="253"/>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row>
    <row r="80" ht="12.75" customHeight="1">
      <c r="A80" s="90"/>
      <c r="B80" s="90"/>
      <c r="C80" s="90"/>
      <c r="D80" s="90"/>
      <c r="E80" s="90"/>
      <c r="F80" s="90"/>
      <c r="G80" s="90"/>
      <c r="H80" s="90"/>
      <c r="I80" s="90"/>
      <c r="J80" s="90"/>
      <c r="K80" s="90"/>
      <c r="L80" s="90"/>
      <c r="M80" s="93"/>
      <c r="N80" s="93"/>
      <c r="O80" s="93"/>
      <c r="P80" s="93"/>
      <c r="Q80" s="93"/>
      <c r="R80" s="93"/>
      <c r="S80" s="93"/>
      <c r="T80" s="93"/>
      <c r="U80" s="93"/>
      <c r="V80" s="93"/>
      <c r="W80" s="93"/>
      <c r="X80" s="93"/>
      <c r="Y80" s="93"/>
      <c r="Z80" s="93"/>
      <c r="AA80" s="93"/>
      <c r="AB80" s="93"/>
      <c r="AC80" s="93"/>
      <c r="AD80" s="93"/>
      <c r="AE80" s="93"/>
      <c r="AF80" s="93"/>
      <c r="AG80" s="93"/>
      <c r="AH80" s="93"/>
      <c r="AI80" s="93"/>
      <c r="AJ80" s="93"/>
      <c r="AK80" s="93"/>
      <c r="AL80" s="93"/>
      <c r="AM80" s="93"/>
      <c r="AN80" s="93"/>
      <c r="AO80" s="93"/>
      <c r="AP80" s="93"/>
      <c r="AQ80" s="93"/>
      <c r="AR80" s="93"/>
      <c r="AS80" s="93"/>
      <c r="AT80" s="93"/>
      <c r="AU80" s="93"/>
      <c r="AV80" s="93"/>
    </row>
    <row r="81" ht="12.75" customHeight="1" outlineLevel="1">
      <c r="A81" s="67" t="s">
        <v>242</v>
      </c>
      <c r="B81" s="90"/>
      <c r="C81" s="90"/>
      <c r="D81" s="90"/>
      <c r="E81" s="90"/>
      <c r="F81" s="90"/>
      <c r="G81" s="90"/>
      <c r="H81" s="90"/>
      <c r="I81" s="90"/>
      <c r="J81" s="90"/>
      <c r="K81" s="90"/>
      <c r="L81" s="301"/>
      <c r="M81" s="93"/>
      <c r="N81" s="93"/>
      <c r="O81" s="93"/>
      <c r="P81" s="93"/>
      <c r="Q81" s="93"/>
      <c r="R81" s="93"/>
      <c r="S81" s="93"/>
      <c r="T81" s="93"/>
      <c r="U81" s="93"/>
      <c r="V81" s="93"/>
      <c r="W81" s="93"/>
      <c r="X81" s="93"/>
      <c r="Y81" s="93"/>
      <c r="Z81" s="93"/>
      <c r="AA81" s="93"/>
      <c r="AB81" s="93"/>
      <c r="AC81" s="93"/>
      <c r="AD81" s="93"/>
      <c r="AE81" s="93"/>
      <c r="AF81" s="93"/>
      <c r="AG81" s="93"/>
      <c r="AH81" s="93"/>
      <c r="AI81" s="93"/>
      <c r="AJ81" s="93"/>
      <c r="AK81" s="93"/>
      <c r="AL81" s="93"/>
      <c r="AM81" s="93"/>
      <c r="AN81" s="93"/>
      <c r="AO81" s="93"/>
      <c r="AP81" s="93"/>
      <c r="AQ81" s="93"/>
      <c r="AR81" s="93"/>
      <c r="AS81" s="93"/>
      <c r="AT81" s="93"/>
      <c r="AU81" s="93"/>
      <c r="AV81" s="93"/>
    </row>
    <row r="82" ht="12.75" customHeight="1" outlineLevel="1">
      <c r="A82" s="67"/>
      <c r="B82" s="90" t="s">
        <v>243</v>
      </c>
      <c r="C82" s="90"/>
      <c r="D82" s="90"/>
      <c r="E82" s="90"/>
      <c r="F82" s="90"/>
      <c r="G82" s="90"/>
      <c r="H82" s="99"/>
      <c r="I82" s="99"/>
      <c r="J82" s="99"/>
      <c r="K82" s="99">
        <f>L76</f>
        <v>242669.38</v>
      </c>
      <c r="L82" s="99" t="str">
        <f t="shared" ref="L82:AV82" si="32">L77</f>
        <v>#REF!</v>
      </c>
      <c r="M82" s="93" t="str">
        <f t="shared" si="32"/>
        <v>#REF!</v>
      </c>
      <c r="N82" s="93" t="str">
        <f t="shared" si="32"/>
        <v>#REF!</v>
      </c>
      <c r="O82" s="93" t="str">
        <f t="shared" si="32"/>
        <v>#REF!</v>
      </c>
      <c r="P82" s="93" t="str">
        <f t="shared" si="32"/>
        <v>#REF!</v>
      </c>
      <c r="Q82" s="93" t="str">
        <f t="shared" si="32"/>
        <v>#REF!</v>
      </c>
      <c r="R82" s="93" t="str">
        <f t="shared" si="32"/>
        <v>#REF!</v>
      </c>
      <c r="S82" s="93" t="str">
        <f t="shared" si="32"/>
        <v>#REF!</v>
      </c>
      <c r="T82" s="93" t="str">
        <f t="shared" si="32"/>
        <v>#REF!</v>
      </c>
      <c r="U82" s="93" t="str">
        <f t="shared" si="32"/>
        <v>#REF!</v>
      </c>
      <c r="V82" s="93" t="str">
        <f t="shared" si="32"/>
        <v>#REF!</v>
      </c>
      <c r="W82" s="93" t="str">
        <f t="shared" si="32"/>
        <v>#REF!</v>
      </c>
      <c r="X82" s="93" t="str">
        <f t="shared" si="32"/>
        <v>#REF!</v>
      </c>
      <c r="Y82" s="93" t="str">
        <f t="shared" si="32"/>
        <v>#REF!</v>
      </c>
      <c r="Z82" s="93" t="str">
        <f t="shared" si="32"/>
        <v>#REF!</v>
      </c>
      <c r="AA82" s="93" t="str">
        <f t="shared" si="32"/>
        <v>#REF!</v>
      </c>
      <c r="AB82" s="93" t="str">
        <f t="shared" si="32"/>
        <v>#REF!</v>
      </c>
      <c r="AC82" s="93" t="str">
        <f t="shared" si="32"/>
        <v>#REF!</v>
      </c>
      <c r="AD82" s="93" t="str">
        <f t="shared" si="32"/>
        <v>#REF!</v>
      </c>
      <c r="AE82" s="93" t="str">
        <f t="shared" si="32"/>
        <v>#REF!</v>
      </c>
      <c r="AF82" s="93" t="str">
        <f t="shared" si="32"/>
        <v>#REF!</v>
      </c>
      <c r="AG82" s="93" t="str">
        <f t="shared" si="32"/>
        <v>#REF!</v>
      </c>
      <c r="AH82" s="93" t="str">
        <f t="shared" si="32"/>
        <v>#REF!</v>
      </c>
      <c r="AI82" s="93" t="str">
        <f t="shared" si="32"/>
        <v>#REF!</v>
      </c>
      <c r="AJ82" s="93" t="str">
        <f t="shared" si="32"/>
        <v>#REF!</v>
      </c>
      <c r="AK82" s="93" t="str">
        <f t="shared" si="32"/>
        <v>#REF!</v>
      </c>
      <c r="AL82" s="93" t="str">
        <f t="shared" si="32"/>
        <v>#REF!</v>
      </c>
      <c r="AM82" s="93" t="str">
        <f t="shared" si="32"/>
        <v>#REF!</v>
      </c>
      <c r="AN82" s="93" t="str">
        <f t="shared" si="32"/>
        <v>#REF!</v>
      </c>
      <c r="AO82" s="93" t="str">
        <f t="shared" si="32"/>
        <v>#REF!</v>
      </c>
      <c r="AP82" s="93" t="str">
        <f t="shared" si="32"/>
        <v>#REF!</v>
      </c>
      <c r="AQ82" s="93" t="str">
        <f t="shared" si="32"/>
        <v>#REF!</v>
      </c>
      <c r="AR82" s="93" t="str">
        <f t="shared" si="32"/>
        <v>#REF!</v>
      </c>
      <c r="AS82" s="93" t="str">
        <f t="shared" si="32"/>
        <v>#REF!</v>
      </c>
      <c r="AT82" s="93" t="str">
        <f t="shared" si="32"/>
        <v>#REF!</v>
      </c>
      <c r="AU82" s="93" t="str">
        <f t="shared" si="32"/>
        <v>#REF!</v>
      </c>
      <c r="AV82" s="93" t="str">
        <f t="shared" si="32"/>
        <v>#REF!</v>
      </c>
    </row>
    <row r="83" ht="12.75" customHeight="1" outlineLevel="1">
      <c r="A83" s="67"/>
      <c r="B83" s="90" t="s">
        <v>570</v>
      </c>
      <c r="C83" s="90"/>
      <c r="D83" s="90"/>
      <c r="E83" s="90"/>
      <c r="F83" s="90"/>
      <c r="G83" s="90"/>
      <c r="H83" s="99"/>
      <c r="I83" s="99"/>
      <c r="J83" s="99"/>
      <c r="K83" s="99">
        <v>0.0</v>
      </c>
      <c r="L83" s="99">
        <f>-L64</f>
        <v>250000</v>
      </c>
      <c r="M83" s="93">
        <f t="shared" ref="M83:AV83" si="33">-M64+L83</f>
        <v>650000</v>
      </c>
      <c r="N83" s="93">
        <f t="shared" si="33"/>
        <v>1250000</v>
      </c>
      <c r="O83" s="93">
        <f t="shared" si="33"/>
        <v>2250000</v>
      </c>
      <c r="P83" s="93">
        <f t="shared" si="33"/>
        <v>3850000</v>
      </c>
      <c r="Q83" s="93">
        <f t="shared" si="33"/>
        <v>6450000</v>
      </c>
      <c r="R83" s="93">
        <f t="shared" si="33"/>
        <v>10850000</v>
      </c>
      <c r="S83" s="93">
        <f t="shared" si="33"/>
        <v>17400000</v>
      </c>
      <c r="T83" s="93">
        <f t="shared" si="33"/>
        <v>26000000</v>
      </c>
      <c r="U83" s="93">
        <f t="shared" si="33"/>
        <v>34400000</v>
      </c>
      <c r="V83" s="93">
        <f t="shared" si="33"/>
        <v>46600000</v>
      </c>
      <c r="W83" s="93">
        <f t="shared" si="33"/>
        <v>61000000</v>
      </c>
      <c r="X83" s="93">
        <f t="shared" si="33"/>
        <v>86800000</v>
      </c>
      <c r="Y83" s="93">
        <f t="shared" si="33"/>
        <v>121000000</v>
      </c>
      <c r="Z83" s="93">
        <f t="shared" si="33"/>
        <v>162600000</v>
      </c>
      <c r="AA83" s="93">
        <f t="shared" si="33"/>
        <v>208200000</v>
      </c>
      <c r="AB83" s="93">
        <f t="shared" si="33"/>
        <v>264000000</v>
      </c>
      <c r="AC83" s="93">
        <f t="shared" si="33"/>
        <v>320800000</v>
      </c>
      <c r="AD83" s="93">
        <f t="shared" si="33"/>
        <v>373800000</v>
      </c>
      <c r="AE83" s="93">
        <f t="shared" si="33"/>
        <v>399800000</v>
      </c>
      <c r="AF83" s="93">
        <f t="shared" si="33"/>
        <v>367800000</v>
      </c>
      <c r="AG83" s="93">
        <f t="shared" si="33"/>
        <v>319400000</v>
      </c>
      <c r="AH83" s="93">
        <f t="shared" si="33"/>
        <v>264800000</v>
      </c>
      <c r="AI83" s="93">
        <f t="shared" si="33"/>
        <v>200000000</v>
      </c>
      <c r="AJ83" s="93">
        <f t="shared" si="33"/>
        <v>130000000</v>
      </c>
      <c r="AK83" s="93">
        <f t="shared" si="33"/>
        <v>61000000</v>
      </c>
      <c r="AL83" s="93">
        <f t="shared" si="33"/>
        <v>6600000</v>
      </c>
      <c r="AM83" s="93">
        <f t="shared" si="33"/>
        <v>0</v>
      </c>
      <c r="AN83" s="93">
        <f t="shared" si="33"/>
        <v>0</v>
      </c>
      <c r="AO83" s="93">
        <f t="shared" si="33"/>
        <v>0</v>
      </c>
      <c r="AP83" s="93" t="str">
        <f t="shared" si="33"/>
        <v>#REF!</v>
      </c>
      <c r="AQ83" s="93" t="str">
        <f t="shared" si="33"/>
        <v>#REF!</v>
      </c>
      <c r="AR83" s="93" t="str">
        <f t="shared" si="33"/>
        <v>#REF!</v>
      </c>
      <c r="AS83" s="93" t="str">
        <f t="shared" si="33"/>
        <v>#REF!</v>
      </c>
      <c r="AT83" s="93" t="str">
        <f t="shared" si="33"/>
        <v>#REF!</v>
      </c>
      <c r="AU83" s="93" t="str">
        <f t="shared" si="33"/>
        <v>#REF!</v>
      </c>
      <c r="AV83" s="93" t="str">
        <f t="shared" si="33"/>
        <v>#REF!</v>
      </c>
    </row>
    <row r="84" ht="12.75" customHeight="1" outlineLevel="1">
      <c r="A84" s="302"/>
      <c r="B84" s="90" t="s">
        <v>142</v>
      </c>
      <c r="C84" s="90"/>
      <c r="D84" s="90"/>
      <c r="E84" s="90"/>
      <c r="F84" s="90"/>
      <c r="G84" s="90"/>
      <c r="H84" s="99"/>
      <c r="I84" s="99"/>
      <c r="J84" s="99"/>
      <c r="K84" s="99">
        <f>'RS1'!J476+'RS2'!J477+'RS3'!J484</f>
        <v>784484.13</v>
      </c>
      <c r="L84" s="99">
        <f>'RS1'!K476+'RS2'!K477+'RS3'!K484+L483</f>
        <v>1554891.24</v>
      </c>
      <c r="M84" s="93">
        <f>'RS1'!L476+'RS2'!L477+'RS3'!L484+M483</f>
        <v>1472898.258</v>
      </c>
      <c r="N84" s="93">
        <f>'RS1'!M476+'RS2'!M477+'RS3'!M484+N483</f>
        <v>2621043.311</v>
      </c>
      <c r="O84" s="93">
        <f>'RS1'!N476+'RS2'!N477+'RS3'!N484+O483</f>
        <v>4295769.392</v>
      </c>
      <c r="P84" s="93">
        <f>'RS1'!O476+'RS2'!O477+'RS3'!O484+P483</f>
        <v>7062396.755</v>
      </c>
      <c r="Q84" s="93">
        <f>'RS1'!P476+'RS2'!P477+'RS3'!P484+Q483</f>
        <v>11652160.03</v>
      </c>
      <c r="R84" s="93">
        <f>'RS1'!Q476+'RS2'!Q477+'RS3'!Q484+R483</f>
        <v>19288444.57</v>
      </c>
      <c r="S84" s="93">
        <f>'RS1'!R476+'RS2'!R477+'RS3'!R484+S483</f>
        <v>32643730.92</v>
      </c>
      <c r="T84" s="93">
        <f>'RS1'!S476+'RS2'!S477+'RS3'!S484+T483</f>
        <v>53228242.27</v>
      </c>
      <c r="U84" s="93">
        <f>'RS1'!T476+'RS2'!T477+'RS3'!T484+U483</f>
        <v>79363199.24</v>
      </c>
      <c r="V84" s="93">
        <f>'RS1'!U476+'RS2'!U477+'RS3'!U484+V483</f>
        <v>108914157.6</v>
      </c>
      <c r="W84" s="93">
        <f>'RS1'!V476+'RS2'!V477+'RS3'!V484+W483</f>
        <v>151446654.3</v>
      </c>
      <c r="X84" s="93">
        <f>'RS1'!W476+'RS2'!W477+'RS3'!W484+X483</f>
        <v>206581651.9</v>
      </c>
      <c r="Y84" s="93">
        <f>'RS1'!X476+'RS2'!X477+'RS3'!X484+Y483</f>
        <v>299824958.5</v>
      </c>
      <c r="Z84" s="93">
        <f>'RS1'!Y476+'RS2'!Y477+'RS3'!Y484+Z483</f>
        <v>430724242.4</v>
      </c>
      <c r="AA84" s="93">
        <f>'RS1'!Z476+'RS2'!Z477+'RS3'!Z484+AA483</f>
        <v>600045016.4</v>
      </c>
      <c r="AB84" s="93">
        <f>'RS1'!AA476+'RS2'!AA477+'RS3'!AA484+AB483</f>
        <v>800354211</v>
      </c>
      <c r="AC84" s="93">
        <f>'RS1'!AB476+'RS2'!AB477+'RS3'!AB484+AC483</f>
        <v>1042132875</v>
      </c>
      <c r="AD84" s="93">
        <f>'RS1'!AC476+'RS2'!AC477+'RS3'!AC484+AD483</f>
        <v>1312805917</v>
      </c>
      <c r="AE84" s="93">
        <f>'RS1'!AD476+'RS2'!AD477+'RS3'!AD484+AE483</f>
        <v>1591093345</v>
      </c>
      <c r="AF84" s="93">
        <f>'RS1'!AE476+'RS2'!AE477+'RS3'!AE484+AF483</f>
        <v>1825655552</v>
      </c>
      <c r="AG84" s="93">
        <f>'RS1'!AF476+'RS2'!AF477+'RS3'!AF484+AG483</f>
        <v>1914055229</v>
      </c>
      <c r="AH84" s="93">
        <f>'RS1'!AG476+'RS2'!AG477+'RS3'!AG484+AH483</f>
        <v>1962065550</v>
      </c>
      <c r="AI84" s="93">
        <f>'RS1'!AH476+'RS2'!AH477+'RS3'!AH484+AI483</f>
        <v>2000776703</v>
      </c>
      <c r="AJ84" s="93">
        <f>'RS1'!AI476+'RS2'!AI477+'RS3'!AI484+AJ483</f>
        <v>2038735091</v>
      </c>
      <c r="AK84" s="93">
        <f>'RS1'!AJ476+'RS2'!AJ477+'RS3'!AJ484+AK483</f>
        <v>2077870091</v>
      </c>
      <c r="AL84" s="93">
        <f>'RS1'!AK476+'RS2'!AK477+'RS3'!AK484+AL483</f>
        <v>2118356656</v>
      </c>
      <c r="AM84" s="93">
        <f>'RS1'!AL476+'RS2'!AL477+'RS3'!AL484+AM483</f>
        <v>2160212500</v>
      </c>
      <c r="AN84" s="93">
        <f>'RS1'!AM476+'RS2'!AM477+'RS3'!AM484+AN483</f>
        <v>2203360313</v>
      </c>
      <c r="AO84" s="93">
        <f>'RS1'!AN476+'RS2'!AN477+'RS3'!AN484+AO483</f>
        <v>2247427507</v>
      </c>
      <c r="AP84" s="93" t="str">
        <f>'RS1'!AO476+'RS2'!AO477+'RS3'!AO484+AP483</f>
        <v>#REF!</v>
      </c>
      <c r="AQ84" s="93" t="str">
        <f>'RS1'!AP476+'RS2'!AP477+'RS3'!AP484+AQ483</f>
        <v>#REF!</v>
      </c>
      <c r="AR84" s="93" t="str">
        <f>'RS1'!AQ476+'RS2'!AQ477+'RS3'!AQ484+AR483</f>
        <v>#REF!</v>
      </c>
      <c r="AS84" s="93" t="str">
        <f>'RS1'!AR476+'RS2'!AR477+'RS3'!AR484+AS483</f>
        <v>#REF!</v>
      </c>
      <c r="AT84" s="93" t="str">
        <f>'RS1'!AS476+'RS2'!AS477+'RS3'!AS484+AT483</f>
        <v>#REF!</v>
      </c>
      <c r="AU84" s="93" t="str">
        <f>'RS1'!AT476+'RS2'!AT477+'RS3'!AT484+AU483</f>
        <v>#REF!</v>
      </c>
      <c r="AV84" s="93" t="str">
        <f>'RS1'!AU476+'RS2'!AU477+'RS3'!AU484+AV483</f>
        <v>#REF!</v>
      </c>
    </row>
    <row r="85" ht="12.75" customHeight="1" outlineLevel="1">
      <c r="A85" s="302"/>
      <c r="B85" s="90" t="s">
        <v>247</v>
      </c>
      <c r="C85" s="90"/>
      <c r="D85" s="90"/>
      <c r="E85" s="90"/>
      <c r="F85" s="90"/>
      <c r="G85" s="90"/>
      <c r="H85" s="99"/>
      <c r="I85" s="99"/>
      <c r="J85" s="99"/>
      <c r="K85" s="99">
        <f>'RS1'!J477+'RS2'!J478+'RS3'!J486+K358</f>
        <v>0</v>
      </c>
      <c r="L85" s="99">
        <f>'RS1'!K477+'RS2'!K478</f>
        <v>16977.3</v>
      </c>
      <c r="M85" s="93">
        <f>'RS1'!L477+'RS2'!L478+'RS3'!L486+M358</f>
        <v>13982.98</v>
      </c>
      <c r="N85" s="93">
        <f>'RS1'!M477+'RS2'!M478+'RS3'!M486+N358</f>
        <v>10988.66</v>
      </c>
      <c r="O85" s="93">
        <f>'RS1'!N477+'RS2'!N478+'RS3'!N486+O358</f>
        <v>5494.33</v>
      </c>
      <c r="P85" s="93">
        <f>'RS1'!O477+'RS2'!O478+'RS3'!O486+P358</f>
        <v>0</v>
      </c>
      <c r="Q85" s="93">
        <f>'RS1'!P477+'RS2'!P478+'RS3'!P486+Q358</f>
        <v>0</v>
      </c>
      <c r="R85" s="93">
        <f>'RS1'!Q477+'RS2'!Q478+'RS3'!Q486+R358</f>
        <v>0</v>
      </c>
      <c r="S85" s="93">
        <f>'RS1'!R477+'RS2'!R478+'RS3'!R486+S358</f>
        <v>0</v>
      </c>
      <c r="T85" s="93">
        <f>'RS1'!S477+'RS2'!S478+'RS3'!S486+T358</f>
        <v>0</v>
      </c>
      <c r="U85" s="93">
        <f>'RS1'!T477+'RS2'!T478+'RS3'!T486+U358</f>
        <v>0</v>
      </c>
      <c r="V85" s="93">
        <f>'RS1'!U477+'RS2'!U478+'RS3'!U486+V358</f>
        <v>0</v>
      </c>
      <c r="W85" s="93">
        <f>'RS1'!V477+'RS2'!V478+'RS3'!V486+W358</f>
        <v>0</v>
      </c>
      <c r="X85" s="93">
        <f>'RS1'!W477+'RS2'!W478+'RS3'!W486+X358</f>
        <v>0</v>
      </c>
      <c r="Y85" s="93">
        <f>'RS1'!X477+'RS2'!X478+'RS3'!X486+Y358</f>
        <v>0</v>
      </c>
      <c r="Z85" s="93">
        <f>'RS1'!Y477+'RS2'!Y478+'RS3'!Y486+Z358</f>
        <v>0</v>
      </c>
      <c r="AA85" s="93">
        <f>'RS1'!Z477+'RS2'!Z478+'RS3'!Z486+AA358</f>
        <v>0</v>
      </c>
      <c r="AB85" s="93">
        <f>'RS1'!AA477+'RS2'!AA478+'RS3'!AA486+AB358</f>
        <v>0</v>
      </c>
      <c r="AC85" s="93">
        <f>'RS1'!AB477+'RS2'!AB478+'RS3'!AB486+AC358</f>
        <v>0</v>
      </c>
      <c r="AD85" s="93">
        <f>'RS1'!AC477+'RS2'!AC478+'RS3'!AC486+AD358</f>
        <v>0</v>
      </c>
      <c r="AE85" s="93">
        <f>'RS1'!AD477+'RS2'!AD478+'RS3'!AD486+AE358</f>
        <v>0</v>
      </c>
      <c r="AF85" s="93">
        <f>'RS1'!AE477+'RS2'!AE478+'RS3'!AE486+AF358</f>
        <v>0</v>
      </c>
      <c r="AG85" s="93">
        <f>'RS1'!AF477+'RS2'!AF478+'RS3'!AF486+AG358</f>
        <v>0</v>
      </c>
      <c r="AH85" s="93">
        <f>'RS1'!AG477+'RS2'!AG478+'RS3'!AG486+AH358</f>
        <v>0</v>
      </c>
      <c r="AI85" s="93">
        <f>'RS1'!AH477+'RS2'!AH478+'RS3'!AH486+AI358</f>
        <v>0</v>
      </c>
      <c r="AJ85" s="93">
        <f>'RS1'!AI477+'RS2'!AI478+'RS3'!AI486+AJ358</f>
        <v>0</v>
      </c>
      <c r="AK85" s="93">
        <f>'RS1'!AJ477+'RS2'!AJ478+'RS3'!AJ486+AK358</f>
        <v>0</v>
      </c>
      <c r="AL85" s="93">
        <f>'RS1'!AK477+'RS2'!AK478+'RS3'!AK486+AL358</f>
        <v>0</v>
      </c>
      <c r="AM85" s="93">
        <f>'RS1'!AL477+'RS2'!AL478+'RS3'!AL486+AM358</f>
        <v>0</v>
      </c>
      <c r="AN85" s="93">
        <f>'RS1'!AM477+'RS2'!AM478+'RS3'!AM486+AN358</f>
        <v>0</v>
      </c>
      <c r="AO85" s="93">
        <f>'RS1'!AN477+'RS2'!AN478+'RS3'!AN486+AO358</f>
        <v>0</v>
      </c>
      <c r="AP85" s="93" t="str">
        <f>'RS1'!AO477+'RS2'!AO478+'RS3'!AO486+AP358</f>
        <v>#REF!</v>
      </c>
      <c r="AQ85" s="93" t="str">
        <f>'RS1'!AP477+'RS2'!AP478+'RS3'!AP486+AQ358</f>
        <v>#REF!</v>
      </c>
      <c r="AR85" s="93" t="str">
        <f>'RS1'!AQ477+'RS2'!AQ478+'RS3'!AQ486+AR358</f>
        <v>#REF!</v>
      </c>
      <c r="AS85" s="93" t="str">
        <f>'RS1'!AR477+'RS2'!AR478+'RS3'!AR486+AS358</f>
        <v>#REF!</v>
      </c>
      <c r="AT85" s="93" t="str">
        <f>'RS1'!AS477+'RS2'!AS478+'RS3'!AS486+AT358</f>
        <v>#REF!</v>
      </c>
      <c r="AU85" s="93" t="str">
        <f>'RS1'!AT477+'RS2'!AT478+'RS3'!AT486+AU358</f>
        <v>#REF!</v>
      </c>
      <c r="AV85" s="93" t="str">
        <f>'RS1'!AU477+'RS2'!AU478+'RS3'!AU486+AV358</f>
        <v>#REF!</v>
      </c>
    </row>
    <row r="86" ht="12.75" customHeight="1" outlineLevel="1">
      <c r="A86" s="139"/>
      <c r="B86" s="87" t="s">
        <v>248</v>
      </c>
      <c r="C86" s="87"/>
      <c r="D86" s="87"/>
      <c r="E86" s="87"/>
      <c r="F86" s="87"/>
      <c r="G86" s="87"/>
      <c r="H86" s="125">
        <v>0.0</v>
      </c>
      <c r="I86" s="125">
        <v>0.0</v>
      </c>
      <c r="J86" s="125"/>
      <c r="K86" s="125">
        <f>'RS1'!J478</f>
        <v>6211</v>
      </c>
      <c r="L86" s="125">
        <f>'RS1'!K478+'RS2'!K479+'RS3'!K486++L358</f>
        <v>20444.42</v>
      </c>
      <c r="M86" s="119">
        <f>'RS1'!L478</f>
        <v>6210.5</v>
      </c>
      <c r="N86" s="119">
        <f>'RS1'!M478</f>
        <v>6210.5</v>
      </c>
      <c r="O86" s="119">
        <f>'RS1'!N478</f>
        <v>6210.5</v>
      </c>
      <c r="P86" s="119">
        <f>'RS1'!O478</f>
        <v>6210.5</v>
      </c>
      <c r="Q86" s="119">
        <f>'RS1'!P478</f>
        <v>6210.5</v>
      </c>
      <c r="R86" s="119">
        <f>'RS1'!Q478</f>
        <v>6210.5</v>
      </c>
      <c r="S86" s="119">
        <f>'RS1'!R478</f>
        <v>6210.5</v>
      </c>
      <c r="T86" s="119">
        <f>'RS1'!S478</f>
        <v>6210.5</v>
      </c>
      <c r="U86" s="119">
        <f>'RS1'!T478</f>
        <v>6210.5</v>
      </c>
      <c r="V86" s="119">
        <f>'RS1'!U478</f>
        <v>6210.5</v>
      </c>
      <c r="W86" s="119">
        <f>'RS1'!V478</f>
        <v>6210.5</v>
      </c>
      <c r="X86" s="119">
        <f>'RS1'!W478</f>
        <v>6210.5</v>
      </c>
      <c r="Y86" s="119">
        <f>'RS1'!X478</f>
        <v>6210.5</v>
      </c>
      <c r="Z86" s="119">
        <f>'RS1'!Y478</f>
        <v>6210.5</v>
      </c>
      <c r="AA86" s="119">
        <f>'RS1'!Z478</f>
        <v>6210.5</v>
      </c>
      <c r="AB86" s="119">
        <f>'RS1'!AA478</f>
        <v>6210.5</v>
      </c>
      <c r="AC86" s="119">
        <f>'RS1'!AB478</f>
        <v>6210.5</v>
      </c>
      <c r="AD86" s="119">
        <f>'RS1'!AC478</f>
        <v>6210.5</v>
      </c>
      <c r="AE86" s="119">
        <f>'RS1'!AD478</f>
        <v>6210.5</v>
      </c>
      <c r="AF86" s="119">
        <f>'RS1'!AE478</f>
        <v>6210.5</v>
      </c>
      <c r="AG86" s="119">
        <f>'RS1'!AF478</f>
        <v>6210.5</v>
      </c>
      <c r="AH86" s="119">
        <f>'RS1'!AG478</f>
        <v>6210.5</v>
      </c>
      <c r="AI86" s="119">
        <f>'RS1'!AH478</f>
        <v>6210.5</v>
      </c>
      <c r="AJ86" s="119">
        <f>'RS1'!AI478</f>
        <v>6210.5</v>
      </c>
      <c r="AK86" s="119">
        <f>'RS1'!AJ478</f>
        <v>6210.5</v>
      </c>
      <c r="AL86" s="119">
        <f>'RS1'!AK478</f>
        <v>6210.5</v>
      </c>
      <c r="AM86" s="119">
        <f>'RS1'!AL478</f>
        <v>6210.5</v>
      </c>
      <c r="AN86" s="119">
        <f>'RS1'!AM478</f>
        <v>6210.5</v>
      </c>
      <c r="AO86" s="119">
        <f>'RS1'!AN478</f>
        <v>6210.5</v>
      </c>
      <c r="AP86" s="119">
        <f>'RS1'!AO478</f>
        <v>6210.5</v>
      </c>
      <c r="AQ86" s="119">
        <f>'RS1'!AP478</f>
        <v>6210.5</v>
      </c>
      <c r="AR86" s="119">
        <f>'RS1'!AQ478</f>
        <v>6210.5</v>
      </c>
      <c r="AS86" s="119">
        <f>'RS1'!AR478</f>
        <v>6210.5</v>
      </c>
      <c r="AT86" s="119">
        <f>'RS1'!AS478</f>
        <v>6210.5</v>
      </c>
      <c r="AU86" s="119">
        <f>'RS1'!AT478</f>
        <v>6210.5</v>
      </c>
      <c r="AV86" s="119">
        <f>'RS1'!AU478</f>
        <v>6210.5</v>
      </c>
    </row>
    <row r="87" ht="12.75" customHeight="1" outlineLevel="1">
      <c r="A87" s="67" t="s">
        <v>249</v>
      </c>
      <c r="B87" s="90"/>
      <c r="C87" s="90"/>
      <c r="D87" s="90"/>
      <c r="E87" s="90"/>
      <c r="F87" s="90"/>
      <c r="G87" s="90"/>
      <c r="H87" s="99">
        <f t="shared" ref="H87:I87" si="34">SUM(H82:H86)</f>
        <v>0</v>
      </c>
      <c r="I87" s="99">
        <f t="shared" si="34"/>
        <v>0</v>
      </c>
      <c r="J87" s="99"/>
      <c r="K87" s="99">
        <f t="shared" ref="K87:AV87" si="35">SUM(K82:K86)</f>
        <v>1033364.51</v>
      </c>
      <c r="L87" s="99" t="str">
        <f t="shared" si="35"/>
        <v>#REF!</v>
      </c>
      <c r="M87" s="93" t="str">
        <f t="shared" si="35"/>
        <v>#REF!</v>
      </c>
      <c r="N87" s="93" t="str">
        <f t="shared" si="35"/>
        <v>#REF!</v>
      </c>
      <c r="O87" s="93" t="str">
        <f t="shared" si="35"/>
        <v>#REF!</v>
      </c>
      <c r="P87" s="93" t="str">
        <f t="shared" si="35"/>
        <v>#REF!</v>
      </c>
      <c r="Q87" s="93" t="str">
        <f t="shared" si="35"/>
        <v>#REF!</v>
      </c>
      <c r="R87" s="93" t="str">
        <f t="shared" si="35"/>
        <v>#REF!</v>
      </c>
      <c r="S87" s="93" t="str">
        <f t="shared" si="35"/>
        <v>#REF!</v>
      </c>
      <c r="T87" s="93" t="str">
        <f t="shared" si="35"/>
        <v>#REF!</v>
      </c>
      <c r="U87" s="93" t="str">
        <f t="shared" si="35"/>
        <v>#REF!</v>
      </c>
      <c r="V87" s="93" t="str">
        <f t="shared" si="35"/>
        <v>#REF!</v>
      </c>
      <c r="W87" s="93" t="str">
        <f t="shared" si="35"/>
        <v>#REF!</v>
      </c>
      <c r="X87" s="93" t="str">
        <f t="shared" si="35"/>
        <v>#REF!</v>
      </c>
      <c r="Y87" s="93" t="str">
        <f t="shared" si="35"/>
        <v>#REF!</v>
      </c>
      <c r="Z87" s="93" t="str">
        <f t="shared" si="35"/>
        <v>#REF!</v>
      </c>
      <c r="AA87" s="93" t="str">
        <f t="shared" si="35"/>
        <v>#REF!</v>
      </c>
      <c r="AB87" s="93" t="str">
        <f t="shared" si="35"/>
        <v>#REF!</v>
      </c>
      <c r="AC87" s="93" t="str">
        <f t="shared" si="35"/>
        <v>#REF!</v>
      </c>
      <c r="AD87" s="93" t="str">
        <f t="shared" si="35"/>
        <v>#REF!</v>
      </c>
      <c r="AE87" s="93" t="str">
        <f t="shared" si="35"/>
        <v>#REF!</v>
      </c>
      <c r="AF87" s="93" t="str">
        <f t="shared" si="35"/>
        <v>#REF!</v>
      </c>
      <c r="AG87" s="93" t="str">
        <f t="shared" si="35"/>
        <v>#REF!</v>
      </c>
      <c r="AH87" s="93" t="str">
        <f t="shared" si="35"/>
        <v>#REF!</v>
      </c>
      <c r="AI87" s="93" t="str">
        <f t="shared" si="35"/>
        <v>#REF!</v>
      </c>
      <c r="AJ87" s="93" t="str">
        <f t="shared" si="35"/>
        <v>#REF!</v>
      </c>
      <c r="AK87" s="93" t="str">
        <f t="shared" si="35"/>
        <v>#REF!</v>
      </c>
      <c r="AL87" s="93" t="str">
        <f t="shared" si="35"/>
        <v>#REF!</v>
      </c>
      <c r="AM87" s="93" t="str">
        <f t="shared" si="35"/>
        <v>#REF!</v>
      </c>
      <c r="AN87" s="93" t="str">
        <f t="shared" si="35"/>
        <v>#REF!</v>
      </c>
      <c r="AO87" s="93" t="str">
        <f t="shared" si="35"/>
        <v>#REF!</v>
      </c>
      <c r="AP87" s="93" t="str">
        <f t="shared" si="35"/>
        <v>#REF!</v>
      </c>
      <c r="AQ87" s="93" t="str">
        <f t="shared" si="35"/>
        <v>#REF!</v>
      </c>
      <c r="AR87" s="93" t="str">
        <f t="shared" si="35"/>
        <v>#REF!</v>
      </c>
      <c r="AS87" s="93" t="str">
        <f t="shared" si="35"/>
        <v>#REF!</v>
      </c>
      <c r="AT87" s="93" t="str">
        <f t="shared" si="35"/>
        <v>#REF!</v>
      </c>
      <c r="AU87" s="93" t="str">
        <f t="shared" si="35"/>
        <v>#REF!</v>
      </c>
      <c r="AV87" s="93" t="str">
        <f t="shared" si="35"/>
        <v>#REF!</v>
      </c>
    </row>
    <row r="88" ht="12.75" customHeight="1" outlineLevel="1">
      <c r="A88" s="67"/>
      <c r="B88" s="90"/>
      <c r="C88" s="90"/>
      <c r="D88" s="90"/>
      <c r="E88" s="90"/>
      <c r="F88" s="90"/>
      <c r="G88" s="90"/>
      <c r="H88" s="99"/>
      <c r="I88" s="99"/>
      <c r="J88" s="99"/>
      <c r="K88" s="99"/>
      <c r="L88" s="99"/>
      <c r="M88" s="93"/>
      <c r="N88" s="93"/>
      <c r="O88" s="93"/>
      <c r="P88" s="93"/>
      <c r="Q88" s="93"/>
      <c r="R88" s="93"/>
      <c r="S88" s="93"/>
      <c r="T88" s="93"/>
      <c r="U88" s="93"/>
      <c r="V88" s="93"/>
      <c r="W88" s="93"/>
      <c r="X88" s="93"/>
      <c r="Y88" s="93"/>
      <c r="Z88" s="93"/>
      <c r="AA88" s="93"/>
      <c r="AB88" s="93"/>
      <c r="AC88" s="93"/>
      <c r="AD88" s="93"/>
      <c r="AE88" s="93"/>
      <c r="AF88" s="93"/>
      <c r="AG88" s="93"/>
      <c r="AH88" s="93"/>
      <c r="AI88" s="93"/>
      <c r="AJ88" s="93"/>
      <c r="AK88" s="93"/>
      <c r="AL88" s="93"/>
      <c r="AM88" s="93"/>
      <c r="AN88" s="93"/>
      <c r="AO88" s="93"/>
      <c r="AP88" s="93"/>
      <c r="AQ88" s="93"/>
      <c r="AR88" s="93"/>
      <c r="AS88" s="93"/>
      <c r="AT88" s="93"/>
      <c r="AU88" s="93"/>
      <c r="AV88" s="93"/>
    </row>
    <row r="89" ht="12.75" customHeight="1" outlineLevel="1">
      <c r="A89" s="67" t="s">
        <v>250</v>
      </c>
      <c r="B89" s="90"/>
      <c r="C89" s="90"/>
      <c r="D89" s="90"/>
      <c r="E89" s="90"/>
      <c r="F89" s="90"/>
      <c r="G89" s="90"/>
      <c r="H89" s="99"/>
      <c r="I89" s="99"/>
      <c r="J89" s="99"/>
      <c r="K89" s="99"/>
      <c r="L89" s="99"/>
      <c r="M89" s="93"/>
      <c r="N89" s="93"/>
      <c r="O89" s="93"/>
      <c r="P89" s="93"/>
      <c r="Q89" s="93"/>
      <c r="R89" s="93"/>
      <c r="S89" s="93"/>
      <c r="T89" s="93"/>
      <c r="U89" s="93"/>
      <c r="V89" s="93"/>
      <c r="W89" s="93"/>
      <c r="X89" s="93"/>
      <c r="Y89" s="93"/>
      <c r="Z89" s="93"/>
      <c r="AA89" s="93"/>
      <c r="AB89" s="93"/>
      <c r="AC89" s="93"/>
      <c r="AD89" s="93"/>
      <c r="AE89" s="93"/>
      <c r="AF89" s="93"/>
      <c r="AG89" s="93"/>
      <c r="AH89" s="93"/>
      <c r="AI89" s="93"/>
      <c r="AJ89" s="93"/>
      <c r="AK89" s="93"/>
      <c r="AL89" s="93"/>
      <c r="AM89" s="93"/>
      <c r="AN89" s="93"/>
      <c r="AO89" s="93"/>
      <c r="AP89" s="93"/>
      <c r="AQ89" s="93"/>
      <c r="AR89" s="93"/>
      <c r="AS89" s="93"/>
      <c r="AT89" s="93"/>
      <c r="AU89" s="93"/>
      <c r="AV89" s="93"/>
    </row>
    <row r="90" ht="12.75" customHeight="1" outlineLevel="1">
      <c r="A90" s="302"/>
      <c r="B90" s="90" t="s">
        <v>145</v>
      </c>
      <c r="C90" s="90"/>
      <c r="D90" s="90"/>
      <c r="E90" s="90"/>
      <c r="F90" s="90"/>
      <c r="G90" s="90"/>
      <c r="H90" s="99">
        <v>0.0</v>
      </c>
      <c r="I90" s="99">
        <f>$B$438*I7</f>
        <v>0</v>
      </c>
      <c r="J90" s="99"/>
      <c r="K90" s="99">
        <f>'RS1'!J482+'RS2'!J483+'RS3'!J490</f>
        <v>193266.93</v>
      </c>
      <c r="L90" s="99" t="str">
        <f>'RS1'!K482+'RS2'!K483+'RS3'!K490+L495+L309</f>
        <v>#REF!</v>
      </c>
      <c r="M90" s="93" t="str">
        <f>'RS1'!L482+'RS2'!L483+'RS3'!L490+M495</f>
        <v>#REF!</v>
      </c>
      <c r="N90" s="93" t="str">
        <f>'RS1'!M482+'RS2'!M483+'RS3'!M490+N495</f>
        <v>#REF!</v>
      </c>
      <c r="O90" s="93" t="str">
        <f>'RS1'!N482+'RS2'!N483+'RS3'!N490+O495</f>
        <v>#REF!</v>
      </c>
      <c r="P90" s="93" t="str">
        <f>'RS1'!O482+'RS2'!O483+'RS3'!O490+P495</f>
        <v>#REF!</v>
      </c>
      <c r="Q90" s="93" t="str">
        <f>'RS1'!P482+'RS2'!P483+'RS3'!P490+Q495</f>
        <v>#REF!</v>
      </c>
      <c r="R90" s="93" t="str">
        <f>'RS1'!Q482+'RS2'!Q483+'RS3'!Q490+R495</f>
        <v>#REF!</v>
      </c>
      <c r="S90" s="93" t="str">
        <f>'RS1'!R482+'RS2'!R483+'RS3'!R490+S495</f>
        <v>#REF!</v>
      </c>
      <c r="T90" s="93" t="str">
        <f>'RS1'!S482+'RS2'!S483+'RS3'!S490+T495</f>
        <v>#REF!</v>
      </c>
      <c r="U90" s="93" t="str">
        <f>'RS1'!T482+'RS2'!T483+'RS3'!T490+U495</f>
        <v>#REF!</v>
      </c>
      <c r="V90" s="93" t="str">
        <f>'RS1'!U482+'RS2'!U483+'RS3'!U490+V495</f>
        <v>#REF!</v>
      </c>
      <c r="W90" s="93" t="str">
        <f>'RS1'!V482+'RS2'!V483+'RS3'!V490+W495</f>
        <v>#REF!</v>
      </c>
      <c r="X90" s="93" t="str">
        <f>'RS1'!W482+'RS2'!W483+'RS3'!W490+X495</f>
        <v>#REF!</v>
      </c>
      <c r="Y90" s="93" t="str">
        <f>'RS1'!X482+'RS2'!X483+'RS3'!X490+Y495</f>
        <v>#REF!</v>
      </c>
      <c r="Z90" s="93" t="str">
        <f>'RS1'!Y482+'RS2'!Y483+'RS3'!Y490+Z495</f>
        <v>#REF!</v>
      </c>
      <c r="AA90" s="93" t="str">
        <f>'RS1'!Z482+'RS2'!Z483+'RS3'!Z490+AA495</f>
        <v>#REF!</v>
      </c>
      <c r="AB90" s="93" t="str">
        <f>'RS1'!AA482+'RS2'!AA483+'RS3'!AA490+AB495</f>
        <v>#REF!</v>
      </c>
      <c r="AC90" s="93" t="str">
        <f>'RS1'!AB482+'RS2'!AB483+'RS3'!AB490+AC495</f>
        <v>#REF!</v>
      </c>
      <c r="AD90" s="93" t="str">
        <f>'RS1'!AC482+'RS2'!AC483+'RS3'!AC490+AD495</f>
        <v>#REF!</v>
      </c>
      <c r="AE90" s="93" t="str">
        <f>'RS1'!AD482+'RS2'!AD483+'RS3'!AD490+AE495</f>
        <v>#REF!</v>
      </c>
      <c r="AF90" s="93" t="str">
        <f>'RS1'!AE482+'RS2'!AE483+'RS3'!AE490+AF495</f>
        <v>#REF!</v>
      </c>
      <c r="AG90" s="93" t="str">
        <f>'RS1'!AF482+'RS2'!AF483+'RS3'!AF490+AG495</f>
        <v>#REF!</v>
      </c>
      <c r="AH90" s="93" t="str">
        <f>'RS1'!AG482+'RS2'!AG483+'RS3'!AG490+AH495</f>
        <v>#REF!</v>
      </c>
      <c r="AI90" s="93" t="str">
        <f>'RS1'!AH482+'RS2'!AH483+'RS3'!AH490+AI495</f>
        <v>#REF!</v>
      </c>
      <c r="AJ90" s="93" t="str">
        <f>'RS1'!AI482+'RS2'!AI483+'RS3'!AI490+AJ495</f>
        <v>#REF!</v>
      </c>
      <c r="AK90" s="93" t="str">
        <f>'RS1'!AJ482+'RS2'!AJ483+'RS3'!AJ490+AK495</f>
        <v>#REF!</v>
      </c>
      <c r="AL90" s="93" t="str">
        <f>'RS1'!AK482+'RS2'!AK483+'RS3'!AK490+AL495</f>
        <v>#REF!</v>
      </c>
      <c r="AM90" s="93" t="str">
        <f>'RS1'!AL482+'RS2'!AL483+'RS3'!AL490+AM495</f>
        <v>#REF!</v>
      </c>
      <c r="AN90" s="93" t="str">
        <f>'RS1'!AM482+'RS2'!AM483+'RS3'!AM490+AN495</f>
        <v>#REF!</v>
      </c>
      <c r="AO90" s="93" t="str">
        <f>'RS1'!AN482+'RS2'!AN483+'RS3'!AN490+AO495</f>
        <v>#REF!</v>
      </c>
      <c r="AP90" s="93" t="str">
        <f>'RS1'!AO482+'RS2'!AO483+'RS3'!AO490+AP495</f>
        <v>#REF!</v>
      </c>
      <c r="AQ90" s="93" t="str">
        <f>'RS1'!AP482+'RS2'!AP483+'RS3'!AP490+AQ495</f>
        <v>#REF!</v>
      </c>
      <c r="AR90" s="93" t="str">
        <f>'RS1'!AQ482+'RS2'!AQ483+'RS3'!AQ490+AR495</f>
        <v>#REF!</v>
      </c>
      <c r="AS90" s="93" t="str">
        <f>'RS1'!AR482+'RS2'!AR483+'RS3'!AR490+AS495</f>
        <v>#REF!</v>
      </c>
      <c r="AT90" s="93" t="str">
        <f>'RS1'!AS482+'RS2'!AS483+'RS3'!AS490+AT495</f>
        <v>#REF!</v>
      </c>
      <c r="AU90" s="93" t="str">
        <f>'RS1'!AT482+'RS2'!AT483+'RS3'!AT490+AU495</f>
        <v>#REF!</v>
      </c>
      <c r="AV90" s="93" t="str">
        <f>'RS1'!AU482+'RS2'!AU483+'RS3'!AU490+AV495</f>
        <v>#REF!</v>
      </c>
    </row>
    <row r="91" ht="12.75" customHeight="1" outlineLevel="1">
      <c r="A91" s="302"/>
      <c r="B91" s="90" t="s">
        <v>252</v>
      </c>
      <c r="C91" s="90"/>
      <c r="D91" s="90"/>
      <c r="E91" s="90"/>
      <c r="F91" s="90"/>
      <c r="G91" s="90"/>
      <c r="H91" s="99"/>
      <c r="I91" s="99"/>
      <c r="J91" s="99"/>
      <c r="K91" s="99">
        <f>'RS1'!J467+'RS2'!J468+'RS3'!J475</f>
        <v>0</v>
      </c>
      <c r="L91" s="99">
        <f t="shared" ref="L91:AV91" si="36">K91+L72</f>
        <v>450000</v>
      </c>
      <c r="M91" s="93">
        <f t="shared" si="36"/>
        <v>250000</v>
      </c>
      <c r="N91" s="93">
        <f t="shared" si="36"/>
        <v>250000</v>
      </c>
      <c r="O91" s="93">
        <f t="shared" si="36"/>
        <v>250000</v>
      </c>
      <c r="P91" s="93">
        <f t="shared" si="36"/>
        <v>250000</v>
      </c>
      <c r="Q91" s="93">
        <f t="shared" si="36"/>
        <v>304121.608</v>
      </c>
      <c r="R91" s="93">
        <f t="shared" si="36"/>
        <v>607743.8289</v>
      </c>
      <c r="S91" s="93">
        <f t="shared" si="36"/>
        <v>1005287.22</v>
      </c>
      <c r="T91" s="93">
        <f t="shared" si="36"/>
        <v>2268841.454</v>
      </c>
      <c r="U91" s="93">
        <f t="shared" si="36"/>
        <v>4260662.402</v>
      </c>
      <c r="V91" s="93">
        <f t="shared" si="36"/>
        <v>7036380.349</v>
      </c>
      <c r="W91" s="93">
        <f t="shared" si="36"/>
        <v>16450629.81</v>
      </c>
      <c r="X91" s="93">
        <f t="shared" si="36"/>
        <v>26914963.72</v>
      </c>
      <c r="Y91" s="93">
        <f t="shared" si="36"/>
        <v>39146948.18</v>
      </c>
      <c r="Z91" s="93">
        <f t="shared" si="36"/>
        <v>52390623.42</v>
      </c>
      <c r="AA91" s="93">
        <f t="shared" si="36"/>
        <v>77460058.23</v>
      </c>
      <c r="AB91" s="93">
        <f t="shared" si="36"/>
        <v>114626160.8</v>
      </c>
      <c r="AC91" s="93">
        <f t="shared" si="36"/>
        <v>160083194.7</v>
      </c>
      <c r="AD91" s="93">
        <f t="shared" si="36"/>
        <v>210960993.6</v>
      </c>
      <c r="AE91" s="93">
        <f t="shared" si="36"/>
        <v>262665050.7</v>
      </c>
      <c r="AF91" s="93">
        <f t="shared" si="36"/>
        <v>310671228.8</v>
      </c>
      <c r="AG91" s="93">
        <f t="shared" si="36"/>
        <v>346766574</v>
      </c>
      <c r="AH91" s="93">
        <f t="shared" si="36"/>
        <v>355789086.8</v>
      </c>
      <c r="AI91" s="93">
        <f t="shared" si="36"/>
        <v>286601213.9</v>
      </c>
      <c r="AJ91" s="93">
        <f t="shared" si="36"/>
        <v>198870662.1</v>
      </c>
      <c r="AK91" s="93">
        <f t="shared" si="36"/>
        <v>108213440.9</v>
      </c>
      <c r="AL91" s="93">
        <f t="shared" si="36"/>
        <v>30477338.17</v>
      </c>
      <c r="AM91" s="93" t="str">
        <f t="shared" si="36"/>
        <v>#REF!</v>
      </c>
      <c r="AN91" s="93" t="str">
        <f t="shared" si="36"/>
        <v>#REF!</v>
      </c>
      <c r="AO91" s="93" t="str">
        <f t="shared" si="36"/>
        <v>#REF!</v>
      </c>
      <c r="AP91" s="93" t="str">
        <f t="shared" si="36"/>
        <v>#REF!</v>
      </c>
      <c r="AQ91" s="93" t="str">
        <f t="shared" si="36"/>
        <v>#REF!</v>
      </c>
      <c r="AR91" s="93" t="str">
        <f t="shared" si="36"/>
        <v>#REF!</v>
      </c>
      <c r="AS91" s="93" t="str">
        <f t="shared" si="36"/>
        <v>#REF!</v>
      </c>
      <c r="AT91" s="93" t="str">
        <f t="shared" si="36"/>
        <v>#REF!</v>
      </c>
      <c r="AU91" s="93" t="str">
        <f t="shared" si="36"/>
        <v>#REF!</v>
      </c>
      <c r="AV91" s="93" t="str">
        <f t="shared" si="36"/>
        <v>#REF!</v>
      </c>
    </row>
    <row r="92" ht="12.75" customHeight="1" outlineLevel="1">
      <c r="A92" s="302"/>
      <c r="B92" s="90" t="s">
        <v>251</v>
      </c>
      <c r="C92" s="90"/>
      <c r="D92" s="90"/>
      <c r="E92" s="90"/>
      <c r="F92" s="90"/>
      <c r="G92" s="90"/>
      <c r="H92" s="99"/>
      <c r="I92" s="99"/>
      <c r="J92" s="99"/>
      <c r="K92" s="99">
        <f>'RS1'!J443+'RS1'!J453+'RS2'!J454+'RS2'!J444+'RS3'!J441+'RS3'!J461</f>
        <v>725000</v>
      </c>
      <c r="L92" s="99" t="str">
        <f t="shared" ref="L92:AV92" si="37">K92+L69+L70+L71+L73</f>
        <v>#REF!</v>
      </c>
      <c r="M92" s="93" t="str">
        <f t="shared" si="37"/>
        <v>#REF!</v>
      </c>
      <c r="N92" s="93" t="str">
        <f t="shared" si="37"/>
        <v>#REF!</v>
      </c>
      <c r="O92" s="93" t="str">
        <f t="shared" si="37"/>
        <v>#REF!</v>
      </c>
      <c r="P92" s="93" t="str">
        <f t="shared" si="37"/>
        <v>#REF!</v>
      </c>
      <c r="Q92" s="93" t="str">
        <f t="shared" si="37"/>
        <v>#REF!</v>
      </c>
      <c r="R92" s="93" t="str">
        <f t="shared" si="37"/>
        <v>#REF!</v>
      </c>
      <c r="S92" s="93" t="str">
        <f t="shared" si="37"/>
        <v>#REF!</v>
      </c>
      <c r="T92" s="93" t="str">
        <f t="shared" si="37"/>
        <v>#REF!</v>
      </c>
      <c r="U92" s="93" t="str">
        <f t="shared" si="37"/>
        <v>#REF!</v>
      </c>
      <c r="V92" s="93" t="str">
        <f t="shared" si="37"/>
        <v>#REF!</v>
      </c>
      <c r="W92" s="93" t="str">
        <f t="shared" si="37"/>
        <v>#REF!</v>
      </c>
      <c r="X92" s="93" t="str">
        <f t="shared" si="37"/>
        <v>#REF!</v>
      </c>
      <c r="Y92" s="93" t="str">
        <f t="shared" si="37"/>
        <v>#REF!</v>
      </c>
      <c r="Z92" s="93" t="str">
        <f t="shared" si="37"/>
        <v>#REF!</v>
      </c>
      <c r="AA92" s="93" t="str">
        <f t="shared" si="37"/>
        <v>#REF!</v>
      </c>
      <c r="AB92" s="93" t="str">
        <f t="shared" si="37"/>
        <v>#REF!</v>
      </c>
      <c r="AC92" s="93" t="str">
        <f t="shared" si="37"/>
        <v>#REF!</v>
      </c>
      <c r="AD92" s="93" t="str">
        <f t="shared" si="37"/>
        <v>#REF!</v>
      </c>
      <c r="AE92" s="93" t="str">
        <f t="shared" si="37"/>
        <v>#REF!</v>
      </c>
      <c r="AF92" s="93" t="str">
        <f t="shared" si="37"/>
        <v>#REF!</v>
      </c>
      <c r="AG92" s="93" t="str">
        <f t="shared" si="37"/>
        <v>#REF!</v>
      </c>
      <c r="AH92" s="93" t="str">
        <f t="shared" si="37"/>
        <v>#REF!</v>
      </c>
      <c r="AI92" s="93" t="str">
        <f t="shared" si="37"/>
        <v>#REF!</v>
      </c>
      <c r="AJ92" s="93" t="str">
        <f t="shared" si="37"/>
        <v>#REF!</v>
      </c>
      <c r="AK92" s="93" t="str">
        <f t="shared" si="37"/>
        <v>#REF!</v>
      </c>
      <c r="AL92" s="93" t="str">
        <f t="shared" si="37"/>
        <v>#REF!</v>
      </c>
      <c r="AM92" s="93" t="str">
        <f t="shared" si="37"/>
        <v>#REF!</v>
      </c>
      <c r="AN92" s="93" t="str">
        <f t="shared" si="37"/>
        <v>#REF!</v>
      </c>
      <c r="AO92" s="93" t="str">
        <f t="shared" si="37"/>
        <v>#REF!</v>
      </c>
      <c r="AP92" s="93" t="str">
        <f t="shared" si="37"/>
        <v>#REF!</v>
      </c>
      <c r="AQ92" s="93" t="str">
        <f t="shared" si="37"/>
        <v>#REF!</v>
      </c>
      <c r="AR92" s="93" t="str">
        <f t="shared" si="37"/>
        <v>#REF!</v>
      </c>
      <c r="AS92" s="93" t="str">
        <f t="shared" si="37"/>
        <v>#REF!</v>
      </c>
      <c r="AT92" s="93" t="str">
        <f t="shared" si="37"/>
        <v>#REF!</v>
      </c>
      <c r="AU92" s="93" t="str">
        <f t="shared" si="37"/>
        <v>#REF!</v>
      </c>
      <c r="AV92" s="93" t="str">
        <f t="shared" si="37"/>
        <v>#REF!</v>
      </c>
    </row>
    <row r="93" ht="12.75" customHeight="1" outlineLevel="1">
      <c r="A93" s="139"/>
      <c r="B93" s="87" t="s">
        <v>253</v>
      </c>
      <c r="C93" s="87"/>
      <c r="D93" s="87"/>
      <c r="E93" s="87"/>
      <c r="F93" s="87"/>
      <c r="G93" s="87"/>
      <c r="H93" s="125" t="str">
        <f>H9</f>
        <v/>
      </c>
      <c r="I93" s="125">
        <f>H93+I9</f>
        <v>0</v>
      </c>
      <c r="J93" s="125"/>
      <c r="K93" s="125">
        <f>'RS1'!J484+'RS2'!J485+'RS3'!J492</f>
        <v>115097.58</v>
      </c>
      <c r="L93" s="125" t="str">
        <f t="shared" ref="L93:AV93" si="38">K93+L50</f>
        <v>#REF!</v>
      </c>
      <c r="M93" s="119" t="str">
        <f t="shared" si="38"/>
        <v>#REF!</v>
      </c>
      <c r="N93" s="119" t="str">
        <f t="shared" si="38"/>
        <v>#REF!</v>
      </c>
      <c r="O93" s="119" t="str">
        <f t="shared" si="38"/>
        <v>#REF!</v>
      </c>
      <c r="P93" s="119" t="str">
        <f t="shared" si="38"/>
        <v>#REF!</v>
      </c>
      <c r="Q93" s="119" t="str">
        <f t="shared" si="38"/>
        <v>#REF!</v>
      </c>
      <c r="R93" s="119" t="str">
        <f t="shared" si="38"/>
        <v>#REF!</v>
      </c>
      <c r="S93" s="119" t="str">
        <f t="shared" si="38"/>
        <v>#REF!</v>
      </c>
      <c r="T93" s="119" t="str">
        <f t="shared" si="38"/>
        <v>#REF!</v>
      </c>
      <c r="U93" s="119" t="str">
        <f t="shared" si="38"/>
        <v>#REF!</v>
      </c>
      <c r="V93" s="119" t="str">
        <f t="shared" si="38"/>
        <v>#REF!</v>
      </c>
      <c r="W93" s="119" t="str">
        <f t="shared" si="38"/>
        <v>#REF!</v>
      </c>
      <c r="X93" s="119" t="str">
        <f t="shared" si="38"/>
        <v>#REF!</v>
      </c>
      <c r="Y93" s="119" t="str">
        <f t="shared" si="38"/>
        <v>#REF!</v>
      </c>
      <c r="Z93" s="119" t="str">
        <f t="shared" si="38"/>
        <v>#REF!</v>
      </c>
      <c r="AA93" s="119" t="str">
        <f t="shared" si="38"/>
        <v>#REF!</v>
      </c>
      <c r="AB93" s="119" t="str">
        <f t="shared" si="38"/>
        <v>#REF!</v>
      </c>
      <c r="AC93" s="119" t="str">
        <f t="shared" si="38"/>
        <v>#REF!</v>
      </c>
      <c r="AD93" s="119" t="str">
        <f t="shared" si="38"/>
        <v>#REF!</v>
      </c>
      <c r="AE93" s="119" t="str">
        <f t="shared" si="38"/>
        <v>#REF!</v>
      </c>
      <c r="AF93" s="119" t="str">
        <f t="shared" si="38"/>
        <v>#REF!</v>
      </c>
      <c r="AG93" s="119" t="str">
        <f t="shared" si="38"/>
        <v>#REF!</v>
      </c>
      <c r="AH93" s="119" t="str">
        <f t="shared" si="38"/>
        <v>#REF!</v>
      </c>
      <c r="AI93" s="119" t="str">
        <f t="shared" si="38"/>
        <v>#REF!</v>
      </c>
      <c r="AJ93" s="119" t="str">
        <f t="shared" si="38"/>
        <v>#REF!</v>
      </c>
      <c r="AK93" s="119" t="str">
        <f t="shared" si="38"/>
        <v>#REF!</v>
      </c>
      <c r="AL93" s="119" t="str">
        <f t="shared" si="38"/>
        <v>#REF!</v>
      </c>
      <c r="AM93" s="119" t="str">
        <f t="shared" si="38"/>
        <v>#REF!</v>
      </c>
      <c r="AN93" s="119" t="str">
        <f t="shared" si="38"/>
        <v>#REF!</v>
      </c>
      <c r="AO93" s="119" t="str">
        <f t="shared" si="38"/>
        <v>#REF!</v>
      </c>
      <c r="AP93" s="119" t="str">
        <f t="shared" si="38"/>
        <v>#REF!</v>
      </c>
      <c r="AQ93" s="119" t="str">
        <f t="shared" si="38"/>
        <v>#REF!</v>
      </c>
      <c r="AR93" s="119" t="str">
        <f t="shared" si="38"/>
        <v>#REF!</v>
      </c>
      <c r="AS93" s="119" t="str">
        <f t="shared" si="38"/>
        <v>#REF!</v>
      </c>
      <c r="AT93" s="119" t="str">
        <f t="shared" si="38"/>
        <v>#REF!</v>
      </c>
      <c r="AU93" s="119" t="str">
        <f t="shared" si="38"/>
        <v>#REF!</v>
      </c>
      <c r="AV93" s="119" t="str">
        <f t="shared" si="38"/>
        <v>#REF!</v>
      </c>
    </row>
    <row r="94" ht="12.75" customHeight="1" outlineLevel="1">
      <c r="A94" s="67" t="s">
        <v>254</v>
      </c>
      <c r="B94" s="90"/>
      <c r="C94" s="90"/>
      <c r="D94" s="90"/>
      <c r="E94" s="90"/>
      <c r="F94" s="90"/>
      <c r="G94" s="90"/>
      <c r="H94" s="99">
        <f t="shared" ref="H94:I94" si="39">SUM(H90:H93)</f>
        <v>0</v>
      </c>
      <c r="I94" s="99">
        <f t="shared" si="39"/>
        <v>0</v>
      </c>
      <c r="J94" s="99"/>
      <c r="K94" s="99">
        <f t="shared" ref="K94:AV94" si="40">SUM(K90:K93)</f>
        <v>1033364.51</v>
      </c>
      <c r="L94" s="99" t="str">
        <f t="shared" si="40"/>
        <v>#REF!</v>
      </c>
      <c r="M94" s="93" t="str">
        <f t="shared" si="40"/>
        <v>#REF!</v>
      </c>
      <c r="N94" s="93" t="str">
        <f t="shared" si="40"/>
        <v>#REF!</v>
      </c>
      <c r="O94" s="93" t="str">
        <f t="shared" si="40"/>
        <v>#REF!</v>
      </c>
      <c r="P94" s="93" t="str">
        <f t="shared" si="40"/>
        <v>#REF!</v>
      </c>
      <c r="Q94" s="93" t="str">
        <f t="shared" si="40"/>
        <v>#REF!</v>
      </c>
      <c r="R94" s="93" t="str">
        <f t="shared" si="40"/>
        <v>#REF!</v>
      </c>
      <c r="S94" s="93" t="str">
        <f t="shared" si="40"/>
        <v>#REF!</v>
      </c>
      <c r="T94" s="93" t="str">
        <f t="shared" si="40"/>
        <v>#REF!</v>
      </c>
      <c r="U94" s="93" t="str">
        <f t="shared" si="40"/>
        <v>#REF!</v>
      </c>
      <c r="V94" s="93" t="str">
        <f t="shared" si="40"/>
        <v>#REF!</v>
      </c>
      <c r="W94" s="93" t="str">
        <f t="shared" si="40"/>
        <v>#REF!</v>
      </c>
      <c r="X94" s="93" t="str">
        <f t="shared" si="40"/>
        <v>#REF!</v>
      </c>
      <c r="Y94" s="93" t="str">
        <f t="shared" si="40"/>
        <v>#REF!</v>
      </c>
      <c r="Z94" s="93" t="str">
        <f t="shared" si="40"/>
        <v>#REF!</v>
      </c>
      <c r="AA94" s="93" t="str">
        <f t="shared" si="40"/>
        <v>#REF!</v>
      </c>
      <c r="AB94" s="93" t="str">
        <f t="shared" si="40"/>
        <v>#REF!</v>
      </c>
      <c r="AC94" s="93" t="str">
        <f t="shared" si="40"/>
        <v>#REF!</v>
      </c>
      <c r="AD94" s="93" t="str">
        <f t="shared" si="40"/>
        <v>#REF!</v>
      </c>
      <c r="AE94" s="93" t="str">
        <f t="shared" si="40"/>
        <v>#REF!</v>
      </c>
      <c r="AF94" s="93" t="str">
        <f t="shared" si="40"/>
        <v>#REF!</v>
      </c>
      <c r="AG94" s="93" t="str">
        <f t="shared" si="40"/>
        <v>#REF!</v>
      </c>
      <c r="AH94" s="93" t="str">
        <f t="shared" si="40"/>
        <v>#REF!</v>
      </c>
      <c r="AI94" s="93" t="str">
        <f t="shared" si="40"/>
        <v>#REF!</v>
      </c>
      <c r="AJ94" s="93" t="str">
        <f t="shared" si="40"/>
        <v>#REF!</v>
      </c>
      <c r="AK94" s="93" t="str">
        <f t="shared" si="40"/>
        <v>#REF!</v>
      </c>
      <c r="AL94" s="93" t="str">
        <f t="shared" si="40"/>
        <v>#REF!</v>
      </c>
      <c r="AM94" s="93" t="str">
        <f t="shared" si="40"/>
        <v>#REF!</v>
      </c>
      <c r="AN94" s="93" t="str">
        <f t="shared" si="40"/>
        <v>#REF!</v>
      </c>
      <c r="AO94" s="93" t="str">
        <f t="shared" si="40"/>
        <v>#REF!</v>
      </c>
      <c r="AP94" s="93" t="str">
        <f t="shared" si="40"/>
        <v>#REF!</v>
      </c>
      <c r="AQ94" s="93" t="str">
        <f t="shared" si="40"/>
        <v>#REF!</v>
      </c>
      <c r="AR94" s="93" t="str">
        <f t="shared" si="40"/>
        <v>#REF!</v>
      </c>
      <c r="AS94" s="93" t="str">
        <f t="shared" si="40"/>
        <v>#REF!</v>
      </c>
      <c r="AT94" s="93" t="str">
        <f t="shared" si="40"/>
        <v>#REF!</v>
      </c>
      <c r="AU94" s="93" t="str">
        <f t="shared" si="40"/>
        <v>#REF!</v>
      </c>
      <c r="AV94" s="93" t="str">
        <f t="shared" si="40"/>
        <v>#REF!</v>
      </c>
    </row>
    <row r="95" ht="12.75" customHeight="1" outlineLevel="1">
      <c r="A95" s="274"/>
      <c r="B95" s="274"/>
      <c r="C95" s="274"/>
      <c r="D95" s="274"/>
      <c r="E95" s="274"/>
      <c r="F95" s="274"/>
      <c r="G95" s="274"/>
      <c r="H95" s="275"/>
      <c r="I95" s="275"/>
      <c r="J95" s="275"/>
      <c r="K95" s="275">
        <f t="shared" ref="K95:AV95" si="41">K94-K87</f>
        <v>0</v>
      </c>
      <c r="L95" s="275" t="str">
        <f t="shared" si="41"/>
        <v>#REF!</v>
      </c>
      <c r="M95" s="303" t="str">
        <f t="shared" si="41"/>
        <v>#REF!</v>
      </c>
      <c r="N95" s="303" t="str">
        <f t="shared" si="41"/>
        <v>#REF!</v>
      </c>
      <c r="O95" s="303" t="str">
        <f t="shared" si="41"/>
        <v>#REF!</v>
      </c>
      <c r="P95" s="303" t="str">
        <f t="shared" si="41"/>
        <v>#REF!</v>
      </c>
      <c r="Q95" s="303" t="str">
        <f t="shared" si="41"/>
        <v>#REF!</v>
      </c>
      <c r="R95" s="303" t="str">
        <f t="shared" si="41"/>
        <v>#REF!</v>
      </c>
      <c r="S95" s="303" t="str">
        <f t="shared" si="41"/>
        <v>#REF!</v>
      </c>
      <c r="T95" s="303" t="str">
        <f t="shared" si="41"/>
        <v>#REF!</v>
      </c>
      <c r="U95" s="303" t="str">
        <f t="shared" si="41"/>
        <v>#REF!</v>
      </c>
      <c r="V95" s="303" t="str">
        <f t="shared" si="41"/>
        <v>#REF!</v>
      </c>
      <c r="W95" s="303" t="str">
        <f t="shared" si="41"/>
        <v>#REF!</v>
      </c>
      <c r="X95" s="303" t="str">
        <f t="shared" si="41"/>
        <v>#REF!</v>
      </c>
      <c r="Y95" s="303" t="str">
        <f t="shared" si="41"/>
        <v>#REF!</v>
      </c>
      <c r="Z95" s="303" t="str">
        <f t="shared" si="41"/>
        <v>#REF!</v>
      </c>
      <c r="AA95" s="303" t="str">
        <f t="shared" si="41"/>
        <v>#REF!</v>
      </c>
      <c r="AB95" s="303" t="str">
        <f t="shared" si="41"/>
        <v>#REF!</v>
      </c>
      <c r="AC95" s="303" t="str">
        <f t="shared" si="41"/>
        <v>#REF!</v>
      </c>
      <c r="AD95" s="303" t="str">
        <f t="shared" si="41"/>
        <v>#REF!</v>
      </c>
      <c r="AE95" s="303" t="str">
        <f t="shared" si="41"/>
        <v>#REF!</v>
      </c>
      <c r="AF95" s="303" t="str">
        <f t="shared" si="41"/>
        <v>#REF!</v>
      </c>
      <c r="AG95" s="303" t="str">
        <f t="shared" si="41"/>
        <v>#REF!</v>
      </c>
      <c r="AH95" s="303" t="str">
        <f t="shared" si="41"/>
        <v>#REF!</v>
      </c>
      <c r="AI95" s="303" t="str">
        <f t="shared" si="41"/>
        <v>#REF!</v>
      </c>
      <c r="AJ95" s="303" t="str">
        <f t="shared" si="41"/>
        <v>#REF!</v>
      </c>
      <c r="AK95" s="303" t="str">
        <f t="shared" si="41"/>
        <v>#REF!</v>
      </c>
      <c r="AL95" s="303" t="str">
        <f t="shared" si="41"/>
        <v>#REF!</v>
      </c>
      <c r="AM95" s="303" t="str">
        <f t="shared" si="41"/>
        <v>#REF!</v>
      </c>
      <c r="AN95" s="303" t="str">
        <f t="shared" si="41"/>
        <v>#REF!</v>
      </c>
      <c r="AO95" s="303" t="str">
        <f t="shared" si="41"/>
        <v>#REF!</v>
      </c>
      <c r="AP95" s="303" t="str">
        <f t="shared" si="41"/>
        <v>#REF!</v>
      </c>
      <c r="AQ95" s="303" t="str">
        <f t="shared" si="41"/>
        <v>#REF!</v>
      </c>
      <c r="AR95" s="303" t="str">
        <f t="shared" si="41"/>
        <v>#REF!</v>
      </c>
      <c r="AS95" s="303" t="str">
        <f t="shared" si="41"/>
        <v>#REF!</v>
      </c>
      <c r="AT95" s="303" t="str">
        <f t="shared" si="41"/>
        <v>#REF!</v>
      </c>
      <c r="AU95" s="303" t="str">
        <f t="shared" si="41"/>
        <v>#REF!</v>
      </c>
      <c r="AV95" s="303" t="str">
        <f t="shared" si="41"/>
        <v>#REF!</v>
      </c>
    </row>
    <row r="96" ht="12.75" customHeight="1">
      <c r="A96" s="67"/>
      <c r="B96" s="67"/>
      <c r="C96" s="67"/>
      <c r="D96" s="67"/>
      <c r="E96" s="67"/>
      <c r="F96" s="67"/>
      <c r="G96" s="67"/>
      <c r="H96" s="67"/>
      <c r="I96" s="67"/>
      <c r="J96" s="79"/>
      <c r="K96" s="79"/>
      <c r="L96" s="79"/>
      <c r="M96" s="79"/>
      <c r="N96" s="79"/>
      <c r="O96" s="79"/>
      <c r="P96" s="79"/>
      <c r="Q96" s="79"/>
      <c r="R96" s="79"/>
      <c r="S96" s="79"/>
      <c r="T96" s="79"/>
      <c r="U96" s="79"/>
      <c r="V96" s="79"/>
      <c r="W96" s="192"/>
      <c r="X96" s="192"/>
      <c r="Y96" s="79"/>
      <c r="Z96" s="79"/>
      <c r="AA96" s="79"/>
      <c r="AB96" s="79"/>
      <c r="AC96" s="79"/>
      <c r="AD96" s="79"/>
      <c r="AE96" s="79"/>
      <c r="AF96" s="79"/>
      <c r="AG96" s="218"/>
      <c r="AH96" s="304"/>
      <c r="AI96" s="304"/>
      <c r="AJ96" s="304"/>
      <c r="AK96" s="304"/>
      <c r="AL96" s="304"/>
      <c r="AM96" s="304"/>
      <c r="AN96" s="304"/>
      <c r="AO96" s="218"/>
      <c r="AP96" s="218"/>
      <c r="AQ96" s="79"/>
      <c r="AR96" s="79"/>
      <c r="AS96" s="79"/>
      <c r="AT96" s="79"/>
    </row>
    <row r="97" ht="12.75" customHeight="1">
      <c r="A97" s="67"/>
      <c r="L97" s="301"/>
      <c r="M97" s="223"/>
      <c r="N97" s="99"/>
      <c r="Q97" s="90"/>
      <c r="T97" s="90"/>
    </row>
    <row r="98" ht="12.75" customHeight="1" outlineLevel="1">
      <c r="A98" s="106" t="s">
        <v>571</v>
      </c>
      <c r="B98" s="253"/>
      <c r="C98" s="253"/>
      <c r="D98" s="253"/>
      <c r="E98" s="253"/>
      <c r="F98" s="253"/>
      <c r="G98" s="253"/>
      <c r="H98" s="287"/>
      <c r="I98" s="287"/>
      <c r="J98" s="288"/>
      <c r="K98" s="288"/>
      <c r="L98" s="288"/>
      <c r="M98" s="288"/>
      <c r="N98" s="288"/>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row>
    <row r="99" ht="12.75" customHeight="1" outlineLevel="1">
      <c r="A99" s="90"/>
      <c r="Q99" s="90"/>
      <c r="T99" s="90"/>
    </row>
    <row r="100" ht="12.75" customHeight="1" outlineLevel="1">
      <c r="A100" s="67" t="s">
        <v>572</v>
      </c>
      <c r="B100" s="90"/>
      <c r="C100" s="90"/>
      <c r="D100" s="90"/>
      <c r="E100" s="90"/>
      <c r="F100" s="90"/>
      <c r="G100" s="90"/>
      <c r="H100" s="196"/>
      <c r="I100" s="196"/>
      <c r="J100" s="90"/>
      <c r="K100" s="90"/>
      <c r="L100" s="90"/>
      <c r="M100" s="90"/>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c r="AY100" s="90"/>
      <c r="AZ100" s="90"/>
      <c r="BA100" s="90"/>
      <c r="BB100" s="90"/>
      <c r="BC100" s="90"/>
      <c r="BD100" s="90"/>
      <c r="BE100" s="90"/>
      <c r="BF100" s="90"/>
      <c r="BG100" s="90"/>
      <c r="BH100" s="90"/>
      <c r="BI100" s="90"/>
      <c r="BJ100" s="90"/>
      <c r="BK100" s="90"/>
      <c r="BL100" s="90"/>
      <c r="BM100" s="90"/>
      <c r="BN100" s="90"/>
      <c r="BO100" s="90"/>
      <c r="BP100" s="90"/>
    </row>
    <row r="101" ht="12.75" customHeight="1" outlineLevel="1">
      <c r="A101" s="90"/>
      <c r="B101" s="90" t="s">
        <v>573</v>
      </c>
      <c r="C101" s="90"/>
      <c r="D101" s="90"/>
      <c r="E101" s="90"/>
      <c r="F101" s="90"/>
      <c r="G101" s="90"/>
      <c r="H101" s="89"/>
      <c r="I101" s="89"/>
      <c r="J101" s="89"/>
      <c r="K101" s="89"/>
      <c r="L101" s="89">
        <f>Assumptions!D57</f>
        <v>0</v>
      </c>
      <c r="M101" s="89">
        <f>Assumptions!E57</f>
        <v>0</v>
      </c>
      <c r="N101" s="89">
        <f>Assumptions!F57</f>
        <v>0.01</v>
      </c>
      <c r="O101" s="89">
        <f>Assumptions!G57</f>
        <v>0.02</v>
      </c>
      <c r="P101" s="89">
        <f>Assumptions!H57</f>
        <v>0.02</v>
      </c>
      <c r="Q101" s="89">
        <f>Assumptions!I57</f>
        <v>0.02</v>
      </c>
      <c r="R101" s="89">
        <f>Assumptions!J57</f>
        <v>0.02</v>
      </c>
      <c r="S101" s="89">
        <f>Assumptions!K57</f>
        <v>0.03013338494</v>
      </c>
      <c r="T101" s="89">
        <f>Assumptions!L57</f>
        <v>0.02</v>
      </c>
      <c r="U101" s="89">
        <f t="shared" ref="U101:AV101" si="42">T101</f>
        <v>0.02</v>
      </c>
      <c r="V101" s="89">
        <f t="shared" si="42"/>
        <v>0.02</v>
      </c>
      <c r="W101" s="89">
        <f t="shared" si="42"/>
        <v>0.02</v>
      </c>
      <c r="X101" s="89">
        <f t="shared" si="42"/>
        <v>0.02</v>
      </c>
      <c r="Y101" s="89">
        <f t="shared" si="42"/>
        <v>0.02</v>
      </c>
      <c r="Z101" s="89">
        <f t="shared" si="42"/>
        <v>0.02</v>
      </c>
      <c r="AA101" s="89">
        <f t="shared" si="42"/>
        <v>0.02</v>
      </c>
      <c r="AB101" s="89">
        <f t="shared" si="42"/>
        <v>0.02</v>
      </c>
      <c r="AC101" s="89">
        <f t="shared" si="42"/>
        <v>0.02</v>
      </c>
      <c r="AD101" s="89">
        <f t="shared" si="42"/>
        <v>0.02</v>
      </c>
      <c r="AE101" s="89">
        <f t="shared" si="42"/>
        <v>0.02</v>
      </c>
      <c r="AF101" s="89">
        <f t="shared" si="42"/>
        <v>0.02</v>
      </c>
      <c r="AG101" s="89">
        <f t="shared" si="42"/>
        <v>0.02</v>
      </c>
      <c r="AH101" s="89">
        <f t="shared" si="42"/>
        <v>0.02</v>
      </c>
      <c r="AI101" s="89">
        <f t="shared" si="42"/>
        <v>0.02</v>
      </c>
      <c r="AJ101" s="89">
        <f t="shared" si="42"/>
        <v>0.02</v>
      </c>
      <c r="AK101" s="89">
        <f t="shared" si="42"/>
        <v>0.02</v>
      </c>
      <c r="AL101" s="89">
        <f t="shared" si="42"/>
        <v>0.02</v>
      </c>
      <c r="AM101" s="89">
        <f t="shared" si="42"/>
        <v>0.02</v>
      </c>
      <c r="AN101" s="89">
        <f t="shared" si="42"/>
        <v>0.02</v>
      </c>
      <c r="AO101" s="89">
        <f t="shared" si="42"/>
        <v>0.02</v>
      </c>
      <c r="AP101" s="89">
        <f t="shared" si="42"/>
        <v>0.02</v>
      </c>
      <c r="AQ101" s="89">
        <f t="shared" si="42"/>
        <v>0.02</v>
      </c>
      <c r="AR101" s="89">
        <f t="shared" si="42"/>
        <v>0.02</v>
      </c>
      <c r="AS101" s="89">
        <f t="shared" si="42"/>
        <v>0.02</v>
      </c>
      <c r="AT101" s="89">
        <f t="shared" si="42"/>
        <v>0.02</v>
      </c>
      <c r="AU101" s="89">
        <f t="shared" si="42"/>
        <v>0.02</v>
      </c>
      <c r="AV101" s="89">
        <f t="shared" si="42"/>
        <v>0.02</v>
      </c>
      <c r="AW101" s="90"/>
      <c r="AX101" s="90"/>
      <c r="AY101" s="90"/>
      <c r="AZ101" s="90"/>
      <c r="BA101" s="90"/>
      <c r="BB101" s="90"/>
      <c r="BC101" s="90"/>
      <c r="BD101" s="90"/>
      <c r="BE101" s="90"/>
      <c r="BF101" s="90"/>
      <c r="BG101" s="90"/>
      <c r="BH101" s="90"/>
      <c r="BI101" s="90"/>
      <c r="BJ101" s="90"/>
      <c r="BK101" s="90"/>
      <c r="BL101" s="90"/>
      <c r="BM101" s="90"/>
      <c r="BN101" s="90"/>
      <c r="BO101" s="90"/>
      <c r="BP101" s="90"/>
    </row>
    <row r="102" ht="12.75" customHeight="1" outlineLevel="1">
      <c r="A102" s="90"/>
      <c r="B102" s="90" t="s">
        <v>574</v>
      </c>
      <c r="C102" s="90"/>
      <c r="D102" s="90"/>
      <c r="E102" s="90"/>
      <c r="F102" s="90"/>
      <c r="G102" s="90"/>
      <c r="H102" s="89"/>
      <c r="I102" s="89"/>
      <c r="J102" s="89"/>
      <c r="K102" s="89"/>
      <c r="L102" s="89">
        <f>Assumptions!D58</f>
        <v>0</v>
      </c>
      <c r="M102" s="89">
        <f>Assumptions!E58</f>
        <v>0.02</v>
      </c>
      <c r="N102" s="89">
        <f>Assumptions!F58</f>
        <v>0.02</v>
      </c>
      <c r="O102" s="89">
        <f>Assumptions!G58</f>
        <v>0.02</v>
      </c>
      <c r="P102" s="89">
        <f>Assumptions!H58</f>
        <v>0.02</v>
      </c>
      <c r="Q102" s="89">
        <f>Assumptions!I58</f>
        <v>0.02</v>
      </c>
      <c r="R102" s="89">
        <f>Assumptions!J58</f>
        <v>0.02</v>
      </c>
      <c r="S102" s="89">
        <f>Assumptions!K58</f>
        <v>0.02</v>
      </c>
      <c r="T102" s="89">
        <f>Assumptions!L58</f>
        <v>0.02</v>
      </c>
      <c r="U102" s="89">
        <f t="shared" ref="U102:AV102" si="43">T102</f>
        <v>0.02</v>
      </c>
      <c r="V102" s="89">
        <f t="shared" si="43"/>
        <v>0.02</v>
      </c>
      <c r="W102" s="89">
        <f t="shared" si="43"/>
        <v>0.02</v>
      </c>
      <c r="X102" s="89">
        <f t="shared" si="43"/>
        <v>0.02</v>
      </c>
      <c r="Y102" s="89">
        <f t="shared" si="43"/>
        <v>0.02</v>
      </c>
      <c r="Z102" s="89">
        <f t="shared" si="43"/>
        <v>0.02</v>
      </c>
      <c r="AA102" s="89">
        <f t="shared" si="43"/>
        <v>0.02</v>
      </c>
      <c r="AB102" s="89">
        <f t="shared" si="43"/>
        <v>0.02</v>
      </c>
      <c r="AC102" s="89">
        <f t="shared" si="43"/>
        <v>0.02</v>
      </c>
      <c r="AD102" s="89">
        <f t="shared" si="43"/>
        <v>0.02</v>
      </c>
      <c r="AE102" s="89">
        <f t="shared" si="43"/>
        <v>0.02</v>
      </c>
      <c r="AF102" s="89">
        <f t="shared" si="43"/>
        <v>0.02</v>
      </c>
      <c r="AG102" s="89">
        <f t="shared" si="43"/>
        <v>0.02</v>
      </c>
      <c r="AH102" s="89">
        <f t="shared" si="43"/>
        <v>0.02</v>
      </c>
      <c r="AI102" s="89">
        <f t="shared" si="43"/>
        <v>0.02</v>
      </c>
      <c r="AJ102" s="89">
        <f t="shared" si="43"/>
        <v>0.02</v>
      </c>
      <c r="AK102" s="89">
        <f t="shared" si="43"/>
        <v>0.02</v>
      </c>
      <c r="AL102" s="89">
        <f t="shared" si="43"/>
        <v>0.02</v>
      </c>
      <c r="AM102" s="89">
        <f t="shared" si="43"/>
        <v>0.02</v>
      </c>
      <c r="AN102" s="89">
        <f t="shared" si="43"/>
        <v>0.02</v>
      </c>
      <c r="AO102" s="89">
        <f t="shared" si="43"/>
        <v>0.02</v>
      </c>
      <c r="AP102" s="89">
        <f t="shared" si="43"/>
        <v>0.02</v>
      </c>
      <c r="AQ102" s="89">
        <f t="shared" si="43"/>
        <v>0.02</v>
      </c>
      <c r="AR102" s="89">
        <f t="shared" si="43"/>
        <v>0.02</v>
      </c>
      <c r="AS102" s="89">
        <f t="shared" si="43"/>
        <v>0.02</v>
      </c>
      <c r="AT102" s="89">
        <f t="shared" si="43"/>
        <v>0.02</v>
      </c>
      <c r="AU102" s="89">
        <f t="shared" si="43"/>
        <v>0.02</v>
      </c>
      <c r="AV102" s="89">
        <f t="shared" si="43"/>
        <v>0.02</v>
      </c>
      <c r="AW102" s="90"/>
      <c r="AX102" s="90"/>
      <c r="AY102" s="90"/>
      <c r="AZ102" s="90"/>
      <c r="BA102" s="90"/>
      <c r="BB102" s="90"/>
      <c r="BC102" s="90"/>
      <c r="BD102" s="90"/>
      <c r="BE102" s="90"/>
      <c r="BF102" s="90"/>
      <c r="BG102" s="90"/>
      <c r="BH102" s="90"/>
      <c r="BI102" s="90"/>
      <c r="BJ102" s="90"/>
      <c r="BK102" s="90"/>
      <c r="BL102" s="90"/>
      <c r="BM102" s="90"/>
      <c r="BN102" s="90"/>
      <c r="BO102" s="90"/>
      <c r="BP102" s="90"/>
    </row>
    <row r="103" ht="12.75" customHeight="1" outlineLevel="1">
      <c r="A103" s="90"/>
      <c r="B103" s="90" t="s">
        <v>575</v>
      </c>
      <c r="C103" s="90"/>
      <c r="D103" s="90"/>
      <c r="E103" s="90"/>
      <c r="F103" s="90"/>
      <c r="G103" s="90"/>
      <c r="H103" s="89"/>
      <c r="I103" s="89"/>
      <c r="J103" s="89"/>
      <c r="K103" s="89"/>
      <c r="L103" s="89">
        <f t="shared" ref="L103:T103" si="44">L102</f>
        <v>0</v>
      </c>
      <c r="M103" s="89">
        <f t="shared" si="44"/>
        <v>0.02</v>
      </c>
      <c r="N103" s="89">
        <f t="shared" si="44"/>
        <v>0.02</v>
      </c>
      <c r="O103" s="89">
        <f t="shared" si="44"/>
        <v>0.02</v>
      </c>
      <c r="P103" s="89">
        <f t="shared" si="44"/>
        <v>0.02</v>
      </c>
      <c r="Q103" s="89">
        <f t="shared" si="44"/>
        <v>0.02</v>
      </c>
      <c r="R103" s="89">
        <f t="shared" si="44"/>
        <v>0.02</v>
      </c>
      <c r="S103" s="89">
        <f t="shared" si="44"/>
        <v>0.02</v>
      </c>
      <c r="T103" s="89">
        <f t="shared" si="44"/>
        <v>0.02</v>
      </c>
      <c r="U103" s="89">
        <f t="shared" ref="U103:AV103" si="45">T103</f>
        <v>0.02</v>
      </c>
      <c r="V103" s="89">
        <f t="shared" si="45"/>
        <v>0.02</v>
      </c>
      <c r="W103" s="89">
        <f t="shared" si="45"/>
        <v>0.02</v>
      </c>
      <c r="X103" s="89">
        <f t="shared" si="45"/>
        <v>0.02</v>
      </c>
      <c r="Y103" s="89">
        <f t="shared" si="45"/>
        <v>0.02</v>
      </c>
      <c r="Z103" s="89">
        <f t="shared" si="45"/>
        <v>0.02</v>
      </c>
      <c r="AA103" s="89">
        <f t="shared" si="45"/>
        <v>0.02</v>
      </c>
      <c r="AB103" s="89">
        <f t="shared" si="45"/>
        <v>0.02</v>
      </c>
      <c r="AC103" s="89">
        <f t="shared" si="45"/>
        <v>0.02</v>
      </c>
      <c r="AD103" s="89">
        <f t="shared" si="45"/>
        <v>0.02</v>
      </c>
      <c r="AE103" s="89">
        <f t="shared" si="45"/>
        <v>0.02</v>
      </c>
      <c r="AF103" s="89">
        <f t="shared" si="45"/>
        <v>0.02</v>
      </c>
      <c r="AG103" s="89">
        <f t="shared" si="45"/>
        <v>0.02</v>
      </c>
      <c r="AH103" s="89">
        <f t="shared" si="45"/>
        <v>0.02</v>
      </c>
      <c r="AI103" s="89">
        <f t="shared" si="45"/>
        <v>0.02</v>
      </c>
      <c r="AJ103" s="89">
        <f t="shared" si="45"/>
        <v>0.02</v>
      </c>
      <c r="AK103" s="89">
        <f t="shared" si="45"/>
        <v>0.02</v>
      </c>
      <c r="AL103" s="89">
        <f t="shared" si="45"/>
        <v>0.02</v>
      </c>
      <c r="AM103" s="89">
        <f t="shared" si="45"/>
        <v>0.02</v>
      </c>
      <c r="AN103" s="89">
        <f t="shared" si="45"/>
        <v>0.02</v>
      </c>
      <c r="AO103" s="89">
        <f t="shared" si="45"/>
        <v>0.02</v>
      </c>
      <c r="AP103" s="89">
        <f t="shared" si="45"/>
        <v>0.02</v>
      </c>
      <c r="AQ103" s="89">
        <f t="shared" si="45"/>
        <v>0.02</v>
      </c>
      <c r="AR103" s="89">
        <f t="shared" si="45"/>
        <v>0.02</v>
      </c>
      <c r="AS103" s="89">
        <f t="shared" si="45"/>
        <v>0.02</v>
      </c>
      <c r="AT103" s="89">
        <f t="shared" si="45"/>
        <v>0.02</v>
      </c>
      <c r="AU103" s="89">
        <f t="shared" si="45"/>
        <v>0.02</v>
      </c>
      <c r="AV103" s="89">
        <f t="shared" si="45"/>
        <v>0.02</v>
      </c>
      <c r="AW103" s="90"/>
      <c r="AX103" s="90"/>
      <c r="AY103" s="90"/>
      <c r="AZ103" s="90"/>
      <c r="BA103" s="90"/>
      <c r="BB103" s="90"/>
      <c r="BC103" s="90"/>
      <c r="BD103" s="90"/>
      <c r="BE103" s="90"/>
      <c r="BF103" s="90"/>
      <c r="BG103" s="90"/>
      <c r="BH103" s="90"/>
      <c r="BI103" s="90"/>
      <c r="BJ103" s="90"/>
      <c r="BK103" s="90"/>
      <c r="BL103" s="90"/>
      <c r="BM103" s="90"/>
      <c r="BN103" s="90"/>
      <c r="BO103" s="90"/>
      <c r="BP103" s="90"/>
    </row>
    <row r="104" ht="12.75" customHeight="1" outlineLevel="1">
      <c r="A104" s="90"/>
      <c r="B104" s="90" t="s">
        <v>576</v>
      </c>
      <c r="C104" s="90"/>
      <c r="D104" s="90"/>
      <c r="E104" s="90"/>
      <c r="F104" s="90"/>
      <c r="G104" s="90"/>
      <c r="H104" s="89"/>
      <c r="I104" s="89"/>
      <c r="J104" s="89"/>
      <c r="K104" s="89"/>
      <c r="L104" s="89">
        <f>Assumptions!D59</f>
        <v>0</v>
      </c>
      <c r="M104" s="89">
        <f>Assumptions!E59</f>
        <v>0.02</v>
      </c>
      <c r="N104" s="89">
        <f>Assumptions!F59</f>
        <v>0.02</v>
      </c>
      <c r="O104" s="89">
        <f>Assumptions!G59</f>
        <v>0.02</v>
      </c>
      <c r="P104" s="89">
        <f>Assumptions!H59</f>
        <v>0.02</v>
      </c>
      <c r="Q104" s="89">
        <f>Assumptions!I59</f>
        <v>0.02</v>
      </c>
      <c r="R104" s="89">
        <f>Assumptions!J59</f>
        <v>0.02</v>
      </c>
      <c r="S104" s="89">
        <f>Assumptions!K59</f>
        <v>0.02</v>
      </c>
      <c r="T104" s="89">
        <f>Assumptions!L59</f>
        <v>0.02</v>
      </c>
      <c r="U104" s="89">
        <f t="shared" ref="U104:AV104" si="46">T104</f>
        <v>0.02</v>
      </c>
      <c r="V104" s="89">
        <f t="shared" si="46"/>
        <v>0.02</v>
      </c>
      <c r="W104" s="89">
        <f t="shared" si="46"/>
        <v>0.02</v>
      </c>
      <c r="X104" s="89">
        <f t="shared" si="46"/>
        <v>0.02</v>
      </c>
      <c r="Y104" s="89">
        <f t="shared" si="46"/>
        <v>0.02</v>
      </c>
      <c r="Z104" s="89">
        <f t="shared" si="46"/>
        <v>0.02</v>
      </c>
      <c r="AA104" s="89">
        <f t="shared" si="46"/>
        <v>0.02</v>
      </c>
      <c r="AB104" s="89">
        <f t="shared" si="46"/>
        <v>0.02</v>
      </c>
      <c r="AC104" s="89">
        <f t="shared" si="46"/>
        <v>0.02</v>
      </c>
      <c r="AD104" s="89">
        <f t="shared" si="46"/>
        <v>0.02</v>
      </c>
      <c r="AE104" s="89">
        <f t="shared" si="46"/>
        <v>0.02</v>
      </c>
      <c r="AF104" s="89">
        <f t="shared" si="46"/>
        <v>0.02</v>
      </c>
      <c r="AG104" s="89">
        <f t="shared" si="46"/>
        <v>0.02</v>
      </c>
      <c r="AH104" s="89">
        <f t="shared" si="46"/>
        <v>0.02</v>
      </c>
      <c r="AI104" s="89">
        <f t="shared" si="46"/>
        <v>0.02</v>
      </c>
      <c r="AJ104" s="89">
        <f t="shared" si="46"/>
        <v>0.02</v>
      </c>
      <c r="AK104" s="89">
        <f t="shared" si="46"/>
        <v>0.02</v>
      </c>
      <c r="AL104" s="89">
        <f t="shared" si="46"/>
        <v>0.02</v>
      </c>
      <c r="AM104" s="89">
        <f t="shared" si="46"/>
        <v>0.02</v>
      </c>
      <c r="AN104" s="89">
        <f t="shared" si="46"/>
        <v>0.02</v>
      </c>
      <c r="AO104" s="89">
        <f t="shared" si="46"/>
        <v>0.02</v>
      </c>
      <c r="AP104" s="89">
        <f t="shared" si="46"/>
        <v>0.02</v>
      </c>
      <c r="AQ104" s="89">
        <f t="shared" si="46"/>
        <v>0.02</v>
      </c>
      <c r="AR104" s="89">
        <f t="shared" si="46"/>
        <v>0.02</v>
      </c>
      <c r="AS104" s="89">
        <f t="shared" si="46"/>
        <v>0.02</v>
      </c>
      <c r="AT104" s="89">
        <f t="shared" si="46"/>
        <v>0.02</v>
      </c>
      <c r="AU104" s="89">
        <f t="shared" si="46"/>
        <v>0.02</v>
      </c>
      <c r="AV104" s="89">
        <f t="shared" si="46"/>
        <v>0.02</v>
      </c>
      <c r="AW104" s="90"/>
      <c r="AX104" s="90"/>
      <c r="AY104" s="90"/>
      <c r="AZ104" s="90"/>
      <c r="BA104" s="90"/>
      <c r="BB104" s="90"/>
      <c r="BC104" s="90"/>
      <c r="BD104" s="90"/>
      <c r="BE104" s="90"/>
      <c r="BF104" s="90"/>
      <c r="BG104" s="90"/>
      <c r="BH104" s="90"/>
      <c r="BI104" s="90"/>
      <c r="BJ104" s="90"/>
      <c r="BK104" s="90"/>
      <c r="BL104" s="90"/>
      <c r="BM104" s="90"/>
      <c r="BN104" s="90"/>
      <c r="BO104" s="90"/>
      <c r="BP104" s="90"/>
    </row>
    <row r="105" ht="12.75" customHeight="1" outlineLevel="1">
      <c r="A105" s="90"/>
      <c r="B105" s="90" t="s">
        <v>577</v>
      </c>
      <c r="C105" s="90"/>
      <c r="D105" s="90"/>
      <c r="E105" s="90"/>
      <c r="F105" s="90"/>
      <c r="G105" s="90"/>
      <c r="H105" s="89"/>
      <c r="I105" s="89"/>
      <c r="J105" s="89"/>
      <c r="K105" s="89"/>
      <c r="L105" s="89">
        <f>Assumptions!D59</f>
        <v>0</v>
      </c>
      <c r="M105" s="89">
        <f>Assumptions!E59</f>
        <v>0.02</v>
      </c>
      <c r="N105" s="89">
        <f>Assumptions!F59</f>
        <v>0.02</v>
      </c>
      <c r="O105" s="89">
        <f>Assumptions!G59</f>
        <v>0.02</v>
      </c>
      <c r="P105" s="89">
        <f>Assumptions!H59</f>
        <v>0.02</v>
      </c>
      <c r="Q105" s="89">
        <f>Assumptions!I59</f>
        <v>0.02</v>
      </c>
      <c r="R105" s="89">
        <f>Assumptions!J59</f>
        <v>0.02</v>
      </c>
      <c r="S105" s="89">
        <f>Assumptions!K59</f>
        <v>0.02</v>
      </c>
      <c r="T105" s="89">
        <f>Assumptions!L59</f>
        <v>0.02</v>
      </c>
      <c r="U105" s="89">
        <f t="shared" ref="U105:AV105" si="47">T105</f>
        <v>0.02</v>
      </c>
      <c r="V105" s="89">
        <f t="shared" si="47"/>
        <v>0.02</v>
      </c>
      <c r="W105" s="89">
        <f t="shared" si="47"/>
        <v>0.02</v>
      </c>
      <c r="X105" s="89">
        <f t="shared" si="47"/>
        <v>0.02</v>
      </c>
      <c r="Y105" s="89">
        <f t="shared" si="47"/>
        <v>0.02</v>
      </c>
      <c r="Z105" s="89">
        <f t="shared" si="47"/>
        <v>0.02</v>
      </c>
      <c r="AA105" s="89">
        <f t="shared" si="47"/>
        <v>0.02</v>
      </c>
      <c r="AB105" s="89">
        <f t="shared" si="47"/>
        <v>0.02</v>
      </c>
      <c r="AC105" s="89">
        <f t="shared" si="47"/>
        <v>0.02</v>
      </c>
      <c r="AD105" s="89">
        <f t="shared" si="47"/>
        <v>0.02</v>
      </c>
      <c r="AE105" s="89">
        <f t="shared" si="47"/>
        <v>0.02</v>
      </c>
      <c r="AF105" s="89">
        <f t="shared" si="47"/>
        <v>0.02</v>
      </c>
      <c r="AG105" s="89">
        <f t="shared" si="47"/>
        <v>0.02</v>
      </c>
      <c r="AH105" s="89">
        <f t="shared" si="47"/>
        <v>0.02</v>
      </c>
      <c r="AI105" s="89">
        <f t="shared" si="47"/>
        <v>0.02</v>
      </c>
      <c r="AJ105" s="89">
        <f t="shared" si="47"/>
        <v>0.02</v>
      </c>
      <c r="AK105" s="89">
        <f t="shared" si="47"/>
        <v>0.02</v>
      </c>
      <c r="AL105" s="89">
        <f t="shared" si="47"/>
        <v>0.02</v>
      </c>
      <c r="AM105" s="89">
        <f t="shared" si="47"/>
        <v>0.02</v>
      </c>
      <c r="AN105" s="89">
        <f t="shared" si="47"/>
        <v>0.02</v>
      </c>
      <c r="AO105" s="89">
        <f t="shared" si="47"/>
        <v>0.02</v>
      </c>
      <c r="AP105" s="89">
        <f t="shared" si="47"/>
        <v>0.02</v>
      </c>
      <c r="AQ105" s="89">
        <f t="shared" si="47"/>
        <v>0.02</v>
      </c>
      <c r="AR105" s="89">
        <f t="shared" si="47"/>
        <v>0.02</v>
      </c>
      <c r="AS105" s="89">
        <f t="shared" si="47"/>
        <v>0.02</v>
      </c>
      <c r="AT105" s="89">
        <f t="shared" si="47"/>
        <v>0.02</v>
      </c>
      <c r="AU105" s="89">
        <f t="shared" si="47"/>
        <v>0.02</v>
      </c>
      <c r="AV105" s="89">
        <f t="shared" si="47"/>
        <v>0.02</v>
      </c>
      <c r="AW105" s="90"/>
      <c r="AX105" s="90"/>
      <c r="AY105" s="90"/>
      <c r="AZ105" s="90"/>
      <c r="BA105" s="90"/>
      <c r="BB105" s="90"/>
      <c r="BC105" s="90"/>
      <c r="BD105" s="90"/>
      <c r="BE105" s="90"/>
      <c r="BF105" s="90"/>
      <c r="BG105" s="90"/>
      <c r="BH105" s="90"/>
      <c r="BI105" s="90"/>
      <c r="BJ105" s="90"/>
      <c r="BK105" s="90"/>
      <c r="BL105" s="90"/>
      <c r="BM105" s="90"/>
      <c r="BN105" s="90"/>
      <c r="BO105" s="90"/>
      <c r="BP105" s="90"/>
    </row>
    <row r="106" ht="12.75" customHeight="1" outlineLevel="1">
      <c r="A106" s="90"/>
      <c r="B106" s="90" t="s">
        <v>578</v>
      </c>
      <c r="C106" s="90"/>
      <c r="D106" s="90"/>
      <c r="E106" s="90"/>
      <c r="F106" s="90"/>
      <c r="G106" s="90"/>
      <c r="H106" s="89"/>
      <c r="I106" s="89"/>
      <c r="J106" s="89"/>
      <c r="K106" s="89"/>
      <c r="L106" s="89">
        <f>Assumptions!D59</f>
        <v>0</v>
      </c>
      <c r="M106" s="89">
        <f>Assumptions!E59</f>
        <v>0.02</v>
      </c>
      <c r="N106" s="89">
        <f>Assumptions!F59</f>
        <v>0.02</v>
      </c>
      <c r="O106" s="89">
        <f>Assumptions!G59</f>
        <v>0.02</v>
      </c>
      <c r="P106" s="89">
        <f>Assumptions!H59</f>
        <v>0.02</v>
      </c>
      <c r="Q106" s="89">
        <f>Assumptions!I59</f>
        <v>0.02</v>
      </c>
      <c r="R106" s="89">
        <f>Assumptions!J59</f>
        <v>0.02</v>
      </c>
      <c r="S106" s="89">
        <f>Assumptions!K59</f>
        <v>0.02</v>
      </c>
      <c r="T106" s="89">
        <f>Assumptions!L59</f>
        <v>0.02</v>
      </c>
      <c r="U106" s="89">
        <f t="shared" ref="U106:AV106" si="48">T106</f>
        <v>0.02</v>
      </c>
      <c r="V106" s="89">
        <f t="shared" si="48"/>
        <v>0.02</v>
      </c>
      <c r="W106" s="89">
        <f t="shared" si="48"/>
        <v>0.02</v>
      </c>
      <c r="X106" s="89">
        <f t="shared" si="48"/>
        <v>0.02</v>
      </c>
      <c r="Y106" s="89">
        <f t="shared" si="48"/>
        <v>0.02</v>
      </c>
      <c r="Z106" s="89">
        <f t="shared" si="48"/>
        <v>0.02</v>
      </c>
      <c r="AA106" s="89">
        <f t="shared" si="48"/>
        <v>0.02</v>
      </c>
      <c r="AB106" s="89">
        <f t="shared" si="48"/>
        <v>0.02</v>
      </c>
      <c r="AC106" s="89">
        <f t="shared" si="48"/>
        <v>0.02</v>
      </c>
      <c r="AD106" s="89">
        <f t="shared" si="48"/>
        <v>0.02</v>
      </c>
      <c r="AE106" s="89">
        <f t="shared" si="48"/>
        <v>0.02</v>
      </c>
      <c r="AF106" s="89">
        <f t="shared" si="48"/>
        <v>0.02</v>
      </c>
      <c r="AG106" s="89">
        <f t="shared" si="48"/>
        <v>0.02</v>
      </c>
      <c r="AH106" s="89">
        <f t="shared" si="48"/>
        <v>0.02</v>
      </c>
      <c r="AI106" s="89">
        <f t="shared" si="48"/>
        <v>0.02</v>
      </c>
      <c r="AJ106" s="89">
        <f t="shared" si="48"/>
        <v>0.02</v>
      </c>
      <c r="AK106" s="89">
        <f t="shared" si="48"/>
        <v>0.02</v>
      </c>
      <c r="AL106" s="89">
        <f t="shared" si="48"/>
        <v>0.02</v>
      </c>
      <c r="AM106" s="89">
        <f t="shared" si="48"/>
        <v>0.02</v>
      </c>
      <c r="AN106" s="89">
        <f t="shared" si="48"/>
        <v>0.02</v>
      </c>
      <c r="AO106" s="89">
        <f t="shared" si="48"/>
        <v>0.02</v>
      </c>
      <c r="AP106" s="89">
        <f t="shared" si="48"/>
        <v>0.02</v>
      </c>
      <c r="AQ106" s="89">
        <f t="shared" si="48"/>
        <v>0.02</v>
      </c>
      <c r="AR106" s="89">
        <f t="shared" si="48"/>
        <v>0.02</v>
      </c>
      <c r="AS106" s="89">
        <f t="shared" si="48"/>
        <v>0.02</v>
      </c>
      <c r="AT106" s="89">
        <f t="shared" si="48"/>
        <v>0.02</v>
      </c>
      <c r="AU106" s="89">
        <f t="shared" si="48"/>
        <v>0.02</v>
      </c>
      <c r="AV106" s="89">
        <f t="shared" si="48"/>
        <v>0.02</v>
      </c>
      <c r="AW106" s="90"/>
      <c r="AX106" s="90"/>
      <c r="AY106" s="90"/>
      <c r="AZ106" s="90"/>
      <c r="BA106" s="90"/>
      <c r="BB106" s="90"/>
      <c r="BC106" s="90"/>
      <c r="BD106" s="90"/>
      <c r="BE106" s="90"/>
      <c r="BF106" s="90"/>
      <c r="BG106" s="90"/>
      <c r="BH106" s="90"/>
      <c r="BI106" s="90"/>
      <c r="BJ106" s="90"/>
      <c r="BK106" s="90"/>
      <c r="BL106" s="90"/>
      <c r="BM106" s="90"/>
      <c r="BN106" s="90"/>
      <c r="BO106" s="90"/>
      <c r="BP106" s="90"/>
    </row>
    <row r="107" ht="12.75" customHeight="1" outlineLevel="1">
      <c r="A107" s="90"/>
      <c r="B107" s="90" t="s">
        <v>579</v>
      </c>
      <c r="H107" s="89">
        <v>1.0</v>
      </c>
      <c r="I107" s="89">
        <v>1.0</v>
      </c>
      <c r="J107" s="89"/>
      <c r="K107" s="89">
        <v>1.0</v>
      </c>
      <c r="L107" s="89">
        <v>1.0</v>
      </c>
      <c r="M107" s="89">
        <v>1.0</v>
      </c>
      <c r="N107" s="89">
        <f t="shared" ref="N107:AV107" si="49">M107*(1+N101)</f>
        <v>1.01</v>
      </c>
      <c r="O107" s="89">
        <f t="shared" si="49"/>
        <v>1.0302</v>
      </c>
      <c r="P107" s="89">
        <f t="shared" si="49"/>
        <v>1.050804</v>
      </c>
      <c r="Q107" s="89">
        <f t="shared" si="49"/>
        <v>1.07182008</v>
      </c>
      <c r="R107" s="89">
        <f t="shared" si="49"/>
        <v>1.093256482</v>
      </c>
      <c r="S107" s="89">
        <f t="shared" si="49"/>
        <v>1.1262</v>
      </c>
      <c r="T107" s="89">
        <f t="shared" si="49"/>
        <v>1.148724</v>
      </c>
      <c r="U107" s="89">
        <f t="shared" si="49"/>
        <v>1.17169848</v>
      </c>
      <c r="V107" s="89">
        <f t="shared" si="49"/>
        <v>1.19513245</v>
      </c>
      <c r="W107" s="89">
        <f t="shared" si="49"/>
        <v>1.219035099</v>
      </c>
      <c r="X107" s="89">
        <f t="shared" si="49"/>
        <v>1.243415801</v>
      </c>
      <c r="Y107" s="89">
        <f t="shared" si="49"/>
        <v>1.268284117</v>
      </c>
      <c r="Z107" s="89">
        <f t="shared" si="49"/>
        <v>1.293649799</v>
      </c>
      <c r="AA107" s="89">
        <f t="shared" si="49"/>
        <v>1.319522795</v>
      </c>
      <c r="AB107" s="89">
        <f t="shared" si="49"/>
        <v>1.345913251</v>
      </c>
      <c r="AC107" s="89">
        <f t="shared" si="49"/>
        <v>1.372831516</v>
      </c>
      <c r="AD107" s="89">
        <f t="shared" si="49"/>
        <v>1.400288146</v>
      </c>
      <c r="AE107" s="89">
        <f t="shared" si="49"/>
        <v>1.428293909</v>
      </c>
      <c r="AF107" s="89">
        <f t="shared" si="49"/>
        <v>1.456859787</v>
      </c>
      <c r="AG107" s="89">
        <f t="shared" si="49"/>
        <v>1.485996983</v>
      </c>
      <c r="AH107" s="89">
        <f t="shared" si="49"/>
        <v>1.515716923</v>
      </c>
      <c r="AI107" s="89">
        <f t="shared" si="49"/>
        <v>1.546031261</v>
      </c>
      <c r="AJ107" s="89">
        <f t="shared" si="49"/>
        <v>1.576951886</v>
      </c>
      <c r="AK107" s="89">
        <f t="shared" si="49"/>
        <v>1.608490924</v>
      </c>
      <c r="AL107" s="89">
        <f t="shared" si="49"/>
        <v>1.640660743</v>
      </c>
      <c r="AM107" s="89">
        <f t="shared" si="49"/>
        <v>1.673473957</v>
      </c>
      <c r="AN107" s="89">
        <f t="shared" si="49"/>
        <v>1.706943436</v>
      </c>
      <c r="AO107" s="89">
        <f t="shared" si="49"/>
        <v>1.741082305</v>
      </c>
      <c r="AP107" s="89">
        <f t="shared" si="49"/>
        <v>1.775903951</v>
      </c>
      <c r="AQ107" s="89">
        <f t="shared" si="49"/>
        <v>1.81142203</v>
      </c>
      <c r="AR107" s="89">
        <f t="shared" si="49"/>
        <v>1.847650471</v>
      </c>
      <c r="AS107" s="89">
        <f t="shared" si="49"/>
        <v>1.88460348</v>
      </c>
      <c r="AT107" s="89">
        <f t="shared" si="49"/>
        <v>1.92229555</v>
      </c>
      <c r="AU107" s="89">
        <f t="shared" si="49"/>
        <v>1.960741461</v>
      </c>
      <c r="AV107" s="89">
        <f t="shared" si="49"/>
        <v>1.99995629</v>
      </c>
      <c r="AW107" s="90"/>
      <c r="AX107" s="90"/>
      <c r="AY107" s="90"/>
      <c r="AZ107" s="90"/>
      <c r="BA107" s="90"/>
      <c r="BB107" s="90"/>
      <c r="BC107" s="90"/>
      <c r="BD107" s="90"/>
      <c r="BE107" s="90"/>
      <c r="BF107" s="90"/>
      <c r="BG107" s="90"/>
      <c r="BH107" s="90"/>
      <c r="BI107" s="90"/>
      <c r="BJ107" s="90"/>
      <c r="BK107" s="90"/>
      <c r="BL107" s="90"/>
      <c r="BM107" s="90"/>
      <c r="BN107" s="90"/>
      <c r="BO107" s="90"/>
      <c r="BP107" s="90"/>
    </row>
    <row r="108" ht="12.75" customHeight="1" outlineLevel="1">
      <c r="A108" s="90"/>
      <c r="B108" s="90" t="s">
        <v>580</v>
      </c>
      <c r="H108" s="89">
        <v>1.0</v>
      </c>
      <c r="I108" s="89">
        <v>1.0</v>
      </c>
      <c r="J108" s="89"/>
      <c r="K108" s="89">
        <v>1.0</v>
      </c>
      <c r="L108" s="89">
        <v>1.0</v>
      </c>
      <c r="M108" s="89">
        <v>1.0</v>
      </c>
      <c r="N108" s="89">
        <f t="shared" ref="N108:AV108" si="50">M108*(1+N102)</f>
        <v>1.02</v>
      </c>
      <c r="O108" s="89">
        <f t="shared" si="50"/>
        <v>1.0404</v>
      </c>
      <c r="P108" s="89">
        <f t="shared" si="50"/>
        <v>1.061208</v>
      </c>
      <c r="Q108" s="89">
        <f t="shared" si="50"/>
        <v>1.08243216</v>
      </c>
      <c r="R108" s="89">
        <f t="shared" si="50"/>
        <v>1.104080803</v>
      </c>
      <c r="S108" s="89">
        <f t="shared" si="50"/>
        <v>1.126162419</v>
      </c>
      <c r="T108" s="89">
        <f t="shared" si="50"/>
        <v>1.148685668</v>
      </c>
      <c r="U108" s="89">
        <f t="shared" si="50"/>
        <v>1.171659381</v>
      </c>
      <c r="V108" s="89">
        <f t="shared" si="50"/>
        <v>1.195092569</v>
      </c>
      <c r="W108" s="89">
        <f t="shared" si="50"/>
        <v>1.21899442</v>
      </c>
      <c r="X108" s="89">
        <f t="shared" si="50"/>
        <v>1.243374308</v>
      </c>
      <c r="Y108" s="89">
        <f t="shared" si="50"/>
        <v>1.268241795</v>
      </c>
      <c r="Z108" s="89">
        <f t="shared" si="50"/>
        <v>1.29360663</v>
      </c>
      <c r="AA108" s="89">
        <f t="shared" si="50"/>
        <v>1.319478763</v>
      </c>
      <c r="AB108" s="89">
        <f t="shared" si="50"/>
        <v>1.345868338</v>
      </c>
      <c r="AC108" s="89">
        <f t="shared" si="50"/>
        <v>1.372785705</v>
      </c>
      <c r="AD108" s="89">
        <f t="shared" si="50"/>
        <v>1.400241419</v>
      </c>
      <c r="AE108" s="89">
        <f t="shared" si="50"/>
        <v>1.428246248</v>
      </c>
      <c r="AF108" s="89">
        <f t="shared" si="50"/>
        <v>1.456811173</v>
      </c>
      <c r="AG108" s="89">
        <f t="shared" si="50"/>
        <v>1.485947396</v>
      </c>
      <c r="AH108" s="89">
        <f t="shared" si="50"/>
        <v>1.515666344</v>
      </c>
      <c r="AI108" s="89">
        <f t="shared" si="50"/>
        <v>1.545979671</v>
      </c>
      <c r="AJ108" s="89">
        <f t="shared" si="50"/>
        <v>1.576899264</v>
      </c>
      <c r="AK108" s="89">
        <f t="shared" si="50"/>
        <v>1.608437249</v>
      </c>
      <c r="AL108" s="89">
        <f t="shared" si="50"/>
        <v>1.640605994</v>
      </c>
      <c r="AM108" s="89">
        <f t="shared" si="50"/>
        <v>1.673418114</v>
      </c>
      <c r="AN108" s="89">
        <f t="shared" si="50"/>
        <v>1.706886477</v>
      </c>
      <c r="AO108" s="89">
        <f t="shared" si="50"/>
        <v>1.741024206</v>
      </c>
      <c r="AP108" s="89">
        <f t="shared" si="50"/>
        <v>1.77584469</v>
      </c>
      <c r="AQ108" s="89">
        <f t="shared" si="50"/>
        <v>1.811361584</v>
      </c>
      <c r="AR108" s="89">
        <f t="shared" si="50"/>
        <v>1.847588816</v>
      </c>
      <c r="AS108" s="89">
        <f t="shared" si="50"/>
        <v>1.884540592</v>
      </c>
      <c r="AT108" s="89">
        <f t="shared" si="50"/>
        <v>1.922231404</v>
      </c>
      <c r="AU108" s="89">
        <f t="shared" si="50"/>
        <v>1.960676032</v>
      </c>
      <c r="AV108" s="89">
        <f t="shared" si="50"/>
        <v>1.999889553</v>
      </c>
      <c r="AW108" s="90"/>
      <c r="AX108" s="90"/>
      <c r="AY108" s="90"/>
      <c r="AZ108" s="90"/>
      <c r="BA108" s="90"/>
      <c r="BB108" s="90"/>
      <c r="BC108" s="90"/>
      <c r="BD108" s="90"/>
      <c r="BE108" s="90"/>
      <c r="BF108" s="90"/>
      <c r="BG108" s="90"/>
      <c r="BH108" s="90"/>
      <c r="BI108" s="90"/>
      <c r="BJ108" s="90"/>
      <c r="BK108" s="90"/>
      <c r="BL108" s="90"/>
      <c r="BM108" s="90"/>
      <c r="BN108" s="90"/>
      <c r="BO108" s="90"/>
      <c r="BP108" s="90"/>
    </row>
    <row r="109" ht="12.75" customHeight="1" outlineLevel="1">
      <c r="A109" s="90"/>
      <c r="B109" s="90" t="s">
        <v>581</v>
      </c>
      <c r="H109" s="89">
        <v>1.0</v>
      </c>
      <c r="I109" s="89">
        <v>1.0</v>
      </c>
      <c r="J109" s="89"/>
      <c r="K109" s="89">
        <v>1.0</v>
      </c>
      <c r="L109" s="89">
        <v>1.0</v>
      </c>
      <c r="M109" s="89">
        <v>1.0</v>
      </c>
      <c r="N109" s="89">
        <f t="shared" ref="N109:AV109" si="51">M109*(1+N103)</f>
        <v>1.02</v>
      </c>
      <c r="O109" s="89">
        <f t="shared" si="51"/>
        <v>1.0404</v>
      </c>
      <c r="P109" s="89">
        <f t="shared" si="51"/>
        <v>1.061208</v>
      </c>
      <c r="Q109" s="89">
        <f t="shared" si="51"/>
        <v>1.08243216</v>
      </c>
      <c r="R109" s="89">
        <f t="shared" si="51"/>
        <v>1.104080803</v>
      </c>
      <c r="S109" s="89">
        <f t="shared" si="51"/>
        <v>1.126162419</v>
      </c>
      <c r="T109" s="89">
        <f t="shared" si="51"/>
        <v>1.148685668</v>
      </c>
      <c r="U109" s="89">
        <f t="shared" si="51"/>
        <v>1.171659381</v>
      </c>
      <c r="V109" s="89">
        <f t="shared" si="51"/>
        <v>1.195092569</v>
      </c>
      <c r="W109" s="89">
        <f t="shared" si="51"/>
        <v>1.21899442</v>
      </c>
      <c r="X109" s="89">
        <f t="shared" si="51"/>
        <v>1.243374308</v>
      </c>
      <c r="Y109" s="89">
        <f t="shared" si="51"/>
        <v>1.268241795</v>
      </c>
      <c r="Z109" s="89">
        <f t="shared" si="51"/>
        <v>1.29360663</v>
      </c>
      <c r="AA109" s="89">
        <f t="shared" si="51"/>
        <v>1.319478763</v>
      </c>
      <c r="AB109" s="89">
        <f t="shared" si="51"/>
        <v>1.345868338</v>
      </c>
      <c r="AC109" s="89">
        <f t="shared" si="51"/>
        <v>1.372785705</v>
      </c>
      <c r="AD109" s="89">
        <f t="shared" si="51"/>
        <v>1.400241419</v>
      </c>
      <c r="AE109" s="89">
        <f t="shared" si="51"/>
        <v>1.428246248</v>
      </c>
      <c r="AF109" s="89">
        <f t="shared" si="51"/>
        <v>1.456811173</v>
      </c>
      <c r="AG109" s="89">
        <f t="shared" si="51"/>
        <v>1.485947396</v>
      </c>
      <c r="AH109" s="89">
        <f t="shared" si="51"/>
        <v>1.515666344</v>
      </c>
      <c r="AI109" s="89">
        <f t="shared" si="51"/>
        <v>1.545979671</v>
      </c>
      <c r="AJ109" s="89">
        <f t="shared" si="51"/>
        <v>1.576899264</v>
      </c>
      <c r="AK109" s="89">
        <f t="shared" si="51"/>
        <v>1.608437249</v>
      </c>
      <c r="AL109" s="89">
        <f t="shared" si="51"/>
        <v>1.640605994</v>
      </c>
      <c r="AM109" s="89">
        <f t="shared" si="51"/>
        <v>1.673418114</v>
      </c>
      <c r="AN109" s="89">
        <f t="shared" si="51"/>
        <v>1.706886477</v>
      </c>
      <c r="AO109" s="89">
        <f t="shared" si="51"/>
        <v>1.741024206</v>
      </c>
      <c r="AP109" s="89">
        <f t="shared" si="51"/>
        <v>1.77584469</v>
      </c>
      <c r="AQ109" s="89">
        <f t="shared" si="51"/>
        <v>1.811361584</v>
      </c>
      <c r="AR109" s="89">
        <f t="shared" si="51"/>
        <v>1.847588816</v>
      </c>
      <c r="AS109" s="89">
        <f t="shared" si="51"/>
        <v>1.884540592</v>
      </c>
      <c r="AT109" s="89">
        <f t="shared" si="51"/>
        <v>1.922231404</v>
      </c>
      <c r="AU109" s="89">
        <f t="shared" si="51"/>
        <v>1.960676032</v>
      </c>
      <c r="AV109" s="89">
        <f t="shared" si="51"/>
        <v>1.999889553</v>
      </c>
      <c r="AW109" s="90"/>
      <c r="AX109" s="90"/>
      <c r="AY109" s="90"/>
      <c r="AZ109" s="90"/>
      <c r="BA109" s="90"/>
      <c r="BB109" s="90"/>
      <c r="BC109" s="90"/>
      <c r="BD109" s="90"/>
      <c r="BE109" s="90"/>
      <c r="BF109" s="90"/>
      <c r="BG109" s="90"/>
      <c r="BH109" s="90"/>
      <c r="BI109" s="90"/>
      <c r="BJ109" s="90"/>
      <c r="BK109" s="90"/>
      <c r="BL109" s="90"/>
      <c r="BM109" s="90"/>
      <c r="BN109" s="90"/>
      <c r="BO109" s="90"/>
      <c r="BP109" s="90"/>
    </row>
    <row r="110" ht="12.75" customHeight="1" outlineLevel="1">
      <c r="A110" s="90"/>
      <c r="B110" s="90" t="s">
        <v>582</v>
      </c>
      <c r="H110" s="89">
        <v>1.0</v>
      </c>
      <c r="I110" s="89">
        <v>1.0</v>
      </c>
      <c r="J110" s="89"/>
      <c r="K110" s="89">
        <v>1.0</v>
      </c>
      <c r="L110" s="89">
        <v>1.0</v>
      </c>
      <c r="M110" s="89">
        <v>1.0</v>
      </c>
      <c r="N110" s="89">
        <f t="shared" ref="N110:AV110" si="52">M110*(1+N104)</f>
        <v>1.02</v>
      </c>
      <c r="O110" s="89">
        <f t="shared" si="52"/>
        <v>1.0404</v>
      </c>
      <c r="P110" s="89">
        <f t="shared" si="52"/>
        <v>1.061208</v>
      </c>
      <c r="Q110" s="89">
        <f t="shared" si="52"/>
        <v>1.08243216</v>
      </c>
      <c r="R110" s="89">
        <f t="shared" si="52"/>
        <v>1.104080803</v>
      </c>
      <c r="S110" s="89">
        <f t="shared" si="52"/>
        <v>1.126162419</v>
      </c>
      <c r="T110" s="89">
        <f t="shared" si="52"/>
        <v>1.148685668</v>
      </c>
      <c r="U110" s="89">
        <f t="shared" si="52"/>
        <v>1.171659381</v>
      </c>
      <c r="V110" s="89">
        <f t="shared" si="52"/>
        <v>1.195092569</v>
      </c>
      <c r="W110" s="89">
        <f t="shared" si="52"/>
        <v>1.21899442</v>
      </c>
      <c r="X110" s="89">
        <f t="shared" si="52"/>
        <v>1.243374308</v>
      </c>
      <c r="Y110" s="89">
        <f t="shared" si="52"/>
        <v>1.268241795</v>
      </c>
      <c r="Z110" s="89">
        <f t="shared" si="52"/>
        <v>1.29360663</v>
      </c>
      <c r="AA110" s="89">
        <f t="shared" si="52"/>
        <v>1.319478763</v>
      </c>
      <c r="AB110" s="89">
        <f t="shared" si="52"/>
        <v>1.345868338</v>
      </c>
      <c r="AC110" s="89">
        <f t="shared" si="52"/>
        <v>1.372785705</v>
      </c>
      <c r="AD110" s="89">
        <f t="shared" si="52"/>
        <v>1.400241419</v>
      </c>
      <c r="AE110" s="89">
        <f t="shared" si="52"/>
        <v>1.428246248</v>
      </c>
      <c r="AF110" s="89">
        <f t="shared" si="52"/>
        <v>1.456811173</v>
      </c>
      <c r="AG110" s="89">
        <f t="shared" si="52"/>
        <v>1.485947396</v>
      </c>
      <c r="AH110" s="89">
        <f t="shared" si="52"/>
        <v>1.515666344</v>
      </c>
      <c r="AI110" s="89">
        <f t="shared" si="52"/>
        <v>1.545979671</v>
      </c>
      <c r="AJ110" s="89">
        <f t="shared" si="52"/>
        <v>1.576899264</v>
      </c>
      <c r="AK110" s="89">
        <f t="shared" si="52"/>
        <v>1.608437249</v>
      </c>
      <c r="AL110" s="89">
        <f t="shared" si="52"/>
        <v>1.640605994</v>
      </c>
      <c r="AM110" s="89">
        <f t="shared" si="52"/>
        <v>1.673418114</v>
      </c>
      <c r="AN110" s="89">
        <f t="shared" si="52"/>
        <v>1.706886477</v>
      </c>
      <c r="AO110" s="89">
        <f t="shared" si="52"/>
        <v>1.741024206</v>
      </c>
      <c r="AP110" s="89">
        <f t="shared" si="52"/>
        <v>1.77584469</v>
      </c>
      <c r="AQ110" s="89">
        <f t="shared" si="52"/>
        <v>1.811361584</v>
      </c>
      <c r="AR110" s="89">
        <f t="shared" si="52"/>
        <v>1.847588816</v>
      </c>
      <c r="AS110" s="89">
        <f t="shared" si="52"/>
        <v>1.884540592</v>
      </c>
      <c r="AT110" s="89">
        <f t="shared" si="52"/>
        <v>1.922231404</v>
      </c>
      <c r="AU110" s="89">
        <f t="shared" si="52"/>
        <v>1.960676032</v>
      </c>
      <c r="AV110" s="89">
        <f t="shared" si="52"/>
        <v>1.999889553</v>
      </c>
      <c r="AW110" s="90"/>
      <c r="AX110" s="90"/>
      <c r="AY110" s="90"/>
      <c r="AZ110" s="90"/>
      <c r="BA110" s="90"/>
      <c r="BB110" s="90"/>
      <c r="BC110" s="90"/>
      <c r="BD110" s="90"/>
      <c r="BE110" s="90"/>
      <c r="BF110" s="90"/>
      <c r="BG110" s="90"/>
      <c r="BH110" s="90"/>
      <c r="BI110" s="90"/>
      <c r="BJ110" s="90"/>
      <c r="BK110" s="90"/>
      <c r="BL110" s="90"/>
      <c r="BM110" s="90"/>
      <c r="BN110" s="90"/>
      <c r="BO110" s="90"/>
      <c r="BP110" s="90"/>
    </row>
    <row r="111" ht="12.75" customHeight="1" outlineLevel="1">
      <c r="A111" s="90"/>
      <c r="B111" s="90" t="s">
        <v>583</v>
      </c>
      <c r="H111" s="89"/>
      <c r="I111" s="89"/>
      <c r="J111" s="89"/>
      <c r="K111" s="89">
        <v>1.0</v>
      </c>
      <c r="L111" s="89">
        <v>1.0</v>
      </c>
      <c r="M111" s="89">
        <v>1.0</v>
      </c>
      <c r="N111" s="89">
        <f t="shared" ref="N111:AV111" si="53">M111*(1+N105)</f>
        <v>1.02</v>
      </c>
      <c r="O111" s="89">
        <f t="shared" si="53"/>
        <v>1.0404</v>
      </c>
      <c r="P111" s="89">
        <f t="shared" si="53"/>
        <v>1.061208</v>
      </c>
      <c r="Q111" s="89">
        <f t="shared" si="53"/>
        <v>1.08243216</v>
      </c>
      <c r="R111" s="89">
        <f t="shared" si="53"/>
        <v>1.104080803</v>
      </c>
      <c r="S111" s="89">
        <f t="shared" si="53"/>
        <v>1.126162419</v>
      </c>
      <c r="T111" s="89">
        <f t="shared" si="53"/>
        <v>1.148685668</v>
      </c>
      <c r="U111" s="89">
        <f t="shared" si="53"/>
        <v>1.171659381</v>
      </c>
      <c r="V111" s="89">
        <f t="shared" si="53"/>
        <v>1.195092569</v>
      </c>
      <c r="W111" s="89">
        <f t="shared" si="53"/>
        <v>1.21899442</v>
      </c>
      <c r="X111" s="89">
        <f t="shared" si="53"/>
        <v>1.243374308</v>
      </c>
      <c r="Y111" s="89">
        <f t="shared" si="53"/>
        <v>1.268241795</v>
      </c>
      <c r="Z111" s="89">
        <f t="shared" si="53"/>
        <v>1.29360663</v>
      </c>
      <c r="AA111" s="89">
        <f t="shared" si="53"/>
        <v>1.319478763</v>
      </c>
      <c r="AB111" s="89">
        <f t="shared" si="53"/>
        <v>1.345868338</v>
      </c>
      <c r="AC111" s="89">
        <f t="shared" si="53"/>
        <v>1.372785705</v>
      </c>
      <c r="AD111" s="89">
        <f t="shared" si="53"/>
        <v>1.400241419</v>
      </c>
      <c r="AE111" s="89">
        <f t="shared" si="53"/>
        <v>1.428246248</v>
      </c>
      <c r="AF111" s="89">
        <f t="shared" si="53"/>
        <v>1.456811173</v>
      </c>
      <c r="AG111" s="89">
        <f t="shared" si="53"/>
        <v>1.485947396</v>
      </c>
      <c r="AH111" s="89">
        <f t="shared" si="53"/>
        <v>1.515666344</v>
      </c>
      <c r="AI111" s="89">
        <f t="shared" si="53"/>
        <v>1.545979671</v>
      </c>
      <c r="AJ111" s="89">
        <f t="shared" si="53"/>
        <v>1.576899264</v>
      </c>
      <c r="AK111" s="89">
        <f t="shared" si="53"/>
        <v>1.608437249</v>
      </c>
      <c r="AL111" s="89">
        <f t="shared" si="53"/>
        <v>1.640605994</v>
      </c>
      <c r="AM111" s="89">
        <f t="shared" si="53"/>
        <v>1.673418114</v>
      </c>
      <c r="AN111" s="89">
        <f t="shared" si="53"/>
        <v>1.706886477</v>
      </c>
      <c r="AO111" s="89">
        <f t="shared" si="53"/>
        <v>1.741024206</v>
      </c>
      <c r="AP111" s="89">
        <f t="shared" si="53"/>
        <v>1.77584469</v>
      </c>
      <c r="AQ111" s="89">
        <f t="shared" si="53"/>
        <v>1.811361584</v>
      </c>
      <c r="AR111" s="89">
        <f t="shared" si="53"/>
        <v>1.847588816</v>
      </c>
      <c r="AS111" s="89">
        <f t="shared" si="53"/>
        <v>1.884540592</v>
      </c>
      <c r="AT111" s="89">
        <f t="shared" si="53"/>
        <v>1.922231404</v>
      </c>
      <c r="AU111" s="89">
        <f t="shared" si="53"/>
        <v>1.960676032</v>
      </c>
      <c r="AV111" s="89">
        <f t="shared" si="53"/>
        <v>1.999889553</v>
      </c>
      <c r="AW111" s="90"/>
      <c r="AX111" s="90"/>
      <c r="AY111" s="90"/>
      <c r="AZ111" s="90"/>
      <c r="BA111" s="90"/>
      <c r="BB111" s="90"/>
      <c r="BC111" s="90"/>
      <c r="BD111" s="90"/>
      <c r="BE111" s="90"/>
      <c r="BF111" s="90"/>
      <c r="BG111" s="90"/>
      <c r="BH111" s="90"/>
      <c r="BI111" s="90"/>
      <c r="BJ111" s="90"/>
      <c r="BK111" s="90"/>
      <c r="BL111" s="90"/>
      <c r="BM111" s="90"/>
      <c r="BN111" s="90"/>
      <c r="BO111" s="90"/>
      <c r="BP111" s="90"/>
    </row>
    <row r="112" ht="12.75" customHeight="1" outlineLevel="1">
      <c r="A112" s="90"/>
      <c r="B112" s="90" t="s">
        <v>584</v>
      </c>
      <c r="H112" s="89">
        <v>1.0</v>
      </c>
      <c r="I112" s="89">
        <v>1.0</v>
      </c>
      <c r="J112" s="89"/>
      <c r="K112" s="89">
        <v>1.0</v>
      </c>
      <c r="L112" s="89">
        <v>1.0</v>
      </c>
      <c r="M112" s="89">
        <v>1.0</v>
      </c>
      <c r="N112" s="89">
        <f t="shared" ref="N112:AV112" si="54">M112*(1+N106)</f>
        <v>1.02</v>
      </c>
      <c r="O112" s="89">
        <f t="shared" si="54"/>
        <v>1.0404</v>
      </c>
      <c r="P112" s="89">
        <f t="shared" si="54"/>
        <v>1.061208</v>
      </c>
      <c r="Q112" s="89">
        <f t="shared" si="54"/>
        <v>1.08243216</v>
      </c>
      <c r="R112" s="89">
        <f t="shared" si="54"/>
        <v>1.104080803</v>
      </c>
      <c r="S112" s="89">
        <f t="shared" si="54"/>
        <v>1.126162419</v>
      </c>
      <c r="T112" s="89">
        <f t="shared" si="54"/>
        <v>1.148685668</v>
      </c>
      <c r="U112" s="89">
        <f t="shared" si="54"/>
        <v>1.171659381</v>
      </c>
      <c r="V112" s="89">
        <f t="shared" si="54"/>
        <v>1.195092569</v>
      </c>
      <c r="W112" s="89">
        <f t="shared" si="54"/>
        <v>1.21899442</v>
      </c>
      <c r="X112" s="89">
        <f t="shared" si="54"/>
        <v>1.243374308</v>
      </c>
      <c r="Y112" s="89">
        <f t="shared" si="54"/>
        <v>1.268241795</v>
      </c>
      <c r="Z112" s="89">
        <f t="shared" si="54"/>
        <v>1.29360663</v>
      </c>
      <c r="AA112" s="89">
        <f t="shared" si="54"/>
        <v>1.319478763</v>
      </c>
      <c r="AB112" s="89">
        <f t="shared" si="54"/>
        <v>1.345868338</v>
      </c>
      <c r="AC112" s="89">
        <f t="shared" si="54"/>
        <v>1.372785705</v>
      </c>
      <c r="AD112" s="89">
        <f t="shared" si="54"/>
        <v>1.400241419</v>
      </c>
      <c r="AE112" s="89">
        <f t="shared" si="54"/>
        <v>1.428246248</v>
      </c>
      <c r="AF112" s="89">
        <f t="shared" si="54"/>
        <v>1.456811173</v>
      </c>
      <c r="AG112" s="89">
        <f t="shared" si="54"/>
        <v>1.485947396</v>
      </c>
      <c r="AH112" s="89">
        <f t="shared" si="54"/>
        <v>1.515666344</v>
      </c>
      <c r="AI112" s="89">
        <f t="shared" si="54"/>
        <v>1.545979671</v>
      </c>
      <c r="AJ112" s="89">
        <f t="shared" si="54"/>
        <v>1.576899264</v>
      </c>
      <c r="AK112" s="89">
        <f t="shared" si="54"/>
        <v>1.608437249</v>
      </c>
      <c r="AL112" s="89">
        <f t="shared" si="54"/>
        <v>1.640605994</v>
      </c>
      <c r="AM112" s="89">
        <f t="shared" si="54"/>
        <v>1.673418114</v>
      </c>
      <c r="AN112" s="89">
        <f t="shared" si="54"/>
        <v>1.706886477</v>
      </c>
      <c r="AO112" s="89">
        <f t="shared" si="54"/>
        <v>1.741024206</v>
      </c>
      <c r="AP112" s="89">
        <f t="shared" si="54"/>
        <v>1.77584469</v>
      </c>
      <c r="AQ112" s="89">
        <f t="shared" si="54"/>
        <v>1.811361584</v>
      </c>
      <c r="AR112" s="89">
        <f t="shared" si="54"/>
        <v>1.847588816</v>
      </c>
      <c r="AS112" s="89">
        <f t="shared" si="54"/>
        <v>1.884540592</v>
      </c>
      <c r="AT112" s="89">
        <f t="shared" si="54"/>
        <v>1.922231404</v>
      </c>
      <c r="AU112" s="89">
        <f t="shared" si="54"/>
        <v>1.960676032</v>
      </c>
      <c r="AV112" s="89">
        <f t="shared" si="54"/>
        <v>1.999889553</v>
      </c>
      <c r="AW112" s="90"/>
      <c r="AX112" s="90"/>
      <c r="AY112" s="90"/>
      <c r="AZ112" s="90"/>
      <c r="BA112" s="90"/>
      <c r="BB112" s="90"/>
      <c r="BC112" s="90"/>
      <c r="BD112" s="90"/>
      <c r="BE112" s="90"/>
      <c r="BF112" s="90"/>
      <c r="BG112" s="90"/>
      <c r="BH112" s="90"/>
      <c r="BI112" s="90"/>
      <c r="BJ112" s="90"/>
      <c r="BK112" s="90"/>
      <c r="BL112" s="90"/>
      <c r="BM112" s="90"/>
      <c r="BN112" s="90"/>
      <c r="BO112" s="90"/>
      <c r="BP112" s="90"/>
    </row>
    <row r="113" ht="12.75" customHeight="1" outlineLevel="1">
      <c r="A113" s="90"/>
      <c r="B113" s="90"/>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90"/>
      <c r="AX113" s="90"/>
      <c r="AY113" s="90"/>
      <c r="AZ113" s="90"/>
      <c r="BA113" s="90"/>
      <c r="BB113" s="90"/>
      <c r="BC113" s="90"/>
      <c r="BD113" s="90"/>
      <c r="BE113" s="90"/>
      <c r="BF113" s="90"/>
      <c r="BG113" s="90"/>
      <c r="BH113" s="90"/>
      <c r="BI113" s="90"/>
      <c r="BJ113" s="90"/>
      <c r="BK113" s="90"/>
      <c r="BL113" s="90"/>
      <c r="BM113" s="90"/>
      <c r="BN113" s="90"/>
      <c r="BO113" s="90"/>
      <c r="BP113" s="90"/>
    </row>
    <row r="114" ht="12.75" customHeight="1" outlineLevel="1">
      <c r="A114" s="67" t="s">
        <v>585</v>
      </c>
      <c r="B114" s="90"/>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90"/>
      <c r="AX114" s="90"/>
      <c r="AY114" s="90"/>
      <c r="AZ114" s="90"/>
      <c r="BA114" s="90"/>
      <c r="BB114" s="90"/>
      <c r="BC114" s="90"/>
      <c r="BD114" s="90"/>
      <c r="BE114" s="90"/>
      <c r="BF114" s="90"/>
      <c r="BG114" s="90"/>
      <c r="BH114" s="90"/>
      <c r="BI114" s="90"/>
      <c r="BJ114" s="90"/>
      <c r="BK114" s="90"/>
      <c r="BL114" s="90"/>
      <c r="BM114" s="90"/>
      <c r="BN114" s="90"/>
      <c r="BO114" s="90"/>
      <c r="BP114" s="90"/>
    </row>
    <row r="115" ht="12.75" customHeight="1" outlineLevel="1">
      <c r="A115" s="67" t="s">
        <v>586</v>
      </c>
      <c r="B115" s="90"/>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90"/>
      <c r="AX115" s="90"/>
      <c r="AY115" s="90"/>
      <c r="AZ115" s="90"/>
      <c r="BA115" s="90"/>
      <c r="BB115" s="90"/>
      <c r="BC115" s="90"/>
      <c r="BD115" s="90"/>
      <c r="BE115" s="90"/>
      <c r="BF115" s="90"/>
      <c r="BG115" s="90"/>
      <c r="BH115" s="90"/>
      <c r="BI115" s="90"/>
      <c r="BJ115" s="90"/>
      <c r="BK115" s="90"/>
      <c r="BL115" s="90"/>
      <c r="BM115" s="90"/>
      <c r="BN115" s="90"/>
      <c r="BO115" s="90"/>
      <c r="BP115" s="90"/>
    </row>
    <row r="116" ht="12.75" customHeight="1" outlineLevel="1">
      <c r="A116" s="67"/>
      <c r="B116" s="90" t="s">
        <v>587</v>
      </c>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90"/>
      <c r="AX116" s="90"/>
      <c r="AY116" s="90"/>
      <c r="AZ116" s="90"/>
      <c r="BA116" s="90"/>
      <c r="BB116" s="90"/>
      <c r="BC116" s="90"/>
      <c r="BD116" s="90"/>
      <c r="BE116" s="90"/>
      <c r="BF116" s="90"/>
      <c r="BG116" s="90"/>
      <c r="BH116" s="90"/>
      <c r="BI116" s="90"/>
      <c r="BJ116" s="90"/>
      <c r="BK116" s="90"/>
      <c r="BL116" s="90"/>
      <c r="BM116" s="90"/>
      <c r="BN116" s="90"/>
      <c r="BO116" s="90"/>
      <c r="BP116" s="90"/>
    </row>
    <row r="117" ht="12.75" customHeight="1" outlineLevel="1">
      <c r="A117" s="90" t="s">
        <v>544</v>
      </c>
      <c r="B117" s="90"/>
      <c r="C117" s="102"/>
      <c r="D117" s="102"/>
      <c r="E117" s="102"/>
      <c r="F117" s="102"/>
      <c r="G117" s="102"/>
      <c r="H117" s="90"/>
      <c r="I117" s="90"/>
      <c r="J117" s="90"/>
      <c r="K117" s="90"/>
      <c r="L117" s="90"/>
      <c r="M117" s="90"/>
      <c r="N117" s="90"/>
      <c r="O117" s="102"/>
      <c r="P117" s="102"/>
      <c r="Q117" s="102"/>
      <c r="R117" s="102"/>
      <c r="S117" s="102"/>
      <c r="T117" s="102"/>
      <c r="U117" s="102"/>
      <c r="V117" s="102"/>
      <c r="W117" s="102"/>
      <c r="X117" s="102"/>
      <c r="Y117" s="102"/>
      <c r="Z117" s="102"/>
      <c r="AB117" s="102">
        <f t="shared" ref="AB117:AC117" si="55">AB107*(10*$E126+72*$D126+5*$C126)</f>
        <v>357429552.6</v>
      </c>
      <c r="AC117" s="102">
        <f t="shared" si="55"/>
        <v>364578143.7</v>
      </c>
      <c r="AD117" s="102"/>
      <c r="AE117" s="102"/>
      <c r="AF117" s="102"/>
      <c r="AG117" s="102"/>
      <c r="AH117" s="102"/>
      <c r="AI117" s="102"/>
      <c r="AJ117" s="102"/>
      <c r="AK117" s="102"/>
      <c r="AL117" s="102"/>
      <c r="AM117" s="102"/>
      <c r="AN117" s="102"/>
      <c r="AO117" s="102"/>
      <c r="AP117" s="102"/>
      <c r="AQ117" s="102"/>
      <c r="AR117" s="102"/>
      <c r="AS117" s="102"/>
      <c r="AT117" s="102"/>
      <c r="AU117" s="102"/>
      <c r="AV117" s="102"/>
      <c r="AW117" s="90"/>
      <c r="AX117" s="90"/>
      <c r="AY117" s="90"/>
      <c r="AZ117" s="90"/>
      <c r="BA117" s="90"/>
      <c r="BB117" s="90"/>
      <c r="BC117" s="90"/>
      <c r="BD117" s="90"/>
      <c r="BE117" s="90"/>
      <c r="BF117" s="90"/>
      <c r="BG117" s="90"/>
      <c r="BH117" s="90"/>
      <c r="BI117" s="90"/>
      <c r="BJ117" s="90"/>
      <c r="BK117" s="90"/>
      <c r="BL117" s="90"/>
      <c r="BM117" s="90"/>
      <c r="BN117" s="90"/>
      <c r="BO117" s="90"/>
      <c r="BP117" s="90"/>
    </row>
    <row r="118" ht="12.75" customHeight="1" outlineLevel="1">
      <c r="A118" s="90" t="s">
        <v>588</v>
      </c>
      <c r="B118" s="90"/>
      <c r="C118" s="102">
        <f>'RSGen 1-7'!G273</f>
        <v>0</v>
      </c>
      <c r="D118" s="102">
        <f>OFFSET(RSGen_Walton!$G$7,0,ROW(C118)-ROW($C$118))</f>
        <v>0</v>
      </c>
      <c r="E118" s="102">
        <f>OFFSET(RSGen_none!$G$7,0,ROW(D118)-ROW($C$118))</f>
        <v>0</v>
      </c>
      <c r="F118" s="102"/>
      <c r="G118" s="102"/>
      <c r="H118" s="90"/>
      <c r="I118" s="90"/>
      <c r="J118" s="90"/>
      <c r="K118" s="90"/>
      <c r="L118" s="102">
        <f>$C118*L$107*L6</f>
        <v>0</v>
      </c>
      <c r="M118" s="102">
        <f>M$107*(MAX(0,MIN(M6,SUM(M6:M$15)-$E$4))*$C118+MAX(0,MIN(M6,$D$4-SUM(M7:M$15)))*$E118+(M6-(MAX(0,MIN(M6,SUM(M6:M$15)-$E$4))+MAX(0,MIN(M6,$E$4-SUM(M7:M$15)))))*$D118)</f>
        <v>0</v>
      </c>
      <c r="N118" s="102">
        <f t="shared" ref="N118:AL118" si="56">N$107*(MAX(0,MIN(N6,SUM(N6:N$15)-$E$4))*$E118+MAX(0,MIN(N6,$D$4-SUM(N7:N$15)))*$C118+(N6-(MAX(0,MIN(N6,SUM(N6:N$15)-$E$4))+MAX(0,MIN(N6,$D$4-SUM(N7:N$15)))))*$D118)</f>
        <v>0</v>
      </c>
      <c r="O118" s="102">
        <f t="shared" si="56"/>
        <v>0</v>
      </c>
      <c r="P118" s="102">
        <f t="shared" si="56"/>
        <v>0</v>
      </c>
      <c r="Q118" s="102">
        <f t="shared" si="56"/>
        <v>0</v>
      </c>
      <c r="R118" s="102">
        <f t="shared" si="56"/>
        <v>0</v>
      </c>
      <c r="S118" s="102">
        <f t="shared" si="56"/>
        <v>0</v>
      </c>
      <c r="T118" s="102">
        <f t="shared" si="56"/>
        <v>0</v>
      </c>
      <c r="U118" s="102">
        <f t="shared" si="56"/>
        <v>0</v>
      </c>
      <c r="V118" s="102">
        <f t="shared" si="56"/>
        <v>0</v>
      </c>
      <c r="W118" s="102">
        <f t="shared" si="56"/>
        <v>0</v>
      </c>
      <c r="X118" s="102">
        <f t="shared" si="56"/>
        <v>0</v>
      </c>
      <c r="Y118" s="102">
        <f t="shared" si="56"/>
        <v>0</v>
      </c>
      <c r="Z118" s="102">
        <f t="shared" si="56"/>
        <v>0</v>
      </c>
      <c r="AA118" s="102">
        <f t="shared" si="56"/>
        <v>0</v>
      </c>
      <c r="AB118" s="102">
        <f t="shared" si="56"/>
        <v>0</v>
      </c>
      <c r="AC118" s="102">
        <f t="shared" si="56"/>
        <v>0</v>
      </c>
      <c r="AD118" s="102">
        <f t="shared" si="56"/>
        <v>0</v>
      </c>
      <c r="AE118" s="102">
        <f t="shared" si="56"/>
        <v>0</v>
      </c>
      <c r="AF118" s="102">
        <f t="shared" si="56"/>
        <v>0</v>
      </c>
      <c r="AG118" s="102">
        <f t="shared" si="56"/>
        <v>0</v>
      </c>
      <c r="AH118" s="102">
        <f t="shared" si="56"/>
        <v>0</v>
      </c>
      <c r="AI118" s="102">
        <f t="shared" si="56"/>
        <v>0</v>
      </c>
      <c r="AJ118" s="102">
        <f t="shared" si="56"/>
        <v>0</v>
      </c>
      <c r="AK118" s="102">
        <f t="shared" si="56"/>
        <v>0</v>
      </c>
      <c r="AL118" s="102">
        <f t="shared" si="56"/>
        <v>0</v>
      </c>
      <c r="AM118" s="102">
        <f t="shared" ref="AM118:AV118" si="57">$D118*AM$107*AM6</f>
        <v>0</v>
      </c>
      <c r="AN118" s="102">
        <f t="shared" si="57"/>
        <v>0</v>
      </c>
      <c r="AO118" s="102" t="str">
        <f t="shared" si="57"/>
        <v>#REF!</v>
      </c>
      <c r="AP118" s="102" t="str">
        <f t="shared" si="57"/>
        <v>#REF!</v>
      </c>
      <c r="AQ118" s="102" t="str">
        <f t="shared" si="57"/>
        <v>#REF!</v>
      </c>
      <c r="AR118" s="102" t="str">
        <f t="shared" si="57"/>
        <v>#REF!</v>
      </c>
      <c r="AS118" s="102" t="str">
        <f t="shared" si="57"/>
        <v>#REF!</v>
      </c>
      <c r="AT118" s="102">
        <f t="shared" si="57"/>
        <v>0</v>
      </c>
      <c r="AU118" s="102">
        <f t="shared" si="57"/>
        <v>0</v>
      </c>
      <c r="AV118" s="102">
        <f t="shared" si="57"/>
        <v>0</v>
      </c>
      <c r="AW118" s="90"/>
      <c r="AX118" s="90"/>
      <c r="AY118" s="90"/>
      <c r="AZ118" s="90"/>
      <c r="BA118" s="90"/>
      <c r="BB118" s="90"/>
      <c r="BC118" s="90"/>
      <c r="BD118" s="90"/>
      <c r="BE118" s="90"/>
      <c r="BF118" s="90"/>
      <c r="BG118" s="90"/>
      <c r="BH118" s="90"/>
      <c r="BI118" s="90"/>
      <c r="BJ118" s="90"/>
      <c r="BK118" s="90"/>
      <c r="BL118" s="90"/>
      <c r="BM118" s="90"/>
      <c r="BN118" s="90"/>
      <c r="BO118" s="90"/>
      <c r="BP118" s="90"/>
    </row>
    <row r="119" ht="12.75" customHeight="1" outlineLevel="1">
      <c r="A119" s="90" t="s">
        <v>287</v>
      </c>
      <c r="B119" s="90"/>
      <c r="C119" s="102">
        <f>'RSGen 1-7'!H$273</f>
        <v>0</v>
      </c>
      <c r="D119" s="102">
        <f>OFFSET(RSGen_Walton!$G$7,0,ROW(C119)-ROW($C$118))</f>
        <v>0</v>
      </c>
      <c r="E119" s="102">
        <f>OFFSET(RSGen_none!$G$7,0,ROW(D119)-ROW($C$118))</f>
        <v>0</v>
      </c>
      <c r="F119" s="102"/>
      <c r="G119" s="102"/>
      <c r="H119" s="305"/>
      <c r="I119" s="305"/>
      <c r="J119" s="305"/>
      <c r="K119" s="306"/>
      <c r="L119" s="306"/>
      <c r="M119" s="102">
        <f t="shared" ref="M119:AL119" si="58">M$107*(MAX(0,MIN(M7,SUM(M7:M$15)-$E$4))*$E119+MAX(0,MIN(M7,$D$4-SUM(M8:M$15)))*$C119+(M7-(MAX(0,MIN(M7,SUM(M7:M$15)-$E$4))+MAX(0,MIN(M7,$D$4-SUM(M8:M$15)))))*$D119)</f>
        <v>0</v>
      </c>
      <c r="N119" s="102">
        <f t="shared" si="58"/>
        <v>0</v>
      </c>
      <c r="O119" s="102">
        <f t="shared" si="58"/>
        <v>0</v>
      </c>
      <c r="P119" s="102">
        <f t="shared" si="58"/>
        <v>0</v>
      </c>
      <c r="Q119" s="102">
        <f t="shared" si="58"/>
        <v>0</v>
      </c>
      <c r="R119" s="102">
        <f t="shared" si="58"/>
        <v>0</v>
      </c>
      <c r="S119" s="102">
        <f t="shared" si="58"/>
        <v>0</v>
      </c>
      <c r="T119" s="102">
        <f t="shared" si="58"/>
        <v>0</v>
      </c>
      <c r="U119" s="102">
        <f t="shared" si="58"/>
        <v>0</v>
      </c>
      <c r="V119" s="102">
        <f t="shared" si="58"/>
        <v>0</v>
      </c>
      <c r="W119" s="102">
        <f t="shared" si="58"/>
        <v>0</v>
      </c>
      <c r="X119" s="102">
        <f t="shared" si="58"/>
        <v>0</v>
      </c>
      <c r="Y119" s="102">
        <f t="shared" si="58"/>
        <v>0</v>
      </c>
      <c r="Z119" s="102">
        <f t="shared" si="58"/>
        <v>0</v>
      </c>
      <c r="AA119" s="102">
        <f t="shared" si="58"/>
        <v>0</v>
      </c>
      <c r="AB119" s="102">
        <f t="shared" si="58"/>
        <v>0</v>
      </c>
      <c r="AC119" s="102">
        <f t="shared" si="58"/>
        <v>0</v>
      </c>
      <c r="AD119" s="102">
        <f t="shared" si="58"/>
        <v>0</v>
      </c>
      <c r="AE119" s="102">
        <f t="shared" si="58"/>
        <v>0</v>
      </c>
      <c r="AF119" s="102">
        <f t="shared" si="58"/>
        <v>0</v>
      </c>
      <c r="AG119" s="102">
        <f t="shared" si="58"/>
        <v>0</v>
      </c>
      <c r="AH119" s="102">
        <f t="shared" si="58"/>
        <v>0</v>
      </c>
      <c r="AI119" s="102">
        <f t="shared" si="58"/>
        <v>0</v>
      </c>
      <c r="AJ119" s="102">
        <f t="shared" si="58"/>
        <v>0</v>
      </c>
      <c r="AK119" s="102">
        <f t="shared" si="58"/>
        <v>0</v>
      </c>
      <c r="AL119" s="102">
        <f t="shared" si="58"/>
        <v>0</v>
      </c>
      <c r="AM119" s="102">
        <f t="shared" ref="AM119:AV119" si="59">$D119*AM$107*AM7</f>
        <v>0</v>
      </c>
      <c r="AN119" s="102">
        <f t="shared" si="59"/>
        <v>0</v>
      </c>
      <c r="AO119" s="102">
        <f t="shared" si="59"/>
        <v>0</v>
      </c>
      <c r="AP119" s="102" t="str">
        <f t="shared" si="59"/>
        <v>#REF!</v>
      </c>
      <c r="AQ119" s="102" t="str">
        <f t="shared" si="59"/>
        <v>#REF!</v>
      </c>
      <c r="AR119" s="102" t="str">
        <f t="shared" si="59"/>
        <v>#REF!</v>
      </c>
      <c r="AS119" s="102" t="str">
        <f t="shared" si="59"/>
        <v>#REF!</v>
      </c>
      <c r="AT119" s="102" t="str">
        <f t="shared" si="59"/>
        <v>#REF!</v>
      </c>
      <c r="AU119" s="102">
        <f t="shared" si="59"/>
        <v>0</v>
      </c>
      <c r="AV119" s="102">
        <f t="shared" si="59"/>
        <v>0</v>
      </c>
      <c r="AW119" s="90"/>
      <c r="AX119" s="90"/>
      <c r="AY119" s="90"/>
      <c r="AZ119" s="90"/>
      <c r="BA119" s="90"/>
      <c r="BB119" s="90"/>
      <c r="BC119" s="90"/>
      <c r="BD119" s="90"/>
      <c r="BE119" s="90"/>
      <c r="BF119" s="90"/>
      <c r="BG119" s="90"/>
      <c r="BH119" s="90"/>
      <c r="BI119" s="90"/>
      <c r="BJ119" s="90"/>
      <c r="BK119" s="90"/>
      <c r="BL119" s="90"/>
      <c r="BM119" s="90"/>
      <c r="BN119" s="90"/>
      <c r="BO119" s="90"/>
      <c r="BP119" s="90"/>
    </row>
    <row r="120" ht="12.75" customHeight="1" outlineLevel="1">
      <c r="A120" s="90" t="s">
        <v>288</v>
      </c>
      <c r="B120" s="90"/>
      <c r="C120" s="102">
        <f>'RSGen 1-7'!I$273</f>
        <v>2414555.856</v>
      </c>
      <c r="D120" s="102">
        <f>OFFSET(RSGen_Walton!$G$7,0,ROW(C120)-ROW($C$118))</f>
        <v>2414555.856</v>
      </c>
      <c r="E120" s="102">
        <f>OFFSET(RSGen_none!$G$7,0,ROW(D120)-ROW($C$118))</f>
        <v>2414555.856</v>
      </c>
      <c r="F120" s="102"/>
      <c r="G120" s="102"/>
      <c r="H120" s="305"/>
      <c r="I120" s="305"/>
      <c r="J120" s="305"/>
      <c r="K120" s="306"/>
      <c r="L120" s="306"/>
      <c r="M120" s="306"/>
      <c r="N120" s="102">
        <f t="shared" ref="N120:AL120" si="60">N$107*(MAX(0,MIN(N8,SUM(N8:N$15)-$E$4))*$E120+MAX(0,MIN(N8,$D$4-SUM(N9:N$15)))*$C120+(N8-(MAX(0,MIN(N8,SUM(N8:N$15)-$E$4))+MAX(0,MIN(N8,$D$4-SUM(N9:N$15)))))*$D120)</f>
        <v>4877402.829</v>
      </c>
      <c r="O120" s="102">
        <f t="shared" si="60"/>
        <v>7462426.329</v>
      </c>
      <c r="P120" s="102">
        <f t="shared" si="60"/>
        <v>12686124.76</v>
      </c>
      <c r="Q120" s="102">
        <f t="shared" si="60"/>
        <v>20703755.61</v>
      </c>
      <c r="R120" s="102">
        <f t="shared" si="60"/>
        <v>34316474.92</v>
      </c>
      <c r="S120" s="102">
        <f t="shared" si="60"/>
        <v>59824001.71</v>
      </c>
      <c r="T120" s="102">
        <f t="shared" si="60"/>
        <v>94304380.88</v>
      </c>
      <c r="U120" s="102">
        <f t="shared" si="60"/>
        <v>127310914.2</v>
      </c>
      <c r="V120" s="102">
        <f t="shared" si="60"/>
        <v>129857132.5</v>
      </c>
      <c r="W120" s="102">
        <f t="shared" si="60"/>
        <v>194266270.2</v>
      </c>
      <c r="X120" s="102">
        <f t="shared" si="60"/>
        <v>240183752.2</v>
      </c>
      <c r="Y120" s="102">
        <f t="shared" si="60"/>
        <v>434852683.4</v>
      </c>
      <c r="Z120" s="102">
        <f t="shared" si="60"/>
        <v>602852811.6</v>
      </c>
      <c r="AA120" s="102">
        <f t="shared" si="60"/>
        <v>771026880.9</v>
      </c>
      <c r="AB120" s="102">
        <f t="shared" si="60"/>
        <v>887190682.9</v>
      </c>
      <c r="AC120" s="102">
        <f t="shared" si="60"/>
        <v>1073988194</v>
      </c>
      <c r="AD120" s="102">
        <f t="shared" si="60"/>
        <v>1183375880</v>
      </c>
      <c r="AE120" s="102">
        <f t="shared" si="60"/>
        <v>1189799921</v>
      </c>
      <c r="AF120" s="102">
        <f t="shared" si="60"/>
        <v>956806057.9</v>
      </c>
      <c r="AG120" s="102">
        <f t="shared" si="60"/>
        <v>118404749.7</v>
      </c>
      <c r="AH120" s="102">
        <f t="shared" si="60"/>
        <v>0</v>
      </c>
      <c r="AI120" s="102">
        <f t="shared" si="60"/>
        <v>0</v>
      </c>
      <c r="AJ120" s="102">
        <f t="shared" si="60"/>
        <v>0</v>
      </c>
      <c r="AK120" s="102">
        <f t="shared" si="60"/>
        <v>0</v>
      </c>
      <c r="AL120" s="102">
        <f t="shared" si="60"/>
        <v>0</v>
      </c>
      <c r="AM120" s="102">
        <f t="shared" ref="AM120:AV120" si="61">$D120*AM$107*AM8</f>
        <v>0</v>
      </c>
      <c r="AN120" s="102">
        <f t="shared" si="61"/>
        <v>0</v>
      </c>
      <c r="AO120" s="102">
        <f t="shared" si="61"/>
        <v>0</v>
      </c>
      <c r="AP120" s="102">
        <f t="shared" si="61"/>
        <v>0</v>
      </c>
      <c r="AQ120" s="102" t="str">
        <f t="shared" si="61"/>
        <v>#REF!</v>
      </c>
      <c r="AR120" s="102" t="str">
        <f t="shared" si="61"/>
        <v>#REF!</v>
      </c>
      <c r="AS120" s="102" t="str">
        <f t="shared" si="61"/>
        <v>#REF!</v>
      </c>
      <c r="AT120" s="102" t="str">
        <f t="shared" si="61"/>
        <v>#REF!</v>
      </c>
      <c r="AU120" s="102" t="str">
        <f t="shared" si="61"/>
        <v>#REF!</v>
      </c>
      <c r="AV120" s="102">
        <f t="shared" si="61"/>
        <v>0</v>
      </c>
      <c r="AW120" s="90"/>
      <c r="AX120" s="90"/>
      <c r="AY120" s="90"/>
      <c r="AZ120" s="90"/>
      <c r="BA120" s="90"/>
      <c r="BB120" s="90"/>
      <c r="BC120" s="90"/>
      <c r="BD120" s="90"/>
      <c r="BE120" s="90"/>
      <c r="BF120" s="90"/>
      <c r="BG120" s="90"/>
      <c r="BH120" s="90"/>
      <c r="BI120" s="90"/>
      <c r="BJ120" s="90"/>
      <c r="BK120" s="90"/>
      <c r="BL120" s="90"/>
      <c r="BM120" s="90"/>
      <c r="BN120" s="90"/>
      <c r="BO120" s="90"/>
      <c r="BP120" s="90"/>
    </row>
    <row r="121" ht="12.75" customHeight="1" outlineLevel="1">
      <c r="A121" s="90" t="s">
        <v>289</v>
      </c>
      <c r="B121" s="90"/>
      <c r="C121" s="102">
        <f>'RSGen 1-7'!J$273</f>
        <v>2827914.192</v>
      </c>
      <c r="D121" s="102">
        <f>OFFSET(RSGen_Walton!$G$7,0,ROW(C121)-ROW($C$118))</f>
        <v>2827914.192</v>
      </c>
      <c r="E121" s="102">
        <f>OFFSET(RSGen_none!$G$7,0,ROW(D121)-ROW($C$118))</f>
        <v>2827914.192</v>
      </c>
      <c r="F121" s="102"/>
      <c r="G121" s="102"/>
      <c r="H121" s="305"/>
      <c r="I121" s="305"/>
      <c r="J121" s="305"/>
      <c r="K121" s="306"/>
      <c r="L121" s="306"/>
      <c r="M121" s="306"/>
      <c r="N121" s="306"/>
      <c r="O121" s="102">
        <f t="shared" ref="O121:AL121" si="62">O$107*(MAX(0,MIN(O9,SUM(O9:O$15)-$E$4))*$E121+MAX(0,MIN(O9,$D$4-SUM(O10:O$15)))*$C121+(O9-(MAX(0,MIN(O9,SUM(O9:O$15)-$E$4))+MAX(0,MIN(O9,$D$4-SUM(O10:O$15)))))*$D121)</f>
        <v>5826634.401</v>
      </c>
      <c r="P121" s="102">
        <f t="shared" si="62"/>
        <v>8914750.634</v>
      </c>
      <c r="Q121" s="102">
        <f t="shared" si="62"/>
        <v>15155076.08</v>
      </c>
      <c r="R121" s="102">
        <f t="shared" si="62"/>
        <v>24733084.16</v>
      </c>
      <c r="S121" s="102">
        <f t="shared" si="62"/>
        <v>41402360.52</v>
      </c>
      <c r="T121" s="102">
        <f t="shared" si="62"/>
        <v>71466843.85</v>
      </c>
      <c r="U121" s="102">
        <f t="shared" si="62"/>
        <v>112657733.9</v>
      </c>
      <c r="V121" s="102">
        <f t="shared" si="62"/>
        <v>152087940.7</v>
      </c>
      <c r="W121" s="102">
        <f t="shared" si="62"/>
        <v>155129699.5</v>
      </c>
      <c r="X121" s="102">
        <f t="shared" si="62"/>
        <v>232074030.5</v>
      </c>
      <c r="Y121" s="102">
        <f t="shared" si="62"/>
        <v>286927892.2</v>
      </c>
      <c r="Z121" s="102">
        <f t="shared" si="62"/>
        <v>519482948.9</v>
      </c>
      <c r="AA121" s="102">
        <f t="shared" si="62"/>
        <v>720178967</v>
      </c>
      <c r="AB121" s="102">
        <f t="shared" si="62"/>
        <v>921082778.3</v>
      </c>
      <c r="AC121" s="102">
        <f t="shared" si="62"/>
        <v>1059854175</v>
      </c>
      <c r="AD121" s="102">
        <f t="shared" si="62"/>
        <v>1283005890</v>
      </c>
      <c r="AE121" s="102">
        <f t="shared" si="62"/>
        <v>1413682415</v>
      </c>
      <c r="AF121" s="102">
        <f t="shared" si="62"/>
        <v>1421356691</v>
      </c>
      <c r="AG121" s="102">
        <f t="shared" si="62"/>
        <v>1143017972</v>
      </c>
      <c r="AH121" s="102">
        <f t="shared" si="62"/>
        <v>141448474.1</v>
      </c>
      <c r="AI121" s="102">
        <f t="shared" si="62"/>
        <v>0</v>
      </c>
      <c r="AJ121" s="102">
        <f t="shared" si="62"/>
        <v>0</v>
      </c>
      <c r="AK121" s="102">
        <f t="shared" si="62"/>
        <v>0</v>
      </c>
      <c r="AL121" s="102">
        <f t="shared" si="62"/>
        <v>0</v>
      </c>
      <c r="AM121" s="102">
        <f t="shared" ref="AM121:AV121" si="63">$D121*AM$107*AM9</f>
        <v>0</v>
      </c>
      <c r="AN121" s="102">
        <f t="shared" si="63"/>
        <v>0</v>
      </c>
      <c r="AO121" s="102">
        <f t="shared" si="63"/>
        <v>0</v>
      </c>
      <c r="AP121" s="102">
        <f t="shared" si="63"/>
        <v>0</v>
      </c>
      <c r="AQ121" s="102">
        <f t="shared" si="63"/>
        <v>0</v>
      </c>
      <c r="AR121" s="102" t="str">
        <f t="shared" si="63"/>
        <v>#REF!</v>
      </c>
      <c r="AS121" s="102" t="str">
        <f t="shared" si="63"/>
        <v>#REF!</v>
      </c>
      <c r="AT121" s="102" t="str">
        <f t="shared" si="63"/>
        <v>#REF!</v>
      </c>
      <c r="AU121" s="102" t="str">
        <f t="shared" si="63"/>
        <v>#REF!</v>
      </c>
      <c r="AV121" s="102" t="str">
        <f t="shared" si="63"/>
        <v>#REF!</v>
      </c>
      <c r="AW121" s="90"/>
      <c r="AX121" s="90"/>
      <c r="AY121" s="90"/>
      <c r="AZ121" s="90"/>
      <c r="BA121" s="90"/>
      <c r="BB121" s="90"/>
      <c r="BC121" s="90"/>
      <c r="BD121" s="90"/>
      <c r="BE121" s="90"/>
      <c r="BF121" s="90"/>
      <c r="BG121" s="90"/>
      <c r="BH121" s="90"/>
      <c r="BI121" s="90"/>
      <c r="BJ121" s="90"/>
      <c r="BK121" s="90"/>
      <c r="BL121" s="90"/>
      <c r="BM121" s="90"/>
      <c r="BN121" s="90"/>
      <c r="BO121" s="90"/>
      <c r="BP121" s="90"/>
    </row>
    <row r="122" ht="12.75" customHeight="1" outlineLevel="1">
      <c r="A122" s="90" t="s">
        <v>290</v>
      </c>
      <c r="B122" s="90"/>
      <c r="C122" s="102">
        <f>'RSGen 1-7'!K$273</f>
        <v>3064891.2</v>
      </c>
      <c r="D122" s="102">
        <f>OFFSET(RSGen_Walton!$G$7,0,ROW(C122)-ROW($C$118))</f>
        <v>3064891.2</v>
      </c>
      <c r="E122" s="102">
        <f>OFFSET(RSGen_none!$G$7,0,ROW(D122)-ROW($C$118))</f>
        <v>3064891.2</v>
      </c>
      <c r="F122" s="102"/>
      <c r="G122" s="102"/>
      <c r="H122" s="305"/>
      <c r="I122" s="305"/>
      <c r="J122" s="305"/>
      <c r="K122" s="306"/>
      <c r="L122" s="306"/>
      <c r="M122" s="306"/>
      <c r="N122" s="306"/>
      <c r="O122" s="306"/>
      <c r="P122" s="102">
        <f t="shared" ref="P122:AL122" si="64">P$107*(MAX(0,MIN(P10,SUM(P10:P$15)-$E$4))*$E122+MAX(0,MIN(P10,$D$4-SUM(P11:P$15)))*$C122+(P10-(MAX(0,MIN(P10,SUM(P10:P$15)-$E$4))+MAX(0,MIN(P10,$D$4-SUM(P11:P$15)))))*$D122)</f>
        <v>6441199.865</v>
      </c>
      <c r="Q122" s="102">
        <f t="shared" si="64"/>
        <v>9855035.794</v>
      </c>
      <c r="R122" s="102">
        <f t="shared" si="64"/>
        <v>16753560.85</v>
      </c>
      <c r="S122" s="102">
        <f t="shared" si="64"/>
        <v>27613443.76</v>
      </c>
      <c r="T122" s="102">
        <f t="shared" si="64"/>
        <v>45769283.02</v>
      </c>
      <c r="U122" s="102">
        <f t="shared" si="64"/>
        <v>79004823.93</v>
      </c>
      <c r="V122" s="102">
        <f t="shared" si="64"/>
        <v>124540331.5</v>
      </c>
      <c r="W122" s="102">
        <f t="shared" si="64"/>
        <v>168129447.6</v>
      </c>
      <c r="X122" s="102">
        <f t="shared" si="64"/>
        <v>171492036.5</v>
      </c>
      <c r="Y122" s="102">
        <f t="shared" si="64"/>
        <v>256552086.6</v>
      </c>
      <c r="Z122" s="102">
        <f t="shared" si="64"/>
        <v>317191670.8</v>
      </c>
      <c r="AA122" s="102">
        <f t="shared" si="64"/>
        <v>574275519.9</v>
      </c>
      <c r="AB122" s="102">
        <f t="shared" si="64"/>
        <v>796139991.9</v>
      </c>
      <c r="AC122" s="102">
        <f t="shared" si="64"/>
        <v>1018234174</v>
      </c>
      <c r="AD122" s="102">
        <f t="shared" si="64"/>
        <v>1171642513</v>
      </c>
      <c r="AE122" s="102">
        <f t="shared" si="64"/>
        <v>1418331200</v>
      </c>
      <c r="AF122" s="102">
        <f t="shared" si="64"/>
        <v>1562790860</v>
      </c>
      <c r="AG122" s="102">
        <f t="shared" si="64"/>
        <v>1571274581</v>
      </c>
      <c r="AH122" s="102">
        <f t="shared" si="64"/>
        <v>1263578029</v>
      </c>
      <c r="AI122" s="102">
        <f t="shared" si="64"/>
        <v>156367781</v>
      </c>
      <c r="AJ122" s="102">
        <f t="shared" si="64"/>
        <v>0</v>
      </c>
      <c r="AK122" s="102">
        <f t="shared" si="64"/>
        <v>0</v>
      </c>
      <c r="AL122" s="102">
        <f t="shared" si="64"/>
        <v>0</v>
      </c>
      <c r="AM122" s="102">
        <f t="shared" ref="AM122:AV122" si="65">$D122*AM$107*AM10</f>
        <v>0</v>
      </c>
      <c r="AN122" s="102">
        <f t="shared" si="65"/>
        <v>0</v>
      </c>
      <c r="AO122" s="102">
        <f t="shared" si="65"/>
        <v>0</v>
      </c>
      <c r="AP122" s="102">
        <f t="shared" si="65"/>
        <v>0</v>
      </c>
      <c r="AQ122" s="102">
        <f t="shared" si="65"/>
        <v>0</v>
      </c>
      <c r="AR122" s="102">
        <f t="shared" si="65"/>
        <v>0</v>
      </c>
      <c r="AS122" s="102" t="str">
        <f t="shared" si="65"/>
        <v>#REF!</v>
      </c>
      <c r="AT122" s="102" t="str">
        <f t="shared" si="65"/>
        <v>#REF!</v>
      </c>
      <c r="AU122" s="102" t="str">
        <f t="shared" si="65"/>
        <v>#REF!</v>
      </c>
      <c r="AV122" s="102" t="str">
        <f t="shared" si="65"/>
        <v>#REF!</v>
      </c>
      <c r="AW122" s="90"/>
      <c r="AX122" s="90"/>
      <c r="AY122" s="90"/>
      <c r="AZ122" s="90"/>
      <c r="BA122" s="90"/>
      <c r="BB122" s="90"/>
      <c r="BC122" s="90"/>
      <c r="BD122" s="90"/>
      <c r="BE122" s="90"/>
      <c r="BF122" s="90"/>
      <c r="BG122" s="90"/>
      <c r="BH122" s="90"/>
      <c r="BI122" s="90"/>
      <c r="BJ122" s="90"/>
      <c r="BK122" s="90"/>
      <c r="BL122" s="90"/>
      <c r="BM122" s="90"/>
      <c r="BN122" s="90"/>
      <c r="BO122" s="90"/>
      <c r="BP122" s="90"/>
    </row>
    <row r="123" ht="12.75" customHeight="1" outlineLevel="1">
      <c r="A123" s="90" t="s">
        <v>291</v>
      </c>
      <c r="B123" s="90"/>
      <c r="C123" s="102">
        <f>'RSGen 1-7'!L$273</f>
        <v>3073795.2</v>
      </c>
      <c r="D123" s="102">
        <f>OFFSET(RSGen_Walton!$G$7,0,ROW(C123)-ROW($C$118))</f>
        <v>3073795.2</v>
      </c>
      <c r="E123" s="102">
        <f>OFFSET(RSGen_none!$G$7,0,ROW(D123)-ROW($C$118))</f>
        <v>3073795.2</v>
      </c>
      <c r="F123" s="102"/>
      <c r="G123" s="102"/>
      <c r="H123" s="305"/>
      <c r="I123" s="305"/>
      <c r="J123" s="305"/>
      <c r="K123" s="306"/>
      <c r="L123" s="306"/>
      <c r="M123" s="306"/>
      <c r="N123" s="306"/>
      <c r="O123" s="306"/>
      <c r="P123" s="306"/>
      <c r="Q123" s="102">
        <f t="shared" ref="Q123:AL123" si="66">Q$107*(MAX(0,MIN(Q11,SUM(Q11:Q$15)-$E$4))*$E123+MAX(0,MIN(Q11,$D$4-SUM(Q12:Q$15)))*$C123+(Q11-(MAX(0,MIN(Q11,SUM(Q11:Q$15)-$E$4))+MAX(0,MIN(Q11,$D$4-SUM(Q12:Q$15)))))*$D123)</f>
        <v>6589110.834</v>
      </c>
      <c r="R123" s="102">
        <f t="shared" si="66"/>
        <v>10081339.58</v>
      </c>
      <c r="S123" s="102">
        <f t="shared" si="66"/>
        <v>17308540.77</v>
      </c>
      <c r="T123" s="102">
        <f t="shared" si="66"/>
        <v>28247538.54</v>
      </c>
      <c r="U123" s="102">
        <f t="shared" si="66"/>
        <v>46820295.13</v>
      </c>
      <c r="V123" s="102">
        <f t="shared" si="66"/>
        <v>80819032.51</v>
      </c>
      <c r="W123" s="102">
        <f t="shared" si="66"/>
        <v>127400184</v>
      </c>
      <c r="X123" s="102">
        <f t="shared" si="66"/>
        <v>171990248.4</v>
      </c>
      <c r="Y123" s="102">
        <f t="shared" si="66"/>
        <v>175430053.3</v>
      </c>
      <c r="Z123" s="102">
        <f t="shared" si="66"/>
        <v>262443359.8</v>
      </c>
      <c r="AA123" s="102">
        <f t="shared" si="66"/>
        <v>324475426.7</v>
      </c>
      <c r="AB123" s="102">
        <f t="shared" si="66"/>
        <v>587462760</v>
      </c>
      <c r="AC123" s="102">
        <f t="shared" si="66"/>
        <v>814421964.3</v>
      </c>
      <c r="AD123" s="102">
        <f t="shared" si="66"/>
        <v>1041616154</v>
      </c>
      <c r="AE123" s="102">
        <f t="shared" si="66"/>
        <v>1198547249</v>
      </c>
      <c r="AF123" s="102">
        <f t="shared" si="66"/>
        <v>1450900713</v>
      </c>
      <c r="AG123" s="102">
        <f t="shared" si="66"/>
        <v>1598677638</v>
      </c>
      <c r="AH123" s="102">
        <f t="shared" si="66"/>
        <v>1607356173</v>
      </c>
      <c r="AI123" s="102">
        <f t="shared" si="66"/>
        <v>1292593904</v>
      </c>
      <c r="AJ123" s="102">
        <f t="shared" si="66"/>
        <v>159958495.6</v>
      </c>
      <c r="AK123" s="102">
        <f t="shared" si="66"/>
        <v>0</v>
      </c>
      <c r="AL123" s="102">
        <f t="shared" si="66"/>
        <v>0</v>
      </c>
      <c r="AM123" s="102">
        <f t="shared" ref="AM123:AV123" si="67">$D123*AM$107*AM11</f>
        <v>0</v>
      </c>
      <c r="AN123" s="102">
        <f t="shared" si="67"/>
        <v>0</v>
      </c>
      <c r="AO123" s="102">
        <f t="shared" si="67"/>
        <v>0</v>
      </c>
      <c r="AP123" s="102">
        <f t="shared" si="67"/>
        <v>0</v>
      </c>
      <c r="AQ123" s="102">
        <f t="shared" si="67"/>
        <v>0</v>
      </c>
      <c r="AR123" s="102">
        <f t="shared" si="67"/>
        <v>0</v>
      </c>
      <c r="AS123" s="102">
        <f t="shared" si="67"/>
        <v>0</v>
      </c>
      <c r="AT123" s="102" t="str">
        <f t="shared" si="67"/>
        <v>#REF!</v>
      </c>
      <c r="AU123" s="102" t="str">
        <f t="shared" si="67"/>
        <v>#REF!</v>
      </c>
      <c r="AV123" s="102" t="str">
        <f t="shared" si="67"/>
        <v>#REF!</v>
      </c>
      <c r="AW123" s="90"/>
      <c r="AX123" s="90"/>
      <c r="AY123" s="90"/>
      <c r="AZ123" s="90"/>
      <c r="BA123" s="90"/>
      <c r="BB123" s="90"/>
      <c r="BC123" s="90"/>
      <c r="BD123" s="90"/>
      <c r="BE123" s="90"/>
      <c r="BF123" s="90"/>
      <c r="BG123" s="90"/>
      <c r="BH123" s="90"/>
      <c r="BI123" s="90"/>
      <c r="BJ123" s="90"/>
      <c r="BK123" s="90"/>
      <c r="BL123" s="90"/>
      <c r="BM123" s="90"/>
      <c r="BN123" s="90"/>
      <c r="BO123" s="90"/>
      <c r="BP123" s="90"/>
    </row>
    <row r="124" ht="12.75" customHeight="1" outlineLevel="1">
      <c r="A124" s="90" t="s">
        <v>292</v>
      </c>
      <c r="B124" s="90"/>
      <c r="C124" s="102">
        <f>'RSGen 1-7'!M$273</f>
        <v>3066163.2</v>
      </c>
      <c r="D124" s="102">
        <f>OFFSET(RSGen_Walton!$G$7,0,ROW(C124)-ROW($C$118))</f>
        <v>3066163.2</v>
      </c>
      <c r="E124" s="102">
        <f>OFFSET(RSGen_none!$G$7,0,ROW(D124)-ROW($C$118))</f>
        <v>3066163.2</v>
      </c>
      <c r="F124" s="102"/>
      <c r="G124" s="102"/>
      <c r="H124" s="305"/>
      <c r="I124" s="305"/>
      <c r="J124" s="305"/>
      <c r="K124" s="306"/>
      <c r="L124" s="306"/>
      <c r="M124" s="306"/>
      <c r="N124" s="306"/>
      <c r="O124" s="306"/>
      <c r="P124" s="306"/>
      <c r="Q124" s="306"/>
      <c r="R124" s="102">
        <f t="shared" ref="R124:AL124" si="68">R$107*(MAX(0,MIN(R12,SUM(R12:R$15)-$E$4))*$E124+MAX(0,MIN(R12,$D$4-SUM(R13:R$15)))*$C124+(R12-(MAX(0,MIN(R12,SUM(R12:R$15)-$E$4))+MAX(0,MIN(R12,$D$4-SUM(R13:R$15)))))*$D124)</f>
        <v>6704205.584</v>
      </c>
      <c r="S124" s="102">
        <f t="shared" si="68"/>
        <v>10359338.99</v>
      </c>
      <c r="T124" s="102">
        <f t="shared" si="68"/>
        <v>17610876.28</v>
      </c>
      <c r="U124" s="102">
        <f t="shared" si="68"/>
        <v>28740950.09</v>
      </c>
      <c r="V124" s="102">
        <f t="shared" si="68"/>
        <v>47638124.77</v>
      </c>
      <c r="W124" s="102">
        <f t="shared" si="68"/>
        <v>82230732.29</v>
      </c>
      <c r="X124" s="102">
        <f t="shared" si="68"/>
        <v>129625536.2</v>
      </c>
      <c r="Y124" s="102">
        <f t="shared" si="68"/>
        <v>174994473.8</v>
      </c>
      <c r="Z124" s="102">
        <f t="shared" si="68"/>
        <v>178494363.3</v>
      </c>
      <c r="AA124" s="102">
        <f t="shared" si="68"/>
        <v>267027567.5</v>
      </c>
      <c r="AB124" s="102">
        <f t="shared" si="68"/>
        <v>330143174.4</v>
      </c>
      <c r="AC124" s="102">
        <f t="shared" si="68"/>
        <v>597724217.2</v>
      </c>
      <c r="AD124" s="102">
        <f t="shared" si="68"/>
        <v>828647812.7</v>
      </c>
      <c r="AE124" s="102">
        <f t="shared" si="68"/>
        <v>1059810498</v>
      </c>
      <c r="AF124" s="102">
        <f t="shared" si="68"/>
        <v>1219482774</v>
      </c>
      <c r="AG124" s="102">
        <f t="shared" si="68"/>
        <v>1476244202</v>
      </c>
      <c r="AH124" s="102">
        <f t="shared" si="68"/>
        <v>1626602407</v>
      </c>
      <c r="AI124" s="102">
        <f t="shared" si="68"/>
        <v>1635432535</v>
      </c>
      <c r="AJ124" s="102">
        <f t="shared" si="68"/>
        <v>1315172181</v>
      </c>
      <c r="AK124" s="102">
        <f t="shared" si="68"/>
        <v>162752557.4</v>
      </c>
      <c r="AL124" s="102">
        <f t="shared" si="68"/>
        <v>0</v>
      </c>
      <c r="AM124" s="102">
        <f t="shared" ref="AM124:AV124" si="69">$D124*AM$107*AM12</f>
        <v>0</v>
      </c>
      <c r="AN124" s="102">
        <f t="shared" si="69"/>
        <v>0</v>
      </c>
      <c r="AO124" s="102">
        <f t="shared" si="69"/>
        <v>0</v>
      </c>
      <c r="AP124" s="102">
        <f t="shared" si="69"/>
        <v>0</v>
      </c>
      <c r="AQ124" s="102">
        <f t="shared" si="69"/>
        <v>0</v>
      </c>
      <c r="AR124" s="102">
        <f t="shared" si="69"/>
        <v>0</v>
      </c>
      <c r="AS124" s="102">
        <f t="shared" si="69"/>
        <v>0</v>
      </c>
      <c r="AT124" s="102">
        <f t="shared" si="69"/>
        <v>0</v>
      </c>
      <c r="AU124" s="102" t="str">
        <f t="shared" si="69"/>
        <v>#REF!</v>
      </c>
      <c r="AV124" s="102" t="str">
        <f t="shared" si="69"/>
        <v>#REF!</v>
      </c>
      <c r="AW124" s="90"/>
      <c r="AX124" s="90"/>
      <c r="AY124" s="90"/>
      <c r="AZ124" s="90"/>
      <c r="BA124" s="90"/>
      <c r="BB124" s="90"/>
      <c r="BC124" s="90"/>
      <c r="BD124" s="90"/>
      <c r="BE124" s="90"/>
      <c r="BF124" s="90"/>
      <c r="BG124" s="90"/>
      <c r="BH124" s="90"/>
      <c r="BI124" s="90"/>
      <c r="BJ124" s="90"/>
      <c r="BK124" s="90"/>
      <c r="BL124" s="90"/>
      <c r="BM124" s="90"/>
      <c r="BN124" s="90"/>
      <c r="BO124" s="90"/>
      <c r="BP124" s="90"/>
    </row>
    <row r="125" ht="12.75" customHeight="1" outlineLevel="1">
      <c r="A125" s="90" t="s">
        <v>293</v>
      </c>
      <c r="B125" s="90"/>
      <c r="C125" s="102">
        <f>'RSGen 1-7'!N$273</f>
        <v>3059167.2</v>
      </c>
      <c r="D125" s="102">
        <f>OFFSET(RSGen_Walton!$G$7,0,ROW(C125)-ROW($C$118))</f>
        <v>3059167.2</v>
      </c>
      <c r="E125" s="102">
        <f>OFFSET(RSGen_none!$G$7,0,ROW(D125)-ROW($C$118))</f>
        <v>3059167.2</v>
      </c>
      <c r="F125" s="102"/>
      <c r="G125" s="102"/>
      <c r="H125" s="305"/>
      <c r="I125" s="305"/>
      <c r="J125" s="305"/>
      <c r="K125" s="306"/>
      <c r="L125" s="306"/>
      <c r="M125" s="306"/>
      <c r="N125" s="306"/>
      <c r="O125" s="306"/>
      <c r="P125" s="306"/>
      <c r="Q125" s="306"/>
      <c r="R125" s="306"/>
      <c r="S125" s="102">
        <f t="shared" ref="S125:AL125" si="70">S$107*(MAX(0,MIN(S13,SUM(S13:S$15)-$E$4))*$E125+MAX(0,MIN(S13,$D$4-SUM(S14:S$15)))*$C125+(S13-(MAX(0,MIN(S13,SUM(S13:S$15)-$E$4))+MAX(0,MIN(S13,$D$4-SUM(S14:S$15)))))*$D125)</f>
        <v>6890468.201</v>
      </c>
      <c r="T125" s="102">
        <f t="shared" si="70"/>
        <v>10542416.35</v>
      </c>
      <c r="U125" s="102">
        <f t="shared" si="70"/>
        <v>17922107.79</v>
      </c>
      <c r="V125" s="102">
        <f t="shared" si="70"/>
        <v>29248879.92</v>
      </c>
      <c r="W125" s="102">
        <f t="shared" si="70"/>
        <v>48480018.46</v>
      </c>
      <c r="X125" s="102">
        <f t="shared" si="70"/>
        <v>83683970.33</v>
      </c>
      <c r="Y125" s="102">
        <f t="shared" si="70"/>
        <v>131916367.8</v>
      </c>
      <c r="Z125" s="102">
        <f t="shared" si="70"/>
        <v>178087096.5</v>
      </c>
      <c r="AA125" s="102">
        <f t="shared" si="70"/>
        <v>181648838.4</v>
      </c>
      <c r="AB125" s="102">
        <f t="shared" si="70"/>
        <v>271746662.3</v>
      </c>
      <c r="AC125" s="102">
        <f t="shared" si="70"/>
        <v>335977691.5</v>
      </c>
      <c r="AD125" s="102">
        <f t="shared" si="70"/>
        <v>608287610.5</v>
      </c>
      <c r="AE125" s="102">
        <f t="shared" si="70"/>
        <v>843292246.5</v>
      </c>
      <c r="AF125" s="102">
        <f t="shared" si="70"/>
        <v>1078540198</v>
      </c>
      <c r="AG125" s="102">
        <f t="shared" si="70"/>
        <v>1241034312</v>
      </c>
      <c r="AH125" s="102">
        <f t="shared" si="70"/>
        <v>1502333404</v>
      </c>
      <c r="AI125" s="102">
        <f t="shared" si="70"/>
        <v>1655348843</v>
      </c>
      <c r="AJ125" s="102">
        <f t="shared" si="70"/>
        <v>1664335023</v>
      </c>
      <c r="AK125" s="102">
        <f t="shared" si="70"/>
        <v>1338414808</v>
      </c>
      <c r="AL125" s="102">
        <f t="shared" si="70"/>
        <v>165628832.5</v>
      </c>
      <c r="AM125" s="102">
        <f t="shared" ref="AM125:AV125" si="71">$D125*AM$107*AM13</f>
        <v>0</v>
      </c>
      <c r="AN125" s="102">
        <f t="shared" si="71"/>
        <v>0</v>
      </c>
      <c r="AO125" s="102">
        <f t="shared" si="71"/>
        <v>0</v>
      </c>
      <c r="AP125" s="102">
        <f t="shared" si="71"/>
        <v>0</v>
      </c>
      <c r="AQ125" s="102">
        <f t="shared" si="71"/>
        <v>0</v>
      </c>
      <c r="AR125" s="102">
        <f t="shared" si="71"/>
        <v>0</v>
      </c>
      <c r="AS125" s="102">
        <f t="shared" si="71"/>
        <v>0</v>
      </c>
      <c r="AT125" s="102">
        <f t="shared" si="71"/>
        <v>0</v>
      </c>
      <c r="AU125" s="102">
        <f t="shared" si="71"/>
        <v>0</v>
      </c>
      <c r="AV125" s="102" t="str">
        <f t="shared" si="71"/>
        <v>#REF!</v>
      </c>
      <c r="AW125" s="90"/>
      <c r="AX125" s="90"/>
      <c r="AY125" s="90"/>
      <c r="AZ125" s="90"/>
      <c r="BA125" s="90"/>
      <c r="BB125" s="90"/>
      <c r="BC125" s="90"/>
      <c r="BD125" s="90"/>
      <c r="BE125" s="90"/>
      <c r="BF125" s="90"/>
      <c r="BG125" s="90"/>
      <c r="BH125" s="90"/>
      <c r="BI125" s="90"/>
      <c r="BJ125" s="90"/>
      <c r="BK125" s="90"/>
      <c r="BL125" s="90"/>
      <c r="BM125" s="90"/>
      <c r="BN125" s="90"/>
      <c r="BO125" s="90"/>
      <c r="BP125" s="90"/>
    </row>
    <row r="126" ht="12.75" customHeight="1" outlineLevel="1">
      <c r="A126" s="90" t="s">
        <v>294</v>
      </c>
      <c r="B126" s="90"/>
      <c r="C126" s="102">
        <f>'RSGen 1-7'!O$273</f>
        <v>3052489.2</v>
      </c>
      <c r="D126" s="102">
        <f>OFFSET(RSGen_Walton!$G$7,0,ROW(C126)-ROW($C$118))</f>
        <v>3052489.2</v>
      </c>
      <c r="E126" s="102">
        <f>OFFSET(RSGen_none!$G$7,0,ROW(D126)-ROW($C$118))</f>
        <v>3052489.2</v>
      </c>
      <c r="F126" s="102"/>
      <c r="G126" s="102"/>
      <c r="H126" s="305"/>
      <c r="I126" s="305"/>
      <c r="J126" s="305"/>
      <c r="K126" s="306"/>
      <c r="L126" s="306"/>
      <c r="M126" s="306"/>
      <c r="N126" s="306"/>
      <c r="O126" s="306"/>
      <c r="P126" s="306"/>
      <c r="Q126" s="306"/>
      <c r="R126" s="306"/>
      <c r="S126" s="306"/>
      <c r="T126" s="102">
        <f t="shared" ref="T126:AL126" si="72">T$107*(MAX(0,MIN(T14,SUM(T14:T$15)-$E$4))*$E126+MAX(0,MIN(T14,$D$4-SUM(T$15:T15)))*$C126+(T14-(MAX(0,MIN(T14,SUM(T14:T$15)-$E$4))+MAX(0,MIN(T14,$D$4-SUM(T$15:T15)))))*$D126)</f>
        <v>7012935.208</v>
      </c>
      <c r="U126" s="102">
        <f t="shared" si="72"/>
        <v>10729790.87</v>
      </c>
      <c r="V126" s="102">
        <f t="shared" si="72"/>
        <v>18240644.47</v>
      </c>
      <c r="W126" s="102">
        <f t="shared" si="72"/>
        <v>29768731.78</v>
      </c>
      <c r="X126" s="102">
        <f t="shared" si="72"/>
        <v>49341672.93</v>
      </c>
      <c r="Y126" s="102">
        <f t="shared" si="72"/>
        <v>85171318.5</v>
      </c>
      <c r="Z126" s="102">
        <f t="shared" si="72"/>
        <v>134260969.4</v>
      </c>
      <c r="AA126" s="102">
        <f t="shared" si="72"/>
        <v>181252308.6</v>
      </c>
      <c r="AB126" s="102">
        <f t="shared" si="72"/>
        <v>184877354.8</v>
      </c>
      <c r="AC126" s="102">
        <f t="shared" si="72"/>
        <v>276576522.8</v>
      </c>
      <c r="AD126" s="102">
        <f t="shared" si="72"/>
        <v>341949155.4</v>
      </c>
      <c r="AE126" s="102">
        <f t="shared" si="72"/>
        <v>619098945.9</v>
      </c>
      <c r="AF126" s="102">
        <f t="shared" si="72"/>
        <v>858280411.9</v>
      </c>
      <c r="AG126" s="102">
        <f t="shared" si="72"/>
        <v>1097709517</v>
      </c>
      <c r="AH126" s="102">
        <f t="shared" si="72"/>
        <v>1263091703</v>
      </c>
      <c r="AI126" s="102">
        <f t="shared" si="72"/>
        <v>1529034968</v>
      </c>
      <c r="AJ126" s="102">
        <f t="shared" si="72"/>
        <v>1684770011</v>
      </c>
      <c r="AK126" s="102">
        <f t="shared" si="72"/>
        <v>1693915905</v>
      </c>
      <c r="AL126" s="102">
        <f t="shared" si="72"/>
        <v>1362202982</v>
      </c>
      <c r="AM126" s="102">
        <f t="shared" ref="AM126:AV126" si="73">$D126*AM$107*AM14</f>
        <v>168572619</v>
      </c>
      <c r="AN126" s="102">
        <f t="shared" si="73"/>
        <v>0</v>
      </c>
      <c r="AO126" s="102">
        <f t="shared" si="73"/>
        <v>0</v>
      </c>
      <c r="AP126" s="102">
        <f t="shared" si="73"/>
        <v>0</v>
      </c>
      <c r="AQ126" s="102">
        <f t="shared" si="73"/>
        <v>0</v>
      </c>
      <c r="AR126" s="102">
        <f t="shared" si="73"/>
        <v>0</v>
      </c>
      <c r="AS126" s="102">
        <f t="shared" si="73"/>
        <v>0</v>
      </c>
      <c r="AT126" s="102">
        <f t="shared" si="73"/>
        <v>0</v>
      </c>
      <c r="AU126" s="102">
        <f t="shared" si="73"/>
        <v>0</v>
      </c>
      <c r="AV126" s="102">
        <f t="shared" si="73"/>
        <v>0</v>
      </c>
      <c r="AW126" s="90"/>
      <c r="AX126" s="90"/>
      <c r="AY126" s="90"/>
      <c r="AZ126" s="90"/>
      <c r="BA126" s="90"/>
      <c r="BB126" s="90"/>
      <c r="BC126" s="90"/>
      <c r="BD126" s="90"/>
      <c r="BE126" s="90"/>
      <c r="BF126" s="90"/>
      <c r="BG126" s="90"/>
      <c r="BH126" s="90"/>
      <c r="BI126" s="90"/>
      <c r="BJ126" s="90"/>
      <c r="BK126" s="90"/>
      <c r="BL126" s="90"/>
      <c r="BM126" s="90"/>
      <c r="BN126" s="90"/>
      <c r="BO126" s="90"/>
      <c r="BP126" s="90"/>
    </row>
    <row r="127" ht="12.75" customHeight="1" outlineLevel="1">
      <c r="A127" s="90" t="s">
        <v>589</v>
      </c>
      <c r="B127" s="90"/>
      <c r="C127" s="102">
        <f>'RSGen 1-7'!P$273</f>
        <v>3045811.2</v>
      </c>
      <c r="D127" s="102">
        <f>OFFSET(RSGen_Walton!$G$7,0,ROW(C127)-ROW($C$118))</f>
        <v>3045811.2</v>
      </c>
      <c r="E127" s="102">
        <f>OFFSET(RSGen_none!$G$7,0,ROW(D127)-ROW($C$118))</f>
        <v>3045811.2</v>
      </c>
      <c r="F127" s="102"/>
      <c r="G127" s="102"/>
      <c r="H127" s="305"/>
      <c r="I127" s="305"/>
      <c r="J127" s="305"/>
      <c r="K127" s="306"/>
      <c r="L127" s="306"/>
      <c r="M127" s="306"/>
      <c r="N127" s="306"/>
      <c r="O127" s="306"/>
      <c r="P127" s="306"/>
      <c r="Q127" s="306"/>
      <c r="R127" s="306"/>
      <c r="S127" s="306"/>
      <c r="T127" s="306"/>
      <c r="U127" s="203">
        <f t="shared" ref="U127:AL127" si="74">U$107*($C127*MIN($D$4-3,U15-3)+$D127*MIN($E$4-$D$4,MAX(0,U15-$D$4))+$E127*MAX(0,U15-$E$4))</f>
        <v>7137544.707</v>
      </c>
      <c r="V127" s="203">
        <f t="shared" si="74"/>
        <v>18200739</v>
      </c>
      <c r="W127" s="203">
        <f t="shared" si="74"/>
        <v>37129507.56</v>
      </c>
      <c r="X127" s="203">
        <f t="shared" si="74"/>
        <v>68169775.89</v>
      </c>
      <c r="Y127" s="203">
        <f t="shared" si="74"/>
        <v>119751573</v>
      </c>
      <c r="Z127" s="203">
        <f t="shared" si="74"/>
        <v>208831291.5</v>
      </c>
      <c r="AA127" s="203">
        <f t="shared" si="74"/>
        <v>349654505.7</v>
      </c>
      <c r="AB127" s="203">
        <f t="shared" si="74"/>
        <v>541120490.3</v>
      </c>
      <c r="AC127" s="203">
        <f t="shared" si="74"/>
        <v>740105252.4</v>
      </c>
      <c r="AD127" s="203">
        <f t="shared" si="74"/>
        <v>1036398236</v>
      </c>
      <c r="AE127" s="203">
        <f t="shared" si="74"/>
        <v>1405151288</v>
      </c>
      <c r="AF127" s="203">
        <f t="shared" si="74"/>
        <v>2063353733</v>
      </c>
      <c r="AG127" s="203">
        <f t="shared" si="74"/>
        <v>2978151595</v>
      </c>
      <c r="AH127" s="203">
        <f t="shared" si="74"/>
        <v>4154928821</v>
      </c>
      <c r="AI127" s="203">
        <f t="shared" si="74"/>
        <v>5523562375</v>
      </c>
      <c r="AJ127" s="203">
        <f t="shared" si="74"/>
        <v>7190237283</v>
      </c>
      <c r="AK127" s="203">
        <f t="shared" si="74"/>
        <v>9048747913</v>
      </c>
      <c r="AL127" s="203">
        <f t="shared" si="74"/>
        <v>10953737160</v>
      </c>
      <c r="AM127" s="102">
        <f t="shared" ref="AM127:AV127" si="75">$C127*AM$107*(4)+$D127*AM$107*(AM15-7)</f>
        <v>12559219220</v>
      </c>
      <c r="AN127" s="102">
        <f t="shared" si="75"/>
        <v>12981971509</v>
      </c>
      <c r="AO127" s="102">
        <f t="shared" si="75"/>
        <v>13241610940</v>
      </c>
      <c r="AP127" s="102">
        <f t="shared" si="75"/>
        <v>13506443158</v>
      </c>
      <c r="AQ127" s="102">
        <f t="shared" si="75"/>
        <v>13776572021</v>
      </c>
      <c r="AR127" s="102">
        <f t="shared" si="75"/>
        <v>14052103462</v>
      </c>
      <c r="AS127" s="102">
        <f t="shared" si="75"/>
        <v>14333145531</v>
      </c>
      <c r="AT127" s="102">
        <f t="shared" si="75"/>
        <v>14619808442</v>
      </c>
      <c r="AU127" s="102">
        <f t="shared" si="75"/>
        <v>14912204611</v>
      </c>
      <c r="AV127" s="102">
        <f t="shared" si="75"/>
        <v>15210448703</v>
      </c>
      <c r="AW127" s="90"/>
      <c r="AX127" s="90"/>
      <c r="AY127" s="90"/>
      <c r="AZ127" s="90"/>
      <c r="BA127" s="90"/>
      <c r="BB127" s="90"/>
      <c r="BC127" s="90"/>
      <c r="BD127" s="90"/>
      <c r="BE127" s="90"/>
      <c r="BF127" s="90"/>
      <c r="BG127" s="90"/>
      <c r="BH127" s="90"/>
      <c r="BI127" s="90"/>
      <c r="BJ127" s="90"/>
      <c r="BK127" s="90"/>
      <c r="BL127" s="90"/>
      <c r="BM127" s="90"/>
      <c r="BN127" s="90"/>
      <c r="BO127" s="90"/>
      <c r="BP127" s="90"/>
    </row>
    <row r="128" ht="13.5" customHeight="1" outlineLevel="1">
      <c r="A128" s="298" t="s">
        <v>590</v>
      </c>
      <c r="B128" s="298"/>
      <c r="C128" s="307"/>
      <c r="D128" s="307"/>
      <c r="E128" s="307"/>
      <c r="F128" s="307"/>
      <c r="G128" s="307"/>
      <c r="H128" s="307">
        <f>SUM(H119:H127)</f>
        <v>0</v>
      </c>
      <c r="I128" s="307">
        <f>SUM(I118:I127)</f>
        <v>0</v>
      </c>
      <c r="J128" s="307"/>
      <c r="K128" s="307">
        <f t="shared" ref="K128:AV128" si="76">SUM(K118:K127)</f>
        <v>0</v>
      </c>
      <c r="L128" s="307">
        <f t="shared" si="76"/>
        <v>0</v>
      </c>
      <c r="M128" s="307">
        <f t="shared" si="76"/>
        <v>0</v>
      </c>
      <c r="N128" s="307">
        <f t="shared" si="76"/>
        <v>4877402.829</v>
      </c>
      <c r="O128" s="307">
        <f t="shared" si="76"/>
        <v>13289060.73</v>
      </c>
      <c r="P128" s="307">
        <f t="shared" si="76"/>
        <v>28042075.26</v>
      </c>
      <c r="Q128" s="307">
        <f t="shared" si="76"/>
        <v>52302978.31</v>
      </c>
      <c r="R128" s="307">
        <f t="shared" si="76"/>
        <v>92588665.08</v>
      </c>
      <c r="S128" s="307">
        <f t="shared" si="76"/>
        <v>163398153.9</v>
      </c>
      <c r="T128" s="307">
        <f t="shared" si="76"/>
        <v>274954274.1</v>
      </c>
      <c r="U128" s="307">
        <f t="shared" si="76"/>
        <v>430324160.5</v>
      </c>
      <c r="V128" s="307">
        <f t="shared" si="76"/>
        <v>600632825.4</v>
      </c>
      <c r="W128" s="307">
        <f t="shared" si="76"/>
        <v>842534591.3</v>
      </c>
      <c r="X128" s="307">
        <f t="shared" si="76"/>
        <v>1146561023</v>
      </c>
      <c r="Y128" s="307">
        <f t="shared" si="76"/>
        <v>1665596449</v>
      </c>
      <c r="Z128" s="307">
        <f t="shared" si="76"/>
        <v>2401644512</v>
      </c>
      <c r="AA128" s="307">
        <f t="shared" si="76"/>
        <v>3369540015</v>
      </c>
      <c r="AB128" s="307">
        <f t="shared" si="76"/>
        <v>4519763895</v>
      </c>
      <c r="AC128" s="307">
        <f t="shared" si="76"/>
        <v>5916882191</v>
      </c>
      <c r="AD128" s="307">
        <f t="shared" si="76"/>
        <v>7494923252</v>
      </c>
      <c r="AE128" s="307">
        <f t="shared" si="76"/>
        <v>9147713763</v>
      </c>
      <c r="AF128" s="307">
        <f t="shared" si="76"/>
        <v>10611511439</v>
      </c>
      <c r="AG128" s="307">
        <f t="shared" si="76"/>
        <v>11224514567</v>
      </c>
      <c r="AH128" s="307">
        <f t="shared" si="76"/>
        <v>11559339012</v>
      </c>
      <c r="AI128" s="307">
        <f t="shared" si="76"/>
        <v>11792340405</v>
      </c>
      <c r="AJ128" s="307">
        <f t="shared" si="76"/>
        <v>12014472993</v>
      </c>
      <c r="AK128" s="307">
        <f t="shared" si="76"/>
        <v>12243831184</v>
      </c>
      <c r="AL128" s="307">
        <f t="shared" si="76"/>
        <v>12481568974</v>
      </c>
      <c r="AM128" s="307">
        <f t="shared" si="76"/>
        <v>12727791839</v>
      </c>
      <c r="AN128" s="307">
        <f t="shared" si="76"/>
        <v>12981971509</v>
      </c>
      <c r="AO128" s="307" t="str">
        <f t="shared" si="76"/>
        <v>#REF!</v>
      </c>
      <c r="AP128" s="307" t="str">
        <f t="shared" si="76"/>
        <v>#REF!</v>
      </c>
      <c r="AQ128" s="307" t="str">
        <f t="shared" si="76"/>
        <v>#REF!</v>
      </c>
      <c r="AR128" s="307" t="str">
        <f t="shared" si="76"/>
        <v>#REF!</v>
      </c>
      <c r="AS128" s="307" t="str">
        <f t="shared" si="76"/>
        <v>#REF!</v>
      </c>
      <c r="AT128" s="307" t="str">
        <f t="shared" si="76"/>
        <v>#REF!</v>
      </c>
      <c r="AU128" s="307" t="str">
        <f t="shared" si="76"/>
        <v>#REF!</v>
      </c>
      <c r="AV128" s="307" t="str">
        <f t="shared" si="76"/>
        <v>#REF!</v>
      </c>
      <c r="AW128" s="90"/>
      <c r="AX128" s="90"/>
      <c r="AY128" s="90"/>
      <c r="AZ128" s="90"/>
      <c r="BA128" s="90"/>
      <c r="BB128" s="90"/>
      <c r="BC128" s="90"/>
      <c r="BD128" s="90"/>
      <c r="BE128" s="90"/>
      <c r="BF128" s="90"/>
      <c r="BG128" s="90"/>
      <c r="BH128" s="90"/>
      <c r="BI128" s="90"/>
      <c r="BJ128" s="90"/>
      <c r="BK128" s="90"/>
      <c r="BL128" s="90"/>
      <c r="BM128" s="90"/>
      <c r="BN128" s="90"/>
      <c r="BO128" s="90"/>
      <c r="BP128" s="90"/>
    </row>
    <row r="129" ht="13.5" customHeight="1" outlineLevel="1">
      <c r="A129" s="90"/>
      <c r="B129" s="90"/>
      <c r="C129" s="102"/>
      <c r="D129" s="102"/>
      <c r="E129" s="102"/>
      <c r="F129" s="102"/>
      <c r="G129" s="102"/>
      <c r="H129" s="89"/>
      <c r="I129" s="89"/>
      <c r="J129" s="89"/>
      <c r="K129" s="102"/>
      <c r="L129" s="102"/>
      <c r="N129" s="102"/>
      <c r="O129" s="102"/>
      <c r="P129" s="102"/>
      <c r="Q129" s="102"/>
      <c r="R129" s="102"/>
      <c r="S129" s="102"/>
      <c r="T129" s="102"/>
      <c r="U129" s="102"/>
      <c r="V129" s="102"/>
      <c r="W129" s="102"/>
      <c r="X129" s="102"/>
      <c r="Y129" s="102"/>
      <c r="Z129" s="102"/>
      <c r="AA129" s="102"/>
      <c r="AB129" s="102"/>
      <c r="AC129" s="102"/>
      <c r="AD129" s="102"/>
      <c r="AE129" s="102"/>
      <c r="AF129" s="102"/>
      <c r="AG129" s="102"/>
      <c r="AH129" s="102"/>
      <c r="AI129" s="102"/>
      <c r="AJ129" s="102"/>
      <c r="AK129" s="102"/>
      <c r="AL129" s="102"/>
      <c r="AM129" s="102"/>
      <c r="AN129" s="102"/>
      <c r="AO129" s="102"/>
      <c r="AP129" s="102"/>
      <c r="AQ129" s="102"/>
      <c r="AR129" s="102"/>
      <c r="AS129" s="102"/>
      <c r="AT129" s="102"/>
      <c r="AU129" s="102"/>
      <c r="AV129" s="102"/>
      <c r="AW129" s="90"/>
      <c r="AX129" s="90"/>
      <c r="AY129" s="90"/>
      <c r="AZ129" s="90"/>
      <c r="BA129" s="90"/>
      <c r="BB129" s="90"/>
      <c r="BC129" s="90"/>
      <c r="BD129" s="90"/>
      <c r="BE129" s="90"/>
      <c r="BF129" s="90"/>
      <c r="BG129" s="90"/>
      <c r="BH129" s="90"/>
      <c r="BI129" s="90"/>
      <c r="BJ129" s="90"/>
      <c r="BK129" s="90"/>
      <c r="BL129" s="90"/>
      <c r="BM129" s="90"/>
      <c r="BN129" s="90"/>
      <c r="BO129" s="90"/>
      <c r="BP129" s="90"/>
    </row>
    <row r="130" ht="12.75" customHeight="1" outlineLevel="1">
      <c r="A130" s="90" t="s">
        <v>545</v>
      </c>
      <c r="B130" s="90"/>
      <c r="C130" s="102"/>
      <c r="D130" s="102"/>
      <c r="E130" s="102"/>
      <c r="F130" s="102"/>
      <c r="G130" s="102"/>
      <c r="H130" s="90"/>
      <c r="I130" s="90"/>
      <c r="J130" s="90"/>
      <c r="K130" s="90"/>
      <c r="L130" s="90"/>
      <c r="M130" s="90"/>
      <c r="N130" s="102"/>
      <c r="O130" s="102"/>
      <c r="P130" s="102"/>
      <c r="Q130" s="102"/>
      <c r="R130" s="102"/>
      <c r="S130" s="102"/>
      <c r="T130" s="102"/>
      <c r="U130" s="102"/>
      <c r="V130" s="102"/>
      <c r="W130" s="102"/>
      <c r="X130" s="102"/>
      <c r="Y130" s="102"/>
      <c r="Z130" s="102"/>
      <c r="AA130" s="102"/>
      <c r="AB130" s="102"/>
      <c r="AC130" s="102"/>
      <c r="AD130" s="102"/>
      <c r="AE130" s="102"/>
      <c r="AF130" s="102"/>
      <c r="AG130" s="102"/>
      <c r="AH130" s="102"/>
      <c r="AI130" s="102"/>
      <c r="AJ130" s="102"/>
      <c r="AK130" s="102"/>
      <c r="AL130" s="102"/>
      <c r="AM130" s="102"/>
      <c r="AN130" s="102"/>
      <c r="AO130" s="102"/>
      <c r="AP130" s="102"/>
      <c r="AQ130" s="102"/>
      <c r="AR130" s="102"/>
      <c r="AS130" s="102"/>
      <c r="AT130" s="102"/>
      <c r="AU130" s="102"/>
      <c r="AV130" s="102"/>
      <c r="AW130" s="90"/>
      <c r="AX130" s="90"/>
      <c r="AY130" s="90"/>
      <c r="AZ130" s="90"/>
      <c r="BA130" s="90"/>
      <c r="BB130" s="90"/>
      <c r="BC130" s="90"/>
      <c r="BD130" s="90"/>
      <c r="BE130" s="90"/>
      <c r="BF130" s="90"/>
      <c r="BG130" s="90"/>
      <c r="BH130" s="90"/>
      <c r="BI130" s="90"/>
      <c r="BJ130" s="90"/>
      <c r="BK130" s="90"/>
      <c r="BL130" s="90"/>
      <c r="BM130" s="90"/>
      <c r="BN130" s="90"/>
      <c r="BO130" s="90"/>
      <c r="BP130" s="90"/>
    </row>
    <row r="131" ht="12.75" customHeight="1" outlineLevel="1">
      <c r="A131" s="90" t="s">
        <v>286</v>
      </c>
      <c r="B131" s="90"/>
      <c r="C131" s="102">
        <f>'RSGen 1-7'!G282</f>
        <v>0</v>
      </c>
      <c r="D131" s="102">
        <f>OFFSET(RSGen_Walton!$G$8,0,ROW(C131)-ROW($C$131))</f>
        <v>0</v>
      </c>
      <c r="E131" s="102">
        <f>OFFSET(RSGen_none!$G$8,0,ROW(D131)-ROW($C$131))</f>
        <v>0</v>
      </c>
      <c r="F131" s="102"/>
      <c r="G131" s="102"/>
      <c r="H131" s="90"/>
      <c r="I131" s="90"/>
      <c r="J131" s="90"/>
      <c r="K131" s="90"/>
      <c r="L131" s="102">
        <f>$C131*L$108*L6</f>
        <v>0</v>
      </c>
      <c r="M131" s="102"/>
      <c r="N131" s="102"/>
      <c r="O131" s="102">
        <f t="shared" ref="O131:AV131" si="77">$D131*O$108*O6</f>
        <v>0</v>
      </c>
      <c r="P131" s="102">
        <f t="shared" si="77"/>
        <v>0</v>
      </c>
      <c r="Q131" s="102">
        <f t="shared" si="77"/>
        <v>0</v>
      </c>
      <c r="R131" s="102">
        <f t="shared" si="77"/>
        <v>0</v>
      </c>
      <c r="S131" s="102">
        <f t="shared" si="77"/>
        <v>0</v>
      </c>
      <c r="T131" s="102">
        <f t="shared" si="77"/>
        <v>0</v>
      </c>
      <c r="U131" s="102">
        <f t="shared" si="77"/>
        <v>0</v>
      </c>
      <c r="V131" s="102">
        <f t="shared" si="77"/>
        <v>0</v>
      </c>
      <c r="W131" s="102">
        <f t="shared" si="77"/>
        <v>0</v>
      </c>
      <c r="X131" s="102">
        <f t="shared" si="77"/>
        <v>0</v>
      </c>
      <c r="Y131" s="102">
        <f t="shared" si="77"/>
        <v>0</v>
      </c>
      <c r="Z131" s="102">
        <f t="shared" si="77"/>
        <v>0</v>
      </c>
      <c r="AA131" s="102">
        <f t="shared" si="77"/>
        <v>0</v>
      </c>
      <c r="AB131" s="102">
        <f t="shared" si="77"/>
        <v>0</v>
      </c>
      <c r="AC131" s="102">
        <f t="shared" si="77"/>
        <v>0</v>
      </c>
      <c r="AD131" s="102">
        <f t="shared" si="77"/>
        <v>0</v>
      </c>
      <c r="AE131" s="102">
        <f t="shared" si="77"/>
        <v>0</v>
      </c>
      <c r="AF131" s="102">
        <f t="shared" si="77"/>
        <v>0</v>
      </c>
      <c r="AG131" s="102">
        <f t="shared" si="77"/>
        <v>0</v>
      </c>
      <c r="AH131" s="102">
        <f t="shared" si="77"/>
        <v>0</v>
      </c>
      <c r="AI131" s="102">
        <f t="shared" si="77"/>
        <v>0</v>
      </c>
      <c r="AJ131" s="102">
        <f t="shared" si="77"/>
        <v>0</v>
      </c>
      <c r="AK131" s="102">
        <f t="shared" si="77"/>
        <v>0</v>
      </c>
      <c r="AL131" s="102">
        <f t="shared" si="77"/>
        <v>0</v>
      </c>
      <c r="AM131" s="102">
        <f t="shared" si="77"/>
        <v>0</v>
      </c>
      <c r="AN131" s="102">
        <f t="shared" si="77"/>
        <v>0</v>
      </c>
      <c r="AO131" s="102" t="str">
        <f t="shared" si="77"/>
        <v>#REF!</v>
      </c>
      <c r="AP131" s="102" t="str">
        <f t="shared" si="77"/>
        <v>#REF!</v>
      </c>
      <c r="AQ131" s="102" t="str">
        <f t="shared" si="77"/>
        <v>#REF!</v>
      </c>
      <c r="AR131" s="102" t="str">
        <f t="shared" si="77"/>
        <v>#REF!</v>
      </c>
      <c r="AS131" s="102" t="str">
        <f t="shared" si="77"/>
        <v>#REF!</v>
      </c>
      <c r="AT131" s="102">
        <f t="shared" si="77"/>
        <v>0</v>
      </c>
      <c r="AU131" s="102">
        <f t="shared" si="77"/>
        <v>0</v>
      </c>
      <c r="AV131" s="102">
        <f t="shared" si="77"/>
        <v>0</v>
      </c>
      <c r="AW131" s="90"/>
      <c r="AX131" s="90"/>
      <c r="AY131" s="90"/>
      <c r="AZ131" s="90"/>
      <c r="BA131" s="90"/>
      <c r="BB131" s="90"/>
      <c r="BC131" s="90"/>
      <c r="BD131" s="90"/>
      <c r="BE131" s="90"/>
      <c r="BF131" s="90"/>
      <c r="BG131" s="90"/>
      <c r="BH131" s="90"/>
      <c r="BI131" s="90"/>
      <c r="BJ131" s="90"/>
      <c r="BK131" s="90"/>
      <c r="BL131" s="90"/>
      <c r="BM131" s="90"/>
      <c r="BN131" s="90"/>
      <c r="BO131" s="90"/>
      <c r="BP131" s="90"/>
    </row>
    <row r="132" ht="12.75" customHeight="1" outlineLevel="1">
      <c r="A132" s="90" t="s">
        <v>287</v>
      </c>
      <c r="B132" s="90"/>
      <c r="C132" s="102">
        <f>'RSGen 1-7'!H$282</f>
        <v>200000</v>
      </c>
      <c r="D132" s="102">
        <f>OFFSET(RSGen_Walton!$G$8,0,ROW(C132)-ROW($C$131))</f>
        <v>200000</v>
      </c>
      <c r="E132" s="102">
        <f>OFFSET(RSGen_none!$G$8,0,ROW(D132)-ROW($C$131))</f>
        <v>200000</v>
      </c>
      <c r="F132" s="102"/>
      <c r="G132" s="102"/>
      <c r="H132" s="305"/>
      <c r="I132" s="305"/>
      <c r="J132" s="305"/>
      <c r="K132" s="306"/>
      <c r="L132" s="306"/>
      <c r="M132" s="102">
        <f t="shared" ref="M132:AL132" si="78">M$108*(MAX(0,MIN(M7,SUM(M7:M$15)-$E$4))*$E132+MAX(0,MIN(M7,$D$4-SUM(M8:M$15)))*$C132+(M7-(MAX(0,MIN(M7,SUM(M7:M$15)-$E$4))+MAX(0,MIN(M7,$D$4-SUM(M8:M$15)))))*$D132)</f>
        <v>400000</v>
      </c>
      <c r="N132" s="102">
        <f t="shared" si="78"/>
        <v>612000</v>
      </c>
      <c r="O132" s="102">
        <f t="shared" si="78"/>
        <v>1040400</v>
      </c>
      <c r="P132" s="102">
        <f t="shared" si="78"/>
        <v>1697932.8</v>
      </c>
      <c r="Q132" s="102">
        <f t="shared" si="78"/>
        <v>2814323.616</v>
      </c>
      <c r="R132" s="102">
        <f t="shared" si="78"/>
        <v>4857955.534</v>
      </c>
      <c r="S132" s="102">
        <f t="shared" si="78"/>
        <v>7657904.451</v>
      </c>
      <c r="T132" s="102">
        <f t="shared" si="78"/>
        <v>10338171.01</v>
      </c>
      <c r="U132" s="102">
        <f t="shared" si="78"/>
        <v>10544934.43</v>
      </c>
      <c r="V132" s="102">
        <f t="shared" si="78"/>
        <v>15775221.91</v>
      </c>
      <c r="W132" s="102">
        <f t="shared" si="78"/>
        <v>19503910.72</v>
      </c>
      <c r="X132" s="102">
        <f t="shared" si="78"/>
        <v>35311830.36</v>
      </c>
      <c r="Y132" s="102">
        <f t="shared" si="78"/>
        <v>48954133.27</v>
      </c>
      <c r="Z132" s="102">
        <f t="shared" si="78"/>
        <v>62610560.91</v>
      </c>
      <c r="AA132" s="102">
        <f t="shared" si="78"/>
        <v>72043540.46</v>
      </c>
      <c r="AB132" s="102">
        <f t="shared" si="78"/>
        <v>87212268.32</v>
      </c>
      <c r="AC132" s="102">
        <f t="shared" si="78"/>
        <v>96094999.36</v>
      </c>
      <c r="AD132" s="102">
        <f t="shared" si="78"/>
        <v>96616657.92</v>
      </c>
      <c r="AE132" s="102">
        <f t="shared" si="78"/>
        <v>77696595.87</v>
      </c>
      <c r="AF132" s="102">
        <f t="shared" si="78"/>
        <v>9614953.739</v>
      </c>
      <c r="AG132" s="102">
        <f t="shared" si="78"/>
        <v>0</v>
      </c>
      <c r="AH132" s="102">
        <f t="shared" si="78"/>
        <v>0</v>
      </c>
      <c r="AI132" s="102">
        <f t="shared" si="78"/>
        <v>0</v>
      </c>
      <c r="AJ132" s="102">
        <f t="shared" si="78"/>
        <v>0</v>
      </c>
      <c r="AK132" s="102">
        <f t="shared" si="78"/>
        <v>0</v>
      </c>
      <c r="AL132" s="102">
        <f t="shared" si="78"/>
        <v>0</v>
      </c>
      <c r="AM132" s="102">
        <f t="shared" ref="AM132:AV132" si="79">$D132*AM$108*AM7</f>
        <v>0</v>
      </c>
      <c r="AN132" s="102">
        <f t="shared" si="79"/>
        <v>0</v>
      </c>
      <c r="AO132" s="102">
        <f t="shared" si="79"/>
        <v>0</v>
      </c>
      <c r="AP132" s="102" t="str">
        <f t="shared" si="79"/>
        <v>#REF!</v>
      </c>
      <c r="AQ132" s="102" t="str">
        <f t="shared" si="79"/>
        <v>#REF!</v>
      </c>
      <c r="AR132" s="102" t="str">
        <f t="shared" si="79"/>
        <v>#REF!</v>
      </c>
      <c r="AS132" s="102" t="str">
        <f t="shared" si="79"/>
        <v>#REF!</v>
      </c>
      <c r="AT132" s="102" t="str">
        <f t="shared" si="79"/>
        <v>#REF!</v>
      </c>
      <c r="AU132" s="102">
        <f t="shared" si="79"/>
        <v>0</v>
      </c>
      <c r="AV132" s="102">
        <f t="shared" si="79"/>
        <v>0</v>
      </c>
      <c r="AW132" s="90"/>
      <c r="AX132" s="90"/>
      <c r="AY132" s="90"/>
      <c r="AZ132" s="90"/>
      <c r="BA132" s="90"/>
      <c r="BB132" s="90"/>
      <c r="BC132" s="90"/>
      <c r="BD132" s="90"/>
      <c r="BE132" s="90"/>
      <c r="BF132" s="90"/>
      <c r="BG132" s="90"/>
      <c r="BH132" s="90"/>
      <c r="BI132" s="90"/>
      <c r="BJ132" s="90"/>
      <c r="BK132" s="90"/>
      <c r="BL132" s="90"/>
      <c r="BM132" s="90"/>
      <c r="BN132" s="90"/>
      <c r="BO132" s="90"/>
      <c r="BP132" s="90"/>
    </row>
    <row r="133" ht="12.75" customHeight="1" outlineLevel="1">
      <c r="A133" s="90" t="s">
        <v>288</v>
      </c>
      <c r="B133" s="90"/>
      <c r="C133" s="102">
        <f>'RSGen 1-7'!I$282</f>
        <v>487401.6</v>
      </c>
      <c r="D133" s="102">
        <f>OFFSET(RSGen_Walton!$G$8,0,ROW(C133)-ROW($C$131))</f>
        <v>487401.6</v>
      </c>
      <c r="E133" s="102">
        <f>OFFSET(RSGen_none!$G$8,0,ROW(D133)-ROW($C$131))</f>
        <v>487401.6</v>
      </c>
      <c r="F133" s="102"/>
      <c r="G133" s="102"/>
      <c r="H133" s="305"/>
      <c r="I133" s="305"/>
      <c r="J133" s="305"/>
      <c r="K133" s="306"/>
      <c r="L133" s="306"/>
      <c r="M133" s="306"/>
      <c r="N133" s="102">
        <f t="shared" ref="N133:AL133" si="80">N$108*(MAX(0,MIN(N8,SUM(N8:N$15)-$E$4))*$E133+MAX(0,MIN(N8,$D$4-SUM(N9:N$15)))*$C133+(N8-(MAX(0,MIN(N8,SUM(N8:N$15)-$E$4))+MAX(0,MIN(N8,$D$4-SUM(N9:N$15)))))*$D133)</f>
        <v>994299.264</v>
      </c>
      <c r="O133" s="102">
        <f t="shared" si="80"/>
        <v>1521277.874</v>
      </c>
      <c r="P133" s="102">
        <f t="shared" si="80"/>
        <v>2586172.386</v>
      </c>
      <c r="Q133" s="102">
        <f t="shared" si="80"/>
        <v>4220633.333</v>
      </c>
      <c r="R133" s="102">
        <f t="shared" si="80"/>
        <v>6995699.75</v>
      </c>
      <c r="S133" s="102">
        <f t="shared" si="80"/>
        <v>12075654.03</v>
      </c>
      <c r="T133" s="102">
        <f t="shared" si="80"/>
        <v>19035621.9</v>
      </c>
      <c r="U133" s="102">
        <f t="shared" si="80"/>
        <v>25698089.56</v>
      </c>
      <c r="V133" s="102">
        <f t="shared" si="80"/>
        <v>26212051.35</v>
      </c>
      <c r="W133" s="102">
        <f t="shared" si="80"/>
        <v>39213228.83</v>
      </c>
      <c r="X133" s="102">
        <f t="shared" si="80"/>
        <v>48481810.18</v>
      </c>
      <c r="Y133" s="102">
        <f t="shared" si="80"/>
        <v>87776317.34</v>
      </c>
      <c r="Z133" s="102">
        <f t="shared" si="80"/>
        <v>121687646.7</v>
      </c>
      <c r="AA133" s="102">
        <f t="shared" si="80"/>
        <v>155634086.6</v>
      </c>
      <c r="AB133" s="102">
        <f t="shared" si="80"/>
        <v>179082098.1</v>
      </c>
      <c r="AC133" s="102">
        <f t="shared" si="80"/>
        <v>216787735.5</v>
      </c>
      <c r="AD133" s="102">
        <f t="shared" si="80"/>
        <v>238867967.8</v>
      </c>
      <c r="AE133" s="102">
        <f t="shared" si="80"/>
        <v>240164679.7</v>
      </c>
      <c r="AF133" s="102">
        <f t="shared" si="80"/>
        <v>193134170.2</v>
      </c>
      <c r="AG133" s="102">
        <f t="shared" si="80"/>
        <v>23900353.56</v>
      </c>
      <c r="AH133" s="102">
        <f t="shared" si="80"/>
        <v>0</v>
      </c>
      <c r="AI133" s="102">
        <f t="shared" si="80"/>
        <v>0</v>
      </c>
      <c r="AJ133" s="102">
        <f t="shared" si="80"/>
        <v>0</v>
      </c>
      <c r="AK133" s="102">
        <f t="shared" si="80"/>
        <v>0</v>
      </c>
      <c r="AL133" s="102">
        <f t="shared" si="80"/>
        <v>0</v>
      </c>
      <c r="AM133" s="102">
        <f t="shared" ref="AM133:AV133" si="81">$D133*AM$108*AM8</f>
        <v>0</v>
      </c>
      <c r="AN133" s="102">
        <f t="shared" si="81"/>
        <v>0</v>
      </c>
      <c r="AO133" s="102">
        <f t="shared" si="81"/>
        <v>0</v>
      </c>
      <c r="AP133" s="102">
        <f t="shared" si="81"/>
        <v>0</v>
      </c>
      <c r="AQ133" s="102" t="str">
        <f t="shared" si="81"/>
        <v>#REF!</v>
      </c>
      <c r="AR133" s="102" t="str">
        <f t="shared" si="81"/>
        <v>#REF!</v>
      </c>
      <c r="AS133" s="102" t="str">
        <f t="shared" si="81"/>
        <v>#REF!</v>
      </c>
      <c r="AT133" s="102" t="str">
        <f t="shared" si="81"/>
        <v>#REF!</v>
      </c>
      <c r="AU133" s="102" t="str">
        <f t="shared" si="81"/>
        <v>#REF!</v>
      </c>
      <c r="AV133" s="102">
        <f t="shared" si="81"/>
        <v>0</v>
      </c>
      <c r="AW133" s="90"/>
      <c r="AX133" s="90"/>
      <c r="AY133" s="90"/>
      <c r="AZ133" s="90"/>
      <c r="BA133" s="90"/>
      <c r="BB133" s="90"/>
      <c r="BC133" s="90"/>
      <c r="BD133" s="90"/>
      <c r="BE133" s="90"/>
      <c r="BF133" s="90"/>
      <c r="BG133" s="90"/>
      <c r="BH133" s="90"/>
      <c r="BI133" s="90"/>
      <c r="BJ133" s="90"/>
      <c r="BK133" s="90"/>
      <c r="BL133" s="90"/>
      <c r="BM133" s="90"/>
      <c r="BN133" s="90"/>
      <c r="BO133" s="90"/>
      <c r="BP133" s="90"/>
    </row>
    <row r="134" ht="12.75" customHeight="1" outlineLevel="1">
      <c r="A134" s="90" t="s">
        <v>289</v>
      </c>
      <c r="B134" s="90"/>
      <c r="C134" s="102">
        <f>'RSGen 1-7'!J$282</f>
        <v>429795.2</v>
      </c>
      <c r="D134" s="102">
        <f>OFFSET(RSGen_Walton!$G$8,0,ROW(C134)-ROW($C$131))</f>
        <v>429795.2</v>
      </c>
      <c r="E134" s="102">
        <f>OFFSET(RSGen_none!$G$8,0,ROW(D134)-ROW($C$131))</f>
        <v>429795.2</v>
      </c>
      <c r="F134" s="102"/>
      <c r="G134" s="102"/>
      <c r="H134" s="305"/>
      <c r="I134" s="305"/>
      <c r="J134" s="305"/>
      <c r="K134" s="306"/>
      <c r="L134" s="306"/>
      <c r="M134" s="306"/>
      <c r="N134" s="306"/>
      <c r="O134" s="102">
        <f t="shared" ref="O134:AL134" si="82">O$108*(MAX(0,MIN(O9,SUM(O9:O$15)-$E$4))*$E134+MAX(0,MIN(O9,$D$4-SUM(O10:O$15)))*$C134+(O9-(MAX(0,MIN(O9,SUM(O9:O$15)-$E$4))+MAX(0,MIN(O9,$D$4-SUM(O10:O$15)))))*$D134)</f>
        <v>894317.8522</v>
      </c>
      <c r="P134" s="102">
        <f t="shared" si="82"/>
        <v>1368306.314</v>
      </c>
      <c r="Q134" s="102">
        <f t="shared" si="82"/>
        <v>2326120.733</v>
      </c>
      <c r="R134" s="102">
        <f t="shared" si="82"/>
        <v>3796229.037</v>
      </c>
      <c r="S134" s="102">
        <f t="shared" si="82"/>
        <v>6292249.629</v>
      </c>
      <c r="T134" s="102">
        <f t="shared" si="82"/>
        <v>10861390.9</v>
      </c>
      <c r="U134" s="102">
        <f t="shared" si="82"/>
        <v>17121501.65</v>
      </c>
      <c r="V134" s="102">
        <f t="shared" si="82"/>
        <v>23114027.23</v>
      </c>
      <c r="W134" s="102">
        <f t="shared" si="82"/>
        <v>23576307.77</v>
      </c>
      <c r="X134" s="102">
        <f t="shared" si="82"/>
        <v>35270156.43</v>
      </c>
      <c r="Y134" s="102">
        <f t="shared" si="82"/>
        <v>43606738.86</v>
      </c>
      <c r="Z134" s="102">
        <f t="shared" si="82"/>
        <v>78950000.7</v>
      </c>
      <c r="AA134" s="102">
        <f t="shared" si="82"/>
        <v>109451388.3</v>
      </c>
      <c r="AB134" s="102">
        <f t="shared" si="82"/>
        <v>139984355.9</v>
      </c>
      <c r="AC134" s="102">
        <f t="shared" si="82"/>
        <v>161074560.9</v>
      </c>
      <c r="AD134" s="102">
        <f t="shared" si="82"/>
        <v>194988721.2</v>
      </c>
      <c r="AE134" s="102">
        <f t="shared" si="82"/>
        <v>214848683.6</v>
      </c>
      <c r="AF134" s="102">
        <f t="shared" si="82"/>
        <v>216015005</v>
      </c>
      <c r="AG134" s="102">
        <f t="shared" si="82"/>
        <v>173713631.8</v>
      </c>
      <c r="AH134" s="102">
        <f t="shared" si="82"/>
        <v>21497061.94</v>
      </c>
      <c r="AI134" s="102">
        <f t="shared" si="82"/>
        <v>0</v>
      </c>
      <c r="AJ134" s="102">
        <f t="shared" si="82"/>
        <v>0</v>
      </c>
      <c r="AK134" s="102">
        <f t="shared" si="82"/>
        <v>0</v>
      </c>
      <c r="AL134" s="102">
        <f t="shared" si="82"/>
        <v>0</v>
      </c>
      <c r="AM134" s="102">
        <f t="shared" ref="AM134:AV134" si="83">$D134*AM$108*AM9</f>
        <v>0</v>
      </c>
      <c r="AN134" s="102">
        <f t="shared" si="83"/>
        <v>0</v>
      </c>
      <c r="AO134" s="102">
        <f t="shared" si="83"/>
        <v>0</v>
      </c>
      <c r="AP134" s="102">
        <f t="shared" si="83"/>
        <v>0</v>
      </c>
      <c r="AQ134" s="102">
        <f t="shared" si="83"/>
        <v>0</v>
      </c>
      <c r="AR134" s="102" t="str">
        <f t="shared" si="83"/>
        <v>#REF!</v>
      </c>
      <c r="AS134" s="102" t="str">
        <f t="shared" si="83"/>
        <v>#REF!</v>
      </c>
      <c r="AT134" s="102" t="str">
        <f t="shared" si="83"/>
        <v>#REF!</v>
      </c>
      <c r="AU134" s="102" t="str">
        <f t="shared" si="83"/>
        <v>#REF!</v>
      </c>
      <c r="AV134" s="102" t="str">
        <f t="shared" si="83"/>
        <v>#REF!</v>
      </c>
      <c r="AW134" s="90"/>
      <c r="AX134" s="90"/>
      <c r="AY134" s="90"/>
      <c r="AZ134" s="90"/>
      <c r="BA134" s="90"/>
      <c r="BB134" s="90"/>
      <c r="BC134" s="90"/>
      <c r="BD134" s="90"/>
      <c r="BE134" s="90"/>
      <c r="BF134" s="90"/>
      <c r="BG134" s="90"/>
      <c r="BH134" s="90"/>
      <c r="BI134" s="90"/>
      <c r="BJ134" s="90"/>
      <c r="BK134" s="90"/>
      <c r="BL134" s="90"/>
      <c r="BM134" s="90"/>
      <c r="BN134" s="90"/>
      <c r="BO134" s="90"/>
      <c r="BP134" s="90"/>
    </row>
    <row r="135" ht="12.75" customHeight="1" outlineLevel="1">
      <c r="A135" s="90" t="s">
        <v>290</v>
      </c>
      <c r="B135" s="90"/>
      <c r="C135" s="102">
        <f>'RSGen 1-7'!K$282</f>
        <v>313631.8584</v>
      </c>
      <c r="D135" s="102">
        <f>OFFSET(RSGen_Walton!$G$8,0,ROW(C135)-ROW($C$131))</f>
        <v>313631.8584</v>
      </c>
      <c r="E135" s="102">
        <f>OFFSET(RSGen_none!$G$8,0,ROW(D135)-ROW($C$131))</f>
        <v>313631.8584</v>
      </c>
      <c r="F135" s="102"/>
      <c r="G135" s="102"/>
      <c r="H135" s="305"/>
      <c r="I135" s="305"/>
      <c r="J135" s="305"/>
      <c r="K135" s="306"/>
      <c r="L135" s="306"/>
      <c r="M135" s="306"/>
      <c r="N135" s="306"/>
      <c r="O135" s="306"/>
      <c r="P135" s="102">
        <f t="shared" ref="P135:AL135" si="84">P$108*(MAX(0,MIN(P10,SUM(P10:P$15)-$E$4))*$E135+MAX(0,MIN(P10,$D$4-SUM(P11:P$15)))*$C135+(P10-(MAX(0,MIN(P10,SUM(P10:P$15)-$E$4))+MAX(0,MIN(P10,$D$4-SUM(P11:P$15)))))*$D135)</f>
        <v>665657.2744</v>
      </c>
      <c r="Q135" s="102">
        <f t="shared" si="84"/>
        <v>1018455.63</v>
      </c>
      <c r="R135" s="102">
        <f t="shared" si="84"/>
        <v>1731374.571</v>
      </c>
      <c r="S135" s="102">
        <f t="shared" si="84"/>
        <v>2825603.299</v>
      </c>
      <c r="T135" s="102">
        <f t="shared" si="84"/>
        <v>4683437.469</v>
      </c>
      <c r="U135" s="102">
        <f t="shared" si="84"/>
        <v>8084333.6</v>
      </c>
      <c r="V135" s="102">
        <f t="shared" si="84"/>
        <v>12743849.51</v>
      </c>
      <c r="W135" s="102">
        <f t="shared" si="84"/>
        <v>17204196.84</v>
      </c>
      <c r="X135" s="102">
        <f t="shared" si="84"/>
        <v>17548280.78</v>
      </c>
      <c r="Y135" s="102">
        <f t="shared" si="84"/>
        <v>26252228.04</v>
      </c>
      <c r="Z135" s="102">
        <f t="shared" si="84"/>
        <v>32457300.12</v>
      </c>
      <c r="AA135" s="102">
        <f t="shared" si="84"/>
        <v>58763941.88</v>
      </c>
      <c r="AB135" s="102">
        <f t="shared" si="84"/>
        <v>81466687.31</v>
      </c>
      <c r="AC135" s="102">
        <f t="shared" si="84"/>
        <v>104192938.3</v>
      </c>
      <c r="AD135" s="102">
        <f t="shared" si="84"/>
        <v>119890767</v>
      </c>
      <c r="AE135" s="102">
        <f t="shared" si="84"/>
        <v>145133702.1</v>
      </c>
      <c r="AF135" s="102">
        <f t="shared" si="84"/>
        <v>159915838.4</v>
      </c>
      <c r="AG135" s="102">
        <f t="shared" si="84"/>
        <v>160783952.9</v>
      </c>
      <c r="AH135" s="102">
        <f t="shared" si="84"/>
        <v>129298260.6</v>
      </c>
      <c r="AI135" s="102">
        <f t="shared" si="84"/>
        <v>16000659.75</v>
      </c>
      <c r="AJ135" s="102">
        <f t="shared" si="84"/>
        <v>0</v>
      </c>
      <c r="AK135" s="102">
        <f t="shared" si="84"/>
        <v>0</v>
      </c>
      <c r="AL135" s="102">
        <f t="shared" si="84"/>
        <v>0</v>
      </c>
      <c r="AM135" s="102">
        <f t="shared" ref="AM135:AV135" si="85">$D135*AM$108*AM10</f>
        <v>0</v>
      </c>
      <c r="AN135" s="102">
        <f t="shared" si="85"/>
        <v>0</v>
      </c>
      <c r="AO135" s="102">
        <f t="shared" si="85"/>
        <v>0</v>
      </c>
      <c r="AP135" s="102">
        <f t="shared" si="85"/>
        <v>0</v>
      </c>
      <c r="AQ135" s="102">
        <f t="shared" si="85"/>
        <v>0</v>
      </c>
      <c r="AR135" s="102">
        <f t="shared" si="85"/>
        <v>0</v>
      </c>
      <c r="AS135" s="102" t="str">
        <f t="shared" si="85"/>
        <v>#REF!</v>
      </c>
      <c r="AT135" s="102" t="str">
        <f t="shared" si="85"/>
        <v>#REF!</v>
      </c>
      <c r="AU135" s="102" t="str">
        <f t="shared" si="85"/>
        <v>#REF!</v>
      </c>
      <c r="AV135" s="102" t="str">
        <f t="shared" si="85"/>
        <v>#REF!</v>
      </c>
      <c r="AW135" s="90"/>
      <c r="AX135" s="90"/>
      <c r="AY135" s="90"/>
      <c r="AZ135" s="90"/>
      <c r="BA135" s="90"/>
      <c r="BB135" s="90"/>
      <c r="BC135" s="90"/>
      <c r="BD135" s="90"/>
      <c r="BE135" s="90"/>
      <c r="BF135" s="90"/>
      <c r="BG135" s="90"/>
      <c r="BH135" s="90"/>
      <c r="BI135" s="90"/>
      <c r="BJ135" s="90"/>
      <c r="BK135" s="90"/>
      <c r="BL135" s="90"/>
      <c r="BM135" s="90"/>
      <c r="BN135" s="90"/>
      <c r="BO135" s="90"/>
      <c r="BP135" s="90"/>
    </row>
    <row r="136" ht="12.75" customHeight="1" outlineLevel="1">
      <c r="A136" s="90" t="s">
        <v>291</v>
      </c>
      <c r="B136" s="90"/>
      <c r="C136" s="102">
        <f>'RSGen 1-7'!L$282</f>
        <v>313631.8584</v>
      </c>
      <c r="D136" s="102">
        <f>OFFSET(RSGen_Walton!$G$8,0,ROW(C136)-ROW($C$131))</f>
        <v>313631.8584</v>
      </c>
      <c r="E136" s="102">
        <f>OFFSET(RSGen_none!$G$8,0,ROW(D136)-ROW($C$131))</f>
        <v>313631.8584</v>
      </c>
      <c r="F136" s="102"/>
      <c r="G136" s="102"/>
      <c r="H136" s="305"/>
      <c r="I136" s="305"/>
      <c r="J136" s="305"/>
      <c r="K136" s="306"/>
      <c r="L136" s="306"/>
      <c r="M136" s="306"/>
      <c r="N136" s="306"/>
      <c r="O136" s="306"/>
      <c r="P136" s="306"/>
      <c r="Q136" s="102">
        <f t="shared" ref="Q136:AL136" si="86">Q$108*(MAX(0,MIN(Q11,SUM(Q11:Q$15)-$E$4))*$E136+MAX(0,MIN(Q11,$D$4-SUM(Q12:Q$15)))*$C136+(Q11-(MAX(0,MIN(Q11,SUM(Q11:Q$15)-$E$4))+MAX(0,MIN(Q11,$D$4-SUM(Q12:Q$15)))))*$D136)</f>
        <v>678970.4199</v>
      </c>
      <c r="R136" s="102">
        <f t="shared" si="86"/>
        <v>1038824.742</v>
      </c>
      <c r="S136" s="102">
        <f t="shared" si="86"/>
        <v>1766002.062</v>
      </c>
      <c r="T136" s="102">
        <f t="shared" si="86"/>
        <v>2882115.365</v>
      </c>
      <c r="U136" s="102">
        <f t="shared" si="86"/>
        <v>4777106.218</v>
      </c>
      <c r="V136" s="102">
        <f t="shared" si="86"/>
        <v>8246020.272</v>
      </c>
      <c r="W136" s="102">
        <f t="shared" si="86"/>
        <v>12998726.5</v>
      </c>
      <c r="X136" s="102">
        <f t="shared" si="86"/>
        <v>17548280.78</v>
      </c>
      <c r="Y136" s="102">
        <f t="shared" si="86"/>
        <v>17899246.39</v>
      </c>
      <c r="Z136" s="102">
        <f t="shared" si="86"/>
        <v>26777272.6</v>
      </c>
      <c r="AA136" s="102">
        <f t="shared" si="86"/>
        <v>33106446.13</v>
      </c>
      <c r="AB136" s="102">
        <f t="shared" si="86"/>
        <v>59939220.71</v>
      </c>
      <c r="AC136" s="102">
        <f t="shared" si="86"/>
        <v>83096021.05</v>
      </c>
      <c r="AD136" s="102">
        <f t="shared" si="86"/>
        <v>106276797.1</v>
      </c>
      <c r="AE136" s="102">
        <f t="shared" si="86"/>
        <v>122288582.3</v>
      </c>
      <c r="AF136" s="102">
        <f t="shared" si="86"/>
        <v>148036376.1</v>
      </c>
      <c r="AG136" s="102">
        <f t="shared" si="86"/>
        <v>163114155.2</v>
      </c>
      <c r="AH136" s="102">
        <f t="shared" si="86"/>
        <v>163999632</v>
      </c>
      <c r="AI136" s="102">
        <f t="shared" si="86"/>
        <v>131884225.8</v>
      </c>
      <c r="AJ136" s="102">
        <f t="shared" si="86"/>
        <v>16320672.94</v>
      </c>
      <c r="AK136" s="102">
        <f t="shared" si="86"/>
        <v>0</v>
      </c>
      <c r="AL136" s="102">
        <f t="shared" si="86"/>
        <v>0</v>
      </c>
      <c r="AM136" s="102">
        <f t="shared" ref="AM136:AV136" si="87">$D136*AM$108*AM11</f>
        <v>0</v>
      </c>
      <c r="AN136" s="102">
        <f t="shared" si="87"/>
        <v>0</v>
      </c>
      <c r="AO136" s="102">
        <f t="shared" si="87"/>
        <v>0</v>
      </c>
      <c r="AP136" s="102">
        <f t="shared" si="87"/>
        <v>0</v>
      </c>
      <c r="AQ136" s="102">
        <f t="shared" si="87"/>
        <v>0</v>
      </c>
      <c r="AR136" s="102">
        <f t="shared" si="87"/>
        <v>0</v>
      </c>
      <c r="AS136" s="102">
        <f t="shared" si="87"/>
        <v>0</v>
      </c>
      <c r="AT136" s="102" t="str">
        <f t="shared" si="87"/>
        <v>#REF!</v>
      </c>
      <c r="AU136" s="102" t="str">
        <f t="shared" si="87"/>
        <v>#REF!</v>
      </c>
      <c r="AV136" s="102" t="str">
        <f t="shared" si="87"/>
        <v>#REF!</v>
      </c>
      <c r="AW136" s="90"/>
      <c r="AX136" s="90"/>
      <c r="AY136" s="90"/>
      <c r="AZ136" s="90"/>
      <c r="BA136" s="90"/>
      <c r="BB136" s="90"/>
      <c r="BC136" s="90"/>
      <c r="BD136" s="90"/>
      <c r="BE136" s="90"/>
      <c r="BF136" s="90"/>
      <c r="BG136" s="90"/>
      <c r="BH136" s="90"/>
      <c r="BI136" s="90"/>
      <c r="BJ136" s="90"/>
      <c r="BK136" s="90"/>
      <c r="BL136" s="90"/>
      <c r="BM136" s="90"/>
      <c r="BN136" s="90"/>
      <c r="BO136" s="90"/>
      <c r="BP136" s="90"/>
    </row>
    <row r="137" ht="12.75" customHeight="1" outlineLevel="1">
      <c r="A137" s="90" t="s">
        <v>292</v>
      </c>
      <c r="B137" s="90"/>
      <c r="C137" s="102">
        <f>'RSGen 1-7'!M$282</f>
        <v>313631.8584</v>
      </c>
      <c r="D137" s="102">
        <f>OFFSET(RSGen_Walton!$G$8,0,ROW(C137)-ROW($C$131))</f>
        <v>313631.8584</v>
      </c>
      <c r="E137" s="102">
        <f>OFFSET(RSGen_none!$G$8,0,ROW(D137)-ROW($C$131))</f>
        <v>313631.8584</v>
      </c>
      <c r="F137" s="102"/>
      <c r="G137" s="102"/>
      <c r="H137" s="305"/>
      <c r="I137" s="305"/>
      <c r="J137" s="305"/>
      <c r="K137" s="306"/>
      <c r="L137" s="306"/>
      <c r="M137" s="306"/>
      <c r="N137" s="306"/>
      <c r="O137" s="306"/>
      <c r="P137" s="306"/>
      <c r="Q137" s="306"/>
      <c r="R137" s="102">
        <f t="shared" ref="R137:AL137" si="88">R$108*(MAX(0,MIN(R12,SUM(R12:R$15)-$E$4))*$E137+MAX(0,MIN(R12,$D$4-SUM(R13:R$15)))*$C137+(R12-(MAX(0,MIN(R12,SUM(R12:R$15)-$E$4))+MAX(0,MIN(R12,$D$4-SUM(R13:R$15)))))*$D137)</f>
        <v>692549.8283</v>
      </c>
      <c r="S137" s="102">
        <f t="shared" si="88"/>
        <v>1059601.237</v>
      </c>
      <c r="T137" s="102">
        <f t="shared" si="88"/>
        <v>1801322.103</v>
      </c>
      <c r="U137" s="102">
        <f t="shared" si="88"/>
        <v>2939757.673</v>
      </c>
      <c r="V137" s="102">
        <f t="shared" si="88"/>
        <v>4872648.342</v>
      </c>
      <c r="W137" s="102">
        <f t="shared" si="88"/>
        <v>8410940.677</v>
      </c>
      <c r="X137" s="102">
        <f t="shared" si="88"/>
        <v>13258701.03</v>
      </c>
      <c r="Y137" s="102">
        <f t="shared" si="88"/>
        <v>17899246.39</v>
      </c>
      <c r="Z137" s="102">
        <f t="shared" si="88"/>
        <v>18257231.32</v>
      </c>
      <c r="AA137" s="102">
        <f t="shared" si="88"/>
        <v>27312818.05</v>
      </c>
      <c r="AB137" s="102">
        <f t="shared" si="88"/>
        <v>33768575.05</v>
      </c>
      <c r="AC137" s="102">
        <f t="shared" si="88"/>
        <v>61138005.13</v>
      </c>
      <c r="AD137" s="102">
        <f t="shared" si="88"/>
        <v>84757941.47</v>
      </c>
      <c r="AE137" s="102">
        <f t="shared" si="88"/>
        <v>108402333</v>
      </c>
      <c r="AF137" s="102">
        <f t="shared" si="88"/>
        <v>124734353.9</v>
      </c>
      <c r="AG137" s="102">
        <f t="shared" si="88"/>
        <v>150997103.6</v>
      </c>
      <c r="AH137" s="102">
        <f t="shared" si="88"/>
        <v>166376438.3</v>
      </c>
      <c r="AI137" s="102">
        <f t="shared" si="88"/>
        <v>167279624.6</v>
      </c>
      <c r="AJ137" s="102">
        <f t="shared" si="88"/>
        <v>134521910.3</v>
      </c>
      <c r="AK137" s="102">
        <f t="shared" si="88"/>
        <v>16647086.4</v>
      </c>
      <c r="AL137" s="102">
        <f t="shared" si="88"/>
        <v>0</v>
      </c>
      <c r="AM137" s="102">
        <f t="shared" ref="AM137:AV137" si="89">$D137*AM$108*AM12</f>
        <v>0</v>
      </c>
      <c r="AN137" s="102">
        <f t="shared" si="89"/>
        <v>0</v>
      </c>
      <c r="AO137" s="102">
        <f t="shared" si="89"/>
        <v>0</v>
      </c>
      <c r="AP137" s="102">
        <f t="shared" si="89"/>
        <v>0</v>
      </c>
      <c r="AQ137" s="102">
        <f t="shared" si="89"/>
        <v>0</v>
      </c>
      <c r="AR137" s="102">
        <f t="shared" si="89"/>
        <v>0</v>
      </c>
      <c r="AS137" s="102">
        <f t="shared" si="89"/>
        <v>0</v>
      </c>
      <c r="AT137" s="102">
        <f t="shared" si="89"/>
        <v>0</v>
      </c>
      <c r="AU137" s="102" t="str">
        <f t="shared" si="89"/>
        <v>#REF!</v>
      </c>
      <c r="AV137" s="102" t="str">
        <f t="shared" si="89"/>
        <v>#REF!</v>
      </c>
      <c r="AW137" s="90"/>
      <c r="AX137" s="90"/>
      <c r="AY137" s="90"/>
      <c r="AZ137" s="90"/>
      <c r="BA137" s="90"/>
      <c r="BB137" s="90"/>
      <c r="BC137" s="90"/>
      <c r="BD137" s="90"/>
      <c r="BE137" s="90"/>
      <c r="BF137" s="90"/>
      <c r="BG137" s="90"/>
      <c r="BH137" s="90"/>
      <c r="BI137" s="90"/>
      <c r="BJ137" s="90"/>
      <c r="BK137" s="90"/>
      <c r="BL137" s="90"/>
      <c r="BM137" s="90"/>
      <c r="BN137" s="90"/>
      <c r="BO137" s="90"/>
      <c r="BP137" s="90"/>
    </row>
    <row r="138" ht="12.75" customHeight="1" outlineLevel="1">
      <c r="A138" s="90" t="s">
        <v>293</v>
      </c>
      <c r="B138" s="90"/>
      <c r="C138" s="102">
        <f>'RSGen 1-7'!N$282</f>
        <v>313631.8584</v>
      </c>
      <c r="D138" s="102">
        <f>OFFSET(RSGen_Walton!$G$8,0,ROW(C138)-ROW($C$131))</f>
        <v>313631.8584</v>
      </c>
      <c r="E138" s="102">
        <f>OFFSET(RSGen_none!$G$8,0,ROW(D138)-ROW($C$131))</f>
        <v>313631.8584</v>
      </c>
      <c r="F138" s="102"/>
      <c r="G138" s="102"/>
      <c r="H138" s="305"/>
      <c r="I138" s="305"/>
      <c r="J138" s="305"/>
      <c r="K138" s="306"/>
      <c r="L138" s="306"/>
      <c r="M138" s="306"/>
      <c r="N138" s="306"/>
      <c r="O138" s="306"/>
      <c r="P138" s="306"/>
      <c r="Q138" s="306"/>
      <c r="R138" s="306"/>
      <c r="S138" s="102">
        <f t="shared" ref="S138:AL138" si="90">S$108*(MAX(0,MIN(S13,SUM(S13:S$15)-$E$4))*$E138+MAX(0,MIN(S13,$D$4-SUM(S14:S$15)))*$C138+(S13-(MAX(0,MIN(S13,SUM(S13:S$15)-$E$4))+MAX(0,MIN(S13,$D$4-SUM(S14:S$15)))))*$D138)</f>
        <v>706400.8248</v>
      </c>
      <c r="T138" s="102">
        <f t="shared" si="90"/>
        <v>1080793.262</v>
      </c>
      <c r="U138" s="102">
        <f t="shared" si="90"/>
        <v>1837348.545</v>
      </c>
      <c r="V138" s="102">
        <f t="shared" si="90"/>
        <v>2998552.826</v>
      </c>
      <c r="W138" s="102">
        <f t="shared" si="90"/>
        <v>4970101.309</v>
      </c>
      <c r="X138" s="102">
        <f t="shared" si="90"/>
        <v>8579159.491</v>
      </c>
      <c r="Y138" s="102">
        <f t="shared" si="90"/>
        <v>13523875.05</v>
      </c>
      <c r="Z138" s="102">
        <f t="shared" si="90"/>
        <v>18257231.32</v>
      </c>
      <c r="AA138" s="102">
        <f t="shared" si="90"/>
        <v>18622375.95</v>
      </c>
      <c r="AB138" s="102">
        <f t="shared" si="90"/>
        <v>27859074.42</v>
      </c>
      <c r="AC138" s="102">
        <f t="shared" si="90"/>
        <v>34443946.55</v>
      </c>
      <c r="AD138" s="102">
        <f t="shared" si="90"/>
        <v>62360765.23</v>
      </c>
      <c r="AE138" s="102">
        <f t="shared" si="90"/>
        <v>86453100.3</v>
      </c>
      <c r="AF138" s="102">
        <f t="shared" si="90"/>
        <v>110570379.7</v>
      </c>
      <c r="AG138" s="102">
        <f t="shared" si="90"/>
        <v>127229041</v>
      </c>
      <c r="AH138" s="102">
        <f t="shared" si="90"/>
        <v>154017045.7</v>
      </c>
      <c r="AI138" s="102">
        <f t="shared" si="90"/>
        <v>169703967</v>
      </c>
      <c r="AJ138" s="102">
        <f t="shared" si="90"/>
        <v>170625217.1</v>
      </c>
      <c r="AK138" s="102">
        <f t="shared" si="90"/>
        <v>137212348.5</v>
      </c>
      <c r="AL138" s="102">
        <f t="shared" si="90"/>
        <v>16980028.13</v>
      </c>
      <c r="AM138" s="102">
        <f t="shared" ref="AM138:AV138" si="91">$D138*AM$108*AM13</f>
        <v>0</v>
      </c>
      <c r="AN138" s="102">
        <f t="shared" si="91"/>
        <v>0</v>
      </c>
      <c r="AO138" s="102">
        <f t="shared" si="91"/>
        <v>0</v>
      </c>
      <c r="AP138" s="102">
        <f t="shared" si="91"/>
        <v>0</v>
      </c>
      <c r="AQ138" s="102">
        <f t="shared" si="91"/>
        <v>0</v>
      </c>
      <c r="AR138" s="102">
        <f t="shared" si="91"/>
        <v>0</v>
      </c>
      <c r="AS138" s="102">
        <f t="shared" si="91"/>
        <v>0</v>
      </c>
      <c r="AT138" s="102">
        <f t="shared" si="91"/>
        <v>0</v>
      </c>
      <c r="AU138" s="102">
        <f t="shared" si="91"/>
        <v>0</v>
      </c>
      <c r="AV138" s="102" t="str">
        <f t="shared" si="91"/>
        <v>#REF!</v>
      </c>
      <c r="AW138" s="90"/>
      <c r="AX138" s="90"/>
      <c r="AY138" s="90"/>
      <c r="AZ138" s="90"/>
      <c r="BA138" s="90"/>
      <c r="BB138" s="90"/>
      <c r="BC138" s="90"/>
      <c r="BD138" s="90"/>
      <c r="BE138" s="90"/>
      <c r="BF138" s="90"/>
      <c r="BG138" s="90"/>
      <c r="BH138" s="90"/>
      <c r="BI138" s="90"/>
      <c r="BJ138" s="90"/>
      <c r="BK138" s="90"/>
      <c r="BL138" s="90"/>
      <c r="BM138" s="90"/>
      <c r="BN138" s="90"/>
      <c r="BO138" s="90"/>
      <c r="BP138" s="90"/>
    </row>
    <row r="139" ht="12.75" customHeight="1" outlineLevel="1">
      <c r="A139" s="90" t="s">
        <v>294</v>
      </c>
      <c r="B139" s="90"/>
      <c r="C139" s="102">
        <f>'RSGen 1-7'!O$282</f>
        <v>313631.8584</v>
      </c>
      <c r="D139" s="102">
        <f>OFFSET(RSGen_Walton!$G$8,0,ROW(C139)-ROW($C$131))</f>
        <v>313631.8584</v>
      </c>
      <c r="E139" s="102">
        <f>OFFSET(RSGen_none!$G$8,0,ROW(D139)-ROW($C$131))</f>
        <v>313631.8584</v>
      </c>
      <c r="F139" s="102"/>
      <c r="G139" s="102"/>
      <c r="H139" s="305"/>
      <c r="I139" s="305"/>
      <c r="J139" s="305"/>
      <c r="K139" s="306"/>
      <c r="L139" s="306"/>
      <c r="M139" s="306"/>
      <c r="N139" s="306"/>
      <c r="O139" s="306"/>
      <c r="P139" s="306"/>
      <c r="Q139" s="306"/>
      <c r="R139" s="306"/>
      <c r="S139" s="306"/>
      <c r="T139" s="102">
        <f t="shared" ref="T139:AL139" si="92">T$108*(MAX(0,MIN(T14,SUM(T14:T$15)-$E$4))*$E139+MAX(0,MIN(T14,$D$4-SUM(T$15:T15)))*$C139+(T14-(MAX(0,MIN(T14,SUM(T14:T$15)-$E$4))+MAX(0,MIN(T14,$D$4-SUM(T$15:T15)))))*$D139)</f>
        <v>720528.8413</v>
      </c>
      <c r="U139" s="102">
        <f t="shared" si="92"/>
        <v>1102409.127</v>
      </c>
      <c r="V139" s="102">
        <f t="shared" si="92"/>
        <v>1874095.516</v>
      </c>
      <c r="W139" s="102">
        <f t="shared" si="92"/>
        <v>3058523.883</v>
      </c>
      <c r="X139" s="102">
        <f t="shared" si="92"/>
        <v>5069503.335</v>
      </c>
      <c r="Y139" s="102">
        <f t="shared" si="92"/>
        <v>8750742.681</v>
      </c>
      <c r="Z139" s="102">
        <f t="shared" si="92"/>
        <v>13794352.55</v>
      </c>
      <c r="AA139" s="102">
        <f t="shared" si="92"/>
        <v>18622375.95</v>
      </c>
      <c r="AB139" s="102">
        <f t="shared" si="92"/>
        <v>18994823.47</v>
      </c>
      <c r="AC139" s="102">
        <f t="shared" si="92"/>
        <v>28416255.9</v>
      </c>
      <c r="AD139" s="102">
        <f t="shared" si="92"/>
        <v>35132825.48</v>
      </c>
      <c r="AE139" s="102">
        <f t="shared" si="92"/>
        <v>63607980.53</v>
      </c>
      <c r="AF139" s="102">
        <f t="shared" si="92"/>
        <v>88182162.31</v>
      </c>
      <c r="AG139" s="102">
        <f t="shared" si="92"/>
        <v>112781787.3</v>
      </c>
      <c r="AH139" s="102">
        <f t="shared" si="92"/>
        <v>129773621.8</v>
      </c>
      <c r="AI139" s="102">
        <f t="shared" si="92"/>
        <v>157097386.6</v>
      </c>
      <c r="AJ139" s="102">
        <f t="shared" si="92"/>
        <v>173098046.4</v>
      </c>
      <c r="AK139" s="102">
        <f t="shared" si="92"/>
        <v>174037721.5</v>
      </c>
      <c r="AL139" s="102">
        <f t="shared" si="92"/>
        <v>139956595.5</v>
      </c>
      <c r="AM139" s="102">
        <f t="shared" ref="AM139:AV139" si="93">$D139*AM$108*AM14</f>
        <v>17319628.69</v>
      </c>
      <c r="AN139" s="102">
        <f t="shared" si="93"/>
        <v>0</v>
      </c>
      <c r="AO139" s="102">
        <f t="shared" si="93"/>
        <v>0</v>
      </c>
      <c r="AP139" s="102">
        <f t="shared" si="93"/>
        <v>0</v>
      </c>
      <c r="AQ139" s="102">
        <f t="shared" si="93"/>
        <v>0</v>
      </c>
      <c r="AR139" s="102">
        <f t="shared" si="93"/>
        <v>0</v>
      </c>
      <c r="AS139" s="102">
        <f t="shared" si="93"/>
        <v>0</v>
      </c>
      <c r="AT139" s="102">
        <f t="shared" si="93"/>
        <v>0</v>
      </c>
      <c r="AU139" s="102">
        <f t="shared" si="93"/>
        <v>0</v>
      </c>
      <c r="AV139" s="102">
        <f t="shared" si="93"/>
        <v>0</v>
      </c>
      <c r="AW139" s="90"/>
      <c r="AX139" s="90"/>
      <c r="AY139" s="90"/>
      <c r="AZ139" s="90"/>
      <c r="BA139" s="90"/>
      <c r="BB139" s="90"/>
      <c r="BC139" s="90"/>
      <c r="BD139" s="90"/>
      <c r="BE139" s="90"/>
      <c r="BF139" s="90"/>
      <c r="BG139" s="90"/>
      <c r="BH139" s="90"/>
      <c r="BI139" s="90"/>
      <c r="BJ139" s="90"/>
      <c r="BK139" s="90"/>
      <c r="BL139" s="90"/>
      <c r="BM139" s="90"/>
      <c r="BN139" s="90"/>
      <c r="BO139" s="90"/>
      <c r="BP139" s="90"/>
    </row>
    <row r="140" ht="12.75" customHeight="1" outlineLevel="1">
      <c r="A140" s="90" t="s">
        <v>589</v>
      </c>
      <c r="B140" s="90"/>
      <c r="C140" s="102">
        <f>'RSGen 1-7'!P$282</f>
        <v>313631.8584</v>
      </c>
      <c r="D140" s="102">
        <f>OFFSET(RSGen_Walton!$G$8,0,ROW(C140)-ROW($C$131))</f>
        <v>313631.8584</v>
      </c>
      <c r="E140" s="102">
        <f>OFFSET(RSGen_none!$G$8,0,ROW(D140)-ROW($C$131))</f>
        <v>313631.8584</v>
      </c>
      <c r="F140" s="102"/>
      <c r="G140" s="102"/>
      <c r="H140" s="305"/>
      <c r="I140" s="305"/>
      <c r="J140" s="305"/>
      <c r="K140" s="306"/>
      <c r="L140" s="306"/>
      <c r="M140" s="306"/>
      <c r="N140" s="306"/>
      <c r="O140" s="306"/>
      <c r="P140" s="306"/>
      <c r="Q140" s="306"/>
      <c r="R140" s="306"/>
      <c r="S140" s="306"/>
      <c r="T140" s="306"/>
      <c r="U140" s="102">
        <f t="shared" ref="U140:AL140" si="94">U$108*($C140*MIN($D$4-3,U15-3)+$D140*MIN($E$4-$D$4,MAX(0,U15-$D$4))+$E140*MAX(0,U15-$E$4))</f>
        <v>734939.4182</v>
      </c>
      <c r="V140" s="102">
        <f t="shared" si="94"/>
        <v>1874095.516</v>
      </c>
      <c r="W140" s="102">
        <f t="shared" si="94"/>
        <v>3823154.853</v>
      </c>
      <c r="X140" s="102">
        <f t="shared" si="94"/>
        <v>7019312.311</v>
      </c>
      <c r="Y140" s="102">
        <f t="shared" si="94"/>
        <v>12330591.96</v>
      </c>
      <c r="Z140" s="102">
        <f t="shared" si="94"/>
        <v>21502961.33</v>
      </c>
      <c r="AA140" s="102">
        <f t="shared" si="94"/>
        <v>36003260.16</v>
      </c>
      <c r="AB140" s="102">
        <f t="shared" si="94"/>
        <v>55718148.83</v>
      </c>
      <c r="AC140" s="102">
        <f t="shared" si="94"/>
        <v>76207231.74</v>
      </c>
      <c r="AD140" s="102">
        <f t="shared" si="94"/>
        <v>106715957.4</v>
      </c>
      <c r="AE140" s="102">
        <f t="shared" si="94"/>
        <v>144685758.5</v>
      </c>
      <c r="AF140" s="102">
        <f t="shared" si="94"/>
        <v>212459613.9</v>
      </c>
      <c r="AG140" s="102">
        <f t="shared" si="94"/>
        <v>306654611.7</v>
      </c>
      <c r="AH140" s="102">
        <f t="shared" si="94"/>
        <v>427825126.9</v>
      </c>
      <c r="AI140" s="102">
        <f t="shared" si="94"/>
        <v>568750723.8</v>
      </c>
      <c r="AJ140" s="102">
        <f t="shared" si="94"/>
        <v>740365072.6</v>
      </c>
      <c r="AK140" s="102">
        <f t="shared" si="94"/>
        <v>931732381.3</v>
      </c>
      <c r="AL140" s="102">
        <f t="shared" si="94"/>
        <v>1127885505</v>
      </c>
      <c r="AM140" s="102">
        <f t="shared" ref="AM140:AV140" si="95">$C140*AM$108*(7-3)+$D140*AM$108*(AM15-7)</f>
        <v>1293198942</v>
      </c>
      <c r="AN140" s="102">
        <f t="shared" si="95"/>
        <v>1336728942</v>
      </c>
      <c r="AO140" s="102">
        <f t="shared" si="95"/>
        <v>1363463521</v>
      </c>
      <c r="AP140" s="102">
        <f t="shared" si="95"/>
        <v>1390732792</v>
      </c>
      <c r="AQ140" s="102">
        <f t="shared" si="95"/>
        <v>1418547448</v>
      </c>
      <c r="AR140" s="102">
        <f t="shared" si="95"/>
        <v>1446918397</v>
      </c>
      <c r="AS140" s="102">
        <f t="shared" si="95"/>
        <v>1475856764</v>
      </c>
      <c r="AT140" s="102">
        <f t="shared" si="95"/>
        <v>1505373900</v>
      </c>
      <c r="AU140" s="102">
        <f t="shared" si="95"/>
        <v>1535481378</v>
      </c>
      <c r="AV140" s="102">
        <f t="shared" si="95"/>
        <v>1566191005</v>
      </c>
      <c r="AW140" s="90"/>
      <c r="AX140" s="90"/>
      <c r="AY140" s="90"/>
      <c r="AZ140" s="90"/>
      <c r="BA140" s="90"/>
      <c r="BB140" s="90"/>
      <c r="BC140" s="90"/>
      <c r="BD140" s="90"/>
      <c r="BE140" s="90"/>
      <c r="BF140" s="90"/>
      <c r="BG140" s="90"/>
      <c r="BH140" s="90"/>
      <c r="BI140" s="90"/>
      <c r="BJ140" s="90"/>
      <c r="BK140" s="90"/>
      <c r="BL140" s="90"/>
      <c r="BM140" s="90"/>
      <c r="BN140" s="90"/>
      <c r="BO140" s="90"/>
      <c r="BP140" s="90"/>
    </row>
    <row r="141" ht="13.5" customHeight="1" outlineLevel="1">
      <c r="A141" s="298" t="s">
        <v>591</v>
      </c>
      <c r="B141" s="298"/>
      <c r="C141" s="307"/>
      <c r="D141" s="307"/>
      <c r="E141" s="307"/>
      <c r="F141" s="307"/>
      <c r="G141" s="307"/>
      <c r="H141" s="307">
        <f t="shared" ref="H141:I141" si="96">SUM(H132:H140)</f>
        <v>0</v>
      </c>
      <c r="I141" s="307">
        <f t="shared" si="96"/>
        <v>0</v>
      </c>
      <c r="J141" s="307"/>
      <c r="K141" s="307">
        <f>SUM(K132:K140)</f>
        <v>0</v>
      </c>
      <c r="L141" s="307">
        <f t="shared" ref="L141:AV141" si="97">SUM(L131:L140)</f>
        <v>0</v>
      </c>
      <c r="M141" s="307">
        <f t="shared" si="97"/>
        <v>400000</v>
      </c>
      <c r="N141" s="307">
        <f t="shared" si="97"/>
        <v>1606299.264</v>
      </c>
      <c r="O141" s="307">
        <f t="shared" si="97"/>
        <v>3455995.726</v>
      </c>
      <c r="P141" s="307">
        <f t="shared" si="97"/>
        <v>6318068.774</v>
      </c>
      <c r="Q141" s="307">
        <f t="shared" si="97"/>
        <v>11058503.73</v>
      </c>
      <c r="R141" s="307">
        <f t="shared" si="97"/>
        <v>19112633.46</v>
      </c>
      <c r="S141" s="307">
        <f t="shared" si="97"/>
        <v>32383415.53</v>
      </c>
      <c r="T141" s="307">
        <f t="shared" si="97"/>
        <v>51403380.85</v>
      </c>
      <c r="U141" s="307">
        <f t="shared" si="97"/>
        <v>72840420.23</v>
      </c>
      <c r="V141" s="307">
        <f t="shared" si="97"/>
        <v>97710562.47</v>
      </c>
      <c r="W141" s="307">
        <f t="shared" si="97"/>
        <v>132759091.4</v>
      </c>
      <c r="X141" s="307">
        <f t="shared" si="97"/>
        <v>188087034.7</v>
      </c>
      <c r="Y141" s="307">
        <f t="shared" si="97"/>
        <v>276993120</v>
      </c>
      <c r="Z141" s="307">
        <f t="shared" si="97"/>
        <v>394294557.6</v>
      </c>
      <c r="AA141" s="307">
        <f t="shared" si="97"/>
        <v>529560233.5</v>
      </c>
      <c r="AB141" s="307">
        <f t="shared" si="97"/>
        <v>684025252.2</v>
      </c>
      <c r="AC141" s="307">
        <f t="shared" si="97"/>
        <v>861451694.5</v>
      </c>
      <c r="AD141" s="307">
        <f t="shared" si="97"/>
        <v>1045608401</v>
      </c>
      <c r="AE141" s="307">
        <f t="shared" si="97"/>
        <v>1203281416</v>
      </c>
      <c r="AF141" s="307">
        <f t="shared" si="97"/>
        <v>1262662853</v>
      </c>
      <c r="AG141" s="307">
        <f t="shared" si="97"/>
        <v>1219174637</v>
      </c>
      <c r="AH141" s="307">
        <f t="shared" si="97"/>
        <v>1192787187</v>
      </c>
      <c r="AI141" s="307">
        <f t="shared" si="97"/>
        <v>1210716588</v>
      </c>
      <c r="AJ141" s="307">
        <f t="shared" si="97"/>
        <v>1234930919</v>
      </c>
      <c r="AK141" s="307">
        <f t="shared" si="97"/>
        <v>1259629538</v>
      </c>
      <c r="AL141" s="307">
        <f t="shared" si="97"/>
        <v>1284822128</v>
      </c>
      <c r="AM141" s="307">
        <f t="shared" si="97"/>
        <v>1310518571</v>
      </c>
      <c r="AN141" s="307">
        <f t="shared" si="97"/>
        <v>1336728942</v>
      </c>
      <c r="AO141" s="307" t="str">
        <f t="shared" si="97"/>
        <v>#REF!</v>
      </c>
      <c r="AP141" s="307" t="str">
        <f t="shared" si="97"/>
        <v>#REF!</v>
      </c>
      <c r="AQ141" s="307" t="str">
        <f t="shared" si="97"/>
        <v>#REF!</v>
      </c>
      <c r="AR141" s="307" t="str">
        <f t="shared" si="97"/>
        <v>#REF!</v>
      </c>
      <c r="AS141" s="307" t="str">
        <f t="shared" si="97"/>
        <v>#REF!</v>
      </c>
      <c r="AT141" s="307" t="str">
        <f t="shared" si="97"/>
        <v>#REF!</v>
      </c>
      <c r="AU141" s="307" t="str">
        <f t="shared" si="97"/>
        <v>#REF!</v>
      </c>
      <c r="AV141" s="307" t="str">
        <f t="shared" si="97"/>
        <v>#REF!</v>
      </c>
      <c r="AW141" s="90"/>
      <c r="AX141" s="90"/>
      <c r="AY141" s="90"/>
      <c r="AZ141" s="90"/>
      <c r="BA141" s="90"/>
      <c r="BB141" s="90"/>
      <c r="BC141" s="90"/>
      <c r="BD141" s="90"/>
      <c r="BE141" s="90"/>
      <c r="BF141" s="90"/>
      <c r="BG141" s="90"/>
      <c r="BH141" s="90"/>
      <c r="BI141" s="90"/>
      <c r="BJ141" s="90"/>
      <c r="BK141" s="90"/>
      <c r="BL141" s="90"/>
      <c r="BM141" s="90"/>
      <c r="BN141" s="90"/>
      <c r="BO141" s="90"/>
      <c r="BP141" s="90"/>
    </row>
    <row r="142" ht="13.5" customHeight="1" outlineLevel="1">
      <c r="A142" s="90"/>
      <c r="C142" s="102"/>
      <c r="D142" s="102"/>
      <c r="E142" s="102"/>
      <c r="F142" s="102"/>
      <c r="G142" s="102"/>
      <c r="H142" s="89"/>
      <c r="I142" s="89"/>
      <c r="J142" s="89"/>
      <c r="K142" s="102"/>
      <c r="L142" s="102"/>
      <c r="M142" s="102"/>
      <c r="N142" s="102"/>
      <c r="O142" s="102"/>
      <c r="P142" s="102"/>
      <c r="Q142" s="102"/>
      <c r="R142" s="102"/>
      <c r="S142" s="102"/>
      <c r="T142" s="102"/>
      <c r="U142" s="102"/>
      <c r="V142" s="102"/>
      <c r="W142" s="102"/>
      <c r="X142" s="102"/>
      <c r="Y142" s="102"/>
      <c r="Z142" s="102"/>
      <c r="AA142" s="102"/>
      <c r="AB142" s="102"/>
      <c r="AC142" s="102"/>
      <c r="AD142" s="102"/>
      <c r="AE142" s="102"/>
      <c r="AF142" s="102"/>
      <c r="AG142" s="102"/>
      <c r="AH142" s="102"/>
      <c r="AI142" s="102"/>
      <c r="AJ142" s="102"/>
      <c r="AK142" s="102"/>
      <c r="AL142" s="102"/>
      <c r="AM142" s="102"/>
      <c r="AN142" s="102"/>
      <c r="AO142" s="102"/>
      <c r="AP142" s="102"/>
      <c r="AQ142" s="102"/>
      <c r="AR142" s="102"/>
      <c r="AS142" s="102"/>
      <c r="AT142" s="102"/>
      <c r="AU142" s="102"/>
      <c r="AV142" s="102"/>
      <c r="AW142" s="90"/>
      <c r="AX142" s="90"/>
      <c r="AY142" s="90"/>
      <c r="AZ142" s="90"/>
      <c r="BA142" s="90"/>
      <c r="BB142" s="90"/>
      <c r="BC142" s="90"/>
      <c r="BD142" s="90"/>
      <c r="BE142" s="90"/>
      <c r="BF142" s="90"/>
      <c r="BG142" s="90"/>
      <c r="BH142" s="90"/>
      <c r="BI142" s="90"/>
      <c r="BJ142" s="90"/>
      <c r="BK142" s="90"/>
      <c r="BL142" s="90"/>
      <c r="BM142" s="90"/>
      <c r="BN142" s="90"/>
      <c r="BO142" s="90"/>
      <c r="BP142" s="90"/>
    </row>
    <row r="143" ht="12.75" customHeight="1" outlineLevel="1">
      <c r="A143" s="90"/>
      <c r="C143" s="102"/>
      <c r="D143" s="102"/>
      <c r="E143" s="102"/>
      <c r="F143" s="102"/>
      <c r="G143" s="102"/>
      <c r="K143" s="102"/>
      <c r="L143" s="102"/>
      <c r="M143" s="102"/>
      <c r="N143" s="102"/>
      <c r="O143" s="102"/>
      <c r="P143" s="102"/>
      <c r="Q143" s="102"/>
      <c r="R143" s="102"/>
      <c r="S143" s="102"/>
      <c r="T143" s="102"/>
      <c r="U143" s="102"/>
      <c r="V143" s="102"/>
      <c r="W143" s="102"/>
      <c r="X143" s="102"/>
      <c r="Y143" s="102"/>
      <c r="Z143" s="102"/>
      <c r="AA143" s="102"/>
      <c r="AB143" s="102"/>
      <c r="AC143" s="102"/>
      <c r="AD143" s="102"/>
      <c r="AE143" s="102"/>
      <c r="AF143" s="102"/>
      <c r="AG143" s="102"/>
      <c r="AH143" s="102"/>
      <c r="AI143" s="102"/>
      <c r="AJ143" s="102"/>
      <c r="AK143" s="102"/>
      <c r="AL143" s="102"/>
      <c r="AM143" s="102"/>
      <c r="AN143" s="102"/>
      <c r="AO143" s="102"/>
      <c r="AP143" s="102"/>
      <c r="AQ143" s="102"/>
      <c r="AR143" s="102"/>
      <c r="AS143" s="102"/>
      <c r="AT143" s="102"/>
      <c r="AU143" s="102"/>
      <c r="AV143" s="102"/>
      <c r="AW143" s="90"/>
      <c r="AX143" s="90"/>
      <c r="AY143" s="90"/>
      <c r="AZ143" s="90"/>
      <c r="BA143" s="90"/>
      <c r="BB143" s="90"/>
      <c r="BC143" s="90"/>
      <c r="BD143" s="90"/>
      <c r="BE143" s="90"/>
      <c r="BF143" s="90"/>
      <c r="BG143" s="90"/>
      <c r="BH143" s="90"/>
      <c r="BI143" s="90"/>
      <c r="BJ143" s="90"/>
      <c r="BK143" s="90"/>
      <c r="BL143" s="90"/>
      <c r="BM143" s="90"/>
      <c r="BN143" s="90"/>
      <c r="BO143" s="90"/>
      <c r="BP143" s="90"/>
    </row>
    <row r="144" ht="12.75" customHeight="1" outlineLevel="1">
      <c r="A144" s="90" t="s">
        <v>303</v>
      </c>
      <c r="C144" s="102"/>
      <c r="D144" s="102"/>
      <c r="E144" s="102"/>
      <c r="F144" s="102"/>
      <c r="G144" s="102"/>
      <c r="K144" s="102"/>
      <c r="L144" s="102"/>
      <c r="M144" s="102"/>
      <c r="N144" s="102"/>
      <c r="O144" s="102"/>
      <c r="P144" s="102"/>
      <c r="Q144" s="102"/>
      <c r="R144" s="102"/>
      <c r="S144" s="102"/>
      <c r="T144" s="102"/>
      <c r="U144" s="102"/>
      <c r="V144" s="102"/>
      <c r="W144" s="102"/>
      <c r="X144" s="102"/>
      <c r="Y144" s="102"/>
      <c r="Z144" s="102"/>
      <c r="AA144" s="102"/>
      <c r="AB144" s="102"/>
      <c r="AC144" s="102"/>
      <c r="AD144" s="102"/>
      <c r="AE144" s="102"/>
      <c r="AF144" s="102"/>
      <c r="AG144" s="102"/>
      <c r="AH144" s="102"/>
      <c r="AI144" s="102"/>
      <c r="AJ144" s="102"/>
      <c r="AK144" s="102"/>
      <c r="AL144" s="102"/>
      <c r="AM144" s="102"/>
      <c r="AN144" s="102"/>
      <c r="AO144" s="102"/>
      <c r="AP144" s="102"/>
      <c r="AQ144" s="102"/>
      <c r="AR144" s="102"/>
      <c r="AS144" s="102"/>
      <c r="AT144" s="102"/>
      <c r="AU144" s="102"/>
      <c r="AV144" s="102"/>
      <c r="AW144" s="90"/>
      <c r="AX144" s="90"/>
      <c r="AY144" s="90"/>
      <c r="AZ144" s="90"/>
      <c r="BA144" s="90"/>
      <c r="BB144" s="90"/>
      <c r="BC144" s="90"/>
      <c r="BD144" s="90"/>
      <c r="BE144" s="90"/>
      <c r="BF144" s="90"/>
      <c r="BG144" s="90"/>
      <c r="BH144" s="90"/>
      <c r="BI144" s="90"/>
      <c r="BJ144" s="90"/>
      <c r="BK144" s="90"/>
      <c r="BL144" s="90"/>
      <c r="BM144" s="90"/>
      <c r="BN144" s="90"/>
      <c r="BO144" s="90"/>
      <c r="BP144" s="90"/>
    </row>
    <row r="145" ht="12.75" customHeight="1" outlineLevel="1">
      <c r="A145" s="90" t="s">
        <v>592</v>
      </c>
      <c r="C145" s="102">
        <f>'RSGen 1-7'!G294</f>
        <v>0</v>
      </c>
      <c r="D145" s="102">
        <f>OFFSET(RSGen_Walton!$G$10,0,ROW(C145)-ROW($C$145))</f>
        <v>0</v>
      </c>
      <c r="E145" s="102">
        <f>OFFSET(RSGen_none!$G$10,0,ROW(D145)-ROW($C$145))</f>
        <v>0</v>
      </c>
      <c r="F145" s="102"/>
      <c r="G145" s="102"/>
      <c r="K145" s="102"/>
      <c r="L145" s="102">
        <f t="shared" ref="L145:M145" si="98">$C145*L$109*L6</f>
        <v>0</v>
      </c>
      <c r="M145" s="102">
        <f t="shared" si="98"/>
        <v>0</v>
      </c>
      <c r="N145" s="102">
        <f t="shared" ref="N145:AV145" si="99">$D145*N$109*N6</f>
        <v>0</v>
      </c>
      <c r="O145" s="102">
        <f t="shared" si="99"/>
        <v>0</v>
      </c>
      <c r="P145" s="102">
        <f t="shared" si="99"/>
        <v>0</v>
      </c>
      <c r="Q145" s="102">
        <f t="shared" si="99"/>
        <v>0</v>
      </c>
      <c r="R145" s="102">
        <f t="shared" si="99"/>
        <v>0</v>
      </c>
      <c r="S145" s="102">
        <f t="shared" si="99"/>
        <v>0</v>
      </c>
      <c r="T145" s="102">
        <f t="shared" si="99"/>
        <v>0</v>
      </c>
      <c r="U145" s="102">
        <f t="shared" si="99"/>
        <v>0</v>
      </c>
      <c r="V145" s="102">
        <f t="shared" si="99"/>
        <v>0</v>
      </c>
      <c r="W145" s="102">
        <f t="shared" si="99"/>
        <v>0</v>
      </c>
      <c r="X145" s="102">
        <f t="shared" si="99"/>
        <v>0</v>
      </c>
      <c r="Y145" s="102">
        <f t="shared" si="99"/>
        <v>0</v>
      </c>
      <c r="Z145" s="102">
        <f t="shared" si="99"/>
        <v>0</v>
      </c>
      <c r="AA145" s="102">
        <f t="shared" si="99"/>
        <v>0</v>
      </c>
      <c r="AB145" s="102">
        <f t="shared" si="99"/>
        <v>0</v>
      </c>
      <c r="AC145" s="102">
        <f t="shared" si="99"/>
        <v>0</v>
      </c>
      <c r="AD145" s="102">
        <f t="shared" si="99"/>
        <v>0</v>
      </c>
      <c r="AE145" s="102">
        <f t="shared" si="99"/>
        <v>0</v>
      </c>
      <c r="AF145" s="102">
        <f t="shared" si="99"/>
        <v>0</v>
      </c>
      <c r="AG145" s="102">
        <f t="shared" si="99"/>
        <v>0</v>
      </c>
      <c r="AH145" s="102">
        <f t="shared" si="99"/>
        <v>0</v>
      </c>
      <c r="AI145" s="102">
        <f t="shared" si="99"/>
        <v>0</v>
      </c>
      <c r="AJ145" s="102">
        <f t="shared" si="99"/>
        <v>0</v>
      </c>
      <c r="AK145" s="102">
        <f t="shared" si="99"/>
        <v>0</v>
      </c>
      <c r="AL145" s="102">
        <f t="shared" si="99"/>
        <v>0</v>
      </c>
      <c r="AM145" s="102">
        <f t="shared" si="99"/>
        <v>0</v>
      </c>
      <c r="AN145" s="102">
        <f t="shared" si="99"/>
        <v>0</v>
      </c>
      <c r="AO145" s="102" t="str">
        <f t="shared" si="99"/>
        <v>#REF!</v>
      </c>
      <c r="AP145" s="102" t="str">
        <f t="shared" si="99"/>
        <v>#REF!</v>
      </c>
      <c r="AQ145" s="102" t="str">
        <f t="shared" si="99"/>
        <v>#REF!</v>
      </c>
      <c r="AR145" s="102" t="str">
        <f t="shared" si="99"/>
        <v>#REF!</v>
      </c>
      <c r="AS145" s="102" t="str">
        <f t="shared" si="99"/>
        <v>#REF!</v>
      </c>
      <c r="AT145" s="102">
        <f t="shared" si="99"/>
        <v>0</v>
      </c>
      <c r="AU145" s="102">
        <f t="shared" si="99"/>
        <v>0</v>
      </c>
      <c r="AV145" s="102">
        <f t="shared" si="99"/>
        <v>0</v>
      </c>
      <c r="AW145" s="90"/>
      <c r="AX145" s="90"/>
      <c r="AY145" s="90"/>
      <c r="AZ145" s="90"/>
      <c r="BA145" s="90"/>
      <c r="BB145" s="90"/>
      <c r="BC145" s="90"/>
      <c r="BD145" s="90"/>
      <c r="BE145" s="90"/>
      <c r="BF145" s="90"/>
      <c r="BG145" s="90"/>
      <c r="BH145" s="90"/>
      <c r="BI145" s="90"/>
      <c r="BJ145" s="90"/>
      <c r="BK145" s="90"/>
      <c r="BL145" s="90"/>
      <c r="BM145" s="90"/>
      <c r="BN145" s="90"/>
      <c r="BO145" s="90"/>
      <c r="BP145" s="90"/>
    </row>
    <row r="146" ht="12.75" customHeight="1" outlineLevel="1">
      <c r="A146" s="90" t="s">
        <v>287</v>
      </c>
      <c r="C146" s="102">
        <f>'RSGen 1-7'!H$294</f>
        <v>0</v>
      </c>
      <c r="D146" s="102">
        <f>OFFSET(RSGen_Walton!$G$10,0,ROW(C146)-ROW($C$145))</f>
        <v>0</v>
      </c>
      <c r="E146" s="102">
        <f>OFFSET(RSGen_none!$G$10,0,ROW(D146)-ROW($C$145))</f>
        <v>0</v>
      </c>
      <c r="F146" s="102"/>
      <c r="G146" s="102"/>
      <c r="H146" s="308"/>
      <c r="I146" s="308"/>
      <c r="J146" s="308"/>
      <c r="K146" s="306"/>
      <c r="L146" s="306"/>
      <c r="M146" s="102">
        <f t="shared" ref="M146:N146" si="100">$C146*M$109*M7</f>
        <v>0</v>
      </c>
      <c r="N146" s="102">
        <f t="shared" si="100"/>
        <v>0</v>
      </c>
      <c r="O146" s="102">
        <f t="shared" ref="O146:AV146" si="101">$D146*O$109*O7</f>
        <v>0</v>
      </c>
      <c r="P146" s="102">
        <f t="shared" si="101"/>
        <v>0</v>
      </c>
      <c r="Q146" s="102">
        <f t="shared" si="101"/>
        <v>0</v>
      </c>
      <c r="R146" s="102">
        <f t="shared" si="101"/>
        <v>0</v>
      </c>
      <c r="S146" s="102">
        <f t="shared" si="101"/>
        <v>0</v>
      </c>
      <c r="T146" s="102">
        <f t="shared" si="101"/>
        <v>0</v>
      </c>
      <c r="U146" s="102">
        <f t="shared" si="101"/>
        <v>0</v>
      </c>
      <c r="V146" s="102">
        <f t="shared" si="101"/>
        <v>0</v>
      </c>
      <c r="W146" s="102">
        <f t="shared" si="101"/>
        <v>0</v>
      </c>
      <c r="X146" s="102">
        <f t="shared" si="101"/>
        <v>0</v>
      </c>
      <c r="Y146" s="102">
        <f t="shared" si="101"/>
        <v>0</v>
      </c>
      <c r="Z146" s="102">
        <f t="shared" si="101"/>
        <v>0</v>
      </c>
      <c r="AA146" s="102">
        <f t="shared" si="101"/>
        <v>0</v>
      </c>
      <c r="AB146" s="102">
        <f t="shared" si="101"/>
        <v>0</v>
      </c>
      <c r="AC146" s="102">
        <f t="shared" si="101"/>
        <v>0</v>
      </c>
      <c r="AD146" s="102">
        <f t="shared" si="101"/>
        <v>0</v>
      </c>
      <c r="AE146" s="102">
        <f t="shared" si="101"/>
        <v>0</v>
      </c>
      <c r="AF146" s="102">
        <f t="shared" si="101"/>
        <v>0</v>
      </c>
      <c r="AG146" s="102">
        <f t="shared" si="101"/>
        <v>0</v>
      </c>
      <c r="AH146" s="102">
        <f t="shared" si="101"/>
        <v>0</v>
      </c>
      <c r="AI146" s="102">
        <f t="shared" si="101"/>
        <v>0</v>
      </c>
      <c r="AJ146" s="102">
        <f t="shared" si="101"/>
        <v>0</v>
      </c>
      <c r="AK146" s="102">
        <f t="shared" si="101"/>
        <v>0</v>
      </c>
      <c r="AL146" s="102">
        <f t="shared" si="101"/>
        <v>0</v>
      </c>
      <c r="AM146" s="102">
        <f t="shared" si="101"/>
        <v>0</v>
      </c>
      <c r="AN146" s="102">
        <f t="shared" si="101"/>
        <v>0</v>
      </c>
      <c r="AO146" s="102">
        <f t="shared" si="101"/>
        <v>0</v>
      </c>
      <c r="AP146" s="102" t="str">
        <f t="shared" si="101"/>
        <v>#REF!</v>
      </c>
      <c r="AQ146" s="102" t="str">
        <f t="shared" si="101"/>
        <v>#REF!</v>
      </c>
      <c r="AR146" s="102" t="str">
        <f t="shared" si="101"/>
        <v>#REF!</v>
      </c>
      <c r="AS146" s="102" t="str">
        <f t="shared" si="101"/>
        <v>#REF!</v>
      </c>
      <c r="AT146" s="102" t="str">
        <f t="shared" si="101"/>
        <v>#REF!</v>
      </c>
      <c r="AU146" s="102">
        <f t="shared" si="101"/>
        <v>0</v>
      </c>
      <c r="AV146" s="102">
        <f t="shared" si="101"/>
        <v>0</v>
      </c>
      <c r="AW146" s="90"/>
      <c r="AX146" s="90"/>
      <c r="AY146" s="90"/>
      <c r="AZ146" s="90"/>
      <c r="BA146" s="90"/>
      <c r="BB146" s="90"/>
      <c r="BC146" s="90"/>
      <c r="BD146" s="90"/>
      <c r="BE146" s="90"/>
      <c r="BF146" s="90"/>
      <c r="BG146" s="90"/>
      <c r="BH146" s="90"/>
      <c r="BI146" s="90"/>
      <c r="BJ146" s="90"/>
      <c r="BK146" s="90"/>
      <c r="BL146" s="90"/>
      <c r="BM146" s="90"/>
      <c r="BN146" s="90"/>
      <c r="BO146" s="90"/>
      <c r="BP146" s="90"/>
    </row>
    <row r="147" ht="12.75" customHeight="1" outlineLevel="1">
      <c r="A147" s="90" t="s">
        <v>288</v>
      </c>
      <c r="C147" s="102">
        <f>'RSGen 1-7'!I$294</f>
        <v>58835.2</v>
      </c>
      <c r="D147" s="102">
        <f>OFFSET(RSGen_Walton!$G$10,0,ROW(C147)-ROW($C$145))</f>
        <v>58835.2</v>
      </c>
      <c r="E147" s="102">
        <f>OFFSET(RSGen_none!$G$10,0,ROW(D147)-ROW($C$145))</f>
        <v>58835.2</v>
      </c>
      <c r="F147" s="102"/>
      <c r="G147" s="102"/>
      <c r="H147" s="308"/>
      <c r="I147" s="308"/>
      <c r="J147" s="308"/>
      <c r="K147" s="306"/>
      <c r="L147" s="306"/>
      <c r="M147" s="306"/>
      <c r="N147" s="102">
        <f t="shared" ref="N147:AL147" si="102">N$109*(MAX(0,MIN(N8,SUM(N8:N$15)-$E$4))*$E147+MAX(0,MIN(N8,$D$4-SUM(N9:N$15)))*$C147+(N8-(MAX(0,MIN(N8,SUM(N8:N$15)-$E$4))+MAX(0,MIN(N8,$D$4-SUM(N9:N$15)))))*$D147)</f>
        <v>120023.808</v>
      </c>
      <c r="O147" s="102">
        <f t="shared" si="102"/>
        <v>183636.4262</v>
      </c>
      <c r="P147" s="102">
        <f t="shared" si="102"/>
        <v>312181.9246</v>
      </c>
      <c r="Q147" s="102">
        <f t="shared" si="102"/>
        <v>509480.901</v>
      </c>
      <c r="R147" s="102">
        <f t="shared" si="102"/>
        <v>844464.5933</v>
      </c>
      <c r="S147" s="102">
        <f t="shared" si="102"/>
        <v>1457675.806</v>
      </c>
      <c r="T147" s="102">
        <f t="shared" si="102"/>
        <v>2297827.134</v>
      </c>
      <c r="U147" s="102">
        <f t="shared" si="102"/>
        <v>3102066.631</v>
      </c>
      <c r="V147" s="102">
        <f t="shared" si="102"/>
        <v>3164107.963</v>
      </c>
      <c r="W147" s="102">
        <f t="shared" si="102"/>
        <v>4733505.513</v>
      </c>
      <c r="X147" s="102">
        <f t="shared" si="102"/>
        <v>5852334.089</v>
      </c>
      <c r="Y147" s="102">
        <f t="shared" si="102"/>
        <v>10595650.87</v>
      </c>
      <c r="Z147" s="102">
        <f t="shared" si="102"/>
        <v>14689153.73</v>
      </c>
      <c r="AA147" s="102">
        <f t="shared" si="102"/>
        <v>18786894.85</v>
      </c>
      <c r="AB147" s="102">
        <f t="shared" si="102"/>
        <v>21617350.17</v>
      </c>
      <c r="AC147" s="102">
        <f t="shared" si="102"/>
        <v>26168871.37</v>
      </c>
      <c r="AD147" s="102">
        <f t="shared" si="102"/>
        <v>28834219.38</v>
      </c>
      <c r="AE147" s="102">
        <f t="shared" si="102"/>
        <v>28990748</v>
      </c>
      <c r="AF147" s="102">
        <f t="shared" si="102"/>
        <v>23313603.26</v>
      </c>
      <c r="AG147" s="102">
        <f t="shared" si="102"/>
        <v>2885058.404</v>
      </c>
      <c r="AH147" s="102">
        <f t="shared" si="102"/>
        <v>0</v>
      </c>
      <c r="AI147" s="102">
        <f t="shared" si="102"/>
        <v>0</v>
      </c>
      <c r="AJ147" s="102">
        <f t="shared" si="102"/>
        <v>0</v>
      </c>
      <c r="AK147" s="102">
        <f t="shared" si="102"/>
        <v>0</v>
      </c>
      <c r="AL147" s="102">
        <f t="shared" si="102"/>
        <v>0</v>
      </c>
      <c r="AM147" s="102">
        <f t="shared" ref="AM147:AV147" si="103">$D147*AM$109*AM8</f>
        <v>0</v>
      </c>
      <c r="AN147" s="102">
        <f t="shared" si="103"/>
        <v>0</v>
      </c>
      <c r="AO147" s="102">
        <f t="shared" si="103"/>
        <v>0</v>
      </c>
      <c r="AP147" s="102">
        <f t="shared" si="103"/>
        <v>0</v>
      </c>
      <c r="AQ147" s="102" t="str">
        <f t="shared" si="103"/>
        <v>#REF!</v>
      </c>
      <c r="AR147" s="102" t="str">
        <f t="shared" si="103"/>
        <v>#REF!</v>
      </c>
      <c r="AS147" s="102" t="str">
        <f t="shared" si="103"/>
        <v>#REF!</v>
      </c>
      <c r="AT147" s="102" t="str">
        <f t="shared" si="103"/>
        <v>#REF!</v>
      </c>
      <c r="AU147" s="102" t="str">
        <f t="shared" si="103"/>
        <v>#REF!</v>
      </c>
      <c r="AV147" s="102">
        <f t="shared" si="103"/>
        <v>0</v>
      </c>
      <c r="AW147" s="90"/>
      <c r="AX147" s="90"/>
      <c r="AY147" s="90"/>
      <c r="AZ147" s="90"/>
      <c r="BA147" s="90"/>
      <c r="BB147" s="90"/>
      <c r="BC147" s="90"/>
      <c r="BD147" s="90"/>
      <c r="BE147" s="90"/>
      <c r="BF147" s="90"/>
      <c r="BG147" s="90"/>
      <c r="BH147" s="90"/>
      <c r="BI147" s="90"/>
      <c r="BJ147" s="90"/>
      <c r="BK147" s="90"/>
      <c r="BL147" s="90"/>
      <c r="BM147" s="90"/>
      <c r="BN147" s="90"/>
      <c r="BO147" s="90"/>
      <c r="BP147" s="90"/>
    </row>
    <row r="148" ht="12.75" customHeight="1" outlineLevel="1">
      <c r="A148" s="90" t="s">
        <v>289</v>
      </c>
      <c r="C148" s="102">
        <f>'RSGen 1-7'!J$294</f>
        <v>71478.4</v>
      </c>
      <c r="D148" s="102">
        <f>OFFSET(RSGen_Walton!$G$10,0,ROW(C148)-ROW($C$145))</f>
        <v>71478.4</v>
      </c>
      <c r="E148" s="102">
        <f>OFFSET(RSGen_none!$G$10,0,ROW(D148)-ROW($C$145))</f>
        <v>71478.4</v>
      </c>
      <c r="F148" s="102"/>
      <c r="G148" s="102"/>
      <c r="H148" s="308"/>
      <c r="I148" s="308"/>
      <c r="J148" s="308"/>
      <c r="K148" s="306"/>
      <c r="L148" s="306"/>
      <c r="M148" s="306"/>
      <c r="N148" s="306"/>
      <c r="O148" s="102">
        <f t="shared" ref="O148:AL148" si="104">O$109*(MAX(0,MIN(O9,SUM(O9:O$15)-$E$4))*$E148+MAX(0,MIN(O9,$D$4-SUM(O10:O$15)))*$C148+(O9-(MAX(0,MIN(O9,SUM(O9:O$15)-$E$4))+MAX(0,MIN(O9,$D$4-SUM(O10:O$15)))))*$D148)</f>
        <v>148732.2547</v>
      </c>
      <c r="P148" s="102">
        <f t="shared" si="104"/>
        <v>227560.3497</v>
      </c>
      <c r="Q148" s="102">
        <f t="shared" si="104"/>
        <v>386852.5945</v>
      </c>
      <c r="R148" s="102">
        <f t="shared" si="104"/>
        <v>631343.4343</v>
      </c>
      <c r="S148" s="102">
        <f t="shared" si="104"/>
        <v>1046451.742</v>
      </c>
      <c r="T148" s="102">
        <f t="shared" si="104"/>
        <v>1806336.7</v>
      </c>
      <c r="U148" s="102">
        <f t="shared" si="104"/>
        <v>2847443.489</v>
      </c>
      <c r="V148" s="102">
        <f t="shared" si="104"/>
        <v>3844048.71</v>
      </c>
      <c r="W148" s="102">
        <f t="shared" si="104"/>
        <v>3920929.684</v>
      </c>
      <c r="X148" s="102">
        <f t="shared" si="104"/>
        <v>5865710.807</v>
      </c>
      <c r="Y148" s="102">
        <f t="shared" si="104"/>
        <v>7252151.543</v>
      </c>
      <c r="Z148" s="102">
        <f t="shared" si="104"/>
        <v>13130020.37</v>
      </c>
      <c r="AA148" s="102">
        <f t="shared" si="104"/>
        <v>18202646.55</v>
      </c>
      <c r="AB148" s="102">
        <f t="shared" si="104"/>
        <v>23280524.74</v>
      </c>
      <c r="AC148" s="102">
        <f t="shared" si="104"/>
        <v>26787995.53</v>
      </c>
      <c r="AD148" s="102">
        <f t="shared" si="104"/>
        <v>32428193.27</v>
      </c>
      <c r="AE148" s="102">
        <f t="shared" si="104"/>
        <v>35731064.8</v>
      </c>
      <c r="AF148" s="102">
        <f t="shared" si="104"/>
        <v>35925033.44</v>
      </c>
      <c r="AG148" s="102">
        <f t="shared" si="104"/>
        <v>28889974.72</v>
      </c>
      <c r="AH148" s="102">
        <f t="shared" si="104"/>
        <v>3575134.371</v>
      </c>
      <c r="AI148" s="102">
        <f t="shared" si="104"/>
        <v>0</v>
      </c>
      <c r="AJ148" s="102">
        <f t="shared" si="104"/>
        <v>0</v>
      </c>
      <c r="AK148" s="102">
        <f t="shared" si="104"/>
        <v>0</v>
      </c>
      <c r="AL148" s="102">
        <f t="shared" si="104"/>
        <v>0</v>
      </c>
      <c r="AM148" s="102">
        <f t="shared" ref="AM148:AV148" si="105">$D148*AM$109*AM9</f>
        <v>0</v>
      </c>
      <c r="AN148" s="102">
        <f t="shared" si="105"/>
        <v>0</v>
      </c>
      <c r="AO148" s="102">
        <f t="shared" si="105"/>
        <v>0</v>
      </c>
      <c r="AP148" s="102">
        <f t="shared" si="105"/>
        <v>0</v>
      </c>
      <c r="AQ148" s="102">
        <f t="shared" si="105"/>
        <v>0</v>
      </c>
      <c r="AR148" s="102" t="str">
        <f t="shared" si="105"/>
        <v>#REF!</v>
      </c>
      <c r="AS148" s="102" t="str">
        <f t="shared" si="105"/>
        <v>#REF!</v>
      </c>
      <c r="AT148" s="102" t="str">
        <f t="shared" si="105"/>
        <v>#REF!</v>
      </c>
      <c r="AU148" s="102" t="str">
        <f t="shared" si="105"/>
        <v>#REF!</v>
      </c>
      <c r="AV148" s="102" t="str">
        <f t="shared" si="105"/>
        <v>#REF!</v>
      </c>
      <c r="AW148" s="90"/>
      <c r="AX148" s="90"/>
      <c r="AY148" s="90"/>
      <c r="AZ148" s="90"/>
      <c r="BA148" s="90"/>
      <c r="BB148" s="90"/>
      <c r="BC148" s="90"/>
      <c r="BD148" s="90"/>
      <c r="BE148" s="90"/>
      <c r="BF148" s="90"/>
      <c r="BG148" s="90"/>
      <c r="BH148" s="90"/>
      <c r="BI148" s="90"/>
      <c r="BJ148" s="90"/>
      <c r="BK148" s="90"/>
      <c r="BL148" s="90"/>
      <c r="BM148" s="90"/>
      <c r="BN148" s="90"/>
      <c r="BO148" s="90"/>
      <c r="BP148" s="90"/>
    </row>
    <row r="149" ht="12.75" customHeight="1" outlineLevel="1">
      <c r="A149" s="90" t="s">
        <v>290</v>
      </c>
      <c r="C149" s="102">
        <f>'RSGen 1-7'!K$294</f>
        <v>82800</v>
      </c>
      <c r="D149" s="102">
        <f>OFFSET(RSGen_Walton!$G$10,0,ROW(C149)-ROW($C$145))</f>
        <v>82800</v>
      </c>
      <c r="E149" s="102">
        <f>OFFSET(RSGen_none!$G$10,0,ROW(D149)-ROW($C$145))</f>
        <v>82800</v>
      </c>
      <c r="F149" s="102"/>
      <c r="G149" s="102"/>
      <c r="H149" s="308"/>
      <c r="I149" s="308"/>
      <c r="J149" s="308"/>
      <c r="K149" s="306"/>
      <c r="L149" s="306"/>
      <c r="M149" s="306"/>
      <c r="N149" s="306"/>
      <c r="O149" s="306"/>
      <c r="P149" s="102">
        <f t="shared" ref="P149:AL149" si="106">P$109*(MAX(0,MIN(P10,SUM(P10:P$15)-$E$4))*$E149+MAX(0,MIN(P10,$D$4-SUM(P11:P$15)))*$C149+(P10-(MAX(0,MIN(P10,SUM(P10:P$15)-$E$4))+MAX(0,MIN(P10,$D$4-SUM(P11:P$15)))))*$D149)</f>
        <v>175736.0448</v>
      </c>
      <c r="Q149" s="102">
        <f t="shared" si="106"/>
        <v>268876.1485</v>
      </c>
      <c r="R149" s="102">
        <f t="shared" si="106"/>
        <v>457089.4525</v>
      </c>
      <c r="S149" s="102">
        <f t="shared" si="106"/>
        <v>745969.9865</v>
      </c>
      <c r="T149" s="102">
        <f t="shared" si="106"/>
        <v>1236445.253</v>
      </c>
      <c r="U149" s="102">
        <f t="shared" si="106"/>
        <v>2134294.728</v>
      </c>
      <c r="V149" s="102">
        <f t="shared" si="106"/>
        <v>3364424.599</v>
      </c>
      <c r="W149" s="102">
        <f t="shared" si="106"/>
        <v>4541973.209</v>
      </c>
      <c r="X149" s="102">
        <f t="shared" si="106"/>
        <v>4632812.673</v>
      </c>
      <c r="Y149" s="102">
        <f t="shared" si="106"/>
        <v>6930687.759</v>
      </c>
      <c r="Z149" s="102">
        <f t="shared" si="106"/>
        <v>8568850.32</v>
      </c>
      <c r="AA149" s="102">
        <f t="shared" si="106"/>
        <v>15513903.5</v>
      </c>
      <c r="AB149" s="102">
        <f t="shared" si="106"/>
        <v>21507514.39</v>
      </c>
      <c r="AC149" s="102">
        <f t="shared" si="106"/>
        <v>27507330.84</v>
      </c>
      <c r="AD149" s="102">
        <f t="shared" si="106"/>
        <v>31651617.14</v>
      </c>
      <c r="AE149" s="102">
        <f t="shared" si="106"/>
        <v>38315847.73</v>
      </c>
      <c r="AF149" s="102">
        <f t="shared" si="106"/>
        <v>42218387.78</v>
      </c>
      <c r="AG149" s="102">
        <f t="shared" si="106"/>
        <v>42447573.31</v>
      </c>
      <c r="AH149" s="102">
        <f t="shared" si="106"/>
        <v>34135231.13</v>
      </c>
      <c r="AI149" s="102">
        <f t="shared" si="106"/>
        <v>4224234.852</v>
      </c>
      <c r="AJ149" s="102">
        <f t="shared" si="106"/>
        <v>0</v>
      </c>
      <c r="AK149" s="102">
        <f t="shared" si="106"/>
        <v>0</v>
      </c>
      <c r="AL149" s="102">
        <f t="shared" si="106"/>
        <v>0</v>
      </c>
      <c r="AM149" s="102">
        <f t="shared" ref="AM149:AV149" si="107">$D149*AM$109*AM10</f>
        <v>0</v>
      </c>
      <c r="AN149" s="102">
        <f t="shared" si="107"/>
        <v>0</v>
      </c>
      <c r="AO149" s="102">
        <f t="shared" si="107"/>
        <v>0</v>
      </c>
      <c r="AP149" s="102">
        <f t="shared" si="107"/>
        <v>0</v>
      </c>
      <c r="AQ149" s="102">
        <f t="shared" si="107"/>
        <v>0</v>
      </c>
      <c r="AR149" s="102">
        <f t="shared" si="107"/>
        <v>0</v>
      </c>
      <c r="AS149" s="102" t="str">
        <f t="shared" si="107"/>
        <v>#REF!</v>
      </c>
      <c r="AT149" s="102" t="str">
        <f t="shared" si="107"/>
        <v>#REF!</v>
      </c>
      <c r="AU149" s="102" t="str">
        <f t="shared" si="107"/>
        <v>#REF!</v>
      </c>
      <c r="AV149" s="102" t="str">
        <f t="shared" si="107"/>
        <v>#REF!</v>
      </c>
      <c r="AW149" s="90"/>
      <c r="AX149" s="90"/>
      <c r="AY149" s="90"/>
      <c r="AZ149" s="90"/>
      <c r="BA149" s="90"/>
      <c r="BB149" s="90"/>
      <c r="BC149" s="90"/>
      <c r="BD149" s="90"/>
      <c r="BE149" s="90"/>
      <c r="BF149" s="90"/>
      <c r="BG149" s="90"/>
      <c r="BH149" s="90"/>
      <c r="BI149" s="90"/>
      <c r="BJ149" s="90"/>
      <c r="BK149" s="90"/>
      <c r="BL149" s="90"/>
      <c r="BM149" s="90"/>
      <c r="BN149" s="90"/>
      <c r="BO149" s="90"/>
      <c r="BP149" s="90"/>
    </row>
    <row r="150" ht="12.75" customHeight="1" outlineLevel="1">
      <c r="A150" s="90" t="s">
        <v>291</v>
      </c>
      <c r="C150" s="102">
        <f>'RSGen 1-7'!L$294</f>
        <v>82800</v>
      </c>
      <c r="D150" s="102">
        <f>OFFSET(RSGen_Walton!$G$10,0,ROW(C150)-ROW($C$145))</f>
        <v>82800</v>
      </c>
      <c r="E150" s="102">
        <f>OFFSET(RSGen_none!$G$10,0,ROW(D150)-ROW($C$145))</f>
        <v>82800</v>
      </c>
      <c r="F150" s="102"/>
      <c r="G150" s="102"/>
      <c r="H150" s="308"/>
      <c r="I150" s="308"/>
      <c r="J150" s="308"/>
      <c r="K150" s="306"/>
      <c r="L150" s="306"/>
      <c r="M150" s="306"/>
      <c r="N150" s="306"/>
      <c r="O150" s="306"/>
      <c r="P150" s="306"/>
      <c r="Q150" s="102">
        <f t="shared" ref="Q150:AL150" si="108">Q$109*(MAX(0,MIN(Q11,SUM(Q11:Q$15)-$E$4))*$E150+MAX(0,MIN(Q11,$D$4-SUM(Q12:Q$15)))*$C150+(Q11-(MAX(0,MIN(Q11,SUM(Q11:Q$15)-$E$4))+MAX(0,MIN(Q11,$D$4-SUM(Q12:Q$15)))))*$D150)</f>
        <v>179250.7657</v>
      </c>
      <c r="R150" s="102">
        <f t="shared" si="108"/>
        <v>274253.6715</v>
      </c>
      <c r="S150" s="102">
        <f t="shared" si="108"/>
        <v>466231.2416</v>
      </c>
      <c r="T150" s="102">
        <f t="shared" si="108"/>
        <v>760889.3863</v>
      </c>
      <c r="U150" s="102">
        <f t="shared" si="108"/>
        <v>1261174.158</v>
      </c>
      <c r="V150" s="102">
        <f t="shared" si="108"/>
        <v>2176980.623</v>
      </c>
      <c r="W150" s="102">
        <f t="shared" si="108"/>
        <v>3431713.091</v>
      </c>
      <c r="X150" s="102">
        <f t="shared" si="108"/>
        <v>4632812.673</v>
      </c>
      <c r="Y150" s="102">
        <f t="shared" si="108"/>
        <v>4725468.927</v>
      </c>
      <c r="Z150" s="102">
        <f t="shared" si="108"/>
        <v>7069301.514</v>
      </c>
      <c r="AA150" s="102">
        <f t="shared" si="108"/>
        <v>8740227.327</v>
      </c>
      <c r="AB150" s="102">
        <f t="shared" si="108"/>
        <v>15824181.57</v>
      </c>
      <c r="AC150" s="102">
        <f t="shared" si="108"/>
        <v>21937664.68</v>
      </c>
      <c r="AD150" s="102">
        <f t="shared" si="108"/>
        <v>28057477.46</v>
      </c>
      <c r="AE150" s="102">
        <f t="shared" si="108"/>
        <v>32284649.48</v>
      </c>
      <c r="AF150" s="102">
        <f t="shared" si="108"/>
        <v>39082164.69</v>
      </c>
      <c r="AG150" s="102">
        <f t="shared" si="108"/>
        <v>43062755.54</v>
      </c>
      <c r="AH150" s="102">
        <f t="shared" si="108"/>
        <v>43296524.78</v>
      </c>
      <c r="AI150" s="102">
        <f t="shared" si="108"/>
        <v>34817935.75</v>
      </c>
      <c r="AJ150" s="102">
        <f t="shared" si="108"/>
        <v>4308719.549</v>
      </c>
      <c r="AK150" s="102">
        <f t="shared" si="108"/>
        <v>0</v>
      </c>
      <c r="AL150" s="102">
        <f t="shared" si="108"/>
        <v>0</v>
      </c>
      <c r="AM150" s="102">
        <f t="shared" ref="AM150:AV150" si="109">$D150*AM$109*AM11</f>
        <v>0</v>
      </c>
      <c r="AN150" s="102">
        <f t="shared" si="109"/>
        <v>0</v>
      </c>
      <c r="AO150" s="102">
        <f t="shared" si="109"/>
        <v>0</v>
      </c>
      <c r="AP150" s="102">
        <f t="shared" si="109"/>
        <v>0</v>
      </c>
      <c r="AQ150" s="102">
        <f t="shared" si="109"/>
        <v>0</v>
      </c>
      <c r="AR150" s="102">
        <f t="shared" si="109"/>
        <v>0</v>
      </c>
      <c r="AS150" s="102">
        <f t="shared" si="109"/>
        <v>0</v>
      </c>
      <c r="AT150" s="102" t="str">
        <f t="shared" si="109"/>
        <v>#REF!</v>
      </c>
      <c r="AU150" s="102" t="str">
        <f t="shared" si="109"/>
        <v>#REF!</v>
      </c>
      <c r="AV150" s="102" t="str">
        <f t="shared" si="109"/>
        <v>#REF!</v>
      </c>
      <c r="AW150" s="90"/>
      <c r="AX150" s="90"/>
      <c r="AY150" s="90"/>
      <c r="AZ150" s="90"/>
      <c r="BA150" s="90"/>
      <c r="BB150" s="90"/>
      <c r="BC150" s="90"/>
      <c r="BD150" s="90"/>
      <c r="BE150" s="90"/>
      <c r="BF150" s="90"/>
      <c r="BG150" s="90"/>
      <c r="BH150" s="90"/>
      <c r="BI150" s="90"/>
      <c r="BJ150" s="90"/>
      <c r="BK150" s="90"/>
      <c r="BL150" s="90"/>
      <c r="BM150" s="90"/>
      <c r="BN150" s="90"/>
      <c r="BO150" s="90"/>
      <c r="BP150" s="90"/>
    </row>
    <row r="151" ht="12.75" customHeight="1" outlineLevel="1">
      <c r="A151" s="90" t="s">
        <v>292</v>
      </c>
      <c r="C151" s="102">
        <f>'RSGen 1-7'!M$294</f>
        <v>82800</v>
      </c>
      <c r="D151" s="102">
        <f>OFFSET(RSGen_Walton!$G$10,0,ROW(C151)-ROW($C$145))</f>
        <v>82800</v>
      </c>
      <c r="E151" s="102">
        <f>OFFSET(RSGen_none!$G$10,0,ROW(D151)-ROW($C$145))</f>
        <v>82800</v>
      </c>
      <c r="F151" s="102"/>
      <c r="G151" s="102"/>
      <c r="H151" s="308"/>
      <c r="I151" s="308"/>
      <c r="J151" s="308"/>
      <c r="K151" s="306"/>
      <c r="L151" s="306"/>
      <c r="M151" s="306"/>
      <c r="N151" s="306"/>
      <c r="O151" s="306"/>
      <c r="P151" s="306"/>
      <c r="Q151" s="306"/>
      <c r="R151" s="102">
        <f t="shared" ref="R151:AL151" si="110">R$109*(MAX(0,MIN(R12,SUM(R12:R$15)-$E$4))*$E151+MAX(0,MIN(R12,$D$4-SUM(R13:R$15)))*$C151+(R12-(MAX(0,MIN(R12,SUM(R12:R$15)-$E$4))+MAX(0,MIN(R12,$D$4-SUM(R13:R$15)))))*$D151)</f>
        <v>182835.781</v>
      </c>
      <c r="S151" s="102">
        <f t="shared" si="110"/>
        <v>279738.7449</v>
      </c>
      <c r="T151" s="102">
        <f t="shared" si="110"/>
        <v>475555.8664</v>
      </c>
      <c r="U151" s="102">
        <f t="shared" si="110"/>
        <v>776107.174</v>
      </c>
      <c r="V151" s="102">
        <f t="shared" si="110"/>
        <v>1286397.641</v>
      </c>
      <c r="W151" s="102">
        <f t="shared" si="110"/>
        <v>2220520.235</v>
      </c>
      <c r="X151" s="102">
        <f t="shared" si="110"/>
        <v>3500347.353</v>
      </c>
      <c r="Y151" s="102">
        <f t="shared" si="110"/>
        <v>4725468.927</v>
      </c>
      <c r="Z151" s="102">
        <f t="shared" si="110"/>
        <v>4819978.305</v>
      </c>
      <c r="AA151" s="102">
        <f t="shared" si="110"/>
        <v>7210687.544</v>
      </c>
      <c r="AB151" s="102">
        <f t="shared" si="110"/>
        <v>8915031.873</v>
      </c>
      <c r="AC151" s="102">
        <f t="shared" si="110"/>
        <v>16140665.21</v>
      </c>
      <c r="AD151" s="102">
        <f t="shared" si="110"/>
        <v>22376417.98</v>
      </c>
      <c r="AE151" s="102">
        <f t="shared" si="110"/>
        <v>28618627.01</v>
      </c>
      <c r="AF151" s="102">
        <f t="shared" si="110"/>
        <v>32930342.47</v>
      </c>
      <c r="AG151" s="102">
        <f t="shared" si="110"/>
        <v>39863807.98</v>
      </c>
      <c r="AH151" s="102">
        <f t="shared" si="110"/>
        <v>43924010.65</v>
      </c>
      <c r="AI151" s="102">
        <f t="shared" si="110"/>
        <v>44162455.28</v>
      </c>
      <c r="AJ151" s="102">
        <f t="shared" si="110"/>
        <v>35514294.47</v>
      </c>
      <c r="AK151" s="102">
        <f t="shared" si="110"/>
        <v>4394893.94</v>
      </c>
      <c r="AL151" s="102">
        <f t="shared" si="110"/>
        <v>0</v>
      </c>
      <c r="AM151" s="102">
        <f t="shared" ref="AM151:AV151" si="111">$D151*AM$109*AM12</f>
        <v>0</v>
      </c>
      <c r="AN151" s="102">
        <f t="shared" si="111"/>
        <v>0</v>
      </c>
      <c r="AO151" s="102">
        <f t="shared" si="111"/>
        <v>0</v>
      </c>
      <c r="AP151" s="102">
        <f t="shared" si="111"/>
        <v>0</v>
      </c>
      <c r="AQ151" s="102">
        <f t="shared" si="111"/>
        <v>0</v>
      </c>
      <c r="AR151" s="102">
        <f t="shared" si="111"/>
        <v>0</v>
      </c>
      <c r="AS151" s="102">
        <f t="shared" si="111"/>
        <v>0</v>
      </c>
      <c r="AT151" s="102">
        <f t="shared" si="111"/>
        <v>0</v>
      </c>
      <c r="AU151" s="102" t="str">
        <f t="shared" si="111"/>
        <v>#REF!</v>
      </c>
      <c r="AV151" s="102" t="str">
        <f t="shared" si="111"/>
        <v>#REF!</v>
      </c>
      <c r="AW151" s="90"/>
      <c r="AX151" s="90"/>
      <c r="AY151" s="90"/>
      <c r="AZ151" s="90"/>
      <c r="BA151" s="90"/>
      <c r="BB151" s="90"/>
      <c r="BC151" s="90"/>
      <c r="BD151" s="90"/>
      <c r="BE151" s="90"/>
      <c r="BF151" s="90"/>
      <c r="BG151" s="90"/>
      <c r="BH151" s="90"/>
      <c r="BI151" s="90"/>
      <c r="BJ151" s="90"/>
      <c r="BK151" s="90"/>
      <c r="BL151" s="90"/>
      <c r="BM151" s="90"/>
      <c r="BN151" s="90"/>
      <c r="BO151" s="90"/>
      <c r="BP151" s="90"/>
    </row>
    <row r="152" ht="12.75" customHeight="1" outlineLevel="1">
      <c r="A152" s="90" t="s">
        <v>293</v>
      </c>
      <c r="C152" s="102">
        <f>'RSGen 1-7'!N$294</f>
        <v>82800</v>
      </c>
      <c r="D152" s="102">
        <f>OFFSET(RSGen_Walton!$G$10,0,ROW(C152)-ROW($C$145))</f>
        <v>82800</v>
      </c>
      <c r="E152" s="102">
        <f>OFFSET(RSGen_none!$G$10,0,ROW(D152)-ROW($C$145))</f>
        <v>82800</v>
      </c>
      <c r="F152" s="102"/>
      <c r="G152" s="102"/>
      <c r="H152" s="308"/>
      <c r="I152" s="308"/>
      <c r="J152" s="308"/>
      <c r="K152" s="306"/>
      <c r="L152" s="306"/>
      <c r="M152" s="306"/>
      <c r="N152" s="306"/>
      <c r="O152" s="306"/>
      <c r="P152" s="306"/>
      <c r="Q152" s="306"/>
      <c r="R152" s="306"/>
      <c r="S152" s="102">
        <f t="shared" ref="S152:AL152" si="112">S$109*(MAX(0,MIN(S13,SUM(S13:S$15)-$E$4))*$E152+MAX(0,MIN(S13,$D$4-SUM(S14:S$15)))*$C152+(S13-(MAX(0,MIN(S13,SUM(S13:S$15)-$E$4))+MAX(0,MIN(S13,$D$4-SUM(S14:S$15)))))*$D152)</f>
        <v>186492.4966</v>
      </c>
      <c r="T152" s="102">
        <f t="shared" si="112"/>
        <v>285333.5198</v>
      </c>
      <c r="U152" s="102">
        <f t="shared" si="112"/>
        <v>485066.9837</v>
      </c>
      <c r="V152" s="102">
        <f t="shared" si="112"/>
        <v>791629.3175</v>
      </c>
      <c r="W152" s="102">
        <f t="shared" si="112"/>
        <v>1312125.594</v>
      </c>
      <c r="X152" s="102">
        <f t="shared" si="112"/>
        <v>2264930.64</v>
      </c>
      <c r="Y152" s="102">
        <f t="shared" si="112"/>
        <v>3570354.3</v>
      </c>
      <c r="Z152" s="102">
        <f t="shared" si="112"/>
        <v>4819978.305</v>
      </c>
      <c r="AA152" s="102">
        <f t="shared" si="112"/>
        <v>4916377.871</v>
      </c>
      <c r="AB152" s="102">
        <f t="shared" si="112"/>
        <v>7354901.295</v>
      </c>
      <c r="AC152" s="102">
        <f t="shared" si="112"/>
        <v>9093332.511</v>
      </c>
      <c r="AD152" s="102">
        <f t="shared" si="112"/>
        <v>16463478.51</v>
      </c>
      <c r="AE152" s="102">
        <f t="shared" si="112"/>
        <v>22823946.33</v>
      </c>
      <c r="AF152" s="102">
        <f t="shared" si="112"/>
        <v>29190999.55</v>
      </c>
      <c r="AG152" s="102">
        <f t="shared" si="112"/>
        <v>33588949.32</v>
      </c>
      <c r="AH152" s="102">
        <f t="shared" si="112"/>
        <v>40661084.14</v>
      </c>
      <c r="AI152" s="102">
        <f t="shared" si="112"/>
        <v>44802490.86</v>
      </c>
      <c r="AJ152" s="102">
        <f t="shared" si="112"/>
        <v>45045704.38</v>
      </c>
      <c r="AK152" s="102">
        <f t="shared" si="112"/>
        <v>36224580.36</v>
      </c>
      <c r="AL152" s="102">
        <f t="shared" si="112"/>
        <v>4482791.819</v>
      </c>
      <c r="AM152" s="102">
        <f t="shared" ref="AM152:AV152" si="113">$D152*AM$109*AM13</f>
        <v>0</v>
      </c>
      <c r="AN152" s="102">
        <f t="shared" si="113"/>
        <v>0</v>
      </c>
      <c r="AO152" s="102">
        <f t="shared" si="113"/>
        <v>0</v>
      </c>
      <c r="AP152" s="102">
        <f t="shared" si="113"/>
        <v>0</v>
      </c>
      <c r="AQ152" s="102">
        <f t="shared" si="113"/>
        <v>0</v>
      </c>
      <c r="AR152" s="102">
        <f t="shared" si="113"/>
        <v>0</v>
      </c>
      <c r="AS152" s="102">
        <f t="shared" si="113"/>
        <v>0</v>
      </c>
      <c r="AT152" s="102">
        <f t="shared" si="113"/>
        <v>0</v>
      </c>
      <c r="AU152" s="102">
        <f t="shared" si="113"/>
        <v>0</v>
      </c>
      <c r="AV152" s="102" t="str">
        <f t="shared" si="113"/>
        <v>#REF!</v>
      </c>
      <c r="AW152" s="90"/>
      <c r="AX152" s="90"/>
      <c r="AY152" s="90"/>
      <c r="AZ152" s="90"/>
      <c r="BA152" s="90"/>
      <c r="BB152" s="90"/>
      <c r="BC152" s="90"/>
      <c r="BD152" s="90"/>
      <c r="BE152" s="90"/>
      <c r="BF152" s="90"/>
      <c r="BG152" s="90"/>
      <c r="BH152" s="90"/>
      <c r="BI152" s="90"/>
      <c r="BJ152" s="90"/>
      <c r="BK152" s="90"/>
      <c r="BL152" s="90"/>
      <c r="BM152" s="90"/>
      <c r="BN152" s="90"/>
      <c r="BO152" s="90"/>
      <c r="BP152" s="90"/>
    </row>
    <row r="153" ht="12.75" customHeight="1" outlineLevel="1">
      <c r="A153" s="90" t="s">
        <v>294</v>
      </c>
      <c r="C153" s="102">
        <f>'RSGen 1-7'!O$294</f>
        <v>82800</v>
      </c>
      <c r="D153" s="102">
        <f>OFFSET(RSGen_Walton!$G$10,0,ROW(C153)-ROW($C$145))</f>
        <v>82800</v>
      </c>
      <c r="E153" s="102">
        <f>OFFSET(RSGen_none!$G$10,0,ROW(D153)-ROW($C$145))</f>
        <v>82800</v>
      </c>
      <c r="F153" s="102"/>
      <c r="G153" s="102"/>
      <c r="H153" s="308"/>
      <c r="I153" s="308"/>
      <c r="J153" s="308"/>
      <c r="K153" s="306"/>
      <c r="L153" s="306"/>
      <c r="M153" s="306"/>
      <c r="N153" s="306"/>
      <c r="O153" s="306"/>
      <c r="P153" s="306"/>
      <c r="Q153" s="306"/>
      <c r="R153" s="306"/>
      <c r="S153" s="306"/>
      <c r="T153" s="102">
        <f t="shared" ref="T153:AL153" si="114">T$109*(MAX(0,MIN(T14,SUM(T14:T$15)-$E$4))*$E153+MAX(0,MIN(T14,$D$4-SUM(T$15:T15)))*$C153+(T14-(MAX(0,MIN(T14,SUM(T14:T$15)-$E$4))+MAX(0,MIN(T14,$D$4-SUM(T$15:T15)))))*$D153)</f>
        <v>190222.3466</v>
      </c>
      <c r="U153" s="102">
        <f t="shared" si="114"/>
        <v>291040.1902</v>
      </c>
      <c r="V153" s="102">
        <f t="shared" si="114"/>
        <v>494768.3234</v>
      </c>
      <c r="W153" s="102">
        <f t="shared" si="114"/>
        <v>807461.9038</v>
      </c>
      <c r="X153" s="102">
        <f t="shared" si="114"/>
        <v>1338368.106</v>
      </c>
      <c r="Y153" s="102">
        <f t="shared" si="114"/>
        <v>2310229.253</v>
      </c>
      <c r="Z153" s="102">
        <f t="shared" si="114"/>
        <v>3641761.386</v>
      </c>
      <c r="AA153" s="102">
        <f t="shared" si="114"/>
        <v>4916377.871</v>
      </c>
      <c r="AB153" s="102">
        <f t="shared" si="114"/>
        <v>5014705.429</v>
      </c>
      <c r="AC153" s="102">
        <f t="shared" si="114"/>
        <v>7501999.321</v>
      </c>
      <c r="AD153" s="102">
        <f t="shared" si="114"/>
        <v>9275199.161</v>
      </c>
      <c r="AE153" s="102">
        <f t="shared" si="114"/>
        <v>16792748.08</v>
      </c>
      <c r="AF153" s="102">
        <f t="shared" si="114"/>
        <v>23280425.26</v>
      </c>
      <c r="AG153" s="102">
        <f t="shared" si="114"/>
        <v>29774819.54</v>
      </c>
      <c r="AH153" s="102">
        <f t="shared" si="114"/>
        <v>34260728.3</v>
      </c>
      <c r="AI153" s="102">
        <f t="shared" si="114"/>
        <v>41474305.82</v>
      </c>
      <c r="AJ153" s="102">
        <f t="shared" si="114"/>
        <v>45698540.68</v>
      </c>
      <c r="AK153" s="102">
        <f t="shared" si="114"/>
        <v>45946618.47</v>
      </c>
      <c r="AL153" s="102">
        <f t="shared" si="114"/>
        <v>36949071.96</v>
      </c>
      <c r="AM153" s="102">
        <f t="shared" ref="AM153:AV153" si="115">$D153*AM$109*AM14</f>
        <v>4572447.656</v>
      </c>
      <c r="AN153" s="102">
        <f t="shared" si="115"/>
        <v>0</v>
      </c>
      <c r="AO153" s="102">
        <f t="shared" si="115"/>
        <v>0</v>
      </c>
      <c r="AP153" s="102">
        <f t="shared" si="115"/>
        <v>0</v>
      </c>
      <c r="AQ153" s="102">
        <f t="shared" si="115"/>
        <v>0</v>
      </c>
      <c r="AR153" s="102">
        <f t="shared" si="115"/>
        <v>0</v>
      </c>
      <c r="AS153" s="102">
        <f t="shared" si="115"/>
        <v>0</v>
      </c>
      <c r="AT153" s="102">
        <f t="shared" si="115"/>
        <v>0</v>
      </c>
      <c r="AU153" s="102">
        <f t="shared" si="115"/>
        <v>0</v>
      </c>
      <c r="AV153" s="102">
        <f t="shared" si="115"/>
        <v>0</v>
      </c>
      <c r="AW153" s="90"/>
      <c r="AX153" s="90"/>
      <c r="AY153" s="90"/>
      <c r="AZ153" s="90"/>
      <c r="BA153" s="90"/>
      <c r="BB153" s="90"/>
      <c r="BC153" s="90"/>
      <c r="BD153" s="90"/>
      <c r="BE153" s="90"/>
      <c r="BF153" s="90"/>
      <c r="BG153" s="90"/>
      <c r="BH153" s="90"/>
      <c r="BI153" s="90"/>
      <c r="BJ153" s="90"/>
      <c r="BK153" s="90"/>
      <c r="BL153" s="90"/>
      <c r="BM153" s="90"/>
      <c r="BN153" s="90"/>
      <c r="BO153" s="90"/>
      <c r="BP153" s="90"/>
    </row>
    <row r="154" ht="12.75" customHeight="1" outlineLevel="1">
      <c r="A154" s="90" t="s">
        <v>589</v>
      </c>
      <c r="C154" s="102">
        <f>'RSGen 1-7'!P$294</f>
        <v>82800</v>
      </c>
      <c r="D154" s="102">
        <f>OFFSET(RSGen_Walton!$G$10,0,ROW(C154)-ROW($C$145))</f>
        <v>82800</v>
      </c>
      <c r="E154" s="102">
        <f>OFFSET(RSGen_none!$G$10,0,ROW(D154)-ROW($C$145))</f>
        <v>82800</v>
      </c>
      <c r="F154" s="102"/>
      <c r="G154" s="102"/>
      <c r="H154" s="308"/>
      <c r="I154" s="308"/>
      <c r="J154" s="308"/>
      <c r="K154" s="306"/>
      <c r="L154" s="306"/>
      <c r="M154" s="306"/>
      <c r="N154" s="306"/>
      <c r="O154" s="306"/>
      <c r="P154" s="306"/>
      <c r="Q154" s="306"/>
      <c r="R154" s="306"/>
      <c r="S154" s="306"/>
      <c r="T154" s="306"/>
      <c r="U154" s="102">
        <f t="shared" ref="U154:AL154" si="116">U$109*($C154*MIN($D$4-3,U15-3)+$D154*MIN($E$4-$D$4,MAX(0,U15-$D$4))+$E154*MAX(0,U15-$E$4))</f>
        <v>194026.7935</v>
      </c>
      <c r="V154" s="102">
        <f t="shared" si="116"/>
        <v>494768.3234</v>
      </c>
      <c r="W154" s="102">
        <f t="shared" si="116"/>
        <v>1009327.38</v>
      </c>
      <c r="X154" s="102">
        <f t="shared" si="116"/>
        <v>1853125.069</v>
      </c>
      <c r="Y154" s="102">
        <f t="shared" si="116"/>
        <v>3255323.038</v>
      </c>
      <c r="Z154" s="102">
        <f t="shared" si="116"/>
        <v>5676863.337</v>
      </c>
      <c r="AA154" s="102">
        <f t="shared" si="116"/>
        <v>9504997.218</v>
      </c>
      <c r="AB154" s="102">
        <f t="shared" si="116"/>
        <v>14709802.59</v>
      </c>
      <c r="AC154" s="102">
        <f t="shared" si="116"/>
        <v>20118998.18</v>
      </c>
      <c r="AD154" s="102">
        <f t="shared" si="116"/>
        <v>28173417.45</v>
      </c>
      <c r="AE154" s="102">
        <f t="shared" si="116"/>
        <v>38197588.94</v>
      </c>
      <c r="AF154" s="102">
        <f t="shared" si="116"/>
        <v>56090143.76</v>
      </c>
      <c r="AG154" s="102">
        <f t="shared" si="116"/>
        <v>80957980.41</v>
      </c>
      <c r="AH154" s="102">
        <f t="shared" si="116"/>
        <v>112947455.9</v>
      </c>
      <c r="AI154" s="102">
        <f t="shared" si="116"/>
        <v>150152347.9</v>
      </c>
      <c r="AJ154" s="102">
        <f t="shared" si="116"/>
        <v>195459186.8</v>
      </c>
      <c r="AK154" s="102">
        <f t="shared" si="116"/>
        <v>245980882.1</v>
      </c>
      <c r="AL154" s="102">
        <f t="shared" si="116"/>
        <v>297766050.5</v>
      </c>
      <c r="AM154" s="102">
        <f t="shared" ref="AM154:AV154" si="117">$C154*AM$109*(4)+$D154*AM$109*(AM15-7)</f>
        <v>341409425</v>
      </c>
      <c r="AN154" s="102">
        <f t="shared" si="117"/>
        <v>352901510.1</v>
      </c>
      <c r="AO154" s="102">
        <f t="shared" si="117"/>
        <v>359959540.3</v>
      </c>
      <c r="AP154" s="102">
        <f t="shared" si="117"/>
        <v>367158731.1</v>
      </c>
      <c r="AQ154" s="102">
        <f t="shared" si="117"/>
        <v>374501905.7</v>
      </c>
      <c r="AR154" s="102">
        <f t="shared" si="117"/>
        <v>381991943.8</v>
      </c>
      <c r="AS154" s="102">
        <f t="shared" si="117"/>
        <v>389631782.7</v>
      </c>
      <c r="AT154" s="102">
        <f t="shared" si="117"/>
        <v>397424418.3</v>
      </c>
      <c r="AU154" s="102">
        <f t="shared" si="117"/>
        <v>405372906.7</v>
      </c>
      <c r="AV154" s="102">
        <f t="shared" si="117"/>
        <v>413480364.8</v>
      </c>
      <c r="AW154" s="90"/>
      <c r="AX154" s="90"/>
      <c r="AY154" s="90"/>
      <c r="AZ154" s="90"/>
      <c r="BA154" s="90"/>
      <c r="BB154" s="90"/>
      <c r="BC154" s="90"/>
      <c r="BD154" s="90"/>
      <c r="BE154" s="90"/>
      <c r="BF154" s="90"/>
      <c r="BG154" s="90"/>
      <c r="BH154" s="90"/>
      <c r="BI154" s="90"/>
      <c r="BJ154" s="90"/>
      <c r="BK154" s="90"/>
      <c r="BL154" s="90"/>
      <c r="BM154" s="90"/>
      <c r="BN154" s="90"/>
      <c r="BO154" s="90"/>
      <c r="BP154" s="90"/>
    </row>
    <row r="155" ht="12.75" customHeight="1" outlineLevel="1">
      <c r="A155" s="143" t="s">
        <v>593</v>
      </c>
      <c r="B155" s="143"/>
      <c r="C155" s="309"/>
      <c r="D155" s="309"/>
      <c r="E155" s="309"/>
      <c r="F155" s="309"/>
      <c r="G155" s="309"/>
      <c r="H155" s="310"/>
      <c r="I155" s="310"/>
      <c r="J155" s="310"/>
      <c r="K155" s="311"/>
      <c r="L155" s="309">
        <f t="shared" ref="L155:AV155" si="118">SUM(L145:L154)</f>
        <v>0</v>
      </c>
      <c r="M155" s="309">
        <f t="shared" si="118"/>
        <v>0</v>
      </c>
      <c r="N155" s="309">
        <f t="shared" si="118"/>
        <v>120023.808</v>
      </c>
      <c r="O155" s="309">
        <f t="shared" si="118"/>
        <v>332368.681</v>
      </c>
      <c r="P155" s="309">
        <f t="shared" si="118"/>
        <v>715478.3191</v>
      </c>
      <c r="Q155" s="309">
        <f t="shared" si="118"/>
        <v>1344460.41</v>
      </c>
      <c r="R155" s="309">
        <f t="shared" si="118"/>
        <v>2389986.933</v>
      </c>
      <c r="S155" s="309">
        <f t="shared" si="118"/>
        <v>4182560.018</v>
      </c>
      <c r="T155" s="309">
        <f t="shared" si="118"/>
        <v>7052610.205</v>
      </c>
      <c r="U155" s="309">
        <f t="shared" si="118"/>
        <v>11091220.15</v>
      </c>
      <c r="V155" s="309">
        <f t="shared" si="118"/>
        <v>15617125.5</v>
      </c>
      <c r="W155" s="309">
        <f t="shared" si="118"/>
        <v>21977556.61</v>
      </c>
      <c r="X155" s="309">
        <f t="shared" si="118"/>
        <v>29940441.41</v>
      </c>
      <c r="Y155" s="309">
        <f t="shared" si="118"/>
        <v>43365334.61</v>
      </c>
      <c r="Z155" s="309">
        <f t="shared" si="118"/>
        <v>62415907.27</v>
      </c>
      <c r="AA155" s="309">
        <f t="shared" si="118"/>
        <v>87792112.74</v>
      </c>
      <c r="AB155" s="309">
        <f t="shared" si="118"/>
        <v>118224012.1</v>
      </c>
      <c r="AC155" s="309">
        <f t="shared" si="118"/>
        <v>155256857.6</v>
      </c>
      <c r="AD155" s="309">
        <f t="shared" si="118"/>
        <v>197260020.3</v>
      </c>
      <c r="AE155" s="309">
        <f t="shared" si="118"/>
        <v>241755220.4</v>
      </c>
      <c r="AF155" s="309">
        <f t="shared" si="118"/>
        <v>282031100.2</v>
      </c>
      <c r="AG155" s="309">
        <f t="shared" si="118"/>
        <v>301470919.2</v>
      </c>
      <c r="AH155" s="309">
        <f t="shared" si="118"/>
        <v>312800169.3</v>
      </c>
      <c r="AI155" s="309">
        <f t="shared" si="118"/>
        <v>319633770.5</v>
      </c>
      <c r="AJ155" s="309">
        <f t="shared" si="118"/>
        <v>326026445.9</v>
      </c>
      <c r="AK155" s="309">
        <f t="shared" si="118"/>
        <v>332546974.8</v>
      </c>
      <c r="AL155" s="309">
        <f t="shared" si="118"/>
        <v>339197914.3</v>
      </c>
      <c r="AM155" s="309">
        <f t="shared" si="118"/>
        <v>345981872.6</v>
      </c>
      <c r="AN155" s="309">
        <f t="shared" si="118"/>
        <v>352901510.1</v>
      </c>
      <c r="AO155" s="309" t="str">
        <f t="shared" si="118"/>
        <v>#REF!</v>
      </c>
      <c r="AP155" s="309" t="str">
        <f t="shared" si="118"/>
        <v>#REF!</v>
      </c>
      <c r="AQ155" s="309" t="str">
        <f t="shared" si="118"/>
        <v>#REF!</v>
      </c>
      <c r="AR155" s="309" t="str">
        <f t="shared" si="118"/>
        <v>#REF!</v>
      </c>
      <c r="AS155" s="309" t="str">
        <f t="shared" si="118"/>
        <v>#REF!</v>
      </c>
      <c r="AT155" s="309" t="str">
        <f t="shared" si="118"/>
        <v>#REF!</v>
      </c>
      <c r="AU155" s="309" t="str">
        <f t="shared" si="118"/>
        <v>#REF!</v>
      </c>
      <c r="AV155" s="309" t="str">
        <f t="shared" si="118"/>
        <v>#REF!</v>
      </c>
      <c r="AW155" s="90"/>
      <c r="AX155" s="90"/>
      <c r="AY155" s="90"/>
      <c r="AZ155" s="90"/>
      <c r="BA155" s="90"/>
      <c r="BB155" s="90"/>
      <c r="BC155" s="90"/>
      <c r="BD155" s="90"/>
      <c r="BE155" s="90"/>
      <c r="BF155" s="90"/>
      <c r="BG155" s="90"/>
      <c r="BH155" s="90"/>
      <c r="BI155" s="90"/>
      <c r="BJ155" s="90"/>
      <c r="BK155" s="90"/>
      <c r="BL155" s="90"/>
      <c r="BM155" s="90"/>
      <c r="BN155" s="90"/>
      <c r="BO155" s="90"/>
      <c r="BP155" s="90"/>
    </row>
    <row r="156" ht="12.75" customHeight="1" outlineLevel="1">
      <c r="A156" s="90"/>
      <c r="B156" s="90"/>
      <c r="C156" s="102"/>
      <c r="D156" s="102"/>
      <c r="E156" s="102"/>
      <c r="F156" s="102"/>
      <c r="G156" s="102"/>
      <c r="H156" s="99"/>
      <c r="I156" s="99"/>
      <c r="J156" s="99"/>
      <c r="K156" s="102"/>
      <c r="L156" s="102"/>
      <c r="M156" s="102"/>
      <c r="N156" s="102"/>
      <c r="O156" s="102"/>
      <c r="P156" s="102"/>
      <c r="Q156" s="102"/>
      <c r="R156" s="102"/>
      <c r="S156" s="102"/>
      <c r="T156" s="102"/>
      <c r="U156" s="102"/>
      <c r="V156" s="102"/>
      <c r="W156" s="102"/>
      <c r="X156" s="102"/>
      <c r="Y156" s="102"/>
      <c r="Z156" s="102"/>
      <c r="AA156" s="102"/>
      <c r="AB156" s="102"/>
      <c r="AC156" s="102"/>
      <c r="AD156" s="102"/>
      <c r="AE156" s="102"/>
      <c r="AF156" s="102"/>
      <c r="AG156" s="102"/>
      <c r="AH156" s="102"/>
      <c r="AI156" s="102"/>
      <c r="AJ156" s="102"/>
      <c r="AK156" s="102"/>
      <c r="AL156" s="102"/>
      <c r="AM156" s="102"/>
      <c r="AN156" s="102"/>
      <c r="AO156" s="102"/>
      <c r="AP156" s="102"/>
      <c r="AQ156" s="102"/>
      <c r="AR156" s="102"/>
      <c r="AS156" s="102"/>
      <c r="AT156" s="102"/>
      <c r="AU156" s="102"/>
      <c r="AV156" s="102"/>
      <c r="AW156" s="90"/>
      <c r="AX156" s="90"/>
      <c r="AY156" s="90"/>
      <c r="AZ156" s="90"/>
      <c r="BA156" s="90"/>
      <c r="BB156" s="90"/>
      <c r="BC156" s="90"/>
      <c r="BD156" s="90"/>
      <c r="BE156" s="90"/>
      <c r="BF156" s="90"/>
      <c r="BG156" s="90"/>
      <c r="BH156" s="90"/>
      <c r="BI156" s="90"/>
      <c r="BJ156" s="90"/>
      <c r="BK156" s="90"/>
      <c r="BL156" s="90"/>
      <c r="BM156" s="90"/>
      <c r="BN156" s="90"/>
      <c r="BO156" s="90"/>
      <c r="BP156" s="90"/>
    </row>
    <row r="157" ht="12.75" customHeight="1" outlineLevel="1">
      <c r="A157" s="90" t="s">
        <v>212</v>
      </c>
      <c r="B157" s="90"/>
      <c r="C157" s="102"/>
      <c r="D157" s="102"/>
      <c r="E157" s="102"/>
      <c r="F157" s="102"/>
      <c r="G157" s="102"/>
      <c r="H157" s="99"/>
      <c r="I157" s="99"/>
      <c r="J157" s="99"/>
      <c r="K157" s="102"/>
      <c r="L157" s="102"/>
      <c r="M157" s="102"/>
      <c r="N157" s="102"/>
      <c r="O157" s="102"/>
      <c r="P157" s="102"/>
      <c r="Q157" s="102"/>
      <c r="R157" s="102"/>
      <c r="S157" s="102"/>
      <c r="T157" s="102"/>
      <c r="U157" s="102"/>
      <c r="V157" s="102"/>
      <c r="W157" s="102"/>
      <c r="X157" s="102"/>
      <c r="Y157" s="102"/>
      <c r="Z157" s="102"/>
      <c r="AA157" s="102"/>
      <c r="AB157" s="102"/>
      <c r="AC157" s="102"/>
      <c r="AD157" s="102"/>
      <c r="AE157" s="102"/>
      <c r="AF157" s="102"/>
      <c r="AG157" s="102"/>
      <c r="AH157" s="102"/>
      <c r="AI157" s="102"/>
      <c r="AJ157" s="102"/>
      <c r="AK157" s="102"/>
      <c r="AL157" s="102"/>
      <c r="AM157" s="102"/>
      <c r="AN157" s="102"/>
      <c r="AO157" s="102"/>
      <c r="AP157" s="102"/>
      <c r="AQ157" s="102"/>
      <c r="AR157" s="102"/>
      <c r="AS157" s="102"/>
      <c r="AT157" s="102"/>
      <c r="AU157" s="102"/>
      <c r="AV157" s="102"/>
      <c r="AW157" s="90"/>
      <c r="AX157" s="90"/>
      <c r="AY157" s="90"/>
      <c r="AZ157" s="90"/>
      <c r="BA157" s="90"/>
      <c r="BB157" s="90"/>
      <c r="BC157" s="90"/>
      <c r="BD157" s="90"/>
      <c r="BE157" s="90"/>
      <c r="BF157" s="90"/>
      <c r="BG157" s="90"/>
      <c r="BH157" s="90"/>
      <c r="BI157" s="90"/>
      <c r="BJ157" s="90"/>
      <c r="BK157" s="90"/>
      <c r="BL157" s="90"/>
      <c r="BM157" s="90"/>
      <c r="BN157" s="90"/>
      <c r="BO157" s="90"/>
      <c r="BP157" s="90"/>
    </row>
    <row r="158" ht="12.75" customHeight="1" outlineLevel="1">
      <c r="A158" s="90" t="s">
        <v>286</v>
      </c>
      <c r="B158" s="90"/>
      <c r="C158" s="102">
        <f>'RSGen 1-7'!G286+'RSGen 1-7'!G287+'RSGen 1-7'!G288</f>
        <v>125000</v>
      </c>
      <c r="D158" s="102">
        <f>OFFSET(RSGen_Walton!$G$286,0,ROW(C158)-ROW($C$158))+OFFSET(RSGen_Walton!$G$287,0,ROW(C158)-ROW($C$158))+OFFSET(RSGen_Walton!$G$288,0,ROW(C158)-ROW($C$158))</f>
        <v>0</v>
      </c>
      <c r="E158" s="102">
        <f>OFFSET(RSGen_none!$G$286,0,ROW(D158)-ROW($C$158))+OFFSET(RSGen_none!$G$287,0,ROW(D158)-ROW($C$158))+OFFSET(RSGen_none!$G$288,0,ROW(D158)-ROW($C$158))</f>
        <v>0</v>
      </c>
      <c r="F158" s="102"/>
      <c r="G158" s="102"/>
      <c r="H158" s="99"/>
      <c r="I158" s="99"/>
      <c r="J158" s="99"/>
      <c r="K158" s="102"/>
      <c r="L158" s="102">
        <f>$C158*L6</f>
        <v>250000</v>
      </c>
      <c r="M158" s="102">
        <f t="shared" ref="M158:AL158" si="119">(MAX(0,MIN(M6,SUM(M6:M$15)-$E$4))*$E158+MAX(0,MIN(M6,$D$4-SUM(M7:M$15)))*$C158+(M6-(MAX(0,MIN(M6,SUM(M6:M$15)-$E$4))+MAX(0,MIN(M6,$D$4-SUM(M7:M$15)))))*$D158)</f>
        <v>250000</v>
      </c>
      <c r="N158" s="102">
        <f t="shared" si="119"/>
        <v>0</v>
      </c>
      <c r="O158" s="102">
        <f t="shared" si="119"/>
        <v>0</v>
      </c>
      <c r="P158" s="102">
        <f t="shared" si="119"/>
        <v>0</v>
      </c>
      <c r="Q158" s="102">
        <f t="shared" si="119"/>
        <v>0</v>
      </c>
      <c r="R158" s="102">
        <f t="shared" si="119"/>
        <v>0</v>
      </c>
      <c r="S158" s="102">
        <f t="shared" si="119"/>
        <v>0</v>
      </c>
      <c r="T158" s="102">
        <f t="shared" si="119"/>
        <v>0</v>
      </c>
      <c r="U158" s="102">
        <f t="shared" si="119"/>
        <v>0</v>
      </c>
      <c r="V158" s="102">
        <f t="shared" si="119"/>
        <v>0</v>
      </c>
      <c r="W158" s="102">
        <f t="shared" si="119"/>
        <v>0</v>
      </c>
      <c r="X158" s="102">
        <f t="shared" si="119"/>
        <v>0</v>
      </c>
      <c r="Y158" s="102">
        <f t="shared" si="119"/>
        <v>0</v>
      </c>
      <c r="Z158" s="102">
        <f t="shared" si="119"/>
        <v>0</v>
      </c>
      <c r="AA158" s="102">
        <f t="shared" si="119"/>
        <v>0</v>
      </c>
      <c r="AB158" s="102">
        <f t="shared" si="119"/>
        <v>0</v>
      </c>
      <c r="AC158" s="102">
        <f t="shared" si="119"/>
        <v>0</v>
      </c>
      <c r="AD158" s="102">
        <f t="shared" si="119"/>
        <v>0</v>
      </c>
      <c r="AE158" s="102">
        <f t="shared" si="119"/>
        <v>0</v>
      </c>
      <c r="AF158" s="102">
        <f t="shared" si="119"/>
        <v>0</v>
      </c>
      <c r="AG158" s="102">
        <f t="shared" si="119"/>
        <v>0</v>
      </c>
      <c r="AH158" s="102">
        <f t="shared" si="119"/>
        <v>0</v>
      </c>
      <c r="AI158" s="102">
        <f t="shared" si="119"/>
        <v>0</v>
      </c>
      <c r="AJ158" s="102">
        <f t="shared" si="119"/>
        <v>0</v>
      </c>
      <c r="AK158" s="102">
        <f t="shared" si="119"/>
        <v>0</v>
      </c>
      <c r="AL158" s="102">
        <f t="shared" si="119"/>
        <v>0</v>
      </c>
      <c r="AM158" s="102">
        <f t="shared" ref="AM158:AV158" si="120">$D158*AM6</f>
        <v>0</v>
      </c>
      <c r="AN158" s="102">
        <f t="shared" si="120"/>
        <v>0</v>
      </c>
      <c r="AO158" s="102" t="str">
        <f t="shared" si="120"/>
        <v>#REF!</v>
      </c>
      <c r="AP158" s="102" t="str">
        <f t="shared" si="120"/>
        <v>#REF!</v>
      </c>
      <c r="AQ158" s="102" t="str">
        <f t="shared" si="120"/>
        <v>#REF!</v>
      </c>
      <c r="AR158" s="102" t="str">
        <f t="shared" si="120"/>
        <v>#REF!</v>
      </c>
      <c r="AS158" s="102" t="str">
        <f t="shared" si="120"/>
        <v>#REF!</v>
      </c>
      <c r="AT158" s="102">
        <f t="shared" si="120"/>
        <v>0</v>
      </c>
      <c r="AU158" s="102">
        <f t="shared" si="120"/>
        <v>0</v>
      </c>
      <c r="AV158" s="102">
        <f t="shared" si="120"/>
        <v>0</v>
      </c>
      <c r="AW158" s="90"/>
      <c r="AX158" s="90"/>
      <c r="AY158" s="90"/>
      <c r="AZ158" s="90"/>
      <c r="BA158" s="90"/>
      <c r="BB158" s="90"/>
      <c r="BC158" s="90"/>
      <c r="BD158" s="90"/>
      <c r="BE158" s="90"/>
      <c r="BF158" s="90"/>
      <c r="BG158" s="90"/>
      <c r="BH158" s="90"/>
      <c r="BI158" s="90"/>
      <c r="BJ158" s="90"/>
      <c r="BK158" s="90"/>
      <c r="BL158" s="90"/>
      <c r="BM158" s="90"/>
      <c r="BN158" s="90"/>
      <c r="BO158" s="90"/>
      <c r="BP158" s="90"/>
    </row>
    <row r="159" ht="12.75" customHeight="1" outlineLevel="1">
      <c r="A159" s="90" t="s">
        <v>287</v>
      </c>
      <c r="C159" s="102">
        <f>SUM('RSGen 1-7'!$H$286:$H$288)</f>
        <v>0</v>
      </c>
      <c r="D159" s="102">
        <f>OFFSET(RSGen_Walton!$G$286,0,ROW(C159)-ROW($C$158))+OFFSET(RSGen_Walton!$G$287,0,ROW(C159)-ROW($C$158))+OFFSET(RSGen_Walton!$G$288,0,ROW(C159)-ROW($C$158))</f>
        <v>0</v>
      </c>
      <c r="E159" s="102">
        <f>OFFSET(RSGen_none!$G$286,0,ROW(D159)-ROW($C$158))+OFFSET(RSGen_none!$G$287,0,ROW(D159)-ROW($C$158))+OFFSET(RSGen_none!$G$288,0,ROW(D159)-ROW($C$158))</f>
        <v>0</v>
      </c>
      <c r="F159" s="102"/>
      <c r="G159" s="102"/>
      <c r="H159" s="308"/>
      <c r="I159" s="308"/>
      <c r="J159" s="308"/>
      <c r="K159" s="306"/>
      <c r="L159" s="306"/>
      <c r="M159" s="102">
        <f t="shared" ref="M159:AL159" si="121">(MAX(0,MIN(M7,SUM(M7:M$15)-$E$4))*$E159+MAX(0,MIN(M7,$D$4-SUM(M8:M$15)))*$C159+(M7-(MAX(0,MIN(M7,SUM(M7:M$15)-$E$4))+MAX(0,MIN(M7,$D$4-SUM(M8:M$15)))))*$D159)</f>
        <v>0</v>
      </c>
      <c r="N159" s="102">
        <f t="shared" si="121"/>
        <v>0</v>
      </c>
      <c r="O159" s="102">
        <f t="shared" si="121"/>
        <v>0</v>
      </c>
      <c r="P159" s="102">
        <f t="shared" si="121"/>
        <v>0</v>
      </c>
      <c r="Q159" s="102">
        <f t="shared" si="121"/>
        <v>0</v>
      </c>
      <c r="R159" s="102">
        <f t="shared" si="121"/>
        <v>0</v>
      </c>
      <c r="S159" s="102">
        <f t="shared" si="121"/>
        <v>0</v>
      </c>
      <c r="T159" s="102">
        <f t="shared" si="121"/>
        <v>0</v>
      </c>
      <c r="U159" s="102">
        <f t="shared" si="121"/>
        <v>0</v>
      </c>
      <c r="V159" s="102">
        <f t="shared" si="121"/>
        <v>0</v>
      </c>
      <c r="W159" s="102">
        <f t="shared" si="121"/>
        <v>0</v>
      </c>
      <c r="X159" s="102">
        <f t="shared" si="121"/>
        <v>0</v>
      </c>
      <c r="Y159" s="102">
        <f t="shared" si="121"/>
        <v>0</v>
      </c>
      <c r="Z159" s="102">
        <f t="shared" si="121"/>
        <v>0</v>
      </c>
      <c r="AA159" s="102">
        <f t="shared" si="121"/>
        <v>0</v>
      </c>
      <c r="AB159" s="102">
        <f t="shared" si="121"/>
        <v>0</v>
      </c>
      <c r="AC159" s="102">
        <f t="shared" si="121"/>
        <v>0</v>
      </c>
      <c r="AD159" s="102">
        <f t="shared" si="121"/>
        <v>0</v>
      </c>
      <c r="AE159" s="102">
        <f t="shared" si="121"/>
        <v>0</v>
      </c>
      <c r="AF159" s="102">
        <f t="shared" si="121"/>
        <v>0</v>
      </c>
      <c r="AG159" s="102">
        <f t="shared" si="121"/>
        <v>0</v>
      </c>
      <c r="AH159" s="102">
        <f t="shared" si="121"/>
        <v>0</v>
      </c>
      <c r="AI159" s="102">
        <f t="shared" si="121"/>
        <v>0</v>
      </c>
      <c r="AJ159" s="102">
        <f t="shared" si="121"/>
        <v>0</v>
      </c>
      <c r="AK159" s="102">
        <f t="shared" si="121"/>
        <v>0</v>
      </c>
      <c r="AL159" s="102">
        <f t="shared" si="121"/>
        <v>0</v>
      </c>
      <c r="AM159" s="102">
        <f t="shared" ref="AM159:AV159" si="122">$D159*AM7</f>
        <v>0</v>
      </c>
      <c r="AN159" s="102">
        <f t="shared" si="122"/>
        <v>0</v>
      </c>
      <c r="AO159" s="102">
        <f t="shared" si="122"/>
        <v>0</v>
      </c>
      <c r="AP159" s="102" t="str">
        <f t="shared" si="122"/>
        <v>#REF!</v>
      </c>
      <c r="AQ159" s="102" t="str">
        <f t="shared" si="122"/>
        <v>#REF!</v>
      </c>
      <c r="AR159" s="102" t="str">
        <f t="shared" si="122"/>
        <v>#REF!</v>
      </c>
      <c r="AS159" s="102" t="str">
        <f t="shared" si="122"/>
        <v>#REF!</v>
      </c>
      <c r="AT159" s="102" t="str">
        <f t="shared" si="122"/>
        <v>#REF!</v>
      </c>
      <c r="AU159" s="102">
        <f t="shared" si="122"/>
        <v>0</v>
      </c>
      <c r="AV159" s="102">
        <f t="shared" si="122"/>
        <v>0</v>
      </c>
      <c r="AW159" s="90"/>
      <c r="AX159" s="90"/>
      <c r="AY159" s="90"/>
      <c r="AZ159" s="90"/>
      <c r="BA159" s="90"/>
      <c r="BB159" s="90"/>
      <c r="BC159" s="90"/>
      <c r="BD159" s="90"/>
      <c r="BE159" s="90"/>
      <c r="BF159" s="90"/>
      <c r="BG159" s="90"/>
      <c r="BH159" s="90"/>
      <c r="BI159" s="90"/>
      <c r="BJ159" s="90"/>
      <c r="BK159" s="90"/>
      <c r="BL159" s="90"/>
      <c r="BM159" s="90"/>
      <c r="BN159" s="90"/>
      <c r="BO159" s="90"/>
      <c r="BP159" s="90"/>
    </row>
    <row r="160" ht="12.75" customHeight="1" outlineLevel="1">
      <c r="A160" s="90" t="s">
        <v>288</v>
      </c>
      <c r="C160" s="102">
        <f>SUM('RSGen 1-7'!$I$286:$I$288)</f>
        <v>375000</v>
      </c>
      <c r="D160" s="102">
        <f>OFFSET(RSGen_Walton!$G$286,0,ROW(C160)-ROW($C$158))+OFFSET(RSGen_Walton!$G$287,0,ROW(C160)-ROW($C$158))+OFFSET(RSGen_Walton!$G$288,0,ROW(C160)-ROW($C$158))</f>
        <v>250000</v>
      </c>
      <c r="E160" s="102">
        <f>OFFSET(RSGen_none!$G$286,0,ROW(D160)-ROW($C$158))+OFFSET(RSGen_none!$G$287,0,ROW(D160)-ROW($C$158))+OFFSET(RSGen_none!$G$288,0,ROW(D160)-ROW($C$158))</f>
        <v>0</v>
      </c>
      <c r="F160" s="102"/>
      <c r="G160" s="102"/>
      <c r="H160" s="308"/>
      <c r="I160" s="308"/>
      <c r="J160" s="308"/>
      <c r="K160" s="306"/>
      <c r="L160" s="306"/>
      <c r="M160" s="306"/>
      <c r="N160" s="102">
        <f t="shared" ref="N160:AL160" si="123">(MAX(0,MIN(N8,SUM(N8:N$15)-$E$4))*$E160+MAX(0,MIN(N8,$D$4-SUM(N9:N$15)))*$C160+(N8-(MAX(0,MIN(N8,SUM(N8:N$15)-$E$4))+MAX(0,MIN(N8,$D$4-SUM(N9:N$15)))))*$D160)</f>
        <v>750000</v>
      </c>
      <c r="O160" s="102">
        <f t="shared" si="123"/>
        <v>1000000</v>
      </c>
      <c r="P160" s="102">
        <f t="shared" si="123"/>
        <v>1250000</v>
      </c>
      <c r="Q160" s="102">
        <f t="shared" si="123"/>
        <v>2000000</v>
      </c>
      <c r="R160" s="102">
        <f t="shared" si="123"/>
        <v>3250000</v>
      </c>
      <c r="S160" s="102">
        <f t="shared" si="123"/>
        <v>5500000</v>
      </c>
      <c r="T160" s="102">
        <f t="shared" si="123"/>
        <v>8500000</v>
      </c>
      <c r="U160" s="102">
        <f t="shared" si="123"/>
        <v>2500000</v>
      </c>
      <c r="V160" s="102">
        <f t="shared" si="123"/>
        <v>0</v>
      </c>
      <c r="W160" s="102">
        <f t="shared" si="123"/>
        <v>0</v>
      </c>
      <c r="X160" s="102">
        <f t="shared" si="123"/>
        <v>0</v>
      </c>
      <c r="Y160" s="102">
        <f t="shared" si="123"/>
        <v>0</v>
      </c>
      <c r="Z160" s="102">
        <f t="shared" si="123"/>
        <v>0</v>
      </c>
      <c r="AA160" s="102">
        <f t="shared" si="123"/>
        <v>0</v>
      </c>
      <c r="AB160" s="102">
        <f t="shared" si="123"/>
        <v>0</v>
      </c>
      <c r="AC160" s="102">
        <f t="shared" si="123"/>
        <v>0</v>
      </c>
      <c r="AD160" s="102">
        <f t="shared" si="123"/>
        <v>0</v>
      </c>
      <c r="AE160" s="102">
        <f t="shared" si="123"/>
        <v>0</v>
      </c>
      <c r="AF160" s="102">
        <f t="shared" si="123"/>
        <v>0</v>
      </c>
      <c r="AG160" s="102">
        <f t="shared" si="123"/>
        <v>0</v>
      </c>
      <c r="AH160" s="102">
        <f t="shared" si="123"/>
        <v>0</v>
      </c>
      <c r="AI160" s="102">
        <f t="shared" si="123"/>
        <v>0</v>
      </c>
      <c r="AJ160" s="102">
        <f t="shared" si="123"/>
        <v>0</v>
      </c>
      <c r="AK160" s="102">
        <f t="shared" si="123"/>
        <v>0</v>
      </c>
      <c r="AL160" s="102">
        <f t="shared" si="123"/>
        <v>0</v>
      </c>
      <c r="AM160" s="102">
        <f t="shared" ref="AM160:AV160" si="124">$D160*AM8</f>
        <v>0</v>
      </c>
      <c r="AN160" s="102">
        <f t="shared" si="124"/>
        <v>0</v>
      </c>
      <c r="AO160" s="102">
        <f t="shared" si="124"/>
        <v>0</v>
      </c>
      <c r="AP160" s="102">
        <f t="shared" si="124"/>
        <v>0</v>
      </c>
      <c r="AQ160" s="102" t="str">
        <f t="shared" si="124"/>
        <v>#REF!</v>
      </c>
      <c r="AR160" s="102" t="str">
        <f t="shared" si="124"/>
        <v>#REF!</v>
      </c>
      <c r="AS160" s="102" t="str">
        <f t="shared" si="124"/>
        <v>#REF!</v>
      </c>
      <c r="AT160" s="102" t="str">
        <f t="shared" si="124"/>
        <v>#REF!</v>
      </c>
      <c r="AU160" s="102" t="str">
        <f t="shared" si="124"/>
        <v>#REF!</v>
      </c>
      <c r="AV160" s="102">
        <f t="shared" si="124"/>
        <v>0</v>
      </c>
      <c r="AW160" s="90"/>
      <c r="AX160" s="90"/>
      <c r="AY160" s="90"/>
      <c r="AZ160" s="90"/>
      <c r="BA160" s="90"/>
      <c r="BB160" s="90"/>
      <c r="BC160" s="90"/>
      <c r="BD160" s="90"/>
      <c r="BE160" s="90"/>
      <c r="BF160" s="90"/>
      <c r="BG160" s="90"/>
      <c r="BH160" s="90"/>
      <c r="BI160" s="90"/>
      <c r="BJ160" s="90"/>
      <c r="BK160" s="90"/>
      <c r="BL160" s="90"/>
      <c r="BM160" s="90"/>
      <c r="BN160" s="90"/>
      <c r="BO160" s="90"/>
      <c r="BP160" s="90"/>
    </row>
    <row r="161" ht="12.75" customHeight="1" outlineLevel="1">
      <c r="A161" s="90" t="s">
        <v>289</v>
      </c>
      <c r="C161" s="102">
        <f>SUM('RSGen 1-7'!$J$286:$J$288)</f>
        <v>0</v>
      </c>
      <c r="D161" s="102">
        <f>OFFSET(RSGen_Walton!$G$286,0,ROW(C161)-ROW($C$158))+OFFSET(RSGen_Walton!$G$287,0,ROW(C161)-ROW($C$158))+OFFSET(RSGen_Walton!$G$288,0,ROW(C161)-ROW($C$158))</f>
        <v>0</v>
      </c>
      <c r="E161" s="102">
        <f>OFFSET(RSGen_none!$G$286,0,ROW(D161)-ROW($C$158))+OFFSET(RSGen_none!$G$287,0,ROW(D161)-ROW($C$158))+OFFSET(RSGen_none!$G$288,0,ROW(D161)-ROW($C$158))</f>
        <v>0</v>
      </c>
      <c r="F161" s="102"/>
      <c r="G161" s="102"/>
      <c r="H161" s="308"/>
      <c r="I161" s="308"/>
      <c r="J161" s="308"/>
      <c r="K161" s="306"/>
      <c r="L161" s="306"/>
      <c r="M161" s="306"/>
      <c r="N161" s="306"/>
      <c r="O161" s="102">
        <f t="shared" ref="O161:AL161" si="125">(MAX(0,MIN(O9,SUM(O9:O$15)-$E$4))*$E161+MAX(0,MIN(O9,$D$4-SUM(O10:O$15)))*$C161+(O9-(MAX(0,MIN(O9,SUM(O9:O$15)-$E$4))+MAX(0,MIN(O9,$D$4-SUM(O10:O$15)))))*$D161)</f>
        <v>0</v>
      </c>
      <c r="P161" s="102">
        <f t="shared" si="125"/>
        <v>0</v>
      </c>
      <c r="Q161" s="102">
        <f t="shared" si="125"/>
        <v>0</v>
      </c>
      <c r="R161" s="102">
        <f t="shared" si="125"/>
        <v>0</v>
      </c>
      <c r="S161" s="102">
        <f t="shared" si="125"/>
        <v>0</v>
      </c>
      <c r="T161" s="102">
        <f t="shared" si="125"/>
        <v>0</v>
      </c>
      <c r="U161" s="102">
        <f t="shared" si="125"/>
        <v>0</v>
      </c>
      <c r="V161" s="102">
        <f t="shared" si="125"/>
        <v>0</v>
      </c>
      <c r="W161" s="102">
        <f t="shared" si="125"/>
        <v>0</v>
      </c>
      <c r="X161" s="102">
        <f t="shared" si="125"/>
        <v>0</v>
      </c>
      <c r="Y161" s="102">
        <f t="shared" si="125"/>
        <v>0</v>
      </c>
      <c r="Z161" s="102">
        <f t="shared" si="125"/>
        <v>0</v>
      </c>
      <c r="AA161" s="102">
        <f t="shared" si="125"/>
        <v>0</v>
      </c>
      <c r="AB161" s="102">
        <f t="shared" si="125"/>
        <v>0</v>
      </c>
      <c r="AC161" s="102">
        <f t="shared" si="125"/>
        <v>0</v>
      </c>
      <c r="AD161" s="102">
        <f t="shared" si="125"/>
        <v>0</v>
      </c>
      <c r="AE161" s="102">
        <f t="shared" si="125"/>
        <v>0</v>
      </c>
      <c r="AF161" s="102">
        <f t="shared" si="125"/>
        <v>0</v>
      </c>
      <c r="AG161" s="102">
        <f t="shared" si="125"/>
        <v>0</v>
      </c>
      <c r="AH161" s="102">
        <f t="shared" si="125"/>
        <v>0</v>
      </c>
      <c r="AI161" s="102">
        <f t="shared" si="125"/>
        <v>0</v>
      </c>
      <c r="AJ161" s="102">
        <f t="shared" si="125"/>
        <v>0</v>
      </c>
      <c r="AK161" s="102">
        <f t="shared" si="125"/>
        <v>0</v>
      </c>
      <c r="AL161" s="102">
        <f t="shared" si="125"/>
        <v>0</v>
      </c>
      <c r="AM161" s="102">
        <f t="shared" ref="AM161:AV161" si="126">$D161*AM9</f>
        <v>0</v>
      </c>
      <c r="AN161" s="102">
        <f t="shared" si="126"/>
        <v>0</v>
      </c>
      <c r="AO161" s="102">
        <f t="shared" si="126"/>
        <v>0</v>
      </c>
      <c r="AP161" s="102">
        <f t="shared" si="126"/>
        <v>0</v>
      </c>
      <c r="AQ161" s="102">
        <f t="shared" si="126"/>
        <v>0</v>
      </c>
      <c r="AR161" s="102" t="str">
        <f t="shared" si="126"/>
        <v>#REF!</v>
      </c>
      <c r="AS161" s="102" t="str">
        <f t="shared" si="126"/>
        <v>#REF!</v>
      </c>
      <c r="AT161" s="102" t="str">
        <f t="shared" si="126"/>
        <v>#REF!</v>
      </c>
      <c r="AU161" s="102" t="str">
        <f t="shared" si="126"/>
        <v>#REF!</v>
      </c>
      <c r="AV161" s="102" t="str">
        <f t="shared" si="126"/>
        <v>#REF!</v>
      </c>
      <c r="AW161" s="90"/>
      <c r="AX161" s="90"/>
      <c r="AY161" s="90"/>
      <c r="AZ161" s="90"/>
      <c r="BA161" s="90"/>
      <c r="BB161" s="90"/>
      <c r="BC161" s="90"/>
      <c r="BD161" s="90"/>
      <c r="BE161" s="90"/>
      <c r="BF161" s="90"/>
      <c r="BG161" s="90"/>
      <c r="BH161" s="90"/>
      <c r="BI161" s="90"/>
      <c r="BJ161" s="90"/>
      <c r="BK161" s="90"/>
      <c r="BL161" s="90"/>
      <c r="BM161" s="90"/>
      <c r="BN161" s="90"/>
      <c r="BO161" s="90"/>
      <c r="BP161" s="90"/>
    </row>
    <row r="162" ht="12.75" customHeight="1" outlineLevel="1">
      <c r="A162" s="90" t="s">
        <v>290</v>
      </c>
      <c r="C162" s="102">
        <f>SUM('RSGen 1-7'!$K$286:$K$288)</f>
        <v>0</v>
      </c>
      <c r="D162" s="102">
        <f>OFFSET(RSGen_Walton!$G$286,0,ROW(C162)-ROW($C$158))+OFFSET(RSGen_Walton!$G$287,0,ROW(C162)-ROW($C$158))+OFFSET(RSGen_Walton!$G$288,0,ROW(C162)-ROW($C$158))</f>
        <v>0</v>
      </c>
      <c r="E162" s="102">
        <f>OFFSET(RSGen_none!$G$286,0,ROW(D162)-ROW($C$158))+OFFSET(RSGen_none!$G$287,0,ROW(D162)-ROW($C$158))+OFFSET(RSGen_none!$G$288,0,ROW(D162)-ROW($C$158))</f>
        <v>0</v>
      </c>
      <c r="F162" s="102"/>
      <c r="G162" s="102"/>
      <c r="H162" s="308"/>
      <c r="I162" s="308"/>
      <c r="J162" s="308"/>
      <c r="K162" s="306"/>
      <c r="L162" s="306"/>
      <c r="M162" s="306"/>
      <c r="N162" s="306"/>
      <c r="O162" s="306"/>
      <c r="P162" s="102">
        <f t="shared" ref="P162:AL162" si="127">(MAX(0,MIN(P10,SUM(P10:P$15)-$E$4))*$E162+MAX(0,MIN(P10,$D$4-SUM(P11:P$15)))*$C162+(P10-(MAX(0,MIN(P10,SUM(P10:P$15)-$E$4))+MAX(0,MIN(P10,$D$4-SUM(P11:P$15)))))*$D162)</f>
        <v>0</v>
      </c>
      <c r="Q162" s="102">
        <f t="shared" si="127"/>
        <v>0</v>
      </c>
      <c r="R162" s="102">
        <f t="shared" si="127"/>
        <v>0</v>
      </c>
      <c r="S162" s="102">
        <f t="shared" si="127"/>
        <v>0</v>
      </c>
      <c r="T162" s="102">
        <f t="shared" si="127"/>
        <v>0</v>
      </c>
      <c r="U162" s="102">
        <f t="shared" si="127"/>
        <v>0</v>
      </c>
      <c r="V162" s="102">
        <f t="shared" si="127"/>
        <v>0</v>
      </c>
      <c r="W162" s="102">
        <f t="shared" si="127"/>
        <v>0</v>
      </c>
      <c r="X162" s="102">
        <f t="shared" si="127"/>
        <v>0</v>
      </c>
      <c r="Y162" s="102">
        <f t="shared" si="127"/>
        <v>0</v>
      </c>
      <c r="Z162" s="102">
        <f t="shared" si="127"/>
        <v>0</v>
      </c>
      <c r="AA162" s="102">
        <f t="shared" si="127"/>
        <v>0</v>
      </c>
      <c r="AB162" s="102">
        <f t="shared" si="127"/>
        <v>0</v>
      </c>
      <c r="AC162" s="102">
        <f t="shared" si="127"/>
        <v>0</v>
      </c>
      <c r="AD162" s="102">
        <f t="shared" si="127"/>
        <v>0</v>
      </c>
      <c r="AE162" s="102">
        <f t="shared" si="127"/>
        <v>0</v>
      </c>
      <c r="AF162" s="102">
        <f t="shared" si="127"/>
        <v>0</v>
      </c>
      <c r="AG162" s="102">
        <f t="shared" si="127"/>
        <v>0</v>
      </c>
      <c r="AH162" s="102">
        <f t="shared" si="127"/>
        <v>0</v>
      </c>
      <c r="AI162" s="102">
        <f t="shared" si="127"/>
        <v>0</v>
      </c>
      <c r="AJ162" s="102">
        <f t="shared" si="127"/>
        <v>0</v>
      </c>
      <c r="AK162" s="102">
        <f t="shared" si="127"/>
        <v>0</v>
      </c>
      <c r="AL162" s="102">
        <f t="shared" si="127"/>
        <v>0</v>
      </c>
      <c r="AM162" s="102">
        <f t="shared" ref="AM162:AV162" si="128">$D162*AM10</f>
        <v>0</v>
      </c>
      <c r="AN162" s="102">
        <f t="shared" si="128"/>
        <v>0</v>
      </c>
      <c r="AO162" s="102">
        <f t="shared" si="128"/>
        <v>0</v>
      </c>
      <c r="AP162" s="102">
        <f t="shared" si="128"/>
        <v>0</v>
      </c>
      <c r="AQ162" s="102">
        <f t="shared" si="128"/>
        <v>0</v>
      </c>
      <c r="AR162" s="102">
        <f t="shared" si="128"/>
        <v>0</v>
      </c>
      <c r="AS162" s="102" t="str">
        <f t="shared" si="128"/>
        <v>#REF!</v>
      </c>
      <c r="AT162" s="102" t="str">
        <f t="shared" si="128"/>
        <v>#REF!</v>
      </c>
      <c r="AU162" s="102" t="str">
        <f t="shared" si="128"/>
        <v>#REF!</v>
      </c>
      <c r="AV162" s="102" t="str">
        <f t="shared" si="128"/>
        <v>#REF!</v>
      </c>
      <c r="AW162" s="90"/>
      <c r="AX162" s="90"/>
      <c r="AY162" s="90"/>
      <c r="AZ162" s="90"/>
      <c r="BA162" s="90"/>
      <c r="BB162" s="90"/>
      <c r="BC162" s="90"/>
      <c r="BD162" s="90"/>
      <c r="BE162" s="90"/>
      <c r="BF162" s="90"/>
      <c r="BG162" s="90"/>
      <c r="BH162" s="90"/>
      <c r="BI162" s="90"/>
      <c r="BJ162" s="90"/>
      <c r="BK162" s="90"/>
      <c r="BL162" s="90"/>
      <c r="BM162" s="90"/>
      <c r="BN162" s="90"/>
      <c r="BO162" s="90"/>
      <c r="BP162" s="90"/>
    </row>
    <row r="163" ht="12.75" customHeight="1" outlineLevel="1">
      <c r="A163" s="90" t="s">
        <v>291</v>
      </c>
      <c r="C163" s="102">
        <f>SUM('RSGen 1-7'!$L$286:$L$288)</f>
        <v>0</v>
      </c>
      <c r="D163" s="102">
        <f>OFFSET(RSGen_Walton!$G$286,0,ROW(C163)-ROW($C$158))+OFFSET(RSGen_Walton!$G$287,0,ROW(C163)-ROW($C$158))+OFFSET(RSGen_Walton!$G$288,0,ROW(C163)-ROW($C$158))</f>
        <v>0</v>
      </c>
      <c r="E163" s="102">
        <f>OFFSET(RSGen_none!$G$286,0,ROW(D163)-ROW($C$158))+OFFSET(RSGen_none!$G$287,0,ROW(D163)-ROW($C$158))+OFFSET(RSGen_none!$G$288,0,ROW(D163)-ROW($C$158))</f>
        <v>0</v>
      </c>
      <c r="F163" s="102"/>
      <c r="G163" s="102"/>
      <c r="H163" s="308"/>
      <c r="I163" s="308"/>
      <c r="J163" s="308"/>
      <c r="K163" s="306"/>
      <c r="L163" s="306"/>
      <c r="M163" s="306"/>
      <c r="N163" s="306"/>
      <c r="O163" s="306"/>
      <c r="P163" s="306"/>
      <c r="Q163" s="102">
        <f t="shared" ref="Q163:AL163" si="129">(MAX(0,MIN(Q11,SUM(Q11:Q$15)-$E$4))*$E163+MAX(0,MIN(Q11,$D$4-SUM(Q12:Q$15)))*$C163+(Q11-(MAX(0,MIN(Q11,SUM(Q11:Q$15)-$E$4))+MAX(0,MIN(Q11,$D$4-SUM(Q12:Q$15)))))*$D163)</f>
        <v>0</v>
      </c>
      <c r="R163" s="102">
        <f t="shared" si="129"/>
        <v>0</v>
      </c>
      <c r="S163" s="102">
        <f t="shared" si="129"/>
        <v>0</v>
      </c>
      <c r="T163" s="102">
        <f t="shared" si="129"/>
        <v>0</v>
      </c>
      <c r="U163" s="102">
        <f t="shared" si="129"/>
        <v>0</v>
      </c>
      <c r="V163" s="102">
        <f t="shared" si="129"/>
        <v>0</v>
      </c>
      <c r="W163" s="102">
        <f t="shared" si="129"/>
        <v>0</v>
      </c>
      <c r="X163" s="102">
        <f t="shared" si="129"/>
        <v>0</v>
      </c>
      <c r="Y163" s="102">
        <f t="shared" si="129"/>
        <v>0</v>
      </c>
      <c r="Z163" s="102">
        <f t="shared" si="129"/>
        <v>0</v>
      </c>
      <c r="AA163" s="102">
        <f t="shared" si="129"/>
        <v>0</v>
      </c>
      <c r="AB163" s="102">
        <f t="shared" si="129"/>
        <v>0</v>
      </c>
      <c r="AC163" s="102">
        <f t="shared" si="129"/>
        <v>0</v>
      </c>
      <c r="AD163" s="102">
        <f t="shared" si="129"/>
        <v>0</v>
      </c>
      <c r="AE163" s="102">
        <f t="shared" si="129"/>
        <v>0</v>
      </c>
      <c r="AF163" s="102">
        <f t="shared" si="129"/>
        <v>0</v>
      </c>
      <c r="AG163" s="102">
        <f t="shared" si="129"/>
        <v>0</v>
      </c>
      <c r="AH163" s="102">
        <f t="shared" si="129"/>
        <v>0</v>
      </c>
      <c r="AI163" s="102">
        <f t="shared" si="129"/>
        <v>0</v>
      </c>
      <c r="AJ163" s="102">
        <f t="shared" si="129"/>
        <v>0</v>
      </c>
      <c r="AK163" s="102">
        <f t="shared" si="129"/>
        <v>0</v>
      </c>
      <c r="AL163" s="102">
        <f t="shared" si="129"/>
        <v>0</v>
      </c>
      <c r="AM163" s="102">
        <f t="shared" ref="AM163:AV163" si="130">$D163*AM11</f>
        <v>0</v>
      </c>
      <c r="AN163" s="102">
        <f t="shared" si="130"/>
        <v>0</v>
      </c>
      <c r="AO163" s="102">
        <f t="shared" si="130"/>
        <v>0</v>
      </c>
      <c r="AP163" s="102">
        <f t="shared" si="130"/>
        <v>0</v>
      </c>
      <c r="AQ163" s="102">
        <f t="shared" si="130"/>
        <v>0</v>
      </c>
      <c r="AR163" s="102">
        <f t="shared" si="130"/>
        <v>0</v>
      </c>
      <c r="AS163" s="102">
        <f t="shared" si="130"/>
        <v>0</v>
      </c>
      <c r="AT163" s="102" t="str">
        <f t="shared" si="130"/>
        <v>#REF!</v>
      </c>
      <c r="AU163" s="102" t="str">
        <f t="shared" si="130"/>
        <v>#REF!</v>
      </c>
      <c r="AV163" s="102" t="str">
        <f t="shared" si="130"/>
        <v>#REF!</v>
      </c>
      <c r="AW163" s="90"/>
      <c r="AX163" s="90"/>
      <c r="AY163" s="90"/>
      <c r="AZ163" s="90"/>
      <c r="BA163" s="90"/>
      <c r="BB163" s="90"/>
      <c r="BC163" s="90"/>
      <c r="BD163" s="90"/>
      <c r="BE163" s="90"/>
      <c r="BF163" s="90"/>
      <c r="BG163" s="90"/>
      <c r="BH163" s="90"/>
      <c r="BI163" s="90"/>
      <c r="BJ163" s="90"/>
      <c r="BK163" s="90"/>
      <c r="BL163" s="90"/>
      <c r="BM163" s="90"/>
      <c r="BN163" s="90"/>
      <c r="BO163" s="90"/>
      <c r="BP163" s="90"/>
    </row>
    <row r="164" ht="12.75" customHeight="1" outlineLevel="1">
      <c r="A164" s="90" t="s">
        <v>292</v>
      </c>
      <c r="C164" s="102">
        <f>SUM('RSGen 1-7'!$M$286:$M$288)</f>
        <v>0</v>
      </c>
      <c r="D164" s="102">
        <f>OFFSET(RSGen_Walton!$G$286,0,ROW(C164)-ROW($C$158))+OFFSET(RSGen_Walton!$G$287,0,ROW(C164)-ROW($C$158))+OFFSET(RSGen_Walton!$G$288,0,ROW(C164)-ROW($C$158))</f>
        <v>0</v>
      </c>
      <c r="E164" s="102">
        <f>OFFSET(RSGen_none!$G$286,0,ROW(D164)-ROW($C$158))+OFFSET(RSGen_none!$G$287,0,ROW(D164)-ROW($C$158))+OFFSET(RSGen_none!$G$288,0,ROW(D164)-ROW($C$158))</f>
        <v>0</v>
      </c>
      <c r="F164" s="102"/>
      <c r="G164" s="102"/>
      <c r="H164" s="308"/>
      <c r="I164" s="308"/>
      <c r="J164" s="308"/>
      <c r="K164" s="306"/>
      <c r="L164" s="306"/>
      <c r="M164" s="306"/>
      <c r="N164" s="306"/>
      <c r="O164" s="306"/>
      <c r="P164" s="306"/>
      <c r="Q164" s="306"/>
      <c r="R164" s="102">
        <f t="shared" ref="R164:AL164" si="131">(MAX(0,MIN(R12,SUM(R12:R$15)-$E$4))*$E164+MAX(0,MIN(R12,$D$4-SUM(R13:R$15)))*$C164+(R12-(MAX(0,MIN(R12,SUM(R12:R$15)-$E$4))+MAX(0,MIN(R12,$D$4-SUM(R13:R$15)))))*$D164)</f>
        <v>0</v>
      </c>
      <c r="S164" s="102">
        <f t="shared" si="131"/>
        <v>0</v>
      </c>
      <c r="T164" s="102">
        <f t="shared" si="131"/>
        <v>0</v>
      </c>
      <c r="U164" s="102">
        <f t="shared" si="131"/>
        <v>0</v>
      </c>
      <c r="V164" s="102">
        <f t="shared" si="131"/>
        <v>0</v>
      </c>
      <c r="W164" s="102">
        <f t="shared" si="131"/>
        <v>0</v>
      </c>
      <c r="X164" s="102">
        <f t="shared" si="131"/>
        <v>0</v>
      </c>
      <c r="Y164" s="102">
        <f t="shared" si="131"/>
        <v>0</v>
      </c>
      <c r="Z164" s="102">
        <f t="shared" si="131"/>
        <v>0</v>
      </c>
      <c r="AA164" s="102">
        <f t="shared" si="131"/>
        <v>0</v>
      </c>
      <c r="AB164" s="102">
        <f t="shared" si="131"/>
        <v>0</v>
      </c>
      <c r="AC164" s="102">
        <f t="shared" si="131"/>
        <v>0</v>
      </c>
      <c r="AD164" s="102">
        <f t="shared" si="131"/>
        <v>0</v>
      </c>
      <c r="AE164" s="102">
        <f t="shared" si="131"/>
        <v>0</v>
      </c>
      <c r="AF164" s="102">
        <f t="shared" si="131"/>
        <v>0</v>
      </c>
      <c r="AG164" s="102">
        <f t="shared" si="131"/>
        <v>0</v>
      </c>
      <c r="AH164" s="102">
        <f t="shared" si="131"/>
        <v>0</v>
      </c>
      <c r="AI164" s="102">
        <f t="shared" si="131"/>
        <v>0</v>
      </c>
      <c r="AJ164" s="102">
        <f t="shared" si="131"/>
        <v>0</v>
      </c>
      <c r="AK164" s="102">
        <f t="shared" si="131"/>
        <v>0</v>
      </c>
      <c r="AL164" s="102">
        <f t="shared" si="131"/>
        <v>0</v>
      </c>
      <c r="AM164" s="102">
        <f t="shared" ref="AM164:AV164" si="132">$D164*AM12</f>
        <v>0</v>
      </c>
      <c r="AN164" s="102">
        <f t="shared" si="132"/>
        <v>0</v>
      </c>
      <c r="AO164" s="102">
        <f t="shared" si="132"/>
        <v>0</v>
      </c>
      <c r="AP164" s="102">
        <f t="shared" si="132"/>
        <v>0</v>
      </c>
      <c r="AQ164" s="102">
        <f t="shared" si="132"/>
        <v>0</v>
      </c>
      <c r="AR164" s="102">
        <f t="shared" si="132"/>
        <v>0</v>
      </c>
      <c r="AS164" s="102">
        <f t="shared" si="132"/>
        <v>0</v>
      </c>
      <c r="AT164" s="102">
        <f t="shared" si="132"/>
        <v>0</v>
      </c>
      <c r="AU164" s="102" t="str">
        <f t="shared" si="132"/>
        <v>#REF!</v>
      </c>
      <c r="AV164" s="102" t="str">
        <f t="shared" si="132"/>
        <v>#REF!</v>
      </c>
      <c r="AW164" s="90"/>
      <c r="AX164" s="90"/>
      <c r="AY164" s="90"/>
      <c r="AZ164" s="90"/>
      <c r="BA164" s="90"/>
      <c r="BB164" s="90"/>
      <c r="BC164" s="90"/>
      <c r="BD164" s="90"/>
      <c r="BE164" s="90"/>
      <c r="BF164" s="90"/>
      <c r="BG164" s="90"/>
      <c r="BH164" s="90"/>
      <c r="BI164" s="90"/>
      <c r="BJ164" s="90"/>
      <c r="BK164" s="90"/>
      <c r="BL164" s="90"/>
      <c r="BM164" s="90"/>
      <c r="BN164" s="90"/>
      <c r="BO164" s="90"/>
      <c r="BP164" s="90"/>
    </row>
    <row r="165" ht="12.75" customHeight="1" outlineLevel="1">
      <c r="A165" s="90" t="s">
        <v>293</v>
      </c>
      <c r="C165" s="102">
        <f>SUM('RSGen 1-7'!$N$286:$N$288)</f>
        <v>0</v>
      </c>
      <c r="D165" s="102">
        <f>OFFSET(RSGen_Walton!$G$286,0,ROW(C165)-ROW($C$158))+OFFSET(RSGen_Walton!$G$287,0,ROW(C165)-ROW($C$158))+OFFSET(RSGen_Walton!$G$288,0,ROW(C165)-ROW($C$158))</f>
        <v>0</v>
      </c>
      <c r="E165" s="102">
        <f>OFFSET(RSGen_none!$G$286,0,ROW(D165)-ROW($C$158))+OFFSET(RSGen_none!$G$287,0,ROW(D165)-ROW($C$158))+OFFSET(RSGen_none!$G$288,0,ROW(D165)-ROW($C$158))</f>
        <v>0</v>
      </c>
      <c r="F165" s="102"/>
      <c r="G165" s="102"/>
      <c r="H165" s="308"/>
      <c r="I165" s="308"/>
      <c r="J165" s="308"/>
      <c r="K165" s="306"/>
      <c r="L165" s="306"/>
      <c r="M165" s="306"/>
      <c r="N165" s="306"/>
      <c r="O165" s="306"/>
      <c r="P165" s="306"/>
      <c r="Q165" s="306"/>
      <c r="R165" s="306"/>
      <c r="S165" s="102">
        <f t="shared" ref="S165:AL165" si="133">(MAX(0,MIN(S13,SUM(S13:S$15)-$E$4))*$E165+MAX(0,MIN(S13,$D$4-SUM(S14:S$15)))*$C165+(S13-(MAX(0,MIN(S13,SUM(S13:S$15)-$E$4))+MAX(0,MIN(S13,$D$4-SUM(S14:S$15)))))*$D165)</f>
        <v>0</v>
      </c>
      <c r="T165" s="102">
        <f t="shared" si="133"/>
        <v>0</v>
      </c>
      <c r="U165" s="102">
        <f t="shared" si="133"/>
        <v>0</v>
      </c>
      <c r="V165" s="102">
        <f t="shared" si="133"/>
        <v>0</v>
      </c>
      <c r="W165" s="102">
        <f t="shared" si="133"/>
        <v>0</v>
      </c>
      <c r="X165" s="102">
        <f t="shared" si="133"/>
        <v>0</v>
      </c>
      <c r="Y165" s="102">
        <f t="shared" si="133"/>
        <v>0</v>
      </c>
      <c r="Z165" s="102">
        <f t="shared" si="133"/>
        <v>0</v>
      </c>
      <c r="AA165" s="102">
        <f t="shared" si="133"/>
        <v>0</v>
      </c>
      <c r="AB165" s="102">
        <f t="shared" si="133"/>
        <v>0</v>
      </c>
      <c r="AC165" s="102">
        <f t="shared" si="133"/>
        <v>0</v>
      </c>
      <c r="AD165" s="102">
        <f t="shared" si="133"/>
        <v>0</v>
      </c>
      <c r="AE165" s="102">
        <f t="shared" si="133"/>
        <v>0</v>
      </c>
      <c r="AF165" s="102">
        <f t="shared" si="133"/>
        <v>0</v>
      </c>
      <c r="AG165" s="102">
        <f t="shared" si="133"/>
        <v>0</v>
      </c>
      <c r="AH165" s="102">
        <f t="shared" si="133"/>
        <v>0</v>
      </c>
      <c r="AI165" s="102">
        <f t="shared" si="133"/>
        <v>0</v>
      </c>
      <c r="AJ165" s="102">
        <f t="shared" si="133"/>
        <v>0</v>
      </c>
      <c r="AK165" s="102">
        <f t="shared" si="133"/>
        <v>0</v>
      </c>
      <c r="AL165" s="102">
        <f t="shared" si="133"/>
        <v>0</v>
      </c>
      <c r="AM165" s="102">
        <f t="shared" ref="AM165:AV165" si="134">$D165*AM13</f>
        <v>0</v>
      </c>
      <c r="AN165" s="102">
        <f t="shared" si="134"/>
        <v>0</v>
      </c>
      <c r="AO165" s="102">
        <f t="shared" si="134"/>
        <v>0</v>
      </c>
      <c r="AP165" s="102">
        <f t="shared" si="134"/>
        <v>0</v>
      </c>
      <c r="AQ165" s="102">
        <f t="shared" si="134"/>
        <v>0</v>
      </c>
      <c r="AR165" s="102">
        <f t="shared" si="134"/>
        <v>0</v>
      </c>
      <c r="AS165" s="102">
        <f t="shared" si="134"/>
        <v>0</v>
      </c>
      <c r="AT165" s="102">
        <f t="shared" si="134"/>
        <v>0</v>
      </c>
      <c r="AU165" s="102">
        <f t="shared" si="134"/>
        <v>0</v>
      </c>
      <c r="AV165" s="102" t="str">
        <f t="shared" si="134"/>
        <v>#REF!</v>
      </c>
      <c r="AW165" s="90"/>
      <c r="AX165" s="90"/>
      <c r="AY165" s="90"/>
      <c r="AZ165" s="90"/>
      <c r="BA165" s="90"/>
      <c r="BB165" s="90"/>
      <c r="BC165" s="90"/>
      <c r="BD165" s="90"/>
      <c r="BE165" s="90"/>
      <c r="BF165" s="90"/>
      <c r="BG165" s="90"/>
      <c r="BH165" s="90"/>
      <c r="BI165" s="90"/>
      <c r="BJ165" s="90"/>
      <c r="BK165" s="90"/>
      <c r="BL165" s="90"/>
      <c r="BM165" s="90"/>
      <c r="BN165" s="90"/>
      <c r="BO165" s="90"/>
      <c r="BP165" s="90"/>
    </row>
    <row r="166" ht="12.75" customHeight="1" outlineLevel="1">
      <c r="A166" s="90" t="s">
        <v>294</v>
      </c>
      <c r="C166" s="102">
        <f>SUM('RSGen 1-7'!$O$286:$O$288)</f>
        <v>0</v>
      </c>
      <c r="D166" s="102">
        <f>OFFSET(RSGen_Walton!$G$286,0,ROW(C166)-ROW($C$158))+OFFSET(RSGen_Walton!$G$287,0,ROW(C166)-ROW($C$158))+OFFSET(RSGen_Walton!$G$288,0,ROW(C166)-ROW($C$158))</f>
        <v>0</v>
      </c>
      <c r="E166" s="102">
        <f>OFFSET(RSGen_none!$G$286,0,ROW(D166)-ROW($C$158))+OFFSET(RSGen_none!$G$287,0,ROW(D166)-ROW($C$158))+OFFSET(RSGen_none!$G$288,0,ROW(D166)-ROW($C$158))</f>
        <v>0</v>
      </c>
      <c r="F166" s="102"/>
      <c r="G166" s="102"/>
      <c r="H166" s="308"/>
      <c r="I166" s="308"/>
      <c r="J166" s="308"/>
      <c r="K166" s="306"/>
      <c r="L166" s="306"/>
      <c r="M166" s="306"/>
      <c r="N166" s="306"/>
      <c r="O166" s="306"/>
      <c r="P166" s="306"/>
      <c r="Q166" s="306"/>
      <c r="R166" s="306"/>
      <c r="S166" s="306"/>
      <c r="T166" s="102">
        <f t="shared" ref="T166:AL166" si="135">(MAX(0,MIN(T14,SUM(T14:T$15)-$E$4))*$E166+MAX(0,MIN(T14,$D$4-SUM(T$15:T15)))*$C166+(T14-(MAX(0,MIN(T14,SUM(T14:T$15)-$E$4))+MAX(0,MIN(T14,$D$4-SUM(T$15:T15)))))*$D166)</f>
        <v>0</v>
      </c>
      <c r="U166" s="102">
        <f t="shared" si="135"/>
        <v>0</v>
      </c>
      <c r="V166" s="102">
        <f t="shared" si="135"/>
        <v>0</v>
      </c>
      <c r="W166" s="102">
        <f t="shared" si="135"/>
        <v>0</v>
      </c>
      <c r="X166" s="102">
        <f t="shared" si="135"/>
        <v>0</v>
      </c>
      <c r="Y166" s="102">
        <f t="shared" si="135"/>
        <v>0</v>
      </c>
      <c r="Z166" s="102">
        <f t="shared" si="135"/>
        <v>0</v>
      </c>
      <c r="AA166" s="102">
        <f t="shared" si="135"/>
        <v>0</v>
      </c>
      <c r="AB166" s="102">
        <f t="shared" si="135"/>
        <v>0</v>
      </c>
      <c r="AC166" s="102">
        <f t="shared" si="135"/>
        <v>0</v>
      </c>
      <c r="AD166" s="102">
        <f t="shared" si="135"/>
        <v>0</v>
      </c>
      <c r="AE166" s="102">
        <f t="shared" si="135"/>
        <v>0</v>
      </c>
      <c r="AF166" s="102">
        <f t="shared" si="135"/>
        <v>0</v>
      </c>
      <c r="AG166" s="102">
        <f t="shared" si="135"/>
        <v>0</v>
      </c>
      <c r="AH166" s="102">
        <f t="shared" si="135"/>
        <v>0</v>
      </c>
      <c r="AI166" s="102">
        <f t="shared" si="135"/>
        <v>0</v>
      </c>
      <c r="AJ166" s="102">
        <f t="shared" si="135"/>
        <v>0</v>
      </c>
      <c r="AK166" s="102">
        <f t="shared" si="135"/>
        <v>0</v>
      </c>
      <c r="AL166" s="102">
        <f t="shared" si="135"/>
        <v>0</v>
      </c>
      <c r="AM166" s="102">
        <f t="shared" ref="AM166:AV166" si="136">$D166*AM14</f>
        <v>0</v>
      </c>
      <c r="AN166" s="102">
        <f t="shared" si="136"/>
        <v>0</v>
      </c>
      <c r="AO166" s="102">
        <f t="shared" si="136"/>
        <v>0</v>
      </c>
      <c r="AP166" s="102">
        <f t="shared" si="136"/>
        <v>0</v>
      </c>
      <c r="AQ166" s="102">
        <f t="shared" si="136"/>
        <v>0</v>
      </c>
      <c r="AR166" s="102">
        <f t="shared" si="136"/>
        <v>0</v>
      </c>
      <c r="AS166" s="102">
        <f t="shared" si="136"/>
        <v>0</v>
      </c>
      <c r="AT166" s="102">
        <f t="shared" si="136"/>
        <v>0</v>
      </c>
      <c r="AU166" s="102">
        <f t="shared" si="136"/>
        <v>0</v>
      </c>
      <c r="AV166" s="102">
        <f t="shared" si="136"/>
        <v>0</v>
      </c>
      <c r="AW166" s="90"/>
      <c r="AX166" s="90"/>
      <c r="AY166" s="90"/>
      <c r="AZ166" s="90"/>
      <c r="BA166" s="90"/>
      <c r="BB166" s="90"/>
      <c r="BC166" s="90"/>
      <c r="BD166" s="90"/>
      <c r="BE166" s="90"/>
      <c r="BF166" s="90"/>
      <c r="BG166" s="90"/>
      <c r="BH166" s="90"/>
      <c r="BI166" s="90"/>
      <c r="BJ166" s="90"/>
      <c r="BK166" s="90"/>
      <c r="BL166" s="90"/>
      <c r="BM166" s="90"/>
      <c r="BN166" s="90"/>
      <c r="BO166" s="90"/>
      <c r="BP166" s="90"/>
    </row>
    <row r="167" ht="12.75" customHeight="1" outlineLevel="1">
      <c r="A167" s="90" t="s">
        <v>589</v>
      </c>
      <c r="C167" s="102">
        <f>SUM('RSGen 1-7'!$P$286:$P$288)</f>
        <v>0</v>
      </c>
      <c r="D167" s="102">
        <f>OFFSET(RSGen_Walton!$G$286,0,ROW(C167)-ROW($C$158))+OFFSET(RSGen_Walton!$G$287,0,ROW(C167)-ROW($C$158))+OFFSET(RSGen_Walton!$G$288,0,ROW(C167)-ROW($C$158))</f>
        <v>0</v>
      </c>
      <c r="E167" s="102">
        <f>OFFSET(RSGen_none!$G$286,0,ROW(D167)-ROW($C$158))+OFFSET(RSGen_none!$G$287,0,ROW(D167)-ROW($C$158))+OFFSET(RSGen_none!$G$288,0,ROW(D167)-ROW($C$158))</f>
        <v>0</v>
      </c>
      <c r="F167" s="102"/>
      <c r="G167" s="102"/>
      <c r="H167" s="308"/>
      <c r="I167" s="308"/>
      <c r="J167" s="308"/>
      <c r="K167" s="306"/>
      <c r="L167" s="306"/>
      <c r="M167" s="306"/>
      <c r="N167" s="306"/>
      <c r="O167" s="306"/>
      <c r="P167" s="306"/>
      <c r="Q167" s="306"/>
      <c r="R167" s="306"/>
      <c r="S167" s="306"/>
      <c r="T167" s="306"/>
      <c r="U167" s="102">
        <f t="shared" ref="U167:AL167" si="137">U$109*($C167*MIN($D$4-3,U15-3)+$D167*MIN($E$4-$D$4,MAX(0,U15-$D$4))+$E167*MAX(0,U15-$E$4))</f>
        <v>0</v>
      </c>
      <c r="V167" s="102">
        <f t="shared" si="137"/>
        <v>0</v>
      </c>
      <c r="W167" s="102">
        <f t="shared" si="137"/>
        <v>0</v>
      </c>
      <c r="X167" s="102">
        <f t="shared" si="137"/>
        <v>0</v>
      </c>
      <c r="Y167" s="102">
        <f t="shared" si="137"/>
        <v>0</v>
      </c>
      <c r="Z167" s="102">
        <f t="shared" si="137"/>
        <v>0</v>
      </c>
      <c r="AA167" s="102">
        <f t="shared" si="137"/>
        <v>0</v>
      </c>
      <c r="AB167" s="102">
        <f t="shared" si="137"/>
        <v>0</v>
      </c>
      <c r="AC167" s="102">
        <f t="shared" si="137"/>
        <v>0</v>
      </c>
      <c r="AD167" s="102">
        <f t="shared" si="137"/>
        <v>0</v>
      </c>
      <c r="AE167" s="102">
        <f t="shared" si="137"/>
        <v>0</v>
      </c>
      <c r="AF167" s="102">
        <f t="shared" si="137"/>
        <v>0</v>
      </c>
      <c r="AG167" s="102">
        <f t="shared" si="137"/>
        <v>0</v>
      </c>
      <c r="AH167" s="102">
        <f t="shared" si="137"/>
        <v>0</v>
      </c>
      <c r="AI167" s="102">
        <f t="shared" si="137"/>
        <v>0</v>
      </c>
      <c r="AJ167" s="102">
        <f t="shared" si="137"/>
        <v>0</v>
      </c>
      <c r="AK167" s="102">
        <f t="shared" si="137"/>
        <v>0</v>
      </c>
      <c r="AL167" s="102">
        <f t="shared" si="137"/>
        <v>0</v>
      </c>
      <c r="AM167" s="102">
        <f t="shared" ref="AM167:AV167" si="138">$C167*(4)+$D167*(AM15-7)</f>
        <v>0</v>
      </c>
      <c r="AN167" s="102">
        <f t="shared" si="138"/>
        <v>0</v>
      </c>
      <c r="AO167" s="102">
        <f t="shared" si="138"/>
        <v>0</v>
      </c>
      <c r="AP167" s="102">
        <f t="shared" si="138"/>
        <v>0</v>
      </c>
      <c r="AQ167" s="102">
        <f t="shared" si="138"/>
        <v>0</v>
      </c>
      <c r="AR167" s="102">
        <f t="shared" si="138"/>
        <v>0</v>
      </c>
      <c r="AS167" s="102">
        <f t="shared" si="138"/>
        <v>0</v>
      </c>
      <c r="AT167" s="102">
        <f t="shared" si="138"/>
        <v>0</v>
      </c>
      <c r="AU167" s="102">
        <f t="shared" si="138"/>
        <v>0</v>
      </c>
      <c r="AV167" s="102">
        <f t="shared" si="138"/>
        <v>0</v>
      </c>
      <c r="AW167" s="90"/>
      <c r="AX167" s="90"/>
      <c r="AY167" s="90"/>
      <c r="AZ167" s="90"/>
      <c r="BA167" s="90"/>
      <c r="BB167" s="90"/>
      <c r="BC167" s="90"/>
      <c r="BD167" s="90"/>
      <c r="BE167" s="90"/>
      <c r="BF167" s="90"/>
      <c r="BG167" s="90"/>
      <c r="BH167" s="90"/>
      <c r="BI167" s="90"/>
      <c r="BJ167" s="90"/>
      <c r="BK167" s="90"/>
      <c r="BL167" s="90"/>
      <c r="BM167" s="90"/>
      <c r="BN167" s="90"/>
      <c r="BO167" s="90"/>
      <c r="BP167" s="90"/>
    </row>
    <row r="168" ht="12.75" customHeight="1" outlineLevel="1">
      <c r="A168" s="143" t="s">
        <v>203</v>
      </c>
      <c r="B168" s="143"/>
      <c r="C168" s="309"/>
      <c r="D168" s="309"/>
      <c r="E168" s="309"/>
      <c r="F168" s="309"/>
      <c r="G168" s="309"/>
      <c r="H168" s="310"/>
      <c r="I168" s="310"/>
      <c r="J168" s="310"/>
      <c r="K168" s="311"/>
      <c r="L168" s="312">
        <v>230000.0</v>
      </c>
      <c r="M168" s="309">
        <f t="shared" ref="M168:AV168" si="139">SUM(M158:M167)</f>
        <v>250000</v>
      </c>
      <c r="N168" s="309">
        <f t="shared" si="139"/>
        <v>750000</v>
      </c>
      <c r="O168" s="309">
        <f t="shared" si="139"/>
        <v>1000000</v>
      </c>
      <c r="P168" s="309">
        <f t="shared" si="139"/>
        <v>1250000</v>
      </c>
      <c r="Q168" s="309">
        <f t="shared" si="139"/>
        <v>2000000</v>
      </c>
      <c r="R168" s="309">
        <f t="shared" si="139"/>
        <v>3250000</v>
      </c>
      <c r="S168" s="309">
        <f t="shared" si="139"/>
        <v>5500000</v>
      </c>
      <c r="T168" s="309">
        <f t="shared" si="139"/>
        <v>8500000</v>
      </c>
      <c r="U168" s="309">
        <f t="shared" si="139"/>
        <v>2500000</v>
      </c>
      <c r="V168" s="309">
        <f t="shared" si="139"/>
        <v>0</v>
      </c>
      <c r="W168" s="309">
        <f t="shared" si="139"/>
        <v>0</v>
      </c>
      <c r="X168" s="309">
        <f t="shared" si="139"/>
        <v>0</v>
      </c>
      <c r="Y168" s="309">
        <f t="shared" si="139"/>
        <v>0</v>
      </c>
      <c r="Z168" s="309">
        <f t="shared" si="139"/>
        <v>0</v>
      </c>
      <c r="AA168" s="309">
        <f t="shared" si="139"/>
        <v>0</v>
      </c>
      <c r="AB168" s="309">
        <f t="shared" si="139"/>
        <v>0</v>
      </c>
      <c r="AC168" s="309">
        <f t="shared" si="139"/>
        <v>0</v>
      </c>
      <c r="AD168" s="309">
        <f t="shared" si="139"/>
        <v>0</v>
      </c>
      <c r="AE168" s="309">
        <f t="shared" si="139"/>
        <v>0</v>
      </c>
      <c r="AF168" s="309">
        <f t="shared" si="139"/>
        <v>0</v>
      </c>
      <c r="AG168" s="309">
        <f t="shared" si="139"/>
        <v>0</v>
      </c>
      <c r="AH168" s="309">
        <f t="shared" si="139"/>
        <v>0</v>
      </c>
      <c r="AI168" s="309">
        <f t="shared" si="139"/>
        <v>0</v>
      </c>
      <c r="AJ168" s="309">
        <f t="shared" si="139"/>
        <v>0</v>
      </c>
      <c r="AK168" s="309">
        <f t="shared" si="139"/>
        <v>0</v>
      </c>
      <c r="AL168" s="309">
        <f t="shared" si="139"/>
        <v>0</v>
      </c>
      <c r="AM168" s="309">
        <f t="shared" si="139"/>
        <v>0</v>
      </c>
      <c r="AN168" s="309">
        <f t="shared" si="139"/>
        <v>0</v>
      </c>
      <c r="AO168" s="309" t="str">
        <f t="shared" si="139"/>
        <v>#REF!</v>
      </c>
      <c r="AP168" s="309" t="str">
        <f t="shared" si="139"/>
        <v>#REF!</v>
      </c>
      <c r="AQ168" s="309" t="str">
        <f t="shared" si="139"/>
        <v>#REF!</v>
      </c>
      <c r="AR168" s="309" t="str">
        <f t="shared" si="139"/>
        <v>#REF!</v>
      </c>
      <c r="AS168" s="309" t="str">
        <f t="shared" si="139"/>
        <v>#REF!</v>
      </c>
      <c r="AT168" s="309" t="str">
        <f t="shared" si="139"/>
        <v>#REF!</v>
      </c>
      <c r="AU168" s="309" t="str">
        <f t="shared" si="139"/>
        <v>#REF!</v>
      </c>
      <c r="AV168" s="309" t="str">
        <f t="shared" si="139"/>
        <v>#REF!</v>
      </c>
      <c r="AW168" s="90"/>
      <c r="AX168" s="90"/>
      <c r="AY168" s="90"/>
      <c r="AZ168" s="90"/>
      <c r="BA168" s="90"/>
      <c r="BB168" s="90"/>
      <c r="BC168" s="90"/>
      <c r="BD168" s="90"/>
      <c r="BE168" s="90"/>
      <c r="BF168" s="90"/>
      <c r="BG168" s="90"/>
      <c r="BH168" s="90"/>
      <c r="BI168" s="90"/>
      <c r="BJ168" s="90"/>
      <c r="BK168" s="90"/>
      <c r="BL168" s="90"/>
      <c r="BM168" s="90"/>
      <c r="BN168" s="90"/>
      <c r="BO168" s="90"/>
      <c r="BP168" s="90"/>
    </row>
    <row r="169" ht="12.75" customHeight="1" outlineLevel="1">
      <c r="A169" s="90"/>
      <c r="C169" s="102"/>
      <c r="D169" s="102"/>
      <c r="E169" s="102"/>
      <c r="F169" s="102"/>
      <c r="G169" s="102"/>
      <c r="H169" s="99"/>
      <c r="I169" s="99"/>
      <c r="J169" s="99"/>
      <c r="K169" s="102"/>
      <c r="L169" s="102"/>
      <c r="M169" s="102"/>
      <c r="N169" s="102"/>
      <c r="O169" s="102"/>
      <c r="P169" s="102"/>
      <c r="Q169" s="102"/>
      <c r="R169" s="102"/>
      <c r="S169" s="102"/>
      <c r="T169" s="102"/>
      <c r="U169" s="102"/>
      <c r="V169" s="102"/>
      <c r="W169" s="102"/>
      <c r="X169" s="102"/>
      <c r="Y169" s="102"/>
      <c r="Z169" s="102"/>
      <c r="AA169" s="102"/>
      <c r="AB169" s="102"/>
      <c r="AC169" s="102"/>
      <c r="AD169" s="102"/>
      <c r="AE169" s="102"/>
      <c r="AF169" s="102"/>
      <c r="AG169" s="102"/>
      <c r="AH169" s="102"/>
      <c r="AI169" s="102"/>
      <c r="AJ169" s="102"/>
      <c r="AK169" s="102"/>
      <c r="AL169" s="102"/>
      <c r="AM169" s="102"/>
      <c r="AN169" s="102"/>
      <c r="AO169" s="102"/>
      <c r="AP169" s="102"/>
      <c r="AQ169" s="102"/>
      <c r="AR169" s="102"/>
      <c r="AS169" s="102"/>
      <c r="AT169" s="102"/>
      <c r="AU169" s="102"/>
      <c r="AV169" s="102"/>
      <c r="AW169" s="90"/>
      <c r="AX169" s="90"/>
      <c r="AY169" s="90"/>
      <c r="AZ169" s="90"/>
      <c r="BA169" s="90"/>
      <c r="BB169" s="90"/>
      <c r="BC169" s="90"/>
      <c r="BD169" s="90"/>
      <c r="BE169" s="90"/>
      <c r="BF169" s="90"/>
      <c r="BG169" s="90"/>
      <c r="BH169" s="90"/>
      <c r="BI169" s="90"/>
      <c r="BJ169" s="90"/>
      <c r="BK169" s="90"/>
      <c r="BL169" s="90"/>
      <c r="BM169" s="90"/>
      <c r="BN169" s="90"/>
      <c r="BO169" s="90"/>
      <c r="BP169" s="90"/>
    </row>
    <row r="170" ht="12.75" customHeight="1" outlineLevel="1">
      <c r="A170" s="90"/>
      <c r="C170" s="102"/>
      <c r="D170" s="102"/>
      <c r="E170" s="102"/>
      <c r="F170" s="102"/>
      <c r="G170" s="102"/>
      <c r="H170" s="99"/>
      <c r="I170" s="99"/>
      <c r="J170" s="99"/>
      <c r="K170" s="102"/>
      <c r="L170" s="102"/>
      <c r="M170" s="102"/>
      <c r="N170" s="102"/>
      <c r="O170" s="102"/>
      <c r="P170" s="102"/>
      <c r="Q170" s="102"/>
      <c r="R170" s="102"/>
      <c r="S170" s="102"/>
      <c r="T170" s="102"/>
      <c r="U170" s="102"/>
      <c r="V170" s="102"/>
      <c r="W170" s="102"/>
      <c r="X170" s="102"/>
      <c r="Y170" s="102"/>
      <c r="Z170" s="102"/>
      <c r="AA170" s="102"/>
      <c r="AB170" s="102"/>
      <c r="AC170" s="102"/>
      <c r="AD170" s="102"/>
      <c r="AE170" s="102"/>
      <c r="AF170" s="102"/>
      <c r="AG170" s="102"/>
      <c r="AH170" s="102"/>
      <c r="AI170" s="102"/>
      <c r="AJ170" s="102"/>
      <c r="AK170" s="102"/>
      <c r="AL170" s="102"/>
      <c r="AM170" s="102"/>
      <c r="AN170" s="102"/>
      <c r="AO170" s="102"/>
      <c r="AP170" s="102"/>
      <c r="AQ170" s="102"/>
      <c r="AR170" s="102"/>
      <c r="AS170" s="102"/>
      <c r="AT170" s="102"/>
      <c r="AU170" s="102"/>
      <c r="AV170" s="102"/>
      <c r="AW170" s="90"/>
      <c r="AX170" s="90"/>
      <c r="AY170" s="90"/>
      <c r="AZ170" s="90"/>
      <c r="BA170" s="90"/>
      <c r="BB170" s="90"/>
      <c r="BC170" s="90"/>
      <c r="BD170" s="90"/>
      <c r="BE170" s="90"/>
      <c r="BF170" s="90"/>
      <c r="BG170" s="90"/>
      <c r="BH170" s="90"/>
      <c r="BI170" s="90"/>
      <c r="BJ170" s="90"/>
      <c r="BK170" s="90"/>
      <c r="BL170" s="90"/>
      <c r="BM170" s="90"/>
      <c r="BN170" s="90"/>
      <c r="BO170" s="90"/>
      <c r="BP170" s="90"/>
    </row>
    <row r="171" ht="12.75" customHeight="1" outlineLevel="1">
      <c r="A171" s="90" t="s">
        <v>594</v>
      </c>
      <c r="C171" s="102"/>
      <c r="D171" s="102"/>
      <c r="E171" s="102"/>
      <c r="F171" s="102"/>
      <c r="G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H171" s="102"/>
      <c r="AI171" s="102"/>
      <c r="AJ171" s="102"/>
      <c r="AK171" s="102"/>
      <c r="AL171" s="102"/>
      <c r="AM171" s="102"/>
      <c r="AN171" s="102"/>
      <c r="AO171" s="102"/>
      <c r="AP171" s="102"/>
      <c r="AQ171" s="102"/>
      <c r="AR171" s="102"/>
      <c r="AS171" s="102"/>
      <c r="AT171" s="102"/>
      <c r="AU171" s="102"/>
      <c r="AV171" s="102"/>
      <c r="AW171" s="90"/>
      <c r="AX171" s="90"/>
      <c r="AY171" s="90"/>
      <c r="AZ171" s="90"/>
      <c r="BA171" s="90"/>
      <c r="BB171" s="90"/>
      <c r="BC171" s="90"/>
      <c r="BD171" s="90"/>
      <c r="BE171" s="90"/>
      <c r="BF171" s="90"/>
      <c r="BG171" s="90"/>
      <c r="BH171" s="90"/>
      <c r="BI171" s="90"/>
      <c r="BJ171" s="90"/>
      <c r="BK171" s="90"/>
      <c r="BL171" s="90"/>
      <c r="BM171" s="90"/>
      <c r="BN171" s="90"/>
      <c r="BO171" s="90"/>
      <c r="BP171" s="90"/>
    </row>
    <row r="172" ht="12.75" customHeight="1" outlineLevel="1">
      <c r="A172" s="90" t="s">
        <v>286</v>
      </c>
      <c r="C172" s="102">
        <f>'RSGen 1-7'!G319</f>
        <v>0</v>
      </c>
      <c r="D172" s="102">
        <f>OFFSET(RSGen_Walton!$G$14,0,ROW(C172)-ROW($C$172))</f>
        <v>0</v>
      </c>
      <c r="E172" s="102">
        <f>OFFSET(RSGen_none!$G$14,0,ROW(D172)-ROW($C$172))</f>
        <v>0</v>
      </c>
      <c r="F172" s="102"/>
      <c r="G172" s="102"/>
      <c r="K172" s="102"/>
      <c r="L172" s="102">
        <f>$C172*L6*L$110</f>
        <v>0</v>
      </c>
      <c r="M172" s="102">
        <f t="shared" ref="M172:AL172" si="140">M$110*(MAX(0,MIN(M6,SUM(M6:M$15)-$E$4))*$E172+MAX(0,MIN(M6,$D$4-SUM(M7:M$15)))*$C172+(M6-(MAX(0,MIN(M6,SUM(M6:M$15)-$E$4))+MAX(0,MIN(M6,$D$4-SUM(M7:M$15)))))*$D172)</f>
        <v>0</v>
      </c>
      <c r="N172" s="102">
        <f t="shared" si="140"/>
        <v>0</v>
      </c>
      <c r="O172" s="102">
        <f t="shared" si="140"/>
        <v>0</v>
      </c>
      <c r="P172" s="102">
        <f t="shared" si="140"/>
        <v>0</v>
      </c>
      <c r="Q172" s="102">
        <f t="shared" si="140"/>
        <v>0</v>
      </c>
      <c r="R172" s="102">
        <f t="shared" si="140"/>
        <v>0</v>
      </c>
      <c r="S172" s="102">
        <f t="shared" si="140"/>
        <v>0</v>
      </c>
      <c r="T172" s="102">
        <f t="shared" si="140"/>
        <v>0</v>
      </c>
      <c r="U172" s="102">
        <f t="shared" si="140"/>
        <v>0</v>
      </c>
      <c r="V172" s="102">
        <f t="shared" si="140"/>
        <v>0</v>
      </c>
      <c r="W172" s="102">
        <f t="shared" si="140"/>
        <v>0</v>
      </c>
      <c r="X172" s="102">
        <f t="shared" si="140"/>
        <v>0</v>
      </c>
      <c r="Y172" s="102">
        <f t="shared" si="140"/>
        <v>0</v>
      </c>
      <c r="Z172" s="102">
        <f t="shared" si="140"/>
        <v>0</v>
      </c>
      <c r="AA172" s="102">
        <f t="shared" si="140"/>
        <v>0</v>
      </c>
      <c r="AB172" s="102">
        <f t="shared" si="140"/>
        <v>0</v>
      </c>
      <c r="AC172" s="102">
        <f t="shared" si="140"/>
        <v>0</v>
      </c>
      <c r="AD172" s="102">
        <f t="shared" si="140"/>
        <v>0</v>
      </c>
      <c r="AE172" s="102">
        <f t="shared" si="140"/>
        <v>0</v>
      </c>
      <c r="AF172" s="102">
        <f t="shared" si="140"/>
        <v>0</v>
      </c>
      <c r="AG172" s="102">
        <f t="shared" si="140"/>
        <v>0</v>
      </c>
      <c r="AH172" s="102">
        <f t="shared" si="140"/>
        <v>0</v>
      </c>
      <c r="AI172" s="102">
        <f t="shared" si="140"/>
        <v>0</v>
      </c>
      <c r="AJ172" s="102">
        <f t="shared" si="140"/>
        <v>0</v>
      </c>
      <c r="AK172" s="102">
        <f t="shared" si="140"/>
        <v>0</v>
      </c>
      <c r="AL172" s="102">
        <f t="shared" si="140"/>
        <v>0</v>
      </c>
      <c r="AM172" s="102">
        <f t="shared" ref="AM172:AV172" si="141">$D172*AM6*AM$110</f>
        <v>0</v>
      </c>
      <c r="AN172" s="102">
        <f t="shared" si="141"/>
        <v>0</v>
      </c>
      <c r="AO172" s="102" t="str">
        <f t="shared" si="141"/>
        <v>#REF!</v>
      </c>
      <c r="AP172" s="102" t="str">
        <f t="shared" si="141"/>
        <v>#REF!</v>
      </c>
      <c r="AQ172" s="102" t="str">
        <f t="shared" si="141"/>
        <v>#REF!</v>
      </c>
      <c r="AR172" s="102" t="str">
        <f t="shared" si="141"/>
        <v>#REF!</v>
      </c>
      <c r="AS172" s="102" t="str">
        <f t="shared" si="141"/>
        <v>#REF!</v>
      </c>
      <c r="AT172" s="102">
        <f t="shared" si="141"/>
        <v>0</v>
      </c>
      <c r="AU172" s="102">
        <f t="shared" si="141"/>
        <v>0</v>
      </c>
      <c r="AV172" s="102">
        <f t="shared" si="141"/>
        <v>0</v>
      </c>
      <c r="AW172" s="90"/>
      <c r="AX172" s="90"/>
      <c r="AY172" s="90"/>
      <c r="AZ172" s="90"/>
      <c r="BA172" s="90"/>
      <c r="BB172" s="90"/>
      <c r="BC172" s="90"/>
      <c r="BD172" s="90"/>
      <c r="BE172" s="90"/>
      <c r="BF172" s="90"/>
      <c r="BG172" s="90"/>
      <c r="BH172" s="90"/>
      <c r="BI172" s="90"/>
      <c r="BJ172" s="90"/>
      <c r="BK172" s="90"/>
      <c r="BL172" s="90"/>
      <c r="BM172" s="90"/>
      <c r="BN172" s="90"/>
      <c r="BO172" s="90"/>
      <c r="BP172" s="90"/>
    </row>
    <row r="173" ht="12.75" customHeight="1" outlineLevel="1">
      <c r="A173" s="90" t="s">
        <v>287</v>
      </c>
      <c r="C173" s="102">
        <f>'RSGen 1-7'!H$319</f>
        <v>111400</v>
      </c>
      <c r="D173" s="102">
        <f>OFFSET(RSGen_Walton!$G$14,0,ROW(C173)-ROW($C$172))</f>
        <v>111400</v>
      </c>
      <c r="E173" s="102">
        <f>OFFSET(RSGen_none!$G$14,0,ROW(D173)-ROW($C$172))</f>
        <v>111400</v>
      </c>
      <c r="F173" s="102"/>
      <c r="G173" s="102"/>
      <c r="H173" s="313"/>
      <c r="I173" s="313"/>
      <c r="J173" s="313"/>
      <c r="K173" s="306"/>
      <c r="L173" s="306"/>
      <c r="M173" s="102">
        <f t="shared" ref="M173:AL173" si="142">M$110*(MAX(0,MIN(M7,SUM(M7:M$15)-$E$4))*$E173+MAX(0,MIN(M7,$D$4-SUM(M8:M$15)))*$C173+(M7-(MAX(0,MIN(M7,SUM(M7:M$15)-$E$4))+MAX(0,MIN(M7,$D$4-SUM(M8:M$15)))))*$D173)</f>
        <v>222800</v>
      </c>
      <c r="N173" s="102">
        <f t="shared" si="142"/>
        <v>340884</v>
      </c>
      <c r="O173" s="102">
        <f t="shared" si="142"/>
        <v>579502.8</v>
      </c>
      <c r="P173" s="102">
        <f t="shared" si="142"/>
        <v>945748.5696</v>
      </c>
      <c r="Q173" s="102">
        <f t="shared" si="142"/>
        <v>1567578.254</v>
      </c>
      <c r="R173" s="102">
        <f t="shared" si="142"/>
        <v>2705881.232</v>
      </c>
      <c r="S173" s="102">
        <f t="shared" si="142"/>
        <v>4265452.779</v>
      </c>
      <c r="T173" s="102">
        <f t="shared" si="142"/>
        <v>5758361.252</v>
      </c>
      <c r="U173" s="102">
        <f t="shared" si="142"/>
        <v>5873528.477</v>
      </c>
      <c r="V173" s="102">
        <f t="shared" si="142"/>
        <v>8786798.602</v>
      </c>
      <c r="W173" s="102">
        <f t="shared" si="142"/>
        <v>10863678.27</v>
      </c>
      <c r="X173" s="102">
        <f t="shared" si="142"/>
        <v>19668689.51</v>
      </c>
      <c r="Y173" s="102">
        <f t="shared" si="142"/>
        <v>27267452.23</v>
      </c>
      <c r="Z173" s="102">
        <f t="shared" si="142"/>
        <v>34874082.43</v>
      </c>
      <c r="AA173" s="102">
        <f t="shared" si="142"/>
        <v>40128252.04</v>
      </c>
      <c r="AB173" s="102">
        <f t="shared" si="142"/>
        <v>48577233.46</v>
      </c>
      <c r="AC173" s="102">
        <f t="shared" si="142"/>
        <v>53524914.64</v>
      </c>
      <c r="AD173" s="102">
        <f t="shared" si="142"/>
        <v>53815478.46</v>
      </c>
      <c r="AE173" s="102">
        <f t="shared" si="142"/>
        <v>43277003.9</v>
      </c>
      <c r="AF173" s="102">
        <f t="shared" si="142"/>
        <v>5355529.232</v>
      </c>
      <c r="AG173" s="102">
        <f t="shared" si="142"/>
        <v>0</v>
      </c>
      <c r="AH173" s="102">
        <f t="shared" si="142"/>
        <v>0</v>
      </c>
      <c r="AI173" s="102">
        <f t="shared" si="142"/>
        <v>0</v>
      </c>
      <c r="AJ173" s="102">
        <f t="shared" si="142"/>
        <v>0</v>
      </c>
      <c r="AK173" s="102">
        <f t="shared" si="142"/>
        <v>0</v>
      </c>
      <c r="AL173" s="102">
        <f t="shared" si="142"/>
        <v>0</v>
      </c>
      <c r="AM173" s="102">
        <f t="shared" ref="AM173:AV173" si="143">$D173*AM7*AM$110</f>
        <v>0</v>
      </c>
      <c r="AN173" s="102">
        <f t="shared" si="143"/>
        <v>0</v>
      </c>
      <c r="AO173" s="102">
        <f t="shared" si="143"/>
        <v>0</v>
      </c>
      <c r="AP173" s="102" t="str">
        <f t="shared" si="143"/>
        <v>#REF!</v>
      </c>
      <c r="AQ173" s="102" t="str">
        <f t="shared" si="143"/>
        <v>#REF!</v>
      </c>
      <c r="AR173" s="102" t="str">
        <f t="shared" si="143"/>
        <v>#REF!</v>
      </c>
      <c r="AS173" s="102" t="str">
        <f t="shared" si="143"/>
        <v>#REF!</v>
      </c>
      <c r="AT173" s="102" t="str">
        <f t="shared" si="143"/>
        <v>#REF!</v>
      </c>
      <c r="AU173" s="102">
        <f t="shared" si="143"/>
        <v>0</v>
      </c>
      <c r="AV173" s="102">
        <f t="shared" si="143"/>
        <v>0</v>
      </c>
      <c r="AW173" s="90"/>
      <c r="AX173" s="90"/>
      <c r="AY173" s="90"/>
      <c r="AZ173" s="90"/>
      <c r="BA173" s="90"/>
      <c r="BB173" s="90"/>
      <c r="BC173" s="90"/>
      <c r="BD173" s="90"/>
      <c r="BE173" s="90"/>
      <c r="BF173" s="90"/>
      <c r="BG173" s="90"/>
      <c r="BH173" s="90"/>
      <c r="BI173" s="90"/>
      <c r="BJ173" s="90"/>
      <c r="BK173" s="90"/>
      <c r="BL173" s="90"/>
      <c r="BM173" s="90"/>
      <c r="BN173" s="90"/>
      <c r="BO173" s="90"/>
      <c r="BP173" s="90"/>
    </row>
    <row r="174" ht="12.75" customHeight="1" outlineLevel="1">
      <c r="A174" s="90" t="s">
        <v>288</v>
      </c>
      <c r="C174" s="102">
        <f>'RSGen 1-7'!I$319</f>
        <v>894400</v>
      </c>
      <c r="D174" s="102">
        <f>OFFSET(RSGen_Walton!$G$14,0,ROW(C174)-ROW($C$172))</f>
        <v>894400</v>
      </c>
      <c r="E174" s="102">
        <f>OFFSET(RSGen_none!$G$14,0,ROW(D174)-ROW($C$172))</f>
        <v>894400</v>
      </c>
      <c r="F174" s="102"/>
      <c r="G174" s="102"/>
      <c r="H174" s="313"/>
      <c r="I174" s="313"/>
      <c r="J174" s="313"/>
      <c r="K174" s="306"/>
      <c r="L174" s="306"/>
      <c r="M174" s="306"/>
      <c r="N174" s="102">
        <f t="shared" ref="N174:AL174" si="144">N$110*(MAX(0,MIN(N8,SUM(N8:N$15)-$E$4))*$E174+MAX(0,MIN(N8,$D$4-SUM(N9:N$15)))*$C174+(N8-(MAX(0,MIN(N8,SUM(N8:N$15)-$E$4))+MAX(0,MIN(N8,$D$4-SUM(N9:N$15)))))*$D174)</f>
        <v>1824576</v>
      </c>
      <c r="O174" s="102">
        <f t="shared" si="144"/>
        <v>2791601.28</v>
      </c>
      <c r="P174" s="102">
        <f t="shared" si="144"/>
        <v>4745722.176</v>
      </c>
      <c r="Q174" s="102">
        <f t="shared" si="144"/>
        <v>7745018.591</v>
      </c>
      <c r="R174" s="102">
        <f t="shared" si="144"/>
        <v>12837368.31</v>
      </c>
      <c r="S174" s="102">
        <f t="shared" si="144"/>
        <v>22159272.69</v>
      </c>
      <c r="T174" s="102">
        <f t="shared" si="144"/>
        <v>34931071.68</v>
      </c>
      <c r="U174" s="102">
        <f t="shared" si="144"/>
        <v>47156946.77</v>
      </c>
      <c r="V174" s="102">
        <f t="shared" si="144"/>
        <v>48100085.7</v>
      </c>
      <c r="W174" s="102">
        <f t="shared" si="144"/>
        <v>71957728.21</v>
      </c>
      <c r="X174" s="102">
        <f t="shared" si="144"/>
        <v>88965918.51</v>
      </c>
      <c r="Y174" s="102">
        <f t="shared" si="144"/>
        <v>161072795.5</v>
      </c>
      <c r="Z174" s="102">
        <f t="shared" si="144"/>
        <v>223301341.7</v>
      </c>
      <c r="AA174" s="102">
        <f t="shared" si="144"/>
        <v>285594317</v>
      </c>
      <c r="AB174" s="102">
        <f t="shared" si="144"/>
        <v>328622287.2</v>
      </c>
      <c r="AC174" s="102">
        <f t="shared" si="144"/>
        <v>397813529.2</v>
      </c>
      <c r="AD174" s="102">
        <f t="shared" si="144"/>
        <v>438331573.9</v>
      </c>
      <c r="AE174" s="102">
        <f t="shared" si="144"/>
        <v>440711088.1</v>
      </c>
      <c r="AF174" s="102">
        <f t="shared" si="144"/>
        <v>354408360.3</v>
      </c>
      <c r="AG174" s="102">
        <f t="shared" si="144"/>
        <v>43858034.58</v>
      </c>
      <c r="AH174" s="102">
        <f t="shared" si="144"/>
        <v>0</v>
      </c>
      <c r="AI174" s="102">
        <f t="shared" si="144"/>
        <v>0</v>
      </c>
      <c r="AJ174" s="102">
        <f t="shared" si="144"/>
        <v>0</v>
      </c>
      <c r="AK174" s="102">
        <f t="shared" si="144"/>
        <v>0</v>
      </c>
      <c r="AL174" s="102">
        <f t="shared" si="144"/>
        <v>0</v>
      </c>
      <c r="AM174" s="102">
        <f t="shared" ref="AM174:AV174" si="145">$D174*AM8*AM$110</f>
        <v>0</v>
      </c>
      <c r="AN174" s="102">
        <f t="shared" si="145"/>
        <v>0</v>
      </c>
      <c r="AO174" s="102">
        <f t="shared" si="145"/>
        <v>0</v>
      </c>
      <c r="AP174" s="102">
        <f t="shared" si="145"/>
        <v>0</v>
      </c>
      <c r="AQ174" s="102" t="str">
        <f t="shared" si="145"/>
        <v>#REF!</v>
      </c>
      <c r="AR174" s="102" t="str">
        <f t="shared" si="145"/>
        <v>#REF!</v>
      </c>
      <c r="AS174" s="102" t="str">
        <f t="shared" si="145"/>
        <v>#REF!</v>
      </c>
      <c r="AT174" s="102" t="str">
        <f t="shared" si="145"/>
        <v>#REF!</v>
      </c>
      <c r="AU174" s="102" t="str">
        <f t="shared" si="145"/>
        <v>#REF!</v>
      </c>
      <c r="AV174" s="102">
        <f t="shared" si="145"/>
        <v>0</v>
      </c>
      <c r="AW174" s="90"/>
      <c r="AX174" s="90"/>
      <c r="AY174" s="90"/>
      <c r="AZ174" s="90"/>
      <c r="BA174" s="90"/>
      <c r="BB174" s="90"/>
      <c r="BC174" s="90"/>
      <c r="BD174" s="90"/>
      <c r="BE174" s="90"/>
      <c r="BF174" s="90"/>
      <c r="BG174" s="90"/>
      <c r="BH174" s="90"/>
      <c r="BI174" s="90"/>
      <c r="BJ174" s="90"/>
      <c r="BK174" s="90"/>
      <c r="BL174" s="90"/>
      <c r="BM174" s="90"/>
      <c r="BN174" s="90"/>
      <c r="BO174" s="90"/>
      <c r="BP174" s="90"/>
    </row>
    <row r="175" ht="12.75" customHeight="1" outlineLevel="1">
      <c r="A175" s="90" t="s">
        <v>289</v>
      </c>
      <c r="C175" s="102">
        <f>'RSGen 1-7'!J$319</f>
        <v>968375</v>
      </c>
      <c r="D175" s="102">
        <f>OFFSET(RSGen_Walton!$G$14,0,ROW(C175)-ROW($C$172))</f>
        <v>915300</v>
      </c>
      <c r="E175" s="102">
        <f>OFFSET(RSGen_none!$G$14,0,ROW(D175)-ROW($C$172))</f>
        <v>915300</v>
      </c>
      <c r="F175" s="102"/>
      <c r="G175" s="102"/>
      <c r="H175" s="313"/>
      <c r="I175" s="313"/>
      <c r="J175" s="313"/>
      <c r="K175" s="306"/>
      <c r="L175" s="306"/>
      <c r="M175" s="306"/>
      <c r="N175" s="306"/>
      <c r="O175" s="102">
        <f t="shared" ref="O175:AL175" si="146">O$110*(MAX(0,MIN(O9,SUM(O9:O$15)-$E$4))*$E175+MAX(0,MIN(O9,$D$4-SUM(O10:O$15)))*$C175+(O9-(MAX(0,MIN(O9,SUM(O9:O$15)-$E$4))+MAX(0,MIN(O9,$D$4-SUM(O10:O$15)))))*$D175)</f>
        <v>2014994.7</v>
      </c>
      <c r="P175" s="102">
        <f t="shared" si="146"/>
        <v>3026618.276</v>
      </c>
      <c r="Q175" s="102">
        <f t="shared" si="146"/>
        <v>4953750.78</v>
      </c>
      <c r="R175" s="102">
        <f t="shared" si="146"/>
        <v>8084521.273</v>
      </c>
      <c r="S175" s="102">
        <f t="shared" si="146"/>
        <v>13400094.01</v>
      </c>
      <c r="T175" s="102">
        <f t="shared" si="146"/>
        <v>23130623.82</v>
      </c>
      <c r="U175" s="102">
        <f t="shared" si="146"/>
        <v>36462274.27</v>
      </c>
      <c r="V175" s="102">
        <f t="shared" si="146"/>
        <v>49224070.26</v>
      </c>
      <c r="W175" s="102">
        <f t="shared" si="146"/>
        <v>50208551.67</v>
      </c>
      <c r="X175" s="102">
        <f t="shared" si="146"/>
        <v>75111993.3</v>
      </c>
      <c r="Y175" s="102">
        <f t="shared" si="146"/>
        <v>92865737.17</v>
      </c>
      <c r="Z175" s="102">
        <f t="shared" si="146"/>
        <v>168133417.1</v>
      </c>
      <c r="AA175" s="102">
        <f t="shared" si="146"/>
        <v>233089750</v>
      </c>
      <c r="AB175" s="102">
        <f t="shared" si="146"/>
        <v>298113336.2</v>
      </c>
      <c r="AC175" s="102">
        <f t="shared" si="146"/>
        <v>343027436.4</v>
      </c>
      <c r="AD175" s="102">
        <f t="shared" si="146"/>
        <v>415251674.6</v>
      </c>
      <c r="AE175" s="102">
        <f t="shared" si="146"/>
        <v>457545826.6</v>
      </c>
      <c r="AF175" s="102">
        <f t="shared" si="146"/>
        <v>460029646.8</v>
      </c>
      <c r="AG175" s="102">
        <f t="shared" si="146"/>
        <v>369943841.2</v>
      </c>
      <c r="AH175" s="102">
        <f t="shared" si="146"/>
        <v>45780550.35</v>
      </c>
      <c r="AI175" s="102">
        <f t="shared" si="146"/>
        <v>0</v>
      </c>
      <c r="AJ175" s="102">
        <f t="shared" si="146"/>
        <v>0</v>
      </c>
      <c r="AK175" s="102">
        <f t="shared" si="146"/>
        <v>0</v>
      </c>
      <c r="AL175" s="102">
        <f t="shared" si="146"/>
        <v>0</v>
      </c>
      <c r="AM175" s="102">
        <f t="shared" ref="AM175:AV175" si="147">$D175*AM9*AM$110</f>
        <v>0</v>
      </c>
      <c r="AN175" s="102">
        <f t="shared" si="147"/>
        <v>0</v>
      </c>
      <c r="AO175" s="102">
        <f t="shared" si="147"/>
        <v>0</v>
      </c>
      <c r="AP175" s="102">
        <f t="shared" si="147"/>
        <v>0</v>
      </c>
      <c r="AQ175" s="102">
        <f t="shared" si="147"/>
        <v>0</v>
      </c>
      <c r="AR175" s="102" t="str">
        <f t="shared" si="147"/>
        <v>#REF!</v>
      </c>
      <c r="AS175" s="102" t="str">
        <f t="shared" si="147"/>
        <v>#REF!</v>
      </c>
      <c r="AT175" s="102" t="str">
        <f t="shared" si="147"/>
        <v>#REF!</v>
      </c>
      <c r="AU175" s="102" t="str">
        <f t="shared" si="147"/>
        <v>#REF!</v>
      </c>
      <c r="AV175" s="102" t="str">
        <f t="shared" si="147"/>
        <v>#REF!</v>
      </c>
      <c r="AW175" s="90"/>
      <c r="AX175" s="90"/>
      <c r="AY175" s="90"/>
      <c r="AZ175" s="90"/>
      <c r="BA175" s="90"/>
      <c r="BB175" s="90"/>
      <c r="BC175" s="90"/>
      <c r="BD175" s="90"/>
      <c r="BE175" s="90"/>
      <c r="BF175" s="90"/>
      <c r="BG175" s="90"/>
      <c r="BH175" s="90"/>
      <c r="BI175" s="90"/>
      <c r="BJ175" s="90"/>
      <c r="BK175" s="90"/>
      <c r="BL175" s="90"/>
      <c r="BM175" s="90"/>
      <c r="BN175" s="90"/>
      <c r="BO175" s="90"/>
      <c r="BP175" s="90"/>
    </row>
    <row r="176" ht="12.75" customHeight="1" outlineLevel="1">
      <c r="A176" s="90" t="s">
        <v>290</v>
      </c>
      <c r="C176" s="102">
        <f>'RSGen 1-7'!K$319</f>
        <v>968375</v>
      </c>
      <c r="D176" s="102">
        <f>OFFSET(RSGen_Walton!$G$14,0,ROW(C176)-ROW($C$172))</f>
        <v>968375</v>
      </c>
      <c r="E176" s="102">
        <f>OFFSET(RSGen_none!$G$14,0,ROW(D176)-ROW($C$172))</f>
        <v>968375</v>
      </c>
      <c r="F176" s="102"/>
      <c r="G176" s="102"/>
      <c r="H176" s="313"/>
      <c r="I176" s="313"/>
      <c r="J176" s="313"/>
      <c r="K176" s="306"/>
      <c r="L176" s="306"/>
      <c r="M176" s="306"/>
      <c r="N176" s="306"/>
      <c r="O176" s="306"/>
      <c r="P176" s="102">
        <f t="shared" ref="P176:AL176" si="148">P$110*(MAX(0,MIN(P10,SUM(P10:P$15)-$E$4))*$E176+MAX(0,MIN(P10,$D$4-SUM(P11:P$15)))*$C176+(P10-(MAX(0,MIN(P10,SUM(P10:P$15)-$E$4))+MAX(0,MIN(P10,$D$4-SUM(P11:P$15)))))*$D176)</f>
        <v>2055294.594</v>
      </c>
      <c r="Q176" s="102">
        <f t="shared" si="148"/>
        <v>3144600.729</v>
      </c>
      <c r="R176" s="102">
        <f t="shared" si="148"/>
        <v>5345821.239</v>
      </c>
      <c r="S176" s="102">
        <f t="shared" si="148"/>
        <v>8724380.262</v>
      </c>
      <c r="T176" s="102">
        <f t="shared" si="148"/>
        <v>14460660.28</v>
      </c>
      <c r="U176" s="102">
        <f t="shared" si="148"/>
        <v>24961324.37</v>
      </c>
      <c r="V176" s="102">
        <f t="shared" si="148"/>
        <v>39348124.05</v>
      </c>
      <c r="W176" s="102">
        <f t="shared" si="148"/>
        <v>53119967.47</v>
      </c>
      <c r="X176" s="102">
        <f t="shared" si="148"/>
        <v>54182366.82</v>
      </c>
      <c r="Y176" s="102">
        <f t="shared" si="148"/>
        <v>81056820.76</v>
      </c>
      <c r="Z176" s="102">
        <f t="shared" si="148"/>
        <v>100215705.7</v>
      </c>
      <c r="AA176" s="102">
        <f t="shared" si="148"/>
        <v>181440535.1</v>
      </c>
      <c r="AB176" s="102">
        <f t="shared" si="148"/>
        <v>251537913.7</v>
      </c>
      <c r="AC176" s="102">
        <f t="shared" si="148"/>
        <v>321707868.4</v>
      </c>
      <c r="AD176" s="102">
        <f t="shared" si="148"/>
        <v>370176748.1</v>
      </c>
      <c r="AE176" s="102">
        <f t="shared" si="148"/>
        <v>448117259</v>
      </c>
      <c r="AF176" s="102">
        <f t="shared" si="148"/>
        <v>493758831.7</v>
      </c>
      <c r="AG176" s="102">
        <f t="shared" si="148"/>
        <v>496439236.8</v>
      </c>
      <c r="AH176" s="102">
        <f t="shared" si="148"/>
        <v>399223483.7</v>
      </c>
      <c r="AI176" s="102">
        <f t="shared" si="148"/>
        <v>49403906.1</v>
      </c>
      <c r="AJ176" s="102">
        <f t="shared" si="148"/>
        <v>0</v>
      </c>
      <c r="AK176" s="102">
        <f t="shared" si="148"/>
        <v>0</v>
      </c>
      <c r="AL176" s="102">
        <f t="shared" si="148"/>
        <v>0</v>
      </c>
      <c r="AM176" s="102">
        <f t="shared" ref="AM176:AV176" si="149">$D176*AM10*AM$110</f>
        <v>0</v>
      </c>
      <c r="AN176" s="102">
        <f t="shared" si="149"/>
        <v>0</v>
      </c>
      <c r="AO176" s="102">
        <f t="shared" si="149"/>
        <v>0</v>
      </c>
      <c r="AP176" s="102">
        <f t="shared" si="149"/>
        <v>0</v>
      </c>
      <c r="AQ176" s="102">
        <f t="shared" si="149"/>
        <v>0</v>
      </c>
      <c r="AR176" s="102">
        <f t="shared" si="149"/>
        <v>0</v>
      </c>
      <c r="AS176" s="102" t="str">
        <f t="shared" si="149"/>
        <v>#REF!</v>
      </c>
      <c r="AT176" s="102" t="str">
        <f t="shared" si="149"/>
        <v>#REF!</v>
      </c>
      <c r="AU176" s="102" t="str">
        <f t="shared" si="149"/>
        <v>#REF!</v>
      </c>
      <c r="AV176" s="102" t="str">
        <f t="shared" si="149"/>
        <v>#REF!</v>
      </c>
      <c r="AW176" s="90"/>
      <c r="AX176" s="90"/>
      <c r="AY176" s="90"/>
      <c r="AZ176" s="90"/>
      <c r="BA176" s="90"/>
      <c r="BB176" s="90"/>
      <c r="BC176" s="90"/>
      <c r="BD176" s="90"/>
      <c r="BE176" s="90"/>
      <c r="BF176" s="90"/>
      <c r="BG176" s="90"/>
      <c r="BH176" s="90"/>
      <c r="BI176" s="90"/>
      <c r="BJ176" s="90"/>
      <c r="BK176" s="90"/>
      <c r="BL176" s="90"/>
      <c r="BM176" s="90"/>
      <c r="BN176" s="90"/>
      <c r="BO176" s="90"/>
      <c r="BP176" s="90"/>
    </row>
    <row r="177" ht="12.75" customHeight="1" outlineLevel="1">
      <c r="A177" s="90" t="s">
        <v>291</v>
      </c>
      <c r="C177" s="102">
        <f>'RSGen 1-7'!L$319</f>
        <v>968375</v>
      </c>
      <c r="D177" s="102">
        <f>OFFSET(RSGen_Walton!$G$14,0,ROW(C177)-ROW($C$172))</f>
        <v>968375</v>
      </c>
      <c r="E177" s="102">
        <f>OFFSET(RSGen_none!$G$14,0,ROW(D177)-ROW($C$172))</f>
        <v>968375</v>
      </c>
      <c r="F177" s="102"/>
      <c r="G177" s="102"/>
      <c r="H177" s="313"/>
      <c r="I177" s="313"/>
      <c r="J177" s="313"/>
      <c r="K177" s="306"/>
      <c r="L177" s="306"/>
      <c r="M177" s="306"/>
      <c r="N177" s="306"/>
      <c r="O177" s="306"/>
      <c r="P177" s="306"/>
      <c r="Q177" s="102">
        <f t="shared" ref="Q177:AL177" si="150">Q$110*(MAX(0,MIN(Q11,SUM(Q11:Q$15)-$E$4))*$E177+MAX(0,MIN(Q11,$D$4-SUM(Q12:Q$15)))*$C177+(Q11-(MAX(0,MIN(Q11,SUM(Q11:Q$15)-$E$4))+MAX(0,MIN(Q11,$D$4-SUM(Q12:Q$15)))))*$D177)</f>
        <v>2096400.486</v>
      </c>
      <c r="R177" s="102">
        <f t="shared" si="150"/>
        <v>3207492.743</v>
      </c>
      <c r="S177" s="102">
        <f t="shared" si="150"/>
        <v>5452737.664</v>
      </c>
      <c r="T177" s="102">
        <f t="shared" si="150"/>
        <v>8898867.867</v>
      </c>
      <c r="U177" s="102">
        <f t="shared" si="150"/>
        <v>14749873.49</v>
      </c>
      <c r="V177" s="102">
        <f t="shared" si="150"/>
        <v>25460550.86</v>
      </c>
      <c r="W177" s="102">
        <f t="shared" si="150"/>
        <v>40135086.53</v>
      </c>
      <c r="X177" s="102">
        <f t="shared" si="150"/>
        <v>54182366.82</v>
      </c>
      <c r="Y177" s="102">
        <f t="shared" si="150"/>
        <v>55266014.15</v>
      </c>
      <c r="Z177" s="102">
        <f t="shared" si="150"/>
        <v>82677957.17</v>
      </c>
      <c r="AA177" s="102">
        <f t="shared" si="150"/>
        <v>102220019.8</v>
      </c>
      <c r="AB177" s="102">
        <f t="shared" si="150"/>
        <v>185069345.8</v>
      </c>
      <c r="AC177" s="102">
        <f t="shared" si="150"/>
        <v>256568671.9</v>
      </c>
      <c r="AD177" s="102">
        <f t="shared" si="150"/>
        <v>328142025.8</v>
      </c>
      <c r="AE177" s="102">
        <f t="shared" si="150"/>
        <v>377580283.1</v>
      </c>
      <c r="AF177" s="102">
        <f t="shared" si="150"/>
        <v>457079604.2</v>
      </c>
      <c r="AG177" s="102">
        <f t="shared" si="150"/>
        <v>503634008.4</v>
      </c>
      <c r="AH177" s="102">
        <f t="shared" si="150"/>
        <v>506368021.5</v>
      </c>
      <c r="AI177" s="102">
        <f t="shared" si="150"/>
        <v>407207953.3</v>
      </c>
      <c r="AJ177" s="102">
        <f t="shared" si="150"/>
        <v>50391984.22</v>
      </c>
      <c r="AK177" s="102">
        <f t="shared" si="150"/>
        <v>0</v>
      </c>
      <c r="AL177" s="102">
        <f t="shared" si="150"/>
        <v>0</v>
      </c>
      <c r="AM177" s="102">
        <f t="shared" ref="AM177:AV177" si="151">$D177*AM11*AM$110</f>
        <v>0</v>
      </c>
      <c r="AN177" s="102">
        <f t="shared" si="151"/>
        <v>0</v>
      </c>
      <c r="AO177" s="102">
        <f t="shared" si="151"/>
        <v>0</v>
      </c>
      <c r="AP177" s="102">
        <f t="shared" si="151"/>
        <v>0</v>
      </c>
      <c r="AQ177" s="102">
        <f t="shared" si="151"/>
        <v>0</v>
      </c>
      <c r="AR177" s="102">
        <f t="shared" si="151"/>
        <v>0</v>
      </c>
      <c r="AS177" s="102">
        <f t="shared" si="151"/>
        <v>0</v>
      </c>
      <c r="AT177" s="102" t="str">
        <f t="shared" si="151"/>
        <v>#REF!</v>
      </c>
      <c r="AU177" s="102" t="str">
        <f t="shared" si="151"/>
        <v>#REF!</v>
      </c>
      <c r="AV177" s="102" t="str">
        <f t="shared" si="151"/>
        <v>#REF!</v>
      </c>
      <c r="AW177" s="90"/>
      <c r="AX177" s="90"/>
      <c r="AY177" s="90"/>
      <c r="AZ177" s="90"/>
      <c r="BA177" s="90"/>
      <c r="BB177" s="90"/>
      <c r="BC177" s="90"/>
      <c r="BD177" s="90"/>
      <c r="BE177" s="90"/>
      <c r="BF177" s="90"/>
      <c r="BG177" s="90"/>
      <c r="BH177" s="90"/>
      <c r="BI177" s="90"/>
      <c r="BJ177" s="90"/>
      <c r="BK177" s="90"/>
      <c r="BL177" s="90"/>
      <c r="BM177" s="90"/>
      <c r="BN177" s="90"/>
      <c r="BO177" s="90"/>
      <c r="BP177" s="90"/>
    </row>
    <row r="178" ht="12.75" customHeight="1" outlineLevel="1">
      <c r="A178" s="90" t="s">
        <v>292</v>
      </c>
      <c r="C178" s="102">
        <f>'RSGen 1-7'!M$319</f>
        <v>968375</v>
      </c>
      <c r="D178" s="102">
        <f>OFFSET(RSGen_Walton!$G$14,0,ROW(C178)-ROW($C$172))</f>
        <v>968375</v>
      </c>
      <c r="E178" s="102">
        <f>OFFSET(RSGen_none!$G$14,0,ROW(D178)-ROW($C$172))</f>
        <v>968375</v>
      </c>
      <c r="F178" s="102"/>
      <c r="G178" s="102"/>
      <c r="H178" s="313"/>
      <c r="I178" s="313"/>
      <c r="J178" s="313"/>
      <c r="K178" s="306"/>
      <c r="L178" s="306"/>
      <c r="M178" s="306"/>
      <c r="N178" s="306"/>
      <c r="O178" s="306"/>
      <c r="P178" s="306"/>
      <c r="Q178" s="306"/>
      <c r="R178" s="102">
        <f t="shared" ref="R178:AL178" si="152">R$110*(MAX(0,MIN(R12,SUM(R12:R$15)-$E$4))*$E178+MAX(0,MIN(R12,$D$4-SUM(R13:R$15)))*$C178+(R12-(MAX(0,MIN(R12,SUM(R12:R$15)-$E$4))+MAX(0,MIN(R12,$D$4-SUM(R13:R$15)))))*$D178)</f>
        <v>2138328.496</v>
      </c>
      <c r="S178" s="102">
        <f t="shared" si="152"/>
        <v>3271642.598</v>
      </c>
      <c r="T178" s="102">
        <f t="shared" si="152"/>
        <v>5561792.417</v>
      </c>
      <c r="U178" s="102">
        <f t="shared" si="152"/>
        <v>9076845.225</v>
      </c>
      <c r="V178" s="102">
        <f t="shared" si="152"/>
        <v>15044870.96</v>
      </c>
      <c r="W178" s="102">
        <f t="shared" si="152"/>
        <v>25969761.87</v>
      </c>
      <c r="X178" s="102">
        <f t="shared" si="152"/>
        <v>40937788.26</v>
      </c>
      <c r="Y178" s="102">
        <f t="shared" si="152"/>
        <v>55266014.15</v>
      </c>
      <c r="Z178" s="102">
        <f t="shared" si="152"/>
        <v>56371334.43</v>
      </c>
      <c r="AA178" s="102">
        <f t="shared" si="152"/>
        <v>84331516.31</v>
      </c>
      <c r="AB178" s="102">
        <f t="shared" si="152"/>
        <v>104264420.2</v>
      </c>
      <c r="AC178" s="102">
        <f t="shared" si="152"/>
        <v>188770732.7</v>
      </c>
      <c r="AD178" s="102">
        <f t="shared" si="152"/>
        <v>261700045.4</v>
      </c>
      <c r="AE178" s="102">
        <f t="shared" si="152"/>
        <v>334704866.3</v>
      </c>
      <c r="AF178" s="102">
        <f t="shared" si="152"/>
        <v>385131888.7</v>
      </c>
      <c r="AG178" s="102">
        <f t="shared" si="152"/>
        <v>466221196.3</v>
      </c>
      <c r="AH178" s="102">
        <f t="shared" si="152"/>
        <v>513706688.5</v>
      </c>
      <c r="AI178" s="102">
        <f t="shared" si="152"/>
        <v>516495382</v>
      </c>
      <c r="AJ178" s="102">
        <f t="shared" si="152"/>
        <v>415352112.4</v>
      </c>
      <c r="AK178" s="102">
        <f t="shared" si="152"/>
        <v>51399823.91</v>
      </c>
      <c r="AL178" s="102">
        <f t="shared" si="152"/>
        <v>0</v>
      </c>
      <c r="AM178" s="102">
        <f t="shared" ref="AM178:AV178" si="153">$D178*AM12*AM$110</f>
        <v>0</v>
      </c>
      <c r="AN178" s="102">
        <f t="shared" si="153"/>
        <v>0</v>
      </c>
      <c r="AO178" s="102">
        <f t="shared" si="153"/>
        <v>0</v>
      </c>
      <c r="AP178" s="102">
        <f t="shared" si="153"/>
        <v>0</v>
      </c>
      <c r="AQ178" s="102">
        <f t="shared" si="153"/>
        <v>0</v>
      </c>
      <c r="AR178" s="102">
        <f t="shared" si="153"/>
        <v>0</v>
      </c>
      <c r="AS178" s="102">
        <f t="shared" si="153"/>
        <v>0</v>
      </c>
      <c r="AT178" s="102">
        <f t="shared" si="153"/>
        <v>0</v>
      </c>
      <c r="AU178" s="102" t="str">
        <f t="shared" si="153"/>
        <v>#REF!</v>
      </c>
      <c r="AV178" s="102" t="str">
        <f t="shared" si="153"/>
        <v>#REF!</v>
      </c>
      <c r="AW178" s="90"/>
      <c r="AX178" s="90"/>
      <c r="AY178" s="90"/>
      <c r="AZ178" s="90"/>
      <c r="BA178" s="90"/>
      <c r="BB178" s="90"/>
      <c r="BC178" s="90"/>
      <c r="BD178" s="90"/>
      <c r="BE178" s="90"/>
      <c r="BF178" s="90"/>
      <c r="BG178" s="90"/>
      <c r="BH178" s="90"/>
      <c r="BI178" s="90"/>
      <c r="BJ178" s="90"/>
      <c r="BK178" s="90"/>
      <c r="BL178" s="90"/>
      <c r="BM178" s="90"/>
      <c r="BN178" s="90"/>
      <c r="BO178" s="90"/>
      <c r="BP178" s="90"/>
    </row>
    <row r="179" ht="12.75" customHeight="1" outlineLevel="1">
      <c r="A179" s="90" t="s">
        <v>293</v>
      </c>
      <c r="C179" s="102">
        <f>'RSGen 1-7'!N$319</f>
        <v>968375</v>
      </c>
      <c r="D179" s="102">
        <f>OFFSET(RSGen_Walton!$G$14,0,ROW(C179)-ROW($C$172))</f>
        <v>968375</v>
      </c>
      <c r="E179" s="102">
        <f>OFFSET(RSGen_none!$G$14,0,ROW(D179)-ROW($C$172))</f>
        <v>968375</v>
      </c>
      <c r="F179" s="102"/>
      <c r="G179" s="102"/>
      <c r="H179" s="313"/>
      <c r="I179" s="313"/>
      <c r="J179" s="313"/>
      <c r="K179" s="306"/>
      <c r="L179" s="306"/>
      <c r="M179" s="306"/>
      <c r="N179" s="306"/>
      <c r="O179" s="306"/>
      <c r="P179" s="306"/>
      <c r="Q179" s="306"/>
      <c r="R179" s="306"/>
      <c r="S179" s="102">
        <f t="shared" ref="S179:AL179" si="154">S$110*(MAX(0,MIN(S13,SUM(S13:S$15)-$E$4))*$E179+MAX(0,MIN(S13,$D$4-SUM(S14:S$15)))*$C179+(S13-(MAX(0,MIN(S13,SUM(S13:S$15)-$E$4))+MAX(0,MIN(S13,$D$4-SUM(S14:S$15)))))*$D179)</f>
        <v>2181095.066</v>
      </c>
      <c r="T179" s="102">
        <f t="shared" si="154"/>
        <v>3337075.45</v>
      </c>
      <c r="U179" s="102">
        <f t="shared" si="154"/>
        <v>5673028.265</v>
      </c>
      <c r="V179" s="102">
        <f t="shared" si="154"/>
        <v>9258382.129</v>
      </c>
      <c r="W179" s="102">
        <f t="shared" si="154"/>
        <v>15345768.38</v>
      </c>
      <c r="X179" s="102">
        <f t="shared" si="154"/>
        <v>26489157.11</v>
      </c>
      <c r="Y179" s="102">
        <f t="shared" si="154"/>
        <v>41756544.03</v>
      </c>
      <c r="Z179" s="102">
        <f t="shared" si="154"/>
        <v>56371334.43</v>
      </c>
      <c r="AA179" s="102">
        <f t="shared" si="154"/>
        <v>57498761.12</v>
      </c>
      <c r="AB179" s="102">
        <f t="shared" si="154"/>
        <v>86018146.64</v>
      </c>
      <c r="AC179" s="102">
        <f t="shared" si="154"/>
        <v>106349708.6</v>
      </c>
      <c r="AD179" s="102">
        <f t="shared" si="154"/>
        <v>192546147.4</v>
      </c>
      <c r="AE179" s="102">
        <f t="shared" si="154"/>
        <v>266934046.3</v>
      </c>
      <c r="AF179" s="102">
        <f t="shared" si="154"/>
        <v>341398963.6</v>
      </c>
      <c r="AG179" s="102">
        <f t="shared" si="154"/>
        <v>392834526.5</v>
      </c>
      <c r="AH179" s="102">
        <f t="shared" si="154"/>
        <v>475545620.2</v>
      </c>
      <c r="AI179" s="102">
        <f t="shared" si="154"/>
        <v>523980822.3</v>
      </c>
      <c r="AJ179" s="102">
        <f t="shared" si="154"/>
        <v>526825289.6</v>
      </c>
      <c r="AK179" s="102">
        <f t="shared" si="154"/>
        <v>423659154.6</v>
      </c>
      <c r="AL179" s="102">
        <f t="shared" si="154"/>
        <v>52427820.39</v>
      </c>
      <c r="AM179" s="102">
        <f t="shared" ref="AM179:AV179" si="155">$D179*AM13*AM$110</f>
        <v>0</v>
      </c>
      <c r="AN179" s="102">
        <f t="shared" si="155"/>
        <v>0</v>
      </c>
      <c r="AO179" s="102">
        <f t="shared" si="155"/>
        <v>0</v>
      </c>
      <c r="AP179" s="102">
        <f t="shared" si="155"/>
        <v>0</v>
      </c>
      <c r="AQ179" s="102">
        <f t="shared" si="155"/>
        <v>0</v>
      </c>
      <c r="AR179" s="102">
        <f t="shared" si="155"/>
        <v>0</v>
      </c>
      <c r="AS179" s="102">
        <f t="shared" si="155"/>
        <v>0</v>
      </c>
      <c r="AT179" s="102">
        <f t="shared" si="155"/>
        <v>0</v>
      </c>
      <c r="AU179" s="102">
        <f t="shared" si="155"/>
        <v>0</v>
      </c>
      <c r="AV179" s="102" t="str">
        <f t="shared" si="155"/>
        <v>#REF!</v>
      </c>
      <c r="AW179" s="90"/>
      <c r="AX179" s="90"/>
      <c r="AY179" s="90"/>
      <c r="AZ179" s="90"/>
      <c r="BA179" s="90"/>
      <c r="BB179" s="90"/>
      <c r="BC179" s="90"/>
      <c r="BD179" s="90"/>
      <c r="BE179" s="90"/>
      <c r="BF179" s="90"/>
      <c r="BG179" s="90"/>
      <c r="BH179" s="90"/>
      <c r="BI179" s="90"/>
      <c r="BJ179" s="90"/>
      <c r="BK179" s="90"/>
      <c r="BL179" s="90"/>
      <c r="BM179" s="90"/>
      <c r="BN179" s="90"/>
      <c r="BO179" s="90"/>
      <c r="BP179" s="90"/>
    </row>
    <row r="180" ht="12.75" customHeight="1" outlineLevel="1">
      <c r="A180" s="90" t="s">
        <v>294</v>
      </c>
      <c r="C180" s="102">
        <f>'RSGen 1-7'!O$319</f>
        <v>968375</v>
      </c>
      <c r="D180" s="102">
        <f>OFFSET(RSGen_Walton!$G$14,0,ROW(C180)-ROW($C$172))</f>
        <v>968375</v>
      </c>
      <c r="E180" s="102">
        <f>OFFSET(RSGen_none!$G$14,0,ROW(D180)-ROW($C$172))</f>
        <v>968375</v>
      </c>
      <c r="F180" s="102"/>
      <c r="G180" s="102"/>
      <c r="H180" s="313"/>
      <c r="I180" s="313"/>
      <c r="J180" s="313"/>
      <c r="K180" s="306"/>
      <c r="L180" s="306"/>
      <c r="M180" s="306"/>
      <c r="N180" s="306"/>
      <c r="O180" s="306"/>
      <c r="P180" s="306"/>
      <c r="Q180" s="306"/>
      <c r="R180" s="306"/>
      <c r="S180" s="306"/>
      <c r="T180" s="102">
        <f t="shared" ref="T180:AL180" si="156">T$110*(MAX(0,MIN(T14,SUM(T14:T$15)-$E$4))*$E180+MAX(0,MIN(T14,$D$4-SUM(T$15:T15)))*$C180+(T14-(MAX(0,MIN(T14,SUM(T14:T$15)-$E$4))+MAX(0,MIN(T14,$D$4-SUM(T$15:T15)))))*$D180)</f>
        <v>2224716.967</v>
      </c>
      <c r="U180" s="102">
        <f t="shared" si="156"/>
        <v>3403816.959</v>
      </c>
      <c r="V180" s="102">
        <f t="shared" si="156"/>
        <v>5786488.831</v>
      </c>
      <c r="W180" s="102">
        <f t="shared" si="156"/>
        <v>9443549.772</v>
      </c>
      <c r="X180" s="102">
        <f t="shared" si="156"/>
        <v>15652683.75</v>
      </c>
      <c r="Y180" s="102">
        <f t="shared" si="156"/>
        <v>27018940.25</v>
      </c>
      <c r="Z180" s="102">
        <f t="shared" si="156"/>
        <v>42591674.91</v>
      </c>
      <c r="AA180" s="102">
        <f t="shared" si="156"/>
        <v>57498761.12</v>
      </c>
      <c r="AB180" s="102">
        <f t="shared" si="156"/>
        <v>58648736.35</v>
      </c>
      <c r="AC180" s="102">
        <f t="shared" si="156"/>
        <v>87738509.57</v>
      </c>
      <c r="AD180" s="102">
        <f t="shared" si="156"/>
        <v>108476702.7</v>
      </c>
      <c r="AE180" s="102">
        <f t="shared" si="156"/>
        <v>196397070.3</v>
      </c>
      <c r="AF180" s="102">
        <f t="shared" si="156"/>
        <v>272272727.2</v>
      </c>
      <c r="AG180" s="102">
        <f t="shared" si="156"/>
        <v>348226942.9</v>
      </c>
      <c r="AH180" s="102">
        <f t="shared" si="156"/>
        <v>400691217</v>
      </c>
      <c r="AI180" s="102">
        <f t="shared" si="156"/>
        <v>485056532.6</v>
      </c>
      <c r="AJ180" s="102">
        <f t="shared" si="156"/>
        <v>534460438.7</v>
      </c>
      <c r="AK180" s="102">
        <f t="shared" si="156"/>
        <v>537361795.4</v>
      </c>
      <c r="AL180" s="102">
        <f t="shared" si="156"/>
        <v>432132337.7</v>
      </c>
      <c r="AM180" s="102">
        <f t="shared" ref="AM180:AV180" si="157">$D180*AM14*AM$110</f>
        <v>53476376.79</v>
      </c>
      <c r="AN180" s="102">
        <f t="shared" si="157"/>
        <v>0</v>
      </c>
      <c r="AO180" s="102">
        <f t="shared" si="157"/>
        <v>0</v>
      </c>
      <c r="AP180" s="102">
        <f t="shared" si="157"/>
        <v>0</v>
      </c>
      <c r="AQ180" s="102">
        <f t="shared" si="157"/>
        <v>0</v>
      </c>
      <c r="AR180" s="102">
        <f t="shared" si="157"/>
        <v>0</v>
      </c>
      <c r="AS180" s="102">
        <f t="shared" si="157"/>
        <v>0</v>
      </c>
      <c r="AT180" s="102">
        <f t="shared" si="157"/>
        <v>0</v>
      </c>
      <c r="AU180" s="102">
        <f t="shared" si="157"/>
        <v>0</v>
      </c>
      <c r="AV180" s="102">
        <f t="shared" si="157"/>
        <v>0</v>
      </c>
      <c r="AW180" s="90"/>
      <c r="AX180" s="90"/>
      <c r="AY180" s="90"/>
      <c r="AZ180" s="90"/>
      <c r="BA180" s="90"/>
      <c r="BB180" s="90"/>
      <c r="BC180" s="90"/>
      <c r="BD180" s="90"/>
      <c r="BE180" s="90"/>
      <c r="BF180" s="90"/>
      <c r="BG180" s="90"/>
      <c r="BH180" s="90"/>
      <c r="BI180" s="90"/>
      <c r="BJ180" s="90"/>
      <c r="BK180" s="90"/>
      <c r="BL180" s="90"/>
      <c r="BM180" s="90"/>
      <c r="BN180" s="90"/>
      <c r="BO180" s="90"/>
      <c r="BP180" s="90"/>
    </row>
    <row r="181" ht="12.75" customHeight="1" outlineLevel="1">
      <c r="A181" s="90" t="s">
        <v>595</v>
      </c>
      <c r="C181" s="102">
        <f>'RSGen 1-7'!P$319</f>
        <v>968375</v>
      </c>
      <c r="D181" s="102">
        <f>OFFSET(RSGen_Walton!$G$14,0,ROW(C181)-ROW($C$172))</f>
        <v>968375</v>
      </c>
      <c r="E181" s="102">
        <f>OFFSET(RSGen_none!$G$14,0,ROW(D181)-ROW($C$172))</f>
        <v>968375</v>
      </c>
      <c r="F181" s="102"/>
      <c r="G181" s="102"/>
      <c r="H181" s="313"/>
      <c r="I181" s="313"/>
      <c r="J181" s="313"/>
      <c r="K181" s="306"/>
      <c r="L181" s="306"/>
      <c r="M181" s="306"/>
      <c r="N181" s="306"/>
      <c r="O181" s="306"/>
      <c r="P181" s="306"/>
      <c r="Q181" s="306"/>
      <c r="R181" s="306"/>
      <c r="S181" s="306"/>
      <c r="T181" s="306"/>
      <c r="U181" s="102">
        <f t="shared" ref="U181:AL181" si="158">U$109*($C181*MIN($D$4-3,U15-3)+$D181*MIN($E$4-$D$4,MAX(0,U15-$D$4))+$E181*MAX(0,U15-$E$4))</f>
        <v>2269211.306</v>
      </c>
      <c r="V181" s="102">
        <f t="shared" si="158"/>
        <v>5786488.831</v>
      </c>
      <c r="W181" s="102">
        <f t="shared" si="158"/>
        <v>11804437.21</v>
      </c>
      <c r="X181" s="102">
        <f t="shared" si="158"/>
        <v>21672946.73</v>
      </c>
      <c r="Y181" s="102">
        <f t="shared" si="158"/>
        <v>38072143.08</v>
      </c>
      <c r="Z181" s="102">
        <f t="shared" si="158"/>
        <v>66392905</v>
      </c>
      <c r="AA181" s="102">
        <f t="shared" si="158"/>
        <v>111164271.5</v>
      </c>
      <c r="AB181" s="102">
        <f t="shared" si="158"/>
        <v>172036293.3</v>
      </c>
      <c r="AC181" s="102">
        <f t="shared" si="158"/>
        <v>235298730.2</v>
      </c>
      <c r="AD181" s="102">
        <f t="shared" si="158"/>
        <v>329497984.6</v>
      </c>
      <c r="AE181" s="102">
        <f t="shared" si="158"/>
        <v>446734181.1</v>
      </c>
      <c r="AF181" s="102">
        <f t="shared" si="158"/>
        <v>655993876.4</v>
      </c>
      <c r="AG181" s="102">
        <f t="shared" si="158"/>
        <v>946831935.7</v>
      </c>
      <c r="AH181" s="102">
        <f t="shared" si="158"/>
        <v>1320960056</v>
      </c>
      <c r="AI181" s="102">
        <f t="shared" si="158"/>
        <v>1756084299</v>
      </c>
      <c r="AJ181" s="102">
        <f t="shared" si="158"/>
        <v>2285963648</v>
      </c>
      <c r="AK181" s="102">
        <f t="shared" si="158"/>
        <v>2876832568</v>
      </c>
      <c r="AL181" s="102">
        <f t="shared" si="158"/>
        <v>3482478251</v>
      </c>
      <c r="AM181" s="102">
        <f t="shared" ref="AM181:AV181" si="159">$C181*(4)*AM$110+$D181*(AM15-7)*AM$110</f>
        <v>3992902801</v>
      </c>
      <c r="AN181" s="102">
        <f t="shared" si="159"/>
        <v>4127306761</v>
      </c>
      <c r="AO181" s="102">
        <f t="shared" si="159"/>
        <v>4209852896</v>
      </c>
      <c r="AP181" s="102">
        <f t="shared" si="159"/>
        <v>4294049954</v>
      </c>
      <c r="AQ181" s="102">
        <f t="shared" si="159"/>
        <v>4379930953</v>
      </c>
      <c r="AR181" s="102">
        <f t="shared" si="159"/>
        <v>4467529572</v>
      </c>
      <c r="AS181" s="102">
        <f t="shared" si="159"/>
        <v>4556880164</v>
      </c>
      <c r="AT181" s="102">
        <f t="shared" si="159"/>
        <v>4648017767</v>
      </c>
      <c r="AU181" s="102">
        <f t="shared" si="159"/>
        <v>4740978122</v>
      </c>
      <c r="AV181" s="102">
        <f t="shared" si="159"/>
        <v>4835797685</v>
      </c>
      <c r="AW181" s="90"/>
      <c r="AX181" s="90"/>
      <c r="AY181" s="90"/>
      <c r="AZ181" s="90"/>
      <c r="BA181" s="90"/>
      <c r="BB181" s="90"/>
      <c r="BC181" s="90"/>
      <c r="BD181" s="90"/>
      <c r="BE181" s="90"/>
      <c r="BF181" s="90"/>
      <c r="BG181" s="90"/>
      <c r="BH181" s="90"/>
      <c r="BI181" s="90"/>
      <c r="BJ181" s="90"/>
      <c r="BK181" s="90"/>
      <c r="BL181" s="90"/>
      <c r="BM181" s="90"/>
      <c r="BN181" s="90"/>
      <c r="BO181" s="90"/>
      <c r="BP181" s="90"/>
    </row>
    <row r="182" ht="12.75" customHeight="1" outlineLevel="1">
      <c r="A182" s="143" t="s">
        <v>596</v>
      </c>
      <c r="B182" s="143"/>
      <c r="C182" s="309"/>
      <c r="D182" s="309"/>
      <c r="E182" s="309"/>
      <c r="F182" s="309"/>
      <c r="G182" s="309"/>
      <c r="H182" s="314"/>
      <c r="I182" s="314"/>
      <c r="J182" s="314"/>
      <c r="K182" s="311"/>
      <c r="L182" s="309">
        <f>SUM(L172:L181)</f>
        <v>0</v>
      </c>
      <c r="M182" s="309">
        <f t="shared" ref="M182:AV182" si="160">SUM(M173:M181)</f>
        <v>222800</v>
      </c>
      <c r="N182" s="309">
        <f t="shared" si="160"/>
        <v>2165460</v>
      </c>
      <c r="O182" s="309">
        <f t="shared" si="160"/>
        <v>5386098.78</v>
      </c>
      <c r="P182" s="309">
        <f t="shared" si="160"/>
        <v>10773383.62</v>
      </c>
      <c r="Q182" s="309">
        <f t="shared" si="160"/>
        <v>19507348.84</v>
      </c>
      <c r="R182" s="309">
        <f t="shared" si="160"/>
        <v>34319413.3</v>
      </c>
      <c r="S182" s="309">
        <f t="shared" si="160"/>
        <v>59454675.07</v>
      </c>
      <c r="T182" s="309">
        <f t="shared" si="160"/>
        <v>98303169.73</v>
      </c>
      <c r="U182" s="309">
        <f t="shared" si="160"/>
        <v>149626849.1</v>
      </c>
      <c r="V182" s="309">
        <f t="shared" si="160"/>
        <v>206795860.2</v>
      </c>
      <c r="W182" s="309">
        <f t="shared" si="160"/>
        <v>288848529.4</v>
      </c>
      <c r="X182" s="309">
        <f t="shared" si="160"/>
        <v>396863910.8</v>
      </c>
      <c r="Y182" s="309">
        <f t="shared" si="160"/>
        <v>579642461.3</v>
      </c>
      <c r="Z182" s="309">
        <f t="shared" si="160"/>
        <v>830929752.8</v>
      </c>
      <c r="AA182" s="309">
        <f t="shared" si="160"/>
        <v>1152966184</v>
      </c>
      <c r="AB182" s="309">
        <f t="shared" si="160"/>
        <v>1532887713</v>
      </c>
      <c r="AC182" s="309">
        <f t="shared" si="160"/>
        <v>1990800102</v>
      </c>
      <c r="AD182" s="309">
        <f t="shared" si="160"/>
        <v>2497938381</v>
      </c>
      <c r="AE182" s="309">
        <f t="shared" si="160"/>
        <v>3012001625</v>
      </c>
      <c r="AF182" s="309">
        <f t="shared" si="160"/>
        <v>3425429428</v>
      </c>
      <c r="AG182" s="309">
        <f t="shared" si="160"/>
        <v>3567989722</v>
      </c>
      <c r="AH182" s="309">
        <f t="shared" si="160"/>
        <v>3662275638</v>
      </c>
      <c r="AI182" s="309">
        <f t="shared" si="160"/>
        <v>3738228895</v>
      </c>
      <c r="AJ182" s="309">
        <f t="shared" si="160"/>
        <v>3812993473</v>
      </c>
      <c r="AK182" s="309">
        <f t="shared" si="160"/>
        <v>3889253342</v>
      </c>
      <c r="AL182" s="309">
        <f t="shared" si="160"/>
        <v>3967038409</v>
      </c>
      <c r="AM182" s="309">
        <f t="shared" si="160"/>
        <v>4046379177</v>
      </c>
      <c r="AN182" s="309">
        <f t="shared" si="160"/>
        <v>4127306761</v>
      </c>
      <c r="AO182" s="309">
        <f t="shared" si="160"/>
        <v>4209852896</v>
      </c>
      <c r="AP182" s="309" t="str">
        <f t="shared" si="160"/>
        <v>#REF!</v>
      </c>
      <c r="AQ182" s="309" t="str">
        <f t="shared" si="160"/>
        <v>#REF!</v>
      </c>
      <c r="AR182" s="309" t="str">
        <f t="shared" si="160"/>
        <v>#REF!</v>
      </c>
      <c r="AS182" s="309" t="str">
        <f t="shared" si="160"/>
        <v>#REF!</v>
      </c>
      <c r="AT182" s="309" t="str">
        <f t="shared" si="160"/>
        <v>#REF!</v>
      </c>
      <c r="AU182" s="309" t="str">
        <f t="shared" si="160"/>
        <v>#REF!</v>
      </c>
      <c r="AV182" s="309" t="str">
        <f t="shared" si="160"/>
        <v>#REF!</v>
      </c>
      <c r="AW182" s="90"/>
      <c r="AX182" s="90"/>
      <c r="AY182" s="90"/>
      <c r="AZ182" s="90"/>
      <c r="BA182" s="90"/>
      <c r="BB182" s="90"/>
      <c r="BC182" s="90"/>
      <c r="BD182" s="90"/>
      <c r="BE182" s="90"/>
      <c r="BF182" s="90"/>
      <c r="BG182" s="90"/>
      <c r="BH182" s="90"/>
      <c r="BI182" s="90"/>
      <c r="BJ182" s="90"/>
      <c r="BK182" s="90"/>
      <c r="BL182" s="90"/>
      <c r="BM182" s="90"/>
      <c r="BN182" s="90"/>
      <c r="BO182" s="90"/>
      <c r="BP182" s="90"/>
    </row>
    <row r="183" ht="12.75" customHeight="1" outlineLevel="1">
      <c r="A183" s="90"/>
      <c r="C183" s="102"/>
      <c r="D183" s="102"/>
      <c r="E183" s="102"/>
      <c r="F183" s="102"/>
      <c r="G183" s="102"/>
      <c r="K183" s="102"/>
      <c r="L183" s="102"/>
      <c r="M183" s="102"/>
      <c r="N183" s="102"/>
      <c r="O183" s="102"/>
      <c r="P183" s="102"/>
      <c r="Q183" s="102"/>
      <c r="R183" s="102"/>
      <c r="S183" s="102"/>
      <c r="T183" s="102"/>
      <c r="U183" s="102"/>
      <c r="V183" s="102"/>
      <c r="W183" s="102"/>
      <c r="X183" s="102"/>
      <c r="Y183" s="102"/>
      <c r="Z183" s="102"/>
      <c r="AA183" s="102"/>
      <c r="AB183" s="102"/>
      <c r="AC183" s="102"/>
      <c r="AD183" s="102"/>
      <c r="AE183" s="102"/>
      <c r="AF183" s="102"/>
      <c r="AG183" s="102"/>
      <c r="AH183" s="102"/>
      <c r="AI183" s="102"/>
      <c r="AJ183" s="102"/>
      <c r="AK183" s="102"/>
      <c r="AL183" s="102"/>
      <c r="AM183" s="102"/>
      <c r="AN183" s="102"/>
      <c r="AO183" s="102"/>
      <c r="AP183" s="102"/>
      <c r="AQ183" s="102"/>
      <c r="AR183" s="102"/>
      <c r="AS183" s="102"/>
      <c r="AT183" s="102"/>
      <c r="AU183" s="102"/>
      <c r="AV183" s="102"/>
      <c r="AW183" s="90"/>
      <c r="AX183" s="90"/>
      <c r="AY183" s="90"/>
      <c r="AZ183" s="90"/>
      <c r="BA183" s="90"/>
      <c r="BB183" s="90"/>
      <c r="BC183" s="90"/>
      <c r="BD183" s="90"/>
      <c r="BE183" s="90"/>
      <c r="BF183" s="90"/>
      <c r="BG183" s="90"/>
      <c r="BH183" s="90"/>
      <c r="BI183" s="90"/>
      <c r="BJ183" s="90"/>
      <c r="BK183" s="90"/>
      <c r="BL183" s="90"/>
      <c r="BM183" s="90"/>
      <c r="BN183" s="90"/>
      <c r="BO183" s="90"/>
      <c r="BP183" s="90"/>
    </row>
    <row r="184" ht="12.75" customHeight="1" outlineLevel="1">
      <c r="A184" s="90" t="s">
        <v>133</v>
      </c>
      <c r="C184" s="102"/>
      <c r="D184" s="102"/>
      <c r="E184" s="102"/>
      <c r="F184" s="102"/>
      <c r="G184" s="102"/>
      <c r="K184" s="102"/>
      <c r="L184" s="102"/>
      <c r="M184" s="102"/>
      <c r="N184" s="102"/>
      <c r="O184" s="102"/>
      <c r="P184" s="102"/>
      <c r="Q184" s="102"/>
      <c r="R184" s="102"/>
      <c r="S184" s="102"/>
      <c r="T184" s="102"/>
      <c r="U184" s="102"/>
      <c r="V184" s="102"/>
      <c r="W184" s="102"/>
      <c r="X184" s="102"/>
      <c r="Y184" s="102"/>
      <c r="Z184" s="102"/>
      <c r="AA184" s="102"/>
      <c r="AB184" s="102"/>
      <c r="AC184" s="102"/>
      <c r="AD184" s="102"/>
      <c r="AE184" s="102"/>
      <c r="AF184" s="102"/>
      <c r="AG184" s="102"/>
      <c r="AH184" s="102"/>
      <c r="AI184" s="102"/>
      <c r="AJ184" s="102"/>
      <c r="AK184" s="102"/>
      <c r="AL184" s="102"/>
      <c r="AM184" s="102"/>
      <c r="AN184" s="102"/>
      <c r="AO184" s="102"/>
      <c r="AP184" s="102"/>
      <c r="AQ184" s="102"/>
      <c r="AR184" s="102"/>
      <c r="AS184" s="102"/>
      <c r="AT184" s="102"/>
      <c r="AU184" s="102"/>
      <c r="AV184" s="102"/>
      <c r="AW184" s="90"/>
      <c r="AX184" s="90"/>
      <c r="AY184" s="90"/>
      <c r="AZ184" s="90"/>
      <c r="BA184" s="90"/>
      <c r="BB184" s="90"/>
      <c r="BC184" s="90"/>
      <c r="BD184" s="90"/>
      <c r="BE184" s="90"/>
      <c r="BF184" s="90"/>
      <c r="BG184" s="90"/>
      <c r="BH184" s="90"/>
      <c r="BI184" s="90"/>
      <c r="BJ184" s="90"/>
      <c r="BK184" s="90"/>
      <c r="BL184" s="90"/>
      <c r="BM184" s="90"/>
      <c r="BN184" s="90"/>
      <c r="BO184" s="90"/>
      <c r="BP184" s="90"/>
    </row>
    <row r="185" ht="12.75" customHeight="1" outlineLevel="1">
      <c r="A185" s="90" t="s">
        <v>286</v>
      </c>
      <c r="C185" s="102">
        <f>'RSGen 1-7'!G330</f>
        <v>0</v>
      </c>
      <c r="D185" s="102">
        <f>OFFSET(RSGen_Walton!$G$15,0,ROW(C185)-ROW($C$185))</f>
        <v>0</v>
      </c>
      <c r="E185" s="102">
        <f>OFFSET(RSGen_none!$G$15,0,ROW(D185)-ROW($C$185))</f>
        <v>0</v>
      </c>
      <c r="F185" s="102"/>
      <c r="G185" s="102"/>
      <c r="K185" s="102"/>
      <c r="L185" s="102">
        <f t="shared" ref="L185:M185" si="161">$C185*L6*L$111</f>
        <v>0</v>
      </c>
      <c r="M185" s="102">
        <f t="shared" si="161"/>
        <v>0</v>
      </c>
      <c r="N185" s="102">
        <f t="shared" ref="N185:AV185" si="162">$D185*N6*N$111</f>
        <v>0</v>
      </c>
      <c r="O185" s="102">
        <f t="shared" si="162"/>
        <v>0</v>
      </c>
      <c r="P185" s="102">
        <f t="shared" si="162"/>
        <v>0</v>
      </c>
      <c r="Q185" s="102">
        <f t="shared" si="162"/>
        <v>0</v>
      </c>
      <c r="R185" s="102">
        <f t="shared" si="162"/>
        <v>0</v>
      </c>
      <c r="S185" s="102">
        <f t="shared" si="162"/>
        <v>0</v>
      </c>
      <c r="T185" s="102">
        <f t="shared" si="162"/>
        <v>0</v>
      </c>
      <c r="U185" s="102">
        <f t="shared" si="162"/>
        <v>0</v>
      </c>
      <c r="V185" s="102">
        <f t="shared" si="162"/>
        <v>0</v>
      </c>
      <c r="W185" s="102">
        <f t="shared" si="162"/>
        <v>0</v>
      </c>
      <c r="X185" s="102">
        <f t="shared" si="162"/>
        <v>0</v>
      </c>
      <c r="Y185" s="102">
        <f t="shared" si="162"/>
        <v>0</v>
      </c>
      <c r="Z185" s="102">
        <f t="shared" si="162"/>
        <v>0</v>
      </c>
      <c r="AA185" s="102">
        <f t="shared" si="162"/>
        <v>0</v>
      </c>
      <c r="AB185" s="102">
        <f t="shared" si="162"/>
        <v>0</v>
      </c>
      <c r="AC185" s="102">
        <f t="shared" si="162"/>
        <v>0</v>
      </c>
      <c r="AD185" s="102">
        <f t="shared" si="162"/>
        <v>0</v>
      </c>
      <c r="AE185" s="102">
        <f t="shared" si="162"/>
        <v>0</v>
      </c>
      <c r="AF185" s="102">
        <f t="shared" si="162"/>
        <v>0</v>
      </c>
      <c r="AG185" s="102">
        <f t="shared" si="162"/>
        <v>0</v>
      </c>
      <c r="AH185" s="102">
        <f t="shared" si="162"/>
        <v>0</v>
      </c>
      <c r="AI185" s="102">
        <f t="shared" si="162"/>
        <v>0</v>
      </c>
      <c r="AJ185" s="102">
        <f t="shared" si="162"/>
        <v>0</v>
      </c>
      <c r="AK185" s="102">
        <f t="shared" si="162"/>
        <v>0</v>
      </c>
      <c r="AL185" s="102">
        <f t="shared" si="162"/>
        <v>0</v>
      </c>
      <c r="AM185" s="102">
        <f t="shared" si="162"/>
        <v>0</v>
      </c>
      <c r="AN185" s="102">
        <f t="shared" si="162"/>
        <v>0</v>
      </c>
      <c r="AO185" s="102" t="str">
        <f t="shared" si="162"/>
        <v>#REF!</v>
      </c>
      <c r="AP185" s="102" t="str">
        <f t="shared" si="162"/>
        <v>#REF!</v>
      </c>
      <c r="AQ185" s="102" t="str">
        <f t="shared" si="162"/>
        <v>#REF!</v>
      </c>
      <c r="AR185" s="102" t="str">
        <f t="shared" si="162"/>
        <v>#REF!</v>
      </c>
      <c r="AS185" s="102" t="str">
        <f t="shared" si="162"/>
        <v>#REF!</v>
      </c>
      <c r="AT185" s="102">
        <f t="shared" si="162"/>
        <v>0</v>
      </c>
      <c r="AU185" s="102">
        <f t="shared" si="162"/>
        <v>0</v>
      </c>
      <c r="AV185" s="102">
        <f t="shared" si="162"/>
        <v>0</v>
      </c>
      <c r="AW185" s="90"/>
      <c r="AX185" s="90"/>
      <c r="AY185" s="90"/>
      <c r="AZ185" s="90"/>
      <c r="BA185" s="90"/>
      <c r="BB185" s="90"/>
      <c r="BC185" s="90"/>
      <c r="BD185" s="90"/>
      <c r="BE185" s="90"/>
      <c r="BF185" s="90"/>
      <c r="BG185" s="90"/>
      <c r="BH185" s="90"/>
      <c r="BI185" s="90"/>
      <c r="BJ185" s="90"/>
      <c r="BK185" s="90"/>
      <c r="BL185" s="90"/>
      <c r="BM185" s="90"/>
      <c r="BN185" s="90"/>
      <c r="BO185" s="90"/>
      <c r="BP185" s="90"/>
    </row>
    <row r="186" ht="12.75" customHeight="1" outlineLevel="1">
      <c r="A186" s="90" t="s">
        <v>287</v>
      </c>
      <c r="C186" s="102">
        <f>'RSGen 1-7'!H$330</f>
        <v>23970.60044</v>
      </c>
      <c r="D186" s="102">
        <f>OFFSET(RSGen_Walton!$G$15,0,ROW(C186)-ROW($C$185))</f>
        <v>23970.60044</v>
      </c>
      <c r="E186" s="102">
        <f>OFFSET(RSGen_none!$G$15,0,ROW(D186)-ROW($C$185))</f>
        <v>23970.60044</v>
      </c>
      <c r="F186" s="102"/>
      <c r="G186" s="102"/>
      <c r="H186" s="313"/>
      <c r="I186" s="313"/>
      <c r="J186" s="313"/>
      <c r="K186" s="306"/>
      <c r="L186" s="306"/>
      <c r="M186" s="102">
        <f t="shared" ref="M186:AL186" si="163">M$110*(MAX(0,MIN(M7,SUM(M7:M$15)-$E$4))*$E186+MAX(0,MIN(M7,$D$4-SUM(M8:M$15)))*$C186+(M7-(MAX(0,MIN(M7,SUM(M7:M$15)-$E$4))+MAX(0,MIN(M7,$D$4-SUM(M8:M$15)))))*$D186)</f>
        <v>47941.20088</v>
      </c>
      <c r="N186" s="102">
        <f t="shared" si="163"/>
        <v>73350.03734</v>
      </c>
      <c r="O186" s="102">
        <f t="shared" si="163"/>
        <v>124695.0635</v>
      </c>
      <c r="P186" s="102">
        <f t="shared" si="163"/>
        <v>203502.3436</v>
      </c>
      <c r="Q186" s="102">
        <f t="shared" si="163"/>
        <v>337305.1345</v>
      </c>
      <c r="R186" s="102">
        <f t="shared" si="163"/>
        <v>582240.5553</v>
      </c>
      <c r="S186" s="102">
        <f t="shared" si="163"/>
        <v>917822.839</v>
      </c>
      <c r="T186" s="102">
        <f t="shared" si="163"/>
        <v>1239060.833</v>
      </c>
      <c r="U186" s="102">
        <f t="shared" si="163"/>
        <v>1263842.049</v>
      </c>
      <c r="V186" s="102">
        <f t="shared" si="163"/>
        <v>1890707.706</v>
      </c>
      <c r="W186" s="102">
        <f t="shared" si="163"/>
        <v>2337602.254</v>
      </c>
      <c r="X186" s="102">
        <f t="shared" si="163"/>
        <v>4232228.882</v>
      </c>
      <c r="Y186" s="102">
        <f t="shared" si="163"/>
        <v>5867299.842</v>
      </c>
      <c r="Z186" s="102">
        <f t="shared" si="163"/>
        <v>7504063.695</v>
      </c>
      <c r="AA186" s="102">
        <f t="shared" si="163"/>
        <v>8634634.613</v>
      </c>
      <c r="AB186" s="102">
        <f t="shared" si="163"/>
        <v>10452652.19</v>
      </c>
      <c r="AC186" s="102">
        <f t="shared" si="163"/>
        <v>11517274.17</v>
      </c>
      <c r="AD186" s="102">
        <f t="shared" si="163"/>
        <v>11579796.51</v>
      </c>
      <c r="AE186" s="102">
        <f t="shared" si="163"/>
        <v>9312170.275</v>
      </c>
      <c r="AF186" s="102">
        <f t="shared" si="163"/>
        <v>1152381.072</v>
      </c>
      <c r="AG186" s="102">
        <f t="shared" si="163"/>
        <v>0</v>
      </c>
      <c r="AH186" s="102">
        <f t="shared" si="163"/>
        <v>0</v>
      </c>
      <c r="AI186" s="102">
        <f t="shared" si="163"/>
        <v>0</v>
      </c>
      <c r="AJ186" s="102">
        <f t="shared" si="163"/>
        <v>0</v>
      </c>
      <c r="AK186" s="102">
        <f t="shared" si="163"/>
        <v>0</v>
      </c>
      <c r="AL186" s="102">
        <f t="shared" si="163"/>
        <v>0</v>
      </c>
      <c r="AM186" s="102">
        <f t="shared" ref="AM186:AV186" si="164">$D186*AM7*AM$111</f>
        <v>0</v>
      </c>
      <c r="AN186" s="102">
        <f t="shared" si="164"/>
        <v>0</v>
      </c>
      <c r="AO186" s="102">
        <f t="shared" si="164"/>
        <v>0</v>
      </c>
      <c r="AP186" s="102" t="str">
        <f t="shared" si="164"/>
        <v>#REF!</v>
      </c>
      <c r="AQ186" s="102" t="str">
        <f t="shared" si="164"/>
        <v>#REF!</v>
      </c>
      <c r="AR186" s="102" t="str">
        <f t="shared" si="164"/>
        <v>#REF!</v>
      </c>
      <c r="AS186" s="102" t="str">
        <f t="shared" si="164"/>
        <v>#REF!</v>
      </c>
      <c r="AT186" s="102" t="str">
        <f t="shared" si="164"/>
        <v>#REF!</v>
      </c>
      <c r="AU186" s="102">
        <f t="shared" si="164"/>
        <v>0</v>
      </c>
      <c r="AV186" s="102">
        <f t="shared" si="164"/>
        <v>0</v>
      </c>
      <c r="AW186" s="90"/>
      <c r="AX186" s="90"/>
      <c r="AY186" s="90"/>
      <c r="AZ186" s="90"/>
      <c r="BA186" s="90"/>
      <c r="BB186" s="90"/>
      <c r="BC186" s="90"/>
      <c r="BD186" s="90"/>
      <c r="BE186" s="90"/>
      <c r="BF186" s="90"/>
      <c r="BG186" s="90"/>
      <c r="BH186" s="90"/>
      <c r="BI186" s="90"/>
      <c r="BJ186" s="90"/>
      <c r="BK186" s="90"/>
      <c r="BL186" s="90"/>
      <c r="BM186" s="90"/>
      <c r="BN186" s="90"/>
      <c r="BO186" s="90"/>
      <c r="BP186" s="90"/>
    </row>
    <row r="187" ht="12.75" customHeight="1" outlineLevel="1">
      <c r="A187" s="90" t="s">
        <v>288</v>
      </c>
      <c r="C187" s="102">
        <f>'RSGen 1-7'!I$330</f>
        <v>230437.1833</v>
      </c>
      <c r="D187" s="102">
        <f>OFFSET(RSGen_Walton!$G$15,0,ROW(C187)-ROW($C$185))</f>
        <v>208837.1833</v>
      </c>
      <c r="E187" s="102">
        <f>OFFSET(RSGen_none!$G$15,0,ROW(D187)-ROW($C$185))</f>
        <v>208837.1833</v>
      </c>
      <c r="F187" s="102"/>
      <c r="G187" s="102"/>
      <c r="H187" s="313"/>
      <c r="I187" s="313"/>
      <c r="J187" s="313"/>
      <c r="K187" s="306"/>
      <c r="L187" s="306"/>
      <c r="M187" s="306"/>
      <c r="N187" s="102">
        <f t="shared" ref="N187:AL187" si="165">N$110*(MAX(0,MIN(N8,SUM(N8:N$15)-$E$4))*$E187+MAX(0,MIN(N8,$D$4-SUM(N9:N$15)))*$C187+(N8-(MAX(0,MIN(N8,SUM(N8:N$15)-$E$4))+MAX(0,MIN(N8,$D$4-SUM(N9:N$15)))))*$D187)</f>
        <v>470091.8538</v>
      </c>
      <c r="O187" s="102">
        <f t="shared" si="165"/>
        <v>696767.8964</v>
      </c>
      <c r="P187" s="102">
        <f t="shared" si="165"/>
        <v>1108098.448</v>
      </c>
      <c r="Q187" s="102">
        <f t="shared" si="165"/>
        <v>1808416.667</v>
      </c>
      <c r="R187" s="102">
        <f t="shared" si="165"/>
        <v>2997450.625</v>
      </c>
      <c r="S187" s="102">
        <f t="shared" si="165"/>
        <v>5174060.926</v>
      </c>
      <c r="T187" s="102">
        <f t="shared" si="165"/>
        <v>8156201.496</v>
      </c>
      <c r="U187" s="102">
        <f t="shared" si="165"/>
        <v>11010872.02</v>
      </c>
      <c r="V187" s="102">
        <f t="shared" si="165"/>
        <v>11231089.46</v>
      </c>
      <c r="W187" s="102">
        <f t="shared" si="165"/>
        <v>16801709.83</v>
      </c>
      <c r="X187" s="102">
        <f t="shared" si="165"/>
        <v>20773023.06</v>
      </c>
      <c r="Y187" s="102">
        <f t="shared" si="165"/>
        <v>37609558.26</v>
      </c>
      <c r="Z187" s="102">
        <f t="shared" si="165"/>
        <v>52139560.83</v>
      </c>
      <c r="AA187" s="102">
        <f t="shared" si="165"/>
        <v>66684607.24</v>
      </c>
      <c r="AB187" s="102">
        <f t="shared" si="165"/>
        <v>76731387.32</v>
      </c>
      <c r="AC187" s="102">
        <f t="shared" si="165"/>
        <v>92887138.76</v>
      </c>
      <c r="AD187" s="102">
        <f t="shared" si="165"/>
        <v>102347865.9</v>
      </c>
      <c r="AE187" s="102">
        <f t="shared" si="165"/>
        <v>102903468.6</v>
      </c>
      <c r="AF187" s="102">
        <f t="shared" si="165"/>
        <v>82752284.97</v>
      </c>
      <c r="AG187" s="102">
        <f t="shared" si="165"/>
        <v>10240595.27</v>
      </c>
      <c r="AH187" s="102">
        <f t="shared" si="165"/>
        <v>0</v>
      </c>
      <c r="AI187" s="102">
        <f t="shared" si="165"/>
        <v>0</v>
      </c>
      <c r="AJ187" s="102">
        <f t="shared" si="165"/>
        <v>0</v>
      </c>
      <c r="AK187" s="102">
        <f t="shared" si="165"/>
        <v>0</v>
      </c>
      <c r="AL187" s="102">
        <f t="shared" si="165"/>
        <v>0</v>
      </c>
      <c r="AM187" s="102">
        <f t="shared" ref="AM187:AV187" si="166">$D187*AM8*AM$111</f>
        <v>0</v>
      </c>
      <c r="AN187" s="102">
        <f t="shared" si="166"/>
        <v>0</v>
      </c>
      <c r="AO187" s="102">
        <f t="shared" si="166"/>
        <v>0</v>
      </c>
      <c r="AP187" s="102">
        <f t="shared" si="166"/>
        <v>0</v>
      </c>
      <c r="AQ187" s="102" t="str">
        <f t="shared" si="166"/>
        <v>#REF!</v>
      </c>
      <c r="AR187" s="102" t="str">
        <f t="shared" si="166"/>
        <v>#REF!</v>
      </c>
      <c r="AS187" s="102" t="str">
        <f t="shared" si="166"/>
        <v>#REF!</v>
      </c>
      <c r="AT187" s="102" t="str">
        <f t="shared" si="166"/>
        <v>#REF!</v>
      </c>
      <c r="AU187" s="102" t="str">
        <f t="shared" si="166"/>
        <v>#REF!</v>
      </c>
      <c r="AV187" s="102">
        <f t="shared" si="166"/>
        <v>0</v>
      </c>
      <c r="AW187" s="90"/>
      <c r="AX187" s="90"/>
      <c r="AY187" s="90"/>
      <c r="AZ187" s="90"/>
      <c r="BA187" s="90"/>
      <c r="BB187" s="90"/>
      <c r="BC187" s="90"/>
      <c r="BD187" s="90"/>
      <c r="BE187" s="90"/>
      <c r="BF187" s="90"/>
      <c r="BG187" s="90"/>
      <c r="BH187" s="90"/>
      <c r="BI187" s="90"/>
      <c r="BJ187" s="90"/>
      <c r="BK187" s="90"/>
      <c r="BL187" s="90"/>
      <c r="BM187" s="90"/>
      <c r="BN187" s="90"/>
      <c r="BO187" s="90"/>
      <c r="BP187" s="90"/>
    </row>
    <row r="188" ht="12.75" customHeight="1" outlineLevel="1">
      <c r="A188" s="90" t="s">
        <v>289</v>
      </c>
      <c r="C188" s="102">
        <f>'RSGen 1-7'!J$330</f>
        <v>224603.6508</v>
      </c>
      <c r="D188" s="102">
        <f>OFFSET(RSGen_Walton!$G$15,0,ROW(C188)-ROW($C$185))</f>
        <v>211121.0229</v>
      </c>
      <c r="E188" s="102">
        <f>OFFSET(RSGen_none!$G$15,0,ROW(D188)-ROW($C$185))</f>
        <v>211121.0229</v>
      </c>
      <c r="F188" s="102"/>
      <c r="G188" s="102"/>
      <c r="H188" s="313"/>
      <c r="I188" s="313"/>
      <c r="J188" s="313"/>
      <c r="K188" s="306"/>
      <c r="L188" s="306"/>
      <c r="M188" s="306"/>
      <c r="N188" s="306"/>
      <c r="O188" s="102">
        <f t="shared" ref="O188:AL188" si="167">O$110*(MAX(0,MIN(O9,SUM(O9:O$15)-$E$4))*$E188+MAX(0,MIN(O9,$D$4-SUM(O10:O$15)))*$C188+(O9-(MAX(0,MIN(O9,SUM(O9:O$15)-$E$4))+MAX(0,MIN(O9,$D$4-SUM(O10:O$15)))))*$D188)</f>
        <v>467355.2766</v>
      </c>
      <c r="P188" s="102">
        <f t="shared" si="167"/>
        <v>700745.7005</v>
      </c>
      <c r="Q188" s="102">
        <f t="shared" si="167"/>
        <v>1142620.924</v>
      </c>
      <c r="R188" s="102">
        <f t="shared" si="167"/>
        <v>1864757.348</v>
      </c>
      <c r="S188" s="102">
        <f t="shared" si="167"/>
        <v>3090835.305</v>
      </c>
      <c r="T188" s="102">
        <f t="shared" si="167"/>
        <v>5335257.249</v>
      </c>
      <c r="U188" s="102">
        <f t="shared" si="167"/>
        <v>8410305.518</v>
      </c>
      <c r="V188" s="102">
        <f t="shared" si="167"/>
        <v>11353912.45</v>
      </c>
      <c r="W188" s="102">
        <f t="shared" si="167"/>
        <v>11580990.7</v>
      </c>
      <c r="X188" s="102">
        <f t="shared" si="167"/>
        <v>17325162.08</v>
      </c>
      <c r="Y188" s="102">
        <f t="shared" si="167"/>
        <v>21420200.39</v>
      </c>
      <c r="Z188" s="102">
        <f t="shared" si="167"/>
        <v>38781272.81</v>
      </c>
      <c r="AA188" s="102">
        <f t="shared" si="167"/>
        <v>53763953.28</v>
      </c>
      <c r="AB188" s="102">
        <f t="shared" si="167"/>
        <v>68762146.26</v>
      </c>
      <c r="AC188" s="102">
        <f t="shared" si="167"/>
        <v>79121930.78</v>
      </c>
      <c r="AD188" s="102">
        <f t="shared" si="167"/>
        <v>95781009.83</v>
      </c>
      <c r="AE188" s="102">
        <f t="shared" si="167"/>
        <v>105536483.1</v>
      </c>
      <c r="AF188" s="102">
        <f t="shared" si="167"/>
        <v>106109395.4</v>
      </c>
      <c r="AG188" s="102">
        <f t="shared" si="167"/>
        <v>85330407.7</v>
      </c>
      <c r="AH188" s="102">
        <f t="shared" si="167"/>
        <v>10559637.95</v>
      </c>
      <c r="AI188" s="102">
        <f t="shared" si="167"/>
        <v>0</v>
      </c>
      <c r="AJ188" s="102">
        <f t="shared" si="167"/>
        <v>0</v>
      </c>
      <c r="AK188" s="102">
        <f t="shared" si="167"/>
        <v>0</v>
      </c>
      <c r="AL188" s="102">
        <f t="shared" si="167"/>
        <v>0</v>
      </c>
      <c r="AM188" s="102">
        <f t="shared" ref="AM188:AV188" si="168">$D188*AM9*AM$111</f>
        <v>0</v>
      </c>
      <c r="AN188" s="102">
        <f t="shared" si="168"/>
        <v>0</v>
      </c>
      <c r="AO188" s="102">
        <f t="shared" si="168"/>
        <v>0</v>
      </c>
      <c r="AP188" s="102">
        <f t="shared" si="168"/>
        <v>0</v>
      </c>
      <c r="AQ188" s="102">
        <f t="shared" si="168"/>
        <v>0</v>
      </c>
      <c r="AR188" s="102" t="str">
        <f t="shared" si="168"/>
        <v>#REF!</v>
      </c>
      <c r="AS188" s="102" t="str">
        <f t="shared" si="168"/>
        <v>#REF!</v>
      </c>
      <c r="AT188" s="102" t="str">
        <f t="shared" si="168"/>
        <v>#REF!</v>
      </c>
      <c r="AU188" s="102" t="str">
        <f t="shared" si="168"/>
        <v>#REF!</v>
      </c>
      <c r="AV188" s="102" t="str">
        <f t="shared" si="168"/>
        <v>#REF!</v>
      </c>
      <c r="AW188" s="90"/>
      <c r="AX188" s="90"/>
      <c r="AY188" s="90"/>
      <c r="AZ188" s="90"/>
      <c r="BA188" s="90"/>
      <c r="BB188" s="90"/>
      <c r="BC188" s="90"/>
      <c r="BD188" s="90"/>
      <c r="BE188" s="90"/>
      <c r="BF188" s="90"/>
      <c r="BG188" s="90"/>
      <c r="BH188" s="90"/>
      <c r="BI188" s="90"/>
      <c r="BJ188" s="90"/>
      <c r="BK188" s="90"/>
      <c r="BL188" s="90"/>
      <c r="BM188" s="90"/>
      <c r="BN188" s="90"/>
      <c r="BO188" s="90"/>
      <c r="BP188" s="90"/>
    </row>
    <row r="189" ht="12.75" customHeight="1" outlineLevel="1">
      <c r="A189" s="90" t="s">
        <v>290</v>
      </c>
      <c r="C189" s="102">
        <f>'RSGen 1-7'!K$330</f>
        <v>224603.6508</v>
      </c>
      <c r="D189" s="102">
        <f>OFFSET(RSGen_Walton!$G$15,0,ROW(C189)-ROW($C$185))</f>
        <v>224603.6508</v>
      </c>
      <c r="E189" s="102">
        <f>OFFSET(RSGen_none!$G$15,0,ROW(D189)-ROW($C$185))</f>
        <v>224603.6508</v>
      </c>
      <c r="F189" s="102"/>
      <c r="G189" s="102"/>
      <c r="H189" s="313"/>
      <c r="I189" s="313"/>
      <c r="J189" s="313"/>
      <c r="K189" s="306"/>
      <c r="L189" s="306"/>
      <c r="M189" s="306"/>
      <c r="N189" s="306"/>
      <c r="O189" s="306"/>
      <c r="P189" s="102">
        <f t="shared" ref="P189:AL189" si="169">P$110*(MAX(0,MIN(P10,SUM(P10:P$15)-$E$4))*$E189+MAX(0,MIN(P10,$D$4-SUM(P11:P$15)))*$C189+(P10-(MAX(0,MIN(P10,SUM(P10:P$15)-$E$4))+MAX(0,MIN(P10,$D$4-SUM(P11:P$15)))))*$D189)</f>
        <v>476702.3821</v>
      </c>
      <c r="Q189" s="102">
        <f t="shared" si="169"/>
        <v>729354.6446</v>
      </c>
      <c r="R189" s="102">
        <f t="shared" si="169"/>
        <v>1239902.896</v>
      </c>
      <c r="S189" s="102">
        <f t="shared" si="169"/>
        <v>2023521.526</v>
      </c>
      <c r="T189" s="102">
        <f t="shared" si="169"/>
        <v>3353986.929</v>
      </c>
      <c r="U189" s="102">
        <f t="shared" si="169"/>
        <v>5789497.438</v>
      </c>
      <c r="V189" s="102">
        <f t="shared" si="169"/>
        <v>9126353.234</v>
      </c>
      <c r="W189" s="102">
        <f t="shared" si="169"/>
        <v>12320576.87</v>
      </c>
      <c r="X189" s="102">
        <f t="shared" si="169"/>
        <v>12566988.4</v>
      </c>
      <c r="Y189" s="102">
        <f t="shared" si="169"/>
        <v>18800214.65</v>
      </c>
      <c r="Z189" s="102">
        <f t="shared" si="169"/>
        <v>23243901.75</v>
      </c>
      <c r="AA189" s="102">
        <f t="shared" si="169"/>
        <v>42083084.12</v>
      </c>
      <c r="AB189" s="102">
        <f t="shared" si="169"/>
        <v>58341379.86</v>
      </c>
      <c r="AC189" s="102">
        <f t="shared" si="169"/>
        <v>74616508.83</v>
      </c>
      <c r="AD189" s="102">
        <f t="shared" si="169"/>
        <v>85858318.38</v>
      </c>
      <c r="AE189" s="102">
        <f t="shared" si="169"/>
        <v>103935740.1</v>
      </c>
      <c r="AF189" s="102">
        <f t="shared" si="169"/>
        <v>114521787.7</v>
      </c>
      <c r="AG189" s="102">
        <f t="shared" si="169"/>
        <v>115143477.5</v>
      </c>
      <c r="AH189" s="102">
        <f t="shared" si="169"/>
        <v>92595380.83</v>
      </c>
      <c r="AI189" s="102">
        <f t="shared" si="169"/>
        <v>11458678.38</v>
      </c>
      <c r="AJ189" s="102">
        <f t="shared" si="169"/>
        <v>0</v>
      </c>
      <c r="AK189" s="102">
        <f t="shared" si="169"/>
        <v>0</v>
      </c>
      <c r="AL189" s="102">
        <f t="shared" si="169"/>
        <v>0</v>
      </c>
      <c r="AM189" s="102">
        <f t="shared" ref="AM189:AV189" si="170">$D189*AM10*AM$111</f>
        <v>0</v>
      </c>
      <c r="AN189" s="102">
        <f t="shared" si="170"/>
        <v>0</v>
      </c>
      <c r="AO189" s="102">
        <f t="shared" si="170"/>
        <v>0</v>
      </c>
      <c r="AP189" s="102">
        <f t="shared" si="170"/>
        <v>0</v>
      </c>
      <c r="AQ189" s="102">
        <f t="shared" si="170"/>
        <v>0</v>
      </c>
      <c r="AR189" s="102">
        <f t="shared" si="170"/>
        <v>0</v>
      </c>
      <c r="AS189" s="102" t="str">
        <f t="shared" si="170"/>
        <v>#REF!</v>
      </c>
      <c r="AT189" s="102" t="str">
        <f t="shared" si="170"/>
        <v>#REF!</v>
      </c>
      <c r="AU189" s="102" t="str">
        <f t="shared" si="170"/>
        <v>#REF!</v>
      </c>
      <c r="AV189" s="102" t="str">
        <f t="shared" si="170"/>
        <v>#REF!</v>
      </c>
      <c r="AW189" s="90"/>
      <c r="AX189" s="90"/>
      <c r="AY189" s="90"/>
      <c r="AZ189" s="90"/>
      <c r="BA189" s="90"/>
      <c r="BB189" s="90"/>
      <c r="BC189" s="90"/>
      <c r="BD189" s="90"/>
      <c r="BE189" s="90"/>
      <c r="BF189" s="90"/>
      <c r="BG189" s="90"/>
      <c r="BH189" s="90"/>
      <c r="BI189" s="90"/>
      <c r="BJ189" s="90"/>
      <c r="BK189" s="90"/>
      <c r="BL189" s="90"/>
      <c r="BM189" s="90"/>
      <c r="BN189" s="90"/>
      <c r="BO189" s="90"/>
      <c r="BP189" s="90"/>
    </row>
    <row r="190" ht="12.75" customHeight="1" outlineLevel="1">
      <c r="A190" s="90" t="s">
        <v>291</v>
      </c>
      <c r="C190" s="102">
        <f>'RSGen 1-7'!L$330</f>
        <v>224603.6508</v>
      </c>
      <c r="D190" s="102">
        <f>OFFSET(RSGen_Walton!$G$15,0,ROW(C190)-ROW($C$185))</f>
        <v>224603.6508</v>
      </c>
      <c r="E190" s="102">
        <f>OFFSET(RSGen_none!$G$15,0,ROW(D190)-ROW($C$185))</f>
        <v>224603.6508</v>
      </c>
      <c r="F190" s="102"/>
      <c r="G190" s="102"/>
      <c r="H190" s="313"/>
      <c r="I190" s="313"/>
      <c r="J190" s="313"/>
      <c r="K190" s="306"/>
      <c r="L190" s="306"/>
      <c r="M190" s="306"/>
      <c r="N190" s="306"/>
      <c r="O190" s="306"/>
      <c r="P190" s="306"/>
      <c r="Q190" s="102">
        <f t="shared" ref="Q190:AL190" si="171">Q$110*(MAX(0,MIN(Q11,SUM(Q11:Q$15)-$E$4))*$E190+MAX(0,MIN(Q11,$D$4-SUM(Q12:Q$15)))*$C190+(Q11-(MAX(0,MIN(Q11,SUM(Q11:Q$15)-$E$4))+MAX(0,MIN(Q11,$D$4-SUM(Q12:Q$15)))))*$D190)</f>
        <v>486236.4297</v>
      </c>
      <c r="R190" s="102">
        <f t="shared" si="171"/>
        <v>743941.7375</v>
      </c>
      <c r="S190" s="102">
        <f t="shared" si="171"/>
        <v>1264700.954</v>
      </c>
      <c r="T190" s="102">
        <f t="shared" si="171"/>
        <v>2063991.956</v>
      </c>
      <c r="U190" s="102">
        <f t="shared" si="171"/>
        <v>3421066.668</v>
      </c>
      <c r="V190" s="102">
        <f t="shared" si="171"/>
        <v>5905287.387</v>
      </c>
      <c r="W190" s="102">
        <f t="shared" si="171"/>
        <v>9308880.299</v>
      </c>
      <c r="X190" s="102">
        <f t="shared" si="171"/>
        <v>12566988.4</v>
      </c>
      <c r="Y190" s="102">
        <f t="shared" si="171"/>
        <v>12818328.17</v>
      </c>
      <c r="Z190" s="102">
        <f t="shared" si="171"/>
        <v>19176218.94</v>
      </c>
      <c r="AA190" s="102">
        <f t="shared" si="171"/>
        <v>23708779.79</v>
      </c>
      <c r="AB190" s="102">
        <f t="shared" si="171"/>
        <v>42924745.8</v>
      </c>
      <c r="AC190" s="102">
        <f t="shared" si="171"/>
        <v>59508207.45</v>
      </c>
      <c r="AD190" s="102">
        <f t="shared" si="171"/>
        <v>76108839.01</v>
      </c>
      <c r="AE190" s="102">
        <f t="shared" si="171"/>
        <v>87575484.75</v>
      </c>
      <c r="AF190" s="102">
        <f t="shared" si="171"/>
        <v>106014454.9</v>
      </c>
      <c r="AG190" s="102">
        <f t="shared" si="171"/>
        <v>116812223.5</v>
      </c>
      <c r="AH190" s="102">
        <f t="shared" si="171"/>
        <v>117446347</v>
      </c>
      <c r="AI190" s="102">
        <f t="shared" si="171"/>
        <v>94447288.44</v>
      </c>
      <c r="AJ190" s="102">
        <f t="shared" si="171"/>
        <v>11687851.94</v>
      </c>
      <c r="AK190" s="102">
        <f t="shared" si="171"/>
        <v>0</v>
      </c>
      <c r="AL190" s="102">
        <f t="shared" si="171"/>
        <v>0</v>
      </c>
      <c r="AM190" s="102">
        <f t="shared" ref="AM190:AV190" si="172">$D190*AM11*AM$111</f>
        <v>0</v>
      </c>
      <c r="AN190" s="102">
        <f t="shared" si="172"/>
        <v>0</v>
      </c>
      <c r="AO190" s="102">
        <f t="shared" si="172"/>
        <v>0</v>
      </c>
      <c r="AP190" s="102">
        <f t="shared" si="172"/>
        <v>0</v>
      </c>
      <c r="AQ190" s="102">
        <f t="shared" si="172"/>
        <v>0</v>
      </c>
      <c r="AR190" s="102">
        <f t="shared" si="172"/>
        <v>0</v>
      </c>
      <c r="AS190" s="102">
        <f t="shared" si="172"/>
        <v>0</v>
      </c>
      <c r="AT190" s="102" t="str">
        <f t="shared" si="172"/>
        <v>#REF!</v>
      </c>
      <c r="AU190" s="102" t="str">
        <f t="shared" si="172"/>
        <v>#REF!</v>
      </c>
      <c r="AV190" s="102" t="str">
        <f t="shared" si="172"/>
        <v>#REF!</v>
      </c>
      <c r="AW190" s="90"/>
      <c r="AX190" s="90"/>
      <c r="AY190" s="90"/>
      <c r="AZ190" s="90"/>
      <c r="BA190" s="90"/>
      <c r="BB190" s="90"/>
      <c r="BC190" s="90"/>
      <c r="BD190" s="90"/>
      <c r="BE190" s="90"/>
      <c r="BF190" s="90"/>
      <c r="BG190" s="90"/>
      <c r="BH190" s="90"/>
      <c r="BI190" s="90"/>
      <c r="BJ190" s="90"/>
      <c r="BK190" s="90"/>
      <c r="BL190" s="90"/>
      <c r="BM190" s="90"/>
      <c r="BN190" s="90"/>
      <c r="BO190" s="90"/>
      <c r="BP190" s="90"/>
    </row>
    <row r="191" ht="12.75" customHeight="1" outlineLevel="1">
      <c r="A191" s="90" t="s">
        <v>292</v>
      </c>
      <c r="C191" s="102">
        <f>'RSGen 1-7'!M$330</f>
        <v>224603.6508</v>
      </c>
      <c r="D191" s="102">
        <f>OFFSET(RSGen_Walton!$G$15,0,ROW(C191)-ROW($C$185))</f>
        <v>224603.6508</v>
      </c>
      <c r="E191" s="102">
        <f>OFFSET(RSGen_none!$G$15,0,ROW(D191)-ROW($C$185))</f>
        <v>224603.6508</v>
      </c>
      <c r="F191" s="102"/>
      <c r="G191" s="102"/>
      <c r="H191" s="313"/>
      <c r="I191" s="313"/>
      <c r="J191" s="313"/>
      <c r="K191" s="306"/>
      <c r="L191" s="306"/>
      <c r="M191" s="306"/>
      <c r="N191" s="306"/>
      <c r="O191" s="306"/>
      <c r="P191" s="306"/>
      <c r="Q191" s="306"/>
      <c r="R191" s="102">
        <f t="shared" ref="R191:AL191" si="173">R$110*(MAX(0,MIN(R12,SUM(R12:R$15)-$E$4))*$E191+MAX(0,MIN(R12,$D$4-SUM(R13:R$15)))*$C191+(R12-(MAX(0,MIN(R12,SUM(R12:R$15)-$E$4))+MAX(0,MIN(R12,$D$4-SUM(R13:R$15)))))*$D191)</f>
        <v>495961.1583</v>
      </c>
      <c r="S191" s="102">
        <f t="shared" si="173"/>
        <v>758820.5722</v>
      </c>
      <c r="T191" s="102">
        <f t="shared" si="173"/>
        <v>1289994.973</v>
      </c>
      <c r="U191" s="102">
        <f t="shared" si="173"/>
        <v>2105271.796</v>
      </c>
      <c r="V191" s="102">
        <f t="shared" si="173"/>
        <v>3489488.001</v>
      </c>
      <c r="W191" s="102">
        <f t="shared" si="173"/>
        <v>6023393.134</v>
      </c>
      <c r="X191" s="102">
        <f t="shared" si="173"/>
        <v>9495057.905</v>
      </c>
      <c r="Y191" s="102">
        <f t="shared" si="173"/>
        <v>12818328.17</v>
      </c>
      <c r="Z191" s="102">
        <f t="shared" si="173"/>
        <v>13074694.73</v>
      </c>
      <c r="AA191" s="102">
        <f t="shared" si="173"/>
        <v>19559743.32</v>
      </c>
      <c r="AB191" s="102">
        <f t="shared" si="173"/>
        <v>24182955.38</v>
      </c>
      <c r="AC191" s="102">
        <f t="shared" si="173"/>
        <v>43783240.72</v>
      </c>
      <c r="AD191" s="102">
        <f t="shared" si="173"/>
        <v>60698371.6</v>
      </c>
      <c r="AE191" s="102">
        <f t="shared" si="173"/>
        <v>77631015.79</v>
      </c>
      <c r="AF191" s="102">
        <f t="shared" si="173"/>
        <v>89326994.44</v>
      </c>
      <c r="AG191" s="102">
        <f t="shared" si="173"/>
        <v>108134744</v>
      </c>
      <c r="AH191" s="102">
        <f t="shared" si="173"/>
        <v>119148468</v>
      </c>
      <c r="AI191" s="102">
        <f t="shared" si="173"/>
        <v>119795273.9</v>
      </c>
      <c r="AJ191" s="102">
        <f t="shared" si="173"/>
        <v>96336234.21</v>
      </c>
      <c r="AK191" s="102">
        <f t="shared" si="173"/>
        <v>11921608.98</v>
      </c>
      <c r="AL191" s="102">
        <f t="shared" si="173"/>
        <v>0</v>
      </c>
      <c r="AM191" s="102">
        <f t="shared" ref="AM191:AV191" si="174">$D191*AM12*AM$111</f>
        <v>0</v>
      </c>
      <c r="AN191" s="102">
        <f t="shared" si="174"/>
        <v>0</v>
      </c>
      <c r="AO191" s="102">
        <f t="shared" si="174"/>
        <v>0</v>
      </c>
      <c r="AP191" s="102">
        <f t="shared" si="174"/>
        <v>0</v>
      </c>
      <c r="AQ191" s="102">
        <f t="shared" si="174"/>
        <v>0</v>
      </c>
      <c r="AR191" s="102">
        <f t="shared" si="174"/>
        <v>0</v>
      </c>
      <c r="AS191" s="102">
        <f t="shared" si="174"/>
        <v>0</v>
      </c>
      <c r="AT191" s="102">
        <f t="shared" si="174"/>
        <v>0</v>
      </c>
      <c r="AU191" s="102" t="str">
        <f t="shared" si="174"/>
        <v>#REF!</v>
      </c>
      <c r="AV191" s="102" t="str">
        <f t="shared" si="174"/>
        <v>#REF!</v>
      </c>
      <c r="AW191" s="90"/>
      <c r="AX191" s="90"/>
      <c r="AY191" s="90"/>
      <c r="AZ191" s="90"/>
      <c r="BA191" s="90"/>
      <c r="BB191" s="90"/>
      <c r="BC191" s="90"/>
      <c r="BD191" s="90"/>
      <c r="BE191" s="90"/>
      <c r="BF191" s="90"/>
      <c r="BG191" s="90"/>
      <c r="BH191" s="90"/>
      <c r="BI191" s="90"/>
      <c r="BJ191" s="90"/>
      <c r="BK191" s="90"/>
      <c r="BL191" s="90"/>
      <c r="BM191" s="90"/>
      <c r="BN191" s="90"/>
      <c r="BO191" s="90"/>
      <c r="BP191" s="90"/>
    </row>
    <row r="192" ht="12.75" customHeight="1" outlineLevel="1">
      <c r="A192" s="90" t="s">
        <v>293</v>
      </c>
      <c r="C192" s="102">
        <f>'RSGen 1-7'!N$330</f>
        <v>224603.6508</v>
      </c>
      <c r="D192" s="102">
        <f>OFFSET(RSGen_Walton!$G$15,0,ROW(C192)-ROW($C$185))</f>
        <v>224603.6508</v>
      </c>
      <c r="E192" s="102">
        <f>OFFSET(RSGen_none!$G$15,0,ROW(D192)-ROW($C$185))</f>
        <v>224603.6508</v>
      </c>
      <c r="F192" s="102"/>
      <c r="G192" s="102"/>
      <c r="H192" s="313"/>
      <c r="I192" s="313"/>
      <c r="J192" s="313"/>
      <c r="K192" s="306"/>
      <c r="L192" s="306"/>
      <c r="M192" s="306"/>
      <c r="N192" s="306"/>
      <c r="O192" s="306"/>
      <c r="P192" s="306"/>
      <c r="Q192" s="306"/>
      <c r="R192" s="306"/>
      <c r="S192" s="102">
        <f t="shared" ref="S192:AL192" si="175">S$110*(MAX(0,MIN(S13,SUM(S13:S$15)-$E$4))*$E192+MAX(0,MIN(S13,$D$4-SUM(S14:S$15)))*$C192+(S13-(MAX(0,MIN(S13,SUM(S13:S$15)-$E$4))+MAX(0,MIN(S13,$D$4-SUM(S14:S$15)))))*$D192)</f>
        <v>505880.3815</v>
      </c>
      <c r="T192" s="102">
        <f t="shared" si="175"/>
        <v>773996.9837</v>
      </c>
      <c r="U192" s="102">
        <f t="shared" si="175"/>
        <v>1315794.872</v>
      </c>
      <c r="V192" s="102">
        <f t="shared" si="175"/>
        <v>2147377.232</v>
      </c>
      <c r="W192" s="102">
        <f t="shared" si="175"/>
        <v>3559277.761</v>
      </c>
      <c r="X192" s="102">
        <f t="shared" si="175"/>
        <v>6143860.997</v>
      </c>
      <c r="Y192" s="102">
        <f t="shared" si="175"/>
        <v>9684959.063</v>
      </c>
      <c r="Z192" s="102">
        <f t="shared" si="175"/>
        <v>13074694.73</v>
      </c>
      <c r="AA192" s="102">
        <f t="shared" si="175"/>
        <v>13336188.63</v>
      </c>
      <c r="AB192" s="102">
        <f t="shared" si="175"/>
        <v>19950938.19</v>
      </c>
      <c r="AC192" s="102">
        <f t="shared" si="175"/>
        <v>24666614.49</v>
      </c>
      <c r="AD192" s="102">
        <f t="shared" si="175"/>
        <v>44658905.53</v>
      </c>
      <c r="AE192" s="102">
        <f t="shared" si="175"/>
        <v>61912339.04</v>
      </c>
      <c r="AF192" s="102">
        <f t="shared" si="175"/>
        <v>79183636.1</v>
      </c>
      <c r="AG192" s="102">
        <f t="shared" si="175"/>
        <v>91113534.33</v>
      </c>
      <c r="AH192" s="102">
        <f t="shared" si="175"/>
        <v>110297438.9</v>
      </c>
      <c r="AI192" s="102">
        <f t="shared" si="175"/>
        <v>121531437.3</v>
      </c>
      <c r="AJ192" s="102">
        <f t="shared" si="175"/>
        <v>122191179.4</v>
      </c>
      <c r="AK192" s="102">
        <f t="shared" si="175"/>
        <v>98262958.9</v>
      </c>
      <c r="AL192" s="102">
        <f t="shared" si="175"/>
        <v>12160041.16</v>
      </c>
      <c r="AM192" s="102">
        <f t="shared" ref="AM192:AV192" si="176">$D192*AM13*AM$111</f>
        <v>0</v>
      </c>
      <c r="AN192" s="102">
        <f t="shared" si="176"/>
        <v>0</v>
      </c>
      <c r="AO192" s="102">
        <f t="shared" si="176"/>
        <v>0</v>
      </c>
      <c r="AP192" s="102">
        <f t="shared" si="176"/>
        <v>0</v>
      </c>
      <c r="AQ192" s="102">
        <f t="shared" si="176"/>
        <v>0</v>
      </c>
      <c r="AR192" s="102">
        <f t="shared" si="176"/>
        <v>0</v>
      </c>
      <c r="AS192" s="102">
        <f t="shared" si="176"/>
        <v>0</v>
      </c>
      <c r="AT192" s="102">
        <f t="shared" si="176"/>
        <v>0</v>
      </c>
      <c r="AU192" s="102">
        <f t="shared" si="176"/>
        <v>0</v>
      </c>
      <c r="AV192" s="102" t="str">
        <f t="shared" si="176"/>
        <v>#REF!</v>
      </c>
      <c r="AW192" s="90"/>
      <c r="AX192" s="90"/>
      <c r="AY192" s="90"/>
      <c r="AZ192" s="90"/>
      <c r="BA192" s="90"/>
      <c r="BB192" s="90"/>
      <c r="BC192" s="90"/>
      <c r="BD192" s="90"/>
      <c r="BE192" s="90"/>
      <c r="BF192" s="90"/>
      <c r="BG192" s="90"/>
      <c r="BH192" s="90"/>
      <c r="BI192" s="90"/>
      <c r="BJ192" s="90"/>
      <c r="BK192" s="90"/>
      <c r="BL192" s="90"/>
      <c r="BM192" s="90"/>
      <c r="BN192" s="90"/>
      <c r="BO192" s="90"/>
      <c r="BP192" s="90"/>
    </row>
    <row r="193" ht="12.75" customHeight="1" outlineLevel="1">
      <c r="A193" s="90" t="s">
        <v>294</v>
      </c>
      <c r="C193" s="102">
        <f>'RSGen 1-7'!O$330</f>
        <v>224603.6508</v>
      </c>
      <c r="D193" s="102">
        <f>OFFSET(RSGen_Walton!$G$15,0,ROW(C193)-ROW($C$185))</f>
        <v>224603.6508</v>
      </c>
      <c r="E193" s="102">
        <f>OFFSET(RSGen_none!$G$15,0,ROW(D193)-ROW($C$185))</f>
        <v>224603.6508</v>
      </c>
      <c r="F193" s="102"/>
      <c r="G193" s="102"/>
      <c r="H193" s="313"/>
      <c r="I193" s="313"/>
      <c r="J193" s="313"/>
      <c r="K193" s="306"/>
      <c r="L193" s="306"/>
      <c r="M193" s="306"/>
      <c r="N193" s="306"/>
      <c r="O193" s="306"/>
      <c r="P193" s="306"/>
      <c r="Q193" s="306"/>
      <c r="R193" s="306"/>
      <c r="S193" s="306"/>
      <c r="T193" s="102">
        <f t="shared" ref="T193:AL193" si="177">T$110*(MAX(0,MIN(T14,SUM(T14:T$15)-$E$4))*$E193+MAX(0,MIN(T14,$D$4-SUM(T$15:T15)))*$C193+(T14-(MAX(0,MIN(T14,SUM(T14:T$15)-$E$4))+MAX(0,MIN(T14,$D$4-SUM(T$15:T15)))))*$D193)</f>
        <v>515997.9891</v>
      </c>
      <c r="U193" s="102">
        <f t="shared" si="177"/>
        <v>789476.9234</v>
      </c>
      <c r="V193" s="102">
        <f t="shared" si="177"/>
        <v>1342110.77</v>
      </c>
      <c r="W193" s="102">
        <f t="shared" si="177"/>
        <v>2190324.776</v>
      </c>
      <c r="X193" s="102">
        <f t="shared" si="177"/>
        <v>3630463.316</v>
      </c>
      <c r="Y193" s="102">
        <f t="shared" si="177"/>
        <v>6266738.217</v>
      </c>
      <c r="Z193" s="102">
        <f t="shared" si="177"/>
        <v>9878658.244</v>
      </c>
      <c r="AA193" s="102">
        <f t="shared" si="177"/>
        <v>13336188.63</v>
      </c>
      <c r="AB193" s="102">
        <f t="shared" si="177"/>
        <v>13602912.4</v>
      </c>
      <c r="AC193" s="102">
        <f t="shared" si="177"/>
        <v>20349956.95</v>
      </c>
      <c r="AD193" s="102">
        <f t="shared" si="177"/>
        <v>25159946.78</v>
      </c>
      <c r="AE193" s="102">
        <f t="shared" si="177"/>
        <v>45552083.64</v>
      </c>
      <c r="AF193" s="102">
        <f t="shared" si="177"/>
        <v>63150585.82</v>
      </c>
      <c r="AG193" s="102">
        <f t="shared" si="177"/>
        <v>80767308.82</v>
      </c>
      <c r="AH193" s="102">
        <f t="shared" si="177"/>
        <v>92935805.02</v>
      </c>
      <c r="AI193" s="102">
        <f t="shared" si="177"/>
        <v>112503387.7</v>
      </c>
      <c r="AJ193" s="102">
        <f t="shared" si="177"/>
        <v>123962066.1</v>
      </c>
      <c r="AK193" s="102">
        <f t="shared" si="177"/>
        <v>124635003</v>
      </c>
      <c r="AL193" s="102">
        <f t="shared" si="177"/>
        <v>100228218.1</v>
      </c>
      <c r="AM193" s="102">
        <f t="shared" ref="AM193:AV193" si="178">$D193*AM14*AM$111</f>
        <v>12403241.99</v>
      </c>
      <c r="AN193" s="102">
        <f t="shared" si="178"/>
        <v>0</v>
      </c>
      <c r="AO193" s="102">
        <f t="shared" si="178"/>
        <v>0</v>
      </c>
      <c r="AP193" s="102">
        <f t="shared" si="178"/>
        <v>0</v>
      </c>
      <c r="AQ193" s="102">
        <f t="shared" si="178"/>
        <v>0</v>
      </c>
      <c r="AR193" s="102">
        <f t="shared" si="178"/>
        <v>0</v>
      </c>
      <c r="AS193" s="102">
        <f t="shared" si="178"/>
        <v>0</v>
      </c>
      <c r="AT193" s="102">
        <f t="shared" si="178"/>
        <v>0</v>
      </c>
      <c r="AU193" s="102">
        <f t="shared" si="178"/>
        <v>0</v>
      </c>
      <c r="AV193" s="102">
        <f t="shared" si="178"/>
        <v>0</v>
      </c>
      <c r="AW193" s="90"/>
      <c r="AX193" s="90"/>
      <c r="AY193" s="90"/>
      <c r="AZ193" s="90"/>
      <c r="BA193" s="90"/>
      <c r="BB193" s="90"/>
      <c r="BC193" s="90"/>
      <c r="BD193" s="90"/>
      <c r="BE193" s="90"/>
      <c r="BF193" s="90"/>
      <c r="BG193" s="90"/>
      <c r="BH193" s="90"/>
      <c r="BI193" s="90"/>
      <c r="BJ193" s="90"/>
      <c r="BK193" s="90"/>
      <c r="BL193" s="90"/>
      <c r="BM193" s="90"/>
      <c r="BN193" s="90"/>
      <c r="BO193" s="90"/>
      <c r="BP193" s="90"/>
    </row>
    <row r="194" ht="12.75" customHeight="1" outlineLevel="1">
      <c r="A194" s="90" t="s">
        <v>595</v>
      </c>
      <c r="C194" s="102">
        <f>'RSGen 1-7'!P$330</f>
        <v>224603.6508</v>
      </c>
      <c r="D194" s="102">
        <f>OFFSET(RSGen_Walton!$G$15,0,ROW(C194)-ROW($C$185))</f>
        <v>224603.6508</v>
      </c>
      <c r="E194" s="102">
        <f>OFFSET(RSGen_none!$G$15,0,ROW(D194)-ROW($C$185))</f>
        <v>224603.6508</v>
      </c>
      <c r="F194" s="102"/>
      <c r="G194" s="102"/>
      <c r="H194" s="313"/>
      <c r="I194" s="313"/>
      <c r="J194" s="313"/>
      <c r="K194" s="306"/>
      <c r="L194" s="306"/>
      <c r="M194" s="306"/>
      <c r="N194" s="306"/>
      <c r="O194" s="306"/>
      <c r="P194" s="306"/>
      <c r="Q194" s="306"/>
      <c r="R194" s="306"/>
      <c r="S194" s="306"/>
      <c r="T194" s="306"/>
      <c r="U194" s="102">
        <f t="shared" ref="U194:AL194" si="179">U$109*($C194*MIN($D$4-3,U15-3)+$D194*MIN($E$4-$D$4,MAX(0,U15-$D$4))+$E194*MAX(0,U15-$E$4))</f>
        <v>526317.9489</v>
      </c>
      <c r="V194" s="102">
        <f t="shared" si="179"/>
        <v>1342110.77</v>
      </c>
      <c r="W194" s="102">
        <f t="shared" si="179"/>
        <v>2737905.97</v>
      </c>
      <c r="X194" s="102">
        <f t="shared" si="179"/>
        <v>5026795.361</v>
      </c>
      <c r="Y194" s="102">
        <f t="shared" si="179"/>
        <v>8830403.851</v>
      </c>
      <c r="Z194" s="102">
        <f t="shared" si="179"/>
        <v>15399084.91</v>
      </c>
      <c r="AA194" s="102">
        <f t="shared" si="179"/>
        <v>25783298.02</v>
      </c>
      <c r="AB194" s="102">
        <f t="shared" si="179"/>
        <v>39901876.38</v>
      </c>
      <c r="AC194" s="102">
        <f t="shared" si="179"/>
        <v>54574884.56</v>
      </c>
      <c r="AD194" s="102">
        <f t="shared" si="179"/>
        <v>76423338.34</v>
      </c>
      <c r="AE194" s="102">
        <f t="shared" si="179"/>
        <v>103614950.8</v>
      </c>
      <c r="AF194" s="102">
        <f t="shared" si="179"/>
        <v>152150375.2</v>
      </c>
      <c r="AG194" s="102">
        <f t="shared" si="179"/>
        <v>219606980.2</v>
      </c>
      <c r="AH194" s="102">
        <f t="shared" si="179"/>
        <v>306381774.8</v>
      </c>
      <c r="AI194" s="102">
        <f t="shared" si="179"/>
        <v>407303931.4</v>
      </c>
      <c r="AJ194" s="102">
        <f t="shared" si="179"/>
        <v>530203465.5</v>
      </c>
      <c r="AK194" s="102">
        <f t="shared" si="179"/>
        <v>667248842.2</v>
      </c>
      <c r="AL194" s="102">
        <f t="shared" si="179"/>
        <v>807721522.1</v>
      </c>
      <c r="AM194" s="102">
        <f t="shared" ref="AM194:AV194" si="180">$C194*(4)*AM$111+$D194*(AM15-7)*AM$111</f>
        <v>926108735</v>
      </c>
      <c r="AN194" s="102">
        <f t="shared" si="180"/>
        <v>957282216.5</v>
      </c>
      <c r="AO194" s="102">
        <f t="shared" si="180"/>
        <v>976427860.9</v>
      </c>
      <c r="AP194" s="102">
        <f t="shared" si="180"/>
        <v>995956418.1</v>
      </c>
      <c r="AQ194" s="102">
        <f t="shared" si="180"/>
        <v>1015875546</v>
      </c>
      <c r="AR194" s="102">
        <f t="shared" si="180"/>
        <v>1036193057</v>
      </c>
      <c r="AS194" s="102">
        <f t="shared" si="180"/>
        <v>1056916919</v>
      </c>
      <c r="AT194" s="102">
        <f t="shared" si="180"/>
        <v>1078055257</v>
      </c>
      <c r="AU194" s="102">
        <f t="shared" si="180"/>
        <v>1099616362</v>
      </c>
      <c r="AV194" s="102">
        <f t="shared" si="180"/>
        <v>1121608689</v>
      </c>
      <c r="AW194" s="90"/>
      <c r="AX194" s="90"/>
      <c r="AY194" s="90"/>
      <c r="AZ194" s="90"/>
      <c r="BA194" s="90"/>
      <c r="BB194" s="90"/>
      <c r="BC194" s="90"/>
      <c r="BD194" s="90"/>
      <c r="BE194" s="90"/>
      <c r="BF194" s="90"/>
      <c r="BG194" s="90"/>
      <c r="BH194" s="90"/>
      <c r="BI194" s="90"/>
      <c r="BJ194" s="90"/>
      <c r="BK194" s="90"/>
      <c r="BL194" s="90"/>
      <c r="BM194" s="90"/>
      <c r="BN194" s="90"/>
      <c r="BO194" s="90"/>
      <c r="BP194" s="90"/>
    </row>
    <row r="195" ht="12.75" customHeight="1" outlineLevel="1">
      <c r="A195" s="143" t="s">
        <v>313</v>
      </c>
      <c r="B195" s="143"/>
      <c r="C195" s="309"/>
      <c r="D195" s="309"/>
      <c r="E195" s="309"/>
      <c r="F195" s="309"/>
      <c r="G195" s="309"/>
      <c r="H195" s="314"/>
      <c r="I195" s="314"/>
      <c r="J195" s="314"/>
      <c r="K195" s="311"/>
      <c r="L195" s="309">
        <f t="shared" ref="L195:AV195" si="181">SUM(L185:L194)</f>
        <v>0</v>
      </c>
      <c r="M195" s="309">
        <f t="shared" si="181"/>
        <v>47941.20088</v>
      </c>
      <c r="N195" s="309">
        <f t="shared" si="181"/>
        <v>543441.8912</v>
      </c>
      <c r="O195" s="309">
        <f t="shared" si="181"/>
        <v>1288818.236</v>
      </c>
      <c r="P195" s="309">
        <f t="shared" si="181"/>
        <v>2489048.874</v>
      </c>
      <c r="Q195" s="309">
        <f t="shared" si="181"/>
        <v>4503933.8</v>
      </c>
      <c r="R195" s="309">
        <f t="shared" si="181"/>
        <v>7924254.32</v>
      </c>
      <c r="S195" s="309">
        <f t="shared" si="181"/>
        <v>13735642.5</v>
      </c>
      <c r="T195" s="309">
        <f t="shared" si="181"/>
        <v>22728488.41</v>
      </c>
      <c r="U195" s="309">
        <f t="shared" si="181"/>
        <v>34632445.23</v>
      </c>
      <c r="V195" s="309">
        <f t="shared" si="181"/>
        <v>47828437.01</v>
      </c>
      <c r="W195" s="309">
        <f t="shared" si="181"/>
        <v>66860661.59</v>
      </c>
      <c r="X195" s="309">
        <f t="shared" si="181"/>
        <v>91760568.42</v>
      </c>
      <c r="Y195" s="309">
        <f t="shared" si="181"/>
        <v>134116030.6</v>
      </c>
      <c r="Z195" s="309">
        <f t="shared" si="181"/>
        <v>192272150.7</v>
      </c>
      <c r="AA195" s="309">
        <f t="shared" si="181"/>
        <v>266890477.6</v>
      </c>
      <c r="AB195" s="309">
        <f t="shared" si="181"/>
        <v>354850993.8</v>
      </c>
      <c r="AC195" s="309">
        <f t="shared" si="181"/>
        <v>461025756.7</v>
      </c>
      <c r="AD195" s="309">
        <f t="shared" si="181"/>
        <v>578616391.8</v>
      </c>
      <c r="AE195" s="309">
        <f t="shared" si="181"/>
        <v>697973736.1</v>
      </c>
      <c r="AF195" s="309">
        <f t="shared" si="181"/>
        <v>794361895.6</v>
      </c>
      <c r="AG195" s="309">
        <f t="shared" si="181"/>
        <v>827149271.3</v>
      </c>
      <c r="AH195" s="309">
        <f t="shared" si="181"/>
        <v>849364852.5</v>
      </c>
      <c r="AI195" s="309">
        <f t="shared" si="181"/>
        <v>867039997.2</v>
      </c>
      <c r="AJ195" s="309">
        <f t="shared" si="181"/>
        <v>884380797.2</v>
      </c>
      <c r="AK195" s="309">
        <f t="shared" si="181"/>
        <v>902068413.1</v>
      </c>
      <c r="AL195" s="309">
        <f t="shared" si="181"/>
        <v>920109781.4</v>
      </c>
      <c r="AM195" s="309">
        <f t="shared" si="181"/>
        <v>938511977</v>
      </c>
      <c r="AN195" s="309">
        <f t="shared" si="181"/>
        <v>957282216.5</v>
      </c>
      <c r="AO195" s="309" t="str">
        <f t="shared" si="181"/>
        <v>#REF!</v>
      </c>
      <c r="AP195" s="309" t="str">
        <f t="shared" si="181"/>
        <v>#REF!</v>
      </c>
      <c r="AQ195" s="309" t="str">
        <f t="shared" si="181"/>
        <v>#REF!</v>
      </c>
      <c r="AR195" s="309" t="str">
        <f t="shared" si="181"/>
        <v>#REF!</v>
      </c>
      <c r="AS195" s="309" t="str">
        <f t="shared" si="181"/>
        <v>#REF!</v>
      </c>
      <c r="AT195" s="309" t="str">
        <f t="shared" si="181"/>
        <v>#REF!</v>
      </c>
      <c r="AU195" s="309" t="str">
        <f t="shared" si="181"/>
        <v>#REF!</v>
      </c>
      <c r="AV195" s="309" t="str">
        <f t="shared" si="181"/>
        <v>#REF!</v>
      </c>
      <c r="AW195" s="90"/>
      <c r="AX195" s="90"/>
      <c r="AY195" s="90"/>
      <c r="AZ195" s="90"/>
      <c r="BA195" s="90"/>
      <c r="BB195" s="90"/>
      <c r="BC195" s="90"/>
      <c r="BD195" s="90"/>
      <c r="BE195" s="90"/>
      <c r="BF195" s="90"/>
      <c r="BG195" s="90"/>
      <c r="BH195" s="90"/>
      <c r="BI195" s="90"/>
      <c r="BJ195" s="90"/>
      <c r="BK195" s="90"/>
      <c r="BL195" s="90"/>
      <c r="BM195" s="90"/>
      <c r="BN195" s="90"/>
      <c r="BO195" s="90"/>
      <c r="BP195" s="90"/>
    </row>
    <row r="196" ht="12.75" customHeight="1" outlineLevel="1">
      <c r="A196" s="90"/>
      <c r="C196" s="102"/>
      <c r="D196" s="102"/>
      <c r="E196" s="102"/>
      <c r="F196" s="102"/>
      <c r="G196" s="102"/>
      <c r="K196" s="102"/>
      <c r="L196" s="102"/>
      <c r="M196" s="102"/>
      <c r="N196" s="102"/>
      <c r="O196" s="102"/>
      <c r="P196" s="102"/>
      <c r="Q196" s="102"/>
      <c r="R196" s="102"/>
      <c r="S196" s="102"/>
      <c r="T196" s="102"/>
      <c r="U196" s="102"/>
      <c r="V196" s="102"/>
      <c r="W196" s="102"/>
      <c r="X196" s="102"/>
      <c r="Y196" s="102"/>
      <c r="Z196" s="102"/>
      <c r="AA196" s="102"/>
      <c r="AB196" s="102"/>
      <c r="AC196" s="102"/>
      <c r="AD196" s="102"/>
      <c r="AE196" s="102"/>
      <c r="AF196" s="102"/>
      <c r="AG196" s="102"/>
      <c r="AH196" s="102"/>
      <c r="AI196" s="102"/>
      <c r="AJ196" s="102"/>
      <c r="AK196" s="102"/>
      <c r="AL196" s="102"/>
      <c r="AM196" s="102"/>
      <c r="AN196" s="102"/>
      <c r="AO196" s="102"/>
      <c r="AP196" s="102"/>
      <c r="AQ196" s="102"/>
      <c r="AR196" s="102"/>
      <c r="AS196" s="102"/>
      <c r="AT196" s="102"/>
      <c r="AU196" s="102"/>
      <c r="AV196" s="102"/>
      <c r="AW196" s="90"/>
      <c r="AX196" s="90"/>
      <c r="AY196" s="90"/>
      <c r="AZ196" s="90"/>
      <c r="BA196" s="90"/>
      <c r="BB196" s="90"/>
      <c r="BC196" s="90"/>
      <c r="BD196" s="90"/>
      <c r="BE196" s="90"/>
      <c r="BF196" s="90"/>
      <c r="BG196" s="90"/>
      <c r="BH196" s="90"/>
      <c r="BI196" s="90"/>
      <c r="BJ196" s="90"/>
      <c r="BK196" s="90"/>
      <c r="BL196" s="90"/>
      <c r="BM196" s="90"/>
      <c r="BN196" s="90"/>
      <c r="BO196" s="90"/>
      <c r="BP196" s="90"/>
    </row>
    <row r="197" ht="12.75" customHeight="1" outlineLevel="1">
      <c r="A197" s="90" t="s">
        <v>597</v>
      </c>
      <c r="C197" s="102"/>
      <c r="D197" s="102"/>
      <c r="E197" s="102"/>
      <c r="F197" s="102"/>
      <c r="G197" s="102"/>
      <c r="K197" s="102"/>
      <c r="L197" s="102"/>
      <c r="M197" s="102"/>
      <c r="N197" s="102"/>
      <c r="O197" s="102"/>
      <c r="P197" s="102"/>
      <c r="Q197" s="102"/>
      <c r="R197" s="102"/>
      <c r="S197" s="102"/>
      <c r="T197" s="102"/>
      <c r="U197" s="102"/>
      <c r="V197" s="102"/>
      <c r="W197" s="102"/>
      <c r="X197" s="102"/>
      <c r="Y197" s="102"/>
      <c r="Z197" s="102"/>
      <c r="AA197" s="102"/>
      <c r="AB197" s="102"/>
      <c r="AC197" s="102"/>
      <c r="AD197" s="102"/>
      <c r="AE197" s="102"/>
      <c r="AF197" s="102"/>
      <c r="AG197" s="102"/>
      <c r="AH197" s="102"/>
      <c r="AI197" s="102"/>
      <c r="AJ197" s="102"/>
      <c r="AK197" s="102"/>
      <c r="AL197" s="102"/>
      <c r="AM197" s="102"/>
      <c r="AN197" s="102"/>
      <c r="AO197" s="102"/>
      <c r="AP197" s="102"/>
      <c r="AQ197" s="102"/>
      <c r="AR197" s="102"/>
      <c r="AS197" s="102"/>
      <c r="AT197" s="102"/>
      <c r="AU197" s="102"/>
      <c r="AV197" s="102"/>
      <c r="AW197" s="90"/>
      <c r="AX197" s="90"/>
      <c r="AY197" s="90"/>
      <c r="AZ197" s="90"/>
      <c r="BA197" s="90"/>
      <c r="BB197" s="90"/>
      <c r="BC197" s="90"/>
      <c r="BD197" s="90"/>
      <c r="BE197" s="90"/>
      <c r="BF197" s="90"/>
      <c r="BG197" s="90"/>
      <c r="BH197" s="90"/>
      <c r="BI197" s="90"/>
      <c r="BJ197" s="90"/>
      <c r="BK197" s="90"/>
      <c r="BL197" s="90"/>
      <c r="BM197" s="90"/>
      <c r="BN197" s="90"/>
      <c r="BO197" s="90"/>
      <c r="BP197" s="90"/>
    </row>
    <row r="198" ht="12.75" customHeight="1" outlineLevel="1">
      <c r="A198" s="90" t="s">
        <v>286</v>
      </c>
      <c r="C198" s="102">
        <f>'RSGen 1-7'!G339</f>
        <v>0</v>
      </c>
      <c r="D198" s="102">
        <f>OFFSET(RSGen_Walton!$G$16,0,ROW(A198)-ROW($A$198))</f>
        <v>0</v>
      </c>
      <c r="E198" s="102">
        <f>OFFSET(RSGen_none!$G$16,0,ROW(B198)-ROW($A$198))</f>
        <v>0</v>
      </c>
      <c r="F198" s="102"/>
      <c r="G198" s="102"/>
      <c r="K198" s="102"/>
      <c r="L198" s="102">
        <f>$C198*L6*L$112</f>
        <v>0</v>
      </c>
      <c r="M198" s="102">
        <f t="shared" ref="M198:M199" si="183">M$112*(MAX(0,MIN(M6,SUM(M6:M$15)-$E$4))*$E198+MAX(0,MIN(M6,$D$4-SUM(M7:M$15)))*$C198+(M6-(MAX(0,MIN(M6,SUM(M6:M$15)-$E$4))+MAX(0,MIN(M6,$D$4-SUM(M7:M$15)))))*$D198)</f>
        <v>0</v>
      </c>
      <c r="N198" s="102">
        <f t="shared" ref="N198:AV198" si="182">$D198*N6*N$112</f>
        <v>0</v>
      </c>
      <c r="O198" s="102">
        <f t="shared" si="182"/>
        <v>0</v>
      </c>
      <c r="P198" s="102">
        <f t="shared" si="182"/>
        <v>0</v>
      </c>
      <c r="Q198" s="102">
        <f t="shared" si="182"/>
        <v>0</v>
      </c>
      <c r="R198" s="102">
        <f t="shared" si="182"/>
        <v>0</v>
      </c>
      <c r="S198" s="102">
        <f t="shared" si="182"/>
        <v>0</v>
      </c>
      <c r="T198" s="102">
        <f t="shared" si="182"/>
        <v>0</v>
      </c>
      <c r="U198" s="102">
        <f t="shared" si="182"/>
        <v>0</v>
      </c>
      <c r="V198" s="102">
        <f t="shared" si="182"/>
        <v>0</v>
      </c>
      <c r="W198" s="102">
        <f t="shared" si="182"/>
        <v>0</v>
      </c>
      <c r="X198" s="102">
        <f t="shared" si="182"/>
        <v>0</v>
      </c>
      <c r="Y198" s="102">
        <f t="shared" si="182"/>
        <v>0</v>
      </c>
      <c r="Z198" s="102">
        <f t="shared" si="182"/>
        <v>0</v>
      </c>
      <c r="AA198" s="102">
        <f t="shared" si="182"/>
        <v>0</v>
      </c>
      <c r="AB198" s="102">
        <f t="shared" si="182"/>
        <v>0</v>
      </c>
      <c r="AC198" s="102">
        <f t="shared" si="182"/>
        <v>0</v>
      </c>
      <c r="AD198" s="102">
        <f t="shared" si="182"/>
        <v>0</v>
      </c>
      <c r="AE198" s="102">
        <f t="shared" si="182"/>
        <v>0</v>
      </c>
      <c r="AF198" s="102">
        <f t="shared" si="182"/>
        <v>0</v>
      </c>
      <c r="AG198" s="102">
        <f t="shared" si="182"/>
        <v>0</v>
      </c>
      <c r="AH198" s="102">
        <f t="shared" si="182"/>
        <v>0</v>
      </c>
      <c r="AI198" s="102">
        <f t="shared" si="182"/>
        <v>0</v>
      </c>
      <c r="AJ198" s="102">
        <f t="shared" si="182"/>
        <v>0</v>
      </c>
      <c r="AK198" s="102">
        <f t="shared" si="182"/>
        <v>0</v>
      </c>
      <c r="AL198" s="102">
        <f t="shared" si="182"/>
        <v>0</v>
      </c>
      <c r="AM198" s="102">
        <f t="shared" si="182"/>
        <v>0</v>
      </c>
      <c r="AN198" s="102">
        <f t="shared" si="182"/>
        <v>0</v>
      </c>
      <c r="AO198" s="102" t="str">
        <f t="shared" si="182"/>
        <v>#REF!</v>
      </c>
      <c r="AP198" s="102" t="str">
        <f t="shared" si="182"/>
        <v>#REF!</v>
      </c>
      <c r="AQ198" s="102" t="str">
        <f t="shared" si="182"/>
        <v>#REF!</v>
      </c>
      <c r="AR198" s="102" t="str">
        <f t="shared" si="182"/>
        <v>#REF!</v>
      </c>
      <c r="AS198" s="102" t="str">
        <f t="shared" si="182"/>
        <v>#REF!</v>
      </c>
      <c r="AT198" s="102">
        <f t="shared" si="182"/>
        <v>0</v>
      </c>
      <c r="AU198" s="102">
        <f t="shared" si="182"/>
        <v>0</v>
      </c>
      <c r="AV198" s="102">
        <f t="shared" si="182"/>
        <v>0</v>
      </c>
      <c r="AW198" s="90"/>
      <c r="AX198" s="90"/>
      <c r="AY198" s="90"/>
      <c r="AZ198" s="90"/>
      <c r="BA198" s="90"/>
      <c r="BB198" s="90"/>
      <c r="BC198" s="90"/>
      <c r="BD198" s="90"/>
      <c r="BE198" s="90"/>
      <c r="BF198" s="90"/>
      <c r="BG198" s="90"/>
      <c r="BH198" s="90"/>
      <c r="BI198" s="90"/>
      <c r="BJ198" s="90"/>
      <c r="BK198" s="90"/>
      <c r="BL198" s="90"/>
      <c r="BM198" s="90"/>
      <c r="BN198" s="90"/>
      <c r="BO198" s="90"/>
      <c r="BP198" s="90"/>
    </row>
    <row r="199" ht="12.75" customHeight="1" outlineLevel="1">
      <c r="A199" s="90" t="s">
        <v>287</v>
      </c>
      <c r="C199" s="102">
        <f>'RSGen 1-7'!H$339</f>
        <v>3950</v>
      </c>
      <c r="D199" s="102">
        <f>OFFSET(RSGen_Walton!$G$16,0,ROW(A199)-ROW($A$198))</f>
        <v>3950</v>
      </c>
      <c r="E199" s="102">
        <f>OFFSET(RSGen_none!$G$16,0,ROW(B199)-ROW($A$198))</f>
        <v>3950</v>
      </c>
      <c r="F199" s="102"/>
      <c r="G199" s="102"/>
      <c r="H199" s="313"/>
      <c r="I199" s="313"/>
      <c r="J199" s="313"/>
      <c r="K199" s="306"/>
      <c r="L199" s="306"/>
      <c r="M199" s="102">
        <f t="shared" si="183"/>
        <v>7900</v>
      </c>
      <c r="N199" s="102">
        <f t="shared" ref="N199:AL199" si="184">N$112*(MAX(0,MIN(N7,SUM(N7:N$15)-$E$4))*$E199+MAX(0,MIN(N7,$D$4-SUM(N8:N$15)))*$C199+(N7-(MAX(0,MIN(N7,SUM(N7:N$15)-$E$4))+MAX(0,MIN(N7,$D$4-SUM(N8:N$15)))))*$D199)</f>
        <v>12087</v>
      </c>
      <c r="O199" s="102">
        <f t="shared" si="184"/>
        <v>20547.9</v>
      </c>
      <c r="P199" s="102">
        <f t="shared" si="184"/>
        <v>33534.1728</v>
      </c>
      <c r="Q199" s="102">
        <f t="shared" si="184"/>
        <v>55582.89142</v>
      </c>
      <c r="R199" s="102">
        <f t="shared" si="184"/>
        <v>95944.6218</v>
      </c>
      <c r="S199" s="102">
        <f t="shared" si="184"/>
        <v>151243.6129</v>
      </c>
      <c r="T199" s="102">
        <f t="shared" si="184"/>
        <v>204178.8774</v>
      </c>
      <c r="U199" s="102">
        <f t="shared" si="184"/>
        <v>208262.455</v>
      </c>
      <c r="V199" s="102">
        <f t="shared" si="184"/>
        <v>311560.6326</v>
      </c>
      <c r="W199" s="102">
        <f t="shared" si="184"/>
        <v>385202.2367</v>
      </c>
      <c r="X199" s="102">
        <f t="shared" si="184"/>
        <v>697408.6496</v>
      </c>
      <c r="Y199" s="102">
        <f t="shared" si="184"/>
        <v>966844.1321</v>
      </c>
      <c r="Z199" s="102">
        <f t="shared" si="184"/>
        <v>1236558.578</v>
      </c>
      <c r="AA199" s="102">
        <f t="shared" si="184"/>
        <v>1422859.924</v>
      </c>
      <c r="AB199" s="102">
        <f t="shared" si="184"/>
        <v>1722442.299</v>
      </c>
      <c r="AC199" s="102">
        <f t="shared" si="184"/>
        <v>1897876.237</v>
      </c>
      <c r="AD199" s="102">
        <f t="shared" si="184"/>
        <v>1908178.994</v>
      </c>
      <c r="AE199" s="102">
        <f t="shared" si="184"/>
        <v>1534507.768</v>
      </c>
      <c r="AF199" s="102">
        <f t="shared" si="184"/>
        <v>189895.3363</v>
      </c>
      <c r="AG199" s="102">
        <f t="shared" si="184"/>
        <v>0</v>
      </c>
      <c r="AH199" s="102">
        <f t="shared" si="184"/>
        <v>0</v>
      </c>
      <c r="AI199" s="102">
        <f t="shared" si="184"/>
        <v>0</v>
      </c>
      <c r="AJ199" s="102">
        <f t="shared" si="184"/>
        <v>0</v>
      </c>
      <c r="AK199" s="102">
        <f t="shared" si="184"/>
        <v>0</v>
      </c>
      <c r="AL199" s="102">
        <f t="shared" si="184"/>
        <v>0</v>
      </c>
      <c r="AM199" s="102">
        <f t="shared" ref="AM199:AV199" si="185">$D199*AM7*AM$112</f>
        <v>0</v>
      </c>
      <c r="AN199" s="102">
        <f t="shared" si="185"/>
        <v>0</v>
      </c>
      <c r="AO199" s="102">
        <f t="shared" si="185"/>
        <v>0</v>
      </c>
      <c r="AP199" s="102" t="str">
        <f t="shared" si="185"/>
        <v>#REF!</v>
      </c>
      <c r="AQ199" s="102" t="str">
        <f t="shared" si="185"/>
        <v>#REF!</v>
      </c>
      <c r="AR199" s="102" t="str">
        <f t="shared" si="185"/>
        <v>#REF!</v>
      </c>
      <c r="AS199" s="102" t="str">
        <f t="shared" si="185"/>
        <v>#REF!</v>
      </c>
      <c r="AT199" s="102" t="str">
        <f t="shared" si="185"/>
        <v>#REF!</v>
      </c>
      <c r="AU199" s="102">
        <f t="shared" si="185"/>
        <v>0</v>
      </c>
      <c r="AV199" s="102">
        <f t="shared" si="185"/>
        <v>0</v>
      </c>
      <c r="AW199" s="90"/>
      <c r="AX199" s="90"/>
      <c r="AY199" s="90"/>
      <c r="AZ199" s="90"/>
      <c r="BA199" s="90"/>
      <c r="BB199" s="90"/>
      <c r="BC199" s="90"/>
      <c r="BD199" s="90"/>
      <c r="BE199" s="90"/>
      <c r="BF199" s="90"/>
      <c r="BG199" s="90"/>
      <c r="BH199" s="90"/>
      <c r="BI199" s="90"/>
      <c r="BJ199" s="90"/>
      <c r="BK199" s="90"/>
      <c r="BL199" s="90"/>
      <c r="BM199" s="90"/>
      <c r="BN199" s="90"/>
      <c r="BO199" s="90"/>
      <c r="BP199" s="90"/>
    </row>
    <row r="200" ht="12.75" customHeight="1" outlineLevel="1">
      <c r="A200" s="90" t="s">
        <v>288</v>
      </c>
      <c r="C200" s="102">
        <f>'RSGen 1-7'!I$339</f>
        <v>507673.3</v>
      </c>
      <c r="D200" s="102">
        <f>OFFSET(RSGen_Walton!$G$16,0,ROW(A200)-ROW($A$198))</f>
        <v>505423.3</v>
      </c>
      <c r="E200" s="102">
        <f>OFFSET(RSGen_none!$G$16,0,ROW(B200)-ROW($A$198))</f>
        <v>505423.3</v>
      </c>
      <c r="F200" s="102"/>
      <c r="G200" s="102"/>
      <c r="H200" s="313"/>
      <c r="I200" s="313"/>
      <c r="J200" s="313"/>
      <c r="K200" s="306"/>
      <c r="L200" s="306"/>
      <c r="M200" s="306"/>
      <c r="N200" s="102">
        <f t="shared" ref="N200:AL200" si="186">N$112*(MAX(0,MIN(N8,SUM(N8:N$15)-$E$4))*$E200+MAX(0,MIN(N8,$D$4-SUM(N9:N$15)))*$C200+(N8-(MAX(0,MIN(N8,SUM(N8:N$15)-$E$4))+MAX(0,MIN(N8,$D$4-SUM(N9:N$15)))))*$D200)</f>
        <v>1035653.532</v>
      </c>
      <c r="O200" s="102">
        <f t="shared" si="186"/>
        <v>1582209.004</v>
      </c>
      <c r="P200" s="102">
        <f t="shared" si="186"/>
        <v>2681796.247</v>
      </c>
      <c r="Q200" s="102">
        <f t="shared" si="186"/>
        <v>4376691.475</v>
      </c>
      <c r="R200" s="102">
        <f t="shared" si="186"/>
        <v>7254366.119</v>
      </c>
      <c r="S200" s="102">
        <f t="shared" si="186"/>
        <v>12522151.98</v>
      </c>
      <c r="T200" s="102">
        <f t="shared" si="186"/>
        <v>19739465.03</v>
      </c>
      <c r="U200" s="102">
        <f t="shared" si="186"/>
        <v>26648277.79</v>
      </c>
      <c r="V200" s="102">
        <f t="shared" si="186"/>
        <v>27181243.34</v>
      </c>
      <c r="W200" s="102">
        <f t="shared" si="186"/>
        <v>40663140.04</v>
      </c>
      <c r="X200" s="102">
        <f t="shared" si="186"/>
        <v>50274427.69</v>
      </c>
      <c r="Y200" s="102">
        <f t="shared" si="186"/>
        <v>91021851.33</v>
      </c>
      <c r="Z200" s="102">
        <f t="shared" si="186"/>
        <v>126187053.9</v>
      </c>
      <c r="AA200" s="102">
        <f t="shared" si="186"/>
        <v>161388665.2</v>
      </c>
      <c r="AB200" s="102">
        <f t="shared" si="186"/>
        <v>185703668.2</v>
      </c>
      <c r="AC200" s="102">
        <f t="shared" si="186"/>
        <v>224803473.5</v>
      </c>
      <c r="AD200" s="102">
        <f t="shared" si="186"/>
        <v>247700123.6</v>
      </c>
      <c r="AE200" s="102">
        <f t="shared" si="186"/>
        <v>249044781.4</v>
      </c>
      <c r="AF200" s="102">
        <f t="shared" si="186"/>
        <v>200275316.4</v>
      </c>
      <c r="AG200" s="102">
        <f t="shared" si="186"/>
        <v>24784070.4</v>
      </c>
      <c r="AH200" s="102">
        <f t="shared" si="186"/>
        <v>0</v>
      </c>
      <c r="AI200" s="102">
        <f t="shared" si="186"/>
        <v>0</v>
      </c>
      <c r="AJ200" s="102">
        <f t="shared" si="186"/>
        <v>0</v>
      </c>
      <c r="AK200" s="102">
        <f t="shared" si="186"/>
        <v>0</v>
      </c>
      <c r="AL200" s="102">
        <f t="shared" si="186"/>
        <v>0</v>
      </c>
      <c r="AM200" s="102">
        <f t="shared" ref="AM200:AV200" si="187">$D200*AM8*AM$112</f>
        <v>0</v>
      </c>
      <c r="AN200" s="102">
        <f t="shared" si="187"/>
        <v>0</v>
      </c>
      <c r="AO200" s="102">
        <f t="shared" si="187"/>
        <v>0</v>
      </c>
      <c r="AP200" s="102">
        <f t="shared" si="187"/>
        <v>0</v>
      </c>
      <c r="AQ200" s="102" t="str">
        <f t="shared" si="187"/>
        <v>#REF!</v>
      </c>
      <c r="AR200" s="102" t="str">
        <f t="shared" si="187"/>
        <v>#REF!</v>
      </c>
      <c r="AS200" s="102" t="str">
        <f t="shared" si="187"/>
        <v>#REF!</v>
      </c>
      <c r="AT200" s="102" t="str">
        <f t="shared" si="187"/>
        <v>#REF!</v>
      </c>
      <c r="AU200" s="102" t="str">
        <f t="shared" si="187"/>
        <v>#REF!</v>
      </c>
      <c r="AV200" s="102">
        <f t="shared" si="187"/>
        <v>0</v>
      </c>
      <c r="AW200" s="90"/>
      <c r="AX200" s="90"/>
      <c r="AY200" s="90"/>
      <c r="AZ200" s="90"/>
      <c r="BA200" s="90"/>
      <c r="BB200" s="90"/>
      <c r="BC200" s="90"/>
      <c r="BD200" s="90"/>
      <c r="BE200" s="90"/>
      <c r="BF200" s="90"/>
      <c r="BG200" s="90"/>
      <c r="BH200" s="90"/>
      <c r="BI200" s="90"/>
      <c r="BJ200" s="90"/>
      <c r="BK200" s="90"/>
      <c r="BL200" s="90"/>
      <c r="BM200" s="90"/>
      <c r="BN200" s="90"/>
      <c r="BO200" s="90"/>
      <c r="BP200" s="90"/>
    </row>
    <row r="201" ht="12.75" customHeight="1" outlineLevel="1">
      <c r="A201" s="90" t="s">
        <v>289</v>
      </c>
      <c r="C201" s="102">
        <f>'RSGen 1-7'!J$339</f>
        <v>335903.6</v>
      </c>
      <c r="D201" s="102">
        <f>OFFSET(RSGen_Walton!$G$16,0,ROW(A201)-ROW($A$198))</f>
        <v>334153.6</v>
      </c>
      <c r="E201" s="102">
        <f>OFFSET(RSGen_none!$G$16,0,ROW(B201)-ROW($A$198))</f>
        <v>334153.6</v>
      </c>
      <c r="F201" s="102"/>
      <c r="G201" s="102"/>
      <c r="H201" s="313"/>
      <c r="I201" s="313"/>
      <c r="J201" s="313"/>
      <c r="K201" s="306"/>
      <c r="L201" s="306"/>
      <c r="M201" s="306"/>
      <c r="N201" s="306"/>
      <c r="O201" s="102">
        <f t="shared" ref="O201:AL201" si="188">O$112*(MAX(0,MIN(O9,SUM(O9:O$15)-$E$4))*$E201+MAX(0,MIN(O9,$D$4-SUM(O10:O$15)))*$C201+(O9-(MAX(0,MIN(O9,SUM(O9:O$15)-$E$4))+MAX(0,MIN(O9,$D$4-SUM(O10:O$15)))))*$D201)</f>
        <v>698948.2109</v>
      </c>
      <c r="P201" s="102">
        <f t="shared" si="188"/>
        <v>1067533.649</v>
      </c>
      <c r="Q201" s="102">
        <f t="shared" si="188"/>
        <v>1808493.015</v>
      </c>
      <c r="R201" s="102">
        <f t="shared" si="188"/>
        <v>2951460.601</v>
      </c>
      <c r="S201" s="102">
        <f t="shared" si="188"/>
        <v>4892045.946</v>
      </c>
      <c r="T201" s="102">
        <f t="shared" si="188"/>
        <v>8444423.924</v>
      </c>
      <c r="U201" s="102">
        <f t="shared" si="188"/>
        <v>13311482.8</v>
      </c>
      <c r="V201" s="102">
        <f t="shared" si="188"/>
        <v>17970501.79</v>
      </c>
      <c r="W201" s="102">
        <f t="shared" si="188"/>
        <v>18329911.82</v>
      </c>
      <c r="X201" s="102">
        <f t="shared" si="188"/>
        <v>27421548.09</v>
      </c>
      <c r="Y201" s="102">
        <f t="shared" si="188"/>
        <v>33903004.91</v>
      </c>
      <c r="Z201" s="102">
        <f t="shared" si="188"/>
        <v>61381390.38</v>
      </c>
      <c r="AA201" s="102">
        <f t="shared" si="188"/>
        <v>85095355.71</v>
      </c>
      <c r="AB201" s="102">
        <f t="shared" si="188"/>
        <v>108833873.6</v>
      </c>
      <c r="AC201" s="102">
        <f t="shared" si="188"/>
        <v>125230910.9</v>
      </c>
      <c r="AD201" s="102">
        <f t="shared" si="188"/>
        <v>151598210.4</v>
      </c>
      <c r="AE201" s="102">
        <f t="shared" si="188"/>
        <v>167038768.9</v>
      </c>
      <c r="AF201" s="102">
        <f t="shared" si="188"/>
        <v>167945550.7</v>
      </c>
      <c r="AG201" s="102">
        <f t="shared" si="188"/>
        <v>135057430.7</v>
      </c>
      <c r="AH201" s="102">
        <f t="shared" si="188"/>
        <v>16713357.05</v>
      </c>
      <c r="AI201" s="102">
        <f t="shared" si="188"/>
        <v>0</v>
      </c>
      <c r="AJ201" s="102">
        <f t="shared" si="188"/>
        <v>0</v>
      </c>
      <c r="AK201" s="102">
        <f t="shared" si="188"/>
        <v>0</v>
      </c>
      <c r="AL201" s="102">
        <f t="shared" si="188"/>
        <v>0</v>
      </c>
      <c r="AM201" s="102">
        <f t="shared" ref="AM201:AV201" si="189">$D201*AM9*AM$112</f>
        <v>0</v>
      </c>
      <c r="AN201" s="102">
        <f t="shared" si="189"/>
        <v>0</v>
      </c>
      <c r="AO201" s="102">
        <f t="shared" si="189"/>
        <v>0</v>
      </c>
      <c r="AP201" s="102">
        <f t="shared" si="189"/>
        <v>0</v>
      </c>
      <c r="AQ201" s="102">
        <f t="shared" si="189"/>
        <v>0</v>
      </c>
      <c r="AR201" s="102" t="str">
        <f t="shared" si="189"/>
        <v>#REF!</v>
      </c>
      <c r="AS201" s="102" t="str">
        <f t="shared" si="189"/>
        <v>#REF!</v>
      </c>
      <c r="AT201" s="102" t="str">
        <f t="shared" si="189"/>
        <v>#REF!</v>
      </c>
      <c r="AU201" s="102" t="str">
        <f t="shared" si="189"/>
        <v>#REF!</v>
      </c>
      <c r="AV201" s="102" t="str">
        <f t="shared" si="189"/>
        <v>#REF!</v>
      </c>
      <c r="AW201" s="90"/>
      <c r="AX201" s="90"/>
      <c r="AY201" s="90"/>
      <c r="AZ201" s="90"/>
      <c r="BA201" s="90"/>
      <c r="BB201" s="90"/>
      <c r="BC201" s="90"/>
      <c r="BD201" s="90"/>
      <c r="BE201" s="90"/>
      <c r="BF201" s="90"/>
      <c r="BG201" s="90"/>
      <c r="BH201" s="90"/>
      <c r="BI201" s="90"/>
      <c r="BJ201" s="90"/>
      <c r="BK201" s="90"/>
      <c r="BL201" s="90"/>
      <c r="BM201" s="90"/>
      <c r="BN201" s="90"/>
      <c r="BO201" s="90"/>
      <c r="BP201" s="90"/>
    </row>
    <row r="202" ht="12.75" customHeight="1" outlineLevel="1">
      <c r="A202" s="90" t="s">
        <v>290</v>
      </c>
      <c r="C202" s="102">
        <f>'RSGen 1-7'!K$339</f>
        <v>350000</v>
      </c>
      <c r="D202" s="102">
        <f>OFFSET(RSGen_Walton!$G$16,0,ROW(A202)-ROW($A$198))</f>
        <v>350750</v>
      </c>
      <c r="E202" s="102">
        <f>OFFSET(RSGen_none!$G$16,0,ROW(B202)-ROW($A$198))</f>
        <v>350750</v>
      </c>
      <c r="F202" s="102"/>
      <c r="G202" s="102"/>
      <c r="H202" s="313"/>
      <c r="I202" s="313"/>
      <c r="J202" s="313"/>
      <c r="K202" s="306"/>
      <c r="L202" s="306"/>
      <c r="M202" s="306"/>
      <c r="N202" s="306"/>
      <c r="O202" s="306"/>
      <c r="P202" s="102">
        <f t="shared" ref="P202:AL202" si="190">P$112*(MAX(0,MIN(P10,SUM(P10:P$15)-$E$4))*$E202+MAX(0,MIN(P10,$D$4-SUM(P11:P$15)))*$C202+(P10-(MAX(0,MIN(P10,SUM(P10:P$15)-$E$4))+MAX(0,MIN(P10,$D$4-SUM(P11:P$15)))))*$D202)</f>
        <v>742845.6</v>
      </c>
      <c r="Q202" s="102">
        <f t="shared" si="190"/>
        <v>1137365.592</v>
      </c>
      <c r="R202" s="102">
        <f t="shared" si="190"/>
        <v>1936281.709</v>
      </c>
      <c r="S202" s="102">
        <f t="shared" si="190"/>
        <v>3160011.748</v>
      </c>
      <c r="T202" s="102">
        <f t="shared" si="190"/>
        <v>5237719.473</v>
      </c>
      <c r="U202" s="102">
        <f t="shared" si="190"/>
        <v>9041109.614</v>
      </c>
      <c r="V202" s="102">
        <f t="shared" si="190"/>
        <v>14252076.43</v>
      </c>
      <c r="W202" s="102">
        <f t="shared" si="190"/>
        <v>19240303.18</v>
      </c>
      <c r="X202" s="102">
        <f t="shared" si="190"/>
        <v>19625109.24</v>
      </c>
      <c r="Y202" s="102">
        <f t="shared" si="190"/>
        <v>29359163.42</v>
      </c>
      <c r="Z202" s="102">
        <f t="shared" si="190"/>
        <v>36298602.05</v>
      </c>
      <c r="AA202" s="102">
        <f t="shared" si="190"/>
        <v>65718619.01</v>
      </c>
      <c r="AB202" s="102">
        <f t="shared" si="190"/>
        <v>91108220.7</v>
      </c>
      <c r="AC202" s="102">
        <f t="shared" si="190"/>
        <v>116524109.8</v>
      </c>
      <c r="AD202" s="102">
        <f t="shared" si="190"/>
        <v>134079767</v>
      </c>
      <c r="AE202" s="102">
        <f t="shared" si="190"/>
        <v>162310188.3</v>
      </c>
      <c r="AF202" s="102">
        <f t="shared" si="190"/>
        <v>178841781.6</v>
      </c>
      <c r="AG202" s="102">
        <f t="shared" si="190"/>
        <v>179812637</v>
      </c>
      <c r="AH202" s="102">
        <f t="shared" si="190"/>
        <v>144600631.9</v>
      </c>
      <c r="AI202" s="102">
        <f t="shared" si="190"/>
        <v>17894328.19</v>
      </c>
      <c r="AJ202" s="102">
        <f t="shared" si="190"/>
        <v>0</v>
      </c>
      <c r="AK202" s="102">
        <f t="shared" si="190"/>
        <v>0</v>
      </c>
      <c r="AL202" s="102">
        <f t="shared" si="190"/>
        <v>0</v>
      </c>
      <c r="AM202" s="102">
        <f t="shared" ref="AM202:AV202" si="191">$D202*AM10*AM$112</f>
        <v>0</v>
      </c>
      <c r="AN202" s="102">
        <f t="shared" si="191"/>
        <v>0</v>
      </c>
      <c r="AO202" s="102">
        <f t="shared" si="191"/>
        <v>0</v>
      </c>
      <c r="AP202" s="102">
        <f t="shared" si="191"/>
        <v>0</v>
      </c>
      <c r="AQ202" s="102">
        <f t="shared" si="191"/>
        <v>0</v>
      </c>
      <c r="AR202" s="102">
        <f t="shared" si="191"/>
        <v>0</v>
      </c>
      <c r="AS202" s="102" t="str">
        <f t="shared" si="191"/>
        <v>#REF!</v>
      </c>
      <c r="AT202" s="102" t="str">
        <f t="shared" si="191"/>
        <v>#REF!</v>
      </c>
      <c r="AU202" s="102" t="str">
        <f t="shared" si="191"/>
        <v>#REF!</v>
      </c>
      <c r="AV202" s="102" t="str">
        <f t="shared" si="191"/>
        <v>#REF!</v>
      </c>
      <c r="AW202" s="90"/>
      <c r="AX202" s="90"/>
      <c r="AY202" s="90"/>
      <c r="AZ202" s="90"/>
      <c r="BA202" s="90"/>
      <c r="BB202" s="90"/>
      <c r="BC202" s="90"/>
      <c r="BD202" s="90"/>
      <c r="BE202" s="90"/>
      <c r="BF202" s="90"/>
      <c r="BG202" s="90"/>
      <c r="BH202" s="90"/>
      <c r="BI202" s="90"/>
      <c r="BJ202" s="90"/>
      <c r="BK202" s="90"/>
      <c r="BL202" s="90"/>
      <c r="BM202" s="90"/>
      <c r="BN202" s="90"/>
      <c r="BO202" s="90"/>
      <c r="BP202" s="90"/>
    </row>
    <row r="203" ht="12.75" customHeight="1" outlineLevel="1">
      <c r="A203" s="90" t="s">
        <v>291</v>
      </c>
      <c r="C203" s="102">
        <f>'RSGen 1-7'!L$339</f>
        <v>338700</v>
      </c>
      <c r="D203" s="102">
        <f>OFFSET(RSGen_Walton!$G$16,0,ROW(A203)-ROW($A$198))</f>
        <v>338700</v>
      </c>
      <c r="E203" s="102">
        <f>OFFSET(RSGen_none!$G$16,0,ROW(B203)-ROW($A$198))</f>
        <v>338700</v>
      </c>
      <c r="F203" s="102"/>
      <c r="G203" s="102"/>
      <c r="H203" s="313"/>
      <c r="I203" s="313"/>
      <c r="J203" s="313"/>
      <c r="K203" s="306"/>
      <c r="L203" s="306"/>
      <c r="M203" s="306"/>
      <c r="N203" s="306"/>
      <c r="O203" s="306"/>
      <c r="P203" s="306"/>
      <c r="Q203" s="102">
        <f t="shared" ref="Q203:AL203" si="192">Q$112*(MAX(0,MIN(Q11,SUM(Q11:Q$15)-$E$4))*$E203+MAX(0,MIN(Q11,$D$4-SUM(Q12:Q$15)))*$C203+(Q11-(MAX(0,MIN(Q11,SUM(Q11:Q$15)-$E$4))+MAX(0,MIN(Q11,$D$4-SUM(Q12:Q$15)))))*$D203)</f>
        <v>733239.5452</v>
      </c>
      <c r="R203" s="102">
        <f t="shared" si="192"/>
        <v>1121856.504</v>
      </c>
      <c r="S203" s="102">
        <f t="shared" si="192"/>
        <v>1907156.057</v>
      </c>
      <c r="T203" s="102">
        <f t="shared" si="192"/>
        <v>3112478.685</v>
      </c>
      <c r="U203" s="102">
        <f t="shared" si="192"/>
        <v>5158933.42</v>
      </c>
      <c r="V203" s="102">
        <f t="shared" si="192"/>
        <v>8905112.766</v>
      </c>
      <c r="W203" s="102">
        <f t="shared" si="192"/>
        <v>14037695.94</v>
      </c>
      <c r="X203" s="102">
        <f t="shared" si="192"/>
        <v>18950889.52</v>
      </c>
      <c r="Y203" s="102">
        <f t="shared" si="192"/>
        <v>19329907.31</v>
      </c>
      <c r="Z203" s="102">
        <f t="shared" si="192"/>
        <v>28917541.34</v>
      </c>
      <c r="AA203" s="102">
        <f t="shared" si="192"/>
        <v>35752596.56</v>
      </c>
      <c r="AB203" s="102">
        <f t="shared" si="192"/>
        <v>64730076.08</v>
      </c>
      <c r="AC203" s="102">
        <f t="shared" si="192"/>
        <v>89737766.03</v>
      </c>
      <c r="AD203" s="102">
        <f t="shared" si="192"/>
        <v>114771348</v>
      </c>
      <c r="AE203" s="102">
        <f t="shared" si="192"/>
        <v>132062932.1</v>
      </c>
      <c r="AF203" s="102">
        <f t="shared" si="192"/>
        <v>159868709.9</v>
      </c>
      <c r="AG203" s="102">
        <f t="shared" si="192"/>
        <v>176151634.1</v>
      </c>
      <c r="AH203" s="102">
        <f t="shared" si="192"/>
        <v>177107885.8</v>
      </c>
      <c r="AI203" s="102">
        <f t="shared" si="192"/>
        <v>142425541.5</v>
      </c>
      <c r="AJ203" s="102">
        <f t="shared" si="192"/>
        <v>17625160.77</v>
      </c>
      <c r="AK203" s="102">
        <f t="shared" si="192"/>
        <v>0</v>
      </c>
      <c r="AL203" s="102">
        <f t="shared" si="192"/>
        <v>0</v>
      </c>
      <c r="AM203" s="102">
        <f t="shared" ref="AM203:AV203" si="193">$D203*AM11*AM$112</f>
        <v>0</v>
      </c>
      <c r="AN203" s="102">
        <f t="shared" si="193"/>
        <v>0</v>
      </c>
      <c r="AO203" s="102">
        <f t="shared" si="193"/>
        <v>0</v>
      </c>
      <c r="AP203" s="102">
        <f t="shared" si="193"/>
        <v>0</v>
      </c>
      <c r="AQ203" s="102">
        <f t="shared" si="193"/>
        <v>0</v>
      </c>
      <c r="AR203" s="102">
        <f t="shared" si="193"/>
        <v>0</v>
      </c>
      <c r="AS203" s="102">
        <f t="shared" si="193"/>
        <v>0</v>
      </c>
      <c r="AT203" s="102" t="str">
        <f t="shared" si="193"/>
        <v>#REF!</v>
      </c>
      <c r="AU203" s="102" t="str">
        <f t="shared" si="193"/>
        <v>#REF!</v>
      </c>
      <c r="AV203" s="102" t="str">
        <f t="shared" si="193"/>
        <v>#REF!</v>
      </c>
      <c r="AW203" s="90"/>
      <c r="AX203" s="90"/>
      <c r="AY203" s="90"/>
      <c r="AZ203" s="90"/>
      <c r="BA203" s="90"/>
      <c r="BB203" s="90"/>
      <c r="BC203" s="90"/>
      <c r="BD203" s="90"/>
      <c r="BE203" s="90"/>
      <c r="BF203" s="90"/>
      <c r="BG203" s="90"/>
      <c r="BH203" s="90"/>
      <c r="BI203" s="90"/>
      <c r="BJ203" s="90"/>
      <c r="BK203" s="90"/>
      <c r="BL203" s="90"/>
      <c r="BM203" s="90"/>
      <c r="BN203" s="90"/>
      <c r="BO203" s="90"/>
      <c r="BP203" s="90"/>
    </row>
    <row r="204" ht="12.75" customHeight="1" outlineLevel="1">
      <c r="A204" s="90" t="s">
        <v>292</v>
      </c>
      <c r="C204" s="102">
        <f>'RSGen 1-7'!M$339</f>
        <v>338700</v>
      </c>
      <c r="D204" s="102">
        <f>OFFSET(RSGen_Walton!$G$16,0,ROW(A204)-ROW($A$198))</f>
        <v>338700</v>
      </c>
      <c r="E204" s="102">
        <f>OFFSET(RSGen_none!$G$16,0,ROW(B204)-ROW($A$198))</f>
        <v>338700</v>
      </c>
      <c r="F204" s="102"/>
      <c r="G204" s="102"/>
      <c r="H204" s="313"/>
      <c r="I204" s="313"/>
      <c r="J204" s="313"/>
      <c r="K204" s="306"/>
      <c r="L204" s="306"/>
      <c r="M204" s="306"/>
      <c r="N204" s="306"/>
      <c r="O204" s="306"/>
      <c r="P204" s="306"/>
      <c r="Q204" s="306"/>
      <c r="R204" s="102">
        <f t="shared" ref="R204:AL204" si="194">R$112*(MAX(0,MIN(R12,SUM(R12:R$15)-$E$4))*$E204+MAX(0,MIN(R12,$D$4-SUM(R13:R$15)))*$C204+(R12-(MAX(0,MIN(R12,SUM(R12:R$15)-$E$4))+MAX(0,MIN(R12,$D$4-SUM(R13:R$15)))))*$D204)</f>
        <v>747904.3361</v>
      </c>
      <c r="S204" s="102">
        <f t="shared" si="194"/>
        <v>1144293.634</v>
      </c>
      <c r="T204" s="102">
        <f t="shared" si="194"/>
        <v>1945299.178</v>
      </c>
      <c r="U204" s="102">
        <f t="shared" si="194"/>
        <v>3174728.259</v>
      </c>
      <c r="V204" s="102">
        <f t="shared" si="194"/>
        <v>5262112.089</v>
      </c>
      <c r="W204" s="102">
        <f t="shared" si="194"/>
        <v>9083215.021</v>
      </c>
      <c r="X204" s="102">
        <f t="shared" si="194"/>
        <v>14318449.86</v>
      </c>
      <c r="Y204" s="102">
        <f t="shared" si="194"/>
        <v>19329907.31</v>
      </c>
      <c r="Z204" s="102">
        <f t="shared" si="194"/>
        <v>19716505.46</v>
      </c>
      <c r="AA204" s="102">
        <f t="shared" si="194"/>
        <v>29495892.17</v>
      </c>
      <c r="AB204" s="102">
        <f t="shared" si="194"/>
        <v>36467648.5</v>
      </c>
      <c r="AC204" s="102">
        <f t="shared" si="194"/>
        <v>66024677.6</v>
      </c>
      <c r="AD204" s="102">
        <f t="shared" si="194"/>
        <v>91532521.36</v>
      </c>
      <c r="AE204" s="102">
        <f t="shared" si="194"/>
        <v>117066775</v>
      </c>
      <c r="AF204" s="102">
        <f t="shared" si="194"/>
        <v>134704190.7</v>
      </c>
      <c r="AG204" s="102">
        <f t="shared" si="194"/>
        <v>163066084.1</v>
      </c>
      <c r="AH204" s="102">
        <f t="shared" si="194"/>
        <v>179674666.7</v>
      </c>
      <c r="AI204" s="102">
        <f t="shared" si="194"/>
        <v>180650043.5</v>
      </c>
      <c r="AJ204" s="102">
        <f t="shared" si="194"/>
        <v>145274052.4</v>
      </c>
      <c r="AK204" s="102">
        <f t="shared" si="194"/>
        <v>17977663.98</v>
      </c>
      <c r="AL204" s="102">
        <f t="shared" si="194"/>
        <v>0</v>
      </c>
      <c r="AM204" s="102">
        <f t="shared" ref="AM204:AV204" si="195">$D204*AM12*AM$112</f>
        <v>0</v>
      </c>
      <c r="AN204" s="102">
        <f t="shared" si="195"/>
        <v>0</v>
      </c>
      <c r="AO204" s="102">
        <f t="shared" si="195"/>
        <v>0</v>
      </c>
      <c r="AP204" s="102">
        <f t="shared" si="195"/>
        <v>0</v>
      </c>
      <c r="AQ204" s="102">
        <f t="shared" si="195"/>
        <v>0</v>
      </c>
      <c r="AR204" s="102">
        <f t="shared" si="195"/>
        <v>0</v>
      </c>
      <c r="AS204" s="102">
        <f t="shared" si="195"/>
        <v>0</v>
      </c>
      <c r="AT204" s="102">
        <f t="shared" si="195"/>
        <v>0</v>
      </c>
      <c r="AU204" s="102" t="str">
        <f t="shared" si="195"/>
        <v>#REF!</v>
      </c>
      <c r="AV204" s="102" t="str">
        <f t="shared" si="195"/>
        <v>#REF!</v>
      </c>
      <c r="AW204" s="90"/>
      <c r="AX204" s="90"/>
      <c r="AY204" s="90"/>
      <c r="AZ204" s="90"/>
      <c r="BA204" s="90"/>
      <c r="BB204" s="90"/>
      <c r="BC204" s="90"/>
      <c r="BD204" s="90"/>
      <c r="BE204" s="90"/>
      <c r="BF204" s="90"/>
      <c r="BG204" s="90"/>
      <c r="BH204" s="90"/>
      <c r="BI204" s="90"/>
      <c r="BJ204" s="90"/>
      <c r="BK204" s="90"/>
      <c r="BL204" s="90"/>
      <c r="BM204" s="90"/>
      <c r="BN204" s="90"/>
      <c r="BO204" s="90"/>
      <c r="BP204" s="90"/>
    </row>
    <row r="205" ht="12.75" customHeight="1" outlineLevel="1">
      <c r="A205" s="90" t="s">
        <v>293</v>
      </c>
      <c r="C205" s="102">
        <f>'RSGen 1-7'!N$339</f>
        <v>338700</v>
      </c>
      <c r="D205" s="102">
        <f>OFFSET(RSGen_Walton!$G$16,0,ROW(A205)-ROW($A$198))</f>
        <v>338700</v>
      </c>
      <c r="E205" s="102">
        <f>OFFSET(RSGen_none!$G$16,0,ROW(B205)-ROW($A$198))</f>
        <v>338700</v>
      </c>
      <c r="F205" s="102"/>
      <c r="G205" s="102"/>
      <c r="H205" s="313"/>
      <c r="I205" s="313"/>
      <c r="J205" s="313"/>
      <c r="K205" s="306"/>
      <c r="L205" s="306"/>
      <c r="M205" s="306"/>
      <c r="N205" s="306"/>
      <c r="O205" s="306"/>
      <c r="P205" s="306"/>
      <c r="Q205" s="306"/>
      <c r="R205" s="306"/>
      <c r="S205" s="102">
        <f t="shared" ref="S205:AL205" si="196">S$112*(MAX(0,MIN(S13,SUM(S13:S$15)-$E$4))*$E205+MAX(0,MIN(S13,$D$4-SUM(S14:S$15)))*$C205+(S13-(MAX(0,MIN(S13,SUM(S13:S$15)-$E$4))+MAX(0,MIN(S13,$D$4-SUM(S14:S$15)))))*$D205)</f>
        <v>762862.4228</v>
      </c>
      <c r="T205" s="102">
        <f t="shared" si="196"/>
        <v>1167179.507</v>
      </c>
      <c r="U205" s="102">
        <f t="shared" si="196"/>
        <v>1984205.162</v>
      </c>
      <c r="V205" s="102">
        <f t="shared" si="196"/>
        <v>3238222.824</v>
      </c>
      <c r="W205" s="102">
        <f t="shared" si="196"/>
        <v>5367354.331</v>
      </c>
      <c r="X205" s="102">
        <f t="shared" si="196"/>
        <v>9264879.322</v>
      </c>
      <c r="Y205" s="102">
        <f t="shared" si="196"/>
        <v>14604818.86</v>
      </c>
      <c r="Z205" s="102">
        <f t="shared" si="196"/>
        <v>19716505.46</v>
      </c>
      <c r="AA205" s="102">
        <f t="shared" si="196"/>
        <v>20110835.57</v>
      </c>
      <c r="AB205" s="102">
        <f t="shared" si="196"/>
        <v>30085810.01</v>
      </c>
      <c r="AC205" s="102">
        <f t="shared" si="196"/>
        <v>37197001.47</v>
      </c>
      <c r="AD205" s="102">
        <f t="shared" si="196"/>
        <v>67345171.15</v>
      </c>
      <c r="AE205" s="102">
        <f t="shared" si="196"/>
        <v>93363171.78</v>
      </c>
      <c r="AF205" s="102">
        <f t="shared" si="196"/>
        <v>119408110.5</v>
      </c>
      <c r="AG205" s="102">
        <f t="shared" si="196"/>
        <v>137398274.6</v>
      </c>
      <c r="AH205" s="102">
        <f t="shared" si="196"/>
        <v>166327405.8</v>
      </c>
      <c r="AI205" s="102">
        <f t="shared" si="196"/>
        <v>183268160.1</v>
      </c>
      <c r="AJ205" s="102">
        <f t="shared" si="196"/>
        <v>184263044.4</v>
      </c>
      <c r="AK205" s="102">
        <f t="shared" si="196"/>
        <v>148179533.4</v>
      </c>
      <c r="AL205" s="102">
        <f t="shared" si="196"/>
        <v>18337217.26</v>
      </c>
      <c r="AM205" s="102">
        <f t="shared" ref="AM205:AV205" si="197">$D205*AM13*AM$112</f>
        <v>0</v>
      </c>
      <c r="AN205" s="102">
        <f t="shared" si="197"/>
        <v>0</v>
      </c>
      <c r="AO205" s="102">
        <f t="shared" si="197"/>
        <v>0</v>
      </c>
      <c r="AP205" s="102">
        <f t="shared" si="197"/>
        <v>0</v>
      </c>
      <c r="AQ205" s="102">
        <f t="shared" si="197"/>
        <v>0</v>
      </c>
      <c r="AR205" s="102">
        <f t="shared" si="197"/>
        <v>0</v>
      </c>
      <c r="AS205" s="102">
        <f t="shared" si="197"/>
        <v>0</v>
      </c>
      <c r="AT205" s="102">
        <f t="shared" si="197"/>
        <v>0</v>
      </c>
      <c r="AU205" s="102">
        <f t="shared" si="197"/>
        <v>0</v>
      </c>
      <c r="AV205" s="102" t="str">
        <f t="shared" si="197"/>
        <v>#REF!</v>
      </c>
      <c r="AW205" s="90"/>
      <c r="AX205" s="90"/>
      <c r="AY205" s="90"/>
      <c r="AZ205" s="90"/>
      <c r="BA205" s="90"/>
      <c r="BB205" s="90"/>
      <c r="BC205" s="90"/>
      <c r="BD205" s="90"/>
      <c r="BE205" s="90"/>
      <c r="BF205" s="90"/>
      <c r="BG205" s="90"/>
      <c r="BH205" s="90"/>
      <c r="BI205" s="90"/>
      <c r="BJ205" s="90"/>
      <c r="BK205" s="90"/>
      <c r="BL205" s="90"/>
      <c r="BM205" s="90"/>
      <c r="BN205" s="90"/>
      <c r="BO205" s="90"/>
      <c r="BP205" s="90"/>
    </row>
    <row r="206" ht="12.75" customHeight="1" outlineLevel="1">
      <c r="A206" s="90" t="s">
        <v>294</v>
      </c>
      <c r="C206" s="102">
        <f>'RSGen 1-7'!O$339</f>
        <v>338700</v>
      </c>
      <c r="D206" s="102">
        <f>OFFSET(RSGen_Walton!$G$16,0,ROW(A206)-ROW($A$198))</f>
        <v>338700</v>
      </c>
      <c r="E206" s="102">
        <f>OFFSET(RSGen_none!$G$16,0,ROW(B206)-ROW($A$198))</f>
        <v>338700</v>
      </c>
      <c r="F206" s="102"/>
      <c r="G206" s="102"/>
      <c r="H206" s="313"/>
      <c r="I206" s="313"/>
      <c r="J206" s="313"/>
      <c r="K206" s="306"/>
      <c r="L206" s="306"/>
      <c r="M206" s="306"/>
      <c r="N206" s="306"/>
      <c r="O206" s="306"/>
      <c r="P206" s="306"/>
      <c r="Q206" s="306"/>
      <c r="R206" s="306"/>
      <c r="S206" s="306"/>
      <c r="T206" s="102">
        <f t="shared" ref="T206:AL206" si="198">T$112*(MAX(0,MIN(T14,SUM(T14:T$15)-$E$4))*$E206+MAX(0,MIN(T14,$D$4-SUM(T$15:T15)))*$C206+(T14-(MAX(0,MIN(T14,SUM(T14:T$15)-$E$4))+MAX(0,MIN(T14,$D$4-SUM(T$15:T15)))))*$D206)</f>
        <v>778119.6713</v>
      </c>
      <c r="U206" s="102">
        <f t="shared" si="198"/>
        <v>1190523.097</v>
      </c>
      <c r="V206" s="102">
        <f t="shared" si="198"/>
        <v>2023889.265</v>
      </c>
      <c r="W206" s="102">
        <f t="shared" si="198"/>
        <v>3302987.28</v>
      </c>
      <c r="X206" s="102">
        <f t="shared" si="198"/>
        <v>5474701.417</v>
      </c>
      <c r="Y206" s="102">
        <f t="shared" si="198"/>
        <v>9450176.908</v>
      </c>
      <c r="Z206" s="102">
        <f t="shared" si="198"/>
        <v>14896915.23</v>
      </c>
      <c r="AA206" s="102">
        <f t="shared" si="198"/>
        <v>20110835.57</v>
      </c>
      <c r="AB206" s="102">
        <f t="shared" si="198"/>
        <v>20513052.28</v>
      </c>
      <c r="AC206" s="102">
        <f t="shared" si="198"/>
        <v>30687526.21</v>
      </c>
      <c r="AD206" s="102">
        <f t="shared" si="198"/>
        <v>37940941.49</v>
      </c>
      <c r="AE206" s="102">
        <f t="shared" si="198"/>
        <v>68692074.58</v>
      </c>
      <c r="AF206" s="102">
        <f t="shared" si="198"/>
        <v>95230435.22</v>
      </c>
      <c r="AG206" s="102">
        <f t="shared" si="198"/>
        <v>121796272.7</v>
      </c>
      <c r="AH206" s="102">
        <f t="shared" si="198"/>
        <v>140146240.1</v>
      </c>
      <c r="AI206" s="102">
        <f t="shared" si="198"/>
        <v>169653953.9</v>
      </c>
      <c r="AJ206" s="102">
        <f t="shared" si="198"/>
        <v>186933523.3</v>
      </c>
      <c r="AK206" s="102">
        <f t="shared" si="198"/>
        <v>187948305.3</v>
      </c>
      <c r="AL206" s="102">
        <f t="shared" si="198"/>
        <v>151143124.1</v>
      </c>
      <c r="AM206" s="102">
        <f t="shared" ref="AM206:AV206" si="199">$D206*AM14*AM$112</f>
        <v>18703961.61</v>
      </c>
      <c r="AN206" s="102">
        <f t="shared" si="199"/>
        <v>0</v>
      </c>
      <c r="AO206" s="102">
        <f t="shared" si="199"/>
        <v>0</v>
      </c>
      <c r="AP206" s="102">
        <f t="shared" si="199"/>
        <v>0</v>
      </c>
      <c r="AQ206" s="102">
        <f t="shared" si="199"/>
        <v>0</v>
      </c>
      <c r="AR206" s="102">
        <f t="shared" si="199"/>
        <v>0</v>
      </c>
      <c r="AS206" s="102">
        <f t="shared" si="199"/>
        <v>0</v>
      </c>
      <c r="AT206" s="102">
        <f t="shared" si="199"/>
        <v>0</v>
      </c>
      <c r="AU206" s="102">
        <f t="shared" si="199"/>
        <v>0</v>
      </c>
      <c r="AV206" s="102">
        <f t="shared" si="199"/>
        <v>0</v>
      </c>
      <c r="AW206" s="90"/>
      <c r="AX206" s="90"/>
      <c r="AY206" s="90"/>
      <c r="AZ206" s="90"/>
      <c r="BA206" s="90"/>
      <c r="BB206" s="90"/>
      <c r="BC206" s="90"/>
      <c r="BD206" s="90"/>
      <c r="BE206" s="90"/>
      <c r="BF206" s="90"/>
      <c r="BG206" s="90"/>
      <c r="BH206" s="90"/>
      <c r="BI206" s="90"/>
      <c r="BJ206" s="90"/>
      <c r="BK206" s="90"/>
      <c r="BL206" s="90"/>
      <c r="BM206" s="90"/>
      <c r="BN206" s="90"/>
      <c r="BO206" s="90"/>
      <c r="BP206" s="90"/>
    </row>
    <row r="207" ht="12.75" customHeight="1" outlineLevel="1">
      <c r="A207" s="90" t="s">
        <v>595</v>
      </c>
      <c r="C207" s="102">
        <f>'RSGen 1-7'!P$339</f>
        <v>338700</v>
      </c>
      <c r="D207" s="102">
        <f>OFFSET(RSGen_Walton!$G$16,0,ROW(A207)-ROW($A$198))</f>
        <v>338700</v>
      </c>
      <c r="E207" s="102">
        <f>OFFSET(RSGen_none!$G$16,0,ROW(B207)-ROW($A$198))</f>
        <v>338700</v>
      </c>
      <c r="F207" s="102"/>
      <c r="G207" s="102"/>
      <c r="H207" s="313"/>
      <c r="I207" s="313"/>
      <c r="J207" s="313"/>
      <c r="K207" s="306"/>
      <c r="L207" s="306"/>
      <c r="M207" s="306"/>
      <c r="N207" s="306"/>
      <c r="O207" s="306"/>
      <c r="P207" s="306"/>
      <c r="Q207" s="315"/>
      <c r="R207" s="315"/>
      <c r="S207" s="315"/>
      <c r="T207" s="315"/>
      <c r="U207" s="102">
        <f t="shared" ref="U207:AL207" si="200">U$112*($C207*MIN($D$4-3,U15-3)+$D207*MIN($E$4-$D$4,MAX(0,U15-$D$4))+$E207*MAX(0,U15-$E$4))</f>
        <v>793682.0647</v>
      </c>
      <c r="V207" s="102">
        <f t="shared" si="200"/>
        <v>2023889.265</v>
      </c>
      <c r="W207" s="102">
        <f t="shared" si="200"/>
        <v>4128734.101</v>
      </c>
      <c r="X207" s="102">
        <f t="shared" si="200"/>
        <v>7580355.809</v>
      </c>
      <c r="Y207" s="102">
        <f t="shared" si="200"/>
        <v>13316158.37</v>
      </c>
      <c r="Z207" s="102">
        <f t="shared" si="200"/>
        <v>23221661.98</v>
      </c>
      <c r="AA207" s="102">
        <f t="shared" si="200"/>
        <v>38880948.76</v>
      </c>
      <c r="AB207" s="102">
        <f t="shared" si="200"/>
        <v>60171620.02</v>
      </c>
      <c r="AC207" s="102">
        <f t="shared" si="200"/>
        <v>82298365.74</v>
      </c>
      <c r="AD207" s="102">
        <f t="shared" si="200"/>
        <v>115245609.8</v>
      </c>
      <c r="AE207" s="102">
        <f t="shared" si="200"/>
        <v>156250282.3</v>
      </c>
      <c r="AF207" s="102">
        <f t="shared" si="200"/>
        <v>229441204</v>
      </c>
      <c r="AG207" s="102">
        <f t="shared" si="200"/>
        <v>331165072</v>
      </c>
      <c r="AH207" s="102">
        <f t="shared" si="200"/>
        <v>462020571.6</v>
      </c>
      <c r="AI207" s="102">
        <f t="shared" si="200"/>
        <v>614210147.9</v>
      </c>
      <c r="AJ207" s="102">
        <f t="shared" si="200"/>
        <v>799541383.8</v>
      </c>
      <c r="AK207" s="102">
        <f t="shared" si="200"/>
        <v>1006204405</v>
      </c>
      <c r="AL207" s="102">
        <f t="shared" si="200"/>
        <v>1218035765</v>
      </c>
      <c r="AM207" s="93">
        <f t="shared" ref="AM207:AV207" si="201">$C207*(4)*AM$112+$D207*(AM15-7)*AM$112</f>
        <v>1396562467</v>
      </c>
      <c r="AN207" s="93">
        <f t="shared" si="201"/>
        <v>1443571757</v>
      </c>
      <c r="AO207" s="93">
        <f t="shared" si="201"/>
        <v>1472443192</v>
      </c>
      <c r="AP207" s="93">
        <f t="shared" si="201"/>
        <v>1501892056</v>
      </c>
      <c r="AQ207" s="93">
        <f t="shared" si="201"/>
        <v>1531929897</v>
      </c>
      <c r="AR207" s="93">
        <f t="shared" si="201"/>
        <v>1562568495</v>
      </c>
      <c r="AS207" s="93">
        <f t="shared" si="201"/>
        <v>1593819865</v>
      </c>
      <c r="AT207" s="93">
        <f t="shared" si="201"/>
        <v>1625696262</v>
      </c>
      <c r="AU207" s="93">
        <f t="shared" si="201"/>
        <v>1658210187</v>
      </c>
      <c r="AV207" s="93">
        <f t="shared" si="201"/>
        <v>1691374391</v>
      </c>
      <c r="AW207" s="93"/>
      <c r="AX207" s="93"/>
      <c r="AY207" s="93"/>
      <c r="AZ207" s="93"/>
      <c r="BA207" s="90"/>
      <c r="BB207" s="90"/>
      <c r="BC207" s="90"/>
      <c r="BD207" s="90"/>
      <c r="BE207" s="90"/>
      <c r="BF207" s="90"/>
      <c r="BG207" s="90"/>
      <c r="BH207" s="90"/>
      <c r="BI207" s="90"/>
      <c r="BJ207" s="90"/>
      <c r="BK207" s="90"/>
      <c r="BL207" s="90"/>
      <c r="BM207" s="90"/>
      <c r="BN207" s="90"/>
      <c r="BO207" s="90"/>
      <c r="BP207" s="90"/>
    </row>
    <row r="208" ht="12.75" customHeight="1" outlineLevel="1">
      <c r="A208" s="143" t="s">
        <v>598</v>
      </c>
      <c r="B208" s="143"/>
      <c r="C208" s="309"/>
      <c r="D208" s="309"/>
      <c r="E208" s="309"/>
      <c r="F208" s="309"/>
      <c r="G208" s="309"/>
      <c r="H208" s="314"/>
      <c r="I208" s="314"/>
      <c r="J208" s="314"/>
      <c r="K208" s="311"/>
      <c r="L208" s="309">
        <f t="shared" ref="L208:AV208" si="202">SUM(L198:L207)</f>
        <v>0</v>
      </c>
      <c r="M208" s="309">
        <f t="shared" si="202"/>
        <v>7900</v>
      </c>
      <c r="N208" s="309">
        <f t="shared" si="202"/>
        <v>1047740.532</v>
      </c>
      <c r="O208" s="309">
        <f t="shared" si="202"/>
        <v>2301705.115</v>
      </c>
      <c r="P208" s="309">
        <f t="shared" si="202"/>
        <v>4525709.668</v>
      </c>
      <c r="Q208" s="146">
        <f t="shared" si="202"/>
        <v>8111372.518</v>
      </c>
      <c r="R208" s="146">
        <f t="shared" si="202"/>
        <v>14107813.89</v>
      </c>
      <c r="S208" s="146">
        <f t="shared" si="202"/>
        <v>24539765.4</v>
      </c>
      <c r="T208" s="146">
        <f t="shared" si="202"/>
        <v>40628864.34</v>
      </c>
      <c r="U208" s="146">
        <f t="shared" si="202"/>
        <v>61511204.66</v>
      </c>
      <c r="V208" s="146">
        <f t="shared" si="202"/>
        <v>81168608.4</v>
      </c>
      <c r="W208" s="146">
        <f t="shared" si="202"/>
        <v>114538544</v>
      </c>
      <c r="X208" s="146">
        <f t="shared" si="202"/>
        <v>153607769.6</v>
      </c>
      <c r="Y208" s="146">
        <f t="shared" si="202"/>
        <v>231281832.5</v>
      </c>
      <c r="Z208" s="146">
        <f t="shared" si="202"/>
        <v>331572734.4</v>
      </c>
      <c r="AA208" s="146">
        <f t="shared" si="202"/>
        <v>457976608.5</v>
      </c>
      <c r="AB208" s="146">
        <f t="shared" si="202"/>
        <v>599336411.7</v>
      </c>
      <c r="AC208" s="146">
        <f t="shared" si="202"/>
        <v>774401707.6</v>
      </c>
      <c r="AD208" s="146">
        <f t="shared" si="202"/>
        <v>962121871.8</v>
      </c>
      <c r="AE208" s="146">
        <f t="shared" si="202"/>
        <v>1147363482</v>
      </c>
      <c r="AF208" s="146">
        <f t="shared" si="202"/>
        <v>1285905194</v>
      </c>
      <c r="AG208" s="146">
        <f t="shared" si="202"/>
        <v>1269231476</v>
      </c>
      <c r="AH208" s="146">
        <f t="shared" si="202"/>
        <v>1286590759</v>
      </c>
      <c r="AI208" s="146">
        <f t="shared" si="202"/>
        <v>1308102175</v>
      </c>
      <c r="AJ208" s="146">
        <f t="shared" si="202"/>
        <v>1333637165</v>
      </c>
      <c r="AK208" s="146">
        <f t="shared" si="202"/>
        <v>1360309908</v>
      </c>
      <c r="AL208" s="146">
        <f t="shared" si="202"/>
        <v>1387516106</v>
      </c>
      <c r="AM208" s="146">
        <f t="shared" si="202"/>
        <v>1415266428</v>
      </c>
      <c r="AN208" s="146">
        <f t="shared" si="202"/>
        <v>1443571757</v>
      </c>
      <c r="AO208" s="146" t="str">
        <f t="shared" si="202"/>
        <v>#REF!</v>
      </c>
      <c r="AP208" s="146" t="str">
        <f t="shared" si="202"/>
        <v>#REF!</v>
      </c>
      <c r="AQ208" s="146" t="str">
        <f t="shared" si="202"/>
        <v>#REF!</v>
      </c>
      <c r="AR208" s="146" t="str">
        <f t="shared" si="202"/>
        <v>#REF!</v>
      </c>
      <c r="AS208" s="146" t="str">
        <f t="shared" si="202"/>
        <v>#REF!</v>
      </c>
      <c r="AT208" s="146" t="str">
        <f t="shared" si="202"/>
        <v>#REF!</v>
      </c>
      <c r="AU208" s="146" t="str">
        <f t="shared" si="202"/>
        <v>#REF!</v>
      </c>
      <c r="AV208" s="146" t="str">
        <f t="shared" si="202"/>
        <v>#REF!</v>
      </c>
      <c r="AW208" s="93"/>
      <c r="AX208" s="93"/>
      <c r="AY208" s="93"/>
      <c r="AZ208" s="93"/>
      <c r="BA208" s="90"/>
      <c r="BB208" s="90"/>
      <c r="BC208" s="90"/>
      <c r="BD208" s="90"/>
      <c r="BE208" s="90"/>
      <c r="BF208" s="90"/>
      <c r="BG208" s="90"/>
      <c r="BH208" s="90"/>
      <c r="BI208" s="90"/>
      <c r="BJ208" s="90"/>
      <c r="BK208" s="90"/>
      <c r="BL208" s="90"/>
      <c r="BM208" s="90"/>
      <c r="BN208" s="90"/>
      <c r="BO208" s="90"/>
      <c r="BP208" s="90"/>
    </row>
    <row r="209" ht="12.75" customHeight="1" outlineLevel="1">
      <c r="A209" s="90"/>
      <c r="C209" s="102"/>
      <c r="D209" s="102"/>
      <c r="E209" s="102"/>
      <c r="F209" s="102"/>
      <c r="G209" s="102"/>
      <c r="K209" s="102"/>
      <c r="L209" s="102"/>
      <c r="M209" s="102"/>
      <c r="N209" s="102"/>
      <c r="O209" s="102"/>
      <c r="P209" s="102"/>
      <c r="Q209" s="93"/>
      <c r="R209" s="93"/>
      <c r="S209" s="93"/>
      <c r="T209" s="93"/>
      <c r="U209" s="93"/>
      <c r="V209" s="93"/>
      <c r="W209" s="93"/>
      <c r="X209" s="93"/>
      <c r="Y209" s="93"/>
      <c r="Z209" s="93"/>
      <c r="AA209" s="93"/>
      <c r="AB209" s="93"/>
      <c r="AC209" s="93"/>
      <c r="AD209" s="93"/>
      <c r="AE209" s="93"/>
      <c r="AF209" s="93"/>
      <c r="AG209" s="93"/>
      <c r="AH209" s="93"/>
      <c r="AI209" s="93"/>
      <c r="AJ209" s="93"/>
      <c r="AK209" s="93"/>
      <c r="AL209" s="93"/>
      <c r="AM209" s="93"/>
      <c r="AN209" s="93"/>
      <c r="AO209" s="93"/>
      <c r="AP209" s="93"/>
      <c r="AQ209" s="93"/>
      <c r="AR209" s="93"/>
      <c r="AS209" s="93"/>
      <c r="AT209" s="93"/>
      <c r="AU209" s="93"/>
      <c r="AV209" s="93"/>
      <c r="AW209" s="93"/>
      <c r="AX209" s="93"/>
      <c r="AY209" s="93"/>
      <c r="AZ209" s="93"/>
      <c r="BA209" s="90"/>
      <c r="BB209" s="90"/>
      <c r="BC209" s="90"/>
      <c r="BD209" s="90"/>
      <c r="BE209" s="90"/>
      <c r="BF209" s="90"/>
      <c r="BG209" s="90"/>
      <c r="BH209" s="90"/>
      <c r="BI209" s="90"/>
      <c r="BJ209" s="90"/>
      <c r="BK209" s="90"/>
      <c r="BL209" s="90"/>
      <c r="BM209" s="90"/>
      <c r="BN209" s="90"/>
      <c r="BO209" s="90"/>
      <c r="BP209" s="90"/>
    </row>
    <row r="210" ht="12.75" customHeight="1" outlineLevel="1">
      <c r="A210" s="90" t="s">
        <v>599</v>
      </c>
      <c r="C210" s="102"/>
      <c r="D210" s="102"/>
      <c r="E210" s="102"/>
      <c r="F210" s="102"/>
      <c r="G210" s="102"/>
      <c r="K210" s="102"/>
      <c r="L210" s="102"/>
      <c r="M210" s="102"/>
      <c r="N210" s="102"/>
      <c r="O210" s="102"/>
      <c r="P210" s="102"/>
      <c r="Q210" s="93"/>
      <c r="R210" s="93"/>
      <c r="S210" s="93"/>
      <c r="T210" s="93"/>
      <c r="U210" s="93"/>
      <c r="V210" s="93"/>
      <c r="W210" s="93"/>
      <c r="X210" s="93"/>
      <c r="Y210" s="93"/>
      <c r="Z210" s="93"/>
      <c r="AA210" s="93"/>
      <c r="AB210" s="93"/>
      <c r="AC210" s="93"/>
      <c r="AD210" s="93"/>
      <c r="AE210" s="93"/>
      <c r="AF210" s="93"/>
      <c r="AG210" s="93"/>
      <c r="AH210" s="93"/>
      <c r="AI210" s="93"/>
      <c r="AJ210" s="93"/>
      <c r="AK210" s="93"/>
      <c r="AL210" s="93"/>
      <c r="AM210" s="93"/>
      <c r="AN210" s="93"/>
      <c r="AO210" s="93"/>
      <c r="AP210" s="93"/>
      <c r="AQ210" s="93"/>
      <c r="AR210" s="93"/>
      <c r="AS210" s="93"/>
      <c r="AT210" s="93"/>
      <c r="AU210" s="93"/>
      <c r="AV210" s="93"/>
      <c r="AW210" s="93"/>
      <c r="AX210" s="93"/>
      <c r="AY210" s="93"/>
      <c r="AZ210" s="93"/>
      <c r="BA210" s="90"/>
      <c r="BB210" s="90"/>
      <c r="BC210" s="90"/>
      <c r="BD210" s="90"/>
      <c r="BE210" s="90"/>
      <c r="BF210" s="90"/>
      <c r="BG210" s="90"/>
      <c r="BH210" s="90"/>
      <c r="BI210" s="90"/>
      <c r="BJ210" s="90"/>
      <c r="BK210" s="90"/>
      <c r="BL210" s="90"/>
      <c r="BM210" s="90"/>
      <c r="BN210" s="90"/>
      <c r="BO210" s="90"/>
      <c r="BP210" s="90"/>
    </row>
    <row r="211" ht="12.75" customHeight="1" outlineLevel="1">
      <c r="A211" s="90" t="s">
        <v>286</v>
      </c>
      <c r="C211" s="102">
        <f>'RSGen 1-7'!G378</f>
        <v>25000</v>
      </c>
      <c r="D211" s="102">
        <f>OFFSET(RSGen_Walton!$G$18,0,ROW(C211)-ROW($C$211))</f>
        <v>0</v>
      </c>
      <c r="E211" s="102">
        <f>OFFSET(RSGen_none!$G$18,0,ROW(D211)-ROW($C$211))</f>
        <v>0</v>
      </c>
      <c r="F211" s="102"/>
      <c r="G211" s="102"/>
      <c r="K211" s="102"/>
      <c r="L211" s="102">
        <f>$C211*L$107*L6</f>
        <v>50000</v>
      </c>
      <c r="M211" s="102">
        <f t="shared" ref="M211:AL211" si="203">M$107*(MAX(0,MIN(M6,SUM(M6:M$15)-$E$4))*$E211+MAX(0,MIN(M6,$D$4-SUM(M7:M$15)))*$C211+(M6-(MAX(0,MIN(M6,SUM(M6:M$15)-$E$4))+MAX(0,MIN(M6,$D$4-SUM(M7:M$15)))))*$D211)</f>
        <v>50000</v>
      </c>
      <c r="N211" s="102">
        <f t="shared" si="203"/>
        <v>0</v>
      </c>
      <c r="O211" s="102">
        <f t="shared" si="203"/>
        <v>0</v>
      </c>
      <c r="P211" s="102">
        <f t="shared" si="203"/>
        <v>0</v>
      </c>
      <c r="Q211" s="102">
        <f t="shared" si="203"/>
        <v>0</v>
      </c>
      <c r="R211" s="102">
        <f t="shared" si="203"/>
        <v>0</v>
      </c>
      <c r="S211" s="102">
        <f t="shared" si="203"/>
        <v>0</v>
      </c>
      <c r="T211" s="102">
        <f t="shared" si="203"/>
        <v>0</v>
      </c>
      <c r="U211" s="102">
        <f t="shared" si="203"/>
        <v>0</v>
      </c>
      <c r="V211" s="102">
        <f t="shared" si="203"/>
        <v>0</v>
      </c>
      <c r="W211" s="102">
        <f t="shared" si="203"/>
        <v>0</v>
      </c>
      <c r="X211" s="102">
        <f t="shared" si="203"/>
        <v>0</v>
      </c>
      <c r="Y211" s="102">
        <f t="shared" si="203"/>
        <v>0</v>
      </c>
      <c r="Z211" s="102">
        <f t="shared" si="203"/>
        <v>0</v>
      </c>
      <c r="AA211" s="102">
        <f t="shared" si="203"/>
        <v>0</v>
      </c>
      <c r="AB211" s="102">
        <f t="shared" si="203"/>
        <v>0</v>
      </c>
      <c r="AC211" s="102">
        <f t="shared" si="203"/>
        <v>0</v>
      </c>
      <c r="AD211" s="102">
        <f t="shared" si="203"/>
        <v>0</v>
      </c>
      <c r="AE211" s="102">
        <f t="shared" si="203"/>
        <v>0</v>
      </c>
      <c r="AF211" s="102">
        <f t="shared" si="203"/>
        <v>0</v>
      </c>
      <c r="AG211" s="102">
        <f t="shared" si="203"/>
        <v>0</v>
      </c>
      <c r="AH211" s="102">
        <f t="shared" si="203"/>
        <v>0</v>
      </c>
      <c r="AI211" s="102">
        <f t="shared" si="203"/>
        <v>0</v>
      </c>
      <c r="AJ211" s="102">
        <f t="shared" si="203"/>
        <v>0</v>
      </c>
      <c r="AK211" s="102">
        <f t="shared" si="203"/>
        <v>0</v>
      </c>
      <c r="AL211" s="102">
        <f t="shared" si="203"/>
        <v>0</v>
      </c>
      <c r="AM211" s="93">
        <f t="shared" ref="AM211:AV211" si="204">$D211*AM$107*AM6</f>
        <v>0</v>
      </c>
      <c r="AN211" s="93">
        <f t="shared" si="204"/>
        <v>0</v>
      </c>
      <c r="AO211" s="93" t="str">
        <f t="shared" si="204"/>
        <v>#REF!</v>
      </c>
      <c r="AP211" s="93" t="str">
        <f t="shared" si="204"/>
        <v>#REF!</v>
      </c>
      <c r="AQ211" s="93" t="str">
        <f t="shared" si="204"/>
        <v>#REF!</v>
      </c>
      <c r="AR211" s="93" t="str">
        <f t="shared" si="204"/>
        <v>#REF!</v>
      </c>
      <c r="AS211" s="93" t="str">
        <f t="shared" si="204"/>
        <v>#REF!</v>
      </c>
      <c r="AT211" s="93">
        <f t="shared" si="204"/>
        <v>0</v>
      </c>
      <c r="AU211" s="93">
        <f t="shared" si="204"/>
        <v>0</v>
      </c>
      <c r="AV211" s="93">
        <f t="shared" si="204"/>
        <v>0</v>
      </c>
      <c r="AW211" s="93"/>
      <c r="AX211" s="93"/>
      <c r="AY211" s="93"/>
      <c r="AZ211" s="93"/>
      <c r="BA211" s="90"/>
      <c r="BB211" s="90"/>
      <c r="BC211" s="90"/>
      <c r="BD211" s="90"/>
      <c r="BE211" s="90"/>
      <c r="BF211" s="90"/>
      <c r="BG211" s="90"/>
      <c r="BH211" s="90"/>
      <c r="BI211" s="90"/>
      <c r="BJ211" s="90"/>
      <c r="BK211" s="90"/>
      <c r="BL211" s="90"/>
      <c r="BM211" s="90"/>
      <c r="BN211" s="90"/>
      <c r="BO211" s="90"/>
      <c r="BP211" s="90"/>
    </row>
    <row r="212" ht="12.75" customHeight="1" outlineLevel="1">
      <c r="A212" s="90" t="s">
        <v>287</v>
      </c>
      <c r="C212" s="102">
        <f>'RSGen 1-7'!H$378</f>
        <v>24000</v>
      </c>
      <c r="D212" s="102">
        <f>OFFSET(RSGen_Walton!$G$18,0,ROW(C212)-ROW($C$211))</f>
        <v>24000</v>
      </c>
      <c r="E212" s="102">
        <f>OFFSET(RSGen_none!$G$18,0,ROW(D212)-ROW($C$211))</f>
        <v>0</v>
      </c>
      <c r="F212" s="102"/>
      <c r="G212" s="102"/>
      <c r="H212" s="313"/>
      <c r="I212" s="313"/>
      <c r="J212" s="313"/>
      <c r="K212" s="306"/>
      <c r="L212" s="306"/>
      <c r="M212" s="102">
        <f t="shared" ref="M212:AL212" si="205">M$107*(MAX(0,MIN(M7,SUM(M7:M$15)-$E$4))*$E212+MAX(0,MIN(M7,$D$4-SUM(M8:M$15)))*$C212+(M7-(MAX(0,MIN(M7,SUM(M7:M$15)-$E$4))+MAX(0,MIN(M7,$D$4-SUM(M8:M$15)))))*$D212)</f>
        <v>48000</v>
      </c>
      <c r="N212" s="102">
        <f t="shared" si="205"/>
        <v>72720</v>
      </c>
      <c r="O212" s="102">
        <f t="shared" si="205"/>
        <v>123624</v>
      </c>
      <c r="P212" s="102">
        <f t="shared" si="205"/>
        <v>201754.368</v>
      </c>
      <c r="Q212" s="102">
        <f t="shared" si="205"/>
        <v>334407.865</v>
      </c>
      <c r="R212" s="102">
        <f t="shared" si="205"/>
        <v>577239.4223</v>
      </c>
      <c r="S212" s="102">
        <f t="shared" si="205"/>
        <v>918979.2</v>
      </c>
      <c r="T212" s="102">
        <f t="shared" si="205"/>
        <v>275693.76</v>
      </c>
      <c r="U212" s="102">
        <f t="shared" si="205"/>
        <v>0</v>
      </c>
      <c r="V212" s="102">
        <f t="shared" si="205"/>
        <v>0</v>
      </c>
      <c r="W212" s="102">
        <f t="shared" si="205"/>
        <v>0</v>
      </c>
      <c r="X212" s="102">
        <f t="shared" si="205"/>
        <v>0</v>
      </c>
      <c r="Y212" s="102">
        <f t="shared" si="205"/>
        <v>0</v>
      </c>
      <c r="Z212" s="102">
        <f t="shared" si="205"/>
        <v>0</v>
      </c>
      <c r="AA212" s="102">
        <f t="shared" si="205"/>
        <v>0</v>
      </c>
      <c r="AB212" s="102">
        <f t="shared" si="205"/>
        <v>0</v>
      </c>
      <c r="AC212" s="102">
        <f t="shared" si="205"/>
        <v>0</v>
      </c>
      <c r="AD212" s="102">
        <f t="shared" si="205"/>
        <v>0</v>
      </c>
      <c r="AE212" s="102">
        <f t="shared" si="205"/>
        <v>0</v>
      </c>
      <c r="AF212" s="102">
        <f t="shared" si="205"/>
        <v>0</v>
      </c>
      <c r="AG212" s="102">
        <f t="shared" si="205"/>
        <v>0</v>
      </c>
      <c r="AH212" s="102">
        <f t="shared" si="205"/>
        <v>0</v>
      </c>
      <c r="AI212" s="102">
        <f t="shared" si="205"/>
        <v>0</v>
      </c>
      <c r="AJ212" s="102">
        <f t="shared" si="205"/>
        <v>0</v>
      </c>
      <c r="AK212" s="102">
        <f t="shared" si="205"/>
        <v>0</v>
      </c>
      <c r="AL212" s="102">
        <f t="shared" si="205"/>
        <v>0</v>
      </c>
      <c r="AM212" s="93">
        <f t="shared" ref="AM212:AV212" si="206">$D212*AM$107*AM7</f>
        <v>0</v>
      </c>
      <c r="AN212" s="93">
        <f t="shared" si="206"/>
        <v>0</v>
      </c>
      <c r="AO212" s="93">
        <f t="shared" si="206"/>
        <v>0</v>
      </c>
      <c r="AP212" s="93" t="str">
        <f t="shared" si="206"/>
        <v>#REF!</v>
      </c>
      <c r="AQ212" s="93" t="str">
        <f t="shared" si="206"/>
        <v>#REF!</v>
      </c>
      <c r="AR212" s="93" t="str">
        <f t="shared" si="206"/>
        <v>#REF!</v>
      </c>
      <c r="AS212" s="93" t="str">
        <f t="shared" si="206"/>
        <v>#REF!</v>
      </c>
      <c r="AT212" s="93" t="str">
        <f t="shared" si="206"/>
        <v>#REF!</v>
      </c>
      <c r="AU212" s="93">
        <f t="shared" si="206"/>
        <v>0</v>
      </c>
      <c r="AV212" s="93">
        <f t="shared" si="206"/>
        <v>0</v>
      </c>
      <c r="AW212" s="93"/>
      <c r="AX212" s="93"/>
      <c r="AY212" s="93"/>
      <c r="AZ212" s="93"/>
      <c r="BA212" s="90"/>
      <c r="BB212" s="90"/>
      <c r="BC212" s="90"/>
      <c r="BD212" s="90"/>
      <c r="BE212" s="90"/>
      <c r="BF212" s="90"/>
      <c r="BG212" s="90"/>
      <c r="BH212" s="90"/>
      <c r="BI212" s="90"/>
      <c r="BJ212" s="90"/>
      <c r="BK212" s="90"/>
      <c r="BL212" s="90"/>
      <c r="BM212" s="90"/>
      <c r="BN212" s="90"/>
      <c r="BO212" s="90"/>
      <c r="BP212" s="90"/>
    </row>
    <row r="213" ht="12.75" customHeight="1" outlineLevel="1">
      <c r="A213" s="90" t="s">
        <v>288</v>
      </c>
      <c r="C213" s="102">
        <f>'RSGen 1-7'!I$378</f>
        <v>378332.6227</v>
      </c>
      <c r="D213" s="102">
        <f>OFFSET(RSGen_Walton!$G$18,0,ROW(C213)-ROW($C$211))</f>
        <v>333054.9042</v>
      </c>
      <c r="E213" s="102">
        <f>OFFSET(RSGen_none!$G$18,0,ROW(D213)-ROW($C$211))</f>
        <v>156666.3114</v>
      </c>
      <c r="F213" s="102"/>
      <c r="G213" s="102"/>
      <c r="H213" s="313"/>
      <c r="I213" s="313"/>
      <c r="J213" s="313"/>
      <c r="K213" s="306"/>
      <c r="L213" s="306"/>
      <c r="M213" s="306"/>
      <c r="N213" s="102">
        <f t="shared" ref="N213:AL213" si="207">N$107*(MAX(0,MIN(N8,SUM(N8:N$15)-$E$4))*$E213+MAX(0,MIN(N8,$D$4-SUM(N9:N$15)))*$C213+(N8-(MAX(0,MIN(N8,SUM(N8:N$15)-$E$4))+MAX(0,MIN(N8,$D$4-SUM(N9:N$15)))))*$D213)</f>
        <v>764231.8979</v>
      </c>
      <c r="O213" s="102">
        <f t="shared" si="207"/>
        <v>1122629.698</v>
      </c>
      <c r="P213" s="102">
        <f t="shared" si="207"/>
        <v>1749877.128</v>
      </c>
      <c r="Q213" s="102">
        <f t="shared" si="207"/>
        <v>2855799.472</v>
      </c>
      <c r="R213" s="102">
        <f t="shared" si="207"/>
        <v>4733487.625</v>
      </c>
      <c r="S213" s="102">
        <f t="shared" si="207"/>
        <v>8251901.527</v>
      </c>
      <c r="T213" s="102">
        <f t="shared" si="207"/>
        <v>13007997.5</v>
      </c>
      <c r="U213" s="102">
        <f t="shared" si="207"/>
        <v>10327198.01</v>
      </c>
      <c r="V213" s="102">
        <f t="shared" si="207"/>
        <v>8425664.661</v>
      </c>
      <c r="W213" s="102">
        <f t="shared" si="207"/>
        <v>12604794.33</v>
      </c>
      <c r="X213" s="102">
        <f t="shared" si="207"/>
        <v>15584109.36</v>
      </c>
      <c r="Y213" s="102">
        <f t="shared" si="207"/>
        <v>28215029.99</v>
      </c>
      <c r="Z213" s="102">
        <f t="shared" si="207"/>
        <v>39115569.04</v>
      </c>
      <c r="AA213" s="102">
        <f t="shared" si="207"/>
        <v>50027394.11</v>
      </c>
      <c r="AB213" s="102">
        <f t="shared" si="207"/>
        <v>57564579.18</v>
      </c>
      <c r="AC213" s="102">
        <f t="shared" si="207"/>
        <v>69684769.7</v>
      </c>
      <c r="AD213" s="102">
        <f t="shared" si="207"/>
        <v>76782292.54</v>
      </c>
      <c r="AE213" s="102">
        <f t="shared" si="207"/>
        <v>77199110.7</v>
      </c>
      <c r="AF213" s="102">
        <f t="shared" si="207"/>
        <v>62081510.94</v>
      </c>
      <c r="AG213" s="102">
        <f t="shared" si="207"/>
        <v>7682586.978</v>
      </c>
      <c r="AH213" s="102">
        <f t="shared" si="207"/>
        <v>0</v>
      </c>
      <c r="AI213" s="102">
        <f t="shared" si="207"/>
        <v>0</v>
      </c>
      <c r="AJ213" s="102">
        <f t="shared" si="207"/>
        <v>0</v>
      </c>
      <c r="AK213" s="102">
        <f t="shared" si="207"/>
        <v>0</v>
      </c>
      <c r="AL213" s="102">
        <f t="shared" si="207"/>
        <v>0</v>
      </c>
      <c r="AM213" s="93">
        <f t="shared" ref="AM213:AV213" si="208">$D213*AM$107*AM8</f>
        <v>0</v>
      </c>
      <c r="AN213" s="93">
        <f t="shared" si="208"/>
        <v>0</v>
      </c>
      <c r="AO213" s="93">
        <f t="shared" si="208"/>
        <v>0</v>
      </c>
      <c r="AP213" s="93">
        <f t="shared" si="208"/>
        <v>0</v>
      </c>
      <c r="AQ213" s="93" t="str">
        <f t="shared" si="208"/>
        <v>#REF!</v>
      </c>
      <c r="AR213" s="93" t="str">
        <f t="shared" si="208"/>
        <v>#REF!</v>
      </c>
      <c r="AS213" s="93" t="str">
        <f t="shared" si="208"/>
        <v>#REF!</v>
      </c>
      <c r="AT213" s="93" t="str">
        <f t="shared" si="208"/>
        <v>#REF!</v>
      </c>
      <c r="AU213" s="93" t="str">
        <f t="shared" si="208"/>
        <v>#REF!</v>
      </c>
      <c r="AV213" s="93">
        <f t="shared" si="208"/>
        <v>0</v>
      </c>
      <c r="AW213" s="93"/>
      <c r="AX213" s="93"/>
      <c r="AY213" s="93"/>
      <c r="AZ213" s="93"/>
      <c r="BA213" s="90"/>
      <c r="BB213" s="90"/>
      <c r="BC213" s="90"/>
      <c r="BD213" s="90"/>
      <c r="BE213" s="90"/>
      <c r="BF213" s="90"/>
      <c r="BG213" s="90"/>
      <c r="BH213" s="90"/>
      <c r="BI213" s="90"/>
      <c r="BJ213" s="90"/>
      <c r="BK213" s="90"/>
      <c r="BL213" s="90"/>
      <c r="BM213" s="90"/>
      <c r="BN213" s="90"/>
      <c r="BO213" s="90"/>
      <c r="BP213" s="90"/>
    </row>
    <row r="214" ht="12.75" customHeight="1" outlineLevel="1">
      <c r="A214" s="90" t="s">
        <v>289</v>
      </c>
      <c r="C214" s="102">
        <f>'RSGen 1-7'!J$378</f>
        <v>373285.703</v>
      </c>
      <c r="D214" s="102">
        <f>OFFSET(RSGen_Walton!$G$18,0,ROW(C214)-ROW($C$211))</f>
        <v>342178.5611</v>
      </c>
      <c r="E214" s="102">
        <f>OFFSET(RSGen_none!$G$18,0,ROW(D214)-ROW($C$211))</f>
        <v>342178.5611</v>
      </c>
      <c r="F214" s="102"/>
      <c r="G214" s="102"/>
      <c r="H214" s="313"/>
      <c r="I214" s="313"/>
      <c r="J214" s="313"/>
      <c r="K214" s="306"/>
      <c r="L214" s="306"/>
      <c r="M214" s="306"/>
      <c r="N214" s="306"/>
      <c r="O214" s="102">
        <f t="shared" ref="O214:AL214" si="209">O$107*(MAX(0,MIN(O9,SUM(O9:O$15)-$E$4))*$E214+MAX(0,MIN(O9,$D$4-SUM(O10:O$15)))*$C214+(O9-(MAX(0,MIN(O9,SUM(O9:O$15)-$E$4))+MAX(0,MIN(O9,$D$4-SUM(O10:O$15)))))*$D214)</f>
        <v>769117.8625</v>
      </c>
      <c r="P214" s="102">
        <f t="shared" si="209"/>
        <v>1144062.821</v>
      </c>
      <c r="Q214" s="102">
        <f t="shared" si="209"/>
        <v>1833769.264</v>
      </c>
      <c r="R214" s="102">
        <f t="shared" si="209"/>
        <v>2992711.438</v>
      </c>
      <c r="S214" s="102">
        <f t="shared" si="209"/>
        <v>5009699.442</v>
      </c>
      <c r="T214" s="102">
        <f t="shared" si="209"/>
        <v>8647511.96</v>
      </c>
      <c r="U214" s="102">
        <f t="shared" si="209"/>
        <v>13631623.4</v>
      </c>
      <c r="V214" s="102">
        <f t="shared" si="209"/>
        <v>18402691.59</v>
      </c>
      <c r="W214" s="102">
        <f t="shared" si="209"/>
        <v>18770745.42</v>
      </c>
      <c r="X214" s="102">
        <f t="shared" si="209"/>
        <v>28081035.15</v>
      </c>
      <c r="Y214" s="102">
        <f t="shared" si="209"/>
        <v>34718370.73</v>
      </c>
      <c r="Z214" s="102">
        <f t="shared" si="209"/>
        <v>62857610.2</v>
      </c>
      <c r="AA214" s="102">
        <f t="shared" si="209"/>
        <v>87141895.38</v>
      </c>
      <c r="AB214" s="102">
        <f t="shared" si="209"/>
        <v>111451323.6</v>
      </c>
      <c r="AC214" s="102">
        <f t="shared" si="209"/>
        <v>128242709</v>
      </c>
      <c r="AD214" s="102">
        <f t="shared" si="209"/>
        <v>155244140.9</v>
      </c>
      <c r="AE214" s="102">
        <f t="shared" si="209"/>
        <v>171056044.1</v>
      </c>
      <c r="AF214" s="102">
        <f t="shared" si="209"/>
        <v>171984634.1</v>
      </c>
      <c r="AG214" s="102">
        <f t="shared" si="209"/>
        <v>138305556.2</v>
      </c>
      <c r="AH214" s="102">
        <f t="shared" si="209"/>
        <v>17115312.58</v>
      </c>
      <c r="AI214" s="102">
        <f t="shared" si="209"/>
        <v>0</v>
      </c>
      <c r="AJ214" s="102">
        <f t="shared" si="209"/>
        <v>0</v>
      </c>
      <c r="AK214" s="102">
        <f t="shared" si="209"/>
        <v>0</v>
      </c>
      <c r="AL214" s="102">
        <f t="shared" si="209"/>
        <v>0</v>
      </c>
      <c r="AM214" s="93">
        <f t="shared" ref="AM214:AV214" si="210">$D214*AM$107*AM9</f>
        <v>0</v>
      </c>
      <c r="AN214" s="93">
        <f t="shared" si="210"/>
        <v>0</v>
      </c>
      <c r="AO214" s="93">
        <f t="shared" si="210"/>
        <v>0</v>
      </c>
      <c r="AP214" s="93">
        <f t="shared" si="210"/>
        <v>0</v>
      </c>
      <c r="AQ214" s="93">
        <f t="shared" si="210"/>
        <v>0</v>
      </c>
      <c r="AR214" s="93" t="str">
        <f t="shared" si="210"/>
        <v>#REF!</v>
      </c>
      <c r="AS214" s="93" t="str">
        <f t="shared" si="210"/>
        <v>#REF!</v>
      </c>
      <c r="AT214" s="93" t="str">
        <f t="shared" si="210"/>
        <v>#REF!</v>
      </c>
      <c r="AU214" s="93" t="str">
        <f t="shared" si="210"/>
        <v>#REF!</v>
      </c>
      <c r="AV214" s="93" t="str">
        <f t="shared" si="210"/>
        <v>#REF!</v>
      </c>
      <c r="AW214" s="93"/>
      <c r="AX214" s="93"/>
      <c r="AY214" s="93"/>
      <c r="AZ214" s="93"/>
      <c r="BA214" s="90"/>
      <c r="BB214" s="90"/>
      <c r="BC214" s="90"/>
      <c r="BD214" s="90"/>
      <c r="BE214" s="90"/>
      <c r="BF214" s="90"/>
      <c r="BG214" s="90"/>
      <c r="BH214" s="90"/>
      <c r="BI214" s="90"/>
      <c r="BJ214" s="90"/>
      <c r="BK214" s="90"/>
      <c r="BL214" s="90"/>
      <c r="BM214" s="90"/>
      <c r="BN214" s="90"/>
      <c r="BO214" s="90"/>
      <c r="BP214" s="90"/>
    </row>
    <row r="215" ht="12.75" customHeight="1" outlineLevel="1">
      <c r="A215" s="90" t="s">
        <v>290</v>
      </c>
      <c r="C215" s="102">
        <f>'RSGen 1-7'!K$378</f>
        <v>386414.767</v>
      </c>
      <c r="D215" s="102">
        <f>OFFSET(RSGen_Walton!$G$18,0,ROW(C215)-ROW($C$211))</f>
        <v>354213.5364</v>
      </c>
      <c r="E215" s="102">
        <f>OFFSET(RSGen_none!$G$18,0,ROW(D215)-ROW($C$211))</f>
        <v>354213.5364</v>
      </c>
      <c r="F215" s="102"/>
      <c r="G215" s="102"/>
      <c r="H215" s="313"/>
      <c r="I215" s="313"/>
      <c r="J215" s="313"/>
      <c r="K215" s="306"/>
      <c r="L215" s="306"/>
      <c r="M215" s="306"/>
      <c r="N215" s="306"/>
      <c r="O215" s="306"/>
      <c r="P215" s="102">
        <f t="shared" ref="P215:AL215" si="211">P$107*(MAX(0,MIN(P10,SUM(P10:P$15)-$E$4))*$E215+MAX(0,MIN(P10,$D$4-SUM(P11:P$15)))*$C215+(P10-(MAX(0,MIN(P10,SUM(P10:P$15)-$E$4))+MAX(0,MIN(P10,$D$4-SUM(P11:P$15)))))*$D215)</f>
        <v>812092.3657</v>
      </c>
      <c r="Q215" s="102">
        <f t="shared" si="211"/>
        <v>1207987.394</v>
      </c>
      <c r="R215" s="102">
        <f t="shared" si="211"/>
        <v>1936231.223</v>
      </c>
      <c r="S215" s="102">
        <f t="shared" si="211"/>
        <v>3191322.278</v>
      </c>
      <c r="T215" s="102">
        <f t="shared" si="211"/>
        <v>5289616.675</v>
      </c>
      <c r="U215" s="102">
        <f t="shared" si="211"/>
        <v>9130692.169</v>
      </c>
      <c r="V215" s="102">
        <f t="shared" si="211"/>
        <v>14393291.11</v>
      </c>
      <c r="W215" s="102">
        <f t="shared" si="211"/>
        <v>19430943</v>
      </c>
      <c r="X215" s="102">
        <f t="shared" si="211"/>
        <v>19819561.86</v>
      </c>
      <c r="Y215" s="102">
        <f t="shared" si="211"/>
        <v>29650064.54</v>
      </c>
      <c r="Z215" s="102">
        <f t="shared" si="211"/>
        <v>36658261.61</v>
      </c>
      <c r="AA215" s="102">
        <f t="shared" si="211"/>
        <v>66369782.65</v>
      </c>
      <c r="AB215" s="102">
        <f t="shared" si="211"/>
        <v>92010953.61</v>
      </c>
      <c r="AC215" s="102">
        <f t="shared" si="211"/>
        <v>117678672.5</v>
      </c>
      <c r="AD215" s="102">
        <f t="shared" si="211"/>
        <v>135408277.4</v>
      </c>
      <c r="AE215" s="102">
        <f t="shared" si="211"/>
        <v>163918415.8</v>
      </c>
      <c r="AF215" s="102">
        <f t="shared" si="211"/>
        <v>180613810.1</v>
      </c>
      <c r="AG215" s="102">
        <f t="shared" si="211"/>
        <v>181594285</v>
      </c>
      <c r="AH215" s="102">
        <f t="shared" si="211"/>
        <v>146033386.8</v>
      </c>
      <c r="AI215" s="102">
        <f t="shared" si="211"/>
        <v>18071631.61</v>
      </c>
      <c r="AJ215" s="102">
        <f t="shared" si="211"/>
        <v>0</v>
      </c>
      <c r="AK215" s="102">
        <f t="shared" si="211"/>
        <v>0</v>
      </c>
      <c r="AL215" s="102">
        <f t="shared" si="211"/>
        <v>0</v>
      </c>
      <c r="AM215" s="93">
        <f t="shared" ref="AM215:AV215" si="212">$D215*AM$107*AM10</f>
        <v>0</v>
      </c>
      <c r="AN215" s="93">
        <f t="shared" si="212"/>
        <v>0</v>
      </c>
      <c r="AO215" s="93">
        <f t="shared" si="212"/>
        <v>0</v>
      </c>
      <c r="AP215" s="93">
        <f t="shared" si="212"/>
        <v>0</v>
      </c>
      <c r="AQ215" s="93">
        <f t="shared" si="212"/>
        <v>0</v>
      </c>
      <c r="AR215" s="93">
        <f t="shared" si="212"/>
        <v>0</v>
      </c>
      <c r="AS215" s="93" t="str">
        <f t="shared" si="212"/>
        <v>#REF!</v>
      </c>
      <c r="AT215" s="93" t="str">
        <f t="shared" si="212"/>
        <v>#REF!</v>
      </c>
      <c r="AU215" s="93" t="str">
        <f t="shared" si="212"/>
        <v>#REF!</v>
      </c>
      <c r="AV215" s="93" t="str">
        <f t="shared" si="212"/>
        <v>#REF!</v>
      </c>
      <c r="AW215" s="93"/>
      <c r="AX215" s="93"/>
      <c r="AY215" s="93"/>
      <c r="AZ215" s="93"/>
      <c r="BA215" s="90"/>
      <c r="BB215" s="90"/>
      <c r="BC215" s="90"/>
      <c r="BD215" s="90"/>
      <c r="BE215" s="90"/>
      <c r="BF215" s="90"/>
      <c r="BG215" s="90"/>
      <c r="BH215" s="90"/>
      <c r="BI215" s="90"/>
      <c r="BJ215" s="90"/>
      <c r="BK215" s="90"/>
      <c r="BL215" s="90"/>
      <c r="BM215" s="90"/>
      <c r="BN215" s="90"/>
      <c r="BO215" s="90"/>
      <c r="BP215" s="90"/>
    </row>
    <row r="216" ht="12.75" customHeight="1" outlineLevel="1">
      <c r="A216" s="90" t="s">
        <v>291</v>
      </c>
      <c r="C216" s="102">
        <f>'RSGen 1-7'!L$378</f>
        <v>387483.247</v>
      </c>
      <c r="D216" s="102">
        <f>OFFSET(RSGen_Walton!$G$18,0,ROW(C216)-ROW($C$211))</f>
        <v>387483.247</v>
      </c>
      <c r="E216" s="102">
        <f>OFFSET(RSGen_none!$G$18,0,ROW(D216)-ROW($C$211))</f>
        <v>387483.247</v>
      </c>
      <c r="F216" s="102"/>
      <c r="G216" s="102"/>
      <c r="H216" s="313"/>
      <c r="I216" s="313"/>
      <c r="J216" s="313"/>
      <c r="K216" s="306"/>
      <c r="L216" s="306"/>
      <c r="M216" s="306"/>
      <c r="N216" s="306"/>
      <c r="O216" s="306"/>
      <c r="P216" s="306"/>
      <c r="Q216" s="102">
        <f t="shared" ref="Q216:AL216" si="213">Q$107*(MAX(0,MIN(Q11,SUM(Q11:Q$15)-$E$4))*$E216+MAX(0,MIN(Q11,$D$4-SUM(Q12:Q$15)))*$C216+(Q11-(MAX(0,MIN(Q11,SUM(Q11:Q$15)-$E$4))+MAX(0,MIN(Q11,$D$4-SUM(Q12:Q$15)))))*$D216)</f>
        <v>830624.6496</v>
      </c>
      <c r="R216" s="102">
        <f t="shared" si="213"/>
        <v>1270855.714</v>
      </c>
      <c r="S216" s="102">
        <f t="shared" si="213"/>
        <v>2181918.164</v>
      </c>
      <c r="T216" s="102">
        <f t="shared" si="213"/>
        <v>3560890.443</v>
      </c>
      <c r="U216" s="102">
        <f t="shared" si="213"/>
        <v>5902175.91</v>
      </c>
      <c r="V216" s="102">
        <f t="shared" si="213"/>
        <v>10188063.65</v>
      </c>
      <c r="W216" s="102">
        <f t="shared" si="213"/>
        <v>16060093.06</v>
      </c>
      <c r="X216" s="102">
        <f t="shared" si="213"/>
        <v>21681125.63</v>
      </c>
      <c r="Y216" s="102">
        <f t="shared" si="213"/>
        <v>22114748.14</v>
      </c>
      <c r="Z216" s="102">
        <f t="shared" si="213"/>
        <v>33083663.22</v>
      </c>
      <c r="AA216" s="102">
        <f t="shared" si="213"/>
        <v>40903438.17</v>
      </c>
      <c r="AB216" s="102">
        <f t="shared" si="213"/>
        <v>74055674.8</v>
      </c>
      <c r="AC216" s="102">
        <f t="shared" si="213"/>
        <v>102666198.2</v>
      </c>
      <c r="AD216" s="102">
        <f t="shared" si="213"/>
        <v>131306343.8</v>
      </c>
      <c r="AE216" s="102">
        <f t="shared" si="213"/>
        <v>151089109.5</v>
      </c>
      <c r="AF216" s="102">
        <f t="shared" si="213"/>
        <v>182900838.5</v>
      </c>
      <c r="AG216" s="102">
        <f t="shared" si="213"/>
        <v>201529627.6</v>
      </c>
      <c r="AH216" s="102">
        <f t="shared" si="213"/>
        <v>202623645.6</v>
      </c>
      <c r="AI216" s="102">
        <f t="shared" si="213"/>
        <v>162944649.9</v>
      </c>
      <c r="AJ216" s="102">
        <f t="shared" si="213"/>
        <v>20164400.43</v>
      </c>
      <c r="AK216" s="102">
        <f t="shared" si="213"/>
        <v>0</v>
      </c>
      <c r="AL216" s="102">
        <f t="shared" si="213"/>
        <v>0</v>
      </c>
      <c r="AM216" s="93">
        <f t="shared" ref="AM216:AV216" si="214">$D216*AM$107*AM11</f>
        <v>0</v>
      </c>
      <c r="AN216" s="93">
        <f t="shared" si="214"/>
        <v>0</v>
      </c>
      <c r="AO216" s="93">
        <f t="shared" si="214"/>
        <v>0</v>
      </c>
      <c r="AP216" s="93">
        <f t="shared" si="214"/>
        <v>0</v>
      </c>
      <c r="AQ216" s="93">
        <f t="shared" si="214"/>
        <v>0</v>
      </c>
      <c r="AR216" s="93">
        <f t="shared" si="214"/>
        <v>0</v>
      </c>
      <c r="AS216" s="93">
        <f t="shared" si="214"/>
        <v>0</v>
      </c>
      <c r="AT216" s="93" t="str">
        <f t="shared" si="214"/>
        <v>#REF!</v>
      </c>
      <c r="AU216" s="93" t="str">
        <f t="shared" si="214"/>
        <v>#REF!</v>
      </c>
      <c r="AV216" s="93" t="str">
        <f t="shared" si="214"/>
        <v>#REF!</v>
      </c>
      <c r="AW216" s="93"/>
      <c r="AX216" s="93"/>
      <c r="AY216" s="93"/>
      <c r="AZ216" s="93"/>
      <c r="BA216" s="90"/>
      <c r="BB216" s="90"/>
      <c r="BC216" s="90"/>
      <c r="BD216" s="90"/>
      <c r="BE216" s="90"/>
      <c r="BF216" s="90"/>
      <c r="BG216" s="90"/>
      <c r="BH216" s="90"/>
      <c r="BI216" s="90"/>
      <c r="BJ216" s="90"/>
      <c r="BK216" s="90"/>
      <c r="BL216" s="90"/>
      <c r="BM216" s="90"/>
      <c r="BN216" s="90"/>
      <c r="BO216" s="90"/>
      <c r="BP216" s="90"/>
    </row>
    <row r="217" ht="12.75" customHeight="1" outlineLevel="1">
      <c r="A217" s="90" t="s">
        <v>292</v>
      </c>
      <c r="C217" s="102">
        <f>'RSGen 1-7'!M$378</f>
        <v>386567.407</v>
      </c>
      <c r="D217" s="102">
        <f>OFFSET(RSGen_Walton!$G$18,0,ROW(C217)-ROW($C$211))</f>
        <v>386567.407</v>
      </c>
      <c r="E217" s="102">
        <f>OFFSET(RSGen_none!$G$18,0,ROW(D217)-ROW($C$211))</f>
        <v>386567.407</v>
      </c>
      <c r="F217" s="102"/>
      <c r="G217" s="102"/>
      <c r="H217" s="313"/>
      <c r="I217" s="313"/>
      <c r="J217" s="313"/>
      <c r="K217" s="306"/>
      <c r="L217" s="306"/>
      <c r="M217" s="306"/>
      <c r="N217" s="306"/>
      <c r="O217" s="306"/>
      <c r="P217" s="306"/>
      <c r="Q217" s="306"/>
      <c r="R217" s="102">
        <f t="shared" ref="R217:AL217" si="215">R$107*(MAX(0,MIN(R12,SUM(R12:R$15)-$E$4))*$E217+MAX(0,MIN(R12,$D$4-SUM(R13:R$15)))*$C217+(R12-(MAX(0,MIN(R12,SUM(R12:R$15)-$E$4))+MAX(0,MIN(R12,$D$4-SUM(R13:R$15)))))*$D217)</f>
        <v>845234.6466</v>
      </c>
      <c r="S217" s="102">
        <f t="shared" si="215"/>
        <v>1306056.641</v>
      </c>
      <c r="T217" s="102">
        <f t="shared" si="215"/>
        <v>2220296.29</v>
      </c>
      <c r="U217" s="102">
        <f t="shared" si="215"/>
        <v>3623523.546</v>
      </c>
      <c r="V217" s="102">
        <f t="shared" si="215"/>
        <v>6005990.277</v>
      </c>
      <c r="W217" s="102">
        <f t="shared" si="215"/>
        <v>10367263.22</v>
      </c>
      <c r="X217" s="102">
        <f t="shared" si="215"/>
        <v>16342576.74</v>
      </c>
      <c r="Y217" s="102">
        <f t="shared" si="215"/>
        <v>22062478.6</v>
      </c>
      <c r="Z217" s="102">
        <f t="shared" si="215"/>
        <v>22503728.18</v>
      </c>
      <c r="AA217" s="102">
        <f t="shared" si="215"/>
        <v>33665577.35</v>
      </c>
      <c r="AB217" s="102">
        <f t="shared" si="215"/>
        <v>41622895.63</v>
      </c>
      <c r="AC217" s="102">
        <f t="shared" si="215"/>
        <v>75358252.54</v>
      </c>
      <c r="AD217" s="102">
        <f t="shared" si="215"/>
        <v>104472011.2</v>
      </c>
      <c r="AE217" s="102">
        <f t="shared" si="215"/>
        <v>133615913.2</v>
      </c>
      <c r="AF217" s="102">
        <f t="shared" si="215"/>
        <v>153746641.3</v>
      </c>
      <c r="AG217" s="102">
        <f t="shared" si="215"/>
        <v>186117912.2</v>
      </c>
      <c r="AH217" s="102">
        <f t="shared" si="215"/>
        <v>205074366.2</v>
      </c>
      <c r="AI217" s="102">
        <f t="shared" si="215"/>
        <v>206187627</v>
      </c>
      <c r="AJ217" s="102">
        <f t="shared" si="215"/>
        <v>165810710.9</v>
      </c>
      <c r="AK217" s="102">
        <f t="shared" si="215"/>
        <v>20519075.47</v>
      </c>
      <c r="AL217" s="102">
        <f t="shared" si="215"/>
        <v>0</v>
      </c>
      <c r="AM217" s="102">
        <f t="shared" ref="AM217:AV217" si="216">$D217*AM$107*AM12</f>
        <v>0</v>
      </c>
      <c r="AN217" s="102">
        <f t="shared" si="216"/>
        <v>0</v>
      </c>
      <c r="AO217" s="102">
        <f t="shared" si="216"/>
        <v>0</v>
      </c>
      <c r="AP217" s="102">
        <f t="shared" si="216"/>
        <v>0</v>
      </c>
      <c r="AQ217" s="102">
        <f t="shared" si="216"/>
        <v>0</v>
      </c>
      <c r="AR217" s="102">
        <f t="shared" si="216"/>
        <v>0</v>
      </c>
      <c r="AS217" s="102">
        <f t="shared" si="216"/>
        <v>0</v>
      </c>
      <c r="AT217" s="102">
        <f t="shared" si="216"/>
        <v>0</v>
      </c>
      <c r="AU217" s="102" t="str">
        <f t="shared" si="216"/>
        <v>#REF!</v>
      </c>
      <c r="AV217" s="102" t="str">
        <f t="shared" si="216"/>
        <v>#REF!</v>
      </c>
      <c r="AW217" s="90"/>
      <c r="AX217" s="90"/>
      <c r="AY217" s="90"/>
      <c r="AZ217" s="90"/>
      <c r="BA217" s="90"/>
      <c r="BB217" s="90"/>
      <c r="BC217" s="90"/>
      <c r="BD217" s="90"/>
      <c r="BE217" s="90"/>
      <c r="BF217" s="90"/>
      <c r="BG217" s="90"/>
      <c r="BH217" s="90"/>
      <c r="BI217" s="90"/>
      <c r="BJ217" s="90"/>
      <c r="BK217" s="90"/>
      <c r="BL217" s="90"/>
      <c r="BM217" s="90"/>
      <c r="BN217" s="90"/>
      <c r="BO217" s="90"/>
      <c r="BP217" s="90"/>
    </row>
    <row r="218" ht="12.75" customHeight="1" outlineLevel="1">
      <c r="A218" s="90" t="s">
        <v>293</v>
      </c>
      <c r="C218" s="102">
        <f>'RSGen 1-7'!N$378</f>
        <v>385727.887</v>
      </c>
      <c r="D218" s="102">
        <f>OFFSET(RSGen_Walton!$G$18,0,ROW(C218)-ROW($C$211))</f>
        <v>385727.887</v>
      </c>
      <c r="E218" s="102">
        <f>OFFSET(RSGen_none!$G$18,0,ROW(D218)-ROW($C$211))</f>
        <v>385727.887</v>
      </c>
      <c r="F218" s="102"/>
      <c r="G218" s="102"/>
      <c r="H218" s="313"/>
      <c r="I218" s="313"/>
      <c r="J218" s="313"/>
      <c r="K218" s="306"/>
      <c r="L218" s="306"/>
      <c r="M218" s="306"/>
      <c r="N218" s="306"/>
      <c r="O218" s="306"/>
      <c r="P218" s="306"/>
      <c r="Q218" s="306"/>
      <c r="R218" s="306"/>
      <c r="S218" s="102">
        <f t="shared" ref="S218:AL218" si="217">S$107*(MAX(0,MIN(S13,SUM(S13:S$15)-$E$4))*$E218+MAX(0,MIN(S13,$D$4-SUM(S14:S$15)))*$C218+(S13-(MAX(0,MIN(S13,SUM(S13:S$15)-$E$4))+MAX(0,MIN(S13,$D$4-SUM(S14:S$15)))))*$D218)</f>
        <v>868813.4927</v>
      </c>
      <c r="T218" s="102">
        <f t="shared" si="217"/>
        <v>1329284.644</v>
      </c>
      <c r="U218" s="102">
        <f t="shared" si="217"/>
        <v>2259783.895</v>
      </c>
      <c r="V218" s="102">
        <f t="shared" si="217"/>
        <v>3687967.316</v>
      </c>
      <c r="W218" s="102">
        <f t="shared" si="217"/>
        <v>6112805.826</v>
      </c>
      <c r="X218" s="102">
        <f t="shared" si="217"/>
        <v>10551643.29</v>
      </c>
      <c r="Y218" s="102">
        <f t="shared" si="217"/>
        <v>16633226.78</v>
      </c>
      <c r="Z218" s="102">
        <f t="shared" si="217"/>
        <v>22454856.16</v>
      </c>
      <c r="AA218" s="102">
        <f t="shared" si="217"/>
        <v>22903953.28</v>
      </c>
      <c r="AB218" s="102">
        <f t="shared" si="217"/>
        <v>34264314.11</v>
      </c>
      <c r="AC218" s="102">
        <f t="shared" si="217"/>
        <v>42363151.98</v>
      </c>
      <c r="AD218" s="102">
        <f t="shared" si="217"/>
        <v>76698486.67</v>
      </c>
      <c r="AE218" s="102">
        <f t="shared" si="217"/>
        <v>106330028.8</v>
      </c>
      <c r="AF218" s="102">
        <f t="shared" si="217"/>
        <v>135992250.3</v>
      </c>
      <c r="AG218" s="102">
        <f t="shared" si="217"/>
        <v>156481000</v>
      </c>
      <c r="AH218" s="102">
        <f t="shared" si="217"/>
        <v>189427988.6</v>
      </c>
      <c r="AI218" s="102">
        <f t="shared" si="217"/>
        <v>208721580.1</v>
      </c>
      <c r="AJ218" s="102">
        <f t="shared" si="217"/>
        <v>209854640.1</v>
      </c>
      <c r="AK218" s="102">
        <f t="shared" si="217"/>
        <v>168759627.1</v>
      </c>
      <c r="AL218" s="102">
        <f t="shared" si="217"/>
        <v>20884003.85</v>
      </c>
      <c r="AM218" s="102">
        <f t="shared" ref="AM218:AV218" si="218">$D218*AM$107*AM13</f>
        <v>0</v>
      </c>
      <c r="AN218" s="102">
        <f t="shared" si="218"/>
        <v>0</v>
      </c>
      <c r="AO218" s="102">
        <f t="shared" si="218"/>
        <v>0</v>
      </c>
      <c r="AP218" s="102">
        <f t="shared" si="218"/>
        <v>0</v>
      </c>
      <c r="AQ218" s="102">
        <f t="shared" si="218"/>
        <v>0</v>
      </c>
      <c r="AR218" s="102">
        <f t="shared" si="218"/>
        <v>0</v>
      </c>
      <c r="AS218" s="102">
        <f t="shared" si="218"/>
        <v>0</v>
      </c>
      <c r="AT218" s="102">
        <f t="shared" si="218"/>
        <v>0</v>
      </c>
      <c r="AU218" s="102">
        <f t="shared" si="218"/>
        <v>0</v>
      </c>
      <c r="AV218" s="102" t="str">
        <f t="shared" si="218"/>
        <v>#REF!</v>
      </c>
      <c r="AW218" s="90"/>
      <c r="AX218" s="90"/>
      <c r="AY218" s="90"/>
      <c r="AZ218" s="90"/>
      <c r="BA218" s="90"/>
      <c r="BB218" s="90"/>
      <c r="BC218" s="90"/>
      <c r="BD218" s="90"/>
      <c r="BE218" s="90"/>
      <c r="BF218" s="90"/>
      <c r="BG218" s="90"/>
      <c r="BH218" s="90"/>
      <c r="BI218" s="90"/>
      <c r="BJ218" s="90"/>
      <c r="BK218" s="90"/>
      <c r="BL218" s="90"/>
      <c r="BM218" s="90"/>
      <c r="BN218" s="90"/>
      <c r="BO218" s="90"/>
      <c r="BP218" s="90"/>
    </row>
    <row r="219" ht="12.75" customHeight="1" outlineLevel="1">
      <c r="A219" s="90" t="s">
        <v>294</v>
      </c>
      <c r="C219" s="102">
        <f>'RSGen 1-7'!O$378</f>
        <v>384926.527</v>
      </c>
      <c r="D219" s="102">
        <f>OFFSET(RSGen_Walton!$G$18,0,ROW(C219)-ROW($C$211))</f>
        <v>384926.527</v>
      </c>
      <c r="E219" s="102">
        <f>OFFSET(RSGen_none!$G$18,0,ROW(D219)-ROW($C$211))</f>
        <v>384926.527</v>
      </c>
      <c r="F219" s="102"/>
      <c r="G219" s="102"/>
      <c r="H219" s="313"/>
      <c r="I219" s="313"/>
      <c r="J219" s="313"/>
      <c r="K219" s="306"/>
      <c r="L219" s="306"/>
      <c r="M219" s="306"/>
      <c r="N219" s="306"/>
      <c r="O219" s="306"/>
      <c r="P219" s="306"/>
      <c r="Q219" s="306"/>
      <c r="R219" s="306"/>
      <c r="S219" s="306"/>
      <c r="T219" s="102">
        <f t="shared" ref="T219:AL219" si="219">T$107*(MAX(0,MIN(T14,SUM(T14:T$15)-$E$4))*$E219+MAX(0,MIN(T14,$D$4-SUM(T$15:T15)))*$C219+(T14-(MAX(0,MIN(T14,SUM(T14:T$15)-$E$4))+MAX(0,MIN(T14,$D$4-SUM(T$15:T15)))))*$D219)</f>
        <v>884348.6796</v>
      </c>
      <c r="U219" s="102">
        <f t="shared" si="219"/>
        <v>1353053.48</v>
      </c>
      <c r="V219" s="102">
        <f t="shared" si="219"/>
        <v>2300190.916</v>
      </c>
      <c r="W219" s="102">
        <f t="shared" si="219"/>
        <v>3753911.574</v>
      </c>
      <c r="X219" s="102">
        <f t="shared" si="219"/>
        <v>6222108.435</v>
      </c>
      <c r="Y219" s="102">
        <f t="shared" si="219"/>
        <v>10740316.41</v>
      </c>
      <c r="Z219" s="102">
        <f t="shared" si="219"/>
        <v>16930644.22</v>
      </c>
      <c r="AA219" s="102">
        <f t="shared" si="219"/>
        <v>22856369.7</v>
      </c>
      <c r="AB219" s="102">
        <f t="shared" si="219"/>
        <v>23313497.1</v>
      </c>
      <c r="AC219" s="102">
        <f t="shared" si="219"/>
        <v>34876991.66</v>
      </c>
      <c r="AD219" s="102">
        <f t="shared" si="219"/>
        <v>43120644.23</v>
      </c>
      <c r="AE219" s="102">
        <f t="shared" si="219"/>
        <v>78069926.38</v>
      </c>
      <c r="AF219" s="102">
        <f t="shared" si="219"/>
        <v>108231307.8</v>
      </c>
      <c r="AG219" s="102">
        <f t="shared" si="219"/>
        <v>138423917.2</v>
      </c>
      <c r="AH219" s="102">
        <f t="shared" si="219"/>
        <v>159279024.7</v>
      </c>
      <c r="AI219" s="102">
        <f t="shared" si="219"/>
        <v>192815135.8</v>
      </c>
      <c r="AJ219" s="102">
        <f t="shared" si="219"/>
        <v>212453714.5</v>
      </c>
      <c r="AK219" s="102">
        <f t="shared" si="219"/>
        <v>213607034.7</v>
      </c>
      <c r="AL219" s="102">
        <f t="shared" si="219"/>
        <v>171777204.9</v>
      </c>
      <c r="AM219" s="102">
        <f t="shared" ref="AM219:AV219" si="220">$D219*AM$107*AM14</f>
        <v>21257429.11</v>
      </c>
      <c r="AN219" s="102">
        <f t="shared" si="220"/>
        <v>0</v>
      </c>
      <c r="AO219" s="102">
        <f t="shared" si="220"/>
        <v>0</v>
      </c>
      <c r="AP219" s="102">
        <f t="shared" si="220"/>
        <v>0</v>
      </c>
      <c r="AQ219" s="102">
        <f t="shared" si="220"/>
        <v>0</v>
      </c>
      <c r="AR219" s="102">
        <f t="shared" si="220"/>
        <v>0</v>
      </c>
      <c r="AS219" s="102">
        <f t="shared" si="220"/>
        <v>0</v>
      </c>
      <c r="AT219" s="102">
        <f t="shared" si="220"/>
        <v>0</v>
      </c>
      <c r="AU219" s="102">
        <f t="shared" si="220"/>
        <v>0</v>
      </c>
      <c r="AV219" s="102">
        <f t="shared" si="220"/>
        <v>0</v>
      </c>
      <c r="AW219" s="90"/>
      <c r="AX219" s="90"/>
      <c r="AY219" s="90"/>
      <c r="AZ219" s="90"/>
      <c r="BA219" s="90"/>
      <c r="BB219" s="90"/>
      <c r="BC219" s="90"/>
      <c r="BD219" s="90"/>
      <c r="BE219" s="90"/>
      <c r="BF219" s="90"/>
      <c r="BG219" s="90"/>
      <c r="BH219" s="90"/>
      <c r="BI219" s="90"/>
      <c r="BJ219" s="90"/>
      <c r="BK219" s="90"/>
      <c r="BL219" s="90"/>
      <c r="BM219" s="90"/>
      <c r="BN219" s="90"/>
      <c r="BO219" s="90"/>
      <c r="BP219" s="90"/>
    </row>
    <row r="220" ht="12.75" customHeight="1" outlineLevel="1">
      <c r="A220" s="90" t="s">
        <v>595</v>
      </c>
      <c r="C220" s="102">
        <f>'RSGen 1-7'!P$378</f>
        <v>384125.167</v>
      </c>
      <c r="D220" s="102">
        <f>OFFSET(RSGen_Walton!$G$18,0,ROW(C220)-ROW($C$211))</f>
        <v>384125.167</v>
      </c>
      <c r="E220" s="102">
        <f>OFFSET(RSGen_none!$G$18,0,ROW(D220)-ROW($C$211))</f>
        <v>384125.167</v>
      </c>
      <c r="F220" s="102"/>
      <c r="G220" s="102"/>
      <c r="H220" s="313"/>
      <c r="I220" s="313"/>
      <c r="J220" s="313"/>
      <c r="K220" s="306"/>
      <c r="L220" s="306"/>
      <c r="M220" s="306"/>
      <c r="N220" s="306"/>
      <c r="O220" s="306"/>
      <c r="P220" s="306"/>
      <c r="Q220" s="306"/>
      <c r="R220" s="306"/>
      <c r="S220" s="306"/>
      <c r="T220" s="306"/>
      <c r="U220" s="102">
        <f t="shared" ref="U220:AL220" si="221">U$107*($C220*MIN($D$4-3,U15-3)+$D220*MIN($E$4-$D$4,MAX(0,U15-$D$4))+$E220*MAX(0,U15-$E$4))</f>
        <v>900157.7486</v>
      </c>
      <c r="V220" s="102">
        <f t="shared" si="221"/>
        <v>2295402.259</v>
      </c>
      <c r="W220" s="102">
        <f t="shared" si="221"/>
        <v>4682620.608</v>
      </c>
      <c r="X220" s="102">
        <f t="shared" si="221"/>
        <v>8597291.437</v>
      </c>
      <c r="Y220" s="102">
        <f t="shared" si="221"/>
        <v>15102575.29</v>
      </c>
      <c r="Z220" s="102">
        <f t="shared" si="221"/>
        <v>26336942.59</v>
      </c>
      <c r="AA220" s="102">
        <f t="shared" si="221"/>
        <v>44096986.51</v>
      </c>
      <c r="AB220" s="102">
        <f t="shared" si="221"/>
        <v>68243888.1</v>
      </c>
      <c r="AC220" s="102">
        <f t="shared" si="221"/>
        <v>93339026.94</v>
      </c>
      <c r="AD220" s="102">
        <f t="shared" si="221"/>
        <v>130706278.1</v>
      </c>
      <c r="AE220" s="102">
        <f t="shared" si="221"/>
        <v>177211894.5</v>
      </c>
      <c r="AF220" s="102">
        <f t="shared" si="221"/>
        <v>260221676.7</v>
      </c>
      <c r="AG220" s="102">
        <f t="shared" si="221"/>
        <v>375592216.2</v>
      </c>
      <c r="AH220" s="102">
        <f t="shared" si="221"/>
        <v>524002514.4</v>
      </c>
      <c r="AI220" s="102">
        <f t="shared" si="221"/>
        <v>696608942.7</v>
      </c>
      <c r="AJ220" s="102">
        <f t="shared" si="221"/>
        <v>906803119.3</v>
      </c>
      <c r="AK220" s="102">
        <f t="shared" si="221"/>
        <v>1141190827</v>
      </c>
      <c r="AL220" s="102">
        <f t="shared" si="221"/>
        <v>1381440227</v>
      </c>
      <c r="AM220" s="102">
        <f t="shared" ref="AM220:AV220" si="222">$C220*AM$107*(4)+$C220*AM$107*(AM15-7)</f>
        <v>1583917014</v>
      </c>
      <c r="AN220" s="102">
        <f t="shared" si="222"/>
        <v>1637232792</v>
      </c>
      <c r="AO220" s="102">
        <f t="shared" si="222"/>
        <v>1669977448</v>
      </c>
      <c r="AP220" s="102">
        <f t="shared" si="222"/>
        <v>1703376997</v>
      </c>
      <c r="AQ220" s="102">
        <f t="shared" si="222"/>
        <v>1737444536</v>
      </c>
      <c r="AR220" s="102">
        <f t="shared" si="222"/>
        <v>1772193427</v>
      </c>
      <c r="AS220" s="102">
        <f t="shared" si="222"/>
        <v>1807637296</v>
      </c>
      <c r="AT220" s="102">
        <f t="shared" si="222"/>
        <v>1843790042</v>
      </c>
      <c r="AU220" s="102">
        <f t="shared" si="222"/>
        <v>1880665842</v>
      </c>
      <c r="AV220" s="102">
        <f t="shared" si="222"/>
        <v>1918279159</v>
      </c>
      <c r="AW220" s="90"/>
      <c r="AX220" s="90"/>
      <c r="AY220" s="90"/>
      <c r="AZ220" s="90"/>
      <c r="BA220" s="90"/>
      <c r="BB220" s="90"/>
      <c r="BC220" s="90"/>
      <c r="BD220" s="90"/>
      <c r="BE220" s="90"/>
      <c r="BF220" s="90"/>
      <c r="BG220" s="90"/>
      <c r="BH220" s="90"/>
      <c r="BI220" s="90"/>
      <c r="BJ220" s="90"/>
      <c r="BK220" s="90"/>
      <c r="BL220" s="90"/>
      <c r="BM220" s="90"/>
      <c r="BN220" s="90"/>
      <c r="BO220" s="90"/>
      <c r="BP220" s="90"/>
    </row>
    <row r="221" ht="12.75" customHeight="1" outlineLevel="1">
      <c r="A221" s="143" t="s">
        <v>600</v>
      </c>
      <c r="B221" s="143"/>
      <c r="C221" s="309"/>
      <c r="D221" s="309"/>
      <c r="E221" s="309"/>
      <c r="F221" s="309"/>
      <c r="G221" s="309"/>
      <c r="H221" s="314"/>
      <c r="I221" s="314"/>
      <c r="J221" s="314"/>
      <c r="K221" s="311"/>
      <c r="L221" s="312">
        <v>37500.0</v>
      </c>
      <c r="M221" s="309">
        <f t="shared" ref="M221:AV221" si="223">SUM(M211:M220)</f>
        <v>98000</v>
      </c>
      <c r="N221" s="309">
        <f t="shared" si="223"/>
        <v>836951.8979</v>
      </c>
      <c r="O221" s="309">
        <f t="shared" si="223"/>
        <v>2015371.561</v>
      </c>
      <c r="P221" s="309">
        <f t="shared" si="223"/>
        <v>3907786.682</v>
      </c>
      <c r="Q221" s="309">
        <f t="shared" si="223"/>
        <v>7062588.644</v>
      </c>
      <c r="R221" s="309">
        <f t="shared" si="223"/>
        <v>12355760.07</v>
      </c>
      <c r="S221" s="309">
        <f t="shared" si="223"/>
        <v>21728690.75</v>
      </c>
      <c r="T221" s="309">
        <f t="shared" si="223"/>
        <v>35215639.95</v>
      </c>
      <c r="U221" s="309">
        <f t="shared" si="223"/>
        <v>47128208.16</v>
      </c>
      <c r="V221" s="309">
        <f t="shared" si="223"/>
        <v>65699261.77</v>
      </c>
      <c r="W221" s="309">
        <f t="shared" si="223"/>
        <v>91783177.04</v>
      </c>
      <c r="X221" s="309">
        <f t="shared" si="223"/>
        <v>126879451.9</v>
      </c>
      <c r="Y221" s="309">
        <f t="shared" si="223"/>
        <v>179236810.5</v>
      </c>
      <c r="Z221" s="309">
        <f t="shared" si="223"/>
        <v>259941275.2</v>
      </c>
      <c r="AA221" s="309">
        <f t="shared" si="223"/>
        <v>367965397.2</v>
      </c>
      <c r="AB221" s="309">
        <f t="shared" si="223"/>
        <v>502527126.1</v>
      </c>
      <c r="AC221" s="309">
        <f t="shared" si="223"/>
        <v>664209772.5</v>
      </c>
      <c r="AD221" s="309">
        <f t="shared" si="223"/>
        <v>853738474.9</v>
      </c>
      <c r="AE221" s="309">
        <f t="shared" si="223"/>
        <v>1058490443</v>
      </c>
      <c r="AF221" s="309">
        <f t="shared" si="223"/>
        <v>1255772670</v>
      </c>
      <c r="AG221" s="309">
        <f t="shared" si="223"/>
        <v>1385727101</v>
      </c>
      <c r="AH221" s="309">
        <f t="shared" si="223"/>
        <v>1443556239</v>
      </c>
      <c r="AI221" s="309">
        <f t="shared" si="223"/>
        <v>1485349567</v>
      </c>
      <c r="AJ221" s="309">
        <f t="shared" si="223"/>
        <v>1515086585</v>
      </c>
      <c r="AK221" s="309">
        <f t="shared" si="223"/>
        <v>1544076565</v>
      </c>
      <c r="AL221" s="309">
        <f t="shared" si="223"/>
        <v>1574101436</v>
      </c>
      <c r="AM221" s="309">
        <f t="shared" si="223"/>
        <v>1605174443</v>
      </c>
      <c r="AN221" s="309">
        <f t="shared" si="223"/>
        <v>1637232792</v>
      </c>
      <c r="AO221" s="309" t="str">
        <f t="shared" si="223"/>
        <v>#REF!</v>
      </c>
      <c r="AP221" s="309" t="str">
        <f t="shared" si="223"/>
        <v>#REF!</v>
      </c>
      <c r="AQ221" s="309" t="str">
        <f t="shared" si="223"/>
        <v>#REF!</v>
      </c>
      <c r="AR221" s="309" t="str">
        <f t="shared" si="223"/>
        <v>#REF!</v>
      </c>
      <c r="AS221" s="309" t="str">
        <f t="shared" si="223"/>
        <v>#REF!</v>
      </c>
      <c r="AT221" s="309" t="str">
        <f t="shared" si="223"/>
        <v>#REF!</v>
      </c>
      <c r="AU221" s="309" t="str">
        <f t="shared" si="223"/>
        <v>#REF!</v>
      </c>
      <c r="AV221" s="309" t="str">
        <f t="shared" si="223"/>
        <v>#REF!</v>
      </c>
      <c r="AW221" s="90"/>
      <c r="AX221" s="90"/>
      <c r="AY221" s="90"/>
      <c r="AZ221" s="90"/>
      <c r="BA221" s="90"/>
      <c r="BB221" s="90"/>
      <c r="BC221" s="90"/>
      <c r="BD221" s="90"/>
      <c r="BE221" s="90"/>
      <c r="BF221" s="90"/>
      <c r="BG221" s="90"/>
      <c r="BH221" s="90"/>
      <c r="BI221" s="90"/>
      <c r="BJ221" s="90"/>
      <c r="BK221" s="90"/>
      <c r="BL221" s="90"/>
      <c r="BM221" s="90"/>
      <c r="BN221" s="90"/>
      <c r="BO221" s="90"/>
      <c r="BP221" s="90"/>
    </row>
    <row r="222" ht="12.75" customHeight="1" outlineLevel="1">
      <c r="A222" s="90"/>
      <c r="C222" s="102"/>
      <c r="D222" s="102"/>
      <c r="E222" s="102"/>
      <c r="F222" s="102"/>
      <c r="G222" s="102"/>
      <c r="K222" s="102"/>
      <c r="L222" s="102"/>
      <c r="M222" s="102"/>
      <c r="N222" s="102"/>
      <c r="O222" s="102"/>
      <c r="P222" s="102"/>
      <c r="Q222" s="102"/>
      <c r="R222" s="102"/>
      <c r="S222" s="102"/>
      <c r="T222" s="102"/>
      <c r="U222" s="102"/>
      <c r="V222" s="102"/>
      <c r="W222" s="102"/>
      <c r="X222" s="102"/>
      <c r="Y222" s="102"/>
      <c r="Z222" s="102"/>
      <c r="AA222" s="102"/>
      <c r="AB222" s="102"/>
      <c r="AC222" s="102"/>
      <c r="AD222" s="102"/>
      <c r="AE222" s="102"/>
      <c r="AF222" s="102"/>
      <c r="AG222" s="102"/>
      <c r="AH222" s="102"/>
      <c r="AI222" s="102"/>
      <c r="AJ222" s="102"/>
      <c r="AK222" s="102"/>
      <c r="AL222" s="102"/>
      <c r="AM222" s="102"/>
      <c r="AN222" s="102"/>
      <c r="AO222" s="102"/>
      <c r="AP222" s="102"/>
      <c r="AQ222" s="102"/>
      <c r="AR222" s="102"/>
      <c r="AS222" s="102"/>
      <c r="AT222" s="102"/>
      <c r="AU222" s="102"/>
      <c r="AV222" s="102"/>
      <c r="AW222" s="90"/>
      <c r="AX222" s="90"/>
      <c r="AY222" s="90"/>
      <c r="AZ222" s="90"/>
      <c r="BA222" s="90"/>
      <c r="BB222" s="90"/>
      <c r="BC222" s="90"/>
      <c r="BD222" s="90"/>
      <c r="BE222" s="90"/>
      <c r="BF222" s="90"/>
      <c r="BG222" s="90"/>
      <c r="BH222" s="90"/>
      <c r="BI222" s="90"/>
      <c r="BJ222" s="90"/>
      <c r="BK222" s="90"/>
      <c r="BL222" s="90"/>
      <c r="BM222" s="90"/>
      <c r="BN222" s="90"/>
      <c r="BO222" s="90"/>
      <c r="BP222" s="90"/>
    </row>
    <row r="223" ht="12.75" customHeight="1" outlineLevel="1">
      <c r="A223" s="90" t="s">
        <v>601</v>
      </c>
      <c r="C223" s="102"/>
      <c r="D223" s="102"/>
      <c r="E223" s="102"/>
      <c r="F223" s="102"/>
      <c r="G223" s="102"/>
      <c r="K223" s="102"/>
      <c r="L223" s="102"/>
      <c r="M223" s="102"/>
      <c r="N223" s="102"/>
      <c r="O223" s="102"/>
      <c r="P223" s="102"/>
      <c r="Q223" s="102"/>
      <c r="R223" s="102"/>
      <c r="S223" s="102"/>
      <c r="T223" s="102"/>
      <c r="U223" s="102"/>
      <c r="V223" s="102"/>
      <c r="W223" s="102"/>
      <c r="X223" s="102"/>
      <c r="Y223" s="102"/>
      <c r="Z223" s="102"/>
      <c r="AA223" s="102"/>
      <c r="AB223" s="102"/>
      <c r="AC223" s="102"/>
      <c r="AD223" s="102"/>
      <c r="AE223" s="102"/>
      <c r="AF223" s="102"/>
      <c r="AG223" s="102"/>
      <c r="AH223" s="102"/>
      <c r="AI223" s="102"/>
      <c r="AJ223" s="102"/>
      <c r="AK223" s="102"/>
      <c r="AL223" s="102"/>
      <c r="AM223" s="102"/>
      <c r="AN223" s="102"/>
      <c r="AO223" s="102"/>
      <c r="AP223" s="102"/>
      <c r="AQ223" s="102"/>
      <c r="AR223" s="102"/>
      <c r="AS223" s="102"/>
      <c r="AT223" s="102"/>
      <c r="AU223" s="102"/>
      <c r="AV223" s="102"/>
      <c r="AW223" s="90"/>
      <c r="AX223" s="90"/>
      <c r="AY223" s="90"/>
      <c r="AZ223" s="90"/>
      <c r="BA223" s="90"/>
      <c r="BB223" s="90"/>
      <c r="BC223" s="90"/>
      <c r="BD223" s="90"/>
      <c r="BE223" s="90"/>
      <c r="BF223" s="90"/>
      <c r="BG223" s="90"/>
      <c r="BH223" s="90"/>
      <c r="BI223" s="90"/>
      <c r="BJ223" s="90"/>
      <c r="BK223" s="90"/>
      <c r="BL223" s="90"/>
      <c r="BM223" s="90"/>
      <c r="BN223" s="90"/>
      <c r="BO223" s="90"/>
      <c r="BP223" s="90"/>
    </row>
    <row r="224" ht="12.75" customHeight="1" outlineLevel="1">
      <c r="A224" s="90" t="s">
        <v>286</v>
      </c>
      <c r="C224" s="102">
        <f>OFFSET('RSGen 1-7'!$G$19,0,ROW(A224)-ROW($A$224))</f>
        <v>6250</v>
      </c>
      <c r="D224" s="102">
        <f>OFFSET(RSGen_Walton!$G$19,0,ROW(C224)-ROW($C$224))</f>
        <v>0</v>
      </c>
      <c r="E224" s="102">
        <f>OFFSET(RSGen_none!$G$19,0,ROW(D224)-ROW($C$224))</f>
        <v>0</v>
      </c>
      <c r="F224" s="102"/>
      <c r="G224" s="102"/>
      <c r="K224" s="102"/>
      <c r="L224" s="102">
        <f>$C224*L$107*L6</f>
        <v>12500</v>
      </c>
      <c r="M224" s="102">
        <f t="shared" ref="M224:AL224" si="224">M$107*(MAX(0,MIN(M6,SUM(M6:M$15)-$E$4))*$E224+MAX(0,MIN(M6,$D$4-SUM(M7:M$15)))*$C224+(M6-(MAX(0,MIN(M6,SUM(M6:M$15)-$E$4))+MAX(0,MIN(M6,$D$4-SUM(M7:M$15)))))*$D224)</f>
        <v>12500</v>
      </c>
      <c r="N224" s="102">
        <f t="shared" si="224"/>
        <v>0</v>
      </c>
      <c r="O224" s="102">
        <f t="shared" si="224"/>
        <v>0</v>
      </c>
      <c r="P224" s="102">
        <f t="shared" si="224"/>
        <v>0</v>
      </c>
      <c r="Q224" s="102">
        <f t="shared" si="224"/>
        <v>0</v>
      </c>
      <c r="R224" s="102">
        <f t="shared" si="224"/>
        <v>0</v>
      </c>
      <c r="S224" s="102">
        <f t="shared" si="224"/>
        <v>0</v>
      </c>
      <c r="T224" s="102">
        <f t="shared" si="224"/>
        <v>0</v>
      </c>
      <c r="U224" s="102">
        <f t="shared" si="224"/>
        <v>0</v>
      </c>
      <c r="V224" s="102">
        <f t="shared" si="224"/>
        <v>0</v>
      </c>
      <c r="W224" s="102">
        <f t="shared" si="224"/>
        <v>0</v>
      </c>
      <c r="X224" s="102">
        <f t="shared" si="224"/>
        <v>0</v>
      </c>
      <c r="Y224" s="102">
        <f t="shared" si="224"/>
        <v>0</v>
      </c>
      <c r="Z224" s="102">
        <f t="shared" si="224"/>
        <v>0</v>
      </c>
      <c r="AA224" s="102">
        <f t="shared" si="224"/>
        <v>0</v>
      </c>
      <c r="AB224" s="102">
        <f t="shared" si="224"/>
        <v>0</v>
      </c>
      <c r="AC224" s="102">
        <f t="shared" si="224"/>
        <v>0</v>
      </c>
      <c r="AD224" s="102">
        <f t="shared" si="224"/>
        <v>0</v>
      </c>
      <c r="AE224" s="102">
        <f t="shared" si="224"/>
        <v>0</v>
      </c>
      <c r="AF224" s="102">
        <f t="shared" si="224"/>
        <v>0</v>
      </c>
      <c r="AG224" s="102">
        <f t="shared" si="224"/>
        <v>0</v>
      </c>
      <c r="AH224" s="102">
        <f t="shared" si="224"/>
        <v>0</v>
      </c>
      <c r="AI224" s="102">
        <f t="shared" si="224"/>
        <v>0</v>
      </c>
      <c r="AJ224" s="102">
        <f t="shared" si="224"/>
        <v>0</v>
      </c>
      <c r="AK224" s="102">
        <f t="shared" si="224"/>
        <v>0</v>
      </c>
      <c r="AL224" s="102">
        <f t="shared" si="224"/>
        <v>0</v>
      </c>
      <c r="AM224" s="102">
        <f t="shared" ref="AM224:AV224" si="225">$D224*AM$107*AM6</f>
        <v>0</v>
      </c>
      <c r="AN224" s="102">
        <f t="shared" si="225"/>
        <v>0</v>
      </c>
      <c r="AO224" s="102" t="str">
        <f t="shared" si="225"/>
        <v>#REF!</v>
      </c>
      <c r="AP224" s="102" t="str">
        <f t="shared" si="225"/>
        <v>#REF!</v>
      </c>
      <c r="AQ224" s="102" t="str">
        <f t="shared" si="225"/>
        <v>#REF!</v>
      </c>
      <c r="AR224" s="102" t="str">
        <f t="shared" si="225"/>
        <v>#REF!</v>
      </c>
      <c r="AS224" s="102" t="str">
        <f t="shared" si="225"/>
        <v>#REF!</v>
      </c>
      <c r="AT224" s="102">
        <f t="shared" si="225"/>
        <v>0</v>
      </c>
      <c r="AU224" s="102">
        <f t="shared" si="225"/>
        <v>0</v>
      </c>
      <c r="AV224" s="102">
        <f t="shared" si="225"/>
        <v>0</v>
      </c>
      <c r="AW224" s="90"/>
      <c r="AX224" s="90"/>
      <c r="AY224" s="90"/>
      <c r="AZ224" s="90"/>
      <c r="BA224" s="90"/>
      <c r="BB224" s="90"/>
      <c r="BC224" s="90"/>
      <c r="BD224" s="90"/>
      <c r="BE224" s="90"/>
      <c r="BF224" s="90"/>
      <c r="BG224" s="90"/>
      <c r="BH224" s="90"/>
      <c r="BI224" s="90"/>
      <c r="BJ224" s="90"/>
      <c r="BK224" s="90"/>
      <c r="BL224" s="90"/>
      <c r="BM224" s="90"/>
      <c r="BN224" s="90"/>
      <c r="BO224" s="90"/>
      <c r="BP224" s="90"/>
    </row>
    <row r="225" ht="12.75" customHeight="1" outlineLevel="1">
      <c r="A225" s="90" t="s">
        <v>287</v>
      </c>
      <c r="C225" s="102">
        <f>OFFSET('RSGen 1-7'!$G$19,0,ROW(A225)-ROW($A$224))</f>
        <v>6000</v>
      </c>
      <c r="D225" s="102">
        <f>OFFSET(RSGen_Walton!$G$19,0,ROW(C225)-ROW($C$224))</f>
        <v>6000</v>
      </c>
      <c r="E225" s="102">
        <f>OFFSET(RSGen_none!$G$19,0,ROW(D225)-ROW($C$224))</f>
        <v>6000</v>
      </c>
      <c r="F225" s="102"/>
      <c r="G225" s="102"/>
      <c r="H225" s="313"/>
      <c r="I225" s="313"/>
      <c r="J225" s="313"/>
      <c r="K225" s="306"/>
      <c r="L225" s="306"/>
      <c r="M225" s="102">
        <f t="shared" ref="M225:AL225" si="226">M$107*(MAX(0,MIN(M7,SUM(M7:M$15)-$E$4))*$E225+MAX(0,MIN(M7,$D$4-SUM(M8:M$15)))*$C225+(M7-(MAX(0,MIN(M7,SUM(M7:M$15)-$E$4))+MAX(0,MIN(M7,$D$4-SUM(M8:M$15)))))*$D225)</f>
        <v>12000</v>
      </c>
      <c r="N225" s="102">
        <f t="shared" si="226"/>
        <v>18180</v>
      </c>
      <c r="O225" s="102">
        <f t="shared" si="226"/>
        <v>30906</v>
      </c>
      <c r="P225" s="102">
        <f t="shared" si="226"/>
        <v>50438.592</v>
      </c>
      <c r="Q225" s="102">
        <f t="shared" si="226"/>
        <v>83601.96624</v>
      </c>
      <c r="R225" s="102">
        <f t="shared" si="226"/>
        <v>144309.8556</v>
      </c>
      <c r="S225" s="102">
        <f t="shared" si="226"/>
        <v>229744.8</v>
      </c>
      <c r="T225" s="102">
        <f t="shared" si="226"/>
        <v>310155.48</v>
      </c>
      <c r="U225" s="102">
        <f t="shared" si="226"/>
        <v>316358.5896</v>
      </c>
      <c r="V225" s="102">
        <f t="shared" si="226"/>
        <v>473272.45</v>
      </c>
      <c r="W225" s="102">
        <f t="shared" si="226"/>
        <v>585136.8473</v>
      </c>
      <c r="X225" s="102">
        <f t="shared" si="226"/>
        <v>1059390.262</v>
      </c>
      <c r="Y225" s="102">
        <f t="shared" si="226"/>
        <v>1468673.007</v>
      </c>
      <c r="Z225" s="102">
        <f t="shared" si="226"/>
        <v>1878379.508</v>
      </c>
      <c r="AA225" s="102">
        <f t="shared" si="226"/>
        <v>2161378.338</v>
      </c>
      <c r="AB225" s="102">
        <f t="shared" si="226"/>
        <v>2616455.36</v>
      </c>
      <c r="AC225" s="102">
        <f t="shared" si="226"/>
        <v>2882946.183</v>
      </c>
      <c r="AD225" s="102">
        <f t="shared" si="226"/>
        <v>2898596.462</v>
      </c>
      <c r="AE225" s="102">
        <f t="shared" si="226"/>
        <v>2330975.66</v>
      </c>
      <c r="AF225" s="102">
        <f t="shared" si="226"/>
        <v>288458.2379</v>
      </c>
      <c r="AG225" s="102">
        <f t="shared" si="226"/>
        <v>0</v>
      </c>
      <c r="AH225" s="102">
        <f t="shared" si="226"/>
        <v>0</v>
      </c>
      <c r="AI225" s="102">
        <f t="shared" si="226"/>
        <v>0</v>
      </c>
      <c r="AJ225" s="102">
        <f t="shared" si="226"/>
        <v>0</v>
      </c>
      <c r="AK225" s="102">
        <f t="shared" si="226"/>
        <v>0</v>
      </c>
      <c r="AL225" s="102">
        <f t="shared" si="226"/>
        <v>0</v>
      </c>
      <c r="AM225" s="102">
        <f t="shared" ref="AM225:AV225" si="227">$D225*AM$107*AM7</f>
        <v>0</v>
      </c>
      <c r="AN225" s="102">
        <f t="shared" si="227"/>
        <v>0</v>
      </c>
      <c r="AO225" s="102">
        <f t="shared" si="227"/>
        <v>0</v>
      </c>
      <c r="AP225" s="102" t="str">
        <f t="shared" si="227"/>
        <v>#REF!</v>
      </c>
      <c r="AQ225" s="102" t="str">
        <f t="shared" si="227"/>
        <v>#REF!</v>
      </c>
      <c r="AR225" s="102" t="str">
        <f t="shared" si="227"/>
        <v>#REF!</v>
      </c>
      <c r="AS225" s="102" t="str">
        <f t="shared" si="227"/>
        <v>#REF!</v>
      </c>
      <c r="AT225" s="102" t="str">
        <f t="shared" si="227"/>
        <v>#REF!</v>
      </c>
      <c r="AU225" s="102">
        <f t="shared" si="227"/>
        <v>0</v>
      </c>
      <c r="AV225" s="102">
        <f t="shared" si="227"/>
        <v>0</v>
      </c>
      <c r="AW225" s="90"/>
      <c r="AX225" s="90"/>
      <c r="AY225" s="90"/>
      <c r="AZ225" s="90"/>
      <c r="BA225" s="90"/>
      <c r="BB225" s="90"/>
      <c r="BC225" s="90"/>
      <c r="BD225" s="90"/>
      <c r="BE225" s="90"/>
      <c r="BF225" s="90"/>
      <c r="BG225" s="90"/>
      <c r="BH225" s="90"/>
      <c r="BI225" s="90"/>
      <c r="BJ225" s="90"/>
      <c r="BK225" s="90"/>
      <c r="BL225" s="90"/>
      <c r="BM225" s="90"/>
      <c r="BN225" s="90"/>
      <c r="BO225" s="90"/>
      <c r="BP225" s="90"/>
    </row>
    <row r="226" ht="12.75" customHeight="1" outlineLevel="1">
      <c r="A226" s="90" t="s">
        <v>288</v>
      </c>
      <c r="C226" s="102">
        <f>OFFSET('RSGen 1-7'!$G$19,0,ROW(A226)-ROW($A$224))</f>
        <v>94583.15568</v>
      </c>
      <c r="D226" s="102">
        <f>OFFSET(RSGen_Walton!$G$19,0,ROW(C226)-ROW($C$224))</f>
        <v>121110.8742</v>
      </c>
      <c r="E226" s="102">
        <f>OFFSET(RSGen_none!$G$19,0,ROW(D226)-ROW($C$224))</f>
        <v>121110.8742</v>
      </c>
      <c r="F226" s="102"/>
      <c r="G226" s="102"/>
      <c r="H226" s="313"/>
      <c r="I226" s="313"/>
      <c r="J226" s="313"/>
      <c r="K226" s="306"/>
      <c r="L226" s="306"/>
      <c r="M226" s="306"/>
      <c r="N226" s="102">
        <f t="shared" ref="N226:AL226" si="228">N$107*(MAX(0,MIN(N8,SUM(N8:N$15)-$E$4))*$E226+MAX(0,MIN(N8,$D$4-SUM(N9:N$15)))*$C226+(N8-(MAX(0,MIN(N8,SUM(N8:N$15)-$E$4))+MAX(0,MIN(N8,$D$4-SUM(N9:N$15)))))*$D226)</f>
        <v>191057.9745</v>
      </c>
      <c r="O226" s="102">
        <f t="shared" si="228"/>
        <v>319647.5566</v>
      </c>
      <c r="P226" s="102">
        <f t="shared" si="228"/>
        <v>636318.9555</v>
      </c>
      <c r="Q226" s="102">
        <f t="shared" si="228"/>
        <v>1038472.535</v>
      </c>
      <c r="R226" s="102">
        <f t="shared" si="228"/>
        <v>1721268.227</v>
      </c>
      <c r="S226" s="102">
        <f t="shared" si="228"/>
        <v>3000691.465</v>
      </c>
      <c r="T226" s="102">
        <f t="shared" si="228"/>
        <v>4730180.909</v>
      </c>
      <c r="U226" s="102">
        <f t="shared" si="228"/>
        <v>6385744.227</v>
      </c>
      <c r="V226" s="102">
        <f t="shared" si="228"/>
        <v>6513459.111</v>
      </c>
      <c r="W226" s="102">
        <f t="shared" si="228"/>
        <v>9744134.83</v>
      </c>
      <c r="X226" s="102">
        <f t="shared" si="228"/>
        <v>12047293.97</v>
      </c>
      <c r="Y226" s="102">
        <f t="shared" si="228"/>
        <v>21811625.74</v>
      </c>
      <c r="Z226" s="102">
        <f t="shared" si="228"/>
        <v>30238286.21</v>
      </c>
      <c r="AA226" s="102">
        <f t="shared" si="228"/>
        <v>38673671.34</v>
      </c>
      <c r="AB226" s="102">
        <f t="shared" si="228"/>
        <v>44500291.41</v>
      </c>
      <c r="AC226" s="102">
        <f t="shared" si="228"/>
        <v>53869803.32</v>
      </c>
      <c r="AD226" s="102">
        <f t="shared" si="228"/>
        <v>59356542.55</v>
      </c>
      <c r="AE226" s="102">
        <f t="shared" si="228"/>
        <v>59678763.78</v>
      </c>
      <c r="AF226" s="102">
        <f t="shared" si="228"/>
        <v>47992104.99</v>
      </c>
      <c r="AG226" s="102">
        <f t="shared" si="228"/>
        <v>5939022.993</v>
      </c>
      <c r="AH226" s="102">
        <f t="shared" si="228"/>
        <v>0</v>
      </c>
      <c r="AI226" s="102">
        <f t="shared" si="228"/>
        <v>0</v>
      </c>
      <c r="AJ226" s="102">
        <f t="shared" si="228"/>
        <v>0</v>
      </c>
      <c r="AK226" s="102">
        <f t="shared" si="228"/>
        <v>0</v>
      </c>
      <c r="AL226" s="102">
        <f t="shared" si="228"/>
        <v>0</v>
      </c>
      <c r="AM226" s="102">
        <f t="shared" ref="AM226:AV226" si="229">$D226*AM$107*AM8</f>
        <v>0</v>
      </c>
      <c r="AN226" s="102">
        <f t="shared" si="229"/>
        <v>0</v>
      </c>
      <c r="AO226" s="102">
        <f t="shared" si="229"/>
        <v>0</v>
      </c>
      <c r="AP226" s="102">
        <f t="shared" si="229"/>
        <v>0</v>
      </c>
      <c r="AQ226" s="102" t="str">
        <f t="shared" si="229"/>
        <v>#REF!</v>
      </c>
      <c r="AR226" s="102" t="str">
        <f t="shared" si="229"/>
        <v>#REF!</v>
      </c>
      <c r="AS226" s="102" t="str">
        <f t="shared" si="229"/>
        <v>#REF!</v>
      </c>
      <c r="AT226" s="102" t="str">
        <f t="shared" si="229"/>
        <v>#REF!</v>
      </c>
      <c r="AU226" s="102" t="str">
        <f t="shared" si="229"/>
        <v>#REF!</v>
      </c>
      <c r="AV226" s="102">
        <f t="shared" si="229"/>
        <v>0</v>
      </c>
      <c r="AW226" s="90"/>
      <c r="AX226" s="90"/>
      <c r="AY226" s="90"/>
      <c r="AZ226" s="90"/>
      <c r="BA226" s="90"/>
      <c r="BB226" s="90"/>
      <c r="BC226" s="90"/>
      <c r="BD226" s="90"/>
      <c r="BE226" s="90"/>
      <c r="BF226" s="90"/>
      <c r="BG226" s="90"/>
      <c r="BH226" s="90"/>
      <c r="BI226" s="90"/>
      <c r="BJ226" s="90"/>
      <c r="BK226" s="90"/>
      <c r="BL226" s="90"/>
      <c r="BM226" s="90"/>
      <c r="BN226" s="90"/>
      <c r="BO226" s="90"/>
      <c r="BP226" s="90"/>
    </row>
    <row r="227" ht="12.75" customHeight="1" outlineLevel="1">
      <c r="A227" s="90" t="s">
        <v>289</v>
      </c>
      <c r="C227" s="102">
        <f>OFFSET('RSGen 1-7'!$G$19,0,ROW(A227)-ROW($A$224))</f>
        <v>93321.42576</v>
      </c>
      <c r="D227" s="102">
        <f>OFFSET(RSGen_Walton!$G$19,0,ROW(C227)-ROW($C$224))</f>
        <v>124428.5677</v>
      </c>
      <c r="E227" s="102">
        <f>OFFSET(RSGen_none!$G$19,0,ROW(D227)-ROW($C$224))</f>
        <v>124428.5677</v>
      </c>
      <c r="F227" s="102"/>
      <c r="G227" s="102"/>
      <c r="H227" s="313"/>
      <c r="I227" s="313"/>
      <c r="J227" s="313"/>
      <c r="K227" s="306"/>
      <c r="L227" s="306"/>
      <c r="M227" s="306"/>
      <c r="N227" s="306"/>
      <c r="O227" s="102">
        <f t="shared" ref="O227:AL227" si="230">O$107*(MAX(0,MIN(O9,SUM(O9:O$15)-$E$4))*$E227+MAX(0,MIN(O9,$D$4-SUM(O10:O$15)))*$C227+(O9-(MAX(0,MIN(O9,SUM(O9:O$15)-$E$4))+MAX(0,MIN(O9,$D$4-SUM(O10:O$15)))))*$D227)</f>
        <v>192279.4656</v>
      </c>
      <c r="P227" s="102">
        <f t="shared" si="230"/>
        <v>326875.0916</v>
      </c>
      <c r="Q227" s="102">
        <f t="shared" si="230"/>
        <v>666825.1868</v>
      </c>
      <c r="R227" s="102">
        <f t="shared" si="230"/>
        <v>1088258.705</v>
      </c>
      <c r="S227" s="102">
        <f t="shared" si="230"/>
        <v>1821708.888</v>
      </c>
      <c r="T227" s="102">
        <f t="shared" si="230"/>
        <v>3144549.804</v>
      </c>
      <c r="U227" s="102">
        <f t="shared" si="230"/>
        <v>4956953.963</v>
      </c>
      <c r="V227" s="102">
        <f t="shared" si="230"/>
        <v>6691887.85</v>
      </c>
      <c r="W227" s="102">
        <f t="shared" si="230"/>
        <v>6825725.607</v>
      </c>
      <c r="X227" s="102">
        <f t="shared" si="230"/>
        <v>10211285.51</v>
      </c>
      <c r="Y227" s="102">
        <f t="shared" si="230"/>
        <v>12624862.08</v>
      </c>
      <c r="Z227" s="102">
        <f t="shared" si="230"/>
        <v>22857312.8</v>
      </c>
      <c r="AA227" s="102">
        <f t="shared" si="230"/>
        <v>31687961.96</v>
      </c>
      <c r="AB227" s="102">
        <f t="shared" si="230"/>
        <v>40527754.04</v>
      </c>
      <c r="AC227" s="102">
        <f t="shared" si="230"/>
        <v>46633712.36</v>
      </c>
      <c r="AD227" s="102">
        <f t="shared" si="230"/>
        <v>56452414.87</v>
      </c>
      <c r="AE227" s="102">
        <f t="shared" si="230"/>
        <v>62202197.86</v>
      </c>
      <c r="AF227" s="102">
        <f t="shared" si="230"/>
        <v>62539866.94</v>
      </c>
      <c r="AG227" s="102">
        <f t="shared" si="230"/>
        <v>50292929.52</v>
      </c>
      <c r="AH227" s="102">
        <f t="shared" si="230"/>
        <v>6223750.028</v>
      </c>
      <c r="AI227" s="102">
        <f t="shared" si="230"/>
        <v>0</v>
      </c>
      <c r="AJ227" s="102">
        <f t="shared" si="230"/>
        <v>0</v>
      </c>
      <c r="AK227" s="102">
        <f t="shared" si="230"/>
        <v>0</v>
      </c>
      <c r="AL227" s="102">
        <f t="shared" si="230"/>
        <v>0</v>
      </c>
      <c r="AM227" s="102">
        <f t="shared" ref="AM227:AV227" si="231">$D227*AM$107*AM9</f>
        <v>0</v>
      </c>
      <c r="AN227" s="102">
        <f t="shared" si="231"/>
        <v>0</v>
      </c>
      <c r="AO227" s="102">
        <f t="shared" si="231"/>
        <v>0</v>
      </c>
      <c r="AP227" s="102">
        <f t="shared" si="231"/>
        <v>0</v>
      </c>
      <c r="AQ227" s="102">
        <f t="shared" si="231"/>
        <v>0</v>
      </c>
      <c r="AR227" s="102" t="str">
        <f t="shared" si="231"/>
        <v>#REF!</v>
      </c>
      <c r="AS227" s="102" t="str">
        <f t="shared" si="231"/>
        <v>#REF!</v>
      </c>
      <c r="AT227" s="102" t="str">
        <f t="shared" si="231"/>
        <v>#REF!</v>
      </c>
      <c r="AU227" s="102" t="str">
        <f t="shared" si="231"/>
        <v>#REF!</v>
      </c>
      <c r="AV227" s="102" t="str">
        <f t="shared" si="231"/>
        <v>#REF!</v>
      </c>
      <c r="AW227" s="90"/>
      <c r="AX227" s="90"/>
      <c r="AY227" s="90"/>
      <c r="AZ227" s="90"/>
      <c r="BA227" s="90"/>
      <c r="BB227" s="90"/>
      <c r="BC227" s="90"/>
      <c r="BD227" s="90"/>
      <c r="BE227" s="90"/>
      <c r="BF227" s="90"/>
      <c r="BG227" s="90"/>
      <c r="BH227" s="90"/>
      <c r="BI227" s="90"/>
      <c r="BJ227" s="90"/>
      <c r="BK227" s="90"/>
      <c r="BL227" s="90"/>
      <c r="BM227" s="90"/>
      <c r="BN227" s="90"/>
      <c r="BO227" s="90"/>
      <c r="BP227" s="90"/>
    </row>
    <row r="228" ht="12.75" customHeight="1" outlineLevel="1">
      <c r="A228" s="90" t="s">
        <v>290</v>
      </c>
      <c r="C228" s="102">
        <f>OFFSET('RSGen 1-7'!$G$19,0,ROW(A228)-ROW($A$224))</f>
        <v>96603.69175</v>
      </c>
      <c r="D228" s="102">
        <f>OFFSET(RSGen_Walton!$G$19,0,ROW(C228)-ROW($C$224))</f>
        <v>128804.9223</v>
      </c>
      <c r="E228" s="102">
        <f>OFFSET(RSGen_none!$G$19,0,ROW(D228)-ROW($C$224))</f>
        <v>128804.9223</v>
      </c>
      <c r="F228" s="102"/>
      <c r="G228" s="102"/>
      <c r="H228" s="313"/>
      <c r="I228" s="313"/>
      <c r="J228" s="313"/>
      <c r="K228" s="306"/>
      <c r="L228" s="306"/>
      <c r="M228" s="306"/>
      <c r="N228" s="306"/>
      <c r="O228" s="306"/>
      <c r="P228" s="102">
        <f t="shared" ref="P228:AL228" si="232">P$107*(MAX(0,MIN(P10,SUM(P10:P$15)-$E$4))*$E228+MAX(0,MIN(P10,$D$4-SUM(P11:P$15)))*$C228+(P10-(MAX(0,MIN(P10,SUM(P10:P$15)-$E$4))+MAX(0,MIN(P10,$D$4-SUM(P11:P$15)))))*$D228)</f>
        <v>203023.0914</v>
      </c>
      <c r="Q228" s="102">
        <f t="shared" si="232"/>
        <v>345139.2554</v>
      </c>
      <c r="R228" s="102">
        <f t="shared" si="232"/>
        <v>704084.081</v>
      </c>
      <c r="S228" s="102">
        <f t="shared" si="232"/>
        <v>1160480.828</v>
      </c>
      <c r="T228" s="102">
        <f t="shared" si="232"/>
        <v>1923496.973</v>
      </c>
      <c r="U228" s="102">
        <f t="shared" si="232"/>
        <v>3320251.698</v>
      </c>
      <c r="V228" s="102">
        <f t="shared" si="232"/>
        <v>5233924.04</v>
      </c>
      <c r="W228" s="102">
        <f t="shared" si="232"/>
        <v>7065797.454</v>
      </c>
      <c r="X228" s="102">
        <f t="shared" si="232"/>
        <v>7207113.403</v>
      </c>
      <c r="Y228" s="102">
        <f t="shared" si="232"/>
        <v>10781841.65</v>
      </c>
      <c r="Z228" s="102">
        <f t="shared" si="232"/>
        <v>13330276.95</v>
      </c>
      <c r="AA228" s="102">
        <f t="shared" si="232"/>
        <v>24134466.42</v>
      </c>
      <c r="AB228" s="102">
        <f t="shared" si="232"/>
        <v>33458528.59</v>
      </c>
      <c r="AC228" s="102">
        <f t="shared" si="232"/>
        <v>42792244.54</v>
      </c>
      <c r="AD228" s="102">
        <f t="shared" si="232"/>
        <v>49239373.61</v>
      </c>
      <c r="AE228" s="102">
        <f t="shared" si="232"/>
        <v>59606696.67</v>
      </c>
      <c r="AF228" s="102">
        <f t="shared" si="232"/>
        <v>65677749.11</v>
      </c>
      <c r="AG228" s="102">
        <f t="shared" si="232"/>
        <v>66034285.46</v>
      </c>
      <c r="AH228" s="102">
        <f t="shared" si="232"/>
        <v>53103049.74</v>
      </c>
      <c r="AI228" s="102">
        <f t="shared" si="232"/>
        <v>6571502.405</v>
      </c>
      <c r="AJ228" s="102">
        <f t="shared" si="232"/>
        <v>0</v>
      </c>
      <c r="AK228" s="102">
        <f t="shared" si="232"/>
        <v>0</v>
      </c>
      <c r="AL228" s="102">
        <f t="shared" si="232"/>
        <v>0</v>
      </c>
      <c r="AM228" s="102">
        <f t="shared" ref="AM228:AV228" si="233">$D228*AM$107*AM10</f>
        <v>0</v>
      </c>
      <c r="AN228" s="102">
        <f t="shared" si="233"/>
        <v>0</v>
      </c>
      <c r="AO228" s="102">
        <f t="shared" si="233"/>
        <v>0</v>
      </c>
      <c r="AP228" s="102">
        <f t="shared" si="233"/>
        <v>0</v>
      </c>
      <c r="AQ228" s="102">
        <f t="shared" si="233"/>
        <v>0</v>
      </c>
      <c r="AR228" s="102">
        <f t="shared" si="233"/>
        <v>0</v>
      </c>
      <c r="AS228" s="102" t="str">
        <f t="shared" si="233"/>
        <v>#REF!</v>
      </c>
      <c r="AT228" s="102" t="str">
        <f t="shared" si="233"/>
        <v>#REF!</v>
      </c>
      <c r="AU228" s="102" t="str">
        <f t="shared" si="233"/>
        <v>#REF!</v>
      </c>
      <c r="AV228" s="102" t="str">
        <f t="shared" si="233"/>
        <v>#REF!</v>
      </c>
      <c r="AW228" s="90"/>
      <c r="AX228" s="90"/>
      <c r="AY228" s="90"/>
      <c r="AZ228" s="90"/>
      <c r="BA228" s="90"/>
      <c r="BB228" s="90"/>
      <c r="BC228" s="90"/>
      <c r="BD228" s="90"/>
      <c r="BE228" s="90"/>
      <c r="BF228" s="90"/>
      <c r="BG228" s="90"/>
      <c r="BH228" s="90"/>
      <c r="BI228" s="90"/>
      <c r="BJ228" s="90"/>
      <c r="BK228" s="90"/>
      <c r="BL228" s="90"/>
      <c r="BM228" s="90"/>
      <c r="BN228" s="90"/>
      <c r="BO228" s="90"/>
      <c r="BP228" s="90"/>
    </row>
    <row r="229" ht="12.75" customHeight="1" outlineLevel="1">
      <c r="A229" s="90" t="s">
        <v>291</v>
      </c>
      <c r="C229" s="102">
        <f>OFFSET('RSGen 1-7'!$G$19,0,ROW(A229)-ROW($A$224))</f>
        <v>96870.81175</v>
      </c>
      <c r="D229" s="102">
        <f>OFFSET(RSGen_Walton!$G$19,0,ROW(C229)-ROW($C$224))</f>
        <v>96870.81175</v>
      </c>
      <c r="E229" s="102">
        <f>OFFSET(RSGen_none!$G$19,0,ROW(D229)-ROW($C$224))</f>
        <v>96870.81175</v>
      </c>
      <c r="F229" s="102"/>
      <c r="G229" s="102"/>
      <c r="H229" s="313"/>
      <c r="I229" s="313"/>
      <c r="J229" s="313"/>
      <c r="K229" s="306"/>
      <c r="L229" s="306"/>
      <c r="M229" s="306"/>
      <c r="N229" s="306"/>
      <c r="O229" s="306"/>
      <c r="P229" s="306"/>
      <c r="Q229" s="102">
        <f t="shared" ref="Q229:AL229" si="234">Q$107*(MAX(0,MIN(Q11,SUM(Q11:Q$15)-$E$4))*$E229+MAX(0,MIN(Q11,$D$4-SUM(Q12:Q$15)))*$C229+(Q11-(MAX(0,MIN(Q11,SUM(Q11:Q$15)-$E$4))+MAX(0,MIN(Q11,$D$4-SUM(Q12:Q$15)))))*$D229)</f>
        <v>207656.1624</v>
      </c>
      <c r="R229" s="102">
        <f t="shared" si="234"/>
        <v>317713.9285</v>
      </c>
      <c r="S229" s="102">
        <f t="shared" si="234"/>
        <v>545479.541</v>
      </c>
      <c r="T229" s="102">
        <f t="shared" si="234"/>
        <v>890222.6109</v>
      </c>
      <c r="U229" s="102">
        <f t="shared" si="234"/>
        <v>1475543.978</v>
      </c>
      <c r="V229" s="102">
        <f t="shared" si="234"/>
        <v>2547015.912</v>
      </c>
      <c r="W229" s="102">
        <f t="shared" si="234"/>
        <v>4015023.265</v>
      </c>
      <c r="X229" s="102">
        <f t="shared" si="234"/>
        <v>5420281.408</v>
      </c>
      <c r="Y229" s="102">
        <f t="shared" si="234"/>
        <v>5528687.036</v>
      </c>
      <c r="Z229" s="102">
        <f t="shared" si="234"/>
        <v>8270915.805</v>
      </c>
      <c r="AA229" s="102">
        <f t="shared" si="234"/>
        <v>10225859.54</v>
      </c>
      <c r="AB229" s="102">
        <f t="shared" si="234"/>
        <v>18513918.7</v>
      </c>
      <c r="AC229" s="102">
        <f t="shared" si="234"/>
        <v>25666549.54</v>
      </c>
      <c r="AD229" s="102">
        <f t="shared" si="234"/>
        <v>32826585.96</v>
      </c>
      <c r="AE229" s="102">
        <f t="shared" si="234"/>
        <v>37772277.38</v>
      </c>
      <c r="AF229" s="102">
        <f t="shared" si="234"/>
        <v>45725209.62</v>
      </c>
      <c r="AG229" s="102">
        <f t="shared" si="234"/>
        <v>50382406.9</v>
      </c>
      <c r="AH229" s="102">
        <f t="shared" si="234"/>
        <v>50655911.39</v>
      </c>
      <c r="AI229" s="102">
        <f t="shared" si="234"/>
        <v>40736162.49</v>
      </c>
      <c r="AJ229" s="102">
        <f t="shared" si="234"/>
        <v>5041100.108</v>
      </c>
      <c r="AK229" s="102">
        <f t="shared" si="234"/>
        <v>0</v>
      </c>
      <c r="AL229" s="102">
        <f t="shared" si="234"/>
        <v>0</v>
      </c>
      <c r="AM229" s="102">
        <f t="shared" ref="AM229:AV229" si="235">$D229*AM$107*AM11</f>
        <v>0</v>
      </c>
      <c r="AN229" s="102">
        <f t="shared" si="235"/>
        <v>0</v>
      </c>
      <c r="AO229" s="102">
        <f t="shared" si="235"/>
        <v>0</v>
      </c>
      <c r="AP229" s="102">
        <f t="shared" si="235"/>
        <v>0</v>
      </c>
      <c r="AQ229" s="102">
        <f t="shared" si="235"/>
        <v>0</v>
      </c>
      <c r="AR229" s="102">
        <f t="shared" si="235"/>
        <v>0</v>
      </c>
      <c r="AS229" s="102">
        <f t="shared" si="235"/>
        <v>0</v>
      </c>
      <c r="AT229" s="102" t="str">
        <f t="shared" si="235"/>
        <v>#REF!</v>
      </c>
      <c r="AU229" s="102" t="str">
        <f t="shared" si="235"/>
        <v>#REF!</v>
      </c>
      <c r="AV229" s="102" t="str">
        <f t="shared" si="235"/>
        <v>#REF!</v>
      </c>
      <c r="AW229" s="90"/>
      <c r="AX229" s="90"/>
      <c r="AY229" s="90"/>
      <c r="AZ229" s="90"/>
      <c r="BA229" s="90"/>
      <c r="BB229" s="90"/>
      <c r="BC229" s="90"/>
      <c r="BD229" s="90"/>
      <c r="BE229" s="90"/>
      <c r="BF229" s="90"/>
      <c r="BG229" s="90"/>
      <c r="BH229" s="90"/>
      <c r="BI229" s="90"/>
      <c r="BJ229" s="90"/>
      <c r="BK229" s="90"/>
      <c r="BL229" s="90"/>
      <c r="BM229" s="90"/>
      <c r="BN229" s="90"/>
      <c r="BO229" s="90"/>
      <c r="BP229" s="90"/>
    </row>
    <row r="230" ht="12.75" customHeight="1" outlineLevel="1">
      <c r="A230" s="90" t="s">
        <v>292</v>
      </c>
      <c r="C230" s="102">
        <f>OFFSET('RSGen 1-7'!$G$19,0,ROW(A230)-ROW($A$224))</f>
        <v>96641.85175</v>
      </c>
      <c r="D230" s="102">
        <f>OFFSET(RSGen_Walton!$G$19,0,ROW(C230)-ROW($C$224))</f>
        <v>96641.85175</v>
      </c>
      <c r="E230" s="102">
        <f>OFFSET(RSGen_none!$G$19,0,ROW(D230)-ROW($C$224))</f>
        <v>96641.85175</v>
      </c>
      <c r="F230" s="102"/>
      <c r="G230" s="102"/>
      <c r="H230" s="313"/>
      <c r="I230" s="313"/>
      <c r="J230" s="313"/>
      <c r="K230" s="306"/>
      <c r="L230" s="306"/>
      <c r="M230" s="306"/>
      <c r="N230" s="306"/>
      <c r="O230" s="306"/>
      <c r="P230" s="306"/>
      <c r="Q230" s="306"/>
      <c r="R230" s="102">
        <f t="shared" ref="R230:AL230" si="236">R$107*(MAX(0,MIN(R12,SUM(R12:R$15)-$E$4))*$E230+MAX(0,MIN(R12,$D$4-SUM(R13:R$15)))*$C230+(R12-(MAX(0,MIN(R12,SUM(R12:R$15)-$E$4))+MAX(0,MIN(R12,$D$4-SUM(R13:R$15)))))*$D230)</f>
        <v>211308.6616</v>
      </c>
      <c r="S230" s="102">
        <f t="shared" si="236"/>
        <v>326514.1603</v>
      </c>
      <c r="T230" s="102">
        <f t="shared" si="236"/>
        <v>555074.0726</v>
      </c>
      <c r="U230" s="102">
        <f t="shared" si="236"/>
        <v>905880.8864</v>
      </c>
      <c r="V230" s="102">
        <f t="shared" si="236"/>
        <v>1501497.569</v>
      </c>
      <c r="W230" s="102">
        <f t="shared" si="236"/>
        <v>2591815.804</v>
      </c>
      <c r="X230" s="102">
        <f t="shared" si="236"/>
        <v>4085644.186</v>
      </c>
      <c r="Y230" s="102">
        <f t="shared" si="236"/>
        <v>5515619.651</v>
      </c>
      <c r="Z230" s="102">
        <f t="shared" si="236"/>
        <v>5625932.044</v>
      </c>
      <c r="AA230" s="102">
        <f t="shared" si="236"/>
        <v>8416394.338</v>
      </c>
      <c r="AB230" s="102">
        <f t="shared" si="236"/>
        <v>10405723.91</v>
      </c>
      <c r="AC230" s="102">
        <f t="shared" si="236"/>
        <v>18839563.14</v>
      </c>
      <c r="AD230" s="102">
        <f t="shared" si="236"/>
        <v>26118002.81</v>
      </c>
      <c r="AE230" s="102">
        <f t="shared" si="236"/>
        <v>33403978.31</v>
      </c>
      <c r="AF230" s="102">
        <f t="shared" si="236"/>
        <v>38436660.33</v>
      </c>
      <c r="AG230" s="102">
        <f t="shared" si="236"/>
        <v>46529478.04</v>
      </c>
      <c r="AH230" s="102">
        <f t="shared" si="236"/>
        <v>51268591.55</v>
      </c>
      <c r="AI230" s="102">
        <f t="shared" si="236"/>
        <v>51546906.76</v>
      </c>
      <c r="AJ230" s="102">
        <f t="shared" si="236"/>
        <v>41452677.71</v>
      </c>
      <c r="AK230" s="102">
        <f t="shared" si="236"/>
        <v>5129768.867</v>
      </c>
      <c r="AL230" s="102">
        <f t="shared" si="236"/>
        <v>0</v>
      </c>
      <c r="AM230" s="102">
        <f t="shared" ref="AM230:AV230" si="237">$D230*AM$107*AM12</f>
        <v>0</v>
      </c>
      <c r="AN230" s="102">
        <f t="shared" si="237"/>
        <v>0</v>
      </c>
      <c r="AO230" s="102">
        <f t="shared" si="237"/>
        <v>0</v>
      </c>
      <c r="AP230" s="102">
        <f t="shared" si="237"/>
        <v>0</v>
      </c>
      <c r="AQ230" s="102">
        <f t="shared" si="237"/>
        <v>0</v>
      </c>
      <c r="AR230" s="102">
        <f t="shared" si="237"/>
        <v>0</v>
      </c>
      <c r="AS230" s="102">
        <f t="shared" si="237"/>
        <v>0</v>
      </c>
      <c r="AT230" s="102">
        <f t="shared" si="237"/>
        <v>0</v>
      </c>
      <c r="AU230" s="102" t="str">
        <f t="shared" si="237"/>
        <v>#REF!</v>
      </c>
      <c r="AV230" s="102" t="str">
        <f t="shared" si="237"/>
        <v>#REF!</v>
      </c>
      <c r="AW230" s="90"/>
      <c r="AX230" s="90"/>
      <c r="AY230" s="90"/>
      <c r="AZ230" s="90"/>
      <c r="BA230" s="90"/>
      <c r="BB230" s="90"/>
      <c r="BC230" s="90"/>
      <c r="BD230" s="90"/>
      <c r="BE230" s="90"/>
      <c r="BF230" s="90"/>
      <c r="BG230" s="90"/>
      <c r="BH230" s="90"/>
      <c r="BI230" s="90"/>
      <c r="BJ230" s="90"/>
      <c r="BK230" s="90"/>
      <c r="BL230" s="90"/>
      <c r="BM230" s="90"/>
      <c r="BN230" s="90"/>
      <c r="BO230" s="90"/>
      <c r="BP230" s="90"/>
    </row>
    <row r="231" ht="12.75" customHeight="1" outlineLevel="1">
      <c r="A231" s="90" t="s">
        <v>293</v>
      </c>
      <c r="C231" s="102">
        <f>OFFSET('RSGen 1-7'!$G$19,0,ROW(A231)-ROW($A$224))</f>
        <v>96431.97175</v>
      </c>
      <c r="D231" s="102">
        <f>OFFSET(RSGen_Walton!$G$19,0,ROW(C231)-ROW($C$224))</f>
        <v>96431.97175</v>
      </c>
      <c r="E231" s="102">
        <f>OFFSET(RSGen_none!$G$19,0,ROW(D231)-ROW($C$224))</f>
        <v>96431.97175</v>
      </c>
      <c r="F231" s="102"/>
      <c r="G231" s="102"/>
      <c r="H231" s="313"/>
      <c r="I231" s="313"/>
      <c r="J231" s="313"/>
      <c r="K231" s="306"/>
      <c r="L231" s="306"/>
      <c r="M231" s="306"/>
      <c r="N231" s="306"/>
      <c r="O231" s="306"/>
      <c r="P231" s="306"/>
      <c r="Q231" s="306"/>
      <c r="R231" s="306"/>
      <c r="S231" s="102">
        <f t="shared" ref="S231:AL231" si="238">S$107*(MAX(0,MIN(S13,SUM(S13:S$15)-$E$4))*$E231+MAX(0,MIN(S13,$D$4-SUM(S14:S$15)))*$C231+(S13-(MAX(0,MIN(S13,SUM(S13:S$15)-$E$4))+MAX(0,MIN(S13,$D$4-SUM(S14:S$15)))))*$D231)</f>
        <v>217203.3732</v>
      </c>
      <c r="T231" s="102">
        <f t="shared" si="238"/>
        <v>332321.161</v>
      </c>
      <c r="U231" s="102">
        <f t="shared" si="238"/>
        <v>564945.9736</v>
      </c>
      <c r="V231" s="102">
        <f t="shared" si="238"/>
        <v>921991.829</v>
      </c>
      <c r="W231" s="102">
        <f t="shared" si="238"/>
        <v>1528201.457</v>
      </c>
      <c r="X231" s="102">
        <f t="shared" si="238"/>
        <v>2637910.822</v>
      </c>
      <c r="Y231" s="102">
        <f t="shared" si="238"/>
        <v>4158306.696</v>
      </c>
      <c r="Z231" s="102">
        <f t="shared" si="238"/>
        <v>5613714.039</v>
      </c>
      <c r="AA231" s="102">
        <f t="shared" si="238"/>
        <v>5725988.32</v>
      </c>
      <c r="AB231" s="102">
        <f t="shared" si="238"/>
        <v>8566078.526</v>
      </c>
      <c r="AC231" s="102">
        <f t="shared" si="238"/>
        <v>10590788</v>
      </c>
      <c r="AD231" s="102">
        <f t="shared" si="238"/>
        <v>19174621.67</v>
      </c>
      <c r="AE231" s="102">
        <f t="shared" si="238"/>
        <v>26582507.19</v>
      </c>
      <c r="AF231" s="102">
        <f t="shared" si="238"/>
        <v>33998062.57</v>
      </c>
      <c r="AG231" s="102">
        <f t="shared" si="238"/>
        <v>39120250.01</v>
      </c>
      <c r="AH231" s="102">
        <f t="shared" si="238"/>
        <v>47356997.16</v>
      </c>
      <c r="AI231" s="102">
        <f t="shared" si="238"/>
        <v>52180395.01</v>
      </c>
      <c r="AJ231" s="102">
        <f t="shared" si="238"/>
        <v>52463660.02</v>
      </c>
      <c r="AK231" s="102">
        <f t="shared" si="238"/>
        <v>42189906.77</v>
      </c>
      <c r="AL231" s="102">
        <f t="shared" si="238"/>
        <v>5221000.962</v>
      </c>
      <c r="AM231" s="102">
        <f t="shared" ref="AM231:AV231" si="239">$D231*AM$107*AM13</f>
        <v>0</v>
      </c>
      <c r="AN231" s="102">
        <f t="shared" si="239"/>
        <v>0</v>
      </c>
      <c r="AO231" s="102">
        <f t="shared" si="239"/>
        <v>0</v>
      </c>
      <c r="AP231" s="102">
        <f t="shared" si="239"/>
        <v>0</v>
      </c>
      <c r="AQ231" s="102">
        <f t="shared" si="239"/>
        <v>0</v>
      </c>
      <c r="AR231" s="102">
        <f t="shared" si="239"/>
        <v>0</v>
      </c>
      <c r="AS231" s="102">
        <f t="shared" si="239"/>
        <v>0</v>
      </c>
      <c r="AT231" s="102">
        <f t="shared" si="239"/>
        <v>0</v>
      </c>
      <c r="AU231" s="102">
        <f t="shared" si="239"/>
        <v>0</v>
      </c>
      <c r="AV231" s="102" t="str">
        <f t="shared" si="239"/>
        <v>#REF!</v>
      </c>
      <c r="AW231" s="90"/>
      <c r="AX231" s="90"/>
      <c r="AY231" s="90"/>
      <c r="AZ231" s="90"/>
      <c r="BA231" s="90"/>
      <c r="BB231" s="90"/>
      <c r="BC231" s="90"/>
      <c r="BD231" s="90"/>
      <c r="BE231" s="90"/>
      <c r="BF231" s="90"/>
      <c r="BG231" s="90"/>
      <c r="BH231" s="90"/>
      <c r="BI231" s="90"/>
      <c r="BJ231" s="90"/>
      <c r="BK231" s="90"/>
      <c r="BL231" s="90"/>
      <c r="BM231" s="90"/>
      <c r="BN231" s="90"/>
      <c r="BO231" s="90"/>
      <c r="BP231" s="90"/>
    </row>
    <row r="232" ht="12.75" customHeight="1" outlineLevel="1">
      <c r="A232" s="90" t="s">
        <v>294</v>
      </c>
      <c r="C232" s="102">
        <f>OFFSET('RSGen 1-7'!$G$19,0,ROW(A232)-ROW($A$224))</f>
        <v>96231.63175</v>
      </c>
      <c r="D232" s="102">
        <f>OFFSET(RSGen_Walton!$G$19,0,ROW(C232)-ROW($C$224))</f>
        <v>96231.63175</v>
      </c>
      <c r="E232" s="102">
        <f>OFFSET(RSGen_none!$G$19,0,ROW(D232)-ROW($C$224))</f>
        <v>96231.63175</v>
      </c>
      <c r="F232" s="102"/>
      <c r="G232" s="102"/>
      <c r="H232" s="313"/>
      <c r="I232" s="313"/>
      <c r="J232" s="313"/>
      <c r="K232" s="306"/>
      <c r="L232" s="306"/>
      <c r="M232" s="306"/>
      <c r="N232" s="306"/>
      <c r="O232" s="306"/>
      <c r="P232" s="306"/>
      <c r="Q232" s="306"/>
      <c r="R232" s="306"/>
      <c r="S232" s="306"/>
      <c r="T232" s="102">
        <f t="shared" ref="T232:AL232" si="240">T$107*(MAX(0,MIN(T14,SUM(T14:T$15)-$E$4))*$E232+MAX(0,MIN(T14,$D$4-SUM(T$15:T15)))*$C232+(T14-(MAX(0,MIN(T14,SUM(T14:T$15)-$E$4))+MAX(0,MIN(T14,$D$4-SUM(T$15:T15)))))*$D232)</f>
        <v>221087.1699</v>
      </c>
      <c r="U232" s="102">
        <f t="shared" si="240"/>
        <v>338263.37</v>
      </c>
      <c r="V232" s="102">
        <f t="shared" si="240"/>
        <v>575047.7289</v>
      </c>
      <c r="W232" s="102">
        <f t="shared" si="240"/>
        <v>938477.8936</v>
      </c>
      <c r="X232" s="102">
        <f t="shared" si="240"/>
        <v>1555527.109</v>
      </c>
      <c r="Y232" s="102">
        <f t="shared" si="240"/>
        <v>2685079.101</v>
      </c>
      <c r="Z232" s="102">
        <f t="shared" si="240"/>
        <v>4232661.056</v>
      </c>
      <c r="AA232" s="102">
        <f t="shared" si="240"/>
        <v>5714092.426</v>
      </c>
      <c r="AB232" s="102">
        <f t="shared" si="240"/>
        <v>5828374.274</v>
      </c>
      <c r="AC232" s="102">
        <f t="shared" si="240"/>
        <v>8719247.914</v>
      </c>
      <c r="AD232" s="102">
        <f t="shared" si="240"/>
        <v>10780161.06</v>
      </c>
      <c r="AE232" s="102">
        <f t="shared" si="240"/>
        <v>19517481.6</v>
      </c>
      <c r="AF232" s="102">
        <f t="shared" si="240"/>
        <v>27057826.95</v>
      </c>
      <c r="AG232" s="102">
        <f t="shared" si="240"/>
        <v>34605979.3</v>
      </c>
      <c r="AH232" s="102">
        <f t="shared" si="240"/>
        <v>39819756.18</v>
      </c>
      <c r="AI232" s="102">
        <f t="shared" si="240"/>
        <v>48203783.96</v>
      </c>
      <c r="AJ232" s="102">
        <f t="shared" si="240"/>
        <v>53113428.62</v>
      </c>
      <c r="AK232" s="102">
        <f t="shared" si="240"/>
        <v>53401758.67</v>
      </c>
      <c r="AL232" s="102">
        <f t="shared" si="240"/>
        <v>42944301.23</v>
      </c>
      <c r="AM232" s="102">
        <f t="shared" ref="AM232:AV232" si="241">$D232*AM$107*AM14</f>
        <v>5314357.277</v>
      </c>
      <c r="AN232" s="102">
        <f t="shared" si="241"/>
        <v>0</v>
      </c>
      <c r="AO232" s="102">
        <f t="shared" si="241"/>
        <v>0</v>
      </c>
      <c r="AP232" s="102">
        <f t="shared" si="241"/>
        <v>0</v>
      </c>
      <c r="AQ232" s="102">
        <f t="shared" si="241"/>
        <v>0</v>
      </c>
      <c r="AR232" s="102">
        <f t="shared" si="241"/>
        <v>0</v>
      </c>
      <c r="AS232" s="102">
        <f t="shared" si="241"/>
        <v>0</v>
      </c>
      <c r="AT232" s="102">
        <f t="shared" si="241"/>
        <v>0</v>
      </c>
      <c r="AU232" s="102">
        <f t="shared" si="241"/>
        <v>0</v>
      </c>
      <c r="AV232" s="102">
        <f t="shared" si="241"/>
        <v>0</v>
      </c>
      <c r="AW232" s="90"/>
      <c r="AX232" s="90"/>
      <c r="AY232" s="90"/>
      <c r="AZ232" s="90"/>
      <c r="BA232" s="90"/>
      <c r="BB232" s="90"/>
      <c r="BC232" s="90"/>
      <c r="BD232" s="90"/>
      <c r="BE232" s="90"/>
      <c r="BF232" s="90"/>
      <c r="BG232" s="90"/>
      <c r="BH232" s="90"/>
      <c r="BI232" s="90"/>
      <c r="BJ232" s="90"/>
      <c r="BK232" s="90"/>
      <c r="BL232" s="90"/>
      <c r="BM232" s="90"/>
      <c r="BN232" s="90"/>
      <c r="BO232" s="90"/>
      <c r="BP232" s="90"/>
    </row>
    <row r="233" ht="12.75" customHeight="1" outlineLevel="1">
      <c r="A233" s="90" t="s">
        <v>595</v>
      </c>
      <c r="C233" s="102">
        <f>OFFSET('RSGen 1-7'!$G$19,0,ROW(A233)-ROW($A$224))</f>
        <v>96031.29175</v>
      </c>
      <c r="D233" s="102">
        <f>OFFSET(RSGen_Walton!$G$19,0,ROW(C233)-ROW($C$224))</f>
        <v>96031.29175</v>
      </c>
      <c r="E233" s="102">
        <f>OFFSET(RSGen_none!$G$19,0,ROW(D233)-ROW($C$224))</f>
        <v>96031.29175</v>
      </c>
      <c r="F233" s="102"/>
      <c r="G233" s="102"/>
      <c r="H233" s="313"/>
      <c r="I233" s="313"/>
      <c r="J233" s="313"/>
      <c r="K233" s="306"/>
      <c r="L233" s="306"/>
      <c r="M233" s="306"/>
      <c r="N233" s="306"/>
      <c r="O233" s="306"/>
      <c r="P233" s="306"/>
      <c r="Q233" s="306"/>
      <c r="R233" s="306"/>
      <c r="S233" s="306"/>
      <c r="T233" s="306"/>
      <c r="U233" s="102">
        <f t="shared" ref="U233:AL233" si="242">U$107*($C233*MIN($D$4-3,U15-3)+$D233*MIN($E$4-$D$4,MAX(0,U15-$D$4))+$E233*MAX(0,U15-$E$4))</f>
        <v>225039.4372</v>
      </c>
      <c r="V233" s="102">
        <f t="shared" si="242"/>
        <v>573850.5648</v>
      </c>
      <c r="W233" s="102">
        <f t="shared" si="242"/>
        <v>1170655.152</v>
      </c>
      <c r="X233" s="102">
        <f t="shared" si="242"/>
        <v>2149322.859</v>
      </c>
      <c r="Y233" s="102">
        <f t="shared" si="242"/>
        <v>3775643.823</v>
      </c>
      <c r="Z233" s="102">
        <f t="shared" si="242"/>
        <v>6584235.647</v>
      </c>
      <c r="AA233" s="102">
        <f t="shared" si="242"/>
        <v>11024246.63</v>
      </c>
      <c r="AB233" s="102">
        <f t="shared" si="242"/>
        <v>17060972.02</v>
      </c>
      <c r="AC233" s="102">
        <f t="shared" si="242"/>
        <v>23334756.74</v>
      </c>
      <c r="AD233" s="102">
        <f t="shared" si="242"/>
        <v>32676569.52</v>
      </c>
      <c r="AE233" s="102">
        <f t="shared" si="242"/>
        <v>44302973.63</v>
      </c>
      <c r="AF233" s="102">
        <f t="shared" si="242"/>
        <v>65055419.18</v>
      </c>
      <c r="AG233" s="102">
        <f t="shared" si="242"/>
        <v>93898054.06</v>
      </c>
      <c r="AH233" s="102">
        <f t="shared" si="242"/>
        <v>131000628.6</v>
      </c>
      <c r="AI233" s="102">
        <f t="shared" si="242"/>
        <v>174152235.7</v>
      </c>
      <c r="AJ233" s="102">
        <f t="shared" si="242"/>
        <v>226700779.8</v>
      </c>
      <c r="AK233" s="102">
        <f t="shared" si="242"/>
        <v>285297706.8</v>
      </c>
      <c r="AL233" s="102">
        <f t="shared" si="242"/>
        <v>345360056.8</v>
      </c>
      <c r="AM233" s="102">
        <f t="shared" ref="AM233:AV233" si="243">$C233*AM$107*(4)+$D233*AM$107*(AM15-7)</f>
        <v>395979253.4</v>
      </c>
      <c r="AN233" s="102">
        <f t="shared" si="243"/>
        <v>409308197.9</v>
      </c>
      <c r="AO233" s="102">
        <f t="shared" si="243"/>
        <v>417494361.9</v>
      </c>
      <c r="AP233" s="102">
        <f t="shared" si="243"/>
        <v>425844249.1</v>
      </c>
      <c r="AQ233" s="102">
        <f t="shared" si="243"/>
        <v>434361134.1</v>
      </c>
      <c r="AR233" s="102">
        <f t="shared" si="243"/>
        <v>443048356.8</v>
      </c>
      <c r="AS233" s="102">
        <f t="shared" si="243"/>
        <v>451909323.9</v>
      </c>
      <c r="AT233" s="102">
        <f t="shared" si="243"/>
        <v>460947510.4</v>
      </c>
      <c r="AU233" s="102">
        <f t="shared" si="243"/>
        <v>470166460.6</v>
      </c>
      <c r="AV233" s="102">
        <f t="shared" si="243"/>
        <v>479569789.8</v>
      </c>
      <c r="AW233" s="90"/>
      <c r="AX233" s="90"/>
      <c r="AY233" s="90"/>
      <c r="AZ233" s="90"/>
      <c r="BA233" s="90"/>
      <c r="BB233" s="90"/>
      <c r="BC233" s="90"/>
      <c r="BD233" s="90"/>
      <c r="BE233" s="90"/>
      <c r="BF233" s="90"/>
      <c r="BG233" s="90"/>
      <c r="BH233" s="90"/>
      <c r="BI233" s="90"/>
      <c r="BJ233" s="90"/>
      <c r="BK233" s="90"/>
      <c r="BL233" s="90"/>
      <c r="BM233" s="90"/>
      <c r="BN233" s="90"/>
      <c r="BO233" s="90"/>
      <c r="BP233" s="90"/>
    </row>
    <row r="234" ht="12.75" customHeight="1" outlineLevel="1">
      <c r="A234" s="143" t="s">
        <v>602</v>
      </c>
      <c r="B234" s="143"/>
      <c r="C234" s="309"/>
      <c r="D234" s="309"/>
      <c r="E234" s="309"/>
      <c r="F234" s="309"/>
      <c r="G234" s="309"/>
      <c r="H234" s="314"/>
      <c r="I234" s="314"/>
      <c r="J234" s="314"/>
      <c r="K234" s="311"/>
      <c r="L234" s="312">
        <v>0.0</v>
      </c>
      <c r="M234" s="309">
        <f t="shared" ref="M234:AV234" si="244">SUM(M224:M233)</f>
        <v>24500</v>
      </c>
      <c r="N234" s="309">
        <f t="shared" si="244"/>
        <v>209237.9745</v>
      </c>
      <c r="O234" s="309">
        <f t="shared" si="244"/>
        <v>542833.0222</v>
      </c>
      <c r="P234" s="309">
        <f t="shared" si="244"/>
        <v>1216655.73</v>
      </c>
      <c r="Q234" s="309">
        <f t="shared" si="244"/>
        <v>2341695.106</v>
      </c>
      <c r="R234" s="309">
        <f t="shared" si="244"/>
        <v>4186943.459</v>
      </c>
      <c r="S234" s="309">
        <f t="shared" si="244"/>
        <v>7301823.055</v>
      </c>
      <c r="T234" s="309">
        <f t="shared" si="244"/>
        <v>12107088.18</v>
      </c>
      <c r="U234" s="309">
        <f t="shared" si="244"/>
        <v>18488982.12</v>
      </c>
      <c r="V234" s="309">
        <f t="shared" si="244"/>
        <v>25031947.06</v>
      </c>
      <c r="W234" s="309">
        <f t="shared" si="244"/>
        <v>34464968.31</v>
      </c>
      <c r="X234" s="309">
        <f t="shared" si="244"/>
        <v>46373769.53</v>
      </c>
      <c r="Y234" s="309">
        <f t="shared" si="244"/>
        <v>68350338.78</v>
      </c>
      <c r="Z234" s="309">
        <f t="shared" si="244"/>
        <v>98631714.07</v>
      </c>
      <c r="AA234" s="309">
        <f t="shared" si="244"/>
        <v>137764059.3</v>
      </c>
      <c r="AB234" s="309">
        <f t="shared" si="244"/>
        <v>181478096.8</v>
      </c>
      <c r="AC234" s="309">
        <f t="shared" si="244"/>
        <v>233329611.7</v>
      </c>
      <c r="AD234" s="309">
        <f t="shared" si="244"/>
        <v>289522868.5</v>
      </c>
      <c r="AE234" s="309">
        <f t="shared" si="244"/>
        <v>345397852.1</v>
      </c>
      <c r="AF234" s="309">
        <f t="shared" si="244"/>
        <v>386771357.9</v>
      </c>
      <c r="AG234" s="309">
        <f t="shared" si="244"/>
        <v>386802406.3</v>
      </c>
      <c r="AH234" s="309">
        <f t="shared" si="244"/>
        <v>379428684.6</v>
      </c>
      <c r="AI234" s="309">
        <f t="shared" si="244"/>
        <v>373390986.3</v>
      </c>
      <c r="AJ234" s="309">
        <f t="shared" si="244"/>
        <v>378771646.3</v>
      </c>
      <c r="AK234" s="309">
        <f t="shared" si="244"/>
        <v>386019141.1</v>
      </c>
      <c r="AL234" s="309">
        <f t="shared" si="244"/>
        <v>393525359</v>
      </c>
      <c r="AM234" s="309">
        <f t="shared" si="244"/>
        <v>401293610.7</v>
      </c>
      <c r="AN234" s="309">
        <f t="shared" si="244"/>
        <v>409308197.9</v>
      </c>
      <c r="AO234" s="309" t="str">
        <f t="shared" si="244"/>
        <v>#REF!</v>
      </c>
      <c r="AP234" s="309" t="str">
        <f t="shared" si="244"/>
        <v>#REF!</v>
      </c>
      <c r="AQ234" s="309" t="str">
        <f t="shared" si="244"/>
        <v>#REF!</v>
      </c>
      <c r="AR234" s="309" t="str">
        <f t="shared" si="244"/>
        <v>#REF!</v>
      </c>
      <c r="AS234" s="309" t="str">
        <f t="shared" si="244"/>
        <v>#REF!</v>
      </c>
      <c r="AT234" s="309" t="str">
        <f t="shared" si="244"/>
        <v>#REF!</v>
      </c>
      <c r="AU234" s="309" t="str">
        <f t="shared" si="244"/>
        <v>#REF!</v>
      </c>
      <c r="AV234" s="309" t="str">
        <f t="shared" si="244"/>
        <v>#REF!</v>
      </c>
      <c r="AW234" s="90"/>
      <c r="AX234" s="90"/>
      <c r="AY234" s="90"/>
      <c r="AZ234" s="90"/>
      <c r="BA234" s="90"/>
      <c r="BB234" s="90"/>
      <c r="BC234" s="90"/>
      <c r="BD234" s="90"/>
      <c r="BE234" s="90"/>
      <c r="BF234" s="90"/>
      <c r="BG234" s="90"/>
      <c r="BH234" s="90"/>
      <c r="BI234" s="90"/>
      <c r="BJ234" s="90"/>
      <c r="BK234" s="90"/>
      <c r="BL234" s="90"/>
      <c r="BM234" s="90"/>
      <c r="BN234" s="90"/>
      <c r="BO234" s="90"/>
      <c r="BP234" s="90"/>
    </row>
    <row r="235" ht="12.75" customHeight="1" outlineLevel="1">
      <c r="A235" s="90"/>
      <c r="C235" s="102"/>
      <c r="D235" s="102"/>
      <c r="E235" s="102"/>
      <c r="F235" s="102"/>
      <c r="G235" s="102"/>
      <c r="K235" s="102"/>
      <c r="L235" s="102"/>
      <c r="M235" s="102"/>
      <c r="N235" s="102"/>
      <c r="O235" s="102"/>
      <c r="P235" s="102"/>
      <c r="Q235" s="102"/>
      <c r="R235" s="102"/>
      <c r="S235" s="102"/>
      <c r="T235" s="102"/>
      <c r="U235" s="102"/>
      <c r="V235" s="102"/>
      <c r="W235" s="102"/>
      <c r="X235" s="102"/>
      <c r="Y235" s="102"/>
      <c r="Z235" s="102"/>
      <c r="AA235" s="102"/>
      <c r="AB235" s="102"/>
      <c r="AC235" s="102"/>
      <c r="AD235" s="102"/>
      <c r="AE235" s="102"/>
      <c r="AF235" s="102"/>
      <c r="AG235" s="102"/>
      <c r="AH235" s="102"/>
      <c r="AI235" s="102"/>
      <c r="AJ235" s="102"/>
      <c r="AK235" s="102"/>
      <c r="AL235" s="102"/>
      <c r="AM235" s="102"/>
      <c r="AN235" s="102"/>
      <c r="AO235" s="102"/>
      <c r="AP235" s="102"/>
      <c r="AQ235" s="102"/>
      <c r="AR235" s="102"/>
      <c r="AS235" s="102"/>
      <c r="AT235" s="102"/>
      <c r="AU235" s="102"/>
      <c r="AV235" s="102"/>
      <c r="AW235" s="90"/>
      <c r="AX235" s="90"/>
      <c r="AY235" s="90"/>
      <c r="AZ235" s="90"/>
      <c r="BA235" s="90"/>
      <c r="BB235" s="90"/>
      <c r="BC235" s="90"/>
      <c r="BD235" s="90"/>
      <c r="BE235" s="90"/>
      <c r="BF235" s="90"/>
      <c r="BG235" s="90"/>
      <c r="BH235" s="90"/>
      <c r="BI235" s="90"/>
      <c r="BJ235" s="90"/>
      <c r="BK235" s="90"/>
      <c r="BL235" s="90"/>
      <c r="BM235" s="90"/>
      <c r="BN235" s="90"/>
      <c r="BO235" s="90"/>
      <c r="BP235" s="90"/>
    </row>
    <row r="236" ht="12.75" customHeight="1" outlineLevel="1">
      <c r="A236" s="90" t="s">
        <v>603</v>
      </c>
      <c r="C236" s="102"/>
      <c r="D236" s="102"/>
      <c r="E236" s="102"/>
      <c r="F236" s="102"/>
      <c r="G236" s="102"/>
      <c r="K236" s="102"/>
      <c r="L236" s="102"/>
      <c r="M236" s="102"/>
      <c r="N236" s="102"/>
      <c r="O236" s="102"/>
      <c r="P236" s="102"/>
      <c r="Q236" s="102"/>
      <c r="R236" s="102"/>
      <c r="S236" s="102"/>
      <c r="T236" s="102"/>
      <c r="U236" s="102"/>
      <c r="V236" s="102"/>
      <c r="W236" s="102"/>
      <c r="X236" s="102"/>
      <c r="Y236" s="102"/>
      <c r="Z236" s="102"/>
      <c r="AA236" s="102"/>
      <c r="AB236" s="102"/>
      <c r="AC236" s="102"/>
      <c r="AD236" s="102"/>
      <c r="AE236" s="102"/>
      <c r="AF236" s="102"/>
      <c r="AG236" s="102"/>
      <c r="AH236" s="102"/>
      <c r="AI236" s="102"/>
      <c r="AJ236" s="102"/>
      <c r="AK236" s="102"/>
      <c r="AL236" s="102"/>
      <c r="AM236" s="102"/>
      <c r="AN236" s="102"/>
      <c r="AO236" s="102"/>
      <c r="AP236" s="102"/>
      <c r="AQ236" s="102"/>
      <c r="AR236" s="102"/>
      <c r="AS236" s="102"/>
      <c r="AT236" s="102"/>
      <c r="AU236" s="102"/>
      <c r="AV236" s="102"/>
      <c r="AW236" s="90"/>
      <c r="AX236" s="90"/>
      <c r="AY236" s="90"/>
      <c r="AZ236" s="90"/>
      <c r="BA236" s="90"/>
      <c r="BB236" s="90"/>
      <c r="BC236" s="90"/>
      <c r="BD236" s="90"/>
      <c r="BE236" s="90"/>
      <c r="BF236" s="90"/>
      <c r="BG236" s="90"/>
      <c r="BH236" s="90"/>
      <c r="BI236" s="90"/>
      <c r="BJ236" s="90"/>
      <c r="BK236" s="90"/>
      <c r="BL236" s="90"/>
      <c r="BM236" s="90"/>
      <c r="BN236" s="90"/>
      <c r="BO236" s="90"/>
      <c r="BP236" s="90"/>
    </row>
    <row r="237" ht="12.75" customHeight="1" outlineLevel="1">
      <c r="A237" s="90" t="s">
        <v>604</v>
      </c>
      <c r="C237" s="102">
        <f>'RSGen 1-7'!G379</f>
        <v>0</v>
      </c>
      <c r="D237" s="102">
        <f>OFFSET(RSGen_Walton!$G$20,0,ROW(C237)-ROW($C$237))</f>
        <v>0</v>
      </c>
      <c r="E237" s="102">
        <f>OFFSET(RSGen_none!$G$20,0,ROW(D237)-ROW($C$237))</f>
        <v>0</v>
      </c>
      <c r="F237" s="102"/>
      <c r="G237" s="102"/>
      <c r="K237" s="102"/>
      <c r="L237" s="102">
        <f>$C237*L$107*L6</f>
        <v>0</v>
      </c>
      <c r="M237" s="102">
        <f t="shared" ref="M237:AL237" si="245">M$107*(MAX(0,MIN(M6,SUM(M6:M$15)-$E$4))*$E237+MAX(0,MIN(M6,$D$4-SUM(M7:M$15)))*$C237+(M6-(MAX(0,MIN(M6,SUM(M6:M$15)-$E$4))+MAX(0,MIN(M6,$D$4-SUM(M7:M$15)))))*$D237)</f>
        <v>0</v>
      </c>
      <c r="N237" s="102">
        <f t="shared" si="245"/>
        <v>0</v>
      </c>
      <c r="O237" s="102">
        <f t="shared" si="245"/>
        <v>0</v>
      </c>
      <c r="P237" s="102">
        <f t="shared" si="245"/>
        <v>0</v>
      </c>
      <c r="Q237" s="102">
        <f t="shared" si="245"/>
        <v>0</v>
      </c>
      <c r="R237" s="102">
        <f t="shared" si="245"/>
        <v>0</v>
      </c>
      <c r="S237" s="102">
        <f t="shared" si="245"/>
        <v>0</v>
      </c>
      <c r="T237" s="102">
        <f t="shared" si="245"/>
        <v>0</v>
      </c>
      <c r="U237" s="102">
        <f t="shared" si="245"/>
        <v>0</v>
      </c>
      <c r="V237" s="102">
        <f t="shared" si="245"/>
        <v>0</v>
      </c>
      <c r="W237" s="102">
        <f t="shared" si="245"/>
        <v>0</v>
      </c>
      <c r="X237" s="102">
        <f t="shared" si="245"/>
        <v>0</v>
      </c>
      <c r="Y237" s="102">
        <f t="shared" si="245"/>
        <v>0</v>
      </c>
      <c r="Z237" s="102">
        <f t="shared" si="245"/>
        <v>0</v>
      </c>
      <c r="AA237" s="102">
        <f t="shared" si="245"/>
        <v>0</v>
      </c>
      <c r="AB237" s="102">
        <f t="shared" si="245"/>
        <v>0</v>
      </c>
      <c r="AC237" s="102">
        <f t="shared" si="245"/>
        <v>0</v>
      </c>
      <c r="AD237" s="102">
        <f t="shared" si="245"/>
        <v>0</v>
      </c>
      <c r="AE237" s="102">
        <f t="shared" si="245"/>
        <v>0</v>
      </c>
      <c r="AF237" s="102">
        <f t="shared" si="245"/>
        <v>0</v>
      </c>
      <c r="AG237" s="102">
        <f t="shared" si="245"/>
        <v>0</v>
      </c>
      <c r="AH237" s="102">
        <f t="shared" si="245"/>
        <v>0</v>
      </c>
      <c r="AI237" s="102">
        <f t="shared" si="245"/>
        <v>0</v>
      </c>
      <c r="AJ237" s="102">
        <f t="shared" si="245"/>
        <v>0</v>
      </c>
      <c r="AK237" s="102">
        <f t="shared" si="245"/>
        <v>0</v>
      </c>
      <c r="AL237" s="102">
        <f t="shared" si="245"/>
        <v>0</v>
      </c>
      <c r="AM237" s="102">
        <f t="shared" ref="AM237:AV237" si="246">$D237*AM$107*AM6</f>
        <v>0</v>
      </c>
      <c r="AN237" s="102">
        <f t="shared" si="246"/>
        <v>0</v>
      </c>
      <c r="AO237" s="102" t="str">
        <f t="shared" si="246"/>
        <v>#REF!</v>
      </c>
      <c r="AP237" s="102" t="str">
        <f t="shared" si="246"/>
        <v>#REF!</v>
      </c>
      <c r="AQ237" s="102" t="str">
        <f t="shared" si="246"/>
        <v>#REF!</v>
      </c>
      <c r="AR237" s="102" t="str">
        <f t="shared" si="246"/>
        <v>#REF!</v>
      </c>
      <c r="AS237" s="102" t="str">
        <f t="shared" si="246"/>
        <v>#REF!</v>
      </c>
      <c r="AT237" s="102">
        <f t="shared" si="246"/>
        <v>0</v>
      </c>
      <c r="AU237" s="102">
        <f t="shared" si="246"/>
        <v>0</v>
      </c>
      <c r="AV237" s="102">
        <f t="shared" si="246"/>
        <v>0</v>
      </c>
      <c r="AW237" s="90"/>
      <c r="AX237" s="90"/>
      <c r="AY237" s="90"/>
      <c r="AZ237" s="90"/>
      <c r="BA237" s="90"/>
      <c r="BB237" s="90"/>
      <c r="BC237" s="90"/>
      <c r="BD237" s="90"/>
      <c r="BE237" s="90"/>
      <c r="BF237" s="90"/>
      <c r="BG237" s="90"/>
      <c r="BH237" s="90"/>
      <c r="BI237" s="90"/>
      <c r="BJ237" s="90"/>
      <c r="BK237" s="90"/>
      <c r="BL237" s="90"/>
      <c r="BM237" s="90"/>
      <c r="BN237" s="90"/>
      <c r="BO237" s="90"/>
      <c r="BP237" s="90"/>
    </row>
    <row r="238" ht="12.75" customHeight="1" outlineLevel="1">
      <c r="A238" s="90" t="s">
        <v>287</v>
      </c>
      <c r="C238" s="102">
        <f>'RSGen 1-7'!H$379</f>
        <v>0</v>
      </c>
      <c r="D238" s="102">
        <f>OFFSET(RSGen_Walton!$G$20,0,ROW(C238)-ROW($C$237))</f>
        <v>0</v>
      </c>
      <c r="E238" s="102">
        <f>OFFSET(RSGen_none!$G$20,0,ROW(D238)-ROW($C$237))</f>
        <v>0</v>
      </c>
      <c r="F238" s="102"/>
      <c r="G238" s="102"/>
      <c r="H238" s="313"/>
      <c r="I238" s="313"/>
      <c r="J238" s="313"/>
      <c r="K238" s="306"/>
      <c r="L238" s="306"/>
      <c r="M238" s="102">
        <f t="shared" ref="M238:AL238" si="247">M$107*(MAX(0,MIN(M7,SUM(M7:M$15)-$E$4))*$E238+MAX(0,MIN(M7,$D$4-SUM(M8:M$15)))*$C238+(M7-(MAX(0,MIN(M7,SUM(M7:M$15)-$E$4))+MAX(0,MIN(M7,$D$4-SUM(M8:M$15)))))*$D238)</f>
        <v>0</v>
      </c>
      <c r="N238" s="102">
        <f t="shared" si="247"/>
        <v>0</v>
      </c>
      <c r="O238" s="102">
        <f t="shared" si="247"/>
        <v>0</v>
      </c>
      <c r="P238" s="102">
        <f t="shared" si="247"/>
        <v>0</v>
      </c>
      <c r="Q238" s="102">
        <f t="shared" si="247"/>
        <v>0</v>
      </c>
      <c r="R238" s="102">
        <f t="shared" si="247"/>
        <v>0</v>
      </c>
      <c r="S238" s="102">
        <f t="shared" si="247"/>
        <v>0</v>
      </c>
      <c r="T238" s="102">
        <f t="shared" si="247"/>
        <v>0</v>
      </c>
      <c r="U238" s="102">
        <f t="shared" si="247"/>
        <v>0</v>
      </c>
      <c r="V238" s="102">
        <f t="shared" si="247"/>
        <v>0</v>
      </c>
      <c r="W238" s="102">
        <f t="shared" si="247"/>
        <v>0</v>
      </c>
      <c r="X238" s="102">
        <f t="shared" si="247"/>
        <v>0</v>
      </c>
      <c r="Y238" s="102">
        <f t="shared" si="247"/>
        <v>0</v>
      </c>
      <c r="Z238" s="102">
        <f t="shared" si="247"/>
        <v>0</v>
      </c>
      <c r="AA238" s="102">
        <f t="shared" si="247"/>
        <v>0</v>
      </c>
      <c r="AB238" s="102">
        <f t="shared" si="247"/>
        <v>0</v>
      </c>
      <c r="AC238" s="102">
        <f t="shared" si="247"/>
        <v>0</v>
      </c>
      <c r="AD238" s="102">
        <f t="shared" si="247"/>
        <v>0</v>
      </c>
      <c r="AE238" s="102">
        <f t="shared" si="247"/>
        <v>0</v>
      </c>
      <c r="AF238" s="102">
        <f t="shared" si="247"/>
        <v>0</v>
      </c>
      <c r="AG238" s="102">
        <f t="shared" si="247"/>
        <v>0</v>
      </c>
      <c r="AH238" s="102">
        <f t="shared" si="247"/>
        <v>0</v>
      </c>
      <c r="AI238" s="102">
        <f t="shared" si="247"/>
        <v>0</v>
      </c>
      <c r="AJ238" s="102">
        <f t="shared" si="247"/>
        <v>0</v>
      </c>
      <c r="AK238" s="102">
        <f t="shared" si="247"/>
        <v>0</v>
      </c>
      <c r="AL238" s="102">
        <f t="shared" si="247"/>
        <v>0</v>
      </c>
      <c r="AM238" s="102">
        <f t="shared" ref="AM238:AV238" si="248">$D238*AM$107*AM7</f>
        <v>0</v>
      </c>
      <c r="AN238" s="102">
        <f t="shared" si="248"/>
        <v>0</v>
      </c>
      <c r="AO238" s="102">
        <f t="shared" si="248"/>
        <v>0</v>
      </c>
      <c r="AP238" s="102" t="str">
        <f t="shared" si="248"/>
        <v>#REF!</v>
      </c>
      <c r="AQ238" s="102" t="str">
        <f t="shared" si="248"/>
        <v>#REF!</v>
      </c>
      <c r="AR238" s="102" t="str">
        <f t="shared" si="248"/>
        <v>#REF!</v>
      </c>
      <c r="AS238" s="102" t="str">
        <f t="shared" si="248"/>
        <v>#REF!</v>
      </c>
      <c r="AT238" s="102" t="str">
        <f t="shared" si="248"/>
        <v>#REF!</v>
      </c>
      <c r="AU238" s="102">
        <f t="shared" si="248"/>
        <v>0</v>
      </c>
      <c r="AV238" s="102">
        <f t="shared" si="248"/>
        <v>0</v>
      </c>
      <c r="AW238" s="90"/>
      <c r="AX238" s="90"/>
      <c r="AY238" s="90"/>
      <c r="AZ238" s="90"/>
      <c r="BA238" s="90"/>
      <c r="BB238" s="90"/>
      <c r="BC238" s="90"/>
      <c r="BD238" s="90"/>
      <c r="BE238" s="90"/>
      <c r="BF238" s="90"/>
      <c r="BG238" s="90"/>
      <c r="BH238" s="90"/>
      <c r="BI238" s="90"/>
      <c r="BJ238" s="90"/>
      <c r="BK238" s="90"/>
      <c r="BL238" s="90"/>
      <c r="BM238" s="90"/>
      <c r="BN238" s="90"/>
      <c r="BO238" s="90"/>
      <c r="BP238" s="90"/>
    </row>
    <row r="239" ht="12.75" customHeight="1" outlineLevel="1">
      <c r="A239" s="90" t="s">
        <v>288</v>
      </c>
      <c r="C239" s="102">
        <f>'RSGen 1-7'!I$379</f>
        <v>630554.3712</v>
      </c>
      <c r="D239" s="102">
        <f>OFFSET(RSGen_Walton!$G$20,0,ROW(C239)-ROW($C$237))</f>
        <v>605554.3712</v>
      </c>
      <c r="E239" s="102">
        <f>OFFSET(RSGen_none!$G$20,0,ROW(D239)-ROW($C$237))</f>
        <v>555554.3712</v>
      </c>
      <c r="F239" s="102"/>
      <c r="G239" s="102"/>
      <c r="H239" s="313"/>
      <c r="I239" s="313"/>
      <c r="J239" s="313"/>
      <c r="K239" s="306"/>
      <c r="L239" s="306"/>
      <c r="M239" s="306"/>
      <c r="N239" s="102">
        <f t="shared" ref="N239:AL239" si="249">N$107*(MAX(0,MIN(N8,SUM(N8:N$15)-$E$4))*$E239+MAX(0,MIN(N8,$D$4-SUM(N9:N$15)))*$C239+(N8-(MAX(0,MIN(N8,SUM(N8:N$15)-$E$4))+MAX(0,MIN(N8,$D$4-SUM(N9:N$15)))))*$D239)</f>
        <v>1273719.83</v>
      </c>
      <c r="O239" s="102">
        <f t="shared" si="249"/>
        <v>1923036.34</v>
      </c>
      <c r="P239" s="102">
        <f t="shared" si="249"/>
        <v>3181594.777</v>
      </c>
      <c r="Q239" s="102">
        <f t="shared" si="249"/>
        <v>5192362.677</v>
      </c>
      <c r="R239" s="102">
        <f t="shared" si="249"/>
        <v>8606341.137</v>
      </c>
      <c r="S239" s="102">
        <f t="shared" si="249"/>
        <v>15003457.32</v>
      </c>
      <c r="T239" s="102">
        <f t="shared" si="249"/>
        <v>23650904.54</v>
      </c>
      <c r="U239" s="102">
        <f t="shared" si="249"/>
        <v>29878248.79</v>
      </c>
      <c r="V239" s="102">
        <f t="shared" si="249"/>
        <v>29878247.54</v>
      </c>
      <c r="W239" s="102">
        <f t="shared" si="249"/>
        <v>44697858.33</v>
      </c>
      <c r="X239" s="102">
        <f t="shared" si="249"/>
        <v>55262806.66</v>
      </c>
      <c r="Y239" s="102">
        <f t="shared" si="249"/>
        <v>100053311.5</v>
      </c>
      <c r="Z239" s="102">
        <f t="shared" si="249"/>
        <v>138707710.5</v>
      </c>
      <c r="AA239" s="102">
        <f t="shared" si="249"/>
        <v>177402130.9</v>
      </c>
      <c r="AB239" s="102">
        <f t="shared" si="249"/>
        <v>204129741.2</v>
      </c>
      <c r="AC239" s="102">
        <f t="shared" si="249"/>
        <v>247109146</v>
      </c>
      <c r="AD239" s="102">
        <f t="shared" si="249"/>
        <v>272277670.2</v>
      </c>
      <c r="AE239" s="102">
        <f t="shared" si="249"/>
        <v>273755749</v>
      </c>
      <c r="AF239" s="102">
        <f t="shared" si="249"/>
        <v>220147231.9</v>
      </c>
      <c r="AG239" s="102">
        <f t="shared" si="249"/>
        <v>27243219.94</v>
      </c>
      <c r="AH239" s="102">
        <f t="shared" si="249"/>
        <v>0</v>
      </c>
      <c r="AI239" s="102">
        <f t="shared" si="249"/>
        <v>0</v>
      </c>
      <c r="AJ239" s="102">
        <f t="shared" si="249"/>
        <v>0</v>
      </c>
      <c r="AK239" s="102">
        <f t="shared" si="249"/>
        <v>0</v>
      </c>
      <c r="AL239" s="102">
        <f t="shared" si="249"/>
        <v>0</v>
      </c>
      <c r="AM239" s="102">
        <f t="shared" ref="AM239:AV239" si="250">$D239*AM$107*AM8</f>
        <v>0</v>
      </c>
      <c r="AN239" s="102">
        <f t="shared" si="250"/>
        <v>0</v>
      </c>
      <c r="AO239" s="102">
        <f t="shared" si="250"/>
        <v>0</v>
      </c>
      <c r="AP239" s="102">
        <f t="shared" si="250"/>
        <v>0</v>
      </c>
      <c r="AQ239" s="102" t="str">
        <f t="shared" si="250"/>
        <v>#REF!</v>
      </c>
      <c r="AR239" s="102" t="str">
        <f t="shared" si="250"/>
        <v>#REF!</v>
      </c>
      <c r="AS239" s="102" t="str">
        <f t="shared" si="250"/>
        <v>#REF!</v>
      </c>
      <c r="AT239" s="102" t="str">
        <f t="shared" si="250"/>
        <v>#REF!</v>
      </c>
      <c r="AU239" s="102" t="str">
        <f t="shared" si="250"/>
        <v>#REF!</v>
      </c>
      <c r="AV239" s="102">
        <f t="shared" si="250"/>
        <v>0</v>
      </c>
      <c r="AW239" s="90"/>
      <c r="AX239" s="90"/>
      <c r="AY239" s="90"/>
      <c r="AZ239" s="90"/>
      <c r="BA239" s="90"/>
      <c r="BB239" s="90"/>
      <c r="BC239" s="90"/>
      <c r="BD239" s="90"/>
      <c r="BE239" s="90"/>
      <c r="BF239" s="90"/>
      <c r="BG239" s="90"/>
      <c r="BH239" s="90"/>
      <c r="BI239" s="90"/>
      <c r="BJ239" s="90"/>
      <c r="BK239" s="90"/>
      <c r="BL239" s="90"/>
      <c r="BM239" s="90"/>
      <c r="BN239" s="90"/>
      <c r="BO239" s="90"/>
      <c r="BP239" s="90"/>
    </row>
    <row r="240" ht="12.75" customHeight="1" outlineLevel="1">
      <c r="A240" s="90" t="s">
        <v>289</v>
      </c>
      <c r="C240" s="102">
        <f>'RSGen 1-7'!J$379</f>
        <v>622142.8384</v>
      </c>
      <c r="D240" s="102">
        <f>OFFSET(RSGen_Walton!$G$20,0,ROW(C240)-ROW($C$237))</f>
        <v>622142.8384</v>
      </c>
      <c r="E240" s="102">
        <f>OFFSET(RSGen_none!$G$20,0,ROW(D240)-ROW($C$237))</f>
        <v>622142.8384</v>
      </c>
      <c r="F240" s="102"/>
      <c r="G240" s="102"/>
      <c r="H240" s="313"/>
      <c r="I240" s="313"/>
      <c r="J240" s="313"/>
      <c r="K240" s="306"/>
      <c r="L240" s="306"/>
      <c r="M240" s="306"/>
      <c r="N240" s="306"/>
      <c r="O240" s="102">
        <f t="shared" ref="O240:AH240" si="251">O$107*(MAX(0,MIN(O9,SUM(O9:O$15)-$E$4))*$E240+MAX(0,MIN(O9,$D$4-SUM(O10:O$15)))*$C240+(O9-(MAX(0,MIN(O9,SUM(O9:O$15)-$E$4))+MAX(0,MIN(O9,$D$4-SUM(O10:O$15)))))*$D240)</f>
        <v>1281863.104</v>
      </c>
      <c r="P240" s="102">
        <f t="shared" si="251"/>
        <v>1961250.549</v>
      </c>
      <c r="Q240" s="102">
        <f t="shared" si="251"/>
        <v>3334125.934</v>
      </c>
      <c r="R240" s="102">
        <f t="shared" si="251"/>
        <v>5441293.524</v>
      </c>
      <c r="S240" s="102">
        <f t="shared" si="251"/>
        <v>9108544.44</v>
      </c>
      <c r="T240" s="102">
        <f t="shared" si="251"/>
        <v>15722749.02</v>
      </c>
      <c r="U240" s="102">
        <f t="shared" si="251"/>
        <v>24784769.82</v>
      </c>
      <c r="V240" s="102">
        <f t="shared" si="251"/>
        <v>33459439.25</v>
      </c>
      <c r="W240" s="102">
        <f t="shared" si="251"/>
        <v>34128628.04</v>
      </c>
      <c r="X240" s="102">
        <f t="shared" si="251"/>
        <v>51056427.54</v>
      </c>
      <c r="Y240" s="102">
        <f t="shared" si="251"/>
        <v>63124310.41</v>
      </c>
      <c r="Z240" s="102">
        <f t="shared" si="251"/>
        <v>114286564</v>
      </c>
      <c r="AA240" s="102">
        <f t="shared" si="251"/>
        <v>158439809.8</v>
      </c>
      <c r="AB240" s="102">
        <f t="shared" si="251"/>
        <v>202638770.2</v>
      </c>
      <c r="AC240" s="102">
        <f t="shared" si="251"/>
        <v>233168561.8</v>
      </c>
      <c r="AD240" s="102">
        <f t="shared" si="251"/>
        <v>282262074.3</v>
      </c>
      <c r="AE240" s="102">
        <f t="shared" si="251"/>
        <v>311010989.3</v>
      </c>
      <c r="AF240" s="102">
        <f t="shared" si="251"/>
        <v>312699334.7</v>
      </c>
      <c r="AG240" s="102">
        <f t="shared" si="251"/>
        <v>251464647.6</v>
      </c>
      <c r="AH240" s="102">
        <f t="shared" si="251"/>
        <v>31118750.14</v>
      </c>
      <c r="AI240" s="102">
        <f t="shared" ref="AI240:AV240" si="252">$D240*AI$107*AI9</f>
        <v>0</v>
      </c>
      <c r="AJ240" s="102">
        <f t="shared" si="252"/>
        <v>0</v>
      </c>
      <c r="AK240" s="102">
        <f t="shared" si="252"/>
        <v>0</v>
      </c>
      <c r="AL240" s="102">
        <f t="shared" si="252"/>
        <v>0</v>
      </c>
      <c r="AM240" s="102">
        <f t="shared" si="252"/>
        <v>0</v>
      </c>
      <c r="AN240" s="102">
        <f t="shared" si="252"/>
        <v>0</v>
      </c>
      <c r="AO240" s="102">
        <f t="shared" si="252"/>
        <v>0</v>
      </c>
      <c r="AP240" s="102">
        <f t="shared" si="252"/>
        <v>0</v>
      </c>
      <c r="AQ240" s="102">
        <f t="shared" si="252"/>
        <v>0</v>
      </c>
      <c r="AR240" s="102" t="str">
        <f t="shared" si="252"/>
        <v>#REF!</v>
      </c>
      <c r="AS240" s="102" t="str">
        <f t="shared" si="252"/>
        <v>#REF!</v>
      </c>
      <c r="AT240" s="102" t="str">
        <f t="shared" si="252"/>
        <v>#REF!</v>
      </c>
      <c r="AU240" s="102" t="str">
        <f t="shared" si="252"/>
        <v>#REF!</v>
      </c>
      <c r="AV240" s="102" t="str">
        <f t="shared" si="252"/>
        <v>#REF!</v>
      </c>
      <c r="AW240" s="90"/>
      <c r="AX240" s="90"/>
      <c r="AY240" s="90"/>
      <c r="AZ240" s="90"/>
      <c r="BA240" s="90"/>
      <c r="BB240" s="90"/>
      <c r="BC240" s="90"/>
      <c r="BD240" s="90"/>
      <c r="BE240" s="90"/>
      <c r="BF240" s="90"/>
      <c r="BG240" s="90"/>
      <c r="BH240" s="90"/>
      <c r="BI240" s="90"/>
      <c r="BJ240" s="90"/>
      <c r="BK240" s="90"/>
      <c r="BL240" s="90"/>
      <c r="BM240" s="90"/>
      <c r="BN240" s="90"/>
      <c r="BO240" s="90"/>
      <c r="BP240" s="90"/>
    </row>
    <row r="241" ht="12.75" customHeight="1" outlineLevel="1">
      <c r="A241" s="90" t="s">
        <v>290</v>
      </c>
      <c r="C241" s="102">
        <f>'RSGen 1-7'!K$379</f>
        <v>644024.6117</v>
      </c>
      <c r="D241" s="102">
        <f>OFFSET(RSGen_Walton!$G$20,0,ROW(C241)-ROW($C$237))</f>
        <v>644024.6117</v>
      </c>
      <c r="E241" s="102">
        <f>OFFSET(RSGen_none!$G$20,0,ROW(D241)-ROW($C$237))</f>
        <v>644024.6117</v>
      </c>
      <c r="F241" s="102"/>
      <c r="G241" s="102"/>
      <c r="H241" s="313"/>
      <c r="I241" s="313"/>
      <c r="J241" s="313"/>
      <c r="K241" s="306"/>
      <c r="L241" s="306"/>
      <c r="M241" s="306"/>
      <c r="N241" s="306"/>
      <c r="O241" s="306"/>
      <c r="P241" s="102">
        <f t="shared" ref="P241:AL241" si="253">P$107*(MAX(0,MIN(P10,SUM(P10:P$15)-$E$4))*$E241+MAX(0,MIN(P10,$D$4-SUM(P11:P$15)))*$C241+(P10-(MAX(0,MIN(P10,SUM(P10:P$15)-$E$4))+MAX(0,MIN(P10,$D$4-SUM(P11:P$15)))))*$D241)</f>
        <v>1353487.276</v>
      </c>
      <c r="Q241" s="102">
        <f t="shared" si="253"/>
        <v>2070835.532</v>
      </c>
      <c r="R241" s="102">
        <f t="shared" si="253"/>
        <v>3520420.405</v>
      </c>
      <c r="S241" s="102">
        <f t="shared" si="253"/>
        <v>5802404.141</v>
      </c>
      <c r="T241" s="102">
        <f t="shared" si="253"/>
        <v>9617484.864</v>
      </c>
      <c r="U241" s="102">
        <f t="shared" si="253"/>
        <v>16601258.49</v>
      </c>
      <c r="V241" s="102">
        <f t="shared" si="253"/>
        <v>26169620.2</v>
      </c>
      <c r="W241" s="102">
        <f t="shared" si="253"/>
        <v>35328987.27</v>
      </c>
      <c r="X241" s="102">
        <f t="shared" si="253"/>
        <v>36035567.02</v>
      </c>
      <c r="Y241" s="102">
        <f t="shared" si="253"/>
        <v>53909208.25</v>
      </c>
      <c r="Z241" s="102">
        <f t="shared" si="253"/>
        <v>66651384.75</v>
      </c>
      <c r="AA241" s="102">
        <f t="shared" si="253"/>
        <v>120672332.1</v>
      </c>
      <c r="AB241" s="102">
        <f t="shared" si="253"/>
        <v>167292642.9</v>
      </c>
      <c r="AC241" s="102">
        <f t="shared" si="253"/>
        <v>213961222.7</v>
      </c>
      <c r="AD241" s="102">
        <f t="shared" si="253"/>
        <v>246196868.1</v>
      </c>
      <c r="AE241" s="102">
        <f t="shared" si="253"/>
        <v>298033483.4</v>
      </c>
      <c r="AF241" s="102">
        <f t="shared" si="253"/>
        <v>328388745.6</v>
      </c>
      <c r="AG241" s="102">
        <f t="shared" si="253"/>
        <v>330171427.3</v>
      </c>
      <c r="AH241" s="102">
        <f t="shared" si="253"/>
        <v>265515248.7</v>
      </c>
      <c r="AI241" s="102">
        <f t="shared" si="253"/>
        <v>32857512.02</v>
      </c>
      <c r="AJ241" s="102">
        <f t="shared" si="253"/>
        <v>0</v>
      </c>
      <c r="AK241" s="102">
        <f t="shared" si="253"/>
        <v>0</v>
      </c>
      <c r="AL241" s="102">
        <f t="shared" si="253"/>
        <v>0</v>
      </c>
      <c r="AM241" s="102">
        <f t="shared" ref="AM241:AV241" si="254">$D241*AM$107*AM10</f>
        <v>0</v>
      </c>
      <c r="AN241" s="102">
        <f t="shared" si="254"/>
        <v>0</v>
      </c>
      <c r="AO241" s="102">
        <f t="shared" si="254"/>
        <v>0</v>
      </c>
      <c r="AP241" s="102">
        <f t="shared" si="254"/>
        <v>0</v>
      </c>
      <c r="AQ241" s="102">
        <f t="shared" si="254"/>
        <v>0</v>
      </c>
      <c r="AR241" s="102">
        <f t="shared" si="254"/>
        <v>0</v>
      </c>
      <c r="AS241" s="102" t="str">
        <f t="shared" si="254"/>
        <v>#REF!</v>
      </c>
      <c r="AT241" s="102" t="str">
        <f t="shared" si="254"/>
        <v>#REF!</v>
      </c>
      <c r="AU241" s="102" t="str">
        <f t="shared" si="254"/>
        <v>#REF!</v>
      </c>
      <c r="AV241" s="102" t="str">
        <f t="shared" si="254"/>
        <v>#REF!</v>
      </c>
      <c r="AW241" s="90"/>
      <c r="AX241" s="90"/>
      <c r="AY241" s="90"/>
      <c r="AZ241" s="90"/>
      <c r="BA241" s="90"/>
      <c r="BB241" s="90"/>
      <c r="BC241" s="90"/>
      <c r="BD241" s="90"/>
      <c r="BE241" s="90"/>
      <c r="BF241" s="90"/>
      <c r="BG241" s="90"/>
      <c r="BH241" s="90"/>
      <c r="BI241" s="90"/>
      <c r="BJ241" s="90"/>
      <c r="BK241" s="90"/>
      <c r="BL241" s="90"/>
      <c r="BM241" s="90"/>
      <c r="BN241" s="90"/>
      <c r="BO241" s="90"/>
      <c r="BP241" s="90"/>
    </row>
    <row r="242" ht="12.75" customHeight="1" outlineLevel="1">
      <c r="A242" s="90" t="s">
        <v>291</v>
      </c>
      <c r="C242" s="102">
        <f>'RSGen 1-7'!L$379</f>
        <v>645805.4117</v>
      </c>
      <c r="D242" s="102">
        <f>OFFSET(RSGen_Walton!$G$20,0,ROW(C242)-ROW($C$237))</f>
        <v>645805.4117</v>
      </c>
      <c r="E242" s="102">
        <f>OFFSET(RSGen_none!$G$20,0,ROW(D242)-ROW($C$237))</f>
        <v>645805.4117</v>
      </c>
      <c r="F242" s="102"/>
      <c r="G242" s="102"/>
      <c r="H242" s="313"/>
      <c r="I242" s="313"/>
      <c r="J242" s="313"/>
      <c r="K242" s="306"/>
      <c r="L242" s="306"/>
      <c r="M242" s="306"/>
      <c r="N242" s="306"/>
      <c r="O242" s="306"/>
      <c r="P242" s="306"/>
      <c r="Q242" s="102">
        <f t="shared" ref="Q242:AL242" si="255">Q$107*(MAX(0,MIN(Q11,SUM(Q11:Q$15)-$E$4))*$E242+MAX(0,MIN(Q11,$D$4-SUM(Q12:Q$15)))*$C242+(Q11-(MAX(0,MIN(Q11,SUM(Q11:Q$15)-$E$4))+MAX(0,MIN(Q11,$D$4-SUM(Q12:Q$15)))))*$D242)</f>
        <v>1384374.416</v>
      </c>
      <c r="R242" s="102">
        <f t="shared" si="255"/>
        <v>2118092.857</v>
      </c>
      <c r="S242" s="102">
        <f t="shared" si="255"/>
        <v>3636530.273</v>
      </c>
      <c r="T242" s="102">
        <f t="shared" si="255"/>
        <v>5934817.406</v>
      </c>
      <c r="U242" s="102">
        <f t="shared" si="255"/>
        <v>9836959.85</v>
      </c>
      <c r="V242" s="102">
        <f t="shared" si="255"/>
        <v>16980106.08</v>
      </c>
      <c r="W242" s="102">
        <f t="shared" si="255"/>
        <v>26766821.77</v>
      </c>
      <c r="X242" s="102">
        <f t="shared" si="255"/>
        <v>36135209.38</v>
      </c>
      <c r="Y242" s="102">
        <f t="shared" si="255"/>
        <v>36857913.57</v>
      </c>
      <c r="Z242" s="102">
        <f t="shared" si="255"/>
        <v>55139438.7</v>
      </c>
      <c r="AA242" s="102">
        <f t="shared" si="255"/>
        <v>68172396.94</v>
      </c>
      <c r="AB242" s="102">
        <f t="shared" si="255"/>
        <v>123426124.7</v>
      </c>
      <c r="AC242" s="102">
        <f t="shared" si="255"/>
        <v>171110330.3</v>
      </c>
      <c r="AD242" s="102">
        <f t="shared" si="255"/>
        <v>218843906.4</v>
      </c>
      <c r="AE242" s="102">
        <f t="shared" si="255"/>
        <v>251815182.5</v>
      </c>
      <c r="AF242" s="102">
        <f t="shared" si="255"/>
        <v>304834730.8</v>
      </c>
      <c r="AG242" s="102">
        <f t="shared" si="255"/>
        <v>335882712.7</v>
      </c>
      <c r="AH242" s="102">
        <f t="shared" si="255"/>
        <v>337706076</v>
      </c>
      <c r="AI242" s="102">
        <f t="shared" si="255"/>
        <v>271574416.6</v>
      </c>
      <c r="AJ242" s="102">
        <f t="shared" si="255"/>
        <v>33607334.05</v>
      </c>
      <c r="AK242" s="102">
        <f t="shared" si="255"/>
        <v>0</v>
      </c>
      <c r="AL242" s="102">
        <f t="shared" si="255"/>
        <v>0</v>
      </c>
      <c r="AM242" s="102">
        <f t="shared" ref="AM242:AV242" si="256">$D242*AM$107*AM11</f>
        <v>0</v>
      </c>
      <c r="AN242" s="102">
        <f t="shared" si="256"/>
        <v>0</v>
      </c>
      <c r="AO242" s="102">
        <f t="shared" si="256"/>
        <v>0</v>
      </c>
      <c r="AP242" s="102">
        <f t="shared" si="256"/>
        <v>0</v>
      </c>
      <c r="AQ242" s="102">
        <f t="shared" si="256"/>
        <v>0</v>
      </c>
      <c r="AR242" s="102">
        <f t="shared" si="256"/>
        <v>0</v>
      </c>
      <c r="AS242" s="102">
        <f t="shared" si="256"/>
        <v>0</v>
      </c>
      <c r="AT242" s="102" t="str">
        <f t="shared" si="256"/>
        <v>#REF!</v>
      </c>
      <c r="AU242" s="102" t="str">
        <f t="shared" si="256"/>
        <v>#REF!</v>
      </c>
      <c r="AV242" s="102" t="str">
        <f t="shared" si="256"/>
        <v>#REF!</v>
      </c>
      <c r="AW242" s="90"/>
      <c r="AX242" s="90"/>
      <c r="AY242" s="90"/>
      <c r="AZ242" s="90"/>
      <c r="BA242" s="90"/>
      <c r="BB242" s="90"/>
      <c r="BC242" s="90"/>
      <c r="BD242" s="90"/>
      <c r="BE242" s="90"/>
      <c r="BF242" s="90"/>
      <c r="BG242" s="90"/>
      <c r="BH242" s="90"/>
      <c r="BI242" s="90"/>
      <c r="BJ242" s="90"/>
      <c r="BK242" s="90"/>
      <c r="BL242" s="90"/>
      <c r="BM242" s="90"/>
      <c r="BN242" s="90"/>
      <c r="BO242" s="90"/>
      <c r="BP242" s="90"/>
    </row>
    <row r="243" ht="12.75" customHeight="1" outlineLevel="1">
      <c r="A243" s="90" t="s">
        <v>292</v>
      </c>
      <c r="C243" s="102">
        <f>'RSGen 1-7'!M$379</f>
        <v>644279.0117</v>
      </c>
      <c r="D243" s="102">
        <f>OFFSET(RSGen_Walton!$G$20,0,ROW(C243)-ROW($C$237))</f>
        <v>644279.0117</v>
      </c>
      <c r="E243" s="102">
        <f>OFFSET(RSGen_none!$G$20,0,ROW(D243)-ROW($C$237))</f>
        <v>644279.0117</v>
      </c>
      <c r="F243" s="102"/>
      <c r="G243" s="102"/>
      <c r="H243" s="313"/>
      <c r="I243" s="313"/>
      <c r="J243" s="313"/>
      <c r="K243" s="306"/>
      <c r="L243" s="306"/>
      <c r="M243" s="306"/>
      <c r="N243" s="306"/>
      <c r="O243" s="306"/>
      <c r="P243" s="306"/>
      <c r="Q243" s="306"/>
      <c r="R243" s="102">
        <f t="shared" ref="R243:AL243" si="257">R$107*(MAX(0,MIN(R12,SUM(R12:R$15)-$E$4))*$E243+MAX(0,MIN(R12,$D$4-SUM(R13:R$15)))*$C243+(R12-(MAX(0,MIN(R12,SUM(R12:R$15)-$E$4))+MAX(0,MIN(R12,$D$4-SUM(R13:R$15)))))*$D243)</f>
        <v>1408724.411</v>
      </c>
      <c r="S243" s="102">
        <f t="shared" si="257"/>
        <v>2176761.069</v>
      </c>
      <c r="T243" s="102">
        <f t="shared" si="257"/>
        <v>3700493.817</v>
      </c>
      <c r="U243" s="102">
        <f t="shared" si="257"/>
        <v>6039205.909</v>
      </c>
      <c r="V243" s="102">
        <f t="shared" si="257"/>
        <v>10009983.79</v>
      </c>
      <c r="W243" s="102">
        <f t="shared" si="257"/>
        <v>17278772.03</v>
      </c>
      <c r="X243" s="102">
        <f t="shared" si="257"/>
        <v>27237627.91</v>
      </c>
      <c r="Y243" s="102">
        <f t="shared" si="257"/>
        <v>36770797.67</v>
      </c>
      <c r="Z243" s="102">
        <f t="shared" si="257"/>
        <v>37506213.63</v>
      </c>
      <c r="AA243" s="102">
        <f t="shared" si="257"/>
        <v>56109295.58</v>
      </c>
      <c r="AB243" s="102">
        <f t="shared" si="257"/>
        <v>69371492.72</v>
      </c>
      <c r="AC243" s="102">
        <f t="shared" si="257"/>
        <v>125597087.6</v>
      </c>
      <c r="AD243" s="102">
        <f t="shared" si="257"/>
        <v>174120018.7</v>
      </c>
      <c r="AE243" s="102">
        <f t="shared" si="257"/>
        <v>222693188.7</v>
      </c>
      <c r="AF243" s="102">
        <f t="shared" si="257"/>
        <v>256244402.2</v>
      </c>
      <c r="AG243" s="102">
        <f t="shared" si="257"/>
        <v>310196520.3</v>
      </c>
      <c r="AH243" s="102">
        <f t="shared" si="257"/>
        <v>341790610.3</v>
      </c>
      <c r="AI243" s="102">
        <f t="shared" si="257"/>
        <v>343646045.1</v>
      </c>
      <c r="AJ243" s="102">
        <f t="shared" si="257"/>
        <v>276351184.8</v>
      </c>
      <c r="AK243" s="102">
        <f t="shared" si="257"/>
        <v>34198459.11</v>
      </c>
      <c r="AL243" s="102">
        <f t="shared" si="257"/>
        <v>0</v>
      </c>
      <c r="AM243" s="102">
        <f t="shared" ref="AM243:AV243" si="258">$D243*AM$107*AM12</f>
        <v>0</v>
      </c>
      <c r="AN243" s="102">
        <f t="shared" si="258"/>
        <v>0</v>
      </c>
      <c r="AO243" s="102">
        <f t="shared" si="258"/>
        <v>0</v>
      </c>
      <c r="AP243" s="102">
        <f t="shared" si="258"/>
        <v>0</v>
      </c>
      <c r="AQ243" s="102">
        <f t="shared" si="258"/>
        <v>0</v>
      </c>
      <c r="AR243" s="102">
        <f t="shared" si="258"/>
        <v>0</v>
      </c>
      <c r="AS243" s="102">
        <f t="shared" si="258"/>
        <v>0</v>
      </c>
      <c r="AT243" s="102">
        <f t="shared" si="258"/>
        <v>0</v>
      </c>
      <c r="AU243" s="102" t="str">
        <f t="shared" si="258"/>
        <v>#REF!</v>
      </c>
      <c r="AV243" s="102" t="str">
        <f t="shared" si="258"/>
        <v>#REF!</v>
      </c>
      <c r="AW243" s="90"/>
      <c r="AX243" s="90"/>
      <c r="AY243" s="90"/>
      <c r="AZ243" s="90"/>
      <c r="BA243" s="90"/>
      <c r="BB243" s="90"/>
      <c r="BC243" s="90"/>
      <c r="BD243" s="90"/>
      <c r="BE243" s="90"/>
      <c r="BF243" s="90"/>
      <c r="BG243" s="90"/>
      <c r="BH243" s="90"/>
      <c r="BI243" s="90"/>
      <c r="BJ243" s="90"/>
      <c r="BK243" s="90"/>
      <c r="BL243" s="90"/>
      <c r="BM243" s="90"/>
      <c r="BN243" s="90"/>
      <c r="BO243" s="90"/>
      <c r="BP243" s="90"/>
    </row>
    <row r="244" ht="12.75" customHeight="1" outlineLevel="1">
      <c r="A244" s="90" t="s">
        <v>293</v>
      </c>
      <c r="C244" s="102">
        <f>'RSGen 1-7'!N$379</f>
        <v>642879.8117</v>
      </c>
      <c r="D244" s="102">
        <f>OFFSET(RSGen_Walton!$G$20,0,ROW(C244)-ROW($C$237))</f>
        <v>642879.8117</v>
      </c>
      <c r="E244" s="102">
        <f>OFFSET(RSGen_none!$G$20,0,ROW(D244)-ROW($C$237))</f>
        <v>642879.8117</v>
      </c>
      <c r="F244" s="102"/>
      <c r="G244" s="102"/>
      <c r="H244" s="313"/>
      <c r="I244" s="313"/>
      <c r="J244" s="313"/>
      <c r="K244" s="306"/>
      <c r="L244" s="306"/>
      <c r="M244" s="306"/>
      <c r="N244" s="306"/>
      <c r="O244" s="306"/>
      <c r="P244" s="306"/>
      <c r="Q244" s="306"/>
      <c r="R244" s="306"/>
      <c r="S244" s="102">
        <f t="shared" ref="S244:AL244" si="259">S$107*(MAX(0,MIN(S13,SUM(S13:S$15)-$E$4))*$E244+MAX(0,MIN(S13,$D$4-SUM(S14:S$15)))*$C244+(S13-(MAX(0,MIN(S13,SUM(S13:S$15)-$E$4))+MAX(0,MIN(S13,$D$4-SUM(S14:S$15)))))*$D244)</f>
        <v>1448022.488</v>
      </c>
      <c r="T244" s="102">
        <f t="shared" si="259"/>
        <v>2215474.406</v>
      </c>
      <c r="U244" s="102">
        <f t="shared" si="259"/>
        <v>3766306.491</v>
      </c>
      <c r="V244" s="102">
        <f t="shared" si="259"/>
        <v>6146612.193</v>
      </c>
      <c r="W244" s="102">
        <f t="shared" si="259"/>
        <v>10188009.71</v>
      </c>
      <c r="X244" s="102">
        <f t="shared" si="259"/>
        <v>17586072.15</v>
      </c>
      <c r="Y244" s="102">
        <f t="shared" si="259"/>
        <v>27722044.64</v>
      </c>
      <c r="Z244" s="102">
        <f t="shared" si="259"/>
        <v>37424760.26</v>
      </c>
      <c r="AA244" s="102">
        <f t="shared" si="259"/>
        <v>38173255.46</v>
      </c>
      <c r="AB244" s="102">
        <f t="shared" si="259"/>
        <v>57107190.18</v>
      </c>
      <c r="AC244" s="102">
        <f t="shared" si="259"/>
        <v>70605253.31</v>
      </c>
      <c r="AD244" s="102">
        <f t="shared" si="259"/>
        <v>127830811.1</v>
      </c>
      <c r="AE244" s="102">
        <f t="shared" si="259"/>
        <v>177216714.6</v>
      </c>
      <c r="AF244" s="102">
        <f t="shared" si="259"/>
        <v>226653750.4</v>
      </c>
      <c r="AG244" s="102">
        <f t="shared" si="259"/>
        <v>260801666.7</v>
      </c>
      <c r="AH244" s="102">
        <f t="shared" si="259"/>
        <v>315713314.4</v>
      </c>
      <c r="AI244" s="102">
        <f t="shared" si="259"/>
        <v>347869300.1</v>
      </c>
      <c r="AJ244" s="102">
        <f t="shared" si="259"/>
        <v>349757733.4</v>
      </c>
      <c r="AK244" s="102">
        <f t="shared" si="259"/>
        <v>281266045.1</v>
      </c>
      <c r="AL244" s="102">
        <f t="shared" si="259"/>
        <v>34806673.08</v>
      </c>
      <c r="AM244" s="102">
        <f t="shared" ref="AM244:AV244" si="260">$D244*AM$107*AM13</f>
        <v>0</v>
      </c>
      <c r="AN244" s="102">
        <f t="shared" si="260"/>
        <v>0</v>
      </c>
      <c r="AO244" s="102">
        <f t="shared" si="260"/>
        <v>0</v>
      </c>
      <c r="AP244" s="102">
        <f t="shared" si="260"/>
        <v>0</v>
      </c>
      <c r="AQ244" s="102">
        <f t="shared" si="260"/>
        <v>0</v>
      </c>
      <c r="AR244" s="102">
        <f t="shared" si="260"/>
        <v>0</v>
      </c>
      <c r="AS244" s="102">
        <f t="shared" si="260"/>
        <v>0</v>
      </c>
      <c r="AT244" s="102">
        <f t="shared" si="260"/>
        <v>0</v>
      </c>
      <c r="AU244" s="102">
        <f t="shared" si="260"/>
        <v>0</v>
      </c>
      <c r="AV244" s="102" t="str">
        <f t="shared" si="260"/>
        <v>#REF!</v>
      </c>
      <c r="AW244" s="90"/>
      <c r="AX244" s="90"/>
      <c r="AY244" s="90"/>
      <c r="AZ244" s="90"/>
      <c r="BA244" s="90"/>
      <c r="BB244" s="90"/>
      <c r="BC244" s="90"/>
      <c r="BD244" s="90"/>
      <c r="BE244" s="90"/>
      <c r="BF244" s="90"/>
      <c r="BG244" s="90"/>
      <c r="BH244" s="90"/>
      <c r="BI244" s="90"/>
      <c r="BJ244" s="90"/>
      <c r="BK244" s="90"/>
      <c r="BL244" s="90"/>
      <c r="BM244" s="90"/>
      <c r="BN244" s="90"/>
      <c r="BO244" s="90"/>
      <c r="BP244" s="90"/>
    </row>
    <row r="245" ht="12.75" customHeight="1" outlineLevel="1">
      <c r="A245" s="90" t="s">
        <v>294</v>
      </c>
      <c r="C245" s="102">
        <f>'RSGen 1-7'!O$379</f>
        <v>641544.2117</v>
      </c>
      <c r="D245" s="102">
        <f>OFFSET(RSGen_Walton!$G$20,0,ROW(C245)-ROW($C$237))</f>
        <v>641544.2117</v>
      </c>
      <c r="E245" s="102">
        <f>OFFSET(RSGen_none!$G$20,0,ROW(D245)-ROW($C$237))</f>
        <v>641544.2117</v>
      </c>
      <c r="F245" s="102"/>
      <c r="G245" s="102"/>
      <c r="H245" s="313"/>
      <c r="I245" s="313"/>
      <c r="J245" s="313"/>
      <c r="K245" s="306"/>
      <c r="L245" s="306"/>
      <c r="M245" s="306"/>
      <c r="N245" s="306"/>
      <c r="O245" s="306"/>
      <c r="P245" s="306"/>
      <c r="Q245" s="306"/>
      <c r="R245" s="306"/>
      <c r="S245" s="306"/>
      <c r="T245" s="102">
        <f t="shared" ref="T245:AL245" si="261">T$107*(MAX(0,MIN(T14,SUM(T14:T$15)-$E$4))*$E245+MAX(0,MIN(T14,$D$4-SUM(T$15:T15)))*$C245+(T14-(MAX(0,MIN(T14,SUM(T14:T$15)-$E$4))+MAX(0,MIN(T14,$D$4-SUM(T$15:T15)))))*$D245)</f>
        <v>1473914.466</v>
      </c>
      <c r="U245" s="102">
        <f t="shared" si="261"/>
        <v>2255089.133</v>
      </c>
      <c r="V245" s="102">
        <f t="shared" si="261"/>
        <v>3833651.526</v>
      </c>
      <c r="W245" s="102">
        <f t="shared" si="261"/>
        <v>6256519.291</v>
      </c>
      <c r="X245" s="102">
        <f t="shared" si="261"/>
        <v>10370180.72</v>
      </c>
      <c r="Y245" s="102">
        <f t="shared" si="261"/>
        <v>17900527.34</v>
      </c>
      <c r="Z245" s="102">
        <f t="shared" si="261"/>
        <v>28217740.37</v>
      </c>
      <c r="AA245" s="102">
        <f t="shared" si="261"/>
        <v>38093949.51</v>
      </c>
      <c r="AB245" s="102">
        <f t="shared" si="261"/>
        <v>38855828.5</v>
      </c>
      <c r="AC245" s="102">
        <f t="shared" si="261"/>
        <v>58128319.43</v>
      </c>
      <c r="AD245" s="102">
        <f t="shared" si="261"/>
        <v>71867740.39</v>
      </c>
      <c r="AE245" s="102">
        <f t="shared" si="261"/>
        <v>130116544</v>
      </c>
      <c r="AF245" s="102">
        <f t="shared" si="261"/>
        <v>180385513</v>
      </c>
      <c r="AG245" s="102">
        <f t="shared" si="261"/>
        <v>230706528.6</v>
      </c>
      <c r="AH245" s="102">
        <f t="shared" si="261"/>
        <v>265465041.2</v>
      </c>
      <c r="AI245" s="102">
        <f t="shared" si="261"/>
        <v>321358559.7</v>
      </c>
      <c r="AJ245" s="102">
        <f t="shared" si="261"/>
        <v>354089524.2</v>
      </c>
      <c r="AK245" s="102">
        <f t="shared" si="261"/>
        <v>356011724.4</v>
      </c>
      <c r="AL245" s="102">
        <f t="shared" si="261"/>
        <v>286295341.5</v>
      </c>
      <c r="AM245" s="102">
        <f t="shared" ref="AM245:AV245" si="262">$D245*AM$107*AM14</f>
        <v>35429048.51</v>
      </c>
      <c r="AN245" s="102">
        <f t="shared" si="262"/>
        <v>0</v>
      </c>
      <c r="AO245" s="102">
        <f t="shared" si="262"/>
        <v>0</v>
      </c>
      <c r="AP245" s="102">
        <f t="shared" si="262"/>
        <v>0</v>
      </c>
      <c r="AQ245" s="102">
        <f t="shared" si="262"/>
        <v>0</v>
      </c>
      <c r="AR245" s="102">
        <f t="shared" si="262"/>
        <v>0</v>
      </c>
      <c r="AS245" s="102">
        <f t="shared" si="262"/>
        <v>0</v>
      </c>
      <c r="AT245" s="102">
        <f t="shared" si="262"/>
        <v>0</v>
      </c>
      <c r="AU245" s="102">
        <f t="shared" si="262"/>
        <v>0</v>
      </c>
      <c r="AV245" s="102">
        <f t="shared" si="262"/>
        <v>0</v>
      </c>
      <c r="AW245" s="90"/>
      <c r="AX245" s="90"/>
      <c r="AY245" s="90"/>
      <c r="AZ245" s="90"/>
      <c r="BA245" s="90"/>
      <c r="BB245" s="90"/>
      <c r="BC245" s="90"/>
      <c r="BD245" s="90"/>
      <c r="BE245" s="90"/>
      <c r="BF245" s="90"/>
      <c r="BG245" s="90"/>
      <c r="BH245" s="90"/>
      <c r="BI245" s="90"/>
      <c r="BJ245" s="90"/>
      <c r="BK245" s="90"/>
      <c r="BL245" s="90"/>
      <c r="BM245" s="90"/>
      <c r="BN245" s="90"/>
      <c r="BO245" s="90"/>
      <c r="BP245" s="90"/>
    </row>
    <row r="246" ht="12.75" customHeight="1" outlineLevel="1">
      <c r="A246" s="90" t="s">
        <v>595</v>
      </c>
      <c r="C246" s="102">
        <f>'RSGen 1-7'!P$379</f>
        <v>640208.6117</v>
      </c>
      <c r="D246" s="102">
        <f>OFFSET(RSGen_Walton!$G$20,0,ROW(C246)-ROW($C$237))</f>
        <v>640208.6117</v>
      </c>
      <c r="E246" s="102">
        <f>OFFSET(RSGen_none!$G$20,0,ROW(D246)-ROW($C$237))</f>
        <v>640208.6117</v>
      </c>
      <c r="F246" s="102"/>
      <c r="G246" s="102"/>
      <c r="H246" s="313"/>
      <c r="I246" s="313"/>
      <c r="J246" s="313"/>
      <c r="K246" s="306"/>
      <c r="L246" s="306"/>
      <c r="M246" s="306"/>
      <c r="N246" s="306"/>
      <c r="O246" s="306"/>
      <c r="P246" s="306"/>
      <c r="Q246" s="306"/>
      <c r="R246" s="306"/>
      <c r="S246" s="306"/>
      <c r="T246" s="306"/>
      <c r="U246" s="102">
        <f t="shared" ref="U246:AL246" si="263">U$107*($C246*MIN($D$4-3,U15-3)+$D246*MIN($E$4-$D$4,MAX(0,U15-$D$4))+$E246*MAX(0,U15-$E$4))</f>
        <v>1500262.914</v>
      </c>
      <c r="V246" s="102">
        <f t="shared" si="263"/>
        <v>3825670.432</v>
      </c>
      <c r="W246" s="102">
        <f t="shared" si="263"/>
        <v>7804367.681</v>
      </c>
      <c r="X246" s="102">
        <f t="shared" si="263"/>
        <v>14328819.06</v>
      </c>
      <c r="Y246" s="102">
        <f t="shared" si="263"/>
        <v>25170958.82</v>
      </c>
      <c r="Z246" s="102">
        <f t="shared" si="263"/>
        <v>43894904.31</v>
      </c>
      <c r="AA246" s="102">
        <f t="shared" si="263"/>
        <v>73494977.52</v>
      </c>
      <c r="AB246" s="102">
        <f t="shared" si="263"/>
        <v>113739813.5</v>
      </c>
      <c r="AC246" s="102">
        <f t="shared" si="263"/>
        <v>155565044.9</v>
      </c>
      <c r="AD246" s="102">
        <f t="shared" si="263"/>
        <v>217843796.8</v>
      </c>
      <c r="AE246" s="102">
        <f t="shared" si="263"/>
        <v>295353157.6</v>
      </c>
      <c r="AF246" s="102">
        <f t="shared" si="263"/>
        <v>433702794.5</v>
      </c>
      <c r="AG246" s="102">
        <f t="shared" si="263"/>
        <v>625987027</v>
      </c>
      <c r="AH246" s="102">
        <f t="shared" si="263"/>
        <v>873337524.1</v>
      </c>
      <c r="AI246" s="102">
        <f t="shared" si="263"/>
        <v>1161014904</v>
      </c>
      <c r="AJ246" s="102">
        <f t="shared" si="263"/>
        <v>1511338532</v>
      </c>
      <c r="AK246" s="102">
        <f t="shared" si="263"/>
        <v>1901984712</v>
      </c>
      <c r="AL246" s="102">
        <f t="shared" si="263"/>
        <v>2302400379</v>
      </c>
      <c r="AM246" s="102">
        <f t="shared" ref="AM246:AV246" si="264">$C246*AM$107*(4)+$D246*AM$107*(AM15-7)</f>
        <v>2639861690</v>
      </c>
      <c r="AN246" s="102">
        <f t="shared" si="264"/>
        <v>2728721320</v>
      </c>
      <c r="AO246" s="102">
        <f t="shared" si="264"/>
        <v>2783295746</v>
      </c>
      <c r="AP246" s="102">
        <f t="shared" si="264"/>
        <v>2838961661</v>
      </c>
      <c r="AQ246" s="102">
        <f t="shared" si="264"/>
        <v>2895740894</v>
      </c>
      <c r="AR246" s="102">
        <f t="shared" si="264"/>
        <v>2953655712</v>
      </c>
      <c r="AS246" s="102">
        <f t="shared" si="264"/>
        <v>3012728826</v>
      </c>
      <c r="AT246" s="102">
        <f t="shared" si="264"/>
        <v>3072983403</v>
      </c>
      <c r="AU246" s="102">
        <f t="shared" si="264"/>
        <v>3134443071</v>
      </c>
      <c r="AV246" s="102">
        <f t="shared" si="264"/>
        <v>3197131932</v>
      </c>
      <c r="AW246" s="90"/>
      <c r="AX246" s="90"/>
      <c r="AY246" s="90"/>
      <c r="AZ246" s="90"/>
      <c r="BA246" s="90"/>
      <c r="BB246" s="90"/>
      <c r="BC246" s="90"/>
      <c r="BD246" s="90"/>
      <c r="BE246" s="90"/>
      <c r="BF246" s="90"/>
      <c r="BG246" s="90"/>
      <c r="BH246" s="90"/>
      <c r="BI246" s="90"/>
      <c r="BJ246" s="90"/>
      <c r="BK246" s="90"/>
      <c r="BL246" s="90"/>
      <c r="BM246" s="90"/>
      <c r="BN246" s="90"/>
      <c r="BO246" s="90"/>
      <c r="BP246" s="90"/>
    </row>
    <row r="247" ht="12.75" customHeight="1" outlineLevel="1">
      <c r="A247" s="143" t="s">
        <v>605</v>
      </c>
      <c r="B247" s="143"/>
      <c r="C247" s="309"/>
      <c r="D247" s="309"/>
      <c r="E247" s="309"/>
      <c r="F247" s="309"/>
      <c r="G247" s="309"/>
      <c r="H247" s="314"/>
      <c r="I247" s="314"/>
      <c r="J247" s="314"/>
      <c r="K247" s="311"/>
      <c r="L247" s="309">
        <f t="shared" ref="L247:AV247" si="265">SUM(L237:L246)</f>
        <v>0</v>
      </c>
      <c r="M247" s="309">
        <f t="shared" si="265"/>
        <v>0</v>
      </c>
      <c r="N247" s="309">
        <f t="shared" si="265"/>
        <v>1273719.83</v>
      </c>
      <c r="O247" s="309">
        <f t="shared" si="265"/>
        <v>3204899.444</v>
      </c>
      <c r="P247" s="309">
        <f t="shared" si="265"/>
        <v>6496332.603</v>
      </c>
      <c r="Q247" s="309">
        <f t="shared" si="265"/>
        <v>11981698.56</v>
      </c>
      <c r="R247" s="309">
        <f t="shared" si="265"/>
        <v>21094872.33</v>
      </c>
      <c r="S247" s="309">
        <f t="shared" si="265"/>
        <v>37175719.73</v>
      </c>
      <c r="T247" s="309">
        <f t="shared" si="265"/>
        <v>62315838.52</v>
      </c>
      <c r="U247" s="309">
        <f t="shared" si="265"/>
        <v>94662101.4</v>
      </c>
      <c r="V247" s="309">
        <f t="shared" si="265"/>
        <v>130303331</v>
      </c>
      <c r="W247" s="309">
        <f t="shared" si="265"/>
        <v>182449964.1</v>
      </c>
      <c r="X247" s="309">
        <f t="shared" si="265"/>
        <v>248012710.4</v>
      </c>
      <c r="Y247" s="309">
        <f t="shared" si="265"/>
        <v>361509072.2</v>
      </c>
      <c r="Z247" s="309">
        <f t="shared" si="265"/>
        <v>521828716.5</v>
      </c>
      <c r="AA247" s="309">
        <f t="shared" si="265"/>
        <v>730558147.8</v>
      </c>
      <c r="AB247" s="309">
        <f t="shared" si="265"/>
        <v>976561603.9</v>
      </c>
      <c r="AC247" s="309">
        <f t="shared" si="265"/>
        <v>1275244966</v>
      </c>
      <c r="AD247" s="309">
        <f t="shared" si="265"/>
        <v>1611242886</v>
      </c>
      <c r="AE247" s="309">
        <f t="shared" si="265"/>
        <v>1959995009</v>
      </c>
      <c r="AF247" s="309">
        <f t="shared" si="265"/>
        <v>2263056503</v>
      </c>
      <c r="AG247" s="309">
        <f t="shared" si="265"/>
        <v>2372453750</v>
      </c>
      <c r="AH247" s="309">
        <f t="shared" si="265"/>
        <v>2430646565</v>
      </c>
      <c r="AI247" s="309">
        <f t="shared" si="265"/>
        <v>2478320738</v>
      </c>
      <c r="AJ247" s="309">
        <f t="shared" si="265"/>
        <v>2525144309</v>
      </c>
      <c r="AK247" s="309">
        <f t="shared" si="265"/>
        <v>2573460941</v>
      </c>
      <c r="AL247" s="309">
        <f t="shared" si="265"/>
        <v>2623502393</v>
      </c>
      <c r="AM247" s="309">
        <f t="shared" si="265"/>
        <v>2675290738</v>
      </c>
      <c r="AN247" s="309">
        <f t="shared" si="265"/>
        <v>2728721320</v>
      </c>
      <c r="AO247" s="309" t="str">
        <f t="shared" si="265"/>
        <v>#REF!</v>
      </c>
      <c r="AP247" s="309" t="str">
        <f t="shared" si="265"/>
        <v>#REF!</v>
      </c>
      <c r="AQ247" s="309" t="str">
        <f t="shared" si="265"/>
        <v>#REF!</v>
      </c>
      <c r="AR247" s="309" t="str">
        <f t="shared" si="265"/>
        <v>#REF!</v>
      </c>
      <c r="AS247" s="309" t="str">
        <f t="shared" si="265"/>
        <v>#REF!</v>
      </c>
      <c r="AT247" s="309" t="str">
        <f t="shared" si="265"/>
        <v>#REF!</v>
      </c>
      <c r="AU247" s="309" t="str">
        <f t="shared" si="265"/>
        <v>#REF!</v>
      </c>
      <c r="AV247" s="309" t="str">
        <f t="shared" si="265"/>
        <v>#REF!</v>
      </c>
      <c r="AW247" s="90"/>
      <c r="AX247" s="90"/>
      <c r="AY247" s="90"/>
      <c r="AZ247" s="90"/>
      <c r="BA247" s="90"/>
      <c r="BB247" s="90"/>
      <c r="BC247" s="90"/>
      <c r="BD247" s="90"/>
      <c r="BE247" s="90"/>
      <c r="BF247" s="90"/>
      <c r="BG247" s="90"/>
      <c r="BH247" s="90"/>
      <c r="BI247" s="90"/>
      <c r="BJ247" s="90"/>
      <c r="BK247" s="90"/>
      <c r="BL247" s="90"/>
      <c r="BM247" s="90"/>
      <c r="BN247" s="90"/>
      <c r="BO247" s="90"/>
      <c r="BP247" s="90"/>
    </row>
    <row r="248" ht="12.75" customHeight="1" outlineLevel="1">
      <c r="A248" s="90"/>
      <c r="C248" s="102"/>
      <c r="D248" s="102"/>
      <c r="E248" s="102"/>
      <c r="F248" s="102"/>
      <c r="G248" s="102"/>
      <c r="K248" s="102"/>
      <c r="L248" s="102"/>
      <c r="M248" s="102"/>
      <c r="N248" s="102"/>
      <c r="O248" s="102"/>
      <c r="P248" s="102"/>
      <c r="Q248" s="102"/>
      <c r="R248" s="102"/>
      <c r="S248" s="102"/>
      <c r="T248" s="102"/>
      <c r="U248" s="102"/>
      <c r="V248" s="102"/>
      <c r="W248" s="102"/>
      <c r="X248" s="102"/>
      <c r="Y248" s="102"/>
      <c r="Z248" s="102"/>
      <c r="AA248" s="102"/>
      <c r="AB248" s="102"/>
      <c r="AC248" s="102"/>
      <c r="AD248" s="102"/>
      <c r="AE248" s="102"/>
      <c r="AF248" s="102"/>
      <c r="AG248" s="102"/>
      <c r="AH248" s="102"/>
      <c r="AI248" s="102"/>
      <c r="AJ248" s="102"/>
      <c r="AK248" s="102"/>
      <c r="AL248" s="102"/>
      <c r="AM248" s="102"/>
      <c r="AN248" s="102"/>
      <c r="AO248" s="102"/>
      <c r="AP248" s="102"/>
      <c r="AQ248" s="102"/>
      <c r="AR248" s="102"/>
      <c r="AS248" s="102"/>
      <c r="AT248" s="102"/>
      <c r="AU248" s="102"/>
      <c r="AV248" s="102"/>
      <c r="AW248" s="90"/>
      <c r="AX248" s="90"/>
      <c r="AY248" s="90"/>
      <c r="AZ248" s="90"/>
      <c r="BA248" s="90"/>
      <c r="BB248" s="90"/>
      <c r="BC248" s="90"/>
      <c r="BD248" s="90"/>
      <c r="BE248" s="90"/>
      <c r="BF248" s="90"/>
      <c r="BG248" s="90"/>
      <c r="BH248" s="90"/>
      <c r="BI248" s="90"/>
      <c r="BJ248" s="90"/>
      <c r="BK248" s="90"/>
      <c r="BL248" s="90"/>
      <c r="BM248" s="90"/>
      <c r="BN248" s="90"/>
      <c r="BO248" s="90"/>
      <c r="BP248" s="90"/>
    </row>
    <row r="249" ht="12.75" customHeight="1" outlineLevel="1">
      <c r="A249" s="90"/>
      <c r="C249" s="102"/>
      <c r="D249" s="102"/>
      <c r="E249" s="102"/>
      <c r="F249" s="102"/>
      <c r="G249" s="102"/>
      <c r="K249" s="102"/>
      <c r="L249" s="102"/>
      <c r="M249" s="102"/>
      <c r="N249" s="102"/>
      <c r="O249" s="102"/>
      <c r="P249" s="102"/>
      <c r="Q249" s="102"/>
      <c r="R249" s="102"/>
      <c r="S249" s="102"/>
      <c r="T249" s="102"/>
      <c r="U249" s="102"/>
      <c r="V249" s="102"/>
      <c r="W249" s="102"/>
      <c r="X249" s="102"/>
      <c r="Y249" s="102"/>
      <c r="Z249" s="102"/>
      <c r="AA249" s="102"/>
      <c r="AB249" s="102"/>
      <c r="AC249" s="102"/>
      <c r="AD249" s="102"/>
      <c r="AE249" s="102"/>
      <c r="AF249" s="102"/>
      <c r="AG249" s="102"/>
      <c r="AH249" s="102"/>
      <c r="AI249" s="102"/>
      <c r="AJ249" s="102"/>
      <c r="AK249" s="102"/>
      <c r="AL249" s="102"/>
      <c r="AM249" s="102"/>
      <c r="AN249" s="102"/>
      <c r="AO249" s="102"/>
      <c r="AP249" s="102"/>
      <c r="AQ249" s="102"/>
      <c r="AR249" s="102"/>
      <c r="AS249" s="102"/>
      <c r="AT249" s="102"/>
      <c r="AU249" s="102"/>
      <c r="AV249" s="102"/>
      <c r="AW249" s="90"/>
      <c r="AX249" s="90"/>
      <c r="AY249" s="90"/>
      <c r="AZ249" s="90"/>
      <c r="BA249" s="90"/>
      <c r="BB249" s="90"/>
      <c r="BC249" s="90"/>
      <c r="BD249" s="90"/>
      <c r="BE249" s="90"/>
      <c r="BF249" s="90"/>
      <c r="BG249" s="90"/>
      <c r="BH249" s="90"/>
      <c r="BI249" s="90"/>
      <c r="BJ249" s="90"/>
      <c r="BK249" s="90"/>
      <c r="BL249" s="90"/>
      <c r="BM249" s="90"/>
      <c r="BN249" s="90"/>
      <c r="BO249" s="90"/>
      <c r="BP249" s="90"/>
    </row>
    <row r="250" ht="12.75" customHeight="1" outlineLevel="1">
      <c r="A250" s="90" t="s">
        <v>606</v>
      </c>
      <c r="C250" s="102"/>
      <c r="D250" s="102"/>
      <c r="E250" s="102"/>
      <c r="F250" s="102"/>
      <c r="G250" s="102"/>
      <c r="K250" s="102"/>
      <c r="L250" s="102"/>
      <c r="M250" s="102"/>
      <c r="N250" s="102"/>
      <c r="O250" s="102"/>
      <c r="P250" s="102"/>
      <c r="Q250" s="102"/>
      <c r="R250" s="102"/>
      <c r="S250" s="102"/>
      <c r="T250" s="102"/>
      <c r="U250" s="102"/>
      <c r="V250" s="102"/>
      <c r="W250" s="102"/>
      <c r="X250" s="102"/>
      <c r="Y250" s="102"/>
      <c r="Z250" s="102"/>
      <c r="AA250" s="102"/>
      <c r="AB250" s="102"/>
      <c r="AC250" s="102"/>
      <c r="AD250" s="102"/>
      <c r="AE250" s="102"/>
      <c r="AF250" s="102"/>
      <c r="AG250" s="102"/>
      <c r="AH250" s="102"/>
      <c r="AI250" s="102"/>
      <c r="AJ250" s="102"/>
      <c r="AK250" s="102"/>
      <c r="AL250" s="102"/>
      <c r="AM250" s="102"/>
      <c r="AN250" s="102"/>
      <c r="AO250" s="102"/>
      <c r="AP250" s="102"/>
      <c r="AQ250" s="102"/>
      <c r="AR250" s="102"/>
      <c r="AS250" s="102"/>
      <c r="AT250" s="102"/>
      <c r="AU250" s="102"/>
      <c r="AV250" s="102"/>
      <c r="AW250" s="90"/>
      <c r="AX250" s="90"/>
      <c r="AY250" s="90"/>
      <c r="AZ250" s="90"/>
      <c r="BA250" s="90"/>
      <c r="BB250" s="90"/>
      <c r="BC250" s="90"/>
      <c r="BD250" s="90"/>
      <c r="BE250" s="90"/>
      <c r="BF250" s="90"/>
      <c r="BG250" s="90"/>
      <c r="BH250" s="90"/>
      <c r="BI250" s="90"/>
      <c r="BJ250" s="90"/>
      <c r="BK250" s="90"/>
      <c r="BL250" s="90"/>
      <c r="BM250" s="90"/>
      <c r="BN250" s="90"/>
      <c r="BO250" s="90"/>
      <c r="BP250" s="90"/>
    </row>
    <row r="251" ht="12.75" customHeight="1" outlineLevel="1">
      <c r="A251" s="90" t="s">
        <v>286</v>
      </c>
      <c r="C251" s="102">
        <f>'RSGen 1-7'!G393</f>
        <v>0</v>
      </c>
      <c r="D251" s="102">
        <f>OFFSET(RSGen_Walton!$G$21,0,ROW(C251)-ROW($C$251))</f>
        <v>0</v>
      </c>
      <c r="E251" s="102">
        <f>OFFSET(RSGen_none!$G$21,0,ROW(D251)-ROW($C$251))</f>
        <v>0</v>
      </c>
      <c r="F251" s="102"/>
      <c r="G251" s="102"/>
      <c r="K251" s="102"/>
      <c r="L251" s="102">
        <f>$C251*L$112*L6</f>
        <v>0</v>
      </c>
      <c r="M251" s="102">
        <f t="shared" ref="M251:AL251" si="266">M$112*(MAX(0,MIN(M6,SUM(M6:M$15)-$E$4))*$E251+MAX(0,MIN(M6,$D$4-SUM(M7:M$15)))*$C251+(M6-(MAX(0,MIN(M6,SUM(M6:M$15)-$E$4))+MAX(0,MIN(M6,$D$4-SUM(M7:M$15)))))*$D251)</f>
        <v>0</v>
      </c>
      <c r="N251" s="102">
        <f t="shared" si="266"/>
        <v>0</v>
      </c>
      <c r="O251" s="102">
        <f t="shared" si="266"/>
        <v>0</v>
      </c>
      <c r="P251" s="102">
        <f t="shared" si="266"/>
        <v>0</v>
      </c>
      <c r="Q251" s="102">
        <f t="shared" si="266"/>
        <v>0</v>
      </c>
      <c r="R251" s="102">
        <f t="shared" si="266"/>
        <v>0</v>
      </c>
      <c r="S251" s="102">
        <f t="shared" si="266"/>
        <v>0</v>
      </c>
      <c r="T251" s="102">
        <f t="shared" si="266"/>
        <v>0</v>
      </c>
      <c r="U251" s="102">
        <f t="shared" si="266"/>
        <v>0</v>
      </c>
      <c r="V251" s="102">
        <f t="shared" si="266"/>
        <v>0</v>
      </c>
      <c r="W251" s="102">
        <f t="shared" si="266"/>
        <v>0</v>
      </c>
      <c r="X251" s="102">
        <f t="shared" si="266"/>
        <v>0</v>
      </c>
      <c r="Y251" s="102">
        <f t="shared" si="266"/>
        <v>0</v>
      </c>
      <c r="Z251" s="102">
        <f t="shared" si="266"/>
        <v>0</v>
      </c>
      <c r="AA251" s="102">
        <f t="shared" si="266"/>
        <v>0</v>
      </c>
      <c r="AB251" s="102">
        <f t="shared" si="266"/>
        <v>0</v>
      </c>
      <c r="AC251" s="102">
        <f t="shared" si="266"/>
        <v>0</v>
      </c>
      <c r="AD251" s="102">
        <f t="shared" si="266"/>
        <v>0</v>
      </c>
      <c r="AE251" s="102">
        <f t="shared" si="266"/>
        <v>0</v>
      </c>
      <c r="AF251" s="102">
        <f t="shared" si="266"/>
        <v>0</v>
      </c>
      <c r="AG251" s="102">
        <f t="shared" si="266"/>
        <v>0</v>
      </c>
      <c r="AH251" s="102">
        <f t="shared" si="266"/>
        <v>0</v>
      </c>
      <c r="AI251" s="102">
        <f t="shared" si="266"/>
        <v>0</v>
      </c>
      <c r="AJ251" s="102">
        <f t="shared" si="266"/>
        <v>0</v>
      </c>
      <c r="AK251" s="102">
        <f t="shared" si="266"/>
        <v>0</v>
      </c>
      <c r="AL251" s="102">
        <f t="shared" si="266"/>
        <v>0</v>
      </c>
      <c r="AM251" s="102">
        <f t="shared" ref="AM251:AV251" si="267">$D251*AM$112*AM6</f>
        <v>0</v>
      </c>
      <c r="AN251" s="102">
        <f t="shared" si="267"/>
        <v>0</v>
      </c>
      <c r="AO251" s="102" t="str">
        <f t="shared" si="267"/>
        <v>#REF!</v>
      </c>
      <c r="AP251" s="102" t="str">
        <f t="shared" si="267"/>
        <v>#REF!</v>
      </c>
      <c r="AQ251" s="102" t="str">
        <f t="shared" si="267"/>
        <v>#REF!</v>
      </c>
      <c r="AR251" s="102" t="str">
        <f t="shared" si="267"/>
        <v>#REF!</v>
      </c>
      <c r="AS251" s="102" t="str">
        <f t="shared" si="267"/>
        <v>#REF!</v>
      </c>
      <c r="AT251" s="102">
        <f t="shared" si="267"/>
        <v>0</v>
      </c>
      <c r="AU251" s="102">
        <f t="shared" si="267"/>
        <v>0</v>
      </c>
      <c r="AV251" s="102">
        <f t="shared" si="267"/>
        <v>0</v>
      </c>
      <c r="AW251" s="90"/>
      <c r="AX251" s="90"/>
      <c r="AY251" s="90"/>
      <c r="AZ251" s="90"/>
      <c r="BA251" s="90"/>
      <c r="BB251" s="90"/>
      <c r="BC251" s="90"/>
      <c r="BD251" s="90"/>
      <c r="BE251" s="90"/>
      <c r="BF251" s="90"/>
      <c r="BG251" s="90"/>
      <c r="BH251" s="90"/>
      <c r="BI251" s="90"/>
      <c r="BJ251" s="90"/>
      <c r="BK251" s="90"/>
      <c r="BL251" s="90"/>
      <c r="BM251" s="90"/>
      <c r="BN251" s="90"/>
      <c r="BO251" s="90"/>
      <c r="BP251" s="90"/>
    </row>
    <row r="252" ht="12.75" customHeight="1" outlineLevel="1">
      <c r="A252" s="90" t="s">
        <v>287</v>
      </c>
      <c r="C252" s="102">
        <f>'RSGen 1-7'!$H$383-'RSGen 1-7'!$H$382</f>
        <v>7780</v>
      </c>
      <c r="D252" s="102">
        <f>OFFSET(RSGen_Walton!$G$21,0,ROW(C252)-ROW($C$251))</f>
        <v>7780</v>
      </c>
      <c r="E252" s="102">
        <f>OFFSET(RSGen_none!$G$21,0,ROW(D252)-ROW($C$251))</f>
        <v>7780</v>
      </c>
      <c r="F252" s="102"/>
      <c r="G252" s="102"/>
      <c r="H252" s="313"/>
      <c r="I252" s="313"/>
      <c r="J252" s="313"/>
      <c r="K252" s="306"/>
      <c r="L252" s="306"/>
      <c r="M252" s="102">
        <f t="shared" ref="M252:AL252" si="268">M$112*(MAX(0,MIN(M7,SUM(M7:M$15)-$E$4))*$E252+MAX(0,MIN(M7,$D$4-SUM(M8:M$15)))*$C252+(M7-(MAX(0,MIN(M7,SUM(M7:M$15)-$E$4))+MAX(0,MIN(M7,$D$4-SUM(M8:M$15)))))*$D252)</f>
        <v>15560</v>
      </c>
      <c r="N252" s="102">
        <f t="shared" si="268"/>
        <v>23806.8</v>
      </c>
      <c r="O252" s="102">
        <f t="shared" si="268"/>
        <v>40471.56</v>
      </c>
      <c r="P252" s="102">
        <f t="shared" si="268"/>
        <v>66049.58592</v>
      </c>
      <c r="Q252" s="102">
        <f t="shared" si="268"/>
        <v>109477.1887</v>
      </c>
      <c r="R252" s="102">
        <f t="shared" si="268"/>
        <v>188974.4703</v>
      </c>
      <c r="S252" s="102">
        <f t="shared" si="268"/>
        <v>297892.4831</v>
      </c>
      <c r="T252" s="102">
        <f t="shared" si="268"/>
        <v>402154.8522</v>
      </c>
      <c r="U252" s="102">
        <f t="shared" si="268"/>
        <v>410197.9493</v>
      </c>
      <c r="V252" s="102">
        <f t="shared" si="268"/>
        <v>613656.1321</v>
      </c>
      <c r="W252" s="102">
        <f t="shared" si="268"/>
        <v>758702.127</v>
      </c>
      <c r="X252" s="102">
        <f t="shared" si="268"/>
        <v>1373630.201</v>
      </c>
      <c r="Y252" s="102">
        <f t="shared" si="268"/>
        <v>1904315.784</v>
      </c>
      <c r="Z252" s="102">
        <f t="shared" si="268"/>
        <v>2435550.82</v>
      </c>
      <c r="AA252" s="102">
        <f t="shared" si="268"/>
        <v>2802493.724</v>
      </c>
      <c r="AB252" s="102">
        <f t="shared" si="268"/>
        <v>3392557.238</v>
      </c>
      <c r="AC252" s="102">
        <f t="shared" si="268"/>
        <v>3738095.475</v>
      </c>
      <c r="AD252" s="102">
        <f t="shared" si="268"/>
        <v>3758387.993</v>
      </c>
      <c r="AE252" s="102">
        <f t="shared" si="268"/>
        <v>3022397.579</v>
      </c>
      <c r="AF252" s="102">
        <f t="shared" si="268"/>
        <v>374021.7004</v>
      </c>
      <c r="AG252" s="102">
        <f t="shared" si="268"/>
        <v>0</v>
      </c>
      <c r="AH252" s="102">
        <f t="shared" si="268"/>
        <v>0</v>
      </c>
      <c r="AI252" s="102">
        <f t="shared" si="268"/>
        <v>0</v>
      </c>
      <c r="AJ252" s="102">
        <f t="shared" si="268"/>
        <v>0</v>
      </c>
      <c r="AK252" s="102">
        <f t="shared" si="268"/>
        <v>0</v>
      </c>
      <c r="AL252" s="102">
        <f t="shared" si="268"/>
        <v>0</v>
      </c>
      <c r="AM252" s="102">
        <f t="shared" ref="AM252:AV252" si="269">$D252*AM$112*AM7</f>
        <v>0</v>
      </c>
      <c r="AN252" s="102">
        <f t="shared" si="269"/>
        <v>0</v>
      </c>
      <c r="AO252" s="102">
        <f t="shared" si="269"/>
        <v>0</v>
      </c>
      <c r="AP252" s="102" t="str">
        <f t="shared" si="269"/>
        <v>#REF!</v>
      </c>
      <c r="AQ252" s="102" t="str">
        <f t="shared" si="269"/>
        <v>#REF!</v>
      </c>
      <c r="AR252" s="102" t="str">
        <f t="shared" si="269"/>
        <v>#REF!</v>
      </c>
      <c r="AS252" s="102" t="str">
        <f t="shared" si="269"/>
        <v>#REF!</v>
      </c>
      <c r="AT252" s="102" t="str">
        <f t="shared" si="269"/>
        <v>#REF!</v>
      </c>
      <c r="AU252" s="102">
        <f t="shared" si="269"/>
        <v>0</v>
      </c>
      <c r="AV252" s="102">
        <f t="shared" si="269"/>
        <v>0</v>
      </c>
      <c r="AW252" s="90"/>
      <c r="AX252" s="90"/>
      <c r="AY252" s="90"/>
      <c r="AZ252" s="90"/>
      <c r="BA252" s="90"/>
      <c r="BB252" s="90"/>
      <c r="BC252" s="90"/>
      <c r="BD252" s="90"/>
      <c r="BE252" s="90"/>
      <c r="BF252" s="90"/>
      <c r="BG252" s="90"/>
      <c r="BH252" s="90"/>
      <c r="BI252" s="90"/>
      <c r="BJ252" s="90"/>
      <c r="BK252" s="90"/>
      <c r="BL252" s="90"/>
      <c r="BM252" s="90"/>
      <c r="BN252" s="90"/>
      <c r="BO252" s="90"/>
      <c r="BP252" s="90"/>
    </row>
    <row r="253" ht="12.75" customHeight="1" outlineLevel="1">
      <c r="A253" s="90" t="s">
        <v>288</v>
      </c>
      <c r="C253" s="102">
        <f>'RSGen 1-7'!$I$383-'RSGen 1-7'!$I$382</f>
        <v>410323.8943</v>
      </c>
      <c r="D253" s="102">
        <f>OFFSET(RSGen_Walton!$G$21,0,ROW(C253)-ROW($C$251))</f>
        <v>434173.8943</v>
      </c>
      <c r="E253" s="102">
        <f>OFFSET(RSGen_none!$G$21,0,ROW(D253)-ROW($C$251))</f>
        <v>434173.8943</v>
      </c>
      <c r="F253" s="102"/>
      <c r="G253" s="102"/>
      <c r="H253" s="313"/>
      <c r="I253" s="313"/>
      <c r="J253" s="313"/>
      <c r="K253" s="306"/>
      <c r="L253" s="306"/>
      <c r="M253" s="306"/>
      <c r="N253" s="102">
        <f t="shared" ref="N253:AL253" si="270">N$112*(MAX(0,MIN(N8,SUM(N8:N$15)-$E$4))*$E253+MAX(0,MIN(N8,$D$4-SUM(N9:N$15)))*$C253+(N8-(MAX(0,MIN(N8,SUM(N8:N$15)-$E$4))+MAX(0,MIN(N8,$D$4-SUM(N9:N$15)))))*$D253)</f>
        <v>837060.7443</v>
      </c>
      <c r="O253" s="102">
        <f t="shared" si="270"/>
        <v>1305516.479</v>
      </c>
      <c r="P253" s="102">
        <f t="shared" si="270"/>
        <v>2303744.05</v>
      </c>
      <c r="Q253" s="102">
        <f t="shared" si="270"/>
        <v>3759710.289</v>
      </c>
      <c r="R253" s="102">
        <f t="shared" si="270"/>
        <v>6231719.805</v>
      </c>
      <c r="S253" s="102">
        <f t="shared" si="270"/>
        <v>10756907.11</v>
      </c>
      <c r="T253" s="102">
        <f t="shared" si="270"/>
        <v>16956797.21</v>
      </c>
      <c r="U253" s="102">
        <f t="shared" si="270"/>
        <v>22891676.23</v>
      </c>
      <c r="V253" s="102">
        <f t="shared" si="270"/>
        <v>23349509.75</v>
      </c>
      <c r="W253" s="102">
        <f t="shared" si="270"/>
        <v>34930866.59</v>
      </c>
      <c r="X253" s="102">
        <f t="shared" si="270"/>
        <v>43187253.24</v>
      </c>
      <c r="Y253" s="102">
        <f t="shared" si="270"/>
        <v>78190521.99</v>
      </c>
      <c r="Z253" s="102">
        <f t="shared" si="270"/>
        <v>108398494.1</v>
      </c>
      <c r="AA253" s="102">
        <f t="shared" si="270"/>
        <v>138637742.4</v>
      </c>
      <c r="AB253" s="102">
        <f t="shared" si="270"/>
        <v>159525065</v>
      </c>
      <c r="AC253" s="102">
        <f t="shared" si="270"/>
        <v>193112979.8</v>
      </c>
      <c r="AD253" s="102">
        <f t="shared" si="270"/>
        <v>212781894.5</v>
      </c>
      <c r="AE253" s="102">
        <f t="shared" si="270"/>
        <v>213936996.2</v>
      </c>
      <c r="AF253" s="102">
        <f t="shared" si="270"/>
        <v>172042551.4</v>
      </c>
      <c r="AG253" s="102">
        <f t="shared" si="270"/>
        <v>21290265.73</v>
      </c>
      <c r="AH253" s="102">
        <f t="shared" si="270"/>
        <v>0</v>
      </c>
      <c r="AI253" s="102">
        <f t="shared" si="270"/>
        <v>0</v>
      </c>
      <c r="AJ253" s="102">
        <f t="shared" si="270"/>
        <v>0</v>
      </c>
      <c r="AK253" s="102">
        <f t="shared" si="270"/>
        <v>0</v>
      </c>
      <c r="AL253" s="102">
        <f t="shared" si="270"/>
        <v>0</v>
      </c>
      <c r="AM253" s="102">
        <f t="shared" ref="AM253:AV253" si="271">$D253*AM$112*AM8</f>
        <v>0</v>
      </c>
      <c r="AN253" s="102">
        <f t="shared" si="271"/>
        <v>0</v>
      </c>
      <c r="AO253" s="102">
        <f t="shared" si="271"/>
        <v>0</v>
      </c>
      <c r="AP253" s="102">
        <f t="shared" si="271"/>
        <v>0</v>
      </c>
      <c r="AQ253" s="102" t="str">
        <f t="shared" si="271"/>
        <v>#REF!</v>
      </c>
      <c r="AR253" s="102" t="str">
        <f t="shared" si="271"/>
        <v>#REF!</v>
      </c>
      <c r="AS253" s="102" t="str">
        <f t="shared" si="271"/>
        <v>#REF!</v>
      </c>
      <c r="AT253" s="102" t="str">
        <f t="shared" si="271"/>
        <v>#REF!</v>
      </c>
      <c r="AU253" s="102" t="str">
        <f t="shared" si="271"/>
        <v>#REF!</v>
      </c>
      <c r="AV253" s="102">
        <f t="shared" si="271"/>
        <v>0</v>
      </c>
      <c r="AW253" s="90"/>
      <c r="AX253" s="90"/>
      <c r="AY253" s="90"/>
      <c r="AZ253" s="90"/>
      <c r="BA253" s="90"/>
      <c r="BB253" s="90"/>
      <c r="BC253" s="90"/>
      <c r="BD253" s="90"/>
      <c r="BE253" s="90"/>
      <c r="BF253" s="90"/>
      <c r="BG253" s="90"/>
      <c r="BH253" s="90"/>
      <c r="BI253" s="90"/>
      <c r="BJ253" s="90"/>
      <c r="BK253" s="90"/>
      <c r="BL253" s="90"/>
      <c r="BM253" s="90"/>
      <c r="BN253" s="90"/>
      <c r="BO253" s="90"/>
      <c r="BP253" s="90"/>
    </row>
    <row r="254" ht="12.75" customHeight="1" outlineLevel="1">
      <c r="A254" s="90" t="s">
        <v>289</v>
      </c>
      <c r="C254" s="102">
        <f>'RSGen 1-7'!$J$383-'RSGen 1-7'!$J$382</f>
        <v>628325.9819</v>
      </c>
      <c r="D254" s="102">
        <f>OFFSET(RSGen_Walton!$G$21,0,ROW(C254)-ROW($C$251))</f>
        <v>696633.6098</v>
      </c>
      <c r="E254" s="102">
        <f>OFFSET(RSGen_none!$G$21,0,ROW(D254)-ROW($C$251))</f>
        <v>696633.6098</v>
      </c>
      <c r="F254" s="102"/>
      <c r="G254" s="102"/>
      <c r="H254" s="313"/>
      <c r="I254" s="313"/>
      <c r="J254" s="313"/>
      <c r="K254" s="306"/>
      <c r="L254" s="306"/>
      <c r="M254" s="306"/>
      <c r="N254" s="306"/>
      <c r="O254" s="102">
        <f t="shared" ref="O254:AL254" si="272">O$112*(MAX(0,MIN(O9,SUM(O9:O$15)-$E$4))*$E254+MAX(0,MIN(O9,$D$4-SUM(O10:O$15)))*$C254+(O9-(MAX(0,MIN(O9,SUM(O9:O$15)-$E$4))+MAX(0,MIN(O9,$D$4-SUM(O10:O$15)))))*$D254)</f>
        <v>1307420.703</v>
      </c>
      <c r="P254" s="102">
        <f t="shared" si="272"/>
        <v>2072842.277</v>
      </c>
      <c r="Q254" s="102">
        <f t="shared" si="272"/>
        <v>3770293.115</v>
      </c>
      <c r="R254" s="102">
        <f t="shared" si="272"/>
        <v>6153118.363</v>
      </c>
      <c r="S254" s="102">
        <f t="shared" si="272"/>
        <v>10198793.69</v>
      </c>
      <c r="T254" s="102">
        <f t="shared" si="272"/>
        <v>17604686.95</v>
      </c>
      <c r="U254" s="102">
        <f t="shared" si="272"/>
        <v>27751388.34</v>
      </c>
      <c r="V254" s="102">
        <f t="shared" si="272"/>
        <v>37464374.26</v>
      </c>
      <c r="W254" s="102">
        <f t="shared" si="272"/>
        <v>38213661.74</v>
      </c>
      <c r="X254" s="102">
        <f t="shared" si="272"/>
        <v>57167637.96</v>
      </c>
      <c r="Y254" s="102">
        <f t="shared" si="272"/>
        <v>70679988.75</v>
      </c>
      <c r="Z254" s="102">
        <f t="shared" si="272"/>
        <v>127966119.6</v>
      </c>
      <c r="AA254" s="102">
        <f t="shared" si="272"/>
        <v>177404298</v>
      </c>
      <c r="AB254" s="102">
        <f t="shared" si="272"/>
        <v>226893662.8</v>
      </c>
      <c r="AC254" s="102">
        <f t="shared" si="272"/>
        <v>261077724.5</v>
      </c>
      <c r="AD254" s="102">
        <f t="shared" si="272"/>
        <v>316047496</v>
      </c>
      <c r="AE254" s="102">
        <f t="shared" si="272"/>
        <v>348237518.7</v>
      </c>
      <c r="AF254" s="102">
        <f t="shared" si="272"/>
        <v>350127950.9</v>
      </c>
      <c r="AG254" s="102">
        <f t="shared" si="272"/>
        <v>281563764.4</v>
      </c>
      <c r="AH254" s="102">
        <f t="shared" si="272"/>
        <v>34843515.84</v>
      </c>
      <c r="AI254" s="102">
        <f t="shared" si="272"/>
        <v>0</v>
      </c>
      <c r="AJ254" s="102">
        <f t="shared" si="272"/>
        <v>0</v>
      </c>
      <c r="AK254" s="102">
        <f t="shared" si="272"/>
        <v>0</v>
      </c>
      <c r="AL254" s="102">
        <f t="shared" si="272"/>
        <v>0</v>
      </c>
      <c r="AM254" s="102">
        <f t="shared" ref="AM254:AV254" si="273">$D254*AM$112*AM9</f>
        <v>0</v>
      </c>
      <c r="AN254" s="102">
        <f t="shared" si="273"/>
        <v>0</v>
      </c>
      <c r="AO254" s="102">
        <f t="shared" si="273"/>
        <v>0</v>
      </c>
      <c r="AP254" s="102">
        <f t="shared" si="273"/>
        <v>0</v>
      </c>
      <c r="AQ254" s="102">
        <f t="shared" si="273"/>
        <v>0</v>
      </c>
      <c r="AR254" s="102" t="str">
        <f t="shared" si="273"/>
        <v>#REF!</v>
      </c>
      <c r="AS254" s="102" t="str">
        <f t="shared" si="273"/>
        <v>#REF!</v>
      </c>
      <c r="AT254" s="102" t="str">
        <f t="shared" si="273"/>
        <v>#REF!</v>
      </c>
      <c r="AU254" s="102" t="str">
        <f t="shared" si="273"/>
        <v>#REF!</v>
      </c>
      <c r="AV254" s="102" t="str">
        <f t="shared" si="273"/>
        <v>#REF!</v>
      </c>
      <c r="AW254" s="90"/>
      <c r="AX254" s="90"/>
      <c r="AY254" s="90"/>
      <c r="AZ254" s="90"/>
      <c r="BA254" s="90"/>
      <c r="BB254" s="90"/>
      <c r="BC254" s="90"/>
      <c r="BD254" s="90"/>
      <c r="BE254" s="90"/>
      <c r="BF254" s="90"/>
      <c r="BG254" s="90"/>
      <c r="BH254" s="90"/>
      <c r="BI254" s="90"/>
      <c r="BJ254" s="90"/>
      <c r="BK254" s="90"/>
      <c r="BL254" s="90"/>
      <c r="BM254" s="90"/>
      <c r="BN254" s="90"/>
      <c r="BO254" s="90"/>
      <c r="BP254" s="90"/>
    </row>
    <row r="255" ht="12.75" customHeight="1" outlineLevel="1">
      <c r="A255" s="90" t="s">
        <v>290</v>
      </c>
      <c r="C255" s="102">
        <f>'RSGen 1-7'!$K$383-'RSGen 1-7'!$K$382</f>
        <v>712480.6497</v>
      </c>
      <c r="D255" s="102">
        <f>OFFSET(RSGen_Walton!$G$21,0,ROW(C255)-ROW($C$251))</f>
        <v>711730.6497</v>
      </c>
      <c r="E255" s="102">
        <f>OFFSET(RSGen_none!$G$21,0,ROW(D255)-ROW($C$251))</f>
        <v>711730.6497</v>
      </c>
      <c r="F255" s="102"/>
      <c r="G255" s="102"/>
      <c r="H255" s="313"/>
      <c r="I255" s="313"/>
      <c r="J255" s="313"/>
      <c r="K255" s="306"/>
      <c r="L255" s="306"/>
      <c r="M255" s="306"/>
      <c r="N255" s="306"/>
      <c r="O255" s="306"/>
      <c r="P255" s="102">
        <f t="shared" ref="P255:AL255" si="274">P$112*(MAX(0,MIN(P10,SUM(P10:P$15)-$E$4))*$E255+MAX(0,MIN(P10,$D$4-SUM(P11:P$15)))*$C255+(P10-(MAX(0,MIN(P10,SUM(P10:P$15)-$E$4))+MAX(0,MIN(P10,$D$4-SUM(P11:P$15)))))*$D255)</f>
        <v>1512180.331</v>
      </c>
      <c r="Q255" s="102">
        <f t="shared" si="274"/>
        <v>2312824.082</v>
      </c>
      <c r="R255" s="102">
        <f t="shared" si="274"/>
        <v>3929040.737</v>
      </c>
      <c r="S255" s="102">
        <f t="shared" si="274"/>
        <v>6412194.483</v>
      </c>
      <c r="T255" s="102">
        <f t="shared" si="274"/>
        <v>10628212.36</v>
      </c>
      <c r="U255" s="102">
        <f t="shared" si="274"/>
        <v>18345929.64</v>
      </c>
      <c r="V255" s="102">
        <f t="shared" si="274"/>
        <v>28919856.35</v>
      </c>
      <c r="W255" s="102">
        <f t="shared" si="274"/>
        <v>39041806.08</v>
      </c>
      <c r="X255" s="102">
        <f t="shared" si="274"/>
        <v>39822642.2</v>
      </c>
      <c r="Y255" s="102">
        <f t="shared" si="274"/>
        <v>59574672.73</v>
      </c>
      <c r="Z255" s="102">
        <f t="shared" si="274"/>
        <v>73655959.01</v>
      </c>
      <c r="AA255" s="102">
        <f t="shared" si="274"/>
        <v>133354113.8</v>
      </c>
      <c r="AB255" s="102">
        <f t="shared" si="274"/>
        <v>184873879.2</v>
      </c>
      <c r="AC255" s="102">
        <f t="shared" si="274"/>
        <v>236446986.2</v>
      </c>
      <c r="AD255" s="102">
        <f t="shared" si="274"/>
        <v>272070362.7</v>
      </c>
      <c r="AE255" s="102">
        <f t="shared" si="274"/>
        <v>329354628.1</v>
      </c>
      <c r="AF255" s="102">
        <f t="shared" si="274"/>
        <v>362900006.8</v>
      </c>
      <c r="AG255" s="102">
        <f t="shared" si="274"/>
        <v>364870035.4</v>
      </c>
      <c r="AH255" s="102">
        <f t="shared" si="274"/>
        <v>293418964.2</v>
      </c>
      <c r="AI255" s="102">
        <f t="shared" si="274"/>
        <v>36310596.81</v>
      </c>
      <c r="AJ255" s="102">
        <f t="shared" si="274"/>
        <v>0</v>
      </c>
      <c r="AK255" s="102">
        <f t="shared" si="274"/>
        <v>0</v>
      </c>
      <c r="AL255" s="102">
        <f t="shared" si="274"/>
        <v>0</v>
      </c>
      <c r="AM255" s="102">
        <f t="shared" ref="AM255:AV255" si="275">$D255*AM$112*AM10</f>
        <v>0</v>
      </c>
      <c r="AN255" s="102">
        <f t="shared" si="275"/>
        <v>0</v>
      </c>
      <c r="AO255" s="102">
        <f t="shared" si="275"/>
        <v>0</v>
      </c>
      <c r="AP255" s="102">
        <f t="shared" si="275"/>
        <v>0</v>
      </c>
      <c r="AQ255" s="102">
        <f t="shared" si="275"/>
        <v>0</v>
      </c>
      <c r="AR255" s="102">
        <f t="shared" si="275"/>
        <v>0</v>
      </c>
      <c r="AS255" s="102" t="str">
        <f t="shared" si="275"/>
        <v>#REF!</v>
      </c>
      <c r="AT255" s="102" t="str">
        <f t="shared" si="275"/>
        <v>#REF!</v>
      </c>
      <c r="AU255" s="102" t="str">
        <f t="shared" si="275"/>
        <v>#REF!</v>
      </c>
      <c r="AV255" s="102" t="str">
        <f t="shared" si="275"/>
        <v>#REF!</v>
      </c>
      <c r="AW255" s="90"/>
      <c r="AX255" s="90"/>
      <c r="AY255" s="90"/>
      <c r="AZ255" s="90"/>
      <c r="BA255" s="90"/>
      <c r="BB255" s="90"/>
      <c r="BC255" s="90"/>
      <c r="BD255" s="90"/>
      <c r="BE255" s="90"/>
      <c r="BF255" s="90"/>
      <c r="BG255" s="90"/>
      <c r="BH255" s="90"/>
      <c r="BI255" s="90"/>
      <c r="BJ255" s="90"/>
      <c r="BK255" s="90"/>
      <c r="BL255" s="90"/>
      <c r="BM255" s="90"/>
      <c r="BN255" s="90"/>
      <c r="BO255" s="90"/>
      <c r="BP255" s="90"/>
    </row>
    <row r="256" ht="12.75" customHeight="1" outlineLevel="1">
      <c r="A256" s="90" t="s">
        <v>291</v>
      </c>
      <c r="C256" s="102">
        <f>'RSGen 1-7'!$L$383-'RSGen 1-7'!$L$382</f>
        <v>711730.6497</v>
      </c>
      <c r="D256" s="102">
        <f>OFFSET(RSGen_Walton!$G$21,0,ROW(C256)-ROW($C$251))</f>
        <v>711730.6497</v>
      </c>
      <c r="E256" s="102">
        <f>OFFSET(RSGen_none!$G$21,0,ROW(D256)-ROW($C$251))</f>
        <v>711730.6497</v>
      </c>
      <c r="F256" s="102"/>
      <c r="G256" s="102"/>
      <c r="H256" s="313"/>
      <c r="I256" s="313"/>
      <c r="J256" s="313"/>
      <c r="K256" s="306"/>
      <c r="L256" s="306"/>
      <c r="M256" s="306"/>
      <c r="N256" s="306"/>
      <c r="O256" s="306"/>
      <c r="P256" s="306"/>
      <c r="Q256" s="102">
        <f t="shared" ref="Q256:AL256" si="276">Q$112*(MAX(0,MIN(Q11,SUM(Q11:Q$15)-$E$4))*$E256+MAX(0,MIN(Q11,$D$4-SUM(Q12:Q$15)))*$C256+(Q11-(MAX(0,MIN(Q11,SUM(Q11:Q$15)-$E$4))+MAX(0,MIN(Q11,$D$4-SUM(Q12:Q$15)))))*$D256)</f>
        <v>1540800.289</v>
      </c>
      <c r="R256" s="102">
        <f t="shared" si="276"/>
        <v>2357424.442</v>
      </c>
      <c r="S256" s="102">
        <f t="shared" si="276"/>
        <v>4007621.552</v>
      </c>
      <c r="T256" s="102">
        <f t="shared" si="276"/>
        <v>6540438.373</v>
      </c>
      <c r="U256" s="102">
        <f t="shared" si="276"/>
        <v>10840776.6</v>
      </c>
      <c r="V256" s="102">
        <f t="shared" si="276"/>
        <v>18712848.23</v>
      </c>
      <c r="W256" s="102">
        <f t="shared" si="276"/>
        <v>29498253.48</v>
      </c>
      <c r="X256" s="102">
        <f t="shared" si="276"/>
        <v>39822642.2</v>
      </c>
      <c r="Y256" s="102">
        <f t="shared" si="276"/>
        <v>40619095.04</v>
      </c>
      <c r="Z256" s="102">
        <f t="shared" si="276"/>
        <v>60766166.18</v>
      </c>
      <c r="AA256" s="102">
        <f t="shared" si="276"/>
        <v>75129078.19</v>
      </c>
      <c r="AB256" s="102">
        <f t="shared" si="276"/>
        <v>136021196.1</v>
      </c>
      <c r="AC256" s="102">
        <f t="shared" si="276"/>
        <v>188571356.7</v>
      </c>
      <c r="AD256" s="102">
        <f t="shared" si="276"/>
        <v>241175925.9</v>
      </c>
      <c r="AE256" s="102">
        <f t="shared" si="276"/>
        <v>277511769.9</v>
      </c>
      <c r="AF256" s="102">
        <f t="shared" si="276"/>
        <v>335941720.6</v>
      </c>
      <c r="AG256" s="102">
        <f t="shared" si="276"/>
        <v>370158007</v>
      </c>
      <c r="AH256" s="102">
        <f t="shared" si="276"/>
        <v>372167436.2</v>
      </c>
      <c r="AI256" s="102">
        <f t="shared" si="276"/>
        <v>299287343.4</v>
      </c>
      <c r="AJ256" s="102">
        <f t="shared" si="276"/>
        <v>37036808.75</v>
      </c>
      <c r="AK256" s="102">
        <f t="shared" si="276"/>
        <v>0</v>
      </c>
      <c r="AL256" s="102">
        <f t="shared" si="276"/>
        <v>0</v>
      </c>
      <c r="AM256" s="102">
        <f t="shared" ref="AM256:AV256" si="277">$D256*AM$112*AM11</f>
        <v>0</v>
      </c>
      <c r="AN256" s="102">
        <f t="shared" si="277"/>
        <v>0</v>
      </c>
      <c r="AO256" s="102">
        <f t="shared" si="277"/>
        <v>0</v>
      </c>
      <c r="AP256" s="102">
        <f t="shared" si="277"/>
        <v>0</v>
      </c>
      <c r="AQ256" s="102">
        <f t="shared" si="277"/>
        <v>0</v>
      </c>
      <c r="AR256" s="102">
        <f t="shared" si="277"/>
        <v>0</v>
      </c>
      <c r="AS256" s="102">
        <f t="shared" si="277"/>
        <v>0</v>
      </c>
      <c r="AT256" s="102" t="str">
        <f t="shared" si="277"/>
        <v>#REF!</v>
      </c>
      <c r="AU256" s="102" t="str">
        <f t="shared" si="277"/>
        <v>#REF!</v>
      </c>
      <c r="AV256" s="102" t="str">
        <f t="shared" si="277"/>
        <v>#REF!</v>
      </c>
      <c r="AW256" s="90"/>
      <c r="AX256" s="90"/>
      <c r="AY256" s="90"/>
      <c r="AZ256" s="90"/>
      <c r="BA256" s="90"/>
      <c r="BB256" s="90"/>
      <c r="BC256" s="90"/>
      <c r="BD256" s="90"/>
      <c r="BE256" s="90"/>
      <c r="BF256" s="90"/>
      <c r="BG256" s="90"/>
      <c r="BH256" s="90"/>
      <c r="BI256" s="90"/>
      <c r="BJ256" s="90"/>
      <c r="BK256" s="90"/>
      <c r="BL256" s="90"/>
      <c r="BM256" s="90"/>
      <c r="BN256" s="90"/>
      <c r="BO256" s="90"/>
      <c r="BP256" s="90"/>
    </row>
    <row r="257" ht="12.75" customHeight="1" outlineLevel="1">
      <c r="A257" s="90" t="s">
        <v>292</v>
      </c>
      <c r="C257" s="102">
        <f>'RSGen 1-7'!$M$383-'RSGen 1-7'!$M$382</f>
        <v>711730.6497</v>
      </c>
      <c r="D257" s="102">
        <f>OFFSET(RSGen_Walton!$G$21,0,ROW(C257)-ROW($C$251))</f>
        <v>711730.6497</v>
      </c>
      <c r="E257" s="102">
        <f>OFFSET(RSGen_none!$G$21,0,ROW(D257)-ROW($C$251))</f>
        <v>711730.6497</v>
      </c>
      <c r="F257" s="102"/>
      <c r="G257" s="102"/>
      <c r="H257" s="313"/>
      <c r="I257" s="313"/>
      <c r="J257" s="313"/>
      <c r="K257" s="306"/>
      <c r="L257" s="306"/>
      <c r="M257" s="306"/>
      <c r="N257" s="306"/>
      <c r="O257" s="306"/>
      <c r="P257" s="306"/>
      <c r="Q257" s="306"/>
      <c r="R257" s="102">
        <f t="shared" ref="R257:AL257" si="278">R$112*(MAX(0,MIN(R12,SUM(R12:R$15)-$E$4))*$E257+MAX(0,MIN(R12,$D$4-SUM(R13:R$15)))*$C257+(R12-(MAX(0,MIN(R12,SUM(R12:R$15)-$E$4))+MAX(0,MIN(R12,$D$4-SUM(R13:R$15)))))*$D257)</f>
        <v>1571616.295</v>
      </c>
      <c r="S257" s="102">
        <f t="shared" si="278"/>
        <v>2404572.931</v>
      </c>
      <c r="T257" s="102">
        <f t="shared" si="278"/>
        <v>4087773.983</v>
      </c>
      <c r="U257" s="102">
        <f t="shared" si="278"/>
        <v>6671247.14</v>
      </c>
      <c r="V257" s="102">
        <f t="shared" si="278"/>
        <v>11057592.13</v>
      </c>
      <c r="W257" s="102">
        <f t="shared" si="278"/>
        <v>19087105.19</v>
      </c>
      <c r="X257" s="102">
        <f t="shared" si="278"/>
        <v>30088218.55</v>
      </c>
      <c r="Y257" s="102">
        <f t="shared" si="278"/>
        <v>40619095.04</v>
      </c>
      <c r="Z257" s="102">
        <f t="shared" si="278"/>
        <v>41431476.94</v>
      </c>
      <c r="AA257" s="102">
        <f t="shared" si="278"/>
        <v>61981489.51</v>
      </c>
      <c r="AB257" s="102">
        <f t="shared" si="278"/>
        <v>76631659.75</v>
      </c>
      <c r="AC257" s="102">
        <f t="shared" si="278"/>
        <v>138741620</v>
      </c>
      <c r="AD257" s="102">
        <f t="shared" si="278"/>
        <v>192342783.9</v>
      </c>
      <c r="AE257" s="102">
        <f t="shared" si="278"/>
        <v>245999444.4</v>
      </c>
      <c r="AF257" s="102">
        <f t="shared" si="278"/>
        <v>283062005.3</v>
      </c>
      <c r="AG257" s="102">
        <f t="shared" si="278"/>
        <v>342660555</v>
      </c>
      <c r="AH257" s="102">
        <f t="shared" si="278"/>
        <v>377561167.1</v>
      </c>
      <c r="AI257" s="102">
        <f t="shared" si="278"/>
        <v>379610784.9</v>
      </c>
      <c r="AJ257" s="102">
        <f t="shared" si="278"/>
        <v>305273090.3</v>
      </c>
      <c r="AK257" s="102">
        <f t="shared" si="278"/>
        <v>37777544.93</v>
      </c>
      <c r="AL257" s="102">
        <f t="shared" si="278"/>
        <v>0</v>
      </c>
      <c r="AM257" s="102">
        <f t="shared" ref="AM257:AV257" si="279">$D257*AM$112*AM12</f>
        <v>0</v>
      </c>
      <c r="AN257" s="102">
        <f t="shared" si="279"/>
        <v>0</v>
      </c>
      <c r="AO257" s="102">
        <f t="shared" si="279"/>
        <v>0</v>
      </c>
      <c r="AP257" s="102">
        <f t="shared" si="279"/>
        <v>0</v>
      </c>
      <c r="AQ257" s="102">
        <f t="shared" si="279"/>
        <v>0</v>
      </c>
      <c r="AR257" s="102">
        <f t="shared" si="279"/>
        <v>0</v>
      </c>
      <c r="AS257" s="102">
        <f t="shared" si="279"/>
        <v>0</v>
      </c>
      <c r="AT257" s="102">
        <f t="shared" si="279"/>
        <v>0</v>
      </c>
      <c r="AU257" s="102" t="str">
        <f t="shared" si="279"/>
        <v>#REF!</v>
      </c>
      <c r="AV257" s="102" t="str">
        <f t="shared" si="279"/>
        <v>#REF!</v>
      </c>
      <c r="AW257" s="90"/>
      <c r="AX257" s="90"/>
      <c r="AY257" s="90"/>
      <c r="AZ257" s="90"/>
      <c r="BA257" s="90"/>
      <c r="BB257" s="90"/>
      <c r="BC257" s="90"/>
      <c r="BD257" s="90"/>
      <c r="BE257" s="90"/>
      <c r="BF257" s="90"/>
      <c r="BG257" s="90"/>
      <c r="BH257" s="90"/>
      <c r="BI257" s="90"/>
      <c r="BJ257" s="90"/>
      <c r="BK257" s="90"/>
      <c r="BL257" s="90"/>
      <c r="BM257" s="90"/>
      <c r="BN257" s="90"/>
      <c r="BO257" s="90"/>
      <c r="BP257" s="90"/>
    </row>
    <row r="258" ht="12.75" customHeight="1" outlineLevel="1">
      <c r="A258" s="90" t="s">
        <v>293</v>
      </c>
      <c r="C258" s="102">
        <f>'RSGen 1-7'!$N$383-'RSGen 1-7'!$N$382</f>
        <v>711730.6497</v>
      </c>
      <c r="D258" s="102">
        <f>OFFSET(RSGen_Walton!$G$21,0,ROW(C258)-ROW($C$251))</f>
        <v>711730.6497</v>
      </c>
      <c r="E258" s="102">
        <f>OFFSET(RSGen_none!$G$21,0,ROW(D258)-ROW($C$251))</f>
        <v>711730.6497</v>
      </c>
      <c r="F258" s="102"/>
      <c r="G258" s="102"/>
      <c r="H258" s="313"/>
      <c r="I258" s="313"/>
      <c r="J258" s="313"/>
      <c r="K258" s="306"/>
      <c r="L258" s="306"/>
      <c r="M258" s="306"/>
      <c r="N258" s="306"/>
      <c r="O258" s="306"/>
      <c r="P258" s="306"/>
      <c r="Q258" s="306"/>
      <c r="R258" s="306"/>
      <c r="S258" s="102">
        <f t="shared" ref="S258:AL258" si="280">S$112*(MAX(0,MIN(S13,SUM(S13:S$15)-$E$4))*$E258+MAX(0,MIN(S13,$D$4-SUM(S14:S$15)))*$C258+(S13-(MAX(0,MIN(S13,SUM(S13:S$15)-$E$4))+MAX(0,MIN(S13,$D$4-SUM(S14:S$15)))))*$D258)</f>
        <v>1603048.621</v>
      </c>
      <c r="T258" s="102">
        <f t="shared" si="280"/>
        <v>2452664.39</v>
      </c>
      <c r="U258" s="102">
        <f t="shared" si="280"/>
        <v>4169529.463</v>
      </c>
      <c r="V258" s="102">
        <f t="shared" si="280"/>
        <v>6804672.083</v>
      </c>
      <c r="W258" s="102">
        <f t="shared" si="280"/>
        <v>11278743.98</v>
      </c>
      <c r="X258" s="102">
        <f t="shared" si="280"/>
        <v>19468847.3</v>
      </c>
      <c r="Y258" s="102">
        <f t="shared" si="280"/>
        <v>30689982.92</v>
      </c>
      <c r="Z258" s="102">
        <f t="shared" si="280"/>
        <v>41431476.94</v>
      </c>
      <c r="AA258" s="102">
        <f t="shared" si="280"/>
        <v>42260106.48</v>
      </c>
      <c r="AB258" s="102">
        <f t="shared" si="280"/>
        <v>63221119.3</v>
      </c>
      <c r="AC258" s="102">
        <f t="shared" si="280"/>
        <v>78164292.95</v>
      </c>
      <c r="AD258" s="102">
        <f t="shared" si="280"/>
        <v>141516452.4</v>
      </c>
      <c r="AE258" s="102">
        <f t="shared" si="280"/>
        <v>196189639.5</v>
      </c>
      <c r="AF258" s="102">
        <f t="shared" si="280"/>
        <v>250919433.3</v>
      </c>
      <c r="AG258" s="102">
        <f t="shared" si="280"/>
        <v>288723245.4</v>
      </c>
      <c r="AH258" s="102">
        <f t="shared" si="280"/>
        <v>349513766.1</v>
      </c>
      <c r="AI258" s="102">
        <f t="shared" si="280"/>
        <v>385112390.5</v>
      </c>
      <c r="AJ258" s="102">
        <f t="shared" si="280"/>
        <v>387203000.6</v>
      </c>
      <c r="AK258" s="102">
        <f t="shared" si="280"/>
        <v>311378552.1</v>
      </c>
      <c r="AL258" s="102">
        <f t="shared" si="280"/>
        <v>38533095.82</v>
      </c>
      <c r="AM258" s="102">
        <f t="shared" ref="AM258:AV258" si="281">$D258*AM$112*AM13</f>
        <v>0</v>
      </c>
      <c r="AN258" s="102">
        <f t="shared" si="281"/>
        <v>0</v>
      </c>
      <c r="AO258" s="102">
        <f t="shared" si="281"/>
        <v>0</v>
      </c>
      <c r="AP258" s="102">
        <f t="shared" si="281"/>
        <v>0</v>
      </c>
      <c r="AQ258" s="102">
        <f t="shared" si="281"/>
        <v>0</v>
      </c>
      <c r="AR258" s="102">
        <f t="shared" si="281"/>
        <v>0</v>
      </c>
      <c r="AS258" s="102">
        <f t="shared" si="281"/>
        <v>0</v>
      </c>
      <c r="AT258" s="102">
        <f t="shared" si="281"/>
        <v>0</v>
      </c>
      <c r="AU258" s="102">
        <f t="shared" si="281"/>
        <v>0</v>
      </c>
      <c r="AV258" s="102" t="str">
        <f t="shared" si="281"/>
        <v>#REF!</v>
      </c>
      <c r="AW258" s="90"/>
      <c r="AX258" s="90"/>
      <c r="AY258" s="90"/>
      <c r="AZ258" s="90"/>
      <c r="BA258" s="90"/>
      <c r="BB258" s="90"/>
      <c r="BC258" s="90"/>
      <c r="BD258" s="90"/>
      <c r="BE258" s="90"/>
      <c r="BF258" s="90"/>
      <c r="BG258" s="90"/>
      <c r="BH258" s="90"/>
      <c r="BI258" s="90"/>
      <c r="BJ258" s="90"/>
      <c r="BK258" s="90"/>
      <c r="BL258" s="90"/>
      <c r="BM258" s="90"/>
      <c r="BN258" s="90"/>
      <c r="BO258" s="90"/>
      <c r="BP258" s="90"/>
    </row>
    <row r="259" ht="12.75" customHeight="1" outlineLevel="1">
      <c r="A259" s="90" t="s">
        <v>294</v>
      </c>
      <c r="C259" s="102">
        <f>'RSGen 1-7'!$O$383-'RSGen 1-7'!$O$382</f>
        <v>711730.6497</v>
      </c>
      <c r="D259" s="102">
        <f>OFFSET(RSGen_Walton!$G$21,0,ROW(C259)-ROW($C$251))</f>
        <v>711730.6497</v>
      </c>
      <c r="E259" s="102">
        <f>OFFSET(RSGen_none!$G$21,0,ROW(D259)-ROW($C$251))</f>
        <v>711730.6497</v>
      </c>
      <c r="F259" s="102"/>
      <c r="G259" s="102"/>
      <c r="H259" s="313"/>
      <c r="I259" s="313"/>
      <c r="J259" s="313"/>
      <c r="K259" s="306"/>
      <c r="L259" s="306"/>
      <c r="M259" s="306"/>
      <c r="N259" s="306"/>
      <c r="O259" s="306"/>
      <c r="P259" s="306"/>
      <c r="Q259" s="306"/>
      <c r="R259" s="306"/>
      <c r="S259" s="306"/>
      <c r="T259" s="102">
        <f t="shared" ref="T259:AL259" si="282">T$112*(MAX(0,MIN(T14,SUM(T14:T$15)-$E$4))*$E259+MAX(0,MIN(T14,$D$4-SUM(T$15:T15)))*$C259+(T14-(MAX(0,MIN(T14,SUM(T14:T$15)-$E$4))+MAX(0,MIN(T14,$D$4-SUM(T$15:T15)))))*$D259)</f>
        <v>1635109.593</v>
      </c>
      <c r="U259" s="102">
        <f t="shared" si="282"/>
        <v>2501717.678</v>
      </c>
      <c r="V259" s="102">
        <f t="shared" si="282"/>
        <v>4252920.052</v>
      </c>
      <c r="W259" s="102">
        <f t="shared" si="282"/>
        <v>6940765.525</v>
      </c>
      <c r="X259" s="102">
        <f t="shared" si="282"/>
        <v>11504318.86</v>
      </c>
      <c r="Y259" s="102">
        <f t="shared" si="282"/>
        <v>19858224.24</v>
      </c>
      <c r="Z259" s="102">
        <f t="shared" si="282"/>
        <v>31303782.58</v>
      </c>
      <c r="AA259" s="102">
        <f t="shared" si="282"/>
        <v>42260106.48</v>
      </c>
      <c r="AB259" s="102">
        <f t="shared" si="282"/>
        <v>43105308.61</v>
      </c>
      <c r="AC259" s="102">
        <f t="shared" si="282"/>
        <v>64485541.68</v>
      </c>
      <c r="AD259" s="102">
        <f t="shared" si="282"/>
        <v>79727578.81</v>
      </c>
      <c r="AE259" s="102">
        <f t="shared" si="282"/>
        <v>144346781.4</v>
      </c>
      <c r="AF259" s="102">
        <f t="shared" si="282"/>
        <v>200113432.3</v>
      </c>
      <c r="AG259" s="102">
        <f t="shared" si="282"/>
        <v>255937822</v>
      </c>
      <c r="AH259" s="102">
        <f t="shared" si="282"/>
        <v>294497710.3</v>
      </c>
      <c r="AI259" s="102">
        <f t="shared" si="282"/>
        <v>356504041.4</v>
      </c>
      <c r="AJ259" s="102">
        <f t="shared" si="282"/>
        <v>392814638.3</v>
      </c>
      <c r="AK259" s="102">
        <f t="shared" si="282"/>
        <v>394947060.6</v>
      </c>
      <c r="AL259" s="102">
        <f t="shared" si="282"/>
        <v>317606123.2</v>
      </c>
      <c r="AM259" s="102">
        <f t="shared" ref="AM259:AV259" si="283">$D259*AM$112*AM14</f>
        <v>39303757.74</v>
      </c>
      <c r="AN259" s="102">
        <f t="shared" si="283"/>
        <v>0</v>
      </c>
      <c r="AO259" s="102">
        <f t="shared" si="283"/>
        <v>0</v>
      </c>
      <c r="AP259" s="102">
        <f t="shared" si="283"/>
        <v>0</v>
      </c>
      <c r="AQ259" s="102">
        <f t="shared" si="283"/>
        <v>0</v>
      </c>
      <c r="AR259" s="102">
        <f t="shared" si="283"/>
        <v>0</v>
      </c>
      <c r="AS259" s="102">
        <f t="shared" si="283"/>
        <v>0</v>
      </c>
      <c r="AT259" s="102">
        <f t="shared" si="283"/>
        <v>0</v>
      </c>
      <c r="AU259" s="102">
        <f t="shared" si="283"/>
        <v>0</v>
      </c>
      <c r="AV259" s="102">
        <f t="shared" si="283"/>
        <v>0</v>
      </c>
      <c r="AW259" s="90"/>
      <c r="AX259" s="90"/>
      <c r="AY259" s="90"/>
      <c r="AZ259" s="90"/>
      <c r="BA259" s="90"/>
      <c r="BB259" s="90"/>
      <c r="BC259" s="90"/>
      <c r="BD259" s="90"/>
      <c r="BE259" s="90"/>
      <c r="BF259" s="90"/>
      <c r="BG259" s="90"/>
      <c r="BH259" s="90"/>
      <c r="BI259" s="90"/>
      <c r="BJ259" s="90"/>
      <c r="BK259" s="90"/>
      <c r="BL259" s="90"/>
      <c r="BM259" s="90"/>
      <c r="BN259" s="90"/>
      <c r="BO259" s="90"/>
      <c r="BP259" s="90"/>
    </row>
    <row r="260" ht="12.75" customHeight="1" outlineLevel="1">
      <c r="A260" s="90" t="s">
        <v>295</v>
      </c>
      <c r="C260" s="102">
        <f>'RSGen 1-7'!$P$383-'RSGen 1-7'!$P$382</f>
        <v>711730.6497</v>
      </c>
      <c r="D260" s="102">
        <f>OFFSET(RSGen_Walton!$G$21,0,ROW(C260)-ROW($C$251))</f>
        <v>711730.6497</v>
      </c>
      <c r="E260" s="102">
        <f>OFFSET(RSGen_none!$G$21,0,ROW(D260)-ROW($C$251))</f>
        <v>711730.6497</v>
      </c>
      <c r="F260" s="102"/>
      <c r="G260" s="102"/>
      <c r="H260" s="313"/>
      <c r="I260" s="313"/>
      <c r="J260" s="313"/>
      <c r="K260" s="306"/>
      <c r="L260" s="306"/>
      <c r="M260" s="306"/>
      <c r="N260" s="306"/>
      <c r="O260" s="306"/>
      <c r="P260" s="306"/>
      <c r="Q260" s="306"/>
      <c r="R260" s="306"/>
      <c r="S260" s="306"/>
      <c r="T260" s="306"/>
      <c r="U260" s="102">
        <f t="shared" ref="U260:AL260" si="284">U$112*($C260*MIN($D$4-3,U15-3)+$D260*MIN($E$4-$D$4,MAX(0,U15-$D$4))+$E260*MAX(0,U15-$E$4))</f>
        <v>1667811.785</v>
      </c>
      <c r="V260" s="102">
        <f t="shared" si="284"/>
        <v>4252920.052</v>
      </c>
      <c r="W260" s="102">
        <f t="shared" si="284"/>
        <v>8675956.906</v>
      </c>
      <c r="X260" s="102">
        <f t="shared" si="284"/>
        <v>15929056.88</v>
      </c>
      <c r="Y260" s="102">
        <f t="shared" si="284"/>
        <v>27982043.25</v>
      </c>
      <c r="Z260" s="102">
        <f t="shared" si="284"/>
        <v>48797072.84</v>
      </c>
      <c r="AA260" s="102">
        <f t="shared" si="284"/>
        <v>81702872.53</v>
      </c>
      <c r="AB260" s="102">
        <f t="shared" si="284"/>
        <v>126442238.6</v>
      </c>
      <c r="AC260" s="102">
        <f t="shared" si="284"/>
        <v>172938498.1</v>
      </c>
      <c r="AD260" s="102">
        <f t="shared" si="284"/>
        <v>242172520.6</v>
      </c>
      <c r="AE260" s="102">
        <f t="shared" si="284"/>
        <v>328338101.4</v>
      </c>
      <c r="AF260" s="102">
        <f t="shared" si="284"/>
        <v>482138580.5</v>
      </c>
      <c r="AG260" s="102">
        <f t="shared" si="284"/>
        <v>695897053.1</v>
      </c>
      <c r="AH260" s="102">
        <f t="shared" si="284"/>
        <v>970871572.6</v>
      </c>
      <c r="AI260" s="102">
        <f t="shared" si="284"/>
        <v>1290676669</v>
      </c>
      <c r="AJ260" s="102">
        <f t="shared" si="284"/>
        <v>1680124324</v>
      </c>
      <c r="AK260" s="102">
        <f t="shared" si="284"/>
        <v>2114397742</v>
      </c>
      <c r="AL260" s="102">
        <f t="shared" si="284"/>
        <v>2559531698</v>
      </c>
      <c r="AM260" s="102">
        <f t="shared" ref="AM260:AV260" si="285">$C260*AM$112*(4)+$D260*AM$112*(AM15-7)</f>
        <v>2934680578</v>
      </c>
      <c r="AN260" s="102">
        <f t="shared" si="285"/>
        <v>3033464022</v>
      </c>
      <c r="AO260" s="102">
        <f t="shared" si="285"/>
        <v>3094133303</v>
      </c>
      <c r="AP260" s="102">
        <f t="shared" si="285"/>
        <v>3156015969</v>
      </c>
      <c r="AQ260" s="102">
        <f t="shared" si="285"/>
        <v>3219136288</v>
      </c>
      <c r="AR260" s="102">
        <f t="shared" si="285"/>
        <v>3283519014</v>
      </c>
      <c r="AS260" s="102">
        <f t="shared" si="285"/>
        <v>3349189394</v>
      </c>
      <c r="AT260" s="102">
        <f t="shared" si="285"/>
        <v>3416173182</v>
      </c>
      <c r="AU260" s="102">
        <f t="shared" si="285"/>
        <v>3484496646</v>
      </c>
      <c r="AV260" s="102">
        <f t="shared" si="285"/>
        <v>3554186579</v>
      </c>
      <c r="AW260" s="90"/>
      <c r="AX260" s="90"/>
      <c r="AY260" s="90"/>
      <c r="AZ260" s="90"/>
      <c r="BA260" s="90"/>
      <c r="BB260" s="90"/>
      <c r="BC260" s="90"/>
      <c r="BD260" s="90"/>
      <c r="BE260" s="90"/>
      <c r="BF260" s="90"/>
      <c r="BG260" s="90"/>
      <c r="BH260" s="90"/>
      <c r="BI260" s="90"/>
      <c r="BJ260" s="90"/>
      <c r="BK260" s="90"/>
      <c r="BL260" s="90"/>
      <c r="BM260" s="90"/>
      <c r="BN260" s="90"/>
      <c r="BO260" s="90"/>
      <c r="BP260" s="90"/>
    </row>
    <row r="261" ht="12.75" customHeight="1" outlineLevel="1">
      <c r="A261" s="143" t="s">
        <v>315</v>
      </c>
      <c r="B261" s="143"/>
      <c r="C261" s="309"/>
      <c r="D261" s="309"/>
      <c r="E261" s="309"/>
      <c r="F261" s="309"/>
      <c r="G261" s="309"/>
      <c r="H261" s="314"/>
      <c r="I261" s="314"/>
      <c r="J261" s="314"/>
      <c r="K261" s="311"/>
      <c r="L261" s="309">
        <f t="shared" ref="L261:AV261" si="286">SUM(L251:L260)</f>
        <v>0</v>
      </c>
      <c r="M261" s="309">
        <f t="shared" si="286"/>
        <v>15560</v>
      </c>
      <c r="N261" s="309">
        <f t="shared" si="286"/>
        <v>860867.5443</v>
      </c>
      <c r="O261" s="309">
        <f t="shared" si="286"/>
        <v>2653408.742</v>
      </c>
      <c r="P261" s="309">
        <f t="shared" si="286"/>
        <v>5954816.243</v>
      </c>
      <c r="Q261" s="309">
        <f t="shared" si="286"/>
        <v>11493104.96</v>
      </c>
      <c r="R261" s="309">
        <f t="shared" si="286"/>
        <v>20431894.11</v>
      </c>
      <c r="S261" s="309">
        <f t="shared" si="286"/>
        <v>35681030.87</v>
      </c>
      <c r="T261" s="309">
        <f t="shared" si="286"/>
        <v>60307837.7</v>
      </c>
      <c r="U261" s="309">
        <f t="shared" si="286"/>
        <v>95250274.82</v>
      </c>
      <c r="V261" s="309">
        <f t="shared" si="286"/>
        <v>135428349</v>
      </c>
      <c r="W261" s="309">
        <f t="shared" si="286"/>
        <v>188425861.6</v>
      </c>
      <c r="X261" s="309">
        <f t="shared" si="286"/>
        <v>258364247.4</v>
      </c>
      <c r="Y261" s="309">
        <f t="shared" si="286"/>
        <v>370117939.8</v>
      </c>
      <c r="Z261" s="309">
        <f t="shared" si="286"/>
        <v>536186099</v>
      </c>
      <c r="AA261" s="309">
        <f t="shared" si="286"/>
        <v>755532301</v>
      </c>
      <c r="AB261" s="309">
        <f t="shared" si="286"/>
        <v>1020106687</v>
      </c>
      <c r="AC261" s="309">
        <f t="shared" si="286"/>
        <v>1337277095</v>
      </c>
      <c r="AD261" s="309">
        <f t="shared" si="286"/>
        <v>1701593403</v>
      </c>
      <c r="AE261" s="309">
        <f t="shared" si="286"/>
        <v>2086937277</v>
      </c>
      <c r="AF261" s="309">
        <f t="shared" si="286"/>
        <v>2437619703</v>
      </c>
      <c r="AG261" s="309">
        <f t="shared" si="286"/>
        <v>2621100748</v>
      </c>
      <c r="AH261" s="309">
        <f t="shared" si="286"/>
        <v>2692874132</v>
      </c>
      <c r="AI261" s="309">
        <f t="shared" si="286"/>
        <v>2747501826</v>
      </c>
      <c r="AJ261" s="309">
        <f t="shared" si="286"/>
        <v>2802451862</v>
      </c>
      <c r="AK261" s="309">
        <f t="shared" si="286"/>
        <v>2858500899</v>
      </c>
      <c r="AL261" s="309">
        <f t="shared" si="286"/>
        <v>2915670917</v>
      </c>
      <c r="AM261" s="309">
        <f t="shared" si="286"/>
        <v>2973984336</v>
      </c>
      <c r="AN261" s="309">
        <f t="shared" si="286"/>
        <v>3033464022</v>
      </c>
      <c r="AO261" s="309" t="str">
        <f t="shared" si="286"/>
        <v>#REF!</v>
      </c>
      <c r="AP261" s="309" t="str">
        <f t="shared" si="286"/>
        <v>#REF!</v>
      </c>
      <c r="AQ261" s="309" t="str">
        <f t="shared" si="286"/>
        <v>#REF!</v>
      </c>
      <c r="AR261" s="309" t="str">
        <f t="shared" si="286"/>
        <v>#REF!</v>
      </c>
      <c r="AS261" s="309" t="str">
        <f t="shared" si="286"/>
        <v>#REF!</v>
      </c>
      <c r="AT261" s="309" t="str">
        <f t="shared" si="286"/>
        <v>#REF!</v>
      </c>
      <c r="AU261" s="309" t="str">
        <f t="shared" si="286"/>
        <v>#REF!</v>
      </c>
      <c r="AV261" s="309" t="str">
        <f t="shared" si="286"/>
        <v>#REF!</v>
      </c>
      <c r="AW261" s="90"/>
      <c r="AX261" s="90"/>
      <c r="AY261" s="90"/>
      <c r="AZ261" s="90"/>
      <c r="BA261" s="90"/>
      <c r="BB261" s="90"/>
      <c r="BC261" s="90"/>
      <c r="BD261" s="90"/>
      <c r="BE261" s="90"/>
      <c r="BF261" s="90"/>
      <c r="BG261" s="90"/>
      <c r="BH261" s="90"/>
      <c r="BI261" s="90"/>
      <c r="BJ261" s="90"/>
      <c r="BK261" s="90"/>
      <c r="BL261" s="90"/>
      <c r="BM261" s="90"/>
      <c r="BN261" s="90"/>
      <c r="BO261" s="90"/>
      <c r="BP261" s="90"/>
    </row>
    <row r="262" ht="12.75" customHeight="1" outlineLevel="1">
      <c r="A262" s="90"/>
      <c r="C262" s="102"/>
      <c r="D262" s="102"/>
      <c r="E262" s="102"/>
      <c r="F262" s="102"/>
      <c r="G262" s="102"/>
      <c r="K262" s="102"/>
      <c r="L262" s="102"/>
      <c r="M262" s="102"/>
      <c r="N262" s="102"/>
      <c r="O262" s="102"/>
      <c r="P262" s="102"/>
      <c r="Q262" s="102"/>
      <c r="R262" s="102"/>
      <c r="S262" s="102"/>
      <c r="T262" s="102"/>
      <c r="U262" s="102"/>
      <c r="V262" s="102"/>
      <c r="W262" s="102"/>
      <c r="X262" s="102"/>
      <c r="Y262" s="102"/>
      <c r="Z262" s="102"/>
      <c r="AA262" s="102"/>
      <c r="AB262" s="102"/>
      <c r="AC262" s="102"/>
      <c r="AD262" s="102"/>
      <c r="AE262" s="102"/>
      <c r="AF262" s="102"/>
      <c r="AG262" s="102"/>
      <c r="AH262" s="102"/>
      <c r="AI262" s="102"/>
      <c r="AJ262" s="102"/>
      <c r="AK262" s="102"/>
      <c r="AL262" s="102"/>
      <c r="AM262" s="102"/>
      <c r="AN262" s="102"/>
      <c r="AO262" s="102"/>
      <c r="AP262" s="102"/>
      <c r="AQ262" s="102"/>
      <c r="AR262" s="102"/>
      <c r="AS262" s="102"/>
      <c r="AT262" s="102"/>
      <c r="AU262" s="102"/>
      <c r="AV262" s="102"/>
      <c r="AW262" s="90"/>
      <c r="AX262" s="90"/>
      <c r="AY262" s="90"/>
      <c r="AZ262" s="90"/>
      <c r="BA262" s="90"/>
      <c r="BB262" s="90"/>
      <c r="BC262" s="90"/>
      <c r="BD262" s="90"/>
      <c r="BE262" s="90"/>
      <c r="BF262" s="90"/>
      <c r="BG262" s="90"/>
      <c r="BH262" s="90"/>
      <c r="BI262" s="90"/>
      <c r="BJ262" s="90"/>
      <c r="BK262" s="90"/>
      <c r="BL262" s="90"/>
      <c r="BM262" s="90"/>
      <c r="BN262" s="90"/>
      <c r="BO262" s="90"/>
      <c r="BP262" s="90"/>
    </row>
    <row r="263" ht="12.75" customHeight="1" outlineLevel="1">
      <c r="A263" s="90" t="s">
        <v>607</v>
      </c>
      <c r="C263" s="102"/>
      <c r="D263" s="102"/>
      <c r="E263" s="102"/>
      <c r="F263" s="102"/>
      <c r="G263" s="102"/>
      <c r="K263" s="102"/>
      <c r="L263" s="102"/>
      <c r="M263" s="102"/>
      <c r="N263" s="102"/>
      <c r="O263" s="102"/>
      <c r="P263" s="102"/>
      <c r="Q263" s="102"/>
      <c r="R263" s="102"/>
      <c r="S263" s="102"/>
      <c r="T263" s="102"/>
      <c r="U263" s="102"/>
      <c r="V263" s="102"/>
      <c r="W263" s="102"/>
      <c r="X263" s="102"/>
      <c r="Y263" s="102"/>
      <c r="Z263" s="102"/>
      <c r="AA263" s="102"/>
      <c r="AB263" s="102"/>
      <c r="AC263" s="102"/>
      <c r="AD263" s="102"/>
      <c r="AE263" s="102"/>
      <c r="AF263" s="102"/>
      <c r="AG263" s="102"/>
      <c r="AH263" s="102"/>
      <c r="AI263" s="102"/>
      <c r="AJ263" s="102"/>
      <c r="AK263" s="102"/>
      <c r="AL263" s="102"/>
      <c r="AM263" s="102"/>
      <c r="AN263" s="102"/>
      <c r="AO263" s="102"/>
      <c r="AP263" s="102"/>
      <c r="AQ263" s="102"/>
      <c r="AR263" s="102"/>
      <c r="AS263" s="102"/>
      <c r="AT263" s="102"/>
      <c r="AU263" s="102"/>
      <c r="AV263" s="102"/>
      <c r="AW263" s="90"/>
      <c r="AX263" s="90"/>
      <c r="AY263" s="90"/>
      <c r="AZ263" s="90"/>
      <c r="BA263" s="90"/>
      <c r="BB263" s="90"/>
      <c r="BC263" s="90"/>
      <c r="BD263" s="90"/>
      <c r="BE263" s="90"/>
      <c r="BF263" s="90"/>
      <c r="BG263" s="90"/>
      <c r="BH263" s="90"/>
      <c r="BI263" s="90"/>
      <c r="BJ263" s="90"/>
      <c r="BK263" s="90"/>
      <c r="BL263" s="90"/>
      <c r="BM263" s="90"/>
      <c r="BN263" s="90"/>
      <c r="BO263" s="90"/>
      <c r="BP263" s="90"/>
    </row>
    <row r="264" ht="12.75" customHeight="1" outlineLevel="1">
      <c r="A264" s="90" t="s">
        <v>287</v>
      </c>
      <c r="C264" s="102">
        <f>'RSGen 1-7'!H$386</f>
        <v>0</v>
      </c>
      <c r="D264" s="102">
        <f>OFFSET(RSGen_Walton!$H$386,0,ROW(A264)-ROW($A$264))</f>
        <v>0</v>
      </c>
      <c r="E264" s="102">
        <f>OFFSET(RSGen_none!$H$386,0,ROW(B264)-ROW($A$264))</f>
        <v>0</v>
      </c>
      <c r="F264" s="102"/>
      <c r="G264" s="102"/>
      <c r="H264" s="313"/>
      <c r="I264" s="313"/>
      <c r="J264" s="313"/>
      <c r="K264" s="306"/>
      <c r="L264" s="306"/>
      <c r="M264" s="102">
        <f t="shared" ref="M264:AL264" si="287">M$107*(MAX(0,MIN(M7,SUM(M7:M$15)-$E$4))*$E264+MAX(0,MIN(M7,$D$4-SUM(M8:M$15)))*$C264+(M7-(MAX(0,MIN(M7,SUM(M7:M$15)-$E$4))+MAX(0,MIN(M7,$D$4-SUM(M8:M$15)))))*$D264)</f>
        <v>0</v>
      </c>
      <c r="N264" s="102">
        <f t="shared" si="287"/>
        <v>0</v>
      </c>
      <c r="O264" s="102">
        <f t="shared" si="287"/>
        <v>0</v>
      </c>
      <c r="P264" s="102">
        <f t="shared" si="287"/>
        <v>0</v>
      </c>
      <c r="Q264" s="102">
        <f t="shared" si="287"/>
        <v>0</v>
      </c>
      <c r="R264" s="102">
        <f t="shared" si="287"/>
        <v>0</v>
      </c>
      <c r="S264" s="102">
        <f t="shared" si="287"/>
        <v>0</v>
      </c>
      <c r="T264" s="102">
        <f t="shared" si="287"/>
        <v>0</v>
      </c>
      <c r="U264" s="102">
        <f t="shared" si="287"/>
        <v>0</v>
      </c>
      <c r="V264" s="102">
        <f t="shared" si="287"/>
        <v>0</v>
      </c>
      <c r="W264" s="102">
        <f t="shared" si="287"/>
        <v>0</v>
      </c>
      <c r="X264" s="102">
        <f t="shared" si="287"/>
        <v>0</v>
      </c>
      <c r="Y264" s="102">
        <f t="shared" si="287"/>
        <v>0</v>
      </c>
      <c r="Z264" s="102">
        <f t="shared" si="287"/>
        <v>0</v>
      </c>
      <c r="AA264" s="102">
        <f t="shared" si="287"/>
        <v>0</v>
      </c>
      <c r="AB264" s="102">
        <f t="shared" si="287"/>
        <v>0</v>
      </c>
      <c r="AC264" s="102">
        <f t="shared" si="287"/>
        <v>0</v>
      </c>
      <c r="AD264" s="102">
        <f t="shared" si="287"/>
        <v>0</v>
      </c>
      <c r="AE264" s="102">
        <f t="shared" si="287"/>
        <v>0</v>
      </c>
      <c r="AF264" s="102">
        <f t="shared" si="287"/>
        <v>0</v>
      </c>
      <c r="AG264" s="102">
        <f t="shared" si="287"/>
        <v>0</v>
      </c>
      <c r="AH264" s="102">
        <f t="shared" si="287"/>
        <v>0</v>
      </c>
      <c r="AI264" s="102">
        <f t="shared" si="287"/>
        <v>0</v>
      </c>
      <c r="AJ264" s="102">
        <f t="shared" si="287"/>
        <v>0</v>
      </c>
      <c r="AK264" s="102">
        <f t="shared" si="287"/>
        <v>0</v>
      </c>
      <c r="AL264" s="102">
        <f t="shared" si="287"/>
        <v>0</v>
      </c>
      <c r="AM264" s="102">
        <f t="shared" ref="AM264:AV264" si="288">$D264*AM$107*AM$7</f>
        <v>0</v>
      </c>
      <c r="AN264" s="102">
        <f t="shared" si="288"/>
        <v>0</v>
      </c>
      <c r="AO264" s="102">
        <f t="shared" si="288"/>
        <v>0</v>
      </c>
      <c r="AP264" s="102" t="str">
        <f t="shared" si="288"/>
        <v>#REF!</v>
      </c>
      <c r="AQ264" s="102" t="str">
        <f t="shared" si="288"/>
        <v>#REF!</v>
      </c>
      <c r="AR264" s="102" t="str">
        <f t="shared" si="288"/>
        <v>#REF!</v>
      </c>
      <c r="AS264" s="102" t="str">
        <f t="shared" si="288"/>
        <v>#REF!</v>
      </c>
      <c r="AT264" s="102" t="str">
        <f t="shared" si="288"/>
        <v>#REF!</v>
      </c>
      <c r="AU264" s="102">
        <f t="shared" si="288"/>
        <v>0</v>
      </c>
      <c r="AV264" s="102">
        <f t="shared" si="288"/>
        <v>0</v>
      </c>
      <c r="AW264" s="90"/>
      <c r="AX264" s="90"/>
      <c r="AY264" s="90"/>
      <c r="AZ264" s="90"/>
      <c r="BA264" s="90"/>
      <c r="BB264" s="90"/>
      <c r="BC264" s="90"/>
      <c r="BD264" s="90"/>
      <c r="BE264" s="90"/>
      <c r="BF264" s="90"/>
      <c r="BG264" s="90"/>
      <c r="BH264" s="90"/>
      <c r="BI264" s="90"/>
      <c r="BJ264" s="90"/>
      <c r="BK264" s="90"/>
      <c r="BL264" s="90"/>
      <c r="BM264" s="90"/>
      <c r="BN264" s="90"/>
      <c r="BO264" s="90"/>
      <c r="BP264" s="90"/>
    </row>
    <row r="265" ht="12.75" customHeight="1" outlineLevel="1">
      <c r="A265" s="90" t="s">
        <v>288</v>
      </c>
      <c r="C265" s="102">
        <f>'RSGen 1-7'!I$386</f>
        <v>21419.8728</v>
      </c>
      <c r="D265" s="102">
        <f>OFFSET(RSGen_Walton!$H$386,0,ROW(A265)-ROW($A$264))</f>
        <v>21419.8728</v>
      </c>
      <c r="E265" s="102">
        <f>OFFSET(RSGen_none!$H$386,0,ROW(B265)-ROW($A$264))</f>
        <v>21419.8728</v>
      </c>
      <c r="F265" s="102"/>
      <c r="G265" s="102"/>
      <c r="H265" s="313"/>
      <c r="I265" s="313"/>
      <c r="J265" s="313"/>
      <c r="K265" s="306"/>
      <c r="L265" s="306"/>
      <c r="M265" s="306"/>
      <c r="N265" s="102">
        <f t="shared" ref="N265:AL265" si="289">N$112*(MAX(0,MIN(N8,SUM(N8:N$15)-$E$4))*$E265+MAX(0,MIN(N8,$D$4-SUM(N9:N$15)))*$C265+(N8-(MAX(0,MIN(N8,SUM(N8:N$15)-$E$4))+MAX(0,MIN(N8,$D$4-SUM(N9:N$15)))))*$D265)</f>
        <v>43696.54051</v>
      </c>
      <c r="O265" s="102">
        <f t="shared" si="289"/>
        <v>66855.70698</v>
      </c>
      <c r="P265" s="102">
        <f t="shared" si="289"/>
        <v>113654.7019</v>
      </c>
      <c r="Q265" s="102">
        <f t="shared" si="289"/>
        <v>185484.4735</v>
      </c>
      <c r="R265" s="102">
        <f t="shared" si="289"/>
        <v>307440.5148</v>
      </c>
      <c r="S265" s="102">
        <f t="shared" si="289"/>
        <v>530689.627</v>
      </c>
      <c r="T265" s="102">
        <f t="shared" si="289"/>
        <v>836559.8302</v>
      </c>
      <c r="U265" s="102">
        <f t="shared" si="289"/>
        <v>1129355.771</v>
      </c>
      <c r="V265" s="102">
        <f t="shared" si="289"/>
        <v>1151942.886</v>
      </c>
      <c r="W265" s="102">
        <f t="shared" si="289"/>
        <v>1723306.558</v>
      </c>
      <c r="X265" s="102">
        <f t="shared" si="289"/>
        <v>2130633.562</v>
      </c>
      <c r="Y265" s="102">
        <f t="shared" si="289"/>
        <v>3857512.065</v>
      </c>
      <c r="Z265" s="102">
        <f t="shared" si="289"/>
        <v>5347815.669</v>
      </c>
      <c r="AA265" s="102">
        <f t="shared" si="289"/>
        <v>6839662.279</v>
      </c>
      <c r="AB265" s="102">
        <f t="shared" si="289"/>
        <v>7870133.711</v>
      </c>
      <c r="AC265" s="102">
        <f t="shared" si="289"/>
        <v>9527186.04</v>
      </c>
      <c r="AD265" s="102">
        <f t="shared" si="289"/>
        <v>10497547.58</v>
      </c>
      <c r="AE265" s="102">
        <f t="shared" si="289"/>
        <v>10554534.27</v>
      </c>
      <c r="AF265" s="102">
        <f t="shared" si="289"/>
        <v>8487681.122</v>
      </c>
      <c r="AG265" s="102">
        <f t="shared" si="289"/>
        <v>1050350.539</v>
      </c>
      <c r="AH265" s="102">
        <f t="shared" si="289"/>
        <v>0</v>
      </c>
      <c r="AI265" s="102">
        <f t="shared" si="289"/>
        <v>0</v>
      </c>
      <c r="AJ265" s="102">
        <f t="shared" si="289"/>
        <v>0</v>
      </c>
      <c r="AK265" s="102">
        <f t="shared" si="289"/>
        <v>0</v>
      </c>
      <c r="AL265" s="102">
        <f t="shared" si="289"/>
        <v>0</v>
      </c>
      <c r="AM265" s="102">
        <f t="shared" ref="AM265:AV265" si="290">$D265*AM$107*AM$8</f>
        <v>0</v>
      </c>
      <c r="AN265" s="102">
        <f t="shared" si="290"/>
        <v>0</v>
      </c>
      <c r="AO265" s="102">
        <f t="shared" si="290"/>
        <v>0</v>
      </c>
      <c r="AP265" s="102">
        <f t="shared" si="290"/>
        <v>0</v>
      </c>
      <c r="AQ265" s="102" t="str">
        <f t="shared" si="290"/>
        <v>#REF!</v>
      </c>
      <c r="AR265" s="102" t="str">
        <f t="shared" si="290"/>
        <v>#REF!</v>
      </c>
      <c r="AS265" s="102" t="str">
        <f t="shared" si="290"/>
        <v>#REF!</v>
      </c>
      <c r="AT265" s="102" t="str">
        <f t="shared" si="290"/>
        <v>#REF!</v>
      </c>
      <c r="AU265" s="102" t="str">
        <f t="shared" si="290"/>
        <v>#REF!</v>
      </c>
      <c r="AV265" s="102">
        <f t="shared" si="290"/>
        <v>0</v>
      </c>
      <c r="AW265" s="90"/>
      <c r="AX265" s="90"/>
      <c r="AY265" s="90"/>
      <c r="AZ265" s="90"/>
      <c r="BA265" s="90"/>
      <c r="BB265" s="90"/>
      <c r="BC265" s="90"/>
      <c r="BD265" s="90"/>
      <c r="BE265" s="90"/>
      <c r="BF265" s="90"/>
      <c r="BG265" s="90"/>
      <c r="BH265" s="90"/>
      <c r="BI265" s="90"/>
      <c r="BJ265" s="90"/>
      <c r="BK265" s="90"/>
      <c r="BL265" s="90"/>
      <c r="BM265" s="90"/>
      <c r="BN265" s="90"/>
      <c r="BO265" s="90"/>
      <c r="BP265" s="90"/>
    </row>
    <row r="266" ht="12.75" customHeight="1" outlineLevel="1">
      <c r="A266" s="90" t="s">
        <v>289</v>
      </c>
      <c r="C266" s="102">
        <f>'RSGen 1-7'!J$386</f>
        <v>25052.82</v>
      </c>
      <c r="D266" s="102">
        <f>OFFSET(RSGen_Walton!$H$386,0,ROW(A266)-ROW($A$264))</f>
        <v>25052.82</v>
      </c>
      <c r="E266" s="102">
        <f>OFFSET(RSGen_none!$H$386,0,ROW(B266)-ROW($A$264))</f>
        <v>25052.82</v>
      </c>
      <c r="F266" s="102"/>
      <c r="G266" s="102"/>
      <c r="H266" s="313"/>
      <c r="I266" s="313"/>
      <c r="J266" s="313"/>
      <c r="K266" s="306"/>
      <c r="L266" s="306"/>
      <c r="M266" s="306"/>
      <c r="N266" s="306"/>
      <c r="O266" s="102">
        <f t="shared" ref="O266:AL266" si="291">O$112*(MAX(0,MIN(O9,SUM(O9:O$15)-$E$4))*$E266+MAX(0,MIN(O9,$D$4-SUM(O10:O$15)))*$C266+(O9-(MAX(0,MIN(O9,SUM(O9:O$15)-$E$4))+MAX(0,MIN(O9,$D$4-SUM(O10:O$15)))))*$D266)</f>
        <v>52129.90786</v>
      </c>
      <c r="P266" s="102">
        <f t="shared" si="291"/>
        <v>79758.75902</v>
      </c>
      <c r="Q266" s="102">
        <f t="shared" si="291"/>
        <v>135589.8903</v>
      </c>
      <c r="R266" s="102">
        <f t="shared" si="291"/>
        <v>221282.701</v>
      </c>
      <c r="S266" s="102">
        <f t="shared" si="291"/>
        <v>366776.0769</v>
      </c>
      <c r="T266" s="102">
        <f t="shared" si="291"/>
        <v>633111.9359</v>
      </c>
      <c r="U266" s="102">
        <f t="shared" si="291"/>
        <v>998014.6335</v>
      </c>
      <c r="V266" s="102">
        <f t="shared" si="291"/>
        <v>1347319.755</v>
      </c>
      <c r="W266" s="102">
        <f t="shared" si="291"/>
        <v>1374266.15</v>
      </c>
      <c r="X266" s="102">
        <f t="shared" si="291"/>
        <v>2055902.161</v>
      </c>
      <c r="Y266" s="102">
        <f t="shared" si="291"/>
        <v>2541842.672</v>
      </c>
      <c r="Z266" s="102">
        <f t="shared" si="291"/>
        <v>4602006.157</v>
      </c>
      <c r="AA266" s="102">
        <f t="shared" si="291"/>
        <v>6379936.141</v>
      </c>
      <c r="AB266" s="102">
        <f t="shared" si="291"/>
        <v>8159706.928</v>
      </c>
      <c r="AC266" s="102">
        <f t="shared" si="291"/>
        <v>9389057.815</v>
      </c>
      <c r="AD266" s="102">
        <f t="shared" si="291"/>
        <v>11365918.78</v>
      </c>
      <c r="AE266" s="102">
        <f t="shared" si="291"/>
        <v>12523558.65</v>
      </c>
      <c r="AF266" s="102">
        <f t="shared" si="291"/>
        <v>12591543.69</v>
      </c>
      <c r="AG266" s="102">
        <f t="shared" si="291"/>
        <v>10125790.96</v>
      </c>
      <c r="AH266" s="102">
        <f t="shared" si="291"/>
        <v>1253066.631</v>
      </c>
      <c r="AI266" s="102">
        <f t="shared" si="291"/>
        <v>0</v>
      </c>
      <c r="AJ266" s="102">
        <f t="shared" si="291"/>
        <v>0</v>
      </c>
      <c r="AK266" s="102">
        <f t="shared" si="291"/>
        <v>0</v>
      </c>
      <c r="AL266" s="102">
        <f t="shared" si="291"/>
        <v>0</v>
      </c>
      <c r="AM266" s="102">
        <f t="shared" ref="AM266:AV266" si="292">$D266*AM$107*AM$9</f>
        <v>0</v>
      </c>
      <c r="AN266" s="102">
        <f t="shared" si="292"/>
        <v>0</v>
      </c>
      <c r="AO266" s="102">
        <f t="shared" si="292"/>
        <v>0</v>
      </c>
      <c r="AP266" s="102">
        <f t="shared" si="292"/>
        <v>0</v>
      </c>
      <c r="AQ266" s="102">
        <f t="shared" si="292"/>
        <v>0</v>
      </c>
      <c r="AR266" s="102" t="str">
        <f t="shared" si="292"/>
        <v>#REF!</v>
      </c>
      <c r="AS266" s="102" t="str">
        <f t="shared" si="292"/>
        <v>#REF!</v>
      </c>
      <c r="AT266" s="102" t="str">
        <f t="shared" si="292"/>
        <v>#REF!</v>
      </c>
      <c r="AU266" s="102" t="str">
        <f t="shared" si="292"/>
        <v>#REF!</v>
      </c>
      <c r="AV266" s="102" t="str">
        <f t="shared" si="292"/>
        <v>#REF!</v>
      </c>
      <c r="AW266" s="90"/>
      <c r="AX266" s="90"/>
      <c r="AY266" s="90"/>
      <c r="AZ266" s="90"/>
      <c r="BA266" s="90"/>
      <c r="BB266" s="90"/>
      <c r="BC266" s="90"/>
      <c r="BD266" s="90"/>
      <c r="BE266" s="90"/>
      <c r="BF266" s="90"/>
      <c r="BG266" s="90"/>
      <c r="BH266" s="90"/>
      <c r="BI266" s="90"/>
      <c r="BJ266" s="90"/>
      <c r="BK266" s="90"/>
      <c r="BL266" s="90"/>
      <c r="BM266" s="90"/>
      <c r="BN266" s="90"/>
      <c r="BO266" s="90"/>
      <c r="BP266" s="90"/>
    </row>
    <row r="267" ht="12.75" customHeight="1" outlineLevel="1">
      <c r="A267" s="90" t="s">
        <v>290</v>
      </c>
      <c r="C267" s="102">
        <f>'RSGen 1-7'!K$386</f>
        <v>27172.272</v>
      </c>
      <c r="D267" s="102">
        <f>OFFSET(RSGen_Walton!$H$386,0,ROW(A267)-ROW($A$264))</f>
        <v>27172.272</v>
      </c>
      <c r="E267" s="102">
        <f>OFFSET(RSGen_none!$H$386,0,ROW(B267)-ROW($A$264))</f>
        <v>27172.272</v>
      </c>
      <c r="F267" s="102"/>
      <c r="G267" s="102"/>
      <c r="H267" s="313"/>
      <c r="I267" s="313"/>
      <c r="J267" s="313"/>
      <c r="K267" s="306"/>
      <c r="L267" s="306"/>
      <c r="M267" s="306"/>
      <c r="N267" s="306"/>
      <c r="O267" s="306"/>
      <c r="P267" s="102">
        <f t="shared" ref="P267:AL267" si="293">P$112*(MAX(0,MIN(P10,SUM(P10:P$15)-$E$4))*$E267+MAX(0,MIN(P10,$D$4-SUM(P11:P$15)))*$C267+(P10-(MAX(0,MIN(P10,SUM(P10:P$15)-$E$4))+MAX(0,MIN(P10,$D$4-SUM(P11:P$15)))))*$D267)</f>
        <v>57670.86485</v>
      </c>
      <c r="Q267" s="102">
        <f t="shared" si="293"/>
        <v>88236.42322</v>
      </c>
      <c r="R267" s="102">
        <f t="shared" si="293"/>
        <v>150001.9195</v>
      </c>
      <c r="S267" s="102">
        <f t="shared" si="293"/>
        <v>244803.1326</v>
      </c>
      <c r="T267" s="102">
        <f t="shared" si="293"/>
        <v>405761.1923</v>
      </c>
      <c r="U267" s="102">
        <f t="shared" si="293"/>
        <v>700406.2426</v>
      </c>
      <c r="V267" s="102">
        <f t="shared" si="293"/>
        <v>1104094.932</v>
      </c>
      <c r="W267" s="102">
        <f t="shared" si="293"/>
        <v>1490528.158</v>
      </c>
      <c r="X267" s="102">
        <f t="shared" si="293"/>
        <v>1520338.721</v>
      </c>
      <c r="Y267" s="102">
        <f t="shared" si="293"/>
        <v>2274426.726</v>
      </c>
      <c r="Z267" s="102">
        <f t="shared" si="293"/>
        <v>2812018.498</v>
      </c>
      <c r="AA267" s="102">
        <f t="shared" si="293"/>
        <v>5091159.49</v>
      </c>
      <c r="AB267" s="102">
        <f t="shared" si="293"/>
        <v>7058068.009</v>
      </c>
      <c r="AC267" s="102">
        <f t="shared" si="293"/>
        <v>9027012.991</v>
      </c>
      <c r="AD267" s="102">
        <f t="shared" si="293"/>
        <v>10387033.21</v>
      </c>
      <c r="AE267" s="102">
        <f t="shared" si="293"/>
        <v>12574017.35</v>
      </c>
      <c r="AF267" s="102">
        <f t="shared" si="293"/>
        <v>13854704.3</v>
      </c>
      <c r="AG267" s="102">
        <f t="shared" si="293"/>
        <v>13929915.55</v>
      </c>
      <c r="AH267" s="102">
        <f t="shared" si="293"/>
        <v>11202074.7</v>
      </c>
      <c r="AI267" s="102">
        <f t="shared" si="293"/>
        <v>1386256.744</v>
      </c>
      <c r="AJ267" s="102">
        <f t="shared" si="293"/>
        <v>0</v>
      </c>
      <c r="AK267" s="102">
        <f t="shared" si="293"/>
        <v>0</v>
      </c>
      <c r="AL267" s="102">
        <f t="shared" si="293"/>
        <v>0</v>
      </c>
      <c r="AM267" s="102">
        <f t="shared" ref="AM267:AV267" si="294">$D267*AM$107*AM$10</f>
        <v>0</v>
      </c>
      <c r="AN267" s="102">
        <f t="shared" si="294"/>
        <v>0</v>
      </c>
      <c r="AO267" s="102">
        <f t="shared" si="294"/>
        <v>0</v>
      </c>
      <c r="AP267" s="102">
        <f t="shared" si="294"/>
        <v>0</v>
      </c>
      <c r="AQ267" s="102">
        <f t="shared" si="294"/>
        <v>0</v>
      </c>
      <c r="AR267" s="102">
        <f t="shared" si="294"/>
        <v>0</v>
      </c>
      <c r="AS267" s="102" t="str">
        <f t="shared" si="294"/>
        <v>#REF!</v>
      </c>
      <c r="AT267" s="102" t="str">
        <f t="shared" si="294"/>
        <v>#REF!</v>
      </c>
      <c r="AU267" s="102" t="str">
        <f t="shared" si="294"/>
        <v>#REF!</v>
      </c>
      <c r="AV267" s="102" t="str">
        <f t="shared" si="294"/>
        <v>#REF!</v>
      </c>
      <c r="AW267" s="90"/>
      <c r="AX267" s="90"/>
      <c r="AY267" s="90"/>
      <c r="AZ267" s="90"/>
      <c r="BA267" s="90"/>
      <c r="BB267" s="90"/>
      <c r="BC267" s="90"/>
      <c r="BD267" s="90"/>
      <c r="BE267" s="90"/>
      <c r="BF267" s="90"/>
      <c r="BG267" s="90"/>
      <c r="BH267" s="90"/>
      <c r="BI267" s="90"/>
      <c r="BJ267" s="90"/>
      <c r="BK267" s="90"/>
      <c r="BL267" s="90"/>
      <c r="BM267" s="90"/>
      <c r="BN267" s="90"/>
      <c r="BO267" s="90"/>
      <c r="BP267" s="90"/>
    </row>
    <row r="268" ht="12.75" customHeight="1" outlineLevel="1">
      <c r="A268" s="90" t="s">
        <v>291</v>
      </c>
      <c r="C268" s="102">
        <f>'RSGen 1-7'!L$386</f>
        <v>27261.312</v>
      </c>
      <c r="D268" s="102">
        <f>OFFSET(RSGen_Walton!$H$386,0,ROW(A268)-ROW($A$264))</f>
        <v>27261.312</v>
      </c>
      <c r="E268" s="102">
        <f>OFFSET(RSGen_none!$H$386,0,ROW(B268)-ROW($A$264))</f>
        <v>27261.312</v>
      </c>
      <c r="F268" s="102"/>
      <c r="G268" s="102"/>
      <c r="H268" s="313"/>
      <c r="I268" s="313"/>
      <c r="J268" s="313"/>
      <c r="K268" s="306"/>
      <c r="L268" s="306"/>
      <c r="M268" s="306"/>
      <c r="N268" s="306"/>
      <c r="O268" s="306"/>
      <c r="P268" s="306"/>
      <c r="Q268" s="102">
        <f t="shared" ref="Q268:AL268" si="295">Q$112*(MAX(0,MIN(Q11,SUM(Q11:Q$15)-$E$4))*$E268+MAX(0,MIN(Q11,$D$4-SUM(Q12:Q$15)))*$C268+(Q11-(MAX(0,MIN(Q11,SUM(Q11:Q$15)-$E$4))+MAX(0,MIN(Q11,$D$4-SUM(Q12:Q$15)))))*$D268)</f>
        <v>59017.04167</v>
      </c>
      <c r="R268" s="102">
        <f t="shared" si="295"/>
        <v>90296.07375</v>
      </c>
      <c r="S268" s="102">
        <f t="shared" si="295"/>
        <v>153503.3254</v>
      </c>
      <c r="T268" s="102">
        <f t="shared" si="295"/>
        <v>250517.427</v>
      </c>
      <c r="U268" s="102">
        <f t="shared" si="295"/>
        <v>415232.6353</v>
      </c>
      <c r="V268" s="102">
        <f t="shared" si="295"/>
        <v>716755.4104</v>
      </c>
      <c r="W268" s="102">
        <f t="shared" si="295"/>
        <v>1129867.165</v>
      </c>
      <c r="X268" s="102">
        <f t="shared" si="295"/>
        <v>1525320.673</v>
      </c>
      <c r="Y268" s="102">
        <f t="shared" si="295"/>
        <v>1555827.086</v>
      </c>
      <c r="Z268" s="102">
        <f t="shared" si="295"/>
        <v>2327517.321</v>
      </c>
      <c r="AA268" s="102">
        <f t="shared" si="295"/>
        <v>2877657.779</v>
      </c>
      <c r="AB268" s="102">
        <f t="shared" si="295"/>
        <v>5209999.409</v>
      </c>
      <c r="AC268" s="102">
        <f t="shared" si="295"/>
        <v>7222820.307</v>
      </c>
      <c r="AD268" s="102">
        <f t="shared" si="295"/>
        <v>9237725.205</v>
      </c>
      <c r="AE268" s="102">
        <f t="shared" si="295"/>
        <v>10629491.57</v>
      </c>
      <c r="AF268" s="102">
        <f t="shared" si="295"/>
        <v>12867525.18</v>
      </c>
      <c r="AG268" s="102">
        <f t="shared" si="295"/>
        <v>14178106.45</v>
      </c>
      <c r="AH268" s="102">
        <f t="shared" si="295"/>
        <v>14255073.32</v>
      </c>
      <c r="AI268" s="102">
        <f t="shared" si="295"/>
        <v>11463558.09</v>
      </c>
      <c r="AJ268" s="102">
        <f t="shared" si="295"/>
        <v>1418615.314</v>
      </c>
      <c r="AK268" s="102">
        <f t="shared" si="295"/>
        <v>0</v>
      </c>
      <c r="AL268" s="102">
        <f t="shared" si="295"/>
        <v>0</v>
      </c>
      <c r="AM268" s="102">
        <f t="shared" ref="AM268:AV268" si="296">$D268*AM$107*AM$11</f>
        <v>0</v>
      </c>
      <c r="AN268" s="102">
        <f t="shared" si="296"/>
        <v>0</v>
      </c>
      <c r="AO268" s="102">
        <f t="shared" si="296"/>
        <v>0</v>
      </c>
      <c r="AP268" s="102">
        <f t="shared" si="296"/>
        <v>0</v>
      </c>
      <c r="AQ268" s="102">
        <f t="shared" si="296"/>
        <v>0</v>
      </c>
      <c r="AR268" s="102">
        <f t="shared" si="296"/>
        <v>0</v>
      </c>
      <c r="AS268" s="102">
        <f t="shared" si="296"/>
        <v>0</v>
      </c>
      <c r="AT268" s="102" t="str">
        <f t="shared" si="296"/>
        <v>#REF!</v>
      </c>
      <c r="AU268" s="102" t="str">
        <f t="shared" si="296"/>
        <v>#REF!</v>
      </c>
      <c r="AV268" s="102" t="str">
        <f t="shared" si="296"/>
        <v>#REF!</v>
      </c>
      <c r="AW268" s="90"/>
      <c r="AX268" s="90"/>
      <c r="AY268" s="90"/>
      <c r="AZ268" s="90"/>
      <c r="BA268" s="90"/>
      <c r="BB268" s="90"/>
      <c r="BC268" s="90"/>
      <c r="BD268" s="90"/>
      <c r="BE268" s="90"/>
      <c r="BF268" s="90"/>
      <c r="BG268" s="90"/>
      <c r="BH268" s="90"/>
      <c r="BI268" s="90"/>
      <c r="BJ268" s="90"/>
      <c r="BK268" s="90"/>
      <c r="BL268" s="90"/>
      <c r="BM268" s="90"/>
      <c r="BN268" s="90"/>
      <c r="BO268" s="90"/>
      <c r="BP268" s="90"/>
    </row>
    <row r="269" ht="12.75" customHeight="1" outlineLevel="1">
      <c r="A269" s="90" t="s">
        <v>292</v>
      </c>
      <c r="C269" s="102">
        <f>'RSGen 1-7'!M$386</f>
        <v>27184.992</v>
      </c>
      <c r="D269" s="102">
        <f>OFFSET(RSGen_Walton!$H$386,0,ROW(A269)-ROW($A$264))</f>
        <v>27184.992</v>
      </c>
      <c r="E269" s="102">
        <f>OFFSET(RSGen_none!$H$386,0,ROW(B269)-ROW($A$264))</f>
        <v>27184.992</v>
      </c>
      <c r="F269" s="102"/>
      <c r="G269" s="102"/>
      <c r="H269" s="313"/>
      <c r="I269" s="313"/>
      <c r="J269" s="313"/>
      <c r="K269" s="306"/>
      <c r="L269" s="306"/>
      <c r="M269" s="306"/>
      <c r="N269" s="306"/>
      <c r="O269" s="306"/>
      <c r="P269" s="306"/>
      <c r="Q269" s="306"/>
      <c r="R269" s="102">
        <f t="shared" ref="R269:AL269" si="297">R$112*(MAX(0,MIN(R12,SUM(R12:R$15)-$E$4))*$E269+MAX(0,MIN(R12,$D$4-SUM(R13:R$15)))*$C269+(R12-(MAX(0,MIN(R12,SUM(R12:R$15)-$E$4))+MAX(0,MIN(R12,$D$4-SUM(R13:R$15)))))*$D269)</f>
        <v>60028.8556</v>
      </c>
      <c r="S269" s="102">
        <f t="shared" si="297"/>
        <v>91844.14908</v>
      </c>
      <c r="T269" s="102">
        <f t="shared" si="297"/>
        <v>156135.0534</v>
      </c>
      <c r="U269" s="102">
        <f t="shared" si="297"/>
        <v>254812.4072</v>
      </c>
      <c r="V269" s="102">
        <f t="shared" si="297"/>
        <v>422351.5649</v>
      </c>
      <c r="W269" s="102">
        <f t="shared" si="297"/>
        <v>729043.7782</v>
      </c>
      <c r="X269" s="102">
        <f t="shared" si="297"/>
        <v>1149238.101</v>
      </c>
      <c r="Y269" s="102">
        <f t="shared" si="297"/>
        <v>1551471.437</v>
      </c>
      <c r="Z269" s="102">
        <f t="shared" si="297"/>
        <v>1582500.866</v>
      </c>
      <c r="AA269" s="102">
        <f t="shared" si="297"/>
        <v>2367421.295</v>
      </c>
      <c r="AB269" s="102">
        <f t="shared" si="297"/>
        <v>2926993.601</v>
      </c>
      <c r="AC269" s="102">
        <f t="shared" si="297"/>
        <v>5299321.914</v>
      </c>
      <c r="AD269" s="102">
        <f t="shared" si="297"/>
        <v>7346651.493</v>
      </c>
      <c r="AE269" s="102">
        <f t="shared" si="297"/>
        <v>9396100.801</v>
      </c>
      <c r="AF269" s="102">
        <f t="shared" si="297"/>
        <v>10811728.22</v>
      </c>
      <c r="AG269" s="102">
        <f t="shared" si="297"/>
        <v>13088131.66</v>
      </c>
      <c r="AH269" s="102">
        <f t="shared" si="297"/>
        <v>14421182.1</v>
      </c>
      <c r="AI269" s="102">
        <f t="shared" si="297"/>
        <v>14499468.52</v>
      </c>
      <c r="AJ269" s="102">
        <f t="shared" si="297"/>
        <v>11660094.34</v>
      </c>
      <c r="AK269" s="102">
        <f t="shared" si="297"/>
        <v>1442936.674</v>
      </c>
      <c r="AL269" s="102">
        <f t="shared" si="297"/>
        <v>0</v>
      </c>
      <c r="AM269" s="102">
        <f t="shared" ref="AM269:AV269" si="298">$D269*AM$107*AM$12</f>
        <v>0</v>
      </c>
      <c r="AN269" s="102">
        <f t="shared" si="298"/>
        <v>0</v>
      </c>
      <c r="AO269" s="102">
        <f t="shared" si="298"/>
        <v>0</v>
      </c>
      <c r="AP269" s="102">
        <f t="shared" si="298"/>
        <v>0</v>
      </c>
      <c r="AQ269" s="102">
        <f t="shared" si="298"/>
        <v>0</v>
      </c>
      <c r="AR269" s="102">
        <f t="shared" si="298"/>
        <v>0</v>
      </c>
      <c r="AS269" s="102">
        <f t="shared" si="298"/>
        <v>0</v>
      </c>
      <c r="AT269" s="102">
        <f t="shared" si="298"/>
        <v>0</v>
      </c>
      <c r="AU269" s="102" t="str">
        <f t="shared" si="298"/>
        <v>#REF!</v>
      </c>
      <c r="AV269" s="102" t="str">
        <f t="shared" si="298"/>
        <v>#REF!</v>
      </c>
      <c r="AW269" s="90"/>
      <c r="AX269" s="90"/>
      <c r="AY269" s="90"/>
      <c r="AZ269" s="90"/>
      <c r="BA269" s="90"/>
      <c r="BB269" s="90"/>
      <c r="BC269" s="90"/>
      <c r="BD269" s="90"/>
      <c r="BE269" s="90"/>
      <c r="BF269" s="90"/>
      <c r="BG269" s="90"/>
      <c r="BH269" s="90"/>
      <c r="BI269" s="90"/>
      <c r="BJ269" s="90"/>
      <c r="BK269" s="90"/>
      <c r="BL269" s="90"/>
      <c r="BM269" s="90"/>
      <c r="BN269" s="90"/>
      <c r="BO269" s="90"/>
      <c r="BP269" s="90"/>
    </row>
    <row r="270" ht="12.75" customHeight="1" outlineLevel="1">
      <c r="A270" s="90" t="s">
        <v>293</v>
      </c>
      <c r="C270" s="102">
        <f>'RSGen 1-7'!N$386</f>
        <v>27115.032</v>
      </c>
      <c r="D270" s="102">
        <f>OFFSET(RSGen_Walton!$H$386,0,ROW(A270)-ROW($A$264))</f>
        <v>27115.032</v>
      </c>
      <c r="E270" s="102">
        <f>OFFSET(RSGen_none!$H$386,0,ROW(B270)-ROW($A$264))</f>
        <v>27115.032</v>
      </c>
      <c r="F270" s="102"/>
      <c r="G270" s="102"/>
      <c r="H270" s="313"/>
      <c r="I270" s="313"/>
      <c r="J270" s="313"/>
      <c r="K270" s="306"/>
      <c r="L270" s="306"/>
      <c r="M270" s="306"/>
      <c r="N270" s="306"/>
      <c r="O270" s="306"/>
      <c r="P270" s="306"/>
      <c r="Q270" s="306"/>
      <c r="R270" s="306"/>
      <c r="S270" s="102">
        <f t="shared" ref="S270:AL270" si="299">S$112*(MAX(0,MIN(S13,SUM(S13:S$15)-$E$4))*$E270+MAX(0,MIN(S13,$D$4-SUM(S14:S$15)))*$C270+(S13-(MAX(0,MIN(S13,SUM(S13:S$15)-$E$4))+MAX(0,MIN(S13,$D$4-SUM(S14:S$15)))))*$D270)</f>
        <v>61071.86007</v>
      </c>
      <c r="T270" s="102">
        <f t="shared" si="299"/>
        <v>93439.94591</v>
      </c>
      <c r="U270" s="102">
        <f t="shared" si="299"/>
        <v>158847.908</v>
      </c>
      <c r="V270" s="102">
        <f t="shared" si="299"/>
        <v>259239.7859</v>
      </c>
      <c r="W270" s="102">
        <f t="shared" si="299"/>
        <v>429689.9452</v>
      </c>
      <c r="X270" s="102">
        <f t="shared" si="299"/>
        <v>741710.9515</v>
      </c>
      <c r="Y270" s="102">
        <f t="shared" si="299"/>
        <v>1169206.173</v>
      </c>
      <c r="Z270" s="102">
        <f t="shared" si="299"/>
        <v>1578428.333</v>
      </c>
      <c r="AA270" s="102">
        <f t="shared" si="299"/>
        <v>1609996.9</v>
      </c>
      <c r="AB270" s="102">
        <f t="shared" si="299"/>
        <v>2408555.362</v>
      </c>
      <c r="AC270" s="102">
        <f t="shared" si="299"/>
        <v>2977850.266</v>
      </c>
      <c r="AD270" s="102">
        <f t="shared" si="299"/>
        <v>5391397.906</v>
      </c>
      <c r="AE270" s="102">
        <f t="shared" si="299"/>
        <v>7474299.942</v>
      </c>
      <c r="AF270" s="102">
        <f t="shared" si="299"/>
        <v>9559358.538</v>
      </c>
      <c r="AG270" s="102">
        <f t="shared" si="299"/>
        <v>10999582.56</v>
      </c>
      <c r="AH270" s="102">
        <f t="shared" si="299"/>
        <v>13315538.62</v>
      </c>
      <c r="AI270" s="102">
        <f t="shared" si="299"/>
        <v>14671750.89</v>
      </c>
      <c r="AJ270" s="102">
        <f t="shared" si="299"/>
        <v>14751397.53</v>
      </c>
      <c r="AK270" s="102">
        <f t="shared" si="299"/>
        <v>11862689.08</v>
      </c>
      <c r="AL270" s="102">
        <f t="shared" si="299"/>
        <v>1468007.773</v>
      </c>
      <c r="AM270" s="102">
        <f t="shared" ref="AM270:AV270" si="300">$D270*AM$107*AM$13</f>
        <v>0</v>
      </c>
      <c r="AN270" s="102">
        <f t="shared" si="300"/>
        <v>0</v>
      </c>
      <c r="AO270" s="102">
        <f t="shared" si="300"/>
        <v>0</v>
      </c>
      <c r="AP270" s="102">
        <f t="shared" si="300"/>
        <v>0</v>
      </c>
      <c r="AQ270" s="102">
        <f t="shared" si="300"/>
        <v>0</v>
      </c>
      <c r="AR270" s="102">
        <f t="shared" si="300"/>
        <v>0</v>
      </c>
      <c r="AS270" s="102">
        <f t="shared" si="300"/>
        <v>0</v>
      </c>
      <c r="AT270" s="102">
        <f t="shared" si="300"/>
        <v>0</v>
      </c>
      <c r="AU270" s="102">
        <f t="shared" si="300"/>
        <v>0</v>
      </c>
      <c r="AV270" s="102" t="str">
        <f t="shared" si="300"/>
        <v>#REF!</v>
      </c>
      <c r="AW270" s="90"/>
      <c r="AX270" s="90"/>
      <c r="AY270" s="90"/>
      <c r="AZ270" s="90"/>
      <c r="BA270" s="90"/>
      <c r="BB270" s="90"/>
      <c r="BC270" s="90"/>
      <c r="BD270" s="90"/>
      <c r="BE270" s="90"/>
      <c r="BF270" s="90"/>
      <c r="BG270" s="90"/>
      <c r="BH270" s="90"/>
      <c r="BI270" s="90"/>
      <c r="BJ270" s="90"/>
      <c r="BK270" s="90"/>
      <c r="BL270" s="90"/>
      <c r="BM270" s="90"/>
      <c r="BN270" s="90"/>
      <c r="BO270" s="90"/>
      <c r="BP270" s="90"/>
    </row>
    <row r="271" ht="12.75" customHeight="1" outlineLevel="1">
      <c r="A271" s="90" t="s">
        <v>294</v>
      </c>
      <c r="C271" s="102">
        <f>'RSGen 1-7'!O$386</f>
        <v>27048.252</v>
      </c>
      <c r="D271" s="102">
        <f>OFFSET(RSGen_Walton!$H$386,0,ROW(A271)-ROW($A$264))</f>
        <v>27048.252</v>
      </c>
      <c r="E271" s="102">
        <f>OFFSET(RSGen_none!$H$386,0,ROW(B271)-ROW($A$264))</f>
        <v>27048.252</v>
      </c>
      <c r="F271" s="102"/>
      <c r="G271" s="102"/>
      <c r="H271" s="313"/>
      <c r="I271" s="313"/>
      <c r="J271" s="313"/>
      <c r="K271" s="306"/>
      <c r="L271" s="306"/>
      <c r="M271" s="306"/>
      <c r="N271" s="306"/>
      <c r="O271" s="306"/>
      <c r="P271" s="306"/>
      <c r="Q271" s="306"/>
      <c r="R271" s="306"/>
      <c r="S271" s="306"/>
      <c r="T271" s="102">
        <f t="shared" ref="T271:AL271" si="301">T$112*(MAX(0,MIN(T14,SUM(T14:T$15)-$E$4))*$E271+MAX(0,MIN(T14,$D$4-SUM(T$15:T15)))*$C271+(T14-(MAX(0,MIN(T14,SUM(T14:T$15)-$E$4))+MAX(0,MIN(T14,$D$4-SUM(T$15:T15)))))*$D271)</f>
        <v>62139.87881</v>
      </c>
      <c r="U271" s="102">
        <f t="shared" si="301"/>
        <v>95074.01459</v>
      </c>
      <c r="V271" s="102">
        <f t="shared" si="301"/>
        <v>161625.8248</v>
      </c>
      <c r="W271" s="102">
        <f t="shared" si="301"/>
        <v>263773.3461</v>
      </c>
      <c r="X271" s="102">
        <f t="shared" si="301"/>
        <v>437204.3211</v>
      </c>
      <c r="Y271" s="102">
        <f t="shared" si="301"/>
        <v>754681.9204</v>
      </c>
      <c r="Z271" s="102">
        <f t="shared" si="301"/>
        <v>1189653.136</v>
      </c>
      <c r="AA271" s="102">
        <f t="shared" si="301"/>
        <v>1606031.734</v>
      </c>
      <c r="AB271" s="102">
        <f t="shared" si="301"/>
        <v>1638152.369</v>
      </c>
      <c r="AC271" s="102">
        <f t="shared" si="301"/>
        <v>2450675.944</v>
      </c>
      <c r="AD271" s="102">
        <f t="shared" si="301"/>
        <v>3029926.621</v>
      </c>
      <c r="AE271" s="102">
        <f t="shared" si="301"/>
        <v>5485682.148</v>
      </c>
      <c r="AF271" s="102">
        <f t="shared" si="301"/>
        <v>7605009.772</v>
      </c>
      <c r="AG271" s="102">
        <f t="shared" si="301"/>
        <v>9726531.669</v>
      </c>
      <c r="AH271" s="102">
        <f t="shared" si="301"/>
        <v>11191942.18</v>
      </c>
      <c r="AI271" s="102">
        <f t="shared" si="301"/>
        <v>13548399.46</v>
      </c>
      <c r="AJ271" s="102">
        <f t="shared" si="301"/>
        <v>14928329.04</v>
      </c>
      <c r="AK271" s="102">
        <f t="shared" si="301"/>
        <v>15009368.54</v>
      </c>
      <c r="AL271" s="102">
        <f t="shared" si="301"/>
        <v>12070142.63</v>
      </c>
      <c r="AM271" s="102">
        <f t="shared" ref="AM271:AV271" si="302">$D271*AM$107*AM$14</f>
        <v>1493729.995</v>
      </c>
      <c r="AN271" s="102">
        <f t="shared" si="302"/>
        <v>0</v>
      </c>
      <c r="AO271" s="102">
        <f t="shared" si="302"/>
        <v>0</v>
      </c>
      <c r="AP271" s="102">
        <f t="shared" si="302"/>
        <v>0</v>
      </c>
      <c r="AQ271" s="102">
        <f t="shared" si="302"/>
        <v>0</v>
      </c>
      <c r="AR271" s="102">
        <f t="shared" si="302"/>
        <v>0</v>
      </c>
      <c r="AS271" s="102">
        <f t="shared" si="302"/>
        <v>0</v>
      </c>
      <c r="AT271" s="102">
        <f t="shared" si="302"/>
        <v>0</v>
      </c>
      <c r="AU271" s="102">
        <f t="shared" si="302"/>
        <v>0</v>
      </c>
      <c r="AV271" s="102">
        <f t="shared" si="302"/>
        <v>0</v>
      </c>
      <c r="AW271" s="90"/>
      <c r="AX271" s="90"/>
      <c r="AY271" s="90"/>
      <c r="AZ271" s="90"/>
      <c r="BA271" s="90"/>
      <c r="BB271" s="90"/>
      <c r="BC271" s="90"/>
      <c r="BD271" s="90"/>
      <c r="BE271" s="90"/>
      <c r="BF271" s="90"/>
      <c r="BG271" s="90"/>
      <c r="BH271" s="90"/>
      <c r="BI271" s="90"/>
      <c r="BJ271" s="90"/>
      <c r="BK271" s="90"/>
      <c r="BL271" s="90"/>
      <c r="BM271" s="90"/>
      <c r="BN271" s="90"/>
      <c r="BO271" s="90"/>
      <c r="BP271" s="90"/>
    </row>
    <row r="272" ht="12.75" customHeight="1" outlineLevel="1">
      <c r="A272" s="90" t="s">
        <v>295</v>
      </c>
      <c r="C272" s="102">
        <f>'RSGen 1-7'!P$386</f>
        <v>26981.472</v>
      </c>
      <c r="D272" s="102">
        <f>OFFSET(RSGen_Walton!$H$386,0,ROW(A272)-ROW($A$264))</f>
        <v>26981.472</v>
      </c>
      <c r="E272" s="102">
        <f>OFFSET(RSGen_none!$H$386,0,ROW(B272)-ROW($A$264))</f>
        <v>26981.472</v>
      </c>
      <c r="F272" s="102"/>
      <c r="G272" s="102"/>
      <c r="H272" s="313"/>
      <c r="I272" s="313"/>
      <c r="J272" s="313"/>
      <c r="K272" s="306"/>
      <c r="L272" s="306"/>
      <c r="M272" s="306"/>
      <c r="N272" s="306"/>
      <c r="O272" s="306"/>
      <c r="P272" s="306"/>
      <c r="Q272" s="306"/>
      <c r="R272" s="306"/>
      <c r="S272" s="306"/>
      <c r="T272" s="306"/>
      <c r="U272" s="102">
        <f t="shared" ref="U272:AL272" si="303">U$112*($C272*MIN($D$4-3,U15-3)+$D272*MIN($E$4-$D$4,MAX(0,U15-$D$4))+$E272*MAX(0,U15-$E$4))</f>
        <v>63226.18956</v>
      </c>
      <c r="V272" s="102">
        <f t="shared" si="303"/>
        <v>161226.7834</v>
      </c>
      <c r="W272" s="102">
        <f t="shared" si="303"/>
        <v>328902.6381</v>
      </c>
      <c r="X272" s="102">
        <f t="shared" si="303"/>
        <v>603865.2436</v>
      </c>
      <c r="Y272" s="102">
        <f t="shared" si="303"/>
        <v>1060789.945</v>
      </c>
      <c r="Z272" s="102">
        <f t="shared" si="303"/>
        <v>1849880.787</v>
      </c>
      <c r="AA272" s="102">
        <f t="shared" si="303"/>
        <v>3097328.699</v>
      </c>
      <c r="AB272" s="102">
        <f t="shared" si="303"/>
        <v>4793383.173</v>
      </c>
      <c r="AC272" s="102">
        <f t="shared" si="303"/>
        <v>6556040.894</v>
      </c>
      <c r="AD272" s="102">
        <f t="shared" si="303"/>
        <v>9180679.639</v>
      </c>
      <c r="AE272" s="102">
        <f t="shared" si="303"/>
        <v>12447188.12</v>
      </c>
      <c r="AF272" s="102">
        <f t="shared" si="303"/>
        <v>18277713.09</v>
      </c>
      <c r="AG272" s="102">
        <f t="shared" si="303"/>
        <v>26381225.62</v>
      </c>
      <c r="AH272" s="102">
        <f t="shared" si="303"/>
        <v>36805418.12</v>
      </c>
      <c r="AI272" s="102">
        <f t="shared" si="303"/>
        <v>48929122.85</v>
      </c>
      <c r="AJ272" s="102">
        <f t="shared" si="303"/>
        <v>63692953.83</v>
      </c>
      <c r="AK272" s="102">
        <f t="shared" si="303"/>
        <v>80156114.52</v>
      </c>
      <c r="AL272" s="102">
        <f t="shared" si="303"/>
        <v>97030994.63</v>
      </c>
      <c r="AM272" s="102">
        <f t="shared" ref="AM272:AV272" si="304">$C272*AM$107*(4)+$D272*AM$107*(AM$15-7)</f>
        <v>111256476.3</v>
      </c>
      <c r="AN272" s="102">
        <f t="shared" si="304"/>
        <v>115001448.8</v>
      </c>
      <c r="AO272" s="102">
        <f t="shared" si="304"/>
        <v>117301477.8</v>
      </c>
      <c r="AP272" s="102">
        <f t="shared" si="304"/>
        <v>119647507.3</v>
      </c>
      <c r="AQ272" s="102">
        <f t="shared" si="304"/>
        <v>122040457.5</v>
      </c>
      <c r="AR272" s="102">
        <f t="shared" si="304"/>
        <v>124481266.6</v>
      </c>
      <c r="AS272" s="102">
        <f t="shared" si="304"/>
        <v>126970892</v>
      </c>
      <c r="AT272" s="102">
        <f t="shared" si="304"/>
        <v>129510309.8</v>
      </c>
      <c r="AU272" s="102">
        <f t="shared" si="304"/>
        <v>132100516</v>
      </c>
      <c r="AV272" s="102">
        <f t="shared" si="304"/>
        <v>134742526.3</v>
      </c>
      <c r="AW272" s="90"/>
      <c r="AX272" s="90"/>
      <c r="AY272" s="90"/>
      <c r="AZ272" s="90"/>
      <c r="BA272" s="90"/>
      <c r="BB272" s="90"/>
      <c r="BC272" s="90"/>
      <c r="BD272" s="90"/>
      <c r="BE272" s="90"/>
      <c r="BF272" s="90"/>
      <c r="BG272" s="90"/>
      <c r="BH272" s="90"/>
      <c r="BI272" s="90"/>
      <c r="BJ272" s="90"/>
      <c r="BK272" s="90"/>
      <c r="BL272" s="90"/>
      <c r="BM272" s="90"/>
      <c r="BN272" s="90"/>
      <c r="BO272" s="90"/>
      <c r="BP272" s="90"/>
    </row>
    <row r="273" ht="13.5" customHeight="1" outlineLevel="1">
      <c r="A273" s="143" t="str">
        <f>"Total "&amp;A263</f>
        <v>Total Auth Oversight</v>
      </c>
      <c r="B273" s="143"/>
      <c r="C273" s="309"/>
      <c r="D273" s="309"/>
      <c r="E273" s="309"/>
      <c r="F273" s="309"/>
      <c r="G273" s="309"/>
      <c r="H273" s="314"/>
      <c r="I273" s="314"/>
      <c r="J273" s="314"/>
      <c r="K273" s="311"/>
      <c r="L273" s="311"/>
      <c r="M273" s="307">
        <f t="shared" ref="M273:AV273" si="305">SUM(M264:M272)</f>
        <v>0</v>
      </c>
      <c r="N273" s="307">
        <f t="shared" si="305"/>
        <v>43696.54051</v>
      </c>
      <c r="O273" s="307">
        <f t="shared" si="305"/>
        <v>118985.6148</v>
      </c>
      <c r="P273" s="307">
        <f t="shared" si="305"/>
        <v>251084.3257</v>
      </c>
      <c r="Q273" s="307">
        <f t="shared" si="305"/>
        <v>468327.8287</v>
      </c>
      <c r="R273" s="307">
        <f t="shared" si="305"/>
        <v>829050.0646</v>
      </c>
      <c r="S273" s="307">
        <f t="shared" si="305"/>
        <v>1448688.171</v>
      </c>
      <c r="T273" s="309">
        <f t="shared" si="305"/>
        <v>2437665.264</v>
      </c>
      <c r="U273" s="309">
        <f t="shared" si="305"/>
        <v>3814969.802</v>
      </c>
      <c r="V273" s="309">
        <f t="shared" si="305"/>
        <v>5324556.942</v>
      </c>
      <c r="W273" s="309">
        <f t="shared" si="305"/>
        <v>7469377.738</v>
      </c>
      <c r="X273" s="309">
        <f t="shared" si="305"/>
        <v>10164213.73</v>
      </c>
      <c r="Y273" s="309">
        <f t="shared" si="305"/>
        <v>14765758.02</v>
      </c>
      <c r="Z273" s="309">
        <f t="shared" si="305"/>
        <v>21289820.77</v>
      </c>
      <c r="AA273" s="309">
        <f t="shared" si="305"/>
        <v>29869194.32</v>
      </c>
      <c r="AB273" s="309">
        <f t="shared" si="305"/>
        <v>40064992.56</v>
      </c>
      <c r="AC273" s="309">
        <f t="shared" si="305"/>
        <v>52449966.17</v>
      </c>
      <c r="AD273" s="309">
        <f t="shared" si="305"/>
        <v>66436880.44</v>
      </c>
      <c r="AE273" s="309">
        <f t="shared" si="305"/>
        <v>81084872.86</v>
      </c>
      <c r="AF273" s="309">
        <f t="shared" si="305"/>
        <v>94055263.91</v>
      </c>
      <c r="AG273" s="309">
        <f t="shared" si="305"/>
        <v>99479635</v>
      </c>
      <c r="AH273" s="309">
        <f t="shared" si="305"/>
        <v>102444295.7</v>
      </c>
      <c r="AI273" s="309">
        <f t="shared" si="305"/>
        <v>104498556.5</v>
      </c>
      <c r="AJ273" s="309">
        <f t="shared" si="305"/>
        <v>106451390</v>
      </c>
      <c r="AK273" s="309">
        <f t="shared" si="305"/>
        <v>108471108.8</v>
      </c>
      <c r="AL273" s="309">
        <f t="shared" si="305"/>
        <v>110569145</v>
      </c>
      <c r="AM273" s="309">
        <f t="shared" si="305"/>
        <v>112750206.3</v>
      </c>
      <c r="AN273" s="309">
        <f t="shared" si="305"/>
        <v>115001448.8</v>
      </c>
      <c r="AO273" s="309">
        <f t="shared" si="305"/>
        <v>117301477.8</v>
      </c>
      <c r="AP273" s="309" t="str">
        <f t="shared" si="305"/>
        <v>#REF!</v>
      </c>
      <c r="AQ273" s="309" t="str">
        <f t="shared" si="305"/>
        <v>#REF!</v>
      </c>
      <c r="AR273" s="309" t="str">
        <f t="shared" si="305"/>
        <v>#REF!</v>
      </c>
      <c r="AS273" s="309" t="str">
        <f t="shared" si="305"/>
        <v>#REF!</v>
      </c>
      <c r="AT273" s="309" t="str">
        <f t="shared" si="305"/>
        <v>#REF!</v>
      </c>
      <c r="AU273" s="309" t="str">
        <f t="shared" si="305"/>
        <v>#REF!</v>
      </c>
      <c r="AV273" s="309" t="str">
        <f t="shared" si="305"/>
        <v>#REF!</v>
      </c>
      <c r="AW273" s="90"/>
      <c r="AX273" s="90"/>
      <c r="AY273" s="90"/>
      <c r="AZ273" s="90"/>
      <c r="BA273" s="90"/>
      <c r="BB273" s="90"/>
      <c r="BC273" s="90"/>
      <c r="BD273" s="90"/>
      <c r="BE273" s="90"/>
      <c r="BF273" s="90"/>
      <c r="BG273" s="90"/>
      <c r="BH273" s="90"/>
      <c r="BI273" s="90"/>
      <c r="BJ273" s="90"/>
      <c r="BK273" s="90"/>
      <c r="BL273" s="90"/>
      <c r="BM273" s="90"/>
      <c r="BN273" s="90"/>
      <c r="BO273" s="90"/>
      <c r="BP273" s="90"/>
    </row>
    <row r="274" ht="13.5" customHeight="1" outlineLevel="1">
      <c r="A274" s="90"/>
      <c r="C274" s="102"/>
      <c r="D274" s="102"/>
      <c r="E274" s="102"/>
      <c r="F274" s="102"/>
      <c r="G274" s="102"/>
      <c r="K274" s="102"/>
      <c r="L274" s="102"/>
      <c r="M274" s="102"/>
      <c r="N274" s="102"/>
      <c r="O274" s="102"/>
      <c r="P274" s="102"/>
      <c r="Q274" s="102"/>
      <c r="R274" s="102"/>
      <c r="S274" s="102"/>
      <c r="T274" s="102"/>
      <c r="U274" s="102"/>
      <c r="V274" s="102"/>
      <c r="W274" s="102"/>
      <c r="X274" s="102"/>
      <c r="Y274" s="102"/>
      <c r="Z274" s="102"/>
      <c r="AA274" s="102"/>
      <c r="AB274" s="102"/>
      <c r="AC274" s="102"/>
      <c r="AD274" s="102"/>
      <c r="AE274" s="102"/>
      <c r="AF274" s="102"/>
      <c r="AG274" s="102"/>
      <c r="AH274" s="102"/>
      <c r="AI274" s="102"/>
      <c r="AJ274" s="102"/>
      <c r="AK274" s="102"/>
      <c r="AL274" s="102"/>
      <c r="AM274" s="102"/>
      <c r="AN274" s="102"/>
      <c r="AO274" s="102"/>
      <c r="AP274" s="102"/>
      <c r="AQ274" s="102"/>
      <c r="AR274" s="102"/>
      <c r="AS274" s="102"/>
      <c r="AT274" s="102"/>
      <c r="AU274" s="102"/>
      <c r="AV274" s="102"/>
      <c r="AW274" s="90"/>
      <c r="AX274" s="90"/>
      <c r="AY274" s="90"/>
      <c r="AZ274" s="90"/>
      <c r="BA274" s="90"/>
      <c r="BB274" s="90"/>
      <c r="BC274" s="90"/>
      <c r="BD274" s="90"/>
      <c r="BE274" s="90"/>
      <c r="BF274" s="90"/>
      <c r="BG274" s="90"/>
      <c r="BH274" s="90"/>
      <c r="BI274" s="90"/>
      <c r="BJ274" s="90"/>
      <c r="BK274" s="90"/>
      <c r="BL274" s="90"/>
      <c r="BM274" s="90"/>
      <c r="BN274" s="90"/>
      <c r="BO274" s="90"/>
      <c r="BP274" s="90"/>
    </row>
    <row r="275" ht="12.75" customHeight="1" outlineLevel="1">
      <c r="A275" s="90" t="s">
        <v>608</v>
      </c>
      <c r="C275" s="102"/>
      <c r="D275" s="102"/>
      <c r="E275" s="102"/>
      <c r="F275" s="102"/>
      <c r="G275" s="102"/>
      <c r="K275" s="102"/>
      <c r="L275" s="102"/>
      <c r="M275" s="102"/>
      <c r="N275" s="102"/>
      <c r="O275" s="102"/>
      <c r="P275" s="102"/>
      <c r="Q275" s="102"/>
      <c r="R275" s="102"/>
      <c r="S275" s="102"/>
      <c r="T275" s="102"/>
      <c r="U275" s="102"/>
      <c r="V275" s="102"/>
      <c r="W275" s="102"/>
      <c r="X275" s="102"/>
      <c r="Y275" s="102"/>
      <c r="Z275" s="102"/>
      <c r="AA275" s="102"/>
      <c r="AB275" s="102"/>
      <c r="AC275" s="102"/>
      <c r="AD275" s="102"/>
      <c r="AE275" s="102"/>
      <c r="AF275" s="102"/>
      <c r="AG275" s="102"/>
      <c r="AH275" s="102"/>
      <c r="AI275" s="102"/>
      <c r="AJ275" s="102"/>
      <c r="AK275" s="102"/>
      <c r="AL275" s="102"/>
      <c r="AM275" s="102"/>
      <c r="AN275" s="102"/>
      <c r="AO275" s="102"/>
      <c r="AP275" s="102"/>
      <c r="AQ275" s="102"/>
      <c r="AR275" s="102"/>
      <c r="AS275" s="102"/>
      <c r="AT275" s="102"/>
      <c r="AU275" s="102"/>
      <c r="AV275" s="102"/>
      <c r="AW275" s="90"/>
      <c r="AX275" s="90"/>
      <c r="AY275" s="90"/>
      <c r="AZ275" s="90"/>
      <c r="BA275" s="90"/>
      <c r="BB275" s="90"/>
      <c r="BC275" s="90"/>
      <c r="BD275" s="90"/>
      <c r="BE275" s="90"/>
      <c r="BF275" s="90"/>
      <c r="BG275" s="90"/>
      <c r="BH275" s="90"/>
      <c r="BI275" s="90"/>
      <c r="BJ275" s="90"/>
      <c r="BK275" s="90"/>
      <c r="BL275" s="90"/>
      <c r="BM275" s="90"/>
      <c r="BN275" s="90"/>
      <c r="BO275" s="90"/>
      <c r="BP275" s="90"/>
    </row>
    <row r="276" ht="12.75" customHeight="1" outlineLevel="1">
      <c r="A276" s="90" t="s">
        <v>287</v>
      </c>
      <c r="C276" s="102" t="str">
        <f>'RSGen 1-7'!H$387</f>
        <v/>
      </c>
      <c r="D276" s="102" t="str">
        <f>OFFSET(RSGen_Walton!$G$387,0,ROW(C276)-ROW($C$276))</f>
        <v/>
      </c>
      <c r="E276" s="102" t="str">
        <f>OFFSET(RSGen_none!$G$387,0,ROW(D276)-ROW($C$276))</f>
        <v/>
      </c>
      <c r="F276" s="102"/>
      <c r="G276" s="102"/>
      <c r="H276" s="313"/>
      <c r="I276" s="313"/>
      <c r="J276" s="313"/>
      <c r="K276" s="306"/>
      <c r="L276" s="306"/>
      <c r="M276" s="102">
        <f t="shared" ref="M276:AL276" si="306">M$112*(MAX(0,MIN(M7,SUM(M7:M$15)-$E$4))*$E276+MAX(0,MIN(M7,$D$4-SUM(M8:M$15)))*$C276+(M7-(MAX(0,MIN(M7,SUM(M7:M$15)-$E$4))+MAX(0,MIN(M7,$D$4-SUM(M8:M$15)))))*$D276)</f>
        <v>0</v>
      </c>
      <c r="N276" s="102">
        <f t="shared" si="306"/>
        <v>0</v>
      </c>
      <c r="O276" s="102">
        <f t="shared" si="306"/>
        <v>0</v>
      </c>
      <c r="P276" s="102">
        <f t="shared" si="306"/>
        <v>0</v>
      </c>
      <c r="Q276" s="102">
        <f t="shared" si="306"/>
        <v>0</v>
      </c>
      <c r="R276" s="102">
        <f t="shared" si="306"/>
        <v>0</v>
      </c>
      <c r="S276" s="102">
        <f t="shared" si="306"/>
        <v>0</v>
      </c>
      <c r="T276" s="102">
        <f t="shared" si="306"/>
        <v>0</v>
      </c>
      <c r="U276" s="102">
        <f t="shared" si="306"/>
        <v>0</v>
      </c>
      <c r="V276" s="102">
        <f t="shared" si="306"/>
        <v>0</v>
      </c>
      <c r="W276" s="102">
        <f t="shared" si="306"/>
        <v>0</v>
      </c>
      <c r="X276" s="102">
        <f t="shared" si="306"/>
        <v>0</v>
      </c>
      <c r="Y276" s="102">
        <f t="shared" si="306"/>
        <v>0</v>
      </c>
      <c r="Z276" s="102">
        <f t="shared" si="306"/>
        <v>0</v>
      </c>
      <c r="AA276" s="102">
        <f t="shared" si="306"/>
        <v>0</v>
      </c>
      <c r="AB276" s="102">
        <f t="shared" si="306"/>
        <v>0</v>
      </c>
      <c r="AC276" s="102">
        <f t="shared" si="306"/>
        <v>0</v>
      </c>
      <c r="AD276" s="102">
        <f t="shared" si="306"/>
        <v>0</v>
      </c>
      <c r="AE276" s="102">
        <f t="shared" si="306"/>
        <v>0</v>
      </c>
      <c r="AF276" s="102">
        <f t="shared" si="306"/>
        <v>0</v>
      </c>
      <c r="AG276" s="102">
        <f t="shared" si="306"/>
        <v>0</v>
      </c>
      <c r="AH276" s="102">
        <f t="shared" si="306"/>
        <v>0</v>
      </c>
      <c r="AI276" s="102">
        <f t="shared" si="306"/>
        <v>0</v>
      </c>
      <c r="AJ276" s="102">
        <f t="shared" si="306"/>
        <v>0</v>
      </c>
      <c r="AK276" s="102">
        <f t="shared" si="306"/>
        <v>0</v>
      </c>
      <c r="AL276" s="102">
        <f t="shared" si="306"/>
        <v>0</v>
      </c>
      <c r="AM276" s="102">
        <f t="shared" ref="AM276:AV276" si="307">$D276*AM$107*AM$7</f>
        <v>0</v>
      </c>
      <c r="AN276" s="102">
        <f t="shared" si="307"/>
        <v>0</v>
      </c>
      <c r="AO276" s="102">
        <f t="shared" si="307"/>
        <v>0</v>
      </c>
      <c r="AP276" s="102" t="str">
        <f t="shared" si="307"/>
        <v>#REF!</v>
      </c>
      <c r="AQ276" s="102" t="str">
        <f t="shared" si="307"/>
        <v>#REF!</v>
      </c>
      <c r="AR276" s="102" t="str">
        <f t="shared" si="307"/>
        <v>#REF!</v>
      </c>
      <c r="AS276" s="102" t="str">
        <f t="shared" si="307"/>
        <v>#REF!</v>
      </c>
      <c r="AT276" s="102" t="str">
        <f t="shared" si="307"/>
        <v>#REF!</v>
      </c>
      <c r="AU276" s="102">
        <f t="shared" si="307"/>
        <v>0</v>
      </c>
      <c r="AV276" s="102">
        <f t="shared" si="307"/>
        <v>0</v>
      </c>
      <c r="AW276" s="90"/>
      <c r="AX276" s="90"/>
      <c r="AY276" s="90"/>
      <c r="AZ276" s="90"/>
      <c r="BA276" s="90"/>
      <c r="BB276" s="90"/>
      <c r="BC276" s="90"/>
      <c r="BD276" s="90"/>
      <c r="BE276" s="90"/>
      <c r="BF276" s="90"/>
      <c r="BG276" s="90"/>
      <c r="BH276" s="90"/>
      <c r="BI276" s="90"/>
      <c r="BJ276" s="90"/>
      <c r="BK276" s="90"/>
      <c r="BL276" s="90"/>
      <c r="BM276" s="90"/>
      <c r="BN276" s="90"/>
      <c r="BO276" s="90"/>
      <c r="BP276" s="90"/>
    </row>
    <row r="277" ht="12.75" customHeight="1" outlineLevel="1">
      <c r="A277" s="90" t="s">
        <v>288</v>
      </c>
      <c r="C277" s="102" t="str">
        <f>'RSGen 1-7'!I$387</f>
        <v/>
      </c>
      <c r="D277" s="102" t="str">
        <f>OFFSET(RSGen_Walton!$G$387,0,ROW(C277)-ROW($C$276))</f>
        <v/>
      </c>
      <c r="E277" s="102" t="str">
        <f>OFFSET(RSGen_none!$G$387,0,ROW(D277)-ROW($C$276))</f>
        <v/>
      </c>
      <c r="F277" s="102"/>
      <c r="G277" s="102"/>
      <c r="H277" s="313"/>
      <c r="I277" s="313"/>
      <c r="J277" s="313"/>
      <c r="K277" s="306"/>
      <c r="L277" s="306"/>
      <c r="M277" s="306"/>
      <c r="N277" s="102">
        <f t="shared" ref="N277:AL277" si="308">N$112*(MAX(0,MIN(N8,SUM(N8:N$15)-$E$4))*$E277+MAX(0,MIN(N8,$D$4-SUM(N9:N$15)))*$C277+(N8-(MAX(0,MIN(N8,SUM(N8:N$15)-$E$4))+MAX(0,MIN(N8,$D$4-SUM(N9:N$15)))))*$D277)</f>
        <v>0</v>
      </c>
      <c r="O277" s="102">
        <f t="shared" si="308"/>
        <v>0</v>
      </c>
      <c r="P277" s="102">
        <f t="shared" si="308"/>
        <v>0</v>
      </c>
      <c r="Q277" s="102">
        <f t="shared" si="308"/>
        <v>0</v>
      </c>
      <c r="R277" s="102">
        <f t="shared" si="308"/>
        <v>0</v>
      </c>
      <c r="S277" s="102">
        <f t="shared" si="308"/>
        <v>0</v>
      </c>
      <c r="T277" s="102">
        <f t="shared" si="308"/>
        <v>0</v>
      </c>
      <c r="U277" s="102">
        <f t="shared" si="308"/>
        <v>0</v>
      </c>
      <c r="V277" s="102">
        <f t="shared" si="308"/>
        <v>0</v>
      </c>
      <c r="W277" s="102">
        <f t="shared" si="308"/>
        <v>0</v>
      </c>
      <c r="X277" s="102">
        <f t="shared" si="308"/>
        <v>0</v>
      </c>
      <c r="Y277" s="102">
        <f t="shared" si="308"/>
        <v>0</v>
      </c>
      <c r="Z277" s="102">
        <f t="shared" si="308"/>
        <v>0</v>
      </c>
      <c r="AA277" s="102">
        <f t="shared" si="308"/>
        <v>0</v>
      </c>
      <c r="AB277" s="102">
        <f t="shared" si="308"/>
        <v>0</v>
      </c>
      <c r="AC277" s="102">
        <f t="shared" si="308"/>
        <v>0</v>
      </c>
      <c r="AD277" s="102">
        <f t="shared" si="308"/>
        <v>0</v>
      </c>
      <c r="AE277" s="102">
        <f t="shared" si="308"/>
        <v>0</v>
      </c>
      <c r="AF277" s="102">
        <f t="shared" si="308"/>
        <v>0</v>
      </c>
      <c r="AG277" s="102">
        <f t="shared" si="308"/>
        <v>0</v>
      </c>
      <c r="AH277" s="102">
        <f t="shared" si="308"/>
        <v>0</v>
      </c>
      <c r="AI277" s="102">
        <f t="shared" si="308"/>
        <v>0</v>
      </c>
      <c r="AJ277" s="102">
        <f t="shared" si="308"/>
        <v>0</v>
      </c>
      <c r="AK277" s="102">
        <f t="shared" si="308"/>
        <v>0</v>
      </c>
      <c r="AL277" s="102">
        <f t="shared" si="308"/>
        <v>0</v>
      </c>
      <c r="AM277" s="102">
        <f t="shared" ref="AM277:AV277" si="309">$D277*AM$107*AM$8</f>
        <v>0</v>
      </c>
      <c r="AN277" s="102">
        <f t="shared" si="309"/>
        <v>0</v>
      </c>
      <c r="AO277" s="102">
        <f t="shared" si="309"/>
        <v>0</v>
      </c>
      <c r="AP277" s="102">
        <f t="shared" si="309"/>
        <v>0</v>
      </c>
      <c r="AQ277" s="102" t="str">
        <f t="shared" si="309"/>
        <v>#REF!</v>
      </c>
      <c r="AR277" s="102" t="str">
        <f t="shared" si="309"/>
        <v>#REF!</v>
      </c>
      <c r="AS277" s="102" t="str">
        <f t="shared" si="309"/>
        <v>#REF!</v>
      </c>
      <c r="AT277" s="102" t="str">
        <f t="shared" si="309"/>
        <v>#REF!</v>
      </c>
      <c r="AU277" s="102" t="str">
        <f t="shared" si="309"/>
        <v>#REF!</v>
      </c>
      <c r="AV277" s="102">
        <f t="shared" si="309"/>
        <v>0</v>
      </c>
      <c r="AW277" s="90"/>
      <c r="AX277" s="90"/>
      <c r="AY277" s="90"/>
      <c r="AZ277" s="90"/>
      <c r="BA277" s="90"/>
      <c r="BB277" s="90"/>
      <c r="BC277" s="90"/>
      <c r="BD277" s="90"/>
      <c r="BE277" s="90"/>
      <c r="BF277" s="90"/>
      <c r="BG277" s="90"/>
      <c r="BH277" s="90"/>
      <c r="BI277" s="90"/>
      <c r="BJ277" s="90"/>
      <c r="BK277" s="90"/>
      <c r="BL277" s="90"/>
      <c r="BM277" s="90"/>
      <c r="BN277" s="90"/>
      <c r="BO277" s="90"/>
      <c r="BP277" s="90"/>
    </row>
    <row r="278" ht="12.75" customHeight="1" outlineLevel="1">
      <c r="A278" s="90" t="s">
        <v>289</v>
      </c>
      <c r="C278" s="102" t="str">
        <f>'RSGen 1-7'!J$387</f>
        <v/>
      </c>
      <c r="D278" s="102" t="str">
        <f>OFFSET(RSGen_Walton!$G$387,0,ROW(C278)-ROW($C$276))</f>
        <v/>
      </c>
      <c r="E278" s="102" t="str">
        <f>OFFSET(RSGen_none!$G$387,0,ROW(D278)-ROW($C$276))</f>
        <v/>
      </c>
      <c r="F278" s="102"/>
      <c r="G278" s="102"/>
      <c r="H278" s="313"/>
      <c r="I278" s="313"/>
      <c r="J278" s="313"/>
      <c r="K278" s="306"/>
      <c r="L278" s="306"/>
      <c r="M278" s="306"/>
      <c r="N278" s="306"/>
      <c r="O278" s="102">
        <f t="shared" ref="O278:AL278" si="310">O$112*(MAX(0,MIN(O9,SUM(O9:O$15)-$E$4))*$E278+MAX(0,MIN(O9,$D$4-SUM(O10:O$15)))*$C278+(O9-(MAX(0,MIN(O9,SUM(O9:O$15)-$E$4))+MAX(0,MIN(O9,$D$4-SUM(O10:O$15)))))*$D278)</f>
        <v>0</v>
      </c>
      <c r="P278" s="102">
        <f t="shared" si="310"/>
        <v>0</v>
      </c>
      <c r="Q278" s="102">
        <f t="shared" si="310"/>
        <v>0</v>
      </c>
      <c r="R278" s="102">
        <f t="shared" si="310"/>
        <v>0</v>
      </c>
      <c r="S278" s="102">
        <f t="shared" si="310"/>
        <v>0</v>
      </c>
      <c r="T278" s="102">
        <f t="shared" si="310"/>
        <v>0</v>
      </c>
      <c r="U278" s="102">
        <f t="shared" si="310"/>
        <v>0</v>
      </c>
      <c r="V278" s="102">
        <f t="shared" si="310"/>
        <v>0</v>
      </c>
      <c r="W278" s="102">
        <f t="shared" si="310"/>
        <v>0</v>
      </c>
      <c r="X278" s="102">
        <f t="shared" si="310"/>
        <v>0</v>
      </c>
      <c r="Y278" s="102">
        <f t="shared" si="310"/>
        <v>0</v>
      </c>
      <c r="Z278" s="102">
        <f t="shared" si="310"/>
        <v>0</v>
      </c>
      <c r="AA278" s="102">
        <f t="shared" si="310"/>
        <v>0</v>
      </c>
      <c r="AB278" s="102">
        <f t="shared" si="310"/>
        <v>0</v>
      </c>
      <c r="AC278" s="102">
        <f t="shared" si="310"/>
        <v>0</v>
      </c>
      <c r="AD278" s="102">
        <f t="shared" si="310"/>
        <v>0</v>
      </c>
      <c r="AE278" s="102">
        <f t="shared" si="310"/>
        <v>0</v>
      </c>
      <c r="AF278" s="102">
        <f t="shared" si="310"/>
        <v>0</v>
      </c>
      <c r="AG278" s="102">
        <f t="shared" si="310"/>
        <v>0</v>
      </c>
      <c r="AH278" s="102">
        <f t="shared" si="310"/>
        <v>0</v>
      </c>
      <c r="AI278" s="102">
        <f t="shared" si="310"/>
        <v>0</v>
      </c>
      <c r="AJ278" s="102">
        <f t="shared" si="310"/>
        <v>0</v>
      </c>
      <c r="AK278" s="102">
        <f t="shared" si="310"/>
        <v>0</v>
      </c>
      <c r="AL278" s="102">
        <f t="shared" si="310"/>
        <v>0</v>
      </c>
      <c r="AM278" s="102">
        <f t="shared" ref="AM278:AV278" si="311">$D278*AM$107*AM$9</f>
        <v>0</v>
      </c>
      <c r="AN278" s="102">
        <f t="shared" si="311"/>
        <v>0</v>
      </c>
      <c r="AO278" s="102">
        <f t="shared" si="311"/>
        <v>0</v>
      </c>
      <c r="AP278" s="102">
        <f t="shared" si="311"/>
        <v>0</v>
      </c>
      <c r="AQ278" s="102">
        <f t="shared" si="311"/>
        <v>0</v>
      </c>
      <c r="AR278" s="102" t="str">
        <f t="shared" si="311"/>
        <v>#REF!</v>
      </c>
      <c r="AS278" s="102" t="str">
        <f t="shared" si="311"/>
        <v>#REF!</v>
      </c>
      <c r="AT278" s="102" t="str">
        <f t="shared" si="311"/>
        <v>#REF!</v>
      </c>
      <c r="AU278" s="102" t="str">
        <f t="shared" si="311"/>
        <v>#REF!</v>
      </c>
      <c r="AV278" s="102" t="str">
        <f t="shared" si="311"/>
        <v>#REF!</v>
      </c>
      <c r="AW278" s="90"/>
      <c r="AX278" s="90"/>
      <c r="AY278" s="90"/>
      <c r="AZ278" s="90"/>
      <c r="BA278" s="90"/>
      <c r="BB278" s="90"/>
      <c r="BC278" s="90"/>
      <c r="BD278" s="90"/>
      <c r="BE278" s="90"/>
      <c r="BF278" s="90"/>
      <c r="BG278" s="90"/>
      <c r="BH278" s="90"/>
      <c r="BI278" s="90"/>
      <c r="BJ278" s="90"/>
      <c r="BK278" s="90"/>
      <c r="BL278" s="90"/>
      <c r="BM278" s="90"/>
      <c r="BN278" s="90"/>
      <c r="BO278" s="90"/>
      <c r="BP278" s="90"/>
    </row>
    <row r="279" ht="12.75" customHeight="1" outlineLevel="1">
      <c r="A279" s="90" t="s">
        <v>290</v>
      </c>
      <c r="C279" s="102" t="str">
        <f>'RSGen 1-7'!K$387</f>
        <v/>
      </c>
      <c r="D279" s="102" t="str">
        <f>OFFSET(RSGen_Walton!$G$387,0,ROW(C279)-ROW($C$276))</f>
        <v/>
      </c>
      <c r="E279" s="102" t="str">
        <f>OFFSET(RSGen_none!$G$387,0,ROW(D279)-ROW($C$276))</f>
        <v/>
      </c>
      <c r="F279" s="102"/>
      <c r="G279" s="102"/>
      <c r="H279" s="313"/>
      <c r="I279" s="313"/>
      <c r="J279" s="313"/>
      <c r="K279" s="306"/>
      <c r="L279" s="306"/>
      <c r="M279" s="306"/>
      <c r="N279" s="306"/>
      <c r="O279" s="306"/>
      <c r="P279" s="102">
        <f t="shared" ref="P279:AL279" si="312">P$112*(MAX(0,MIN(P10,SUM(P10:P$15)-$E$4))*$E279+MAX(0,MIN(P10,$D$4-SUM(P11:P$15)))*$C279+(P10-(MAX(0,MIN(P10,SUM(P10:P$15)-$E$4))+MAX(0,MIN(P10,$D$4-SUM(P11:P$15)))))*$D279)</f>
        <v>0</v>
      </c>
      <c r="Q279" s="102">
        <f t="shared" si="312"/>
        <v>0</v>
      </c>
      <c r="R279" s="102">
        <f t="shared" si="312"/>
        <v>0</v>
      </c>
      <c r="S279" s="102">
        <f t="shared" si="312"/>
        <v>0</v>
      </c>
      <c r="T279" s="102">
        <f t="shared" si="312"/>
        <v>0</v>
      </c>
      <c r="U279" s="102">
        <f t="shared" si="312"/>
        <v>0</v>
      </c>
      <c r="V279" s="102">
        <f t="shared" si="312"/>
        <v>0</v>
      </c>
      <c r="W279" s="102">
        <f t="shared" si="312"/>
        <v>0</v>
      </c>
      <c r="X279" s="102">
        <f t="shared" si="312"/>
        <v>0</v>
      </c>
      <c r="Y279" s="102">
        <f t="shared" si="312"/>
        <v>0</v>
      </c>
      <c r="Z279" s="102">
        <f t="shared" si="312"/>
        <v>0</v>
      </c>
      <c r="AA279" s="102">
        <f t="shared" si="312"/>
        <v>0</v>
      </c>
      <c r="AB279" s="102">
        <f t="shared" si="312"/>
        <v>0</v>
      </c>
      <c r="AC279" s="102">
        <f t="shared" si="312"/>
        <v>0</v>
      </c>
      <c r="AD279" s="102">
        <f t="shared" si="312"/>
        <v>0</v>
      </c>
      <c r="AE279" s="102">
        <f t="shared" si="312"/>
        <v>0</v>
      </c>
      <c r="AF279" s="102">
        <f t="shared" si="312"/>
        <v>0</v>
      </c>
      <c r="AG279" s="102">
        <f t="shared" si="312"/>
        <v>0</v>
      </c>
      <c r="AH279" s="102">
        <f t="shared" si="312"/>
        <v>0</v>
      </c>
      <c r="AI279" s="102">
        <f t="shared" si="312"/>
        <v>0</v>
      </c>
      <c r="AJ279" s="102">
        <f t="shared" si="312"/>
        <v>0</v>
      </c>
      <c r="AK279" s="102">
        <f t="shared" si="312"/>
        <v>0</v>
      </c>
      <c r="AL279" s="102">
        <f t="shared" si="312"/>
        <v>0</v>
      </c>
      <c r="AM279" s="102">
        <f t="shared" ref="AM279:AV279" si="313">$D279*AM$107*AM$10</f>
        <v>0</v>
      </c>
      <c r="AN279" s="102">
        <f t="shared" si="313"/>
        <v>0</v>
      </c>
      <c r="AO279" s="102">
        <f t="shared" si="313"/>
        <v>0</v>
      </c>
      <c r="AP279" s="102">
        <f t="shared" si="313"/>
        <v>0</v>
      </c>
      <c r="AQ279" s="102">
        <f t="shared" si="313"/>
        <v>0</v>
      </c>
      <c r="AR279" s="102">
        <f t="shared" si="313"/>
        <v>0</v>
      </c>
      <c r="AS279" s="102" t="str">
        <f t="shared" si="313"/>
        <v>#REF!</v>
      </c>
      <c r="AT279" s="102" t="str">
        <f t="shared" si="313"/>
        <v>#REF!</v>
      </c>
      <c r="AU279" s="102" t="str">
        <f t="shared" si="313"/>
        <v>#REF!</v>
      </c>
      <c r="AV279" s="102" t="str">
        <f t="shared" si="313"/>
        <v>#REF!</v>
      </c>
      <c r="AW279" s="90"/>
      <c r="AX279" s="90"/>
      <c r="AY279" s="90"/>
      <c r="AZ279" s="90"/>
      <c r="BA279" s="90"/>
      <c r="BB279" s="90"/>
      <c r="BC279" s="90"/>
      <c r="BD279" s="90"/>
      <c r="BE279" s="90"/>
      <c r="BF279" s="90"/>
      <c r="BG279" s="90"/>
      <c r="BH279" s="90"/>
      <c r="BI279" s="90"/>
      <c r="BJ279" s="90"/>
      <c r="BK279" s="90"/>
      <c r="BL279" s="90"/>
      <c r="BM279" s="90"/>
      <c r="BN279" s="90"/>
      <c r="BO279" s="90"/>
      <c r="BP279" s="90"/>
    </row>
    <row r="280" ht="12.75" customHeight="1" outlineLevel="1">
      <c r="A280" s="90" t="s">
        <v>291</v>
      </c>
      <c r="C280" s="102" t="str">
        <f>'RSGen 1-7'!L$387</f>
        <v/>
      </c>
      <c r="D280" s="102" t="str">
        <f>OFFSET(RSGen_Walton!$G$387,0,ROW(C280)-ROW($C$276))</f>
        <v/>
      </c>
      <c r="E280" s="102" t="str">
        <f>OFFSET(RSGen_none!$G$387,0,ROW(D280)-ROW($C$276))</f>
        <v/>
      </c>
      <c r="F280" s="102"/>
      <c r="G280" s="102"/>
      <c r="H280" s="313"/>
      <c r="I280" s="313"/>
      <c r="J280" s="313"/>
      <c r="K280" s="306"/>
      <c r="L280" s="306"/>
      <c r="M280" s="306"/>
      <c r="N280" s="306"/>
      <c r="O280" s="306"/>
      <c r="P280" s="306"/>
      <c r="Q280" s="102">
        <f t="shared" ref="Q280:AL280" si="314">Q$112*(MAX(0,MIN(Q11,SUM(Q11:Q$15)-$E$4))*$E280+MAX(0,MIN(Q11,$D$4-SUM(Q12:Q$15)))*$C280+(Q11-(MAX(0,MIN(Q11,SUM(Q11:Q$15)-$E$4))+MAX(0,MIN(Q11,$D$4-SUM(Q12:Q$15)))))*$D280)</f>
        <v>0</v>
      </c>
      <c r="R280" s="102">
        <f t="shared" si="314"/>
        <v>0</v>
      </c>
      <c r="S280" s="102">
        <f t="shared" si="314"/>
        <v>0</v>
      </c>
      <c r="T280" s="102">
        <f t="shared" si="314"/>
        <v>0</v>
      </c>
      <c r="U280" s="102">
        <f t="shared" si="314"/>
        <v>0</v>
      </c>
      <c r="V280" s="102">
        <f t="shared" si="314"/>
        <v>0</v>
      </c>
      <c r="W280" s="102">
        <f t="shared" si="314"/>
        <v>0</v>
      </c>
      <c r="X280" s="102">
        <f t="shared" si="314"/>
        <v>0</v>
      </c>
      <c r="Y280" s="102">
        <f t="shared" si="314"/>
        <v>0</v>
      </c>
      <c r="Z280" s="102">
        <f t="shared" si="314"/>
        <v>0</v>
      </c>
      <c r="AA280" s="102">
        <f t="shared" si="314"/>
        <v>0</v>
      </c>
      <c r="AB280" s="102">
        <f t="shared" si="314"/>
        <v>0</v>
      </c>
      <c r="AC280" s="102">
        <f t="shared" si="314"/>
        <v>0</v>
      </c>
      <c r="AD280" s="102">
        <f t="shared" si="314"/>
        <v>0</v>
      </c>
      <c r="AE280" s="102">
        <f t="shared" si="314"/>
        <v>0</v>
      </c>
      <c r="AF280" s="102">
        <f t="shared" si="314"/>
        <v>0</v>
      </c>
      <c r="AG280" s="102">
        <f t="shared" si="314"/>
        <v>0</v>
      </c>
      <c r="AH280" s="102">
        <f t="shared" si="314"/>
        <v>0</v>
      </c>
      <c r="AI280" s="102">
        <f t="shared" si="314"/>
        <v>0</v>
      </c>
      <c r="AJ280" s="102">
        <f t="shared" si="314"/>
        <v>0</v>
      </c>
      <c r="AK280" s="102">
        <f t="shared" si="314"/>
        <v>0</v>
      </c>
      <c r="AL280" s="102">
        <f t="shared" si="314"/>
        <v>0</v>
      </c>
      <c r="AM280" s="102">
        <f t="shared" ref="AM280:AV280" si="315">$D280*AM$107*AM$11</f>
        <v>0</v>
      </c>
      <c r="AN280" s="102">
        <f t="shared" si="315"/>
        <v>0</v>
      </c>
      <c r="AO280" s="102">
        <f t="shared" si="315"/>
        <v>0</v>
      </c>
      <c r="AP280" s="102">
        <f t="shared" si="315"/>
        <v>0</v>
      </c>
      <c r="AQ280" s="102">
        <f t="shared" si="315"/>
        <v>0</v>
      </c>
      <c r="AR280" s="102">
        <f t="shared" si="315"/>
        <v>0</v>
      </c>
      <c r="AS280" s="102">
        <f t="shared" si="315"/>
        <v>0</v>
      </c>
      <c r="AT280" s="102" t="str">
        <f t="shared" si="315"/>
        <v>#REF!</v>
      </c>
      <c r="AU280" s="102" t="str">
        <f t="shared" si="315"/>
        <v>#REF!</v>
      </c>
      <c r="AV280" s="102" t="str">
        <f t="shared" si="315"/>
        <v>#REF!</v>
      </c>
      <c r="AW280" s="90"/>
      <c r="AX280" s="90"/>
      <c r="AY280" s="90"/>
      <c r="AZ280" s="90"/>
      <c r="BA280" s="90"/>
      <c r="BB280" s="90"/>
      <c r="BC280" s="90"/>
      <c r="BD280" s="90"/>
      <c r="BE280" s="90"/>
      <c r="BF280" s="90"/>
      <c r="BG280" s="90"/>
      <c r="BH280" s="90"/>
      <c r="BI280" s="90"/>
      <c r="BJ280" s="90"/>
      <c r="BK280" s="90"/>
      <c r="BL280" s="90"/>
      <c r="BM280" s="90"/>
      <c r="BN280" s="90"/>
      <c r="BO280" s="90"/>
      <c r="BP280" s="90"/>
    </row>
    <row r="281" ht="12.75" customHeight="1" outlineLevel="1">
      <c r="A281" s="90" t="s">
        <v>292</v>
      </c>
      <c r="C281" s="102" t="str">
        <f>'RSGen 1-7'!M$387</f>
        <v/>
      </c>
      <c r="D281" s="102" t="str">
        <f>OFFSET(RSGen_Walton!$G$387,0,ROW(C281)-ROW($C$276))</f>
        <v/>
      </c>
      <c r="E281" s="102" t="str">
        <f>OFFSET(RSGen_none!$G$387,0,ROW(D281)-ROW($C$276))</f>
        <v/>
      </c>
      <c r="F281" s="102"/>
      <c r="G281" s="102"/>
      <c r="H281" s="313"/>
      <c r="I281" s="313"/>
      <c r="J281" s="313"/>
      <c r="K281" s="306"/>
      <c r="L281" s="306"/>
      <c r="M281" s="306"/>
      <c r="N281" s="306"/>
      <c r="O281" s="306"/>
      <c r="P281" s="306"/>
      <c r="Q281" s="306"/>
      <c r="R281" s="102">
        <f t="shared" ref="R281:AL281" si="316">R$112*(MAX(0,MIN(R12,SUM(R12:R$15)-$E$4))*$E281+MAX(0,MIN(R12,$D$4-SUM(R13:R$15)))*$C281+(R12-(MAX(0,MIN(R12,SUM(R12:R$15)-$E$4))+MAX(0,MIN(R12,$D$4-SUM(R13:R$15)))))*$D281)</f>
        <v>0</v>
      </c>
      <c r="S281" s="102">
        <f t="shared" si="316"/>
        <v>0</v>
      </c>
      <c r="T281" s="102">
        <f t="shared" si="316"/>
        <v>0</v>
      </c>
      <c r="U281" s="102">
        <f t="shared" si="316"/>
        <v>0</v>
      </c>
      <c r="V281" s="102">
        <f t="shared" si="316"/>
        <v>0</v>
      </c>
      <c r="W281" s="102">
        <f t="shared" si="316"/>
        <v>0</v>
      </c>
      <c r="X281" s="102">
        <f t="shared" si="316"/>
        <v>0</v>
      </c>
      <c r="Y281" s="102">
        <f t="shared" si="316"/>
        <v>0</v>
      </c>
      <c r="Z281" s="102">
        <f t="shared" si="316"/>
        <v>0</v>
      </c>
      <c r="AA281" s="102">
        <f t="shared" si="316"/>
        <v>0</v>
      </c>
      <c r="AB281" s="102">
        <f t="shared" si="316"/>
        <v>0</v>
      </c>
      <c r="AC281" s="102">
        <f t="shared" si="316"/>
        <v>0</v>
      </c>
      <c r="AD281" s="102">
        <f t="shared" si="316"/>
        <v>0</v>
      </c>
      <c r="AE281" s="102">
        <f t="shared" si="316"/>
        <v>0</v>
      </c>
      <c r="AF281" s="102">
        <f t="shared" si="316"/>
        <v>0</v>
      </c>
      <c r="AG281" s="102">
        <f t="shared" si="316"/>
        <v>0</v>
      </c>
      <c r="AH281" s="102">
        <f t="shared" si="316"/>
        <v>0</v>
      </c>
      <c r="AI281" s="102">
        <f t="shared" si="316"/>
        <v>0</v>
      </c>
      <c r="AJ281" s="102">
        <f t="shared" si="316"/>
        <v>0</v>
      </c>
      <c r="AK281" s="102">
        <f t="shared" si="316"/>
        <v>0</v>
      </c>
      <c r="AL281" s="102">
        <f t="shared" si="316"/>
        <v>0</v>
      </c>
      <c r="AM281" s="102">
        <f t="shared" ref="AM281:AV281" si="317">$D281*AM$107*AM$12</f>
        <v>0</v>
      </c>
      <c r="AN281" s="102">
        <f t="shared" si="317"/>
        <v>0</v>
      </c>
      <c r="AO281" s="102">
        <f t="shared" si="317"/>
        <v>0</v>
      </c>
      <c r="AP281" s="102">
        <f t="shared" si="317"/>
        <v>0</v>
      </c>
      <c r="AQ281" s="102">
        <f t="shared" si="317"/>
        <v>0</v>
      </c>
      <c r="AR281" s="102">
        <f t="shared" si="317"/>
        <v>0</v>
      </c>
      <c r="AS281" s="102">
        <f t="shared" si="317"/>
        <v>0</v>
      </c>
      <c r="AT281" s="102">
        <f t="shared" si="317"/>
        <v>0</v>
      </c>
      <c r="AU281" s="102" t="str">
        <f t="shared" si="317"/>
        <v>#REF!</v>
      </c>
      <c r="AV281" s="102" t="str">
        <f t="shared" si="317"/>
        <v>#REF!</v>
      </c>
      <c r="AW281" s="90"/>
      <c r="AX281" s="90"/>
      <c r="AY281" s="90"/>
      <c r="AZ281" s="90"/>
      <c r="BA281" s="90"/>
      <c r="BB281" s="90"/>
      <c r="BC281" s="90"/>
      <c r="BD281" s="90"/>
      <c r="BE281" s="90"/>
      <c r="BF281" s="90"/>
      <c r="BG281" s="90"/>
      <c r="BH281" s="90"/>
      <c r="BI281" s="90"/>
      <c r="BJ281" s="90"/>
      <c r="BK281" s="90"/>
      <c r="BL281" s="90"/>
      <c r="BM281" s="90"/>
      <c r="BN281" s="90"/>
      <c r="BO281" s="90"/>
      <c r="BP281" s="90"/>
    </row>
    <row r="282" ht="12.75" customHeight="1" outlineLevel="1">
      <c r="A282" s="90" t="s">
        <v>293</v>
      </c>
      <c r="C282" s="102" t="str">
        <f>'RSGen 1-7'!N$387</f>
        <v/>
      </c>
      <c r="D282" s="102" t="str">
        <f>OFFSET(RSGen_Walton!$G$387,0,ROW(C282)-ROW($C$276))</f>
        <v/>
      </c>
      <c r="E282" s="102" t="str">
        <f>OFFSET(RSGen_none!$G$387,0,ROW(D282)-ROW($C$276))</f>
        <v/>
      </c>
      <c r="F282" s="102"/>
      <c r="G282" s="102"/>
      <c r="H282" s="313"/>
      <c r="I282" s="313"/>
      <c r="J282" s="313"/>
      <c r="K282" s="306"/>
      <c r="L282" s="306"/>
      <c r="M282" s="306"/>
      <c r="N282" s="306"/>
      <c r="O282" s="306"/>
      <c r="P282" s="306"/>
      <c r="Q282" s="306"/>
      <c r="R282" s="306"/>
      <c r="S282" s="102">
        <f t="shared" ref="S282:AL282" si="318">S$112*(MAX(0,MIN(S13,SUM(S13:S$15)-$E$4))*$E282+MAX(0,MIN(S13,$D$4-SUM(S14:S$15)))*$C282+(S13-(MAX(0,MIN(S13,SUM(S13:S$15)-$E$4))+MAX(0,MIN(S13,$D$4-SUM(S14:S$15)))))*$D282)</f>
        <v>0</v>
      </c>
      <c r="T282" s="102">
        <f t="shared" si="318"/>
        <v>0</v>
      </c>
      <c r="U282" s="102">
        <f t="shared" si="318"/>
        <v>0</v>
      </c>
      <c r="V282" s="102">
        <f t="shared" si="318"/>
        <v>0</v>
      </c>
      <c r="W282" s="102">
        <f t="shared" si="318"/>
        <v>0</v>
      </c>
      <c r="X282" s="102">
        <f t="shared" si="318"/>
        <v>0</v>
      </c>
      <c r="Y282" s="102">
        <f t="shared" si="318"/>
        <v>0</v>
      </c>
      <c r="Z282" s="102">
        <f t="shared" si="318"/>
        <v>0</v>
      </c>
      <c r="AA282" s="102">
        <f t="shared" si="318"/>
        <v>0</v>
      </c>
      <c r="AB282" s="102">
        <f t="shared" si="318"/>
        <v>0</v>
      </c>
      <c r="AC282" s="102">
        <f t="shared" si="318"/>
        <v>0</v>
      </c>
      <c r="AD282" s="102">
        <f t="shared" si="318"/>
        <v>0</v>
      </c>
      <c r="AE282" s="102">
        <f t="shared" si="318"/>
        <v>0</v>
      </c>
      <c r="AF282" s="102">
        <f t="shared" si="318"/>
        <v>0</v>
      </c>
      <c r="AG282" s="102">
        <f t="shared" si="318"/>
        <v>0</v>
      </c>
      <c r="AH282" s="102">
        <f t="shared" si="318"/>
        <v>0</v>
      </c>
      <c r="AI282" s="102">
        <f t="shared" si="318"/>
        <v>0</v>
      </c>
      <c r="AJ282" s="102">
        <f t="shared" si="318"/>
        <v>0</v>
      </c>
      <c r="AK282" s="102">
        <f t="shared" si="318"/>
        <v>0</v>
      </c>
      <c r="AL282" s="102">
        <f t="shared" si="318"/>
        <v>0</v>
      </c>
      <c r="AM282" s="102">
        <f t="shared" ref="AM282:AV282" si="319">$D282*AM$107*AM$13</f>
        <v>0</v>
      </c>
      <c r="AN282" s="102">
        <f t="shared" si="319"/>
        <v>0</v>
      </c>
      <c r="AO282" s="102">
        <f t="shared" si="319"/>
        <v>0</v>
      </c>
      <c r="AP282" s="102">
        <f t="shared" si="319"/>
        <v>0</v>
      </c>
      <c r="AQ282" s="102">
        <f t="shared" si="319"/>
        <v>0</v>
      </c>
      <c r="AR282" s="102">
        <f t="shared" si="319"/>
        <v>0</v>
      </c>
      <c r="AS282" s="102">
        <f t="shared" si="319"/>
        <v>0</v>
      </c>
      <c r="AT282" s="102">
        <f t="shared" si="319"/>
        <v>0</v>
      </c>
      <c r="AU282" s="102">
        <f t="shared" si="319"/>
        <v>0</v>
      </c>
      <c r="AV282" s="102" t="str">
        <f t="shared" si="319"/>
        <v>#REF!</v>
      </c>
      <c r="AW282" s="90"/>
      <c r="AX282" s="90"/>
      <c r="AY282" s="90"/>
      <c r="AZ282" s="90"/>
      <c r="BA282" s="90"/>
      <c r="BB282" s="90"/>
      <c r="BC282" s="90"/>
      <c r="BD282" s="90"/>
      <c r="BE282" s="90"/>
      <c r="BF282" s="90"/>
      <c r="BG282" s="90"/>
      <c r="BH282" s="90"/>
      <c r="BI282" s="90"/>
      <c r="BJ282" s="90"/>
      <c r="BK282" s="90"/>
      <c r="BL282" s="90"/>
      <c r="BM282" s="90"/>
      <c r="BN282" s="90"/>
      <c r="BO282" s="90"/>
      <c r="BP282" s="90"/>
    </row>
    <row r="283" ht="12.75" customHeight="1" outlineLevel="1">
      <c r="A283" s="90" t="s">
        <v>294</v>
      </c>
      <c r="C283" s="102" t="str">
        <f>'RSGen 1-7'!O$387</f>
        <v/>
      </c>
      <c r="D283" s="102" t="str">
        <f>OFFSET(RSGen_Walton!$G$387,0,ROW(C283)-ROW($C$276))</f>
        <v/>
      </c>
      <c r="E283" s="102" t="str">
        <f>OFFSET(RSGen_none!$G$387,0,ROW(D283)-ROW($C$276))</f>
        <v/>
      </c>
      <c r="F283" s="102"/>
      <c r="G283" s="102"/>
      <c r="H283" s="313"/>
      <c r="I283" s="313"/>
      <c r="J283" s="313"/>
      <c r="K283" s="306"/>
      <c r="L283" s="306"/>
      <c r="M283" s="306"/>
      <c r="N283" s="306"/>
      <c r="O283" s="306"/>
      <c r="P283" s="306"/>
      <c r="Q283" s="306"/>
      <c r="R283" s="306"/>
      <c r="S283" s="306"/>
      <c r="T283" s="102">
        <f t="shared" ref="T283:AL283" si="320">T$112*(MAX(0,MIN(T14,SUM(T14:T$15)-$E$4))*$E283+MAX(0,MIN(T14,$D$4-SUM(T$15:T15)))*$C283+(T14-(MAX(0,MIN(T14,SUM(T14:T$15)-$E$4))+MAX(0,MIN(T14,$D$4-SUM(T$15:T15)))))*$D283)</f>
        <v>0</v>
      </c>
      <c r="U283" s="102">
        <f t="shared" si="320"/>
        <v>0</v>
      </c>
      <c r="V283" s="102">
        <f t="shared" si="320"/>
        <v>0</v>
      </c>
      <c r="W283" s="102">
        <f t="shared" si="320"/>
        <v>0</v>
      </c>
      <c r="X283" s="102">
        <f t="shared" si="320"/>
        <v>0</v>
      </c>
      <c r="Y283" s="102">
        <f t="shared" si="320"/>
        <v>0</v>
      </c>
      <c r="Z283" s="102">
        <f t="shared" si="320"/>
        <v>0</v>
      </c>
      <c r="AA283" s="102">
        <f t="shared" si="320"/>
        <v>0</v>
      </c>
      <c r="AB283" s="102">
        <f t="shared" si="320"/>
        <v>0</v>
      </c>
      <c r="AC283" s="102">
        <f t="shared" si="320"/>
        <v>0</v>
      </c>
      <c r="AD283" s="102">
        <f t="shared" si="320"/>
        <v>0</v>
      </c>
      <c r="AE283" s="102">
        <f t="shared" si="320"/>
        <v>0</v>
      </c>
      <c r="AF283" s="102">
        <f t="shared" si="320"/>
        <v>0</v>
      </c>
      <c r="AG283" s="102">
        <f t="shared" si="320"/>
        <v>0</v>
      </c>
      <c r="AH283" s="102">
        <f t="shared" si="320"/>
        <v>0</v>
      </c>
      <c r="AI283" s="102">
        <f t="shared" si="320"/>
        <v>0</v>
      </c>
      <c r="AJ283" s="102">
        <f t="shared" si="320"/>
        <v>0</v>
      </c>
      <c r="AK283" s="102">
        <f t="shared" si="320"/>
        <v>0</v>
      </c>
      <c r="AL283" s="102">
        <f t="shared" si="320"/>
        <v>0</v>
      </c>
      <c r="AM283" s="102">
        <f t="shared" ref="AM283:AV283" si="321">$D283*AM$107*AM$14</f>
        <v>0</v>
      </c>
      <c r="AN283" s="102">
        <f t="shared" si="321"/>
        <v>0</v>
      </c>
      <c r="AO283" s="102">
        <f t="shared" si="321"/>
        <v>0</v>
      </c>
      <c r="AP283" s="102">
        <f t="shared" si="321"/>
        <v>0</v>
      </c>
      <c r="AQ283" s="102">
        <f t="shared" si="321"/>
        <v>0</v>
      </c>
      <c r="AR283" s="102">
        <f t="shared" si="321"/>
        <v>0</v>
      </c>
      <c r="AS283" s="102">
        <f t="shared" si="321"/>
        <v>0</v>
      </c>
      <c r="AT283" s="102">
        <f t="shared" si="321"/>
        <v>0</v>
      </c>
      <c r="AU283" s="102">
        <f t="shared" si="321"/>
        <v>0</v>
      </c>
      <c r="AV283" s="102">
        <f t="shared" si="321"/>
        <v>0</v>
      </c>
      <c r="AW283" s="90"/>
      <c r="AX283" s="90"/>
      <c r="AY283" s="90"/>
      <c r="AZ283" s="90"/>
      <c r="BA283" s="90"/>
      <c r="BB283" s="90"/>
      <c r="BC283" s="90"/>
      <c r="BD283" s="90"/>
      <c r="BE283" s="90"/>
      <c r="BF283" s="90"/>
      <c r="BG283" s="90"/>
      <c r="BH283" s="90"/>
      <c r="BI283" s="90"/>
      <c r="BJ283" s="90"/>
      <c r="BK283" s="90"/>
      <c r="BL283" s="90"/>
      <c r="BM283" s="90"/>
      <c r="BN283" s="90"/>
      <c r="BO283" s="90"/>
      <c r="BP283" s="90"/>
    </row>
    <row r="284" ht="12.75" customHeight="1" outlineLevel="1">
      <c r="A284" s="90" t="s">
        <v>295</v>
      </c>
      <c r="C284" s="102" t="str">
        <f>'RSGen 1-7'!P$387</f>
        <v/>
      </c>
      <c r="D284" s="102" t="str">
        <f>OFFSET(RSGen_Walton!$G$387,0,ROW(C284)-ROW($C$276))</f>
        <v/>
      </c>
      <c r="E284" s="102" t="str">
        <f>OFFSET(RSGen_none!$G$387,0,ROW(D284)-ROW($C$276))</f>
        <v/>
      </c>
      <c r="F284" s="102"/>
      <c r="G284" s="102"/>
      <c r="H284" s="313"/>
      <c r="I284" s="313"/>
      <c r="J284" s="313"/>
      <c r="K284" s="306"/>
      <c r="L284" s="306"/>
      <c r="M284" s="306"/>
      <c r="N284" s="306"/>
      <c r="O284" s="306"/>
      <c r="P284" s="306"/>
      <c r="Q284" s="306"/>
      <c r="R284" s="306"/>
      <c r="S284" s="306"/>
      <c r="T284" s="306"/>
      <c r="U284" s="102">
        <f t="shared" ref="U284:AL284" si="322">U$112*($C284*MIN($D$4-3,U15-3)+$D284*MIN($E$4-$D$4,MAX(0,U15-$D$4))+$E284*MAX(0,U15-$E$4))</f>
        <v>0</v>
      </c>
      <c r="V284" s="102">
        <f t="shared" si="322"/>
        <v>0</v>
      </c>
      <c r="W284" s="102">
        <f t="shared" si="322"/>
        <v>0</v>
      </c>
      <c r="X284" s="102">
        <f t="shared" si="322"/>
        <v>0</v>
      </c>
      <c r="Y284" s="102">
        <f t="shared" si="322"/>
        <v>0</v>
      </c>
      <c r="Z284" s="102">
        <f t="shared" si="322"/>
        <v>0</v>
      </c>
      <c r="AA284" s="102">
        <f t="shared" si="322"/>
        <v>0</v>
      </c>
      <c r="AB284" s="102">
        <f t="shared" si="322"/>
        <v>0</v>
      </c>
      <c r="AC284" s="102">
        <f t="shared" si="322"/>
        <v>0</v>
      </c>
      <c r="AD284" s="102">
        <f t="shared" si="322"/>
        <v>0</v>
      </c>
      <c r="AE284" s="102">
        <f t="shared" si="322"/>
        <v>0</v>
      </c>
      <c r="AF284" s="102">
        <f t="shared" si="322"/>
        <v>0</v>
      </c>
      <c r="AG284" s="102">
        <f t="shared" si="322"/>
        <v>0</v>
      </c>
      <c r="AH284" s="102">
        <f t="shared" si="322"/>
        <v>0</v>
      </c>
      <c r="AI284" s="102">
        <f t="shared" si="322"/>
        <v>0</v>
      </c>
      <c r="AJ284" s="102">
        <f t="shared" si="322"/>
        <v>0</v>
      </c>
      <c r="AK284" s="102">
        <f t="shared" si="322"/>
        <v>0</v>
      </c>
      <c r="AL284" s="102">
        <f t="shared" si="322"/>
        <v>0</v>
      </c>
      <c r="AM284" s="102">
        <f t="shared" ref="AM284:AV284" si="323">$C284*AM$107*(4)+$D284*AM$107*(AM$15-7)</f>
        <v>0</v>
      </c>
      <c r="AN284" s="102">
        <f t="shared" si="323"/>
        <v>0</v>
      </c>
      <c r="AO284" s="102">
        <f t="shared" si="323"/>
        <v>0</v>
      </c>
      <c r="AP284" s="102">
        <f t="shared" si="323"/>
        <v>0</v>
      </c>
      <c r="AQ284" s="102">
        <f t="shared" si="323"/>
        <v>0</v>
      </c>
      <c r="AR284" s="102">
        <f t="shared" si="323"/>
        <v>0</v>
      </c>
      <c r="AS284" s="102">
        <f t="shared" si="323"/>
        <v>0</v>
      </c>
      <c r="AT284" s="102">
        <f t="shared" si="323"/>
        <v>0</v>
      </c>
      <c r="AU284" s="102">
        <f t="shared" si="323"/>
        <v>0</v>
      </c>
      <c r="AV284" s="102">
        <f t="shared" si="323"/>
        <v>0</v>
      </c>
      <c r="AW284" s="90"/>
      <c r="AX284" s="90"/>
      <c r="AY284" s="90"/>
      <c r="AZ284" s="90"/>
      <c r="BA284" s="90"/>
      <c r="BB284" s="90"/>
      <c r="BC284" s="90"/>
      <c r="BD284" s="90"/>
      <c r="BE284" s="90"/>
      <c r="BF284" s="90"/>
      <c r="BG284" s="90"/>
      <c r="BH284" s="90"/>
      <c r="BI284" s="90"/>
      <c r="BJ284" s="90"/>
      <c r="BK284" s="90"/>
      <c r="BL284" s="90"/>
      <c r="BM284" s="90"/>
      <c r="BN284" s="90"/>
      <c r="BO284" s="90"/>
      <c r="BP284" s="90"/>
    </row>
    <row r="285" ht="13.5" customHeight="1" outlineLevel="1">
      <c r="A285" s="143" t="str">
        <f>"Total "&amp;A275</f>
        <v>Total SPED</v>
      </c>
      <c r="B285" s="143"/>
      <c r="C285" s="309"/>
      <c r="D285" s="309"/>
      <c r="E285" s="309"/>
      <c r="F285" s="309"/>
      <c r="G285" s="309"/>
      <c r="H285" s="314"/>
      <c r="I285" s="314"/>
      <c r="J285" s="314"/>
      <c r="K285" s="311"/>
      <c r="L285" s="311"/>
      <c r="M285" s="307">
        <f t="shared" ref="M285:AV285" si="324">SUM(M276:M284)</f>
        <v>0</v>
      </c>
      <c r="N285" s="307">
        <f t="shared" si="324"/>
        <v>0</v>
      </c>
      <c r="O285" s="307">
        <f t="shared" si="324"/>
        <v>0</v>
      </c>
      <c r="P285" s="307">
        <f t="shared" si="324"/>
        <v>0</v>
      </c>
      <c r="Q285" s="307">
        <f t="shared" si="324"/>
        <v>0</v>
      </c>
      <c r="R285" s="307">
        <f t="shared" si="324"/>
        <v>0</v>
      </c>
      <c r="S285" s="307">
        <f t="shared" si="324"/>
        <v>0</v>
      </c>
      <c r="T285" s="309">
        <f t="shared" si="324"/>
        <v>0</v>
      </c>
      <c r="U285" s="309">
        <f t="shared" si="324"/>
        <v>0</v>
      </c>
      <c r="V285" s="309">
        <f t="shared" si="324"/>
        <v>0</v>
      </c>
      <c r="W285" s="309">
        <f t="shared" si="324"/>
        <v>0</v>
      </c>
      <c r="X285" s="309">
        <f t="shared" si="324"/>
        <v>0</v>
      </c>
      <c r="Y285" s="309">
        <f t="shared" si="324"/>
        <v>0</v>
      </c>
      <c r="Z285" s="309">
        <f t="shared" si="324"/>
        <v>0</v>
      </c>
      <c r="AA285" s="309">
        <f t="shared" si="324"/>
        <v>0</v>
      </c>
      <c r="AB285" s="309">
        <f t="shared" si="324"/>
        <v>0</v>
      </c>
      <c r="AC285" s="309">
        <f t="shared" si="324"/>
        <v>0</v>
      </c>
      <c r="AD285" s="309">
        <f t="shared" si="324"/>
        <v>0</v>
      </c>
      <c r="AE285" s="309">
        <f t="shared" si="324"/>
        <v>0</v>
      </c>
      <c r="AF285" s="309">
        <f t="shared" si="324"/>
        <v>0</v>
      </c>
      <c r="AG285" s="309">
        <f t="shared" si="324"/>
        <v>0</v>
      </c>
      <c r="AH285" s="309">
        <f t="shared" si="324"/>
        <v>0</v>
      </c>
      <c r="AI285" s="309">
        <f t="shared" si="324"/>
        <v>0</v>
      </c>
      <c r="AJ285" s="309">
        <f t="shared" si="324"/>
        <v>0</v>
      </c>
      <c r="AK285" s="309">
        <f t="shared" si="324"/>
        <v>0</v>
      </c>
      <c r="AL285" s="309">
        <f t="shared" si="324"/>
        <v>0</v>
      </c>
      <c r="AM285" s="309">
        <f t="shared" si="324"/>
        <v>0</v>
      </c>
      <c r="AN285" s="309">
        <f t="shared" si="324"/>
        <v>0</v>
      </c>
      <c r="AO285" s="309">
        <f t="shared" si="324"/>
        <v>0</v>
      </c>
      <c r="AP285" s="309" t="str">
        <f t="shared" si="324"/>
        <v>#REF!</v>
      </c>
      <c r="AQ285" s="309" t="str">
        <f t="shared" si="324"/>
        <v>#REF!</v>
      </c>
      <c r="AR285" s="309" t="str">
        <f t="shared" si="324"/>
        <v>#REF!</v>
      </c>
      <c r="AS285" s="309" t="str">
        <f t="shared" si="324"/>
        <v>#REF!</v>
      </c>
      <c r="AT285" s="309" t="str">
        <f t="shared" si="324"/>
        <v>#REF!</v>
      </c>
      <c r="AU285" s="309" t="str">
        <f t="shared" si="324"/>
        <v>#REF!</v>
      </c>
      <c r="AV285" s="309" t="str">
        <f t="shared" si="324"/>
        <v>#REF!</v>
      </c>
      <c r="AW285" s="90"/>
      <c r="AX285" s="90"/>
      <c r="AY285" s="90"/>
      <c r="AZ285" s="90"/>
      <c r="BA285" s="90"/>
      <c r="BB285" s="90"/>
      <c r="BC285" s="90"/>
      <c r="BD285" s="90"/>
      <c r="BE285" s="90"/>
      <c r="BF285" s="90"/>
      <c r="BG285" s="90"/>
      <c r="BH285" s="90"/>
      <c r="BI285" s="90"/>
      <c r="BJ285" s="90"/>
      <c r="BK285" s="90"/>
      <c r="BL285" s="90"/>
      <c r="BM285" s="90"/>
      <c r="BN285" s="90"/>
      <c r="BO285" s="90"/>
      <c r="BP285" s="90"/>
    </row>
    <row r="286" ht="13.5" customHeight="1" outlineLevel="1">
      <c r="A286" s="90"/>
      <c r="C286" s="102"/>
      <c r="D286" s="102"/>
      <c r="E286" s="102"/>
      <c r="F286" s="102"/>
      <c r="G286" s="102"/>
      <c r="K286" s="102"/>
      <c r="L286" s="102"/>
      <c r="M286" s="102"/>
      <c r="N286" s="102"/>
      <c r="O286" s="102"/>
      <c r="P286" s="102"/>
      <c r="Q286" s="102"/>
      <c r="R286" s="102"/>
      <c r="S286" s="102"/>
      <c r="T286" s="102"/>
      <c r="U286" s="102"/>
      <c r="V286" s="102"/>
      <c r="W286" s="102"/>
      <c r="X286" s="102"/>
      <c r="Y286" s="102"/>
      <c r="Z286" s="102"/>
      <c r="AA286" s="102"/>
      <c r="AB286" s="102"/>
      <c r="AC286" s="102"/>
      <c r="AD286" s="102"/>
      <c r="AE286" s="102"/>
      <c r="AF286" s="102"/>
      <c r="AG286" s="102"/>
      <c r="AH286" s="102"/>
      <c r="AI286" s="102"/>
      <c r="AJ286" s="102"/>
      <c r="AK286" s="102"/>
      <c r="AL286" s="102"/>
      <c r="AM286" s="102"/>
      <c r="AN286" s="102"/>
      <c r="AO286" s="102"/>
      <c r="AP286" s="102"/>
      <c r="AQ286" s="102"/>
      <c r="AR286" s="102"/>
      <c r="AS286" s="102"/>
      <c r="AT286" s="102"/>
      <c r="AU286" s="102"/>
      <c r="AV286" s="102"/>
      <c r="AW286" s="90"/>
      <c r="AX286" s="90"/>
      <c r="AY286" s="90"/>
      <c r="AZ286" s="90"/>
      <c r="BA286" s="90"/>
      <c r="BB286" s="90"/>
      <c r="BC286" s="90"/>
      <c r="BD286" s="90"/>
      <c r="BE286" s="90"/>
      <c r="BF286" s="90"/>
      <c r="BG286" s="90"/>
      <c r="BH286" s="90"/>
      <c r="BI286" s="90"/>
      <c r="BJ286" s="90"/>
      <c r="BK286" s="90"/>
      <c r="BL286" s="90"/>
      <c r="BM286" s="90"/>
      <c r="BN286" s="90"/>
      <c r="BO286" s="90"/>
      <c r="BP286" s="90"/>
    </row>
    <row r="287" ht="12.75" customHeight="1" outlineLevel="1">
      <c r="A287" s="90" t="s">
        <v>609</v>
      </c>
      <c r="C287" s="102"/>
      <c r="D287" s="102"/>
      <c r="E287" s="102"/>
      <c r="F287" s="102"/>
      <c r="G287" s="102"/>
      <c r="K287" s="102"/>
      <c r="L287" s="102"/>
      <c r="M287" s="102"/>
      <c r="N287" s="102"/>
      <c r="O287" s="102"/>
      <c r="P287" s="102"/>
      <c r="Q287" s="102"/>
      <c r="R287" s="102"/>
      <c r="S287" s="102"/>
      <c r="T287" s="102"/>
      <c r="U287" s="102"/>
      <c r="V287" s="102"/>
      <c r="W287" s="102"/>
      <c r="X287" s="102"/>
      <c r="Y287" s="102"/>
      <c r="Z287" s="102"/>
      <c r="AA287" s="102"/>
      <c r="AB287" s="102"/>
      <c r="AC287" s="102"/>
      <c r="AD287" s="102"/>
      <c r="AE287" s="102"/>
      <c r="AF287" s="102"/>
      <c r="AG287" s="102"/>
      <c r="AH287" s="102"/>
      <c r="AI287" s="102"/>
      <c r="AJ287" s="102"/>
      <c r="AK287" s="102"/>
      <c r="AL287" s="102"/>
      <c r="AM287" s="102"/>
      <c r="AN287" s="102"/>
      <c r="AO287" s="102"/>
      <c r="AP287" s="102"/>
      <c r="AQ287" s="102"/>
      <c r="AR287" s="102"/>
      <c r="AS287" s="102"/>
      <c r="AT287" s="102"/>
      <c r="AU287" s="102"/>
      <c r="AV287" s="102"/>
      <c r="AW287" s="90"/>
      <c r="AX287" s="90"/>
      <c r="AY287" s="90"/>
      <c r="AZ287" s="90"/>
      <c r="BA287" s="90"/>
      <c r="BB287" s="90"/>
      <c r="BC287" s="90"/>
      <c r="BD287" s="90"/>
      <c r="BE287" s="90"/>
      <c r="BF287" s="90"/>
      <c r="BG287" s="90"/>
      <c r="BH287" s="90"/>
      <c r="BI287" s="90"/>
      <c r="BJ287" s="90"/>
      <c r="BK287" s="90"/>
      <c r="BL287" s="90"/>
      <c r="BM287" s="90"/>
      <c r="BN287" s="90"/>
      <c r="BO287" s="90"/>
      <c r="BP287" s="90"/>
    </row>
    <row r="288" ht="12.75" customHeight="1" outlineLevel="1">
      <c r="A288" s="90" t="s">
        <v>287</v>
      </c>
      <c r="C288" s="102">
        <f>'RSGen 1-7'!H$389</f>
        <v>0</v>
      </c>
      <c r="D288" s="102">
        <f>OFFSET(RSGen_Walton!$G$389,0,ROW(C288)-ROW($C$287))</f>
        <v>0</v>
      </c>
      <c r="E288" s="102">
        <f>OFFSET(RSGen_none!$G$389,0,ROW(D288)-ROW($C$287))</f>
        <v>0</v>
      </c>
      <c r="F288" s="102"/>
      <c r="G288" s="102"/>
      <c r="H288" s="313"/>
      <c r="I288" s="313"/>
      <c r="J288" s="313"/>
      <c r="K288" s="306"/>
      <c r="L288" s="306"/>
      <c r="M288" s="102">
        <f t="shared" ref="M288:AL288" si="325">M$112*(MAX(0,MIN(M7,SUM(M7:M$15)-$E$4))*$E288+MAX(0,MIN(M7,$D$4-SUM(M8:M$15)))*$C288+(M7-(MAX(0,MIN(M7,SUM(M7:M$15)-$E$4))+MAX(0,MIN(M7,$D$4-SUM(M8:M$15)))))*$D288)</f>
        <v>0</v>
      </c>
      <c r="N288" s="102">
        <f t="shared" si="325"/>
        <v>0</v>
      </c>
      <c r="O288" s="102">
        <f t="shared" si="325"/>
        <v>0</v>
      </c>
      <c r="P288" s="102">
        <f t="shared" si="325"/>
        <v>0</v>
      </c>
      <c r="Q288" s="102">
        <f t="shared" si="325"/>
        <v>0</v>
      </c>
      <c r="R288" s="102">
        <f t="shared" si="325"/>
        <v>0</v>
      </c>
      <c r="S288" s="102">
        <f t="shared" si="325"/>
        <v>0</v>
      </c>
      <c r="T288" s="102">
        <f t="shared" si="325"/>
        <v>0</v>
      </c>
      <c r="U288" s="102">
        <f t="shared" si="325"/>
        <v>0</v>
      </c>
      <c r="V288" s="102">
        <f t="shared" si="325"/>
        <v>0</v>
      </c>
      <c r="W288" s="102">
        <f t="shared" si="325"/>
        <v>0</v>
      </c>
      <c r="X288" s="102">
        <f t="shared" si="325"/>
        <v>0</v>
      </c>
      <c r="Y288" s="102">
        <f t="shared" si="325"/>
        <v>0</v>
      </c>
      <c r="Z288" s="102">
        <f t="shared" si="325"/>
        <v>0</v>
      </c>
      <c r="AA288" s="102">
        <f t="shared" si="325"/>
        <v>0</v>
      </c>
      <c r="AB288" s="102">
        <f t="shared" si="325"/>
        <v>0</v>
      </c>
      <c r="AC288" s="102">
        <f t="shared" si="325"/>
        <v>0</v>
      </c>
      <c r="AD288" s="102">
        <f t="shared" si="325"/>
        <v>0</v>
      </c>
      <c r="AE288" s="102">
        <f t="shared" si="325"/>
        <v>0</v>
      </c>
      <c r="AF288" s="102">
        <f t="shared" si="325"/>
        <v>0</v>
      </c>
      <c r="AG288" s="102">
        <f t="shared" si="325"/>
        <v>0</v>
      </c>
      <c r="AH288" s="102">
        <f t="shared" si="325"/>
        <v>0</v>
      </c>
      <c r="AI288" s="102">
        <f t="shared" si="325"/>
        <v>0</v>
      </c>
      <c r="AJ288" s="102">
        <f t="shared" si="325"/>
        <v>0</v>
      </c>
      <c r="AK288" s="102">
        <f t="shared" si="325"/>
        <v>0</v>
      </c>
      <c r="AL288" s="102">
        <f t="shared" si="325"/>
        <v>0</v>
      </c>
      <c r="AM288" s="102">
        <f t="shared" ref="AM288:AV288" si="326">$D288*AM$107*AM$7</f>
        <v>0</v>
      </c>
      <c r="AN288" s="102">
        <f t="shared" si="326"/>
        <v>0</v>
      </c>
      <c r="AO288" s="102">
        <f t="shared" si="326"/>
        <v>0</v>
      </c>
      <c r="AP288" s="102" t="str">
        <f t="shared" si="326"/>
        <v>#REF!</v>
      </c>
      <c r="AQ288" s="102" t="str">
        <f t="shared" si="326"/>
        <v>#REF!</v>
      </c>
      <c r="AR288" s="102" t="str">
        <f t="shared" si="326"/>
        <v>#REF!</v>
      </c>
      <c r="AS288" s="102" t="str">
        <f t="shared" si="326"/>
        <v>#REF!</v>
      </c>
      <c r="AT288" s="102" t="str">
        <f t="shared" si="326"/>
        <v>#REF!</v>
      </c>
      <c r="AU288" s="102">
        <f t="shared" si="326"/>
        <v>0</v>
      </c>
      <c r="AV288" s="102">
        <f t="shared" si="326"/>
        <v>0</v>
      </c>
      <c r="AW288" s="90"/>
      <c r="AX288" s="90"/>
      <c r="AY288" s="90"/>
      <c r="AZ288" s="90"/>
      <c r="BA288" s="90"/>
      <c r="BB288" s="90"/>
      <c r="BC288" s="90"/>
      <c r="BD288" s="90"/>
      <c r="BE288" s="90"/>
      <c r="BF288" s="90"/>
      <c r="BG288" s="90"/>
      <c r="BH288" s="90"/>
      <c r="BI288" s="90"/>
      <c r="BJ288" s="90"/>
      <c r="BK288" s="90"/>
      <c r="BL288" s="90"/>
      <c r="BM288" s="90"/>
      <c r="BN288" s="90"/>
      <c r="BO288" s="90"/>
      <c r="BP288" s="90"/>
    </row>
    <row r="289" ht="12.75" customHeight="1" outlineLevel="1">
      <c r="A289" s="90" t="s">
        <v>288</v>
      </c>
      <c r="C289" s="102">
        <f>'RSGen 1-7'!I$389</f>
        <v>10000</v>
      </c>
      <c r="D289" s="102">
        <f>OFFSET(RSGen_Walton!$G$389,0,ROW(C289)-ROW($C$287))</f>
        <v>10000</v>
      </c>
      <c r="E289" s="102">
        <f>OFFSET(RSGen_none!$G$389,0,ROW(D289)-ROW($C$287))</f>
        <v>10000</v>
      </c>
      <c r="F289" s="102"/>
      <c r="G289" s="102"/>
      <c r="H289" s="313"/>
      <c r="I289" s="313"/>
      <c r="J289" s="313"/>
      <c r="K289" s="306"/>
      <c r="L289" s="306"/>
      <c r="M289" s="306"/>
      <c r="N289" s="102">
        <f t="shared" ref="N289:AL289" si="327">N$112*(MAX(0,MIN(N8,SUM(N8:N$15)-$E$4))*$E289+MAX(0,MIN(N8,$D$4-SUM(N9:N$15)))*$C289+(N8-(MAX(0,MIN(N8,SUM(N8:N$15)-$E$4))+MAX(0,MIN(N8,$D$4-SUM(N9:N$15)))))*$D289)</f>
        <v>20400</v>
      </c>
      <c r="O289" s="102">
        <f t="shared" si="327"/>
        <v>31212</v>
      </c>
      <c r="P289" s="102">
        <f t="shared" si="327"/>
        <v>53060.4</v>
      </c>
      <c r="Q289" s="102">
        <f t="shared" si="327"/>
        <v>86594.5728</v>
      </c>
      <c r="R289" s="102">
        <f t="shared" si="327"/>
        <v>143530.5044</v>
      </c>
      <c r="S289" s="102">
        <f t="shared" si="327"/>
        <v>247755.7322</v>
      </c>
      <c r="T289" s="102">
        <f t="shared" si="327"/>
        <v>390553.127</v>
      </c>
      <c r="U289" s="102">
        <f t="shared" si="327"/>
        <v>527246.7215</v>
      </c>
      <c r="V289" s="102">
        <f t="shared" si="327"/>
        <v>537791.6559</v>
      </c>
      <c r="W289" s="102">
        <f t="shared" si="327"/>
        <v>804536.3172</v>
      </c>
      <c r="X289" s="102">
        <f t="shared" si="327"/>
        <v>994699.4467</v>
      </c>
      <c r="Y289" s="102">
        <f t="shared" si="327"/>
        <v>1800903.348</v>
      </c>
      <c r="Z289" s="102">
        <f t="shared" si="327"/>
        <v>2496660.797</v>
      </c>
      <c r="AA289" s="102">
        <f t="shared" si="327"/>
        <v>3193138.607</v>
      </c>
      <c r="AB289" s="102">
        <f t="shared" si="327"/>
        <v>3674220.564</v>
      </c>
      <c r="AC289" s="102">
        <f t="shared" si="327"/>
        <v>4447825.684</v>
      </c>
      <c r="AD289" s="102">
        <f t="shared" si="327"/>
        <v>4900844.967</v>
      </c>
      <c r="AE289" s="102">
        <f t="shared" si="327"/>
        <v>4927449.554</v>
      </c>
      <c r="AF289" s="102">
        <f t="shared" si="327"/>
        <v>3962526.389</v>
      </c>
      <c r="AG289" s="102">
        <f t="shared" si="327"/>
        <v>490362.6407</v>
      </c>
      <c r="AH289" s="102">
        <f t="shared" si="327"/>
        <v>0</v>
      </c>
      <c r="AI289" s="102">
        <f t="shared" si="327"/>
        <v>0</v>
      </c>
      <c r="AJ289" s="102">
        <f t="shared" si="327"/>
        <v>0</v>
      </c>
      <c r="AK289" s="102">
        <f t="shared" si="327"/>
        <v>0</v>
      </c>
      <c r="AL289" s="102">
        <f t="shared" si="327"/>
        <v>0</v>
      </c>
      <c r="AM289" s="102">
        <f t="shared" ref="AM289:AV289" si="328">$D289*AM$107*AM$8</f>
        <v>0</v>
      </c>
      <c r="AN289" s="102">
        <f t="shared" si="328"/>
        <v>0</v>
      </c>
      <c r="AO289" s="102">
        <f t="shared" si="328"/>
        <v>0</v>
      </c>
      <c r="AP289" s="102">
        <f t="shared" si="328"/>
        <v>0</v>
      </c>
      <c r="AQ289" s="102" t="str">
        <f t="shared" si="328"/>
        <v>#REF!</v>
      </c>
      <c r="AR289" s="102" t="str">
        <f t="shared" si="328"/>
        <v>#REF!</v>
      </c>
      <c r="AS289" s="102" t="str">
        <f t="shared" si="328"/>
        <v>#REF!</v>
      </c>
      <c r="AT289" s="102" t="str">
        <f t="shared" si="328"/>
        <v>#REF!</v>
      </c>
      <c r="AU289" s="102" t="str">
        <f t="shared" si="328"/>
        <v>#REF!</v>
      </c>
      <c r="AV289" s="102">
        <f t="shared" si="328"/>
        <v>0</v>
      </c>
      <c r="AW289" s="90"/>
      <c r="AX289" s="90"/>
      <c r="AY289" s="90"/>
      <c r="AZ289" s="90"/>
      <c r="BA289" s="90"/>
      <c r="BB289" s="90"/>
      <c r="BC289" s="90"/>
      <c r="BD289" s="90"/>
      <c r="BE289" s="90"/>
      <c r="BF289" s="90"/>
      <c r="BG289" s="90"/>
      <c r="BH289" s="90"/>
      <c r="BI289" s="90"/>
      <c r="BJ289" s="90"/>
      <c r="BK289" s="90"/>
      <c r="BL289" s="90"/>
      <c r="BM289" s="90"/>
      <c r="BN289" s="90"/>
      <c r="BO289" s="90"/>
      <c r="BP289" s="90"/>
    </row>
    <row r="290" ht="12.75" customHeight="1" outlineLevel="1">
      <c r="A290" s="90" t="s">
        <v>289</v>
      </c>
      <c r="C290" s="102">
        <f>'RSGen 1-7'!J$389</f>
        <v>8000</v>
      </c>
      <c r="D290" s="102">
        <f>OFFSET(RSGen_Walton!$G$389,0,ROW(C290)-ROW($C$287))</f>
        <v>8000</v>
      </c>
      <c r="E290" s="102">
        <f>OFFSET(RSGen_none!$G$389,0,ROW(D290)-ROW($C$287))</f>
        <v>8000</v>
      </c>
      <c r="F290" s="102"/>
      <c r="G290" s="102"/>
      <c r="H290" s="313"/>
      <c r="I290" s="313"/>
      <c r="J290" s="313"/>
      <c r="K290" s="306"/>
      <c r="L290" s="306"/>
      <c r="M290" s="306"/>
      <c r="N290" s="306"/>
      <c r="O290" s="102">
        <f t="shared" ref="O290:AL290" si="329">O$112*(MAX(0,MIN(O9,SUM(O9:O$15)-$E$4))*$E290+MAX(0,MIN(O9,$D$4-SUM(O10:O$15)))*$C290+(O9-(MAX(0,MIN(O9,SUM(O9:O$15)-$E$4))+MAX(0,MIN(O9,$D$4-SUM(O10:O$15)))))*$D290)</f>
        <v>16646.4</v>
      </c>
      <c r="P290" s="102">
        <f t="shared" si="329"/>
        <v>25468.992</v>
      </c>
      <c r="Q290" s="102">
        <f t="shared" si="329"/>
        <v>43297.2864</v>
      </c>
      <c r="R290" s="102">
        <f t="shared" si="329"/>
        <v>70661.1714</v>
      </c>
      <c r="S290" s="102">
        <f t="shared" si="329"/>
        <v>117120.8916</v>
      </c>
      <c r="T290" s="102">
        <f t="shared" si="329"/>
        <v>202168.6775</v>
      </c>
      <c r="U290" s="102">
        <f t="shared" si="329"/>
        <v>318691.3516</v>
      </c>
      <c r="V290" s="102">
        <f t="shared" si="329"/>
        <v>430233.3247</v>
      </c>
      <c r="W290" s="102">
        <f t="shared" si="329"/>
        <v>438837.9912</v>
      </c>
      <c r="X290" s="102">
        <f t="shared" si="329"/>
        <v>656501.6348</v>
      </c>
      <c r="Y290" s="102">
        <f t="shared" si="329"/>
        <v>811674.7485</v>
      </c>
      <c r="Z290" s="102">
        <f t="shared" si="329"/>
        <v>1469537.132</v>
      </c>
      <c r="AA290" s="102">
        <f t="shared" si="329"/>
        <v>2037275.21</v>
      </c>
      <c r="AB290" s="102">
        <f t="shared" si="329"/>
        <v>2605601.103</v>
      </c>
      <c r="AC290" s="102">
        <f t="shared" si="329"/>
        <v>2998163.98</v>
      </c>
      <c r="AD290" s="102">
        <f t="shared" si="329"/>
        <v>3629425.759</v>
      </c>
      <c r="AE290" s="102">
        <f t="shared" si="329"/>
        <v>3999089.493</v>
      </c>
      <c r="AF290" s="102">
        <f t="shared" si="329"/>
        <v>4020798.836</v>
      </c>
      <c r="AG290" s="102">
        <f t="shared" si="329"/>
        <v>3233421.534</v>
      </c>
      <c r="AH290" s="102">
        <f t="shared" si="329"/>
        <v>400135.9148</v>
      </c>
      <c r="AI290" s="102">
        <f t="shared" si="329"/>
        <v>0</v>
      </c>
      <c r="AJ290" s="102">
        <f t="shared" si="329"/>
        <v>0</v>
      </c>
      <c r="AK290" s="102">
        <f t="shared" si="329"/>
        <v>0</v>
      </c>
      <c r="AL290" s="102">
        <f t="shared" si="329"/>
        <v>0</v>
      </c>
      <c r="AM290" s="102">
        <f t="shared" ref="AM290:AV290" si="330">$D290*AM$107*AM$9</f>
        <v>0</v>
      </c>
      <c r="AN290" s="102">
        <f t="shared" si="330"/>
        <v>0</v>
      </c>
      <c r="AO290" s="102">
        <f t="shared" si="330"/>
        <v>0</v>
      </c>
      <c r="AP290" s="102">
        <f t="shared" si="330"/>
        <v>0</v>
      </c>
      <c r="AQ290" s="102">
        <f t="shared" si="330"/>
        <v>0</v>
      </c>
      <c r="AR290" s="102" t="str">
        <f t="shared" si="330"/>
        <v>#REF!</v>
      </c>
      <c r="AS290" s="102" t="str">
        <f t="shared" si="330"/>
        <v>#REF!</v>
      </c>
      <c r="AT290" s="102" t="str">
        <f t="shared" si="330"/>
        <v>#REF!</v>
      </c>
      <c r="AU290" s="102" t="str">
        <f t="shared" si="330"/>
        <v>#REF!</v>
      </c>
      <c r="AV290" s="102" t="str">
        <f t="shared" si="330"/>
        <v>#REF!</v>
      </c>
      <c r="AW290" s="90"/>
      <c r="AX290" s="90"/>
      <c r="AY290" s="90"/>
      <c r="AZ290" s="90"/>
      <c r="BA290" s="90"/>
      <c r="BB290" s="90"/>
      <c r="BC290" s="90"/>
      <c r="BD290" s="90"/>
      <c r="BE290" s="90"/>
      <c r="BF290" s="90"/>
      <c r="BG290" s="90"/>
      <c r="BH290" s="90"/>
      <c r="BI290" s="90"/>
      <c r="BJ290" s="90"/>
      <c r="BK290" s="90"/>
      <c r="BL290" s="90"/>
      <c r="BM290" s="90"/>
      <c r="BN290" s="90"/>
      <c r="BO290" s="90"/>
      <c r="BP290" s="90"/>
    </row>
    <row r="291" ht="12.75" customHeight="1" outlineLevel="1">
      <c r="A291" s="90" t="s">
        <v>290</v>
      </c>
      <c r="C291" s="102">
        <f>'RSGen 1-7'!K$389</f>
        <v>6000</v>
      </c>
      <c r="D291" s="102">
        <f>OFFSET(RSGen_Walton!$G$389,0,ROW(C291)-ROW($C$287))</f>
        <v>6000</v>
      </c>
      <c r="E291" s="102">
        <f>OFFSET(RSGen_none!$G$389,0,ROW(D291)-ROW($C$287))</f>
        <v>6000</v>
      </c>
      <c r="F291" s="102"/>
      <c r="G291" s="102"/>
      <c r="H291" s="313"/>
      <c r="I291" s="313"/>
      <c r="J291" s="313"/>
      <c r="K291" s="306"/>
      <c r="L291" s="306"/>
      <c r="M291" s="306"/>
      <c r="N291" s="306"/>
      <c r="O291" s="306"/>
      <c r="P291" s="102">
        <f t="shared" ref="P291:AL291" si="331">P$112*(MAX(0,MIN(P10,SUM(P10:P$15)-$E$4))*$E291+MAX(0,MIN(P10,$D$4-SUM(P11:P$15)))*$C291+(P10-(MAX(0,MIN(P10,SUM(P10:P$15)-$E$4))+MAX(0,MIN(P10,$D$4-SUM(P11:P$15)))))*$D291)</f>
        <v>12734.496</v>
      </c>
      <c r="Q291" s="102">
        <f t="shared" si="331"/>
        <v>19483.77888</v>
      </c>
      <c r="R291" s="102">
        <f t="shared" si="331"/>
        <v>33122.4241</v>
      </c>
      <c r="S291" s="102">
        <f t="shared" si="331"/>
        <v>54055.79612</v>
      </c>
      <c r="T291" s="102">
        <f t="shared" si="331"/>
        <v>89597.48208</v>
      </c>
      <c r="U291" s="102">
        <f t="shared" si="331"/>
        <v>154659.0383</v>
      </c>
      <c r="V291" s="102">
        <f t="shared" si="331"/>
        <v>243798.884</v>
      </c>
      <c r="W291" s="102">
        <f t="shared" si="331"/>
        <v>329128.4934</v>
      </c>
      <c r="X291" s="102">
        <f t="shared" si="331"/>
        <v>335711.0633</v>
      </c>
      <c r="Y291" s="102">
        <f t="shared" si="331"/>
        <v>502223.7506</v>
      </c>
      <c r="Z291" s="102">
        <f t="shared" si="331"/>
        <v>620931.1826</v>
      </c>
      <c r="AA291" s="102">
        <f t="shared" si="331"/>
        <v>1124195.906</v>
      </c>
      <c r="AB291" s="102">
        <f t="shared" si="331"/>
        <v>1558515.536</v>
      </c>
      <c r="AC291" s="102">
        <f t="shared" si="331"/>
        <v>1993284.844</v>
      </c>
      <c r="AD291" s="102">
        <f t="shared" si="331"/>
        <v>2293595.445</v>
      </c>
      <c r="AE291" s="102">
        <f t="shared" si="331"/>
        <v>2776510.705</v>
      </c>
      <c r="AF291" s="102">
        <f t="shared" si="331"/>
        <v>3059303.462</v>
      </c>
      <c r="AG291" s="102">
        <f t="shared" si="331"/>
        <v>3075911.11</v>
      </c>
      <c r="AH291" s="102">
        <f t="shared" si="331"/>
        <v>2473567.473</v>
      </c>
      <c r="AI291" s="102">
        <f t="shared" si="331"/>
        <v>306103.9748</v>
      </c>
      <c r="AJ291" s="102">
        <f t="shared" si="331"/>
        <v>0</v>
      </c>
      <c r="AK291" s="102">
        <f t="shared" si="331"/>
        <v>0</v>
      </c>
      <c r="AL291" s="102">
        <f t="shared" si="331"/>
        <v>0</v>
      </c>
      <c r="AM291" s="102">
        <f t="shared" ref="AM291:AV291" si="332">$D291*AM$107*AM$10</f>
        <v>0</v>
      </c>
      <c r="AN291" s="102">
        <f t="shared" si="332"/>
        <v>0</v>
      </c>
      <c r="AO291" s="102">
        <f t="shared" si="332"/>
        <v>0</v>
      </c>
      <c r="AP291" s="102">
        <f t="shared" si="332"/>
        <v>0</v>
      </c>
      <c r="AQ291" s="102">
        <f t="shared" si="332"/>
        <v>0</v>
      </c>
      <c r="AR291" s="102">
        <f t="shared" si="332"/>
        <v>0</v>
      </c>
      <c r="AS291" s="102" t="str">
        <f t="shared" si="332"/>
        <v>#REF!</v>
      </c>
      <c r="AT291" s="102" t="str">
        <f t="shared" si="332"/>
        <v>#REF!</v>
      </c>
      <c r="AU291" s="102" t="str">
        <f t="shared" si="332"/>
        <v>#REF!</v>
      </c>
      <c r="AV291" s="102" t="str">
        <f t="shared" si="332"/>
        <v>#REF!</v>
      </c>
      <c r="AW291" s="90"/>
      <c r="AX291" s="90"/>
      <c r="AY291" s="90"/>
      <c r="AZ291" s="90"/>
      <c r="BA291" s="90"/>
      <c r="BB291" s="90"/>
      <c r="BC291" s="90"/>
      <c r="BD291" s="90"/>
      <c r="BE291" s="90"/>
      <c r="BF291" s="90"/>
      <c r="BG291" s="90"/>
      <c r="BH291" s="90"/>
      <c r="BI291" s="90"/>
      <c r="BJ291" s="90"/>
      <c r="BK291" s="90"/>
      <c r="BL291" s="90"/>
      <c r="BM291" s="90"/>
      <c r="BN291" s="90"/>
      <c r="BO291" s="90"/>
      <c r="BP291" s="90"/>
    </row>
    <row r="292" ht="12.75" customHeight="1" outlineLevel="1">
      <c r="A292" s="90" t="s">
        <v>291</v>
      </c>
      <c r="C292" s="102">
        <f>'RSGen 1-7'!L$389</f>
        <v>4000</v>
      </c>
      <c r="D292" s="102">
        <f>OFFSET(RSGen_Walton!$G$389,0,ROW(C292)-ROW($C$287))</f>
        <v>4000</v>
      </c>
      <c r="E292" s="102">
        <f>OFFSET(RSGen_none!$G$389,0,ROW(D292)-ROW($C$287))</f>
        <v>4000</v>
      </c>
      <c r="F292" s="102"/>
      <c r="G292" s="102"/>
      <c r="H292" s="313"/>
      <c r="I292" s="313"/>
      <c r="J292" s="313"/>
      <c r="K292" s="306"/>
      <c r="L292" s="306"/>
      <c r="M292" s="306"/>
      <c r="N292" s="306"/>
      <c r="O292" s="306"/>
      <c r="P292" s="306"/>
      <c r="Q292" s="102">
        <f t="shared" ref="Q292:AL292" si="333">Q$112*(MAX(0,MIN(Q11,SUM(Q11:Q$15)-$E$4))*$E292+MAX(0,MIN(Q11,$D$4-SUM(Q12:Q$15)))*$C292+(Q11-(MAX(0,MIN(Q11,SUM(Q11:Q$15)-$E$4))+MAX(0,MIN(Q11,$D$4-SUM(Q12:Q$15)))))*$D292)</f>
        <v>8659.45728</v>
      </c>
      <c r="R292" s="102">
        <f t="shared" si="333"/>
        <v>13248.96964</v>
      </c>
      <c r="S292" s="102">
        <f t="shared" si="333"/>
        <v>22523.24839</v>
      </c>
      <c r="T292" s="102">
        <f t="shared" si="333"/>
        <v>36757.94136</v>
      </c>
      <c r="U292" s="102">
        <f t="shared" si="333"/>
        <v>60926.28781</v>
      </c>
      <c r="V292" s="102">
        <f t="shared" si="333"/>
        <v>105168.146</v>
      </c>
      <c r="W292" s="102">
        <f t="shared" si="333"/>
        <v>165783.2411</v>
      </c>
      <c r="X292" s="102">
        <f t="shared" si="333"/>
        <v>223807.3755</v>
      </c>
      <c r="Y292" s="102">
        <f t="shared" si="333"/>
        <v>228283.523</v>
      </c>
      <c r="Z292" s="102">
        <f t="shared" si="333"/>
        <v>341512.1504</v>
      </c>
      <c r="AA292" s="102">
        <f t="shared" si="333"/>
        <v>422233.2042</v>
      </c>
      <c r="AB292" s="102">
        <f t="shared" si="333"/>
        <v>764453.2162</v>
      </c>
      <c r="AC292" s="102">
        <f t="shared" si="333"/>
        <v>1059790.564</v>
      </c>
      <c r="AD292" s="102">
        <f t="shared" si="333"/>
        <v>1355433.694</v>
      </c>
      <c r="AE292" s="102">
        <f t="shared" si="333"/>
        <v>1559644.902</v>
      </c>
      <c r="AF292" s="102">
        <f t="shared" si="333"/>
        <v>1888027.28</v>
      </c>
      <c r="AG292" s="102">
        <f t="shared" si="333"/>
        <v>2080326.354</v>
      </c>
      <c r="AH292" s="102">
        <f t="shared" si="333"/>
        <v>2091619.555</v>
      </c>
      <c r="AI292" s="102">
        <f t="shared" si="333"/>
        <v>1682025.882</v>
      </c>
      <c r="AJ292" s="102">
        <f t="shared" si="333"/>
        <v>208150.7029</v>
      </c>
      <c r="AK292" s="102">
        <f t="shared" si="333"/>
        <v>0</v>
      </c>
      <c r="AL292" s="102">
        <f t="shared" si="333"/>
        <v>0</v>
      </c>
      <c r="AM292" s="102">
        <f t="shared" ref="AM292:AV292" si="334">$D292*AM$107*AM$11</f>
        <v>0</v>
      </c>
      <c r="AN292" s="102">
        <f t="shared" si="334"/>
        <v>0</v>
      </c>
      <c r="AO292" s="102">
        <f t="shared" si="334"/>
        <v>0</v>
      </c>
      <c r="AP292" s="102">
        <f t="shared" si="334"/>
        <v>0</v>
      </c>
      <c r="AQ292" s="102">
        <f t="shared" si="334"/>
        <v>0</v>
      </c>
      <c r="AR292" s="102">
        <f t="shared" si="334"/>
        <v>0</v>
      </c>
      <c r="AS292" s="102">
        <f t="shared" si="334"/>
        <v>0</v>
      </c>
      <c r="AT292" s="102" t="str">
        <f t="shared" si="334"/>
        <v>#REF!</v>
      </c>
      <c r="AU292" s="102" t="str">
        <f t="shared" si="334"/>
        <v>#REF!</v>
      </c>
      <c r="AV292" s="102" t="str">
        <f t="shared" si="334"/>
        <v>#REF!</v>
      </c>
      <c r="AW292" s="90"/>
      <c r="AX292" s="90"/>
      <c r="AY292" s="90"/>
      <c r="AZ292" s="90"/>
      <c r="BA292" s="90"/>
      <c r="BB292" s="90"/>
      <c r="BC292" s="90"/>
      <c r="BD292" s="90"/>
      <c r="BE292" s="90"/>
      <c r="BF292" s="90"/>
      <c r="BG292" s="90"/>
      <c r="BH292" s="90"/>
      <c r="BI292" s="90"/>
      <c r="BJ292" s="90"/>
      <c r="BK292" s="90"/>
      <c r="BL292" s="90"/>
      <c r="BM292" s="90"/>
      <c r="BN292" s="90"/>
      <c r="BO292" s="90"/>
      <c r="BP292" s="90"/>
    </row>
    <row r="293" ht="12.75" customHeight="1" outlineLevel="1">
      <c r="A293" s="90" t="s">
        <v>292</v>
      </c>
      <c r="C293" s="102">
        <f>'RSGen 1-7'!M$389</f>
        <v>2000</v>
      </c>
      <c r="D293" s="102">
        <f>OFFSET(RSGen_Walton!$G$389,0,ROW(C293)-ROW($C$287))</f>
        <v>2000</v>
      </c>
      <c r="E293" s="102">
        <f>OFFSET(RSGen_none!$G$389,0,ROW(D293)-ROW($C$287))</f>
        <v>2000</v>
      </c>
      <c r="F293" s="102"/>
      <c r="G293" s="102"/>
      <c r="H293" s="313"/>
      <c r="I293" s="313"/>
      <c r="J293" s="313"/>
      <c r="K293" s="306"/>
      <c r="L293" s="306"/>
      <c r="M293" s="306"/>
      <c r="N293" s="306"/>
      <c r="O293" s="306"/>
      <c r="P293" s="306"/>
      <c r="Q293" s="306"/>
      <c r="R293" s="102">
        <f t="shared" ref="R293:AL293" si="335">R$112*(MAX(0,MIN(R12,SUM(R12:R$15)-$E$4))*$E293+MAX(0,MIN(R12,$D$4-SUM(R13:R$15)))*$C293+(R12-(MAX(0,MIN(R12,SUM(R12:R$15)-$E$4))+MAX(0,MIN(R12,$D$4-SUM(R13:R$15)))))*$D293)</f>
        <v>4416.323213</v>
      </c>
      <c r="S293" s="102">
        <f t="shared" si="335"/>
        <v>6756.974516</v>
      </c>
      <c r="T293" s="102">
        <f t="shared" si="335"/>
        <v>11486.85668</v>
      </c>
      <c r="U293" s="102">
        <f t="shared" si="335"/>
        <v>18746.5501</v>
      </c>
      <c r="V293" s="102">
        <f t="shared" si="335"/>
        <v>31072.40678</v>
      </c>
      <c r="W293" s="102">
        <f t="shared" si="335"/>
        <v>53635.75448</v>
      </c>
      <c r="X293" s="102">
        <f t="shared" si="335"/>
        <v>84549.45297</v>
      </c>
      <c r="Y293" s="102">
        <f t="shared" si="335"/>
        <v>114141.7615</v>
      </c>
      <c r="Z293" s="102">
        <f t="shared" si="335"/>
        <v>116424.5967</v>
      </c>
      <c r="AA293" s="102">
        <f t="shared" si="335"/>
        <v>174171.1967</v>
      </c>
      <c r="AB293" s="102">
        <f t="shared" si="335"/>
        <v>215338.9341</v>
      </c>
      <c r="AC293" s="102">
        <f t="shared" si="335"/>
        <v>389871.1402</v>
      </c>
      <c r="AD293" s="102">
        <f t="shared" si="335"/>
        <v>540493.1878</v>
      </c>
      <c r="AE293" s="102">
        <f t="shared" si="335"/>
        <v>691271.1838</v>
      </c>
      <c r="AF293" s="102">
        <f t="shared" si="335"/>
        <v>795418.9002</v>
      </c>
      <c r="AG293" s="102">
        <f t="shared" si="335"/>
        <v>962893.9126</v>
      </c>
      <c r="AH293" s="102">
        <f t="shared" si="335"/>
        <v>1060966.441</v>
      </c>
      <c r="AI293" s="102">
        <f t="shared" si="335"/>
        <v>1066725.973</v>
      </c>
      <c r="AJ293" s="102">
        <f t="shared" si="335"/>
        <v>857833.1997</v>
      </c>
      <c r="AK293" s="102">
        <f t="shared" si="335"/>
        <v>106156.8585</v>
      </c>
      <c r="AL293" s="102">
        <f t="shared" si="335"/>
        <v>0</v>
      </c>
      <c r="AM293" s="102">
        <f t="shared" ref="AM293:AV293" si="336">$D293*AM$107*AM$12</f>
        <v>0</v>
      </c>
      <c r="AN293" s="102">
        <f t="shared" si="336"/>
        <v>0</v>
      </c>
      <c r="AO293" s="102">
        <f t="shared" si="336"/>
        <v>0</v>
      </c>
      <c r="AP293" s="102">
        <f t="shared" si="336"/>
        <v>0</v>
      </c>
      <c r="AQ293" s="102">
        <f t="shared" si="336"/>
        <v>0</v>
      </c>
      <c r="AR293" s="102">
        <f t="shared" si="336"/>
        <v>0</v>
      </c>
      <c r="AS293" s="102">
        <f t="shared" si="336"/>
        <v>0</v>
      </c>
      <c r="AT293" s="102">
        <f t="shared" si="336"/>
        <v>0</v>
      </c>
      <c r="AU293" s="102" t="str">
        <f t="shared" si="336"/>
        <v>#REF!</v>
      </c>
      <c r="AV293" s="102" t="str">
        <f t="shared" si="336"/>
        <v>#REF!</v>
      </c>
      <c r="AW293" s="90"/>
      <c r="AX293" s="90"/>
      <c r="AY293" s="90"/>
      <c r="AZ293" s="90"/>
      <c r="BA293" s="90"/>
      <c r="BB293" s="90"/>
      <c r="BC293" s="90"/>
      <c r="BD293" s="90"/>
      <c r="BE293" s="90"/>
      <c r="BF293" s="90"/>
      <c r="BG293" s="90"/>
      <c r="BH293" s="90"/>
      <c r="BI293" s="90"/>
      <c r="BJ293" s="90"/>
      <c r="BK293" s="90"/>
      <c r="BL293" s="90"/>
      <c r="BM293" s="90"/>
      <c r="BN293" s="90"/>
      <c r="BO293" s="90"/>
      <c r="BP293" s="90"/>
    </row>
    <row r="294" ht="12.75" customHeight="1" outlineLevel="1">
      <c r="A294" s="90" t="s">
        <v>293</v>
      </c>
      <c r="C294" s="102">
        <f>'RSGen 1-7'!N$389</f>
        <v>0</v>
      </c>
      <c r="D294" s="102">
        <f>OFFSET(RSGen_Walton!$G$389,0,ROW(C294)-ROW($C$287))</f>
        <v>0</v>
      </c>
      <c r="E294" s="102">
        <f>OFFSET(RSGen_none!$G$389,0,ROW(D294)-ROW($C$287))</f>
        <v>0</v>
      </c>
      <c r="F294" s="102"/>
      <c r="G294" s="102"/>
      <c r="H294" s="313"/>
      <c r="I294" s="313"/>
      <c r="J294" s="313"/>
      <c r="K294" s="306"/>
      <c r="L294" s="306"/>
      <c r="M294" s="306"/>
      <c r="N294" s="306"/>
      <c r="O294" s="306"/>
      <c r="P294" s="306"/>
      <c r="Q294" s="306"/>
      <c r="R294" s="306"/>
      <c r="S294" s="102">
        <f t="shared" ref="S294:AL294" si="337">S$112*(MAX(0,MIN(S13,SUM(S13:S$15)-$E$4))*$E294+MAX(0,MIN(S13,$D$4-SUM(S14:S$15)))*$C294+(S13-(MAX(0,MIN(S13,SUM(S13:S$15)-$E$4))+MAX(0,MIN(S13,$D$4-SUM(S14:S$15)))))*$D294)</f>
        <v>0</v>
      </c>
      <c r="T294" s="102">
        <f t="shared" si="337"/>
        <v>0</v>
      </c>
      <c r="U294" s="102">
        <f t="shared" si="337"/>
        <v>0</v>
      </c>
      <c r="V294" s="102">
        <f t="shared" si="337"/>
        <v>0</v>
      </c>
      <c r="W294" s="102">
        <f t="shared" si="337"/>
        <v>0</v>
      </c>
      <c r="X294" s="102">
        <f t="shared" si="337"/>
        <v>0</v>
      </c>
      <c r="Y294" s="102">
        <f t="shared" si="337"/>
        <v>0</v>
      </c>
      <c r="Z294" s="102">
        <f t="shared" si="337"/>
        <v>0</v>
      </c>
      <c r="AA294" s="102">
        <f t="shared" si="337"/>
        <v>0</v>
      </c>
      <c r="AB294" s="102">
        <f t="shared" si="337"/>
        <v>0</v>
      </c>
      <c r="AC294" s="102">
        <f t="shared" si="337"/>
        <v>0</v>
      </c>
      <c r="AD294" s="102">
        <f t="shared" si="337"/>
        <v>0</v>
      </c>
      <c r="AE294" s="102">
        <f t="shared" si="337"/>
        <v>0</v>
      </c>
      <c r="AF294" s="102">
        <f t="shared" si="337"/>
        <v>0</v>
      </c>
      <c r="AG294" s="102">
        <f t="shared" si="337"/>
        <v>0</v>
      </c>
      <c r="AH294" s="102">
        <f t="shared" si="337"/>
        <v>0</v>
      </c>
      <c r="AI294" s="102">
        <f t="shared" si="337"/>
        <v>0</v>
      </c>
      <c r="AJ294" s="102">
        <f t="shared" si="337"/>
        <v>0</v>
      </c>
      <c r="AK294" s="102">
        <f t="shared" si="337"/>
        <v>0</v>
      </c>
      <c r="AL294" s="102">
        <f t="shared" si="337"/>
        <v>0</v>
      </c>
      <c r="AM294" s="102">
        <f t="shared" ref="AM294:AV294" si="338">$D294*AM$107*AM$13</f>
        <v>0</v>
      </c>
      <c r="AN294" s="102">
        <f t="shared" si="338"/>
        <v>0</v>
      </c>
      <c r="AO294" s="102">
        <f t="shared" si="338"/>
        <v>0</v>
      </c>
      <c r="AP294" s="102">
        <f t="shared" si="338"/>
        <v>0</v>
      </c>
      <c r="AQ294" s="102">
        <f t="shared" si="338"/>
        <v>0</v>
      </c>
      <c r="AR294" s="102">
        <f t="shared" si="338"/>
        <v>0</v>
      </c>
      <c r="AS294" s="102">
        <f t="shared" si="338"/>
        <v>0</v>
      </c>
      <c r="AT294" s="102">
        <f t="shared" si="338"/>
        <v>0</v>
      </c>
      <c r="AU294" s="102">
        <f t="shared" si="338"/>
        <v>0</v>
      </c>
      <c r="AV294" s="102" t="str">
        <f t="shared" si="338"/>
        <v>#REF!</v>
      </c>
      <c r="AW294" s="90"/>
      <c r="AX294" s="90"/>
      <c r="AY294" s="90"/>
      <c r="AZ294" s="90"/>
      <c r="BA294" s="90"/>
      <c r="BB294" s="90"/>
      <c r="BC294" s="90"/>
      <c r="BD294" s="90"/>
      <c r="BE294" s="90"/>
      <c r="BF294" s="90"/>
      <c r="BG294" s="90"/>
      <c r="BH294" s="90"/>
      <c r="BI294" s="90"/>
      <c r="BJ294" s="90"/>
      <c r="BK294" s="90"/>
      <c r="BL294" s="90"/>
      <c r="BM294" s="90"/>
      <c r="BN294" s="90"/>
      <c r="BO294" s="90"/>
      <c r="BP294" s="90"/>
    </row>
    <row r="295" ht="12.75" customHeight="1" outlineLevel="1">
      <c r="A295" s="90" t="s">
        <v>294</v>
      </c>
      <c r="C295" s="102">
        <f>'RSGen 1-7'!O$389</f>
        <v>0</v>
      </c>
      <c r="D295" s="102">
        <f>OFFSET(RSGen_Walton!$G$389,0,ROW(C295)-ROW($C$287))</f>
        <v>0</v>
      </c>
      <c r="E295" s="102">
        <f>OFFSET(RSGen_none!$G$389,0,ROW(D295)-ROW($C$287))</f>
        <v>0</v>
      </c>
      <c r="F295" s="102"/>
      <c r="G295" s="102"/>
      <c r="H295" s="313"/>
      <c r="I295" s="313"/>
      <c r="J295" s="313"/>
      <c r="K295" s="306"/>
      <c r="L295" s="306"/>
      <c r="M295" s="306"/>
      <c r="N295" s="306"/>
      <c r="O295" s="306"/>
      <c r="P295" s="306"/>
      <c r="Q295" s="306"/>
      <c r="R295" s="306"/>
      <c r="S295" s="306"/>
      <c r="T295" s="102">
        <f t="shared" ref="T295:AL295" si="339">T$112*(MAX(0,MIN(T14,SUM(T14:T$15)-$E$4))*$E295+MAX(0,MIN(T14,$D$4-SUM(T$15:T15)))*$C295+(T14-(MAX(0,MIN(T14,SUM(T14:T$15)-$E$4))+MAX(0,MIN(T14,$D$4-SUM(T$15:T15)))))*$D295)</f>
        <v>0</v>
      </c>
      <c r="U295" s="102">
        <f t="shared" si="339"/>
        <v>0</v>
      </c>
      <c r="V295" s="102">
        <f t="shared" si="339"/>
        <v>0</v>
      </c>
      <c r="W295" s="102">
        <f t="shared" si="339"/>
        <v>0</v>
      </c>
      <c r="X295" s="102">
        <f t="shared" si="339"/>
        <v>0</v>
      </c>
      <c r="Y295" s="102">
        <f t="shared" si="339"/>
        <v>0</v>
      </c>
      <c r="Z295" s="102">
        <f t="shared" si="339"/>
        <v>0</v>
      </c>
      <c r="AA295" s="102">
        <f t="shared" si="339"/>
        <v>0</v>
      </c>
      <c r="AB295" s="102">
        <f t="shared" si="339"/>
        <v>0</v>
      </c>
      <c r="AC295" s="102">
        <f t="shared" si="339"/>
        <v>0</v>
      </c>
      <c r="AD295" s="102">
        <f t="shared" si="339"/>
        <v>0</v>
      </c>
      <c r="AE295" s="102">
        <f t="shared" si="339"/>
        <v>0</v>
      </c>
      <c r="AF295" s="102">
        <f t="shared" si="339"/>
        <v>0</v>
      </c>
      <c r="AG295" s="102">
        <f t="shared" si="339"/>
        <v>0</v>
      </c>
      <c r="AH295" s="102">
        <f t="shared" si="339"/>
        <v>0</v>
      </c>
      <c r="AI295" s="102">
        <f t="shared" si="339"/>
        <v>0</v>
      </c>
      <c r="AJ295" s="102">
        <f t="shared" si="339"/>
        <v>0</v>
      </c>
      <c r="AK295" s="102">
        <f t="shared" si="339"/>
        <v>0</v>
      </c>
      <c r="AL295" s="102">
        <f t="shared" si="339"/>
        <v>0</v>
      </c>
      <c r="AM295" s="102">
        <f t="shared" ref="AM295:AV295" si="340">$D295*AM$107*AM$14</f>
        <v>0</v>
      </c>
      <c r="AN295" s="102">
        <f t="shared" si="340"/>
        <v>0</v>
      </c>
      <c r="AO295" s="102">
        <f t="shared" si="340"/>
        <v>0</v>
      </c>
      <c r="AP295" s="102">
        <f t="shared" si="340"/>
        <v>0</v>
      </c>
      <c r="AQ295" s="102">
        <f t="shared" si="340"/>
        <v>0</v>
      </c>
      <c r="AR295" s="102">
        <f t="shared" si="340"/>
        <v>0</v>
      </c>
      <c r="AS295" s="102">
        <f t="shared" si="340"/>
        <v>0</v>
      </c>
      <c r="AT295" s="102">
        <f t="shared" si="340"/>
        <v>0</v>
      </c>
      <c r="AU295" s="102">
        <f t="shared" si="340"/>
        <v>0</v>
      </c>
      <c r="AV295" s="102">
        <f t="shared" si="340"/>
        <v>0</v>
      </c>
      <c r="AW295" s="90"/>
      <c r="AX295" s="90"/>
      <c r="AY295" s="90"/>
      <c r="AZ295" s="90"/>
      <c r="BA295" s="90"/>
      <c r="BB295" s="90"/>
      <c r="BC295" s="90"/>
      <c r="BD295" s="90"/>
      <c r="BE295" s="90"/>
      <c r="BF295" s="90"/>
      <c r="BG295" s="90"/>
      <c r="BH295" s="90"/>
      <c r="BI295" s="90"/>
      <c r="BJ295" s="90"/>
      <c r="BK295" s="90"/>
      <c r="BL295" s="90"/>
      <c r="BM295" s="90"/>
      <c r="BN295" s="90"/>
      <c r="BO295" s="90"/>
      <c r="BP295" s="90"/>
    </row>
    <row r="296" ht="12.75" customHeight="1" outlineLevel="1">
      <c r="A296" s="90" t="s">
        <v>295</v>
      </c>
      <c r="C296" s="102">
        <f>'RSGen 1-7'!P$389</f>
        <v>0</v>
      </c>
      <c r="D296" s="102">
        <f>OFFSET(RSGen_Walton!$G$389,0,ROW(C296)-ROW($C$287))</f>
        <v>0</v>
      </c>
      <c r="E296" s="102">
        <f>OFFSET(RSGen_none!$G$389,0,ROW(D296)-ROW($C$287))</f>
        <v>0</v>
      </c>
      <c r="F296" s="102"/>
      <c r="G296" s="102"/>
      <c r="H296" s="313"/>
      <c r="I296" s="313"/>
      <c r="J296" s="313"/>
      <c r="K296" s="306"/>
      <c r="L296" s="306"/>
      <c r="M296" s="306"/>
      <c r="N296" s="306"/>
      <c r="O296" s="306"/>
      <c r="P296" s="306"/>
      <c r="Q296" s="306"/>
      <c r="R296" s="306"/>
      <c r="S296" s="306"/>
      <c r="T296" s="306"/>
      <c r="U296" s="102">
        <f t="shared" ref="U296:AL296" si="341">U$112*($C296*MIN($D$4-3,U15-3)+$D296*MIN($E$4-$D$4,MAX(0,U15-$D$4))+$E296*MAX(0,U15-$E$4))</f>
        <v>0</v>
      </c>
      <c r="V296" s="102">
        <f t="shared" si="341"/>
        <v>0</v>
      </c>
      <c r="W296" s="102">
        <f t="shared" si="341"/>
        <v>0</v>
      </c>
      <c r="X296" s="102">
        <f t="shared" si="341"/>
        <v>0</v>
      </c>
      <c r="Y296" s="102">
        <f t="shared" si="341"/>
        <v>0</v>
      </c>
      <c r="Z296" s="102">
        <f t="shared" si="341"/>
        <v>0</v>
      </c>
      <c r="AA296" s="102">
        <f t="shared" si="341"/>
        <v>0</v>
      </c>
      <c r="AB296" s="102">
        <f t="shared" si="341"/>
        <v>0</v>
      </c>
      <c r="AC296" s="102">
        <f t="shared" si="341"/>
        <v>0</v>
      </c>
      <c r="AD296" s="102">
        <f t="shared" si="341"/>
        <v>0</v>
      </c>
      <c r="AE296" s="102">
        <f t="shared" si="341"/>
        <v>0</v>
      </c>
      <c r="AF296" s="102">
        <f t="shared" si="341"/>
        <v>0</v>
      </c>
      <c r="AG296" s="102">
        <f t="shared" si="341"/>
        <v>0</v>
      </c>
      <c r="AH296" s="102">
        <f t="shared" si="341"/>
        <v>0</v>
      </c>
      <c r="AI296" s="102">
        <f t="shared" si="341"/>
        <v>0</v>
      </c>
      <c r="AJ296" s="102">
        <f t="shared" si="341"/>
        <v>0</v>
      </c>
      <c r="AK296" s="102">
        <f t="shared" si="341"/>
        <v>0</v>
      </c>
      <c r="AL296" s="102">
        <f t="shared" si="341"/>
        <v>0</v>
      </c>
      <c r="AM296" s="102">
        <f t="shared" ref="AM296:AV296" si="342">$C296*AM$107*(4)+$D296*AM$107*(AM$15-7)</f>
        <v>0</v>
      </c>
      <c r="AN296" s="102">
        <f t="shared" si="342"/>
        <v>0</v>
      </c>
      <c r="AO296" s="102">
        <f t="shared" si="342"/>
        <v>0</v>
      </c>
      <c r="AP296" s="102">
        <f t="shared" si="342"/>
        <v>0</v>
      </c>
      <c r="AQ296" s="102">
        <f t="shared" si="342"/>
        <v>0</v>
      </c>
      <c r="AR296" s="102">
        <f t="shared" si="342"/>
        <v>0</v>
      </c>
      <c r="AS296" s="102">
        <f t="shared" si="342"/>
        <v>0</v>
      </c>
      <c r="AT296" s="102">
        <f t="shared" si="342"/>
        <v>0</v>
      </c>
      <c r="AU296" s="102">
        <f t="shared" si="342"/>
        <v>0</v>
      </c>
      <c r="AV296" s="102">
        <f t="shared" si="342"/>
        <v>0</v>
      </c>
      <c r="AW296" s="90"/>
      <c r="AX296" s="90"/>
      <c r="AY296" s="90"/>
      <c r="AZ296" s="90"/>
      <c r="BA296" s="90"/>
      <c r="BB296" s="90"/>
      <c r="BC296" s="90"/>
      <c r="BD296" s="90"/>
      <c r="BE296" s="90"/>
      <c r="BF296" s="90"/>
      <c r="BG296" s="90"/>
      <c r="BH296" s="90"/>
      <c r="BI296" s="90"/>
      <c r="BJ296" s="90"/>
      <c r="BK296" s="90"/>
      <c r="BL296" s="90"/>
      <c r="BM296" s="90"/>
      <c r="BN296" s="90"/>
      <c r="BO296" s="90"/>
      <c r="BP296" s="90"/>
    </row>
    <row r="297" ht="13.5" customHeight="1" outlineLevel="1">
      <c r="A297" s="143" t="str">
        <f>"Total "&amp;A287</f>
        <v>Total CDE Interest</v>
      </c>
      <c r="B297" s="143"/>
      <c r="C297" s="309"/>
      <c r="D297" s="309"/>
      <c r="E297" s="309"/>
      <c r="F297" s="309"/>
      <c r="G297" s="309"/>
      <c r="H297" s="314"/>
      <c r="I297" s="314"/>
      <c r="J297" s="314"/>
      <c r="K297" s="311"/>
      <c r="L297" s="311"/>
      <c r="M297" s="307">
        <f t="shared" ref="M297:AV297" si="343">SUM(M288:M296)</f>
        <v>0</v>
      </c>
      <c r="N297" s="307">
        <f t="shared" si="343"/>
        <v>20400</v>
      </c>
      <c r="O297" s="307">
        <f t="shared" si="343"/>
        <v>47858.4</v>
      </c>
      <c r="P297" s="307">
        <f t="shared" si="343"/>
        <v>91263.888</v>
      </c>
      <c r="Q297" s="307">
        <f t="shared" si="343"/>
        <v>158035.0954</v>
      </c>
      <c r="R297" s="307">
        <f t="shared" si="343"/>
        <v>264979.3928</v>
      </c>
      <c r="S297" s="307">
        <f t="shared" si="343"/>
        <v>448212.6429</v>
      </c>
      <c r="T297" s="309">
        <f t="shared" si="343"/>
        <v>730564.0846</v>
      </c>
      <c r="U297" s="309">
        <f t="shared" si="343"/>
        <v>1080269.949</v>
      </c>
      <c r="V297" s="309">
        <f t="shared" si="343"/>
        <v>1348064.417</v>
      </c>
      <c r="W297" s="309">
        <f t="shared" si="343"/>
        <v>1791921.797</v>
      </c>
      <c r="X297" s="309">
        <f t="shared" si="343"/>
        <v>2295268.973</v>
      </c>
      <c r="Y297" s="309">
        <f t="shared" si="343"/>
        <v>3457227.132</v>
      </c>
      <c r="Z297" s="309">
        <f t="shared" si="343"/>
        <v>5045065.859</v>
      </c>
      <c r="AA297" s="309">
        <f t="shared" si="343"/>
        <v>6951014.124</v>
      </c>
      <c r="AB297" s="309">
        <f t="shared" si="343"/>
        <v>8818129.353</v>
      </c>
      <c r="AC297" s="309">
        <f t="shared" si="343"/>
        <v>10888936.21</v>
      </c>
      <c r="AD297" s="309">
        <f t="shared" si="343"/>
        <v>12719793.05</v>
      </c>
      <c r="AE297" s="309">
        <f t="shared" si="343"/>
        <v>13953965.84</v>
      </c>
      <c r="AF297" s="309">
        <f t="shared" si="343"/>
        <v>13726074.87</v>
      </c>
      <c r="AG297" s="309">
        <f t="shared" si="343"/>
        <v>9842915.551</v>
      </c>
      <c r="AH297" s="309">
        <f t="shared" si="343"/>
        <v>6026289.383</v>
      </c>
      <c r="AI297" s="309">
        <f t="shared" si="343"/>
        <v>3054855.829</v>
      </c>
      <c r="AJ297" s="309">
        <f t="shared" si="343"/>
        <v>1065983.903</v>
      </c>
      <c r="AK297" s="309">
        <f t="shared" si="343"/>
        <v>106156.8585</v>
      </c>
      <c r="AL297" s="309">
        <f t="shared" si="343"/>
        <v>0</v>
      </c>
      <c r="AM297" s="309">
        <f t="shared" si="343"/>
        <v>0</v>
      </c>
      <c r="AN297" s="309">
        <f t="shared" si="343"/>
        <v>0</v>
      </c>
      <c r="AO297" s="309">
        <f t="shared" si="343"/>
        <v>0</v>
      </c>
      <c r="AP297" s="309" t="str">
        <f t="shared" si="343"/>
        <v>#REF!</v>
      </c>
      <c r="AQ297" s="309" t="str">
        <f t="shared" si="343"/>
        <v>#REF!</v>
      </c>
      <c r="AR297" s="309" t="str">
        <f t="shared" si="343"/>
        <v>#REF!</v>
      </c>
      <c r="AS297" s="309" t="str">
        <f t="shared" si="343"/>
        <v>#REF!</v>
      </c>
      <c r="AT297" s="309" t="str">
        <f t="shared" si="343"/>
        <v>#REF!</v>
      </c>
      <c r="AU297" s="309" t="str">
        <f t="shared" si="343"/>
        <v>#REF!</v>
      </c>
      <c r="AV297" s="309" t="str">
        <f t="shared" si="343"/>
        <v>#REF!</v>
      </c>
      <c r="AW297" s="90"/>
      <c r="AX297" s="90"/>
      <c r="AY297" s="90"/>
      <c r="AZ297" s="90"/>
      <c r="BA297" s="90"/>
      <c r="BB297" s="90"/>
      <c r="BC297" s="90"/>
      <c r="BD297" s="90"/>
      <c r="BE297" s="90"/>
      <c r="BF297" s="90"/>
      <c r="BG297" s="90"/>
      <c r="BH297" s="90"/>
      <c r="BI297" s="90"/>
      <c r="BJ297" s="90"/>
      <c r="BK297" s="90"/>
      <c r="BL297" s="90"/>
      <c r="BM297" s="90"/>
      <c r="BN297" s="90"/>
      <c r="BO297" s="90"/>
      <c r="BP297" s="90"/>
    </row>
    <row r="298" ht="13.5" customHeight="1" outlineLevel="1">
      <c r="A298" s="90"/>
      <c r="C298" s="102"/>
      <c r="D298" s="102"/>
      <c r="E298" s="102"/>
      <c r="F298" s="102"/>
      <c r="G298" s="102"/>
      <c r="K298" s="102"/>
      <c r="L298" s="102"/>
      <c r="M298" s="102"/>
      <c r="N298" s="102"/>
      <c r="O298" s="102"/>
      <c r="P298" s="102"/>
      <c r="Q298" s="102"/>
      <c r="R298" s="102"/>
      <c r="S298" s="102"/>
      <c r="T298" s="102"/>
      <c r="U298" s="102"/>
      <c r="V298" s="102"/>
      <c r="W298" s="102"/>
      <c r="X298" s="102"/>
      <c r="Y298" s="102"/>
      <c r="Z298" s="102"/>
      <c r="AA298" s="102"/>
      <c r="AB298" s="102"/>
      <c r="AC298" s="102"/>
      <c r="AD298" s="102"/>
      <c r="AE298" s="102"/>
      <c r="AF298" s="102"/>
      <c r="AG298" s="102"/>
      <c r="AH298" s="102"/>
      <c r="AI298" s="102"/>
      <c r="AJ298" s="102"/>
      <c r="AK298" s="102"/>
      <c r="AL298" s="102"/>
      <c r="AM298" s="102"/>
      <c r="AN298" s="102"/>
      <c r="AO298" s="102"/>
      <c r="AP298" s="102"/>
      <c r="AQ298" s="102"/>
      <c r="AR298" s="102"/>
      <c r="AS298" s="102"/>
      <c r="AT298" s="102"/>
      <c r="AU298" s="102"/>
      <c r="AV298" s="102"/>
      <c r="AW298" s="90"/>
      <c r="AX298" s="90"/>
      <c r="AY298" s="90"/>
      <c r="AZ298" s="90"/>
      <c r="BA298" s="90"/>
      <c r="BB298" s="90"/>
      <c r="BC298" s="90"/>
      <c r="BD298" s="90"/>
      <c r="BE298" s="90"/>
      <c r="BF298" s="90"/>
      <c r="BG298" s="90"/>
      <c r="BH298" s="90"/>
      <c r="BI298" s="90"/>
      <c r="BJ298" s="90"/>
      <c r="BK298" s="90"/>
      <c r="BL298" s="90"/>
      <c r="BM298" s="90"/>
      <c r="BN298" s="90"/>
      <c r="BO298" s="90"/>
      <c r="BP298" s="90"/>
    </row>
    <row r="299" ht="12.75" customHeight="1" outlineLevel="1">
      <c r="A299" s="90" t="s">
        <v>610</v>
      </c>
      <c r="B299" s="90"/>
      <c r="C299" s="102"/>
      <c r="D299" s="102"/>
      <c r="E299" s="102"/>
      <c r="F299" s="102"/>
      <c r="G299" s="102"/>
      <c r="H299" s="90"/>
      <c r="I299" s="90"/>
      <c r="J299" s="90"/>
      <c r="K299" s="102"/>
      <c r="L299" s="102"/>
      <c r="M299" s="102"/>
      <c r="N299" s="102"/>
      <c r="O299" s="102"/>
      <c r="P299" s="102"/>
      <c r="Q299" s="102"/>
      <c r="R299" s="102"/>
      <c r="S299" s="102"/>
      <c r="T299" s="102"/>
      <c r="U299" s="102"/>
      <c r="V299" s="102"/>
      <c r="W299" s="102"/>
      <c r="X299" s="102"/>
      <c r="Y299" s="102"/>
      <c r="Z299" s="102"/>
      <c r="AA299" s="102"/>
      <c r="AB299" s="102"/>
      <c r="AC299" s="102"/>
      <c r="AD299" s="102"/>
      <c r="AE299" s="102"/>
      <c r="AF299" s="102"/>
      <c r="AG299" s="102"/>
      <c r="AH299" s="102"/>
      <c r="AI299" s="102"/>
      <c r="AJ299" s="102"/>
      <c r="AK299" s="102"/>
      <c r="AL299" s="102"/>
      <c r="AM299" s="102"/>
      <c r="AN299" s="102"/>
      <c r="AO299" s="102"/>
      <c r="AP299" s="102"/>
      <c r="AQ299" s="102"/>
      <c r="AR299" s="102"/>
      <c r="AS299" s="102"/>
      <c r="AT299" s="102"/>
      <c r="AU299" s="102"/>
      <c r="AV299" s="102"/>
      <c r="AW299" s="90"/>
      <c r="AX299" s="90"/>
      <c r="AY299" s="90"/>
      <c r="AZ299" s="90"/>
      <c r="BA299" s="90"/>
      <c r="BB299" s="90"/>
      <c r="BC299" s="90"/>
      <c r="BD299" s="90"/>
      <c r="BE299" s="90"/>
      <c r="BF299" s="90"/>
      <c r="BG299" s="90"/>
      <c r="BH299" s="90"/>
      <c r="BI299" s="90"/>
      <c r="BJ299" s="90"/>
      <c r="BK299" s="90"/>
      <c r="BL299" s="90"/>
      <c r="BM299" s="90"/>
      <c r="BN299" s="90"/>
      <c r="BO299" s="90"/>
      <c r="BP299" s="90"/>
    </row>
    <row r="300" ht="12.75" customHeight="1" outlineLevel="1">
      <c r="A300" s="90" t="s">
        <v>287</v>
      </c>
      <c r="C300" s="102">
        <f>'RSGen 1-7'!H$390</f>
        <v>0</v>
      </c>
      <c r="D300" s="102">
        <f>OFFSET(RSGen_Walton!$G$390,0,ROW(C300)-ROW($C$300))</f>
        <v>0</v>
      </c>
      <c r="E300" s="102">
        <f>OFFSET(RSGen_none!$G$390,0,ROW(D300)-ROW($C$300))</f>
        <v>0</v>
      </c>
      <c r="F300" s="102"/>
      <c r="G300" s="102"/>
      <c r="H300" s="313"/>
      <c r="I300" s="313"/>
      <c r="J300" s="313"/>
      <c r="K300" s="306"/>
      <c r="L300" s="306"/>
      <c r="M300" s="102">
        <f t="shared" ref="M300:AL300" si="344">M$112*(MAX(0,MIN(M7,SUM(M7:M$15)-$E$4))*$E300+MAX(0,MIN(M7,$D$4-SUM(M8:M$15)))*$C300+(M7-(MAX(0,MIN(M7,SUM(M7:M$15)-$E$4))+MAX(0,MIN(M7,$D$4-SUM(M8:M$15)))))*$D300)</f>
        <v>0</v>
      </c>
      <c r="N300" s="102">
        <f t="shared" si="344"/>
        <v>0</v>
      </c>
      <c r="O300" s="102">
        <f t="shared" si="344"/>
        <v>0</v>
      </c>
      <c r="P300" s="102">
        <f t="shared" si="344"/>
        <v>0</v>
      </c>
      <c r="Q300" s="102">
        <f t="shared" si="344"/>
        <v>0</v>
      </c>
      <c r="R300" s="102">
        <f t="shared" si="344"/>
        <v>0</v>
      </c>
      <c r="S300" s="102">
        <f t="shared" si="344"/>
        <v>0</v>
      </c>
      <c r="T300" s="102">
        <f t="shared" si="344"/>
        <v>0</v>
      </c>
      <c r="U300" s="102">
        <f t="shared" si="344"/>
        <v>0</v>
      </c>
      <c r="V300" s="102">
        <f t="shared" si="344"/>
        <v>0</v>
      </c>
      <c r="W300" s="102">
        <f t="shared" si="344"/>
        <v>0</v>
      </c>
      <c r="X300" s="102">
        <f t="shared" si="344"/>
        <v>0</v>
      </c>
      <c r="Y300" s="102">
        <f t="shared" si="344"/>
        <v>0</v>
      </c>
      <c r="Z300" s="102">
        <f t="shared" si="344"/>
        <v>0</v>
      </c>
      <c r="AA300" s="102">
        <f t="shared" si="344"/>
        <v>0</v>
      </c>
      <c r="AB300" s="102">
        <f t="shared" si="344"/>
        <v>0</v>
      </c>
      <c r="AC300" s="102">
        <f t="shared" si="344"/>
        <v>0</v>
      </c>
      <c r="AD300" s="102">
        <f t="shared" si="344"/>
        <v>0</v>
      </c>
      <c r="AE300" s="102">
        <f t="shared" si="344"/>
        <v>0</v>
      </c>
      <c r="AF300" s="102">
        <f t="shared" si="344"/>
        <v>0</v>
      </c>
      <c r="AG300" s="102">
        <f t="shared" si="344"/>
        <v>0</v>
      </c>
      <c r="AH300" s="102">
        <f t="shared" si="344"/>
        <v>0</v>
      </c>
      <c r="AI300" s="102">
        <f t="shared" si="344"/>
        <v>0</v>
      </c>
      <c r="AJ300" s="102">
        <f t="shared" si="344"/>
        <v>0</v>
      </c>
      <c r="AK300" s="102">
        <f t="shared" si="344"/>
        <v>0</v>
      </c>
      <c r="AL300" s="102">
        <f t="shared" si="344"/>
        <v>0</v>
      </c>
      <c r="AM300" s="102">
        <f t="shared" ref="AM300:AV300" si="345">$D300*AM$107*AM$7</f>
        <v>0</v>
      </c>
      <c r="AN300" s="102">
        <f t="shared" si="345"/>
        <v>0</v>
      </c>
      <c r="AO300" s="102">
        <f t="shared" si="345"/>
        <v>0</v>
      </c>
      <c r="AP300" s="102" t="str">
        <f t="shared" si="345"/>
        <v>#REF!</v>
      </c>
      <c r="AQ300" s="102" t="str">
        <f t="shared" si="345"/>
        <v>#REF!</v>
      </c>
      <c r="AR300" s="102" t="str">
        <f t="shared" si="345"/>
        <v>#REF!</v>
      </c>
      <c r="AS300" s="102" t="str">
        <f t="shared" si="345"/>
        <v>#REF!</v>
      </c>
      <c r="AT300" s="102" t="str">
        <f t="shared" si="345"/>
        <v>#REF!</v>
      </c>
      <c r="AU300" s="102">
        <f t="shared" si="345"/>
        <v>0</v>
      </c>
      <c r="AV300" s="102">
        <f t="shared" si="345"/>
        <v>0</v>
      </c>
      <c r="AW300" s="90"/>
      <c r="AX300" s="90"/>
      <c r="AY300" s="90"/>
      <c r="AZ300" s="90"/>
      <c r="BA300" s="90"/>
      <c r="BB300" s="90"/>
      <c r="BC300" s="90"/>
      <c r="BD300" s="90"/>
      <c r="BE300" s="90"/>
      <c r="BF300" s="90"/>
      <c r="BG300" s="90"/>
      <c r="BH300" s="90"/>
      <c r="BI300" s="90"/>
      <c r="BJ300" s="90"/>
      <c r="BK300" s="90"/>
      <c r="BL300" s="90"/>
      <c r="BM300" s="90"/>
      <c r="BN300" s="90"/>
      <c r="BO300" s="90"/>
      <c r="BP300" s="90"/>
    </row>
    <row r="301" ht="12.75" customHeight="1" outlineLevel="1">
      <c r="A301" s="90" t="s">
        <v>288</v>
      </c>
      <c r="C301" s="102">
        <f>'RSGen 1-7'!I$390</f>
        <v>0</v>
      </c>
      <c r="D301" s="102">
        <f>OFFSET(RSGen_Walton!$G$390,0,ROW(C301)-ROW($C$300))</f>
        <v>0</v>
      </c>
      <c r="E301" s="102">
        <f>OFFSET(RSGen_none!$G$390,0,ROW(D301)-ROW($C$300))</f>
        <v>0</v>
      </c>
      <c r="F301" s="102"/>
      <c r="G301" s="102"/>
      <c r="H301" s="313"/>
      <c r="I301" s="313"/>
      <c r="J301" s="313"/>
      <c r="K301" s="306"/>
      <c r="L301" s="306"/>
      <c r="M301" s="306"/>
      <c r="N301" s="102">
        <f t="shared" ref="N301:AL301" si="346">N$112*(MAX(0,MIN(N8,SUM(N8:N$15)-$E$4))*$E301+MAX(0,MIN(N8,$D$4-SUM(N9:N$15)))*$C301+(N8-(MAX(0,MIN(N8,SUM(N8:N$15)-$E$4))+MAX(0,MIN(N8,$D$4-SUM(N9:N$15)))))*$D301)</f>
        <v>0</v>
      </c>
      <c r="O301" s="102">
        <f t="shared" si="346"/>
        <v>0</v>
      </c>
      <c r="P301" s="102">
        <f t="shared" si="346"/>
        <v>0</v>
      </c>
      <c r="Q301" s="102">
        <f t="shared" si="346"/>
        <v>0</v>
      </c>
      <c r="R301" s="102">
        <f t="shared" si="346"/>
        <v>0</v>
      </c>
      <c r="S301" s="102">
        <f t="shared" si="346"/>
        <v>0</v>
      </c>
      <c r="T301" s="102">
        <f t="shared" si="346"/>
        <v>0</v>
      </c>
      <c r="U301" s="102">
        <f t="shared" si="346"/>
        <v>0</v>
      </c>
      <c r="V301" s="102">
        <f t="shared" si="346"/>
        <v>0</v>
      </c>
      <c r="W301" s="102">
        <f t="shared" si="346"/>
        <v>0</v>
      </c>
      <c r="X301" s="102">
        <f t="shared" si="346"/>
        <v>0</v>
      </c>
      <c r="Y301" s="102">
        <f t="shared" si="346"/>
        <v>0</v>
      </c>
      <c r="Z301" s="102">
        <f t="shared" si="346"/>
        <v>0</v>
      </c>
      <c r="AA301" s="102">
        <f t="shared" si="346"/>
        <v>0</v>
      </c>
      <c r="AB301" s="102">
        <f t="shared" si="346"/>
        <v>0</v>
      </c>
      <c r="AC301" s="102">
        <f t="shared" si="346"/>
        <v>0</v>
      </c>
      <c r="AD301" s="102">
        <f t="shared" si="346"/>
        <v>0</v>
      </c>
      <c r="AE301" s="102">
        <f t="shared" si="346"/>
        <v>0</v>
      </c>
      <c r="AF301" s="102">
        <f t="shared" si="346"/>
        <v>0</v>
      </c>
      <c r="AG301" s="102">
        <f t="shared" si="346"/>
        <v>0</v>
      </c>
      <c r="AH301" s="102">
        <f t="shared" si="346"/>
        <v>0</v>
      </c>
      <c r="AI301" s="102">
        <f t="shared" si="346"/>
        <v>0</v>
      </c>
      <c r="AJ301" s="102">
        <f t="shared" si="346"/>
        <v>0</v>
      </c>
      <c r="AK301" s="102">
        <f t="shared" si="346"/>
        <v>0</v>
      </c>
      <c r="AL301" s="102">
        <f t="shared" si="346"/>
        <v>0</v>
      </c>
      <c r="AM301" s="102">
        <f t="shared" ref="AM301:AV301" si="347">$D301*AM$107*AM$8</f>
        <v>0</v>
      </c>
      <c r="AN301" s="102">
        <f t="shared" si="347"/>
        <v>0</v>
      </c>
      <c r="AO301" s="102">
        <f t="shared" si="347"/>
        <v>0</v>
      </c>
      <c r="AP301" s="102">
        <f t="shared" si="347"/>
        <v>0</v>
      </c>
      <c r="AQ301" s="102" t="str">
        <f t="shared" si="347"/>
        <v>#REF!</v>
      </c>
      <c r="AR301" s="102" t="str">
        <f t="shared" si="347"/>
        <v>#REF!</v>
      </c>
      <c r="AS301" s="102" t="str">
        <f t="shared" si="347"/>
        <v>#REF!</v>
      </c>
      <c r="AT301" s="102" t="str">
        <f t="shared" si="347"/>
        <v>#REF!</v>
      </c>
      <c r="AU301" s="102" t="str">
        <f t="shared" si="347"/>
        <v>#REF!</v>
      </c>
      <c r="AV301" s="102">
        <f t="shared" si="347"/>
        <v>0</v>
      </c>
      <c r="AW301" s="90"/>
      <c r="AX301" s="90"/>
      <c r="AY301" s="90"/>
      <c r="AZ301" s="90"/>
      <c r="BA301" s="90"/>
      <c r="BB301" s="90"/>
      <c r="BC301" s="90"/>
      <c r="BD301" s="90"/>
      <c r="BE301" s="90"/>
      <c r="BF301" s="90"/>
      <c r="BG301" s="90"/>
      <c r="BH301" s="90"/>
      <c r="BI301" s="90"/>
      <c r="BJ301" s="90"/>
      <c r="BK301" s="90"/>
      <c r="BL301" s="90"/>
      <c r="BM301" s="90"/>
      <c r="BN301" s="90"/>
      <c r="BO301" s="90"/>
      <c r="BP301" s="90"/>
    </row>
    <row r="302" ht="12.75" customHeight="1" outlineLevel="1">
      <c r="A302" s="90" t="s">
        <v>289</v>
      </c>
      <c r="C302" s="102">
        <f>'RSGen 1-7'!J$390</f>
        <v>0</v>
      </c>
      <c r="D302" s="102">
        <f>OFFSET(RSGen_Walton!$G$390,0,ROW(C302)-ROW($C$300))</f>
        <v>0</v>
      </c>
      <c r="E302" s="102">
        <f>OFFSET(RSGen_none!$G$390,0,ROW(D302)-ROW($C$300))</f>
        <v>0</v>
      </c>
      <c r="F302" s="102"/>
      <c r="G302" s="102"/>
      <c r="H302" s="313"/>
      <c r="I302" s="313"/>
      <c r="J302" s="313"/>
      <c r="K302" s="306"/>
      <c r="L302" s="306"/>
      <c r="M302" s="306"/>
      <c r="N302" s="306"/>
      <c r="O302" s="102">
        <f t="shared" ref="O302:AL302" si="348">O$112*(MAX(0,MIN(O9,SUM(O9:O$15)-$E$4))*$E302+MAX(0,MIN(O9,$D$4-SUM(O10:O$15)))*$C302+(O9-(MAX(0,MIN(O9,SUM(O9:O$15)-$E$4))+MAX(0,MIN(O9,$D$4-SUM(O10:O$15)))))*$D302)</f>
        <v>0</v>
      </c>
      <c r="P302" s="102">
        <f t="shared" si="348"/>
        <v>0</v>
      </c>
      <c r="Q302" s="102">
        <f t="shared" si="348"/>
        <v>0</v>
      </c>
      <c r="R302" s="102">
        <f t="shared" si="348"/>
        <v>0</v>
      </c>
      <c r="S302" s="102">
        <f t="shared" si="348"/>
        <v>0</v>
      </c>
      <c r="T302" s="102">
        <f t="shared" si="348"/>
        <v>0</v>
      </c>
      <c r="U302" s="102">
        <f t="shared" si="348"/>
        <v>0</v>
      </c>
      <c r="V302" s="102">
        <f t="shared" si="348"/>
        <v>0</v>
      </c>
      <c r="W302" s="102">
        <f t="shared" si="348"/>
        <v>0</v>
      </c>
      <c r="X302" s="102">
        <f t="shared" si="348"/>
        <v>0</v>
      </c>
      <c r="Y302" s="102">
        <f t="shared" si="348"/>
        <v>0</v>
      </c>
      <c r="Z302" s="102">
        <f t="shared" si="348"/>
        <v>0</v>
      </c>
      <c r="AA302" s="102">
        <f t="shared" si="348"/>
        <v>0</v>
      </c>
      <c r="AB302" s="102">
        <f t="shared" si="348"/>
        <v>0</v>
      </c>
      <c r="AC302" s="102">
        <f t="shared" si="348"/>
        <v>0</v>
      </c>
      <c r="AD302" s="102">
        <f t="shared" si="348"/>
        <v>0</v>
      </c>
      <c r="AE302" s="102">
        <f t="shared" si="348"/>
        <v>0</v>
      </c>
      <c r="AF302" s="102">
        <f t="shared" si="348"/>
        <v>0</v>
      </c>
      <c r="AG302" s="102">
        <f t="shared" si="348"/>
        <v>0</v>
      </c>
      <c r="AH302" s="102">
        <f t="shared" si="348"/>
        <v>0</v>
      </c>
      <c r="AI302" s="102">
        <f t="shared" si="348"/>
        <v>0</v>
      </c>
      <c r="AJ302" s="102">
        <f t="shared" si="348"/>
        <v>0</v>
      </c>
      <c r="AK302" s="102">
        <f t="shared" si="348"/>
        <v>0</v>
      </c>
      <c r="AL302" s="102">
        <f t="shared" si="348"/>
        <v>0</v>
      </c>
      <c r="AM302" s="102">
        <f t="shared" ref="AM302:AV302" si="349">$D302*AM$107*AM$9</f>
        <v>0</v>
      </c>
      <c r="AN302" s="102">
        <f t="shared" si="349"/>
        <v>0</v>
      </c>
      <c r="AO302" s="102">
        <f t="shared" si="349"/>
        <v>0</v>
      </c>
      <c r="AP302" s="102">
        <f t="shared" si="349"/>
        <v>0</v>
      </c>
      <c r="AQ302" s="102">
        <f t="shared" si="349"/>
        <v>0</v>
      </c>
      <c r="AR302" s="102" t="str">
        <f t="shared" si="349"/>
        <v>#REF!</v>
      </c>
      <c r="AS302" s="102" t="str">
        <f t="shared" si="349"/>
        <v>#REF!</v>
      </c>
      <c r="AT302" s="102" t="str">
        <f t="shared" si="349"/>
        <v>#REF!</v>
      </c>
      <c r="AU302" s="102" t="str">
        <f t="shared" si="349"/>
        <v>#REF!</v>
      </c>
      <c r="AV302" s="102" t="str">
        <f t="shared" si="349"/>
        <v>#REF!</v>
      </c>
      <c r="AW302" s="90"/>
      <c r="AX302" s="90"/>
      <c r="AY302" s="90"/>
      <c r="AZ302" s="90"/>
      <c r="BA302" s="90"/>
      <c r="BB302" s="90"/>
      <c r="BC302" s="90"/>
      <c r="BD302" s="90"/>
      <c r="BE302" s="90"/>
      <c r="BF302" s="90"/>
      <c r="BG302" s="90"/>
      <c r="BH302" s="90"/>
      <c r="BI302" s="90"/>
      <c r="BJ302" s="90"/>
      <c r="BK302" s="90"/>
      <c r="BL302" s="90"/>
      <c r="BM302" s="90"/>
      <c r="BN302" s="90"/>
      <c r="BO302" s="90"/>
      <c r="BP302" s="90"/>
    </row>
    <row r="303" ht="12.75" customHeight="1" outlineLevel="1">
      <c r="A303" s="90" t="s">
        <v>290</v>
      </c>
      <c r="C303" s="102">
        <f>'RSGen 1-7'!K$390</f>
        <v>0</v>
      </c>
      <c r="D303" s="102">
        <f>OFFSET(RSGen_Walton!$G$390,0,ROW(C303)-ROW($C$300))</f>
        <v>0</v>
      </c>
      <c r="E303" s="102">
        <f>OFFSET(RSGen_none!$G$390,0,ROW(D303)-ROW($C$300))</f>
        <v>0</v>
      </c>
      <c r="F303" s="102"/>
      <c r="G303" s="102"/>
      <c r="H303" s="313"/>
      <c r="I303" s="313"/>
      <c r="J303" s="313"/>
      <c r="K303" s="306"/>
      <c r="L303" s="306"/>
      <c r="M303" s="306"/>
      <c r="N303" s="306"/>
      <c r="O303" s="306"/>
      <c r="P303" s="102">
        <f t="shared" ref="P303:AL303" si="350">P$112*(MAX(0,MIN(P10,SUM(P10:P$15)-$E$4))*$E303+MAX(0,MIN(P10,$D$4-SUM(P11:P$15)))*$C303+(P10-(MAX(0,MIN(P10,SUM(P10:P$15)-$E$4))+MAX(0,MIN(P10,$D$4-SUM(P11:P$15)))))*$D303)</f>
        <v>0</v>
      </c>
      <c r="Q303" s="102">
        <f t="shared" si="350"/>
        <v>0</v>
      </c>
      <c r="R303" s="102">
        <f t="shared" si="350"/>
        <v>0</v>
      </c>
      <c r="S303" s="102">
        <f t="shared" si="350"/>
        <v>0</v>
      </c>
      <c r="T303" s="102">
        <f t="shared" si="350"/>
        <v>0</v>
      </c>
      <c r="U303" s="102">
        <f t="shared" si="350"/>
        <v>0</v>
      </c>
      <c r="V303" s="102">
        <f t="shared" si="350"/>
        <v>0</v>
      </c>
      <c r="W303" s="102">
        <f t="shared" si="350"/>
        <v>0</v>
      </c>
      <c r="X303" s="102">
        <f t="shared" si="350"/>
        <v>0</v>
      </c>
      <c r="Y303" s="102">
        <f t="shared" si="350"/>
        <v>0</v>
      </c>
      <c r="Z303" s="102">
        <f t="shared" si="350"/>
        <v>0</v>
      </c>
      <c r="AA303" s="102">
        <f t="shared" si="350"/>
        <v>0</v>
      </c>
      <c r="AB303" s="102">
        <f t="shared" si="350"/>
        <v>0</v>
      </c>
      <c r="AC303" s="102">
        <f t="shared" si="350"/>
        <v>0</v>
      </c>
      <c r="AD303" s="102">
        <f t="shared" si="350"/>
        <v>0</v>
      </c>
      <c r="AE303" s="102">
        <f t="shared" si="350"/>
        <v>0</v>
      </c>
      <c r="AF303" s="102">
        <f t="shared" si="350"/>
        <v>0</v>
      </c>
      <c r="AG303" s="102">
        <f t="shared" si="350"/>
        <v>0</v>
      </c>
      <c r="AH303" s="102">
        <f t="shared" si="350"/>
        <v>0</v>
      </c>
      <c r="AI303" s="102">
        <f t="shared" si="350"/>
        <v>0</v>
      </c>
      <c r="AJ303" s="102">
        <f t="shared" si="350"/>
        <v>0</v>
      </c>
      <c r="AK303" s="102">
        <f t="shared" si="350"/>
        <v>0</v>
      </c>
      <c r="AL303" s="102">
        <f t="shared" si="350"/>
        <v>0</v>
      </c>
      <c r="AM303" s="102">
        <f t="shared" ref="AM303:AV303" si="351">$D303*AM$107*AM$10</f>
        <v>0</v>
      </c>
      <c r="AN303" s="102">
        <f t="shared" si="351"/>
        <v>0</v>
      </c>
      <c r="AO303" s="102">
        <f t="shared" si="351"/>
        <v>0</v>
      </c>
      <c r="AP303" s="102">
        <f t="shared" si="351"/>
        <v>0</v>
      </c>
      <c r="AQ303" s="102">
        <f t="shared" si="351"/>
        <v>0</v>
      </c>
      <c r="AR303" s="102">
        <f t="shared" si="351"/>
        <v>0</v>
      </c>
      <c r="AS303" s="102" t="str">
        <f t="shared" si="351"/>
        <v>#REF!</v>
      </c>
      <c r="AT303" s="102" t="str">
        <f t="shared" si="351"/>
        <v>#REF!</v>
      </c>
      <c r="AU303" s="102" t="str">
        <f t="shared" si="351"/>
        <v>#REF!</v>
      </c>
      <c r="AV303" s="102" t="str">
        <f t="shared" si="351"/>
        <v>#REF!</v>
      </c>
      <c r="AW303" s="90"/>
      <c r="AX303" s="90"/>
      <c r="AY303" s="90"/>
      <c r="AZ303" s="90"/>
      <c r="BA303" s="90"/>
      <c r="BB303" s="90"/>
      <c r="BC303" s="90"/>
      <c r="BD303" s="90"/>
      <c r="BE303" s="90"/>
      <c r="BF303" s="90"/>
      <c r="BG303" s="90"/>
      <c r="BH303" s="90"/>
      <c r="BI303" s="90"/>
      <c r="BJ303" s="90"/>
      <c r="BK303" s="90"/>
      <c r="BL303" s="90"/>
      <c r="BM303" s="90"/>
      <c r="BN303" s="90"/>
      <c r="BO303" s="90"/>
      <c r="BP303" s="90"/>
    </row>
    <row r="304" ht="12.75" customHeight="1" outlineLevel="1">
      <c r="A304" s="90" t="s">
        <v>291</v>
      </c>
      <c r="C304" s="102">
        <f>'RSGen 1-7'!L$390</f>
        <v>0</v>
      </c>
      <c r="D304" s="102">
        <f>OFFSET(RSGen_Walton!$G$390,0,ROW(C304)-ROW($C$300))</f>
        <v>0</v>
      </c>
      <c r="E304" s="102">
        <f>OFFSET(RSGen_none!$G$390,0,ROW(D304)-ROW($C$300))</f>
        <v>0</v>
      </c>
      <c r="F304" s="102"/>
      <c r="G304" s="102"/>
      <c r="H304" s="313"/>
      <c r="I304" s="313"/>
      <c r="J304" s="313"/>
      <c r="K304" s="306"/>
      <c r="L304" s="306"/>
      <c r="M304" s="306"/>
      <c r="N304" s="306"/>
      <c r="O304" s="306"/>
      <c r="P304" s="306"/>
      <c r="Q304" s="102">
        <f t="shared" ref="Q304:AL304" si="352">Q$112*(MAX(0,MIN(Q11,SUM(Q11:Q$15)-$E$4))*$E304+MAX(0,MIN(Q11,$D$4-SUM(Q12:Q$15)))*$C304+(Q11-(MAX(0,MIN(Q11,SUM(Q11:Q$15)-$E$4))+MAX(0,MIN(Q11,$D$4-SUM(Q12:Q$15)))))*$D304)</f>
        <v>0</v>
      </c>
      <c r="R304" s="102">
        <f t="shared" si="352"/>
        <v>0</v>
      </c>
      <c r="S304" s="102">
        <f t="shared" si="352"/>
        <v>0</v>
      </c>
      <c r="T304" s="102">
        <f t="shared" si="352"/>
        <v>0</v>
      </c>
      <c r="U304" s="102">
        <f t="shared" si="352"/>
        <v>0</v>
      </c>
      <c r="V304" s="102">
        <f t="shared" si="352"/>
        <v>0</v>
      </c>
      <c r="W304" s="102">
        <f t="shared" si="352"/>
        <v>0</v>
      </c>
      <c r="X304" s="102">
        <f t="shared" si="352"/>
        <v>0</v>
      </c>
      <c r="Y304" s="102">
        <f t="shared" si="352"/>
        <v>0</v>
      </c>
      <c r="Z304" s="102">
        <f t="shared" si="352"/>
        <v>0</v>
      </c>
      <c r="AA304" s="102">
        <f t="shared" si="352"/>
        <v>0</v>
      </c>
      <c r="AB304" s="102">
        <f t="shared" si="352"/>
        <v>0</v>
      </c>
      <c r="AC304" s="102">
        <f t="shared" si="352"/>
        <v>0</v>
      </c>
      <c r="AD304" s="102">
        <f t="shared" si="352"/>
        <v>0</v>
      </c>
      <c r="AE304" s="102">
        <f t="shared" si="352"/>
        <v>0</v>
      </c>
      <c r="AF304" s="102">
        <f t="shared" si="352"/>
        <v>0</v>
      </c>
      <c r="AG304" s="102">
        <f t="shared" si="352"/>
        <v>0</v>
      </c>
      <c r="AH304" s="102">
        <f t="shared" si="352"/>
        <v>0</v>
      </c>
      <c r="AI304" s="102">
        <f t="shared" si="352"/>
        <v>0</v>
      </c>
      <c r="AJ304" s="102">
        <f t="shared" si="352"/>
        <v>0</v>
      </c>
      <c r="AK304" s="102">
        <f t="shared" si="352"/>
        <v>0</v>
      </c>
      <c r="AL304" s="102">
        <f t="shared" si="352"/>
        <v>0</v>
      </c>
      <c r="AM304" s="102">
        <f t="shared" ref="AM304:AV304" si="353">$D304*AM$107*AM$11</f>
        <v>0</v>
      </c>
      <c r="AN304" s="102">
        <f t="shared" si="353"/>
        <v>0</v>
      </c>
      <c r="AO304" s="102">
        <f t="shared" si="353"/>
        <v>0</v>
      </c>
      <c r="AP304" s="102">
        <f t="shared" si="353"/>
        <v>0</v>
      </c>
      <c r="AQ304" s="102">
        <f t="shared" si="353"/>
        <v>0</v>
      </c>
      <c r="AR304" s="102">
        <f t="shared" si="353"/>
        <v>0</v>
      </c>
      <c r="AS304" s="102">
        <f t="shared" si="353"/>
        <v>0</v>
      </c>
      <c r="AT304" s="102" t="str">
        <f t="shared" si="353"/>
        <v>#REF!</v>
      </c>
      <c r="AU304" s="102" t="str">
        <f t="shared" si="353"/>
        <v>#REF!</v>
      </c>
      <c r="AV304" s="102" t="str">
        <f t="shared" si="353"/>
        <v>#REF!</v>
      </c>
      <c r="AW304" s="90"/>
      <c r="AX304" s="90"/>
      <c r="AY304" s="90"/>
      <c r="AZ304" s="90"/>
      <c r="BA304" s="90"/>
      <c r="BB304" s="90"/>
      <c r="BC304" s="90"/>
      <c r="BD304" s="90"/>
      <c r="BE304" s="90"/>
      <c r="BF304" s="90"/>
      <c r="BG304" s="90"/>
      <c r="BH304" s="90"/>
      <c r="BI304" s="90"/>
      <c r="BJ304" s="90"/>
      <c r="BK304" s="90"/>
      <c r="BL304" s="90"/>
      <c r="BM304" s="90"/>
      <c r="BN304" s="90"/>
      <c r="BO304" s="90"/>
      <c r="BP304" s="90"/>
    </row>
    <row r="305" ht="12.75" customHeight="1" outlineLevel="1">
      <c r="A305" s="90" t="s">
        <v>292</v>
      </c>
      <c r="C305" s="102">
        <f>'RSGen 1-7'!M$390</f>
        <v>0</v>
      </c>
      <c r="D305" s="102">
        <f>OFFSET(RSGen_Walton!$G$390,0,ROW(C305)-ROW($C$300))</f>
        <v>0</v>
      </c>
      <c r="E305" s="102">
        <f>OFFSET(RSGen_none!$G$390,0,ROW(D305)-ROW($C$300))</f>
        <v>0</v>
      </c>
      <c r="F305" s="102"/>
      <c r="G305" s="102"/>
      <c r="H305" s="313"/>
      <c r="I305" s="313"/>
      <c r="J305" s="313"/>
      <c r="K305" s="306"/>
      <c r="L305" s="306"/>
      <c r="M305" s="306"/>
      <c r="N305" s="306"/>
      <c r="O305" s="306"/>
      <c r="P305" s="306"/>
      <c r="Q305" s="306"/>
      <c r="R305" s="102">
        <f t="shared" ref="R305:AL305" si="354">R$112*(MAX(0,MIN(R12,SUM(R12:R$15)-$E$4))*$E305+MAX(0,MIN(R12,$D$4-SUM(R13:R$15)))*$C305+(R12-(MAX(0,MIN(R12,SUM(R12:R$15)-$E$4))+MAX(0,MIN(R12,$D$4-SUM(R13:R$15)))))*$D305)</f>
        <v>0</v>
      </c>
      <c r="S305" s="102">
        <f t="shared" si="354"/>
        <v>0</v>
      </c>
      <c r="T305" s="102">
        <f t="shared" si="354"/>
        <v>0</v>
      </c>
      <c r="U305" s="102">
        <f t="shared" si="354"/>
        <v>0</v>
      </c>
      <c r="V305" s="102">
        <f t="shared" si="354"/>
        <v>0</v>
      </c>
      <c r="W305" s="102">
        <f t="shared" si="354"/>
        <v>0</v>
      </c>
      <c r="X305" s="102">
        <f t="shared" si="354"/>
        <v>0</v>
      </c>
      <c r="Y305" s="102">
        <f t="shared" si="354"/>
        <v>0</v>
      </c>
      <c r="Z305" s="102">
        <f t="shared" si="354"/>
        <v>0</v>
      </c>
      <c r="AA305" s="102">
        <f t="shared" si="354"/>
        <v>0</v>
      </c>
      <c r="AB305" s="102">
        <f t="shared" si="354"/>
        <v>0</v>
      </c>
      <c r="AC305" s="102">
        <f t="shared" si="354"/>
        <v>0</v>
      </c>
      <c r="AD305" s="102">
        <f t="shared" si="354"/>
        <v>0</v>
      </c>
      <c r="AE305" s="102">
        <f t="shared" si="354"/>
        <v>0</v>
      </c>
      <c r="AF305" s="102">
        <f t="shared" si="354"/>
        <v>0</v>
      </c>
      <c r="AG305" s="102">
        <f t="shared" si="354"/>
        <v>0</v>
      </c>
      <c r="AH305" s="102">
        <f t="shared" si="354"/>
        <v>0</v>
      </c>
      <c r="AI305" s="102">
        <f t="shared" si="354"/>
        <v>0</v>
      </c>
      <c r="AJ305" s="102">
        <f t="shared" si="354"/>
        <v>0</v>
      </c>
      <c r="AK305" s="102">
        <f t="shared" si="354"/>
        <v>0</v>
      </c>
      <c r="AL305" s="102">
        <f t="shared" si="354"/>
        <v>0</v>
      </c>
      <c r="AM305" s="102">
        <f t="shared" ref="AM305:AV305" si="355">$D305*AM$107*AM$12</f>
        <v>0</v>
      </c>
      <c r="AN305" s="102">
        <f t="shared" si="355"/>
        <v>0</v>
      </c>
      <c r="AO305" s="102">
        <f t="shared" si="355"/>
        <v>0</v>
      </c>
      <c r="AP305" s="102">
        <f t="shared" si="355"/>
        <v>0</v>
      </c>
      <c r="AQ305" s="102">
        <f t="shared" si="355"/>
        <v>0</v>
      </c>
      <c r="AR305" s="102">
        <f t="shared" si="355"/>
        <v>0</v>
      </c>
      <c r="AS305" s="102">
        <f t="shared" si="355"/>
        <v>0</v>
      </c>
      <c r="AT305" s="102">
        <f t="shared" si="355"/>
        <v>0</v>
      </c>
      <c r="AU305" s="102" t="str">
        <f t="shared" si="355"/>
        <v>#REF!</v>
      </c>
      <c r="AV305" s="102" t="str">
        <f t="shared" si="355"/>
        <v>#REF!</v>
      </c>
      <c r="AW305" s="90"/>
      <c r="AX305" s="90"/>
      <c r="AY305" s="90"/>
      <c r="AZ305" s="90"/>
      <c r="BA305" s="90"/>
      <c r="BB305" s="90"/>
      <c r="BC305" s="90"/>
      <c r="BD305" s="90"/>
      <c r="BE305" s="90"/>
      <c r="BF305" s="90"/>
      <c r="BG305" s="90"/>
      <c r="BH305" s="90"/>
      <c r="BI305" s="90"/>
      <c r="BJ305" s="90"/>
      <c r="BK305" s="90"/>
      <c r="BL305" s="90"/>
      <c r="BM305" s="90"/>
      <c r="BN305" s="90"/>
      <c r="BO305" s="90"/>
      <c r="BP305" s="90"/>
    </row>
    <row r="306" ht="12.75" customHeight="1" outlineLevel="1">
      <c r="A306" s="90" t="s">
        <v>293</v>
      </c>
      <c r="C306" s="102">
        <f>'RSGen 1-7'!N$390</f>
        <v>0</v>
      </c>
      <c r="D306" s="102">
        <f>OFFSET(RSGen_Walton!$G$390,0,ROW(C306)-ROW($C$300))</f>
        <v>0</v>
      </c>
      <c r="E306" s="102">
        <f>OFFSET(RSGen_none!$G$390,0,ROW(D306)-ROW($C$300))</f>
        <v>0</v>
      </c>
      <c r="F306" s="102"/>
      <c r="G306" s="102"/>
      <c r="H306" s="313"/>
      <c r="I306" s="313"/>
      <c r="J306" s="313"/>
      <c r="K306" s="306"/>
      <c r="L306" s="306"/>
      <c r="M306" s="306"/>
      <c r="N306" s="306"/>
      <c r="O306" s="306"/>
      <c r="P306" s="306"/>
      <c r="Q306" s="306"/>
      <c r="R306" s="306"/>
      <c r="S306" s="102">
        <f t="shared" ref="S306:AL306" si="356">S$112*(MAX(0,MIN(S13,SUM(S13:S$15)-$E$4))*$E306+MAX(0,MIN(S13,$D$4-SUM(S14:S$15)))*$C306+(S13-(MAX(0,MIN(S13,SUM(S13:S$15)-$E$4))+MAX(0,MIN(S13,$D$4-SUM(S14:S$15)))))*$D306)</f>
        <v>0</v>
      </c>
      <c r="T306" s="102">
        <f t="shared" si="356"/>
        <v>0</v>
      </c>
      <c r="U306" s="102">
        <f t="shared" si="356"/>
        <v>0</v>
      </c>
      <c r="V306" s="102">
        <f t="shared" si="356"/>
        <v>0</v>
      </c>
      <c r="W306" s="102">
        <f t="shared" si="356"/>
        <v>0</v>
      </c>
      <c r="X306" s="102">
        <f t="shared" si="356"/>
        <v>0</v>
      </c>
      <c r="Y306" s="102">
        <f t="shared" si="356"/>
        <v>0</v>
      </c>
      <c r="Z306" s="102">
        <f t="shared" si="356"/>
        <v>0</v>
      </c>
      <c r="AA306" s="102">
        <f t="shared" si="356"/>
        <v>0</v>
      </c>
      <c r="AB306" s="102">
        <f t="shared" si="356"/>
        <v>0</v>
      </c>
      <c r="AC306" s="102">
        <f t="shared" si="356"/>
        <v>0</v>
      </c>
      <c r="AD306" s="102">
        <f t="shared" si="356"/>
        <v>0</v>
      </c>
      <c r="AE306" s="102">
        <f t="shared" si="356"/>
        <v>0</v>
      </c>
      <c r="AF306" s="102">
        <f t="shared" si="356"/>
        <v>0</v>
      </c>
      <c r="AG306" s="102">
        <f t="shared" si="356"/>
        <v>0</v>
      </c>
      <c r="AH306" s="102">
        <f t="shared" si="356"/>
        <v>0</v>
      </c>
      <c r="AI306" s="102">
        <f t="shared" si="356"/>
        <v>0</v>
      </c>
      <c r="AJ306" s="102">
        <f t="shared" si="356"/>
        <v>0</v>
      </c>
      <c r="AK306" s="102">
        <f t="shared" si="356"/>
        <v>0</v>
      </c>
      <c r="AL306" s="102">
        <f t="shared" si="356"/>
        <v>0</v>
      </c>
      <c r="AM306" s="102">
        <f t="shared" ref="AM306:AV306" si="357">$D306*AM$107*AM$13</f>
        <v>0</v>
      </c>
      <c r="AN306" s="102">
        <f t="shared" si="357"/>
        <v>0</v>
      </c>
      <c r="AO306" s="102">
        <f t="shared" si="357"/>
        <v>0</v>
      </c>
      <c r="AP306" s="102">
        <f t="shared" si="357"/>
        <v>0</v>
      </c>
      <c r="AQ306" s="102">
        <f t="shared" si="357"/>
        <v>0</v>
      </c>
      <c r="AR306" s="102">
        <f t="shared" si="357"/>
        <v>0</v>
      </c>
      <c r="AS306" s="102">
        <f t="shared" si="357"/>
        <v>0</v>
      </c>
      <c r="AT306" s="102">
        <f t="shared" si="357"/>
        <v>0</v>
      </c>
      <c r="AU306" s="102">
        <f t="shared" si="357"/>
        <v>0</v>
      </c>
      <c r="AV306" s="102" t="str">
        <f t="shared" si="357"/>
        <v>#REF!</v>
      </c>
      <c r="AW306" s="90"/>
      <c r="AX306" s="90"/>
      <c r="AY306" s="90"/>
      <c r="AZ306" s="90"/>
      <c r="BA306" s="90"/>
      <c r="BB306" s="90"/>
      <c r="BC306" s="90"/>
      <c r="BD306" s="90"/>
      <c r="BE306" s="90"/>
      <c r="BF306" s="90"/>
      <c r="BG306" s="90"/>
      <c r="BH306" s="90"/>
      <c r="BI306" s="90"/>
      <c r="BJ306" s="90"/>
      <c r="BK306" s="90"/>
      <c r="BL306" s="90"/>
      <c r="BM306" s="90"/>
      <c r="BN306" s="90"/>
      <c r="BO306" s="90"/>
      <c r="BP306" s="90"/>
    </row>
    <row r="307" ht="12.75" customHeight="1" outlineLevel="1">
      <c r="A307" s="90" t="s">
        <v>294</v>
      </c>
      <c r="C307" s="102">
        <f>'RSGen 1-7'!O$390</f>
        <v>0</v>
      </c>
      <c r="D307" s="102">
        <f>OFFSET(RSGen_Walton!$G$390,0,ROW(C307)-ROW($C$300))</f>
        <v>0</v>
      </c>
      <c r="E307" s="102">
        <f>OFFSET(RSGen_none!$G$390,0,ROW(D307)-ROW($C$300))</f>
        <v>0</v>
      </c>
      <c r="F307" s="102"/>
      <c r="G307" s="102"/>
      <c r="H307" s="313"/>
      <c r="I307" s="313"/>
      <c r="J307" s="313"/>
      <c r="K307" s="306"/>
      <c r="L307" s="306"/>
      <c r="M307" s="306"/>
      <c r="N307" s="306"/>
      <c r="O307" s="306"/>
      <c r="P307" s="306"/>
      <c r="Q307" s="306"/>
      <c r="R307" s="306"/>
      <c r="S307" s="306"/>
      <c r="T307" s="102">
        <f t="shared" ref="T307:AL307" si="358">T$112*(MAX(0,MIN(T14,SUM(T14:T$15)-$E$4))*$E307+MAX(0,MIN(T14,$D$4-SUM(T$15:T15)))*$C307+(T14-(MAX(0,MIN(T14,SUM(T14:T$15)-$E$4))+MAX(0,MIN(T14,$D$4-SUM(T$15:T15)))))*$D307)</f>
        <v>0</v>
      </c>
      <c r="U307" s="102">
        <f t="shared" si="358"/>
        <v>0</v>
      </c>
      <c r="V307" s="102">
        <f t="shared" si="358"/>
        <v>0</v>
      </c>
      <c r="W307" s="102">
        <f t="shared" si="358"/>
        <v>0</v>
      </c>
      <c r="X307" s="102">
        <f t="shared" si="358"/>
        <v>0</v>
      </c>
      <c r="Y307" s="102">
        <f t="shared" si="358"/>
        <v>0</v>
      </c>
      <c r="Z307" s="102">
        <f t="shared" si="358"/>
        <v>0</v>
      </c>
      <c r="AA307" s="102">
        <f t="shared" si="358"/>
        <v>0</v>
      </c>
      <c r="AB307" s="102">
        <f t="shared" si="358"/>
        <v>0</v>
      </c>
      <c r="AC307" s="102">
        <f t="shared" si="358"/>
        <v>0</v>
      </c>
      <c r="AD307" s="102">
        <f t="shared" si="358"/>
        <v>0</v>
      </c>
      <c r="AE307" s="102">
        <f t="shared" si="358"/>
        <v>0</v>
      </c>
      <c r="AF307" s="102">
        <f t="shared" si="358"/>
        <v>0</v>
      </c>
      <c r="AG307" s="102">
        <f t="shared" si="358"/>
        <v>0</v>
      </c>
      <c r="AH307" s="102">
        <f t="shared" si="358"/>
        <v>0</v>
      </c>
      <c r="AI307" s="102">
        <f t="shared" si="358"/>
        <v>0</v>
      </c>
      <c r="AJ307" s="102">
        <f t="shared" si="358"/>
        <v>0</v>
      </c>
      <c r="AK307" s="102">
        <f t="shared" si="358"/>
        <v>0</v>
      </c>
      <c r="AL307" s="102">
        <f t="shared" si="358"/>
        <v>0</v>
      </c>
      <c r="AM307" s="102">
        <f t="shared" ref="AM307:AV307" si="359">$D307*AM$107*AM$14</f>
        <v>0</v>
      </c>
      <c r="AN307" s="102">
        <f t="shared" si="359"/>
        <v>0</v>
      </c>
      <c r="AO307" s="102">
        <f t="shared" si="359"/>
        <v>0</v>
      </c>
      <c r="AP307" s="102">
        <f t="shared" si="359"/>
        <v>0</v>
      </c>
      <c r="AQ307" s="102">
        <f t="shared" si="359"/>
        <v>0</v>
      </c>
      <c r="AR307" s="102">
        <f t="shared" si="359"/>
        <v>0</v>
      </c>
      <c r="AS307" s="102">
        <f t="shared" si="359"/>
        <v>0</v>
      </c>
      <c r="AT307" s="102">
        <f t="shared" si="359"/>
        <v>0</v>
      </c>
      <c r="AU307" s="102">
        <f t="shared" si="359"/>
        <v>0</v>
      </c>
      <c r="AV307" s="102">
        <f t="shared" si="359"/>
        <v>0</v>
      </c>
      <c r="AW307" s="90"/>
      <c r="AX307" s="90"/>
      <c r="AY307" s="90"/>
      <c r="AZ307" s="90"/>
      <c r="BA307" s="90"/>
      <c r="BB307" s="90"/>
      <c r="BC307" s="90"/>
      <c r="BD307" s="90"/>
      <c r="BE307" s="90"/>
      <c r="BF307" s="90"/>
      <c r="BG307" s="90"/>
      <c r="BH307" s="90"/>
      <c r="BI307" s="90"/>
      <c r="BJ307" s="90"/>
      <c r="BK307" s="90"/>
      <c r="BL307" s="90"/>
      <c r="BM307" s="90"/>
      <c r="BN307" s="90"/>
      <c r="BO307" s="90"/>
      <c r="BP307" s="90"/>
    </row>
    <row r="308" ht="12.75" customHeight="1" outlineLevel="1">
      <c r="A308" s="90" t="s">
        <v>295</v>
      </c>
      <c r="C308" s="102">
        <f>'RSGen 1-7'!P$390</f>
        <v>0</v>
      </c>
      <c r="D308" s="102">
        <f>OFFSET(RSGen_Walton!$G$390,0,ROW(C308)-ROW($C$300))</f>
        <v>0</v>
      </c>
      <c r="E308" s="102">
        <f>OFFSET(RSGen_none!$G$390,0,ROW(D308)-ROW($C$300))</f>
        <v>0</v>
      </c>
      <c r="F308" s="102"/>
      <c r="G308" s="102"/>
      <c r="H308" s="313"/>
      <c r="I308" s="313"/>
      <c r="J308" s="313"/>
      <c r="K308" s="306"/>
      <c r="L308" s="306"/>
      <c r="M308" s="306"/>
      <c r="N308" s="306"/>
      <c r="O308" s="306"/>
      <c r="P308" s="306"/>
      <c r="Q308" s="306"/>
      <c r="R308" s="306"/>
      <c r="S308" s="306"/>
      <c r="T308" s="306"/>
      <c r="U308" s="102">
        <f t="shared" ref="U308:AL308" si="360">U$112*($C308*MIN($D$4-3,U15-3)+$D308*MIN($E$4-$D$4,MAX(0,U15-$D$4))+$E308*MAX(0,U15-$E$4))</f>
        <v>0</v>
      </c>
      <c r="V308" s="102">
        <f t="shared" si="360"/>
        <v>0</v>
      </c>
      <c r="W308" s="102">
        <f t="shared" si="360"/>
        <v>0</v>
      </c>
      <c r="X308" s="102">
        <f t="shared" si="360"/>
        <v>0</v>
      </c>
      <c r="Y308" s="102">
        <f t="shared" si="360"/>
        <v>0</v>
      </c>
      <c r="Z308" s="102">
        <f t="shared" si="360"/>
        <v>0</v>
      </c>
      <c r="AA308" s="102">
        <f t="shared" si="360"/>
        <v>0</v>
      </c>
      <c r="AB308" s="102">
        <f t="shared" si="360"/>
        <v>0</v>
      </c>
      <c r="AC308" s="102">
        <f t="shared" si="360"/>
        <v>0</v>
      </c>
      <c r="AD308" s="102">
        <f t="shared" si="360"/>
        <v>0</v>
      </c>
      <c r="AE308" s="102">
        <f t="shared" si="360"/>
        <v>0</v>
      </c>
      <c r="AF308" s="102">
        <f t="shared" si="360"/>
        <v>0</v>
      </c>
      <c r="AG308" s="102">
        <f t="shared" si="360"/>
        <v>0</v>
      </c>
      <c r="AH308" s="102">
        <f t="shared" si="360"/>
        <v>0</v>
      </c>
      <c r="AI308" s="102">
        <f t="shared" si="360"/>
        <v>0</v>
      </c>
      <c r="AJ308" s="102">
        <f t="shared" si="360"/>
        <v>0</v>
      </c>
      <c r="AK308" s="102">
        <f t="shared" si="360"/>
        <v>0</v>
      </c>
      <c r="AL308" s="102">
        <f t="shared" si="360"/>
        <v>0</v>
      </c>
      <c r="AM308" s="102">
        <f t="shared" ref="AM308:AV308" si="361">$C308*AM$107*(4)+$D308*AM$107*(AM$15-7)</f>
        <v>0</v>
      </c>
      <c r="AN308" s="102">
        <f t="shared" si="361"/>
        <v>0</v>
      </c>
      <c r="AO308" s="102">
        <f t="shared" si="361"/>
        <v>0</v>
      </c>
      <c r="AP308" s="102">
        <f t="shared" si="361"/>
        <v>0</v>
      </c>
      <c r="AQ308" s="102">
        <f t="shared" si="361"/>
        <v>0</v>
      </c>
      <c r="AR308" s="102">
        <f t="shared" si="361"/>
        <v>0</v>
      </c>
      <c r="AS308" s="102">
        <f t="shared" si="361"/>
        <v>0</v>
      </c>
      <c r="AT308" s="102">
        <f t="shared" si="361"/>
        <v>0</v>
      </c>
      <c r="AU308" s="102">
        <f t="shared" si="361"/>
        <v>0</v>
      </c>
      <c r="AV308" s="102">
        <f t="shared" si="361"/>
        <v>0</v>
      </c>
      <c r="AW308" s="90"/>
      <c r="AX308" s="90"/>
      <c r="AY308" s="90"/>
      <c r="AZ308" s="90"/>
      <c r="BA308" s="90"/>
      <c r="BB308" s="90"/>
      <c r="BC308" s="90"/>
      <c r="BD308" s="90"/>
      <c r="BE308" s="90"/>
      <c r="BF308" s="90"/>
      <c r="BG308" s="90"/>
      <c r="BH308" s="90"/>
      <c r="BI308" s="90"/>
      <c r="BJ308" s="90"/>
      <c r="BK308" s="90"/>
      <c r="BL308" s="90"/>
      <c r="BM308" s="90"/>
      <c r="BN308" s="90"/>
      <c r="BO308" s="90"/>
      <c r="BP308" s="90"/>
    </row>
    <row r="309" ht="13.5" customHeight="1" outlineLevel="1">
      <c r="A309" s="143" t="str">
        <f>"Total "&amp;A299</f>
        <v>Total Convertible Loan Interest</v>
      </c>
      <c r="B309" s="143"/>
      <c r="C309" s="309"/>
      <c r="D309" s="309"/>
      <c r="E309" s="309"/>
      <c r="F309" s="309"/>
      <c r="G309" s="309"/>
      <c r="H309" s="314"/>
      <c r="I309" s="314"/>
      <c r="J309" s="314"/>
      <c r="K309" s="311"/>
      <c r="L309" s="311">
        <v>19232.88</v>
      </c>
      <c r="M309" s="307">
        <f t="shared" ref="M309:AV309" si="362">SUM(M300:M308)</f>
        <v>0</v>
      </c>
      <c r="N309" s="307">
        <f t="shared" si="362"/>
        <v>0</v>
      </c>
      <c r="O309" s="307">
        <f t="shared" si="362"/>
        <v>0</v>
      </c>
      <c r="P309" s="307">
        <f t="shared" si="362"/>
        <v>0</v>
      </c>
      <c r="Q309" s="307">
        <f t="shared" si="362"/>
        <v>0</v>
      </c>
      <c r="R309" s="307">
        <f t="shared" si="362"/>
        <v>0</v>
      </c>
      <c r="S309" s="307">
        <f t="shared" si="362"/>
        <v>0</v>
      </c>
      <c r="T309" s="309">
        <f t="shared" si="362"/>
        <v>0</v>
      </c>
      <c r="U309" s="309">
        <f t="shared" si="362"/>
        <v>0</v>
      </c>
      <c r="V309" s="309">
        <f t="shared" si="362"/>
        <v>0</v>
      </c>
      <c r="W309" s="309">
        <f t="shared" si="362"/>
        <v>0</v>
      </c>
      <c r="X309" s="309">
        <f t="shared" si="362"/>
        <v>0</v>
      </c>
      <c r="Y309" s="309">
        <f t="shared" si="362"/>
        <v>0</v>
      </c>
      <c r="Z309" s="309">
        <f t="shared" si="362"/>
        <v>0</v>
      </c>
      <c r="AA309" s="309">
        <f t="shared" si="362"/>
        <v>0</v>
      </c>
      <c r="AB309" s="309">
        <f t="shared" si="362"/>
        <v>0</v>
      </c>
      <c r="AC309" s="309">
        <f t="shared" si="362"/>
        <v>0</v>
      </c>
      <c r="AD309" s="309">
        <f t="shared" si="362"/>
        <v>0</v>
      </c>
      <c r="AE309" s="309">
        <f t="shared" si="362"/>
        <v>0</v>
      </c>
      <c r="AF309" s="309">
        <f t="shared" si="362"/>
        <v>0</v>
      </c>
      <c r="AG309" s="309">
        <f t="shared" si="362"/>
        <v>0</v>
      </c>
      <c r="AH309" s="309">
        <f t="shared" si="362"/>
        <v>0</v>
      </c>
      <c r="AI309" s="309">
        <f t="shared" si="362"/>
        <v>0</v>
      </c>
      <c r="AJ309" s="309">
        <f t="shared" si="362"/>
        <v>0</v>
      </c>
      <c r="AK309" s="309">
        <f t="shared" si="362"/>
        <v>0</v>
      </c>
      <c r="AL309" s="309">
        <f t="shared" si="362"/>
        <v>0</v>
      </c>
      <c r="AM309" s="309">
        <f t="shared" si="362"/>
        <v>0</v>
      </c>
      <c r="AN309" s="309">
        <f t="shared" si="362"/>
        <v>0</v>
      </c>
      <c r="AO309" s="309">
        <f t="shared" si="362"/>
        <v>0</v>
      </c>
      <c r="AP309" s="309" t="str">
        <f t="shared" si="362"/>
        <v>#REF!</v>
      </c>
      <c r="AQ309" s="309" t="str">
        <f t="shared" si="362"/>
        <v>#REF!</v>
      </c>
      <c r="AR309" s="309" t="str">
        <f t="shared" si="362"/>
        <v>#REF!</v>
      </c>
      <c r="AS309" s="309" t="str">
        <f t="shared" si="362"/>
        <v>#REF!</v>
      </c>
      <c r="AT309" s="309" t="str">
        <f t="shared" si="362"/>
        <v>#REF!</v>
      </c>
      <c r="AU309" s="309" t="str">
        <f t="shared" si="362"/>
        <v>#REF!</v>
      </c>
      <c r="AV309" s="309" t="str">
        <f t="shared" si="362"/>
        <v>#REF!</v>
      </c>
      <c r="AW309" s="90"/>
      <c r="AX309" s="90"/>
      <c r="AY309" s="90"/>
      <c r="AZ309" s="90"/>
      <c r="BA309" s="90"/>
      <c r="BB309" s="90"/>
      <c r="BC309" s="90"/>
      <c r="BD309" s="90"/>
      <c r="BE309" s="90"/>
      <c r="BF309" s="90"/>
      <c r="BG309" s="90"/>
      <c r="BH309" s="90"/>
      <c r="BI309" s="90"/>
      <c r="BJ309" s="90"/>
      <c r="BK309" s="90"/>
      <c r="BL309" s="90"/>
      <c r="BM309" s="90"/>
      <c r="BN309" s="90"/>
      <c r="BO309" s="90"/>
      <c r="BP309" s="90"/>
    </row>
    <row r="310" ht="13.5" customHeight="1" outlineLevel="1">
      <c r="A310" s="90"/>
      <c r="C310" s="102"/>
      <c r="D310" s="102"/>
      <c r="E310" s="102"/>
      <c r="F310" s="102"/>
      <c r="G310" s="102"/>
      <c r="K310" s="102"/>
      <c r="L310" s="102"/>
      <c r="M310" s="102"/>
      <c r="N310" s="102"/>
      <c r="O310" s="102"/>
      <c r="P310" s="102"/>
      <c r="Q310" s="102"/>
      <c r="R310" s="102"/>
      <c r="S310" s="102"/>
      <c r="T310" s="102"/>
      <c r="U310" s="102"/>
      <c r="V310" s="102"/>
      <c r="W310" s="102"/>
      <c r="X310" s="102"/>
      <c r="Y310" s="102"/>
      <c r="Z310" s="102"/>
      <c r="AA310" s="102"/>
      <c r="AB310" s="102"/>
      <c r="AC310" s="102"/>
      <c r="AD310" s="102"/>
      <c r="AE310" s="102"/>
      <c r="AF310" s="102"/>
      <c r="AG310" s="102"/>
      <c r="AH310" s="102"/>
      <c r="AI310" s="102"/>
      <c r="AJ310" s="102"/>
      <c r="AK310" s="102"/>
      <c r="AL310" s="102"/>
      <c r="AM310" s="102"/>
      <c r="AN310" s="102"/>
      <c r="AO310" s="102"/>
      <c r="AP310" s="102"/>
      <c r="AQ310" s="102"/>
      <c r="AR310" s="102"/>
      <c r="AS310" s="102"/>
      <c r="AT310" s="102"/>
      <c r="AU310" s="102"/>
      <c r="AV310" s="102"/>
      <c r="AW310" s="90"/>
      <c r="AX310" s="90"/>
      <c r="AY310" s="90"/>
      <c r="AZ310" s="90"/>
      <c r="BA310" s="90"/>
      <c r="BB310" s="90"/>
      <c r="BC310" s="90"/>
      <c r="BD310" s="90"/>
      <c r="BE310" s="90"/>
      <c r="BF310" s="90"/>
      <c r="BG310" s="90"/>
      <c r="BH310" s="90"/>
      <c r="BI310" s="90"/>
      <c r="BJ310" s="90"/>
      <c r="BK310" s="90"/>
      <c r="BL310" s="90"/>
      <c r="BM310" s="90"/>
      <c r="BN310" s="90"/>
      <c r="BO310" s="90"/>
      <c r="BP310" s="90"/>
    </row>
    <row r="311" ht="12.75" customHeight="1" outlineLevel="1">
      <c r="A311" s="90" t="s">
        <v>611</v>
      </c>
      <c r="C311" s="102"/>
      <c r="D311" s="102"/>
      <c r="E311" s="102"/>
      <c r="F311" s="102"/>
      <c r="G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102"/>
      <c r="AH311" s="102"/>
      <c r="AI311" s="102"/>
      <c r="AJ311" s="102"/>
      <c r="AK311" s="102"/>
      <c r="AL311" s="102"/>
      <c r="AM311" s="102"/>
      <c r="AN311" s="102"/>
      <c r="AO311" s="102"/>
      <c r="AP311" s="102"/>
      <c r="AQ311" s="102"/>
      <c r="AR311" s="102"/>
      <c r="AS311" s="102"/>
      <c r="AT311" s="102"/>
      <c r="AU311" s="102"/>
      <c r="AV311" s="102"/>
      <c r="AW311" s="90"/>
      <c r="AX311" s="90"/>
      <c r="AY311" s="90"/>
      <c r="AZ311" s="90"/>
      <c r="BA311" s="90"/>
      <c r="BB311" s="90"/>
      <c r="BC311" s="90"/>
      <c r="BD311" s="90"/>
      <c r="BE311" s="90"/>
      <c r="BF311" s="90"/>
      <c r="BG311" s="90"/>
      <c r="BH311" s="90"/>
      <c r="BI311" s="90"/>
      <c r="BJ311" s="90"/>
      <c r="BK311" s="90"/>
      <c r="BL311" s="90"/>
      <c r="BM311" s="90"/>
      <c r="BN311" s="90"/>
      <c r="BO311" s="90"/>
      <c r="BP311" s="90"/>
    </row>
    <row r="312" ht="12.75" customHeight="1" outlineLevel="1">
      <c r="A312" s="90" t="s">
        <v>287</v>
      </c>
      <c r="C312" s="102">
        <f>'RSGen 1-7'!H$391</f>
        <v>0</v>
      </c>
      <c r="D312" s="102">
        <f>OFFSET(RSGen_Walton!$H$391,0,ROW(C312)-ROW($C$312))</f>
        <v>0</v>
      </c>
      <c r="E312" s="102">
        <f>OFFSET(RSGen_none!$H$391,0,ROW(D312)-ROW($C$312))</f>
        <v>0</v>
      </c>
      <c r="F312" s="102"/>
      <c r="G312" s="102"/>
      <c r="H312" s="313"/>
      <c r="I312" s="313"/>
      <c r="J312" s="313"/>
      <c r="K312" s="306"/>
      <c r="L312" s="306"/>
      <c r="M312" s="102">
        <f t="shared" ref="M312:AL312" si="363">M$112*(MAX(0,MIN(M7,SUM(M7:M$15)-$E$4))*$E312+MAX(0,MIN(M7,$D$4-SUM(M8:M$15)))*$C312+(M7-(MAX(0,MIN(M7,SUM(M7:M$15)-$E$4))+MAX(0,MIN(M7,$D$4-SUM(M8:M$15)))))*$D312)</f>
        <v>0</v>
      </c>
      <c r="N312" s="102">
        <f t="shared" si="363"/>
        <v>0</v>
      </c>
      <c r="O312" s="102">
        <f t="shared" si="363"/>
        <v>0</v>
      </c>
      <c r="P312" s="102">
        <f t="shared" si="363"/>
        <v>0</v>
      </c>
      <c r="Q312" s="102">
        <f t="shared" si="363"/>
        <v>0</v>
      </c>
      <c r="R312" s="102">
        <f t="shared" si="363"/>
        <v>0</v>
      </c>
      <c r="S312" s="102">
        <f t="shared" si="363"/>
        <v>0</v>
      </c>
      <c r="T312" s="102">
        <f t="shared" si="363"/>
        <v>0</v>
      </c>
      <c r="U312" s="102">
        <f t="shared" si="363"/>
        <v>0</v>
      </c>
      <c r="V312" s="102">
        <f t="shared" si="363"/>
        <v>0</v>
      </c>
      <c r="W312" s="102">
        <f t="shared" si="363"/>
        <v>0</v>
      </c>
      <c r="X312" s="102">
        <f t="shared" si="363"/>
        <v>0</v>
      </c>
      <c r="Y312" s="102">
        <f t="shared" si="363"/>
        <v>0</v>
      </c>
      <c r="Z312" s="102">
        <f t="shared" si="363"/>
        <v>0</v>
      </c>
      <c r="AA312" s="102">
        <f t="shared" si="363"/>
        <v>0</v>
      </c>
      <c r="AB312" s="102">
        <f t="shared" si="363"/>
        <v>0</v>
      </c>
      <c r="AC312" s="102">
        <f t="shared" si="363"/>
        <v>0</v>
      </c>
      <c r="AD312" s="102">
        <f t="shared" si="363"/>
        <v>0</v>
      </c>
      <c r="AE312" s="102">
        <f t="shared" si="363"/>
        <v>0</v>
      </c>
      <c r="AF312" s="102">
        <f t="shared" si="363"/>
        <v>0</v>
      </c>
      <c r="AG312" s="102">
        <f t="shared" si="363"/>
        <v>0</v>
      </c>
      <c r="AH312" s="102">
        <f t="shared" si="363"/>
        <v>0</v>
      </c>
      <c r="AI312" s="102">
        <f t="shared" si="363"/>
        <v>0</v>
      </c>
      <c r="AJ312" s="102">
        <f t="shared" si="363"/>
        <v>0</v>
      </c>
      <c r="AK312" s="102">
        <f t="shared" si="363"/>
        <v>0</v>
      </c>
      <c r="AL312" s="102">
        <f t="shared" si="363"/>
        <v>0</v>
      </c>
      <c r="AM312" s="102">
        <f t="shared" ref="AM312:AV312" si="364">$D312*AM$107*AM$7</f>
        <v>0</v>
      </c>
      <c r="AN312" s="102">
        <f t="shared" si="364"/>
        <v>0</v>
      </c>
      <c r="AO312" s="102">
        <f t="shared" si="364"/>
        <v>0</v>
      </c>
      <c r="AP312" s="102" t="str">
        <f t="shared" si="364"/>
        <v>#REF!</v>
      </c>
      <c r="AQ312" s="102" t="str">
        <f t="shared" si="364"/>
        <v>#REF!</v>
      </c>
      <c r="AR312" s="102" t="str">
        <f t="shared" si="364"/>
        <v>#REF!</v>
      </c>
      <c r="AS312" s="102" t="str">
        <f t="shared" si="364"/>
        <v>#REF!</v>
      </c>
      <c r="AT312" s="102" t="str">
        <f t="shared" si="364"/>
        <v>#REF!</v>
      </c>
      <c r="AU312" s="102">
        <f t="shared" si="364"/>
        <v>0</v>
      </c>
      <c r="AV312" s="102">
        <f t="shared" si="364"/>
        <v>0</v>
      </c>
      <c r="AW312" s="90"/>
      <c r="AX312" s="90"/>
      <c r="AY312" s="90"/>
      <c r="AZ312" s="90"/>
      <c r="BA312" s="90"/>
      <c r="BB312" s="90"/>
      <c r="BC312" s="90"/>
      <c r="BD312" s="90"/>
      <c r="BE312" s="90"/>
      <c r="BF312" s="90"/>
      <c r="BG312" s="90"/>
      <c r="BH312" s="90"/>
      <c r="BI312" s="90"/>
      <c r="BJ312" s="90"/>
      <c r="BK312" s="90"/>
      <c r="BL312" s="90"/>
      <c r="BM312" s="90"/>
      <c r="BN312" s="90"/>
      <c r="BO312" s="90"/>
      <c r="BP312" s="90"/>
    </row>
    <row r="313" ht="12.75" customHeight="1" outlineLevel="1">
      <c r="A313" s="90" t="s">
        <v>288</v>
      </c>
      <c r="C313" s="102">
        <f>'RSGen 1-7'!I$391</f>
        <v>13009.59136</v>
      </c>
      <c r="D313" s="102">
        <f>OFFSET(RSGen_Walton!$H$391,0,ROW(C313)-ROW($C$312))</f>
        <v>0</v>
      </c>
      <c r="E313" s="102">
        <f>OFFSET(RSGen_none!$H$391,0,ROW(D313)-ROW($C$312))</f>
        <v>0</v>
      </c>
      <c r="F313" s="102"/>
      <c r="G313" s="102"/>
      <c r="H313" s="313"/>
      <c r="I313" s="313"/>
      <c r="J313" s="313"/>
      <c r="K313" s="306"/>
      <c r="L313" s="306"/>
      <c r="M313" s="306"/>
      <c r="N313" s="102">
        <f t="shared" ref="N313:AL313" si="365">N$112*(MAX(0,MIN(N8,SUM(N8:N$15)-$E$4))*$E313+MAX(0,MIN(N8,$D$4-SUM(N9:N$15)))*$C313+(N8-(MAX(0,MIN(N8,SUM(N8:N$15)-$E$4))+MAX(0,MIN(N8,$D$4-SUM(N9:N$15)))))*$D313)</f>
        <v>26539.56637</v>
      </c>
      <c r="O313" s="102">
        <f t="shared" si="365"/>
        <v>27070.3577</v>
      </c>
      <c r="P313" s="102">
        <f t="shared" si="365"/>
        <v>0</v>
      </c>
      <c r="Q313" s="102">
        <f t="shared" si="365"/>
        <v>0</v>
      </c>
      <c r="R313" s="102">
        <f t="shared" si="365"/>
        <v>0</v>
      </c>
      <c r="S313" s="102">
        <f t="shared" si="365"/>
        <v>0</v>
      </c>
      <c r="T313" s="102">
        <f t="shared" si="365"/>
        <v>0</v>
      </c>
      <c r="U313" s="102">
        <f t="shared" si="365"/>
        <v>0</v>
      </c>
      <c r="V313" s="102">
        <f t="shared" si="365"/>
        <v>0</v>
      </c>
      <c r="W313" s="102">
        <f t="shared" si="365"/>
        <v>0</v>
      </c>
      <c r="X313" s="102">
        <f t="shared" si="365"/>
        <v>0</v>
      </c>
      <c r="Y313" s="102">
        <f t="shared" si="365"/>
        <v>0</v>
      </c>
      <c r="Z313" s="102">
        <f t="shared" si="365"/>
        <v>0</v>
      </c>
      <c r="AA313" s="102">
        <f t="shared" si="365"/>
        <v>0</v>
      </c>
      <c r="AB313" s="102">
        <f t="shared" si="365"/>
        <v>0</v>
      </c>
      <c r="AC313" s="102">
        <f t="shared" si="365"/>
        <v>0</v>
      </c>
      <c r="AD313" s="102">
        <f t="shared" si="365"/>
        <v>0</v>
      </c>
      <c r="AE313" s="102">
        <f t="shared" si="365"/>
        <v>0</v>
      </c>
      <c r="AF313" s="102">
        <f t="shared" si="365"/>
        <v>0</v>
      </c>
      <c r="AG313" s="102">
        <f t="shared" si="365"/>
        <v>0</v>
      </c>
      <c r="AH313" s="102">
        <f t="shared" si="365"/>
        <v>0</v>
      </c>
      <c r="AI313" s="102">
        <f t="shared" si="365"/>
        <v>0</v>
      </c>
      <c r="AJ313" s="102">
        <f t="shared" si="365"/>
        <v>0</v>
      </c>
      <c r="AK313" s="102">
        <f t="shared" si="365"/>
        <v>0</v>
      </c>
      <c r="AL313" s="102">
        <f t="shared" si="365"/>
        <v>0</v>
      </c>
      <c r="AM313" s="102">
        <f t="shared" ref="AM313:AV313" si="366">$D313*AM$107*AM$8</f>
        <v>0</v>
      </c>
      <c r="AN313" s="102">
        <f t="shared" si="366"/>
        <v>0</v>
      </c>
      <c r="AO313" s="102">
        <f t="shared" si="366"/>
        <v>0</v>
      </c>
      <c r="AP313" s="102">
        <f t="shared" si="366"/>
        <v>0</v>
      </c>
      <c r="AQ313" s="102" t="str">
        <f t="shared" si="366"/>
        <v>#REF!</v>
      </c>
      <c r="AR313" s="102" t="str">
        <f t="shared" si="366"/>
        <v>#REF!</v>
      </c>
      <c r="AS313" s="102" t="str">
        <f t="shared" si="366"/>
        <v>#REF!</v>
      </c>
      <c r="AT313" s="102" t="str">
        <f t="shared" si="366"/>
        <v>#REF!</v>
      </c>
      <c r="AU313" s="102" t="str">
        <f t="shared" si="366"/>
        <v>#REF!</v>
      </c>
      <c r="AV313" s="102">
        <f t="shared" si="366"/>
        <v>0</v>
      </c>
      <c r="AW313" s="90"/>
      <c r="AX313" s="90"/>
      <c r="AY313" s="90"/>
      <c r="AZ313" s="90"/>
      <c r="BA313" s="90"/>
      <c r="BB313" s="90"/>
      <c r="BC313" s="90"/>
      <c r="BD313" s="90"/>
      <c r="BE313" s="90"/>
      <c r="BF313" s="90"/>
      <c r="BG313" s="90"/>
      <c r="BH313" s="90"/>
      <c r="BI313" s="90"/>
      <c r="BJ313" s="90"/>
      <c r="BK313" s="90"/>
      <c r="BL313" s="90"/>
      <c r="BM313" s="90"/>
      <c r="BN313" s="90"/>
      <c r="BO313" s="90"/>
      <c r="BP313" s="90"/>
    </row>
    <row r="314" ht="12.75" customHeight="1" outlineLevel="1">
      <c r="A314" s="90" t="s">
        <v>289</v>
      </c>
      <c r="C314" s="102">
        <f>'RSGen 1-7'!J$391</f>
        <v>12983.83239</v>
      </c>
      <c r="D314" s="102">
        <f>OFFSET(RSGen_Walton!$H$391,0,ROW(C314)-ROW($C$312))</f>
        <v>12522.09136</v>
      </c>
      <c r="E314" s="102">
        <f>OFFSET(RSGen_none!$H$391,0,ROW(D314)-ROW($C$312))</f>
        <v>11547.09136</v>
      </c>
      <c r="F314" s="102"/>
      <c r="G314" s="102"/>
      <c r="H314" s="313"/>
      <c r="I314" s="313"/>
      <c r="J314" s="313"/>
      <c r="K314" s="306"/>
      <c r="L314" s="306"/>
      <c r="M314" s="306"/>
      <c r="N314" s="306"/>
      <c r="O314" s="102">
        <f t="shared" ref="O314:AL314" si="367">O$112*(MAX(0,MIN(O9,SUM(O9:O$15)-$E$4))*$E314+MAX(0,MIN(O9,$D$4-SUM(O10:O$15)))*$C314+(O9-(MAX(0,MIN(O9,SUM(O9:O$15)-$E$4))+MAX(0,MIN(O9,$D$4-SUM(O10:O$15)))))*$D314)</f>
        <v>27016.75843</v>
      </c>
      <c r="P314" s="102">
        <f t="shared" si="367"/>
        <v>40845.63713</v>
      </c>
      <c r="Q314" s="102">
        <f t="shared" si="367"/>
        <v>67771.57198</v>
      </c>
      <c r="R314" s="102">
        <f t="shared" si="367"/>
        <v>110603.2055</v>
      </c>
      <c r="S314" s="102">
        <f t="shared" si="367"/>
        <v>183324.8131</v>
      </c>
      <c r="T314" s="102">
        <f t="shared" si="367"/>
        <v>316446.8312</v>
      </c>
      <c r="U314" s="102">
        <f t="shared" si="367"/>
        <v>498835.2775</v>
      </c>
      <c r="V314" s="102">
        <f t="shared" si="367"/>
        <v>632645.0908</v>
      </c>
      <c r="W314" s="102">
        <f t="shared" si="367"/>
        <v>633412.797</v>
      </c>
      <c r="X314" s="102">
        <f t="shared" si="367"/>
        <v>947585.5443</v>
      </c>
      <c r="Y314" s="102">
        <f t="shared" si="367"/>
        <v>1171560.309</v>
      </c>
      <c r="Z314" s="102">
        <f t="shared" si="367"/>
        <v>2121109.94</v>
      </c>
      <c r="AA314" s="102">
        <f t="shared" si="367"/>
        <v>2940575.372</v>
      </c>
      <c r="AB314" s="102">
        <f t="shared" si="367"/>
        <v>3760889.247</v>
      </c>
      <c r="AC314" s="102">
        <f t="shared" si="367"/>
        <v>4327509.173</v>
      </c>
      <c r="AD314" s="102">
        <f t="shared" si="367"/>
        <v>5238663.852</v>
      </c>
      <c r="AE314" s="102">
        <f t="shared" si="367"/>
        <v>5772231.466</v>
      </c>
      <c r="AF314" s="102">
        <f t="shared" si="367"/>
        <v>5803566.437</v>
      </c>
      <c r="AG314" s="102">
        <f t="shared" si="367"/>
        <v>4667076.731</v>
      </c>
      <c r="AH314" s="102">
        <f t="shared" si="367"/>
        <v>577550.7455</v>
      </c>
      <c r="AI314" s="102">
        <f t="shared" si="367"/>
        <v>0</v>
      </c>
      <c r="AJ314" s="102">
        <f t="shared" si="367"/>
        <v>0</v>
      </c>
      <c r="AK314" s="102">
        <f t="shared" si="367"/>
        <v>0</v>
      </c>
      <c r="AL314" s="102">
        <f t="shared" si="367"/>
        <v>0</v>
      </c>
      <c r="AM314" s="102">
        <f t="shared" ref="AM314:AV314" si="368">$D314*AM$107*AM$9</f>
        <v>0</v>
      </c>
      <c r="AN314" s="102">
        <f t="shared" si="368"/>
        <v>0</v>
      </c>
      <c r="AO314" s="102">
        <f t="shared" si="368"/>
        <v>0</v>
      </c>
      <c r="AP314" s="102">
        <f t="shared" si="368"/>
        <v>0</v>
      </c>
      <c r="AQ314" s="102">
        <f t="shared" si="368"/>
        <v>0</v>
      </c>
      <c r="AR314" s="102" t="str">
        <f t="shared" si="368"/>
        <v>#REF!</v>
      </c>
      <c r="AS314" s="102" t="str">
        <f t="shared" si="368"/>
        <v>#REF!</v>
      </c>
      <c r="AT314" s="102" t="str">
        <f t="shared" si="368"/>
        <v>#REF!</v>
      </c>
      <c r="AU314" s="102" t="str">
        <f t="shared" si="368"/>
        <v>#REF!</v>
      </c>
      <c r="AV314" s="102" t="str">
        <f t="shared" si="368"/>
        <v>#REF!</v>
      </c>
      <c r="AW314" s="90"/>
      <c r="AX314" s="90"/>
      <c r="AY314" s="90"/>
      <c r="AZ314" s="90"/>
      <c r="BA314" s="90"/>
      <c r="BB314" s="90"/>
      <c r="BC314" s="90"/>
      <c r="BD314" s="90"/>
      <c r="BE314" s="90"/>
      <c r="BF314" s="90"/>
      <c r="BG314" s="90"/>
      <c r="BH314" s="90"/>
      <c r="BI314" s="90"/>
      <c r="BJ314" s="90"/>
      <c r="BK314" s="90"/>
      <c r="BL314" s="90"/>
      <c r="BM314" s="90"/>
      <c r="BN314" s="90"/>
      <c r="BO314" s="90"/>
      <c r="BP314" s="90"/>
    </row>
    <row r="315" ht="12.75" customHeight="1" outlineLevel="1">
      <c r="A315" s="90" t="s">
        <v>290</v>
      </c>
      <c r="C315" s="102">
        <f>'RSGen 1-7'!K$391</f>
        <v>13499.15993</v>
      </c>
      <c r="D315" s="102">
        <f>OFFSET(RSGen_Walton!$H$391,0,ROW(C315)-ROW($C$312))</f>
        <v>12983.83239</v>
      </c>
      <c r="E315" s="102">
        <f>OFFSET(RSGen_none!$H$391,0,ROW(D315)-ROW($C$312))</f>
        <v>12983.83239</v>
      </c>
      <c r="F315" s="102"/>
      <c r="G315" s="102"/>
      <c r="H315" s="313"/>
      <c r="I315" s="313"/>
      <c r="J315" s="313"/>
      <c r="K315" s="306"/>
      <c r="L315" s="306"/>
      <c r="M315" s="306"/>
      <c r="N315" s="306"/>
      <c r="O315" s="306"/>
      <c r="P315" s="102">
        <f t="shared" ref="P315:AL315" si="369">P$112*(MAX(0,MIN(P10,SUM(P10:P$15)-$E$4))*$E315+MAX(0,MIN(P10,$D$4-SUM(P11:P$15)))*$C315+(P10-(MAX(0,MIN(P10,SUM(P10:P$15)-$E$4))+MAX(0,MIN(P10,$D$4-SUM(P11:P$15)))))*$D315)</f>
        <v>28650.83302</v>
      </c>
      <c r="Q315" s="102">
        <f t="shared" si="369"/>
        <v>43277.96742</v>
      </c>
      <c r="R315" s="102">
        <f t="shared" si="369"/>
        <v>71676.00046</v>
      </c>
      <c r="S315" s="102">
        <f t="shared" si="369"/>
        <v>116975.2328</v>
      </c>
      <c r="T315" s="102">
        <f t="shared" si="369"/>
        <v>193886.4483</v>
      </c>
      <c r="U315" s="102">
        <f t="shared" si="369"/>
        <v>334677.8384</v>
      </c>
      <c r="V315" s="102">
        <f t="shared" si="369"/>
        <v>527573.9744</v>
      </c>
      <c r="W315" s="102">
        <f t="shared" si="369"/>
        <v>712224.8654</v>
      </c>
      <c r="X315" s="102">
        <f t="shared" si="369"/>
        <v>726469.3628</v>
      </c>
      <c r="Y315" s="102">
        <f t="shared" si="369"/>
        <v>1086798.167</v>
      </c>
      <c r="Z315" s="102">
        <f t="shared" si="369"/>
        <v>1343677.733</v>
      </c>
      <c r="AA315" s="102">
        <f t="shared" si="369"/>
        <v>2432728.536</v>
      </c>
      <c r="AB315" s="102">
        <f t="shared" si="369"/>
        <v>3372584.082</v>
      </c>
      <c r="AC315" s="102">
        <f t="shared" si="369"/>
        <v>4313412.719</v>
      </c>
      <c r="AD315" s="102">
        <f t="shared" si="369"/>
        <v>4963276.47</v>
      </c>
      <c r="AE315" s="102">
        <f t="shared" si="369"/>
        <v>6008291.604</v>
      </c>
      <c r="AF315" s="102">
        <f t="shared" si="369"/>
        <v>6620247.23</v>
      </c>
      <c r="AG315" s="102">
        <f t="shared" si="369"/>
        <v>6656185.715</v>
      </c>
      <c r="AH315" s="102">
        <f t="shared" si="369"/>
        <v>5352730.912</v>
      </c>
      <c r="AI315" s="102">
        <f t="shared" si="369"/>
        <v>662400.4504</v>
      </c>
      <c r="AJ315" s="102">
        <f t="shared" si="369"/>
        <v>0</v>
      </c>
      <c r="AK315" s="102">
        <f t="shared" si="369"/>
        <v>0</v>
      </c>
      <c r="AL315" s="102">
        <f t="shared" si="369"/>
        <v>0</v>
      </c>
      <c r="AM315" s="102">
        <f t="shared" ref="AM315:AV315" si="370">$D315*AM$107*AM$10</f>
        <v>0</v>
      </c>
      <c r="AN315" s="102">
        <f t="shared" si="370"/>
        <v>0</v>
      </c>
      <c r="AO315" s="102">
        <f t="shared" si="370"/>
        <v>0</v>
      </c>
      <c r="AP315" s="102">
        <f t="shared" si="370"/>
        <v>0</v>
      </c>
      <c r="AQ315" s="102">
        <f t="shared" si="370"/>
        <v>0</v>
      </c>
      <c r="AR315" s="102">
        <f t="shared" si="370"/>
        <v>0</v>
      </c>
      <c r="AS315" s="102" t="str">
        <f t="shared" si="370"/>
        <v>#REF!</v>
      </c>
      <c r="AT315" s="102" t="str">
        <f t="shared" si="370"/>
        <v>#REF!</v>
      </c>
      <c r="AU315" s="102" t="str">
        <f t="shared" si="370"/>
        <v>#REF!</v>
      </c>
      <c r="AV315" s="102" t="str">
        <f t="shared" si="370"/>
        <v>#REF!</v>
      </c>
      <c r="AW315" s="90"/>
      <c r="AX315" s="90"/>
      <c r="AY315" s="90"/>
      <c r="AZ315" s="90"/>
      <c r="BA315" s="90"/>
      <c r="BB315" s="90"/>
      <c r="BC315" s="90"/>
      <c r="BD315" s="90"/>
      <c r="BE315" s="90"/>
      <c r="BF315" s="90"/>
      <c r="BG315" s="90"/>
      <c r="BH315" s="90"/>
      <c r="BI315" s="90"/>
      <c r="BJ315" s="90"/>
      <c r="BK315" s="90"/>
      <c r="BL315" s="90"/>
      <c r="BM315" s="90"/>
      <c r="BN315" s="90"/>
      <c r="BO315" s="90"/>
      <c r="BP315" s="90"/>
    </row>
    <row r="316" ht="12.75" customHeight="1" outlineLevel="1">
      <c r="A316" s="90" t="s">
        <v>291</v>
      </c>
      <c r="C316" s="102">
        <f>'RSGen 1-7'!L$391</f>
        <v>13533.88553</v>
      </c>
      <c r="D316" s="102">
        <f>OFFSET(RSGen_Walton!$H$391,0,ROW(C316)-ROW($C$312))</f>
        <v>13499.15993</v>
      </c>
      <c r="E316" s="102">
        <f>OFFSET(RSGen_none!$H$391,0,ROW(D316)-ROW($C$312))</f>
        <v>13499.15993</v>
      </c>
      <c r="F316" s="102"/>
      <c r="G316" s="102"/>
      <c r="H316" s="313"/>
      <c r="I316" s="313"/>
      <c r="J316" s="313"/>
      <c r="K316" s="306"/>
      <c r="L316" s="306"/>
      <c r="M316" s="306"/>
      <c r="N316" s="306"/>
      <c r="O316" s="306"/>
      <c r="P316" s="306"/>
      <c r="Q316" s="102">
        <f t="shared" ref="Q316:AL316" si="371">Q$112*(MAX(0,MIN(Q11,SUM(Q11:Q$15)-$E$4))*$E316+MAX(0,MIN(Q11,$D$4-SUM(Q12:Q$15)))*$C316+(Q11-(MAX(0,MIN(Q11,SUM(Q11:Q$15)-$E$4))+MAX(0,MIN(Q11,$D$4-SUM(Q12:Q$15)))))*$D316)</f>
        <v>29299.02589</v>
      </c>
      <c r="R316" s="102">
        <f t="shared" si="371"/>
        <v>44789.16974</v>
      </c>
      <c r="S316" s="102">
        <f t="shared" si="371"/>
        <v>76011.23301</v>
      </c>
      <c r="T316" s="102">
        <f t="shared" si="371"/>
        <v>124050.3323</v>
      </c>
      <c r="U316" s="102">
        <f t="shared" si="371"/>
        <v>205613.4257</v>
      </c>
      <c r="V316" s="102">
        <f t="shared" si="371"/>
        <v>354920.4057</v>
      </c>
      <c r="W316" s="102">
        <f t="shared" si="371"/>
        <v>559483.6213</v>
      </c>
      <c r="X316" s="102">
        <f t="shared" si="371"/>
        <v>755302.8888</v>
      </c>
      <c r="Y316" s="102">
        <f t="shared" si="371"/>
        <v>770408.9465</v>
      </c>
      <c r="Z316" s="102">
        <f t="shared" si="371"/>
        <v>1152531.784</v>
      </c>
      <c r="AA316" s="102">
        <f t="shared" si="371"/>
        <v>1424948.388</v>
      </c>
      <c r="AB316" s="102">
        <f t="shared" si="371"/>
        <v>2579869.056</v>
      </c>
      <c r="AC316" s="102">
        <f t="shared" si="371"/>
        <v>3576570.579</v>
      </c>
      <c r="AD316" s="102">
        <f t="shared" si="371"/>
        <v>4574304.051</v>
      </c>
      <c r="AE316" s="102">
        <f t="shared" si="371"/>
        <v>5263473.992</v>
      </c>
      <c r="AF316" s="102">
        <f t="shared" si="371"/>
        <v>6371695.549</v>
      </c>
      <c r="AG316" s="102">
        <f t="shared" si="371"/>
        <v>7020664.54</v>
      </c>
      <c r="AH316" s="102">
        <f t="shared" si="371"/>
        <v>7058776.719</v>
      </c>
      <c r="AI316" s="102">
        <f t="shared" si="371"/>
        <v>5676484.095</v>
      </c>
      <c r="AJ316" s="102">
        <f t="shared" si="371"/>
        <v>702464.9068</v>
      </c>
      <c r="AK316" s="102">
        <f t="shared" si="371"/>
        <v>0</v>
      </c>
      <c r="AL316" s="102">
        <f t="shared" si="371"/>
        <v>0</v>
      </c>
      <c r="AM316" s="102">
        <f t="shared" ref="AM316:AV316" si="372">$D316*AM$107*AM$11</f>
        <v>0</v>
      </c>
      <c r="AN316" s="102">
        <f t="shared" si="372"/>
        <v>0</v>
      </c>
      <c r="AO316" s="102">
        <f t="shared" si="372"/>
        <v>0</v>
      </c>
      <c r="AP316" s="102">
        <f t="shared" si="372"/>
        <v>0</v>
      </c>
      <c r="AQ316" s="102">
        <f t="shared" si="372"/>
        <v>0</v>
      </c>
      <c r="AR316" s="102">
        <f t="shared" si="372"/>
        <v>0</v>
      </c>
      <c r="AS316" s="102">
        <f t="shared" si="372"/>
        <v>0</v>
      </c>
      <c r="AT316" s="102" t="str">
        <f t="shared" si="372"/>
        <v>#REF!</v>
      </c>
      <c r="AU316" s="102" t="str">
        <f t="shared" si="372"/>
        <v>#REF!</v>
      </c>
      <c r="AV316" s="102" t="str">
        <f t="shared" si="372"/>
        <v>#REF!</v>
      </c>
      <c r="AW316" s="90"/>
      <c r="AX316" s="90"/>
      <c r="AY316" s="90"/>
      <c r="AZ316" s="90"/>
      <c r="BA316" s="90"/>
      <c r="BB316" s="90"/>
      <c r="BC316" s="90"/>
      <c r="BD316" s="90"/>
      <c r="BE316" s="90"/>
      <c r="BF316" s="90"/>
      <c r="BG316" s="90"/>
      <c r="BH316" s="90"/>
      <c r="BI316" s="90"/>
      <c r="BJ316" s="90"/>
      <c r="BK316" s="90"/>
      <c r="BL316" s="90"/>
      <c r="BM316" s="90"/>
      <c r="BN316" s="90"/>
      <c r="BO316" s="90"/>
      <c r="BP316" s="90"/>
    </row>
    <row r="317" ht="12.75" customHeight="1" outlineLevel="1">
      <c r="A317" s="90" t="s">
        <v>292</v>
      </c>
      <c r="C317" s="102">
        <f>'RSGen 1-7'!M$391</f>
        <v>13504.12073</v>
      </c>
      <c r="D317" s="102">
        <f>OFFSET(RSGen_Walton!$H$391,0,ROW(C317)-ROW($C$312))</f>
        <v>13533.88553</v>
      </c>
      <c r="E317" s="102">
        <f>OFFSET(RSGen_none!$H$391,0,ROW(D317)-ROW($C$312))</f>
        <v>13533.88553</v>
      </c>
      <c r="F317" s="102"/>
      <c r="G317" s="102"/>
      <c r="H317" s="313"/>
      <c r="I317" s="313"/>
      <c r="J317" s="313"/>
      <c r="K317" s="306"/>
      <c r="L317" s="306"/>
      <c r="M317" s="306"/>
      <c r="N317" s="306"/>
      <c r="O317" s="306"/>
      <c r="P317" s="306"/>
      <c r="Q317" s="306"/>
      <c r="R317" s="102">
        <f t="shared" ref="R317:AL317" si="373">R$112*(MAX(0,MIN(R12,SUM(R12:R$15)-$E$4))*$E317+MAX(0,MIN(R12,$D$4-SUM(R13:R$15)))*$C317+(R12-(MAX(0,MIN(R12,SUM(R12:R$15)-$E$4))+MAX(0,MIN(R12,$D$4-SUM(R13:R$15)))))*$D317)</f>
        <v>29819.28092</v>
      </c>
      <c r="S317" s="102">
        <f t="shared" si="373"/>
        <v>45657.01981</v>
      </c>
      <c r="T317" s="102">
        <f t="shared" si="373"/>
        <v>77730.90167</v>
      </c>
      <c r="U317" s="102">
        <f t="shared" si="373"/>
        <v>126856.8315</v>
      </c>
      <c r="V317" s="102">
        <f t="shared" si="373"/>
        <v>210265.1982</v>
      </c>
      <c r="W317" s="102">
        <f t="shared" si="373"/>
        <v>362950.0807</v>
      </c>
      <c r="X317" s="102">
        <f t="shared" si="373"/>
        <v>572141.309</v>
      </c>
      <c r="Y317" s="102">
        <f t="shared" si="373"/>
        <v>772390.7671</v>
      </c>
      <c r="Z317" s="102">
        <f t="shared" si="373"/>
        <v>787838.5825</v>
      </c>
      <c r="AA317" s="102">
        <f t="shared" si="373"/>
        <v>1178606.519</v>
      </c>
      <c r="AB317" s="102">
        <f t="shared" si="373"/>
        <v>1457186.242</v>
      </c>
      <c r="AC317" s="102">
        <f t="shared" si="373"/>
        <v>2638235.691</v>
      </c>
      <c r="AD317" s="102">
        <f t="shared" si="373"/>
        <v>3657486.466</v>
      </c>
      <c r="AE317" s="102">
        <f t="shared" si="373"/>
        <v>4677792.535</v>
      </c>
      <c r="AF317" s="102">
        <f t="shared" si="373"/>
        <v>5382554.171</v>
      </c>
      <c r="AG317" s="102">
        <f t="shared" si="373"/>
        <v>6515847.994</v>
      </c>
      <c r="AH317" s="102">
        <f t="shared" si="373"/>
        <v>7179499.179</v>
      </c>
      <c r="AI317" s="102">
        <f t="shared" si="373"/>
        <v>7218473.603</v>
      </c>
      <c r="AJ317" s="102">
        <f t="shared" si="373"/>
        <v>5804908.163</v>
      </c>
      <c r="AK317" s="102">
        <f t="shared" si="373"/>
        <v>718357.3852</v>
      </c>
      <c r="AL317" s="102">
        <f t="shared" si="373"/>
        <v>0</v>
      </c>
      <c r="AM317" s="102">
        <f t="shared" ref="AM317:AV317" si="374">$D317*AM$107*AM$12</f>
        <v>0</v>
      </c>
      <c r="AN317" s="102">
        <f t="shared" si="374"/>
        <v>0</v>
      </c>
      <c r="AO317" s="102">
        <f t="shared" si="374"/>
        <v>0</v>
      </c>
      <c r="AP317" s="102">
        <f t="shared" si="374"/>
        <v>0</v>
      </c>
      <c r="AQ317" s="102">
        <f t="shared" si="374"/>
        <v>0</v>
      </c>
      <c r="AR317" s="102">
        <f t="shared" si="374"/>
        <v>0</v>
      </c>
      <c r="AS317" s="102">
        <f t="shared" si="374"/>
        <v>0</v>
      </c>
      <c r="AT317" s="102">
        <f t="shared" si="374"/>
        <v>0</v>
      </c>
      <c r="AU317" s="102" t="str">
        <f t="shared" si="374"/>
        <v>#REF!</v>
      </c>
      <c r="AV317" s="102" t="str">
        <f t="shared" si="374"/>
        <v>#REF!</v>
      </c>
      <c r="AW317" s="90"/>
      <c r="AX317" s="90"/>
      <c r="AY317" s="90"/>
      <c r="AZ317" s="90"/>
      <c r="BA317" s="90"/>
      <c r="BB317" s="90"/>
      <c r="BC317" s="90"/>
      <c r="BD317" s="90"/>
      <c r="BE317" s="90"/>
      <c r="BF317" s="90"/>
      <c r="BG317" s="90"/>
      <c r="BH317" s="90"/>
      <c r="BI317" s="90"/>
      <c r="BJ317" s="90"/>
      <c r="BK317" s="90"/>
      <c r="BL317" s="90"/>
      <c r="BM317" s="90"/>
      <c r="BN317" s="90"/>
      <c r="BO317" s="90"/>
      <c r="BP317" s="90"/>
    </row>
    <row r="318" ht="12.75" customHeight="1" outlineLevel="1">
      <c r="A318" s="90" t="s">
        <v>293</v>
      </c>
      <c r="C318" s="102">
        <f>'RSGen 1-7'!N$391</f>
        <v>13476.83633</v>
      </c>
      <c r="D318" s="102">
        <f>OFFSET(RSGen_Walton!$H$391,0,ROW(C318)-ROW($C$312))</f>
        <v>13504.12073</v>
      </c>
      <c r="E318" s="102">
        <f>OFFSET(RSGen_none!$H$391,0,ROW(D318)-ROW($C$312))</f>
        <v>13504.12073</v>
      </c>
      <c r="F318" s="102"/>
      <c r="G318" s="102"/>
      <c r="H318" s="313"/>
      <c r="I318" s="313"/>
      <c r="J318" s="313"/>
      <c r="K318" s="306"/>
      <c r="L318" s="306"/>
      <c r="M318" s="306"/>
      <c r="N318" s="306"/>
      <c r="O318" s="306"/>
      <c r="P318" s="306"/>
      <c r="Q318" s="306"/>
      <c r="R318" s="306"/>
      <c r="S318" s="102">
        <f t="shared" ref="S318:AL318" si="375">S$112*(MAX(0,MIN(S13,SUM(S13:S$15)-$E$4))*$E318+MAX(0,MIN(S13,$D$4-SUM(S14:S$15)))*$C318+(S13-(MAX(0,MIN(S13,SUM(S13:S$15)-$E$4))+MAX(0,MIN(S13,$D$4-SUM(S14:S$15)))))*$D318)</f>
        <v>30354.21321</v>
      </c>
      <c r="T318" s="102">
        <f t="shared" si="375"/>
        <v>46473.2874</v>
      </c>
      <c r="U318" s="102">
        <f t="shared" si="375"/>
        <v>79111.14866</v>
      </c>
      <c r="V318" s="102">
        <f t="shared" si="375"/>
        <v>129109.3946</v>
      </c>
      <c r="W318" s="102">
        <f t="shared" si="375"/>
        <v>213998.8216</v>
      </c>
      <c r="X318" s="102">
        <f t="shared" si="375"/>
        <v>369394.8889</v>
      </c>
      <c r="Y318" s="102">
        <f t="shared" si="375"/>
        <v>582300.6704</v>
      </c>
      <c r="Z318" s="102">
        <f t="shared" si="375"/>
        <v>786105.905</v>
      </c>
      <c r="AA318" s="102">
        <f t="shared" si="375"/>
        <v>801828.0231</v>
      </c>
      <c r="AB318" s="102">
        <f t="shared" si="375"/>
        <v>1199534.723</v>
      </c>
      <c r="AC318" s="102">
        <f t="shared" si="375"/>
        <v>1483061.112</v>
      </c>
      <c r="AD318" s="102">
        <f t="shared" si="375"/>
        <v>2685082.143</v>
      </c>
      <c r="AE318" s="102">
        <f t="shared" si="375"/>
        <v>3722431.483</v>
      </c>
      <c r="AF318" s="102">
        <f t="shared" si="375"/>
        <v>4760854.856</v>
      </c>
      <c r="AG318" s="102">
        <f t="shared" si="375"/>
        <v>5478130.757</v>
      </c>
      <c r="AH318" s="102">
        <f t="shared" si="375"/>
        <v>6631548.178</v>
      </c>
      <c r="AI318" s="102">
        <f t="shared" si="375"/>
        <v>7306983.641</v>
      </c>
      <c r="AJ318" s="102">
        <f t="shared" si="375"/>
        <v>7346650.124</v>
      </c>
      <c r="AK318" s="102">
        <f t="shared" si="375"/>
        <v>5907984.378</v>
      </c>
      <c r="AL318" s="102">
        <f t="shared" si="375"/>
        <v>731113.0667</v>
      </c>
      <c r="AM318" s="102">
        <f t="shared" ref="AM318:AV318" si="376">$D318*AM$107*AM$13</f>
        <v>0</v>
      </c>
      <c r="AN318" s="102">
        <f t="shared" si="376"/>
        <v>0</v>
      </c>
      <c r="AO318" s="102">
        <f t="shared" si="376"/>
        <v>0</v>
      </c>
      <c r="AP318" s="102">
        <f t="shared" si="376"/>
        <v>0</v>
      </c>
      <c r="AQ318" s="102">
        <f t="shared" si="376"/>
        <v>0</v>
      </c>
      <c r="AR318" s="102">
        <f t="shared" si="376"/>
        <v>0</v>
      </c>
      <c r="AS318" s="102">
        <f t="shared" si="376"/>
        <v>0</v>
      </c>
      <c r="AT318" s="102">
        <f t="shared" si="376"/>
        <v>0</v>
      </c>
      <c r="AU318" s="102">
        <f t="shared" si="376"/>
        <v>0</v>
      </c>
      <c r="AV318" s="102" t="str">
        <f t="shared" si="376"/>
        <v>#REF!</v>
      </c>
      <c r="AW318" s="90"/>
      <c r="AX318" s="90"/>
      <c r="AY318" s="90"/>
      <c r="AZ318" s="90"/>
      <c r="BA318" s="90"/>
      <c r="BB318" s="90"/>
      <c r="BC318" s="90"/>
      <c r="BD318" s="90"/>
      <c r="BE318" s="90"/>
      <c r="BF318" s="90"/>
      <c r="BG318" s="90"/>
      <c r="BH318" s="90"/>
      <c r="BI318" s="90"/>
      <c r="BJ318" s="90"/>
      <c r="BK318" s="90"/>
      <c r="BL318" s="90"/>
      <c r="BM318" s="90"/>
      <c r="BN318" s="90"/>
      <c r="BO318" s="90"/>
      <c r="BP318" s="90"/>
    </row>
    <row r="319" ht="12.75" customHeight="1" outlineLevel="1">
      <c r="A319" s="90" t="s">
        <v>294</v>
      </c>
      <c r="C319" s="102">
        <f>'RSGen 1-7'!O$391</f>
        <v>13450.79213</v>
      </c>
      <c r="D319" s="102">
        <f>OFFSET(RSGen_Walton!$H$391,0,ROW(C319)-ROW($C$312))</f>
        <v>13476.83633</v>
      </c>
      <c r="E319" s="102">
        <f>OFFSET(RSGen_none!$H$391,0,ROW(D319)-ROW($C$312))</f>
        <v>13476.83633</v>
      </c>
      <c r="F319" s="102"/>
      <c r="G319" s="102"/>
      <c r="H319" s="313"/>
      <c r="I319" s="313"/>
      <c r="J319" s="313"/>
      <c r="K319" s="306"/>
      <c r="L319" s="306"/>
      <c r="M319" s="306"/>
      <c r="N319" s="306"/>
      <c r="O319" s="306"/>
      <c r="P319" s="306"/>
      <c r="Q319" s="306"/>
      <c r="R319" s="306"/>
      <c r="S319" s="306"/>
      <c r="T319" s="102">
        <f t="shared" ref="T319:AL319" si="377">T$112*(MAX(0,MIN(T14,SUM(T14:T$15)-$E$4))*$E319+MAX(0,MIN(T14,$D$4-SUM(T$15:T15)))*$C319+(T14-(MAX(0,MIN(T14,SUM(T14:T$15)-$E$4))+MAX(0,MIN(T14,$D$4-SUM(T$15:T15)))))*$D319)</f>
        <v>30901.46427</v>
      </c>
      <c r="U319" s="102">
        <f t="shared" si="377"/>
        <v>47309.75527</v>
      </c>
      <c r="V319" s="102">
        <f t="shared" si="377"/>
        <v>80530.33472</v>
      </c>
      <c r="W319" s="102">
        <f t="shared" si="377"/>
        <v>131425.5063</v>
      </c>
      <c r="X319" s="102">
        <f t="shared" si="377"/>
        <v>217837.7766</v>
      </c>
      <c r="Y319" s="102">
        <f t="shared" si="377"/>
        <v>376021.516</v>
      </c>
      <c r="Z319" s="102">
        <f t="shared" si="377"/>
        <v>592746.6443</v>
      </c>
      <c r="AA319" s="102">
        <f t="shared" si="377"/>
        <v>800207.9698</v>
      </c>
      <c r="AB319" s="102">
        <f t="shared" si="377"/>
        <v>816212.1291</v>
      </c>
      <c r="AC319" s="102">
        <f t="shared" si="377"/>
        <v>1221053.345</v>
      </c>
      <c r="AD319" s="102">
        <f t="shared" si="377"/>
        <v>1509665.954</v>
      </c>
      <c r="AE319" s="102">
        <f t="shared" si="377"/>
        <v>2733250.21</v>
      </c>
      <c r="AF319" s="102">
        <f t="shared" si="377"/>
        <v>3789208.706</v>
      </c>
      <c r="AG319" s="102">
        <f t="shared" si="377"/>
        <v>4846260.503</v>
      </c>
      <c r="AH319" s="102">
        <f t="shared" si="377"/>
        <v>5576403.718</v>
      </c>
      <c r="AI319" s="102">
        <f t="shared" si="377"/>
        <v>6750512.456</v>
      </c>
      <c r="AJ319" s="102">
        <f t="shared" si="377"/>
        <v>7438064.651</v>
      </c>
      <c r="AK319" s="102">
        <f t="shared" si="377"/>
        <v>7478442.716</v>
      </c>
      <c r="AL319" s="102">
        <f t="shared" si="377"/>
        <v>6013968.543</v>
      </c>
      <c r="AM319" s="102">
        <f t="shared" ref="AM319:AV319" si="378">$D319*AM$107*AM$14</f>
        <v>744253.4425</v>
      </c>
      <c r="AN319" s="102">
        <f t="shared" si="378"/>
        <v>0</v>
      </c>
      <c r="AO319" s="102">
        <f t="shared" si="378"/>
        <v>0</v>
      </c>
      <c r="AP319" s="102">
        <f t="shared" si="378"/>
        <v>0</v>
      </c>
      <c r="AQ319" s="102">
        <f t="shared" si="378"/>
        <v>0</v>
      </c>
      <c r="AR319" s="102">
        <f t="shared" si="378"/>
        <v>0</v>
      </c>
      <c r="AS319" s="102">
        <f t="shared" si="378"/>
        <v>0</v>
      </c>
      <c r="AT319" s="102">
        <f t="shared" si="378"/>
        <v>0</v>
      </c>
      <c r="AU319" s="102">
        <f t="shared" si="378"/>
        <v>0</v>
      </c>
      <c r="AV319" s="102">
        <f t="shared" si="378"/>
        <v>0</v>
      </c>
      <c r="AW319" s="90"/>
      <c r="AX319" s="90"/>
      <c r="AY319" s="90"/>
      <c r="AZ319" s="90"/>
      <c r="BA319" s="90"/>
      <c r="BB319" s="90"/>
      <c r="BC319" s="90"/>
      <c r="BD319" s="90"/>
      <c r="BE319" s="90"/>
      <c r="BF319" s="90"/>
      <c r="BG319" s="90"/>
      <c r="BH319" s="90"/>
      <c r="BI319" s="90"/>
      <c r="BJ319" s="90"/>
      <c r="BK319" s="90"/>
      <c r="BL319" s="90"/>
      <c r="BM319" s="90"/>
      <c r="BN319" s="90"/>
      <c r="BO319" s="90"/>
      <c r="BP319" s="90"/>
    </row>
    <row r="320" ht="12.75" customHeight="1" outlineLevel="1">
      <c r="A320" s="90" t="s">
        <v>295</v>
      </c>
      <c r="C320" s="102">
        <f>'RSGen 1-7'!P$391</f>
        <v>13424.74793</v>
      </c>
      <c r="D320" s="102">
        <f>OFFSET(RSGen_Walton!$H$391,0,ROW(C320)-ROW($C$312))</f>
        <v>13450.79213</v>
      </c>
      <c r="E320" s="102">
        <f>OFFSET(RSGen_none!$H$391,0,ROW(D320)-ROW($C$312))</f>
        <v>13450.79213</v>
      </c>
      <c r="F320" s="102"/>
      <c r="G320" s="102"/>
      <c r="H320" s="313"/>
      <c r="I320" s="313"/>
      <c r="J320" s="313"/>
      <c r="K320" s="306"/>
      <c r="L320" s="306"/>
      <c r="M320" s="306"/>
      <c r="N320" s="306"/>
      <c r="O320" s="306"/>
      <c r="P320" s="306"/>
      <c r="Q320" s="306"/>
      <c r="R320" s="306"/>
      <c r="S320" s="306"/>
      <c r="T320" s="306"/>
      <c r="U320" s="102">
        <f t="shared" ref="U320:AL320" si="379">U$112*($C320*MIN($D$4-3,U15-3)+$D320*MIN($E$4-$D$4,MAX(0,U15-$D$4))+$E320*MAX(0,U15-$E$4))</f>
        <v>31458.46369</v>
      </c>
      <c r="V320" s="102">
        <f t="shared" si="379"/>
        <v>80250.20765</v>
      </c>
      <c r="W320" s="102">
        <f t="shared" si="379"/>
        <v>163837.4145</v>
      </c>
      <c r="X320" s="102">
        <f t="shared" si="379"/>
        <v>300909.1177</v>
      </c>
      <c r="Y320" s="102">
        <f t="shared" si="379"/>
        <v>528692.4378</v>
      </c>
      <c r="Z320" s="102">
        <f t="shared" si="379"/>
        <v>922067.0319</v>
      </c>
      <c r="AA320" s="102">
        <f t="shared" si="379"/>
        <v>1543941.548</v>
      </c>
      <c r="AB320" s="102">
        <f t="shared" si="379"/>
        <v>2389455.165</v>
      </c>
      <c r="AC320" s="102">
        <f t="shared" si="379"/>
        <v>3268171.75</v>
      </c>
      <c r="AD320" s="102">
        <f t="shared" si="379"/>
        <v>4576602.698</v>
      </c>
      <c r="AE320" s="102">
        <f t="shared" si="379"/>
        <v>6205018.223</v>
      </c>
      <c r="AF320" s="102">
        <f t="shared" si="379"/>
        <v>9111646.111</v>
      </c>
      <c r="AG320" s="102">
        <f t="shared" si="379"/>
        <v>13151402.75</v>
      </c>
      <c r="AH320" s="102">
        <f t="shared" si="379"/>
        <v>18348063.74</v>
      </c>
      <c r="AI320" s="102">
        <f t="shared" si="379"/>
        <v>24391964.79</v>
      </c>
      <c r="AJ320" s="102">
        <f t="shared" si="379"/>
        <v>31752020.4</v>
      </c>
      <c r="AK320" s="102">
        <f t="shared" si="379"/>
        <v>39959225.1</v>
      </c>
      <c r="AL320" s="102">
        <f t="shared" si="379"/>
        <v>48371679.91</v>
      </c>
      <c r="AM320" s="102">
        <f t="shared" ref="AM320:AV320" si="380">$C320*AM$107*(4)+$D320*AM$107*(AM$15-7)</f>
        <v>55463357.68</v>
      </c>
      <c r="AN320" s="102">
        <f t="shared" si="380"/>
        <v>57330296.3</v>
      </c>
      <c r="AO320" s="102">
        <f t="shared" si="380"/>
        <v>58476902.22</v>
      </c>
      <c r="AP320" s="102">
        <f t="shared" si="380"/>
        <v>59646440.27</v>
      </c>
      <c r="AQ320" s="102">
        <f t="shared" si="380"/>
        <v>60839369.07</v>
      </c>
      <c r="AR320" s="102">
        <f t="shared" si="380"/>
        <v>62056156.45</v>
      </c>
      <c r="AS320" s="102">
        <f t="shared" si="380"/>
        <v>63297279.58</v>
      </c>
      <c r="AT320" s="102">
        <f t="shared" si="380"/>
        <v>64563225.18</v>
      </c>
      <c r="AU320" s="102">
        <f t="shared" si="380"/>
        <v>65854489.68</v>
      </c>
      <c r="AV320" s="102">
        <f t="shared" si="380"/>
        <v>67171579.47</v>
      </c>
      <c r="AW320" s="90"/>
      <c r="AX320" s="90"/>
      <c r="AY320" s="90"/>
      <c r="AZ320" s="90"/>
      <c r="BA320" s="90"/>
      <c r="BB320" s="90"/>
      <c r="BC320" s="90"/>
      <c r="BD320" s="90"/>
      <c r="BE320" s="90"/>
      <c r="BF320" s="90"/>
      <c r="BG320" s="90"/>
      <c r="BH320" s="90"/>
      <c r="BI320" s="90"/>
      <c r="BJ320" s="90"/>
      <c r="BK320" s="90"/>
      <c r="BL320" s="90"/>
      <c r="BM320" s="90"/>
      <c r="BN320" s="90"/>
      <c r="BO320" s="90"/>
      <c r="BP320" s="90"/>
    </row>
    <row r="321" ht="13.5" customHeight="1" outlineLevel="1">
      <c r="A321" s="143" t="str">
        <f>"Total "&amp;A311</f>
        <v>Total Working Capital Loan Interest</v>
      </c>
      <c r="B321" s="143"/>
      <c r="C321" s="309"/>
      <c r="D321" s="309"/>
      <c r="E321" s="309"/>
      <c r="F321" s="309"/>
      <c r="G321" s="309"/>
      <c r="H321" s="314"/>
      <c r="I321" s="314"/>
      <c r="J321" s="314"/>
      <c r="K321" s="311"/>
      <c r="L321" s="311"/>
      <c r="M321" s="307">
        <f t="shared" ref="M321:AV321" si="381">SUM(M312:M320)</f>
        <v>0</v>
      </c>
      <c r="N321" s="307">
        <f t="shared" si="381"/>
        <v>26539.56637</v>
      </c>
      <c r="O321" s="307">
        <f t="shared" si="381"/>
        <v>54087.11613</v>
      </c>
      <c r="P321" s="307">
        <f t="shared" si="381"/>
        <v>69496.47015</v>
      </c>
      <c r="Q321" s="307">
        <f t="shared" si="381"/>
        <v>140348.5653</v>
      </c>
      <c r="R321" s="307">
        <f t="shared" si="381"/>
        <v>256887.6566</v>
      </c>
      <c r="S321" s="307">
        <f t="shared" si="381"/>
        <v>452322.5119</v>
      </c>
      <c r="T321" s="309">
        <f t="shared" si="381"/>
        <v>789489.2651</v>
      </c>
      <c r="U321" s="309">
        <f t="shared" si="381"/>
        <v>1323862.741</v>
      </c>
      <c r="V321" s="309">
        <f t="shared" si="381"/>
        <v>2015294.606</v>
      </c>
      <c r="W321" s="309">
        <f t="shared" si="381"/>
        <v>2777333.107</v>
      </c>
      <c r="X321" s="309">
        <f t="shared" si="381"/>
        <v>3889640.888</v>
      </c>
      <c r="Y321" s="309">
        <f t="shared" si="381"/>
        <v>5288172.814</v>
      </c>
      <c r="Z321" s="309">
        <f t="shared" si="381"/>
        <v>7706077.621</v>
      </c>
      <c r="AA321" s="309">
        <f t="shared" si="381"/>
        <v>11122836.36</v>
      </c>
      <c r="AB321" s="309">
        <f t="shared" si="381"/>
        <v>15575730.64</v>
      </c>
      <c r="AC321" s="309">
        <f t="shared" si="381"/>
        <v>20828014.37</v>
      </c>
      <c r="AD321" s="309">
        <f t="shared" si="381"/>
        <v>27205081.63</v>
      </c>
      <c r="AE321" s="309">
        <f t="shared" si="381"/>
        <v>34382489.51</v>
      </c>
      <c r="AF321" s="309">
        <f t="shared" si="381"/>
        <v>41839773.06</v>
      </c>
      <c r="AG321" s="309">
        <f t="shared" si="381"/>
        <v>48335568.99</v>
      </c>
      <c r="AH321" s="309">
        <f t="shared" si="381"/>
        <v>50724573.19</v>
      </c>
      <c r="AI321" s="309">
        <f t="shared" si="381"/>
        <v>52006819.03</v>
      </c>
      <c r="AJ321" s="309">
        <f t="shared" si="381"/>
        <v>53044108.25</v>
      </c>
      <c r="AK321" s="309">
        <f t="shared" si="381"/>
        <v>54064009.57</v>
      </c>
      <c r="AL321" s="309">
        <f t="shared" si="381"/>
        <v>55116761.52</v>
      </c>
      <c r="AM321" s="309">
        <f t="shared" si="381"/>
        <v>56207611.12</v>
      </c>
      <c r="AN321" s="309">
        <f t="shared" si="381"/>
        <v>57330296.3</v>
      </c>
      <c r="AO321" s="309">
        <f t="shared" si="381"/>
        <v>58476902.22</v>
      </c>
      <c r="AP321" s="309" t="str">
        <f t="shared" si="381"/>
        <v>#REF!</v>
      </c>
      <c r="AQ321" s="309" t="str">
        <f t="shared" si="381"/>
        <v>#REF!</v>
      </c>
      <c r="AR321" s="309" t="str">
        <f t="shared" si="381"/>
        <v>#REF!</v>
      </c>
      <c r="AS321" s="309" t="str">
        <f t="shared" si="381"/>
        <v>#REF!</v>
      </c>
      <c r="AT321" s="309" t="str">
        <f t="shared" si="381"/>
        <v>#REF!</v>
      </c>
      <c r="AU321" s="309" t="str">
        <f t="shared" si="381"/>
        <v>#REF!</v>
      </c>
      <c r="AV321" s="309" t="str">
        <f t="shared" si="381"/>
        <v>#REF!</v>
      </c>
      <c r="AW321" s="90"/>
      <c r="AX321" s="90"/>
      <c r="AY321" s="90"/>
      <c r="AZ321" s="90"/>
      <c r="BA321" s="90"/>
      <c r="BB321" s="90"/>
      <c r="BC321" s="90"/>
      <c r="BD321" s="90"/>
      <c r="BE321" s="90"/>
      <c r="BF321" s="90"/>
      <c r="BG321" s="90"/>
      <c r="BH321" s="90"/>
      <c r="BI321" s="90"/>
      <c r="BJ321" s="90"/>
      <c r="BK321" s="90"/>
      <c r="BL321" s="90"/>
      <c r="BM321" s="90"/>
      <c r="BN321" s="90"/>
      <c r="BO321" s="90"/>
      <c r="BP321" s="90"/>
    </row>
    <row r="322" ht="13.5" customHeight="1" outlineLevel="1">
      <c r="A322" s="90"/>
      <c r="C322" s="102"/>
      <c r="D322" s="102"/>
      <c r="E322" s="102"/>
      <c r="F322" s="102"/>
      <c r="G322" s="102"/>
      <c r="K322" s="102"/>
      <c r="L322" s="102"/>
      <c r="M322" s="102"/>
      <c r="N322" s="102"/>
      <c r="O322" s="102"/>
      <c r="P322" s="102"/>
      <c r="Q322" s="102"/>
      <c r="R322" s="102"/>
      <c r="S322" s="102"/>
      <c r="T322" s="102"/>
      <c r="U322" s="102"/>
      <c r="V322" s="102"/>
      <c r="W322" s="102"/>
      <c r="X322" s="102"/>
      <c r="Y322" s="102"/>
      <c r="Z322" s="102"/>
      <c r="AA322" s="102"/>
      <c r="AB322" s="102"/>
      <c r="AC322" s="102"/>
      <c r="AD322" s="102"/>
      <c r="AE322" s="102"/>
      <c r="AF322" s="102"/>
      <c r="AG322" s="102"/>
      <c r="AH322" s="102"/>
      <c r="AI322" s="102"/>
      <c r="AJ322" s="102"/>
      <c r="AK322" s="102"/>
      <c r="AL322" s="102"/>
      <c r="AM322" s="102"/>
      <c r="AN322" s="102"/>
      <c r="AO322" s="102"/>
      <c r="AP322" s="102"/>
      <c r="AQ322" s="102"/>
      <c r="AR322" s="102"/>
      <c r="AS322" s="102"/>
      <c r="AT322" s="102"/>
      <c r="AU322" s="102"/>
      <c r="AV322" s="102"/>
      <c r="AW322" s="90"/>
      <c r="AX322" s="90"/>
      <c r="AY322" s="90"/>
      <c r="AZ322" s="90"/>
      <c r="BA322" s="90"/>
      <c r="BB322" s="90"/>
      <c r="BC322" s="90"/>
      <c r="BD322" s="90"/>
      <c r="BE322" s="90"/>
      <c r="BF322" s="90"/>
      <c r="BG322" s="90"/>
      <c r="BH322" s="90"/>
      <c r="BI322" s="90"/>
      <c r="BJ322" s="90"/>
      <c r="BK322" s="90"/>
      <c r="BL322" s="90"/>
      <c r="BM322" s="90"/>
      <c r="BN322" s="90"/>
      <c r="BO322" s="90"/>
      <c r="BP322" s="90"/>
    </row>
    <row r="323" ht="12.75" customHeight="1" outlineLevel="1">
      <c r="A323" s="90" t="s">
        <v>559</v>
      </c>
      <c r="C323" s="102"/>
      <c r="D323" s="102"/>
      <c r="E323" s="102"/>
      <c r="F323" s="102"/>
      <c r="G323" s="102"/>
      <c r="K323" s="102"/>
      <c r="L323" s="102"/>
      <c r="M323" s="102"/>
      <c r="N323" s="102"/>
      <c r="O323" s="102"/>
      <c r="P323" s="102"/>
      <c r="Q323" s="102"/>
      <c r="R323" s="102"/>
      <c r="S323" s="102"/>
      <c r="T323" s="102"/>
      <c r="U323" s="102"/>
      <c r="V323" s="102"/>
      <c r="W323" s="102"/>
      <c r="X323" s="102"/>
      <c r="Y323" s="102"/>
      <c r="Z323" s="102"/>
      <c r="AA323" s="102"/>
      <c r="AB323" s="102"/>
      <c r="AC323" s="102"/>
      <c r="AD323" s="102"/>
      <c r="AE323" s="102"/>
      <c r="AF323" s="102"/>
      <c r="AG323" s="102"/>
      <c r="AH323" s="102"/>
      <c r="AI323" s="102"/>
      <c r="AJ323" s="102"/>
      <c r="AK323" s="102"/>
      <c r="AL323" s="102"/>
      <c r="AM323" s="102"/>
      <c r="AN323" s="102"/>
      <c r="AO323" s="102"/>
      <c r="AP323" s="102"/>
      <c r="AQ323" s="102"/>
      <c r="AR323" s="102"/>
      <c r="AS323" s="102"/>
      <c r="AT323" s="102"/>
      <c r="AU323" s="102"/>
      <c r="AV323" s="102"/>
      <c r="AW323" s="90"/>
      <c r="AX323" s="90"/>
      <c r="AY323" s="90"/>
      <c r="AZ323" s="90"/>
      <c r="BA323" s="90"/>
      <c r="BB323" s="90"/>
      <c r="BC323" s="90"/>
      <c r="BD323" s="90"/>
      <c r="BE323" s="90"/>
      <c r="BF323" s="90"/>
      <c r="BG323" s="90"/>
      <c r="BH323" s="90"/>
      <c r="BI323" s="90"/>
      <c r="BJ323" s="90"/>
      <c r="BK323" s="90"/>
      <c r="BL323" s="90"/>
      <c r="BM323" s="90"/>
      <c r="BN323" s="90"/>
      <c r="BO323" s="90"/>
      <c r="BP323" s="90"/>
    </row>
    <row r="324" ht="12.75" customHeight="1" outlineLevel="1">
      <c r="A324" s="90" t="s">
        <v>287</v>
      </c>
      <c r="C324" s="102">
        <f>'RSGen 1-7'!H$392</f>
        <v>1771.006004</v>
      </c>
      <c r="D324" s="102">
        <f>OFFSET(RSGen_Walton!$G$392,0,ROW(C324)-ROW($C$323))</f>
        <v>1771.006004</v>
      </c>
      <c r="E324" s="102">
        <f>OFFSET(RSGen_none!$G$392,0,ROW(D324)-ROW($C$323))</f>
        <v>1531.006004</v>
      </c>
      <c r="F324" s="102"/>
      <c r="G324" s="102"/>
      <c r="H324" s="313"/>
      <c r="I324" s="313"/>
      <c r="J324" s="313"/>
      <c r="K324" s="306"/>
      <c r="L324" s="306"/>
      <c r="M324" s="102">
        <f t="shared" ref="M324:AL324" si="382">M$112*(MAX(0,MIN(M7,SUM(M7:M$15)-$E$4))*$E324+MAX(0,MIN(M7,$D$4-SUM(M8:M$15)))*$C324+(M7-(MAX(0,MIN(M7,SUM(M7:M$15)-$E$4))+MAX(0,MIN(M7,$D$4-SUM(M8:M$15)))))*$D324)</f>
        <v>3542.012009</v>
      </c>
      <c r="N324" s="102">
        <f t="shared" si="382"/>
        <v>5419.278373</v>
      </c>
      <c r="O324" s="102">
        <f t="shared" si="382"/>
        <v>9212.773235</v>
      </c>
      <c r="P324" s="102">
        <f t="shared" si="382"/>
        <v>15035.24592</v>
      </c>
      <c r="Q324" s="102">
        <f t="shared" si="382"/>
        <v>24920.92011</v>
      </c>
      <c r="R324" s="102">
        <f t="shared" si="382"/>
        <v>43017.3421</v>
      </c>
      <c r="S324" s="102">
        <f t="shared" si="382"/>
        <v>67810.97382</v>
      </c>
      <c r="T324" s="102">
        <f t="shared" si="382"/>
        <v>81895.85505</v>
      </c>
      <c r="U324" s="102">
        <f t="shared" si="382"/>
        <v>80721.78963</v>
      </c>
      <c r="V324" s="102">
        <f t="shared" si="382"/>
        <v>120759.7973</v>
      </c>
      <c r="W324" s="102">
        <f t="shared" si="382"/>
        <v>149303.0221</v>
      </c>
      <c r="X324" s="102">
        <f t="shared" si="382"/>
        <v>270313.1215</v>
      </c>
      <c r="Y324" s="102">
        <f t="shared" si="382"/>
        <v>374745.3599</v>
      </c>
      <c r="Z324" s="102">
        <f t="shared" si="382"/>
        <v>479285.7235</v>
      </c>
      <c r="AA324" s="102">
        <f t="shared" si="382"/>
        <v>551495.4651</v>
      </c>
      <c r="AB324" s="102">
        <f t="shared" si="382"/>
        <v>667612.5323</v>
      </c>
      <c r="AC324" s="102">
        <f t="shared" si="382"/>
        <v>735610.105</v>
      </c>
      <c r="AD324" s="102">
        <f t="shared" si="382"/>
        <v>739603.417</v>
      </c>
      <c r="AE324" s="102">
        <f t="shared" si="382"/>
        <v>594769.774</v>
      </c>
      <c r="AF324" s="102">
        <f t="shared" si="382"/>
        <v>73602.75953</v>
      </c>
      <c r="AG324" s="102">
        <f t="shared" si="382"/>
        <v>0</v>
      </c>
      <c r="AH324" s="102">
        <f t="shared" si="382"/>
        <v>0</v>
      </c>
      <c r="AI324" s="102">
        <f t="shared" si="382"/>
        <v>0</v>
      </c>
      <c r="AJ324" s="102">
        <f t="shared" si="382"/>
        <v>0</v>
      </c>
      <c r="AK324" s="102">
        <f t="shared" si="382"/>
        <v>0</v>
      </c>
      <c r="AL324" s="102">
        <f t="shared" si="382"/>
        <v>0</v>
      </c>
      <c r="AM324" s="102">
        <f t="shared" ref="AM324:AV324" si="383">$D324*AM$107*AM$7</f>
        <v>0</v>
      </c>
      <c r="AN324" s="102">
        <f t="shared" si="383"/>
        <v>0</v>
      </c>
      <c r="AO324" s="102">
        <f t="shared" si="383"/>
        <v>0</v>
      </c>
      <c r="AP324" s="102" t="str">
        <f t="shared" si="383"/>
        <v>#REF!</v>
      </c>
      <c r="AQ324" s="102" t="str">
        <f t="shared" si="383"/>
        <v>#REF!</v>
      </c>
      <c r="AR324" s="102" t="str">
        <f t="shared" si="383"/>
        <v>#REF!</v>
      </c>
      <c r="AS324" s="102" t="str">
        <f t="shared" si="383"/>
        <v>#REF!</v>
      </c>
      <c r="AT324" s="102" t="str">
        <f t="shared" si="383"/>
        <v>#REF!</v>
      </c>
      <c r="AU324" s="102">
        <f t="shared" si="383"/>
        <v>0</v>
      </c>
      <c r="AV324" s="102">
        <f t="shared" si="383"/>
        <v>0</v>
      </c>
      <c r="AW324" s="90"/>
      <c r="AX324" s="90"/>
      <c r="AY324" s="90"/>
      <c r="AZ324" s="90"/>
      <c r="BA324" s="90"/>
      <c r="BB324" s="90"/>
      <c r="BC324" s="90"/>
      <c r="BD324" s="90"/>
      <c r="BE324" s="90"/>
      <c r="BF324" s="90"/>
      <c r="BG324" s="90"/>
      <c r="BH324" s="90"/>
      <c r="BI324" s="90"/>
      <c r="BJ324" s="90"/>
      <c r="BK324" s="90"/>
      <c r="BL324" s="90"/>
      <c r="BM324" s="90"/>
      <c r="BN324" s="90"/>
      <c r="BO324" s="90"/>
      <c r="BP324" s="90"/>
    </row>
    <row r="325" ht="12.75" customHeight="1" outlineLevel="1">
      <c r="A325" s="90" t="s">
        <v>288</v>
      </c>
      <c r="C325" s="102">
        <f>'RSGen 1-7'!I$392</f>
        <v>31777.244</v>
      </c>
      <c r="D325" s="102">
        <f>OFFSET(RSGen_Walton!$G$392,0,ROW(C325)-ROW($C$323))</f>
        <v>31339.744</v>
      </c>
      <c r="E325" s="102">
        <f>OFFSET(RSGen_none!$G$392,0,ROW(D325)-ROW($C$323))</f>
        <v>29075.85807</v>
      </c>
      <c r="F325" s="102"/>
      <c r="G325" s="102"/>
      <c r="H325" s="313"/>
      <c r="I325" s="313"/>
      <c r="J325" s="313"/>
      <c r="K325" s="306"/>
      <c r="L325" s="306"/>
      <c r="M325" s="306"/>
      <c r="N325" s="102">
        <f t="shared" ref="N325:AL325" si="384">N$112*(MAX(0,MIN(N8,SUM(N8:N$15)-$E$4))*$E325+MAX(0,MIN(N8,$D$4-SUM(N9:N$15)))*$C325+(N8-(MAX(0,MIN(N8,SUM(N8:N$15)-$E$4))+MAX(0,MIN(N8,$D$4-SUM(N9:N$15)))))*$D325)</f>
        <v>64825.57776</v>
      </c>
      <c r="O325" s="102">
        <f t="shared" si="384"/>
        <v>98727.95897</v>
      </c>
      <c r="P325" s="102">
        <f t="shared" si="384"/>
        <v>166289.9352</v>
      </c>
      <c r="Q325" s="102">
        <f t="shared" si="384"/>
        <v>271385.1743</v>
      </c>
      <c r="R325" s="102">
        <f t="shared" si="384"/>
        <v>449820.9264</v>
      </c>
      <c r="S325" s="102">
        <f t="shared" si="384"/>
        <v>776460.1223</v>
      </c>
      <c r="T325" s="102">
        <f t="shared" si="384"/>
        <v>1223983.502</v>
      </c>
      <c r="U325" s="102">
        <f t="shared" si="384"/>
        <v>1559540.116</v>
      </c>
      <c r="V325" s="102">
        <f t="shared" si="384"/>
        <v>1563675.386</v>
      </c>
      <c r="W325" s="102">
        <f t="shared" si="384"/>
        <v>2339258.377</v>
      </c>
      <c r="X325" s="102">
        <f t="shared" si="384"/>
        <v>2892173.994</v>
      </c>
      <c r="Y325" s="102">
        <f t="shared" si="384"/>
        <v>5236281.015</v>
      </c>
      <c r="Z325" s="102">
        <f t="shared" si="384"/>
        <v>7259255.498</v>
      </c>
      <c r="AA325" s="102">
        <f t="shared" si="384"/>
        <v>9284324.493</v>
      </c>
      <c r="AB325" s="102">
        <f t="shared" si="384"/>
        <v>10683111.56</v>
      </c>
      <c r="AC325" s="102">
        <f t="shared" si="384"/>
        <v>12932434.83</v>
      </c>
      <c r="AD325" s="102">
        <f t="shared" si="384"/>
        <v>14249627.27</v>
      </c>
      <c r="AE325" s="102">
        <f t="shared" si="384"/>
        <v>14326982.39</v>
      </c>
      <c r="AF325" s="102">
        <f t="shared" si="384"/>
        <v>11521385.49</v>
      </c>
      <c r="AG325" s="102">
        <f t="shared" si="384"/>
        <v>1425771.454</v>
      </c>
      <c r="AH325" s="102">
        <f t="shared" si="384"/>
        <v>0</v>
      </c>
      <c r="AI325" s="102">
        <f t="shared" si="384"/>
        <v>0</v>
      </c>
      <c r="AJ325" s="102">
        <f t="shared" si="384"/>
        <v>0</v>
      </c>
      <c r="AK325" s="102">
        <f t="shared" si="384"/>
        <v>0</v>
      </c>
      <c r="AL325" s="102">
        <f t="shared" si="384"/>
        <v>0</v>
      </c>
      <c r="AM325" s="102">
        <f t="shared" ref="AM325:AV325" si="385">$D325*AM$107*AM$8</f>
        <v>0</v>
      </c>
      <c r="AN325" s="102">
        <f t="shared" si="385"/>
        <v>0</v>
      </c>
      <c r="AO325" s="102">
        <f t="shared" si="385"/>
        <v>0</v>
      </c>
      <c r="AP325" s="102">
        <f t="shared" si="385"/>
        <v>0</v>
      </c>
      <c r="AQ325" s="102" t="str">
        <f t="shared" si="385"/>
        <v>#REF!</v>
      </c>
      <c r="AR325" s="102" t="str">
        <f t="shared" si="385"/>
        <v>#REF!</v>
      </c>
      <c r="AS325" s="102" t="str">
        <f t="shared" si="385"/>
        <v>#REF!</v>
      </c>
      <c r="AT325" s="102" t="str">
        <f t="shared" si="385"/>
        <v>#REF!</v>
      </c>
      <c r="AU325" s="102" t="str">
        <f t="shared" si="385"/>
        <v>#REF!</v>
      </c>
      <c r="AV325" s="102">
        <f t="shared" si="385"/>
        <v>0</v>
      </c>
      <c r="AW325" s="90"/>
      <c r="AX325" s="90"/>
      <c r="AY325" s="90"/>
      <c r="AZ325" s="90"/>
      <c r="BA325" s="90"/>
      <c r="BB325" s="90"/>
      <c r="BC325" s="90"/>
      <c r="BD325" s="90"/>
      <c r="BE325" s="90"/>
      <c r="BF325" s="90"/>
      <c r="BG325" s="90"/>
      <c r="BH325" s="90"/>
      <c r="BI325" s="90"/>
      <c r="BJ325" s="90"/>
      <c r="BK325" s="90"/>
      <c r="BL325" s="90"/>
      <c r="BM325" s="90"/>
      <c r="BN325" s="90"/>
      <c r="BO325" s="90"/>
      <c r="BP325" s="90"/>
    </row>
    <row r="326" ht="12.75" customHeight="1" outlineLevel="1">
      <c r="A326" s="90" t="s">
        <v>289</v>
      </c>
      <c r="C326" s="102">
        <f>'RSGen 1-7'!J$392</f>
        <v>32790.1102</v>
      </c>
      <c r="D326" s="102">
        <f>OFFSET(RSGen_Walton!$G$392,0,ROW(C326)-ROW($C$323))</f>
        <v>32790.1102</v>
      </c>
      <c r="E326" s="102">
        <f>OFFSET(RSGen_none!$G$392,0,ROW(D326)-ROW($C$323))</f>
        <v>32790.1102</v>
      </c>
      <c r="F326" s="102"/>
      <c r="G326" s="102"/>
      <c r="H326" s="313"/>
      <c r="I326" s="313"/>
      <c r="J326" s="313"/>
      <c r="K326" s="306"/>
      <c r="L326" s="306"/>
      <c r="M326" s="306"/>
      <c r="N326" s="306"/>
      <c r="O326" s="102">
        <f t="shared" ref="O326:AL326" si="386">O$112*(MAX(0,MIN(O9,SUM(O9:O$15)-$E$4))*$E326+MAX(0,MIN(O9,$D$4-SUM(O10:O$15)))*$C326+(O9-(MAX(0,MIN(O9,SUM(O9:O$15)-$E$4))+MAX(0,MIN(O9,$D$4-SUM(O10:O$15)))))*$D326)</f>
        <v>68229.6613</v>
      </c>
      <c r="P326" s="102">
        <f t="shared" si="386"/>
        <v>104391.3818</v>
      </c>
      <c r="Q326" s="102">
        <f t="shared" si="386"/>
        <v>177465.349</v>
      </c>
      <c r="R326" s="102">
        <f t="shared" si="386"/>
        <v>289623.4496</v>
      </c>
      <c r="S326" s="102">
        <f t="shared" si="386"/>
        <v>480050.8678</v>
      </c>
      <c r="T326" s="102">
        <f t="shared" si="386"/>
        <v>828641.6518</v>
      </c>
      <c r="U326" s="102">
        <f t="shared" si="386"/>
        <v>1306240.567</v>
      </c>
      <c r="V326" s="102">
        <f t="shared" si="386"/>
        <v>1763424.766</v>
      </c>
      <c r="W326" s="102">
        <f t="shared" si="386"/>
        <v>1798693.261</v>
      </c>
      <c r="X326" s="102">
        <f t="shared" si="386"/>
        <v>2690845.119</v>
      </c>
      <c r="Y326" s="102">
        <f t="shared" si="386"/>
        <v>3326863.056</v>
      </c>
      <c r="Z326" s="102">
        <f t="shared" si="386"/>
        <v>6023285.563</v>
      </c>
      <c r="AA326" s="102">
        <f t="shared" si="386"/>
        <v>8350309.831</v>
      </c>
      <c r="AB326" s="102">
        <f t="shared" si="386"/>
        <v>10679743.41</v>
      </c>
      <c r="AC326" s="102">
        <f t="shared" si="386"/>
        <v>12288765.91</v>
      </c>
      <c r="AD326" s="102">
        <f t="shared" si="386"/>
        <v>14876158.82</v>
      </c>
      <c r="AE326" s="102">
        <f t="shared" si="386"/>
        <v>16391323.15</v>
      </c>
      <c r="AF326" s="102">
        <f t="shared" si="386"/>
        <v>16480304.62</v>
      </c>
      <c r="AG326" s="102">
        <f t="shared" si="386"/>
        <v>13253031.05</v>
      </c>
      <c r="AH326" s="102">
        <f t="shared" si="386"/>
        <v>1640062.593</v>
      </c>
      <c r="AI326" s="102">
        <f t="shared" si="386"/>
        <v>0</v>
      </c>
      <c r="AJ326" s="102">
        <f t="shared" si="386"/>
        <v>0</v>
      </c>
      <c r="AK326" s="102">
        <f t="shared" si="386"/>
        <v>0</v>
      </c>
      <c r="AL326" s="102">
        <f t="shared" si="386"/>
        <v>0</v>
      </c>
      <c r="AM326" s="102">
        <f t="shared" ref="AM326:AV326" si="387">$D326*AM$107*AM$9</f>
        <v>0</v>
      </c>
      <c r="AN326" s="102">
        <f t="shared" si="387"/>
        <v>0</v>
      </c>
      <c r="AO326" s="102">
        <f t="shared" si="387"/>
        <v>0</v>
      </c>
      <c r="AP326" s="102">
        <f t="shared" si="387"/>
        <v>0</v>
      </c>
      <c r="AQ326" s="102">
        <f t="shared" si="387"/>
        <v>0</v>
      </c>
      <c r="AR326" s="102" t="str">
        <f t="shared" si="387"/>
        <v>#REF!</v>
      </c>
      <c r="AS326" s="102" t="str">
        <f t="shared" si="387"/>
        <v>#REF!</v>
      </c>
      <c r="AT326" s="102" t="str">
        <f t="shared" si="387"/>
        <v>#REF!</v>
      </c>
      <c r="AU326" s="102" t="str">
        <f t="shared" si="387"/>
        <v>#REF!</v>
      </c>
      <c r="AV326" s="102" t="str">
        <f t="shared" si="387"/>
        <v>#REF!</v>
      </c>
      <c r="AW326" s="90"/>
      <c r="AX326" s="90"/>
      <c r="AY326" s="90"/>
      <c r="AZ326" s="90"/>
      <c r="BA326" s="90"/>
      <c r="BB326" s="90"/>
      <c r="BC326" s="90"/>
      <c r="BD326" s="90"/>
      <c r="BE326" s="90"/>
      <c r="BF326" s="90"/>
      <c r="BG326" s="90"/>
      <c r="BH326" s="90"/>
      <c r="BI326" s="90"/>
      <c r="BJ326" s="90"/>
      <c r="BK326" s="90"/>
      <c r="BL326" s="90"/>
      <c r="BM326" s="90"/>
      <c r="BN326" s="90"/>
      <c r="BO326" s="90"/>
      <c r="BP326" s="90"/>
    </row>
    <row r="327" ht="12.75" customHeight="1" outlineLevel="1">
      <c r="A327" s="90" t="s">
        <v>290</v>
      </c>
      <c r="C327" s="102">
        <f>'RSGen 1-7'!K$392</f>
        <v>34156.74643</v>
      </c>
      <c r="D327" s="102">
        <f>OFFSET(RSGen_Walton!$G$392,0,ROW(C327)-ROW($C$323))</f>
        <v>34156.74643</v>
      </c>
      <c r="E327" s="102">
        <f>OFFSET(RSGen_none!$G$392,0,ROW(D327)-ROW($C$323))</f>
        <v>34156.74643</v>
      </c>
      <c r="F327" s="102"/>
      <c r="G327" s="102"/>
      <c r="H327" s="313"/>
      <c r="I327" s="313"/>
      <c r="J327" s="313"/>
      <c r="K327" s="306"/>
      <c r="L327" s="306"/>
      <c r="M327" s="306"/>
      <c r="N327" s="306"/>
      <c r="O327" s="306"/>
      <c r="P327" s="102">
        <f t="shared" ref="P327:AL327" si="388">P$112*(MAX(0,MIN(P10,SUM(P10:P$15)-$E$4))*$E327+MAX(0,MIN(P10,$D$4-SUM(P11:P$15)))*$C327+(P10-(MAX(0,MIN(P10,SUM(P10:P$15)-$E$4))+MAX(0,MIN(P10,$D$4-SUM(P11:P$15)))))*$D327)</f>
        <v>72494.82513</v>
      </c>
      <c r="Q327" s="102">
        <f t="shared" si="388"/>
        <v>110917.0824</v>
      </c>
      <c r="R327" s="102">
        <f t="shared" si="388"/>
        <v>188559.0402</v>
      </c>
      <c r="S327" s="102">
        <f t="shared" si="388"/>
        <v>307728.3535</v>
      </c>
      <c r="T327" s="102">
        <f t="shared" si="388"/>
        <v>510059.746</v>
      </c>
      <c r="U327" s="102">
        <f t="shared" si="388"/>
        <v>880441.5923</v>
      </c>
      <c r="V327" s="102">
        <f t="shared" si="388"/>
        <v>1387896.11</v>
      </c>
      <c r="W327" s="102">
        <f t="shared" si="388"/>
        <v>1873659.749</v>
      </c>
      <c r="X327" s="102">
        <f t="shared" si="388"/>
        <v>1911132.944</v>
      </c>
      <c r="Y327" s="102">
        <f t="shared" si="388"/>
        <v>2859054.884</v>
      </c>
      <c r="Z327" s="102">
        <f t="shared" si="388"/>
        <v>3534831.493</v>
      </c>
      <c r="AA327" s="102">
        <f t="shared" si="388"/>
        <v>6399812.417</v>
      </c>
      <c r="AB327" s="102">
        <f t="shared" si="388"/>
        <v>8872303.327</v>
      </c>
      <c r="AC327" s="102">
        <f t="shared" si="388"/>
        <v>11347354.16</v>
      </c>
      <c r="AD327" s="102">
        <f t="shared" si="388"/>
        <v>13056959.67</v>
      </c>
      <c r="AE327" s="102">
        <f t="shared" si="388"/>
        <v>15806095.35</v>
      </c>
      <c r="AF327" s="102">
        <f t="shared" si="388"/>
        <v>17415975.44</v>
      </c>
      <c r="AG327" s="102">
        <f t="shared" si="388"/>
        <v>17510519.3</v>
      </c>
      <c r="AH327" s="102">
        <f t="shared" si="388"/>
        <v>14081502.83</v>
      </c>
      <c r="AI327" s="102">
        <f t="shared" si="388"/>
        <v>1742585.975</v>
      </c>
      <c r="AJ327" s="102">
        <f t="shared" si="388"/>
        <v>0</v>
      </c>
      <c r="AK327" s="102">
        <f t="shared" si="388"/>
        <v>0</v>
      </c>
      <c r="AL327" s="102">
        <f t="shared" si="388"/>
        <v>0</v>
      </c>
      <c r="AM327" s="102">
        <f t="shared" ref="AM327:AV327" si="389">$D327*AM$107*AM$10</f>
        <v>0</v>
      </c>
      <c r="AN327" s="102">
        <f t="shared" si="389"/>
        <v>0</v>
      </c>
      <c r="AO327" s="102">
        <f t="shared" si="389"/>
        <v>0</v>
      </c>
      <c r="AP327" s="102">
        <f t="shared" si="389"/>
        <v>0</v>
      </c>
      <c r="AQ327" s="102">
        <f t="shared" si="389"/>
        <v>0</v>
      </c>
      <c r="AR327" s="102">
        <f t="shared" si="389"/>
        <v>0</v>
      </c>
      <c r="AS327" s="102" t="str">
        <f t="shared" si="389"/>
        <v>#REF!</v>
      </c>
      <c r="AT327" s="102" t="str">
        <f t="shared" si="389"/>
        <v>#REF!</v>
      </c>
      <c r="AU327" s="102" t="str">
        <f t="shared" si="389"/>
        <v>#REF!</v>
      </c>
      <c r="AV327" s="102" t="str">
        <f t="shared" si="389"/>
        <v>#REF!</v>
      </c>
      <c r="AW327" s="90"/>
      <c r="AX327" s="90"/>
      <c r="AY327" s="90"/>
      <c r="AZ327" s="90"/>
      <c r="BA327" s="90"/>
      <c r="BB327" s="90"/>
      <c r="BC327" s="90"/>
      <c r="BD327" s="90"/>
      <c r="BE327" s="90"/>
      <c r="BF327" s="90"/>
      <c r="BG327" s="90"/>
      <c r="BH327" s="90"/>
      <c r="BI327" s="90"/>
      <c r="BJ327" s="90"/>
      <c r="BK327" s="90"/>
      <c r="BL327" s="90"/>
      <c r="BM327" s="90"/>
      <c r="BN327" s="90"/>
      <c r="BO327" s="90"/>
      <c r="BP327" s="90"/>
    </row>
    <row r="328" ht="12.75" customHeight="1" outlineLevel="1">
      <c r="A328" s="90" t="s">
        <v>291</v>
      </c>
      <c r="C328" s="102">
        <f>'RSGen 1-7'!L$392</f>
        <v>34048.30083</v>
      </c>
      <c r="D328" s="102">
        <f>OFFSET(RSGen_Walton!$G$392,0,ROW(C328)-ROW($C$323))</f>
        <v>34048.30083</v>
      </c>
      <c r="E328" s="102">
        <f>OFFSET(RSGen_none!$G$392,0,ROW(D328)-ROW($C$323))</f>
        <v>34048.30083</v>
      </c>
      <c r="F328" s="102"/>
      <c r="G328" s="102"/>
      <c r="H328" s="313"/>
      <c r="I328" s="313"/>
      <c r="J328" s="313"/>
      <c r="K328" s="306"/>
      <c r="L328" s="306"/>
      <c r="M328" s="306"/>
      <c r="N328" s="306"/>
      <c r="O328" s="306"/>
      <c r="P328" s="306"/>
      <c r="Q328" s="102">
        <f t="shared" ref="Q328:AL328" si="390">Q$112*(MAX(0,MIN(Q11,SUM(Q11:Q$15)-$E$4))*$E328+MAX(0,MIN(Q11,$D$4-SUM(Q12:Q$15)))*$C328+(Q11-(MAX(0,MIN(Q11,SUM(Q11:Q$15)-$E$4))+MAX(0,MIN(Q11,$D$4-SUM(Q12:Q$15)))))*$D328)</f>
        <v>73709.95162</v>
      </c>
      <c r="R328" s="102">
        <f t="shared" si="390"/>
        <v>112776.226</v>
      </c>
      <c r="S328" s="102">
        <f t="shared" si="390"/>
        <v>191719.5842</v>
      </c>
      <c r="T328" s="102">
        <f t="shared" si="390"/>
        <v>312886.3614</v>
      </c>
      <c r="U328" s="102">
        <f t="shared" si="390"/>
        <v>518609.144</v>
      </c>
      <c r="V328" s="102">
        <f t="shared" si="390"/>
        <v>895199.1685</v>
      </c>
      <c r="W328" s="102">
        <f t="shared" si="390"/>
        <v>1411159.417</v>
      </c>
      <c r="X328" s="102">
        <f t="shared" si="390"/>
        <v>1905065.212</v>
      </c>
      <c r="Y328" s="102">
        <f t="shared" si="390"/>
        <v>1943166.517</v>
      </c>
      <c r="Z328" s="102">
        <f t="shared" si="390"/>
        <v>2906977.109</v>
      </c>
      <c r="AA328" s="102">
        <f t="shared" si="390"/>
        <v>3594080.789</v>
      </c>
      <c r="AB328" s="102">
        <f t="shared" si="390"/>
        <v>6507083.269</v>
      </c>
      <c r="AC328" s="102">
        <f t="shared" si="390"/>
        <v>9021016.988</v>
      </c>
      <c r="AD328" s="102">
        <f t="shared" si="390"/>
        <v>11537553.54</v>
      </c>
      <c r="AE328" s="102">
        <f t="shared" si="390"/>
        <v>13275814.71</v>
      </c>
      <c r="AF328" s="102">
        <f t="shared" si="390"/>
        <v>16071030.2</v>
      </c>
      <c r="AG328" s="102">
        <f t="shared" si="390"/>
        <v>17707894.38</v>
      </c>
      <c r="AH328" s="102">
        <f t="shared" si="390"/>
        <v>17804022.95</v>
      </c>
      <c r="AI328" s="102">
        <f t="shared" si="390"/>
        <v>14317530.81</v>
      </c>
      <c r="AJ328" s="102">
        <f t="shared" si="390"/>
        <v>1771794.437</v>
      </c>
      <c r="AK328" s="102">
        <f t="shared" si="390"/>
        <v>0</v>
      </c>
      <c r="AL328" s="102">
        <f t="shared" si="390"/>
        <v>0</v>
      </c>
      <c r="AM328" s="102">
        <f t="shared" ref="AM328:AV328" si="391">$D328*AM$107*AM$11</f>
        <v>0</v>
      </c>
      <c r="AN328" s="102">
        <f t="shared" si="391"/>
        <v>0</v>
      </c>
      <c r="AO328" s="102">
        <f t="shared" si="391"/>
        <v>0</v>
      </c>
      <c r="AP328" s="102">
        <f t="shared" si="391"/>
        <v>0</v>
      </c>
      <c r="AQ328" s="102">
        <f t="shared" si="391"/>
        <v>0</v>
      </c>
      <c r="AR328" s="102">
        <f t="shared" si="391"/>
        <v>0</v>
      </c>
      <c r="AS328" s="102">
        <f t="shared" si="391"/>
        <v>0</v>
      </c>
      <c r="AT328" s="102" t="str">
        <f t="shared" si="391"/>
        <v>#REF!</v>
      </c>
      <c r="AU328" s="102" t="str">
        <f t="shared" si="391"/>
        <v>#REF!</v>
      </c>
      <c r="AV328" s="102" t="str">
        <f t="shared" si="391"/>
        <v>#REF!</v>
      </c>
      <c r="AW328" s="90"/>
      <c r="AX328" s="90"/>
      <c r="AY328" s="90"/>
      <c r="AZ328" s="90"/>
      <c r="BA328" s="90"/>
      <c r="BB328" s="90"/>
      <c r="BC328" s="90"/>
      <c r="BD328" s="90"/>
      <c r="BE328" s="90"/>
      <c r="BF328" s="90"/>
      <c r="BG328" s="90"/>
      <c r="BH328" s="90"/>
      <c r="BI328" s="90"/>
      <c r="BJ328" s="90"/>
      <c r="BK328" s="90"/>
      <c r="BL328" s="90"/>
      <c r="BM328" s="90"/>
      <c r="BN328" s="90"/>
      <c r="BO328" s="90"/>
      <c r="BP328" s="90"/>
    </row>
    <row r="329" ht="12.75" customHeight="1" outlineLevel="1">
      <c r="A329" s="90" t="s">
        <v>292</v>
      </c>
      <c r="C329" s="102">
        <f>'RSGen 1-7'!M$392</f>
        <v>34000.82563</v>
      </c>
      <c r="D329" s="102">
        <f>OFFSET(RSGen_Walton!$G$392,0,ROW(C329)-ROW($C$323))</f>
        <v>34000.82563</v>
      </c>
      <c r="E329" s="102">
        <f>OFFSET(RSGen_none!$G$392,0,ROW(D329)-ROW($C$323))</f>
        <v>34000.82563</v>
      </c>
      <c r="F329" s="102"/>
      <c r="G329" s="102"/>
      <c r="H329" s="313"/>
      <c r="I329" s="313"/>
      <c r="J329" s="313"/>
      <c r="K329" s="306"/>
      <c r="L329" s="306"/>
      <c r="M329" s="306"/>
      <c r="N329" s="306"/>
      <c r="O329" s="306"/>
      <c r="P329" s="306"/>
      <c r="Q329" s="306"/>
      <c r="R329" s="102">
        <f t="shared" ref="R329:AL329" si="392">R$112*(MAX(0,MIN(R12,SUM(R12:R$15)-$E$4))*$E329+MAX(0,MIN(R12,$D$4-SUM(R13:R$15)))*$C329+(R12-(MAX(0,MIN(R12,SUM(R12:R$15)-$E$4))+MAX(0,MIN(R12,$D$4-SUM(R13:R$15)))))*$D329)</f>
        <v>75079.31774</v>
      </c>
      <c r="S329" s="102">
        <f t="shared" si="392"/>
        <v>114871.3561</v>
      </c>
      <c r="T329" s="102">
        <f t="shared" si="392"/>
        <v>195281.3054</v>
      </c>
      <c r="U329" s="102">
        <f t="shared" si="392"/>
        <v>318699.0905</v>
      </c>
      <c r="V329" s="102">
        <f t="shared" si="392"/>
        <v>528243.7425</v>
      </c>
      <c r="W329" s="102">
        <f t="shared" si="392"/>
        <v>911829.9678</v>
      </c>
      <c r="X329" s="102">
        <f t="shared" si="392"/>
        <v>1437375.604</v>
      </c>
      <c r="Y329" s="102">
        <f t="shared" si="392"/>
        <v>1940457.065</v>
      </c>
      <c r="Z329" s="102">
        <f t="shared" si="392"/>
        <v>1979266.206</v>
      </c>
      <c r="AA329" s="102">
        <f t="shared" si="392"/>
        <v>2960982.245</v>
      </c>
      <c r="AB329" s="102">
        <f t="shared" si="392"/>
        <v>3660850.775</v>
      </c>
      <c r="AC329" s="102">
        <f t="shared" si="392"/>
        <v>6627970.329</v>
      </c>
      <c r="AD329" s="102">
        <f t="shared" si="392"/>
        <v>9188607.316</v>
      </c>
      <c r="AE329" s="102">
        <f t="shared" si="392"/>
        <v>11751895.49</v>
      </c>
      <c r="AF329" s="102">
        <f t="shared" si="392"/>
        <v>13522449.66</v>
      </c>
      <c r="AG329" s="102">
        <f t="shared" si="392"/>
        <v>16369594.01</v>
      </c>
      <c r="AH329" s="102">
        <f t="shared" si="392"/>
        <v>18036867.48</v>
      </c>
      <c r="AI329" s="102">
        <f t="shared" si="392"/>
        <v>18134781.9</v>
      </c>
      <c r="AJ329" s="102">
        <f t="shared" si="392"/>
        <v>14583518.52</v>
      </c>
      <c r="AK329" s="102">
        <f t="shared" si="392"/>
        <v>1804710.417</v>
      </c>
      <c r="AL329" s="102">
        <f t="shared" si="392"/>
        <v>0</v>
      </c>
      <c r="AM329" s="102">
        <f t="shared" ref="AM329:AV329" si="393">$D329*AM$107*AM$12</f>
        <v>0</v>
      </c>
      <c r="AN329" s="102">
        <f t="shared" si="393"/>
        <v>0</v>
      </c>
      <c r="AO329" s="102">
        <f t="shared" si="393"/>
        <v>0</v>
      </c>
      <c r="AP329" s="102">
        <f t="shared" si="393"/>
        <v>0</v>
      </c>
      <c r="AQ329" s="102">
        <f t="shared" si="393"/>
        <v>0</v>
      </c>
      <c r="AR329" s="102">
        <f t="shared" si="393"/>
        <v>0</v>
      </c>
      <c r="AS329" s="102">
        <f t="shared" si="393"/>
        <v>0</v>
      </c>
      <c r="AT329" s="102">
        <f t="shared" si="393"/>
        <v>0</v>
      </c>
      <c r="AU329" s="102" t="str">
        <f t="shared" si="393"/>
        <v>#REF!</v>
      </c>
      <c r="AV329" s="102" t="str">
        <f t="shared" si="393"/>
        <v>#REF!</v>
      </c>
      <c r="AW329" s="90"/>
      <c r="AX329" s="90"/>
      <c r="AY329" s="90"/>
      <c r="AZ329" s="90"/>
      <c r="BA329" s="90"/>
      <c r="BB329" s="90"/>
      <c r="BC329" s="90"/>
      <c r="BD329" s="90"/>
      <c r="BE329" s="90"/>
      <c r="BF329" s="90"/>
      <c r="BG329" s="90"/>
      <c r="BH329" s="90"/>
      <c r="BI329" s="90"/>
      <c r="BJ329" s="90"/>
      <c r="BK329" s="90"/>
      <c r="BL329" s="90"/>
      <c r="BM329" s="90"/>
      <c r="BN329" s="90"/>
      <c r="BO329" s="90"/>
      <c r="BP329" s="90"/>
    </row>
    <row r="330" ht="12.75" customHeight="1" outlineLevel="1">
      <c r="A330" s="90" t="s">
        <v>293</v>
      </c>
      <c r="C330" s="102">
        <f>'RSGen 1-7'!N$392</f>
        <v>33955.64003</v>
      </c>
      <c r="D330" s="102">
        <f>OFFSET(RSGen_Walton!$G$392,0,ROW(C330)-ROW($C$323))</f>
        <v>33955.64003</v>
      </c>
      <c r="E330" s="102">
        <f>OFFSET(RSGen_none!$G$392,0,ROW(D330)-ROW($C$323))</f>
        <v>33955.64003</v>
      </c>
      <c r="F330" s="102"/>
      <c r="G330" s="102"/>
      <c r="H330" s="313"/>
      <c r="I330" s="313"/>
      <c r="J330" s="313"/>
      <c r="K330" s="306"/>
      <c r="L330" s="306"/>
      <c r="M330" s="306"/>
      <c r="N330" s="306"/>
      <c r="O330" s="306"/>
      <c r="P330" s="306"/>
      <c r="Q330" s="306"/>
      <c r="R330" s="306"/>
      <c r="S330" s="102">
        <f t="shared" ref="S330:AL330" si="394">S$112*(MAX(0,MIN(S13,SUM(S13:S$15)-$E$4))*$E330+MAX(0,MIN(S13,$D$4-SUM(S14:S$15)))*$C330+(S13-(MAX(0,MIN(S13,SUM(S13:S$15)-$E$4))+MAX(0,MIN(S13,$D$4-SUM(S14:S$15)))))*$D330)</f>
        <v>76479.13145</v>
      </c>
      <c r="T330" s="102">
        <f t="shared" si="394"/>
        <v>117013.0711</v>
      </c>
      <c r="U330" s="102">
        <f t="shared" si="394"/>
        <v>198922.2209</v>
      </c>
      <c r="V330" s="102">
        <f t="shared" si="394"/>
        <v>324641.0645</v>
      </c>
      <c r="W330" s="102">
        <f t="shared" si="394"/>
        <v>538092.5644</v>
      </c>
      <c r="X330" s="102">
        <f t="shared" si="394"/>
        <v>928830.5496</v>
      </c>
      <c r="Y330" s="102">
        <f t="shared" si="394"/>
        <v>1464174.703</v>
      </c>
      <c r="Z330" s="102">
        <f t="shared" si="394"/>
        <v>1976635.849</v>
      </c>
      <c r="AA330" s="102">
        <f t="shared" si="394"/>
        <v>2016168.566</v>
      </c>
      <c r="AB330" s="102">
        <f t="shared" si="394"/>
        <v>3016188.174</v>
      </c>
      <c r="AC330" s="102">
        <f t="shared" si="394"/>
        <v>3729105.379</v>
      </c>
      <c r="AD330" s="102">
        <f t="shared" si="394"/>
        <v>6751545.289</v>
      </c>
      <c r="AE330" s="102">
        <f t="shared" si="394"/>
        <v>9359923.983</v>
      </c>
      <c r="AF330" s="102">
        <f t="shared" si="394"/>
        <v>11971003.3</v>
      </c>
      <c r="AG330" s="102">
        <f t="shared" si="394"/>
        <v>13774568.5</v>
      </c>
      <c r="AH330" s="102">
        <f t="shared" si="394"/>
        <v>16674796.33</v>
      </c>
      <c r="AI330" s="102">
        <f t="shared" si="394"/>
        <v>18373155.22</v>
      </c>
      <c r="AJ330" s="102">
        <f t="shared" si="394"/>
        <v>18472895.2</v>
      </c>
      <c r="AK330" s="102">
        <f t="shared" si="394"/>
        <v>14855420.42</v>
      </c>
      <c r="AL330" s="102">
        <f t="shared" si="394"/>
        <v>1838358.277</v>
      </c>
      <c r="AM330" s="102">
        <f t="shared" ref="AM330:AV330" si="395">$D330*AM$107*AM$13</f>
        <v>0</v>
      </c>
      <c r="AN330" s="102">
        <f t="shared" si="395"/>
        <v>0</v>
      </c>
      <c r="AO330" s="102">
        <f t="shared" si="395"/>
        <v>0</v>
      </c>
      <c r="AP330" s="102">
        <f t="shared" si="395"/>
        <v>0</v>
      </c>
      <c r="AQ330" s="102">
        <f t="shared" si="395"/>
        <v>0</v>
      </c>
      <c r="AR330" s="102">
        <f t="shared" si="395"/>
        <v>0</v>
      </c>
      <c r="AS330" s="102">
        <f t="shared" si="395"/>
        <v>0</v>
      </c>
      <c r="AT330" s="102">
        <f t="shared" si="395"/>
        <v>0</v>
      </c>
      <c r="AU330" s="102">
        <f t="shared" si="395"/>
        <v>0</v>
      </c>
      <c r="AV330" s="102" t="str">
        <f t="shared" si="395"/>
        <v>#REF!</v>
      </c>
      <c r="AW330" s="90"/>
      <c r="AX330" s="90"/>
      <c r="AY330" s="90"/>
      <c r="AZ330" s="90"/>
      <c r="BA330" s="90"/>
      <c r="BB330" s="90"/>
      <c r="BC330" s="90"/>
      <c r="BD330" s="90"/>
      <c r="BE330" s="90"/>
      <c r="BF330" s="90"/>
      <c r="BG330" s="90"/>
      <c r="BH330" s="90"/>
      <c r="BI330" s="90"/>
      <c r="BJ330" s="90"/>
      <c r="BK330" s="90"/>
      <c r="BL330" s="90"/>
      <c r="BM330" s="90"/>
      <c r="BN330" s="90"/>
      <c r="BO330" s="90"/>
      <c r="BP330" s="90"/>
    </row>
    <row r="331" ht="12.75" customHeight="1" outlineLevel="1">
      <c r="A331" s="90" t="s">
        <v>294</v>
      </c>
      <c r="C331" s="102">
        <f>'RSGen 1-7'!O$392</f>
        <v>33931.59923</v>
      </c>
      <c r="D331" s="102">
        <f>OFFSET(RSGen_Walton!$G$392,0,ROW(C331)-ROW($C$323))</f>
        <v>33931.59923</v>
      </c>
      <c r="E331" s="102">
        <f>OFFSET(RSGen_none!$G$392,0,ROW(D331)-ROW($C$323))</f>
        <v>33931.59923</v>
      </c>
      <c r="F331" s="102"/>
      <c r="G331" s="102"/>
      <c r="H331" s="313"/>
      <c r="I331" s="313"/>
      <c r="J331" s="313"/>
      <c r="K331" s="306"/>
      <c r="L331" s="306"/>
      <c r="M331" s="306"/>
      <c r="N331" s="306"/>
      <c r="O331" s="306"/>
      <c r="P331" s="306"/>
      <c r="Q331" s="306"/>
      <c r="R331" s="306"/>
      <c r="S331" s="306"/>
      <c r="T331" s="102">
        <f t="shared" ref="T331:AL331" si="396">T$112*(MAX(0,MIN(T14,SUM(T14:T$15)-$E$4))*$E331+MAX(0,MIN(T14,$D$4-SUM(T$15:T15)))*$C331+(T14-(MAX(0,MIN(T14,SUM(T14:T$15)-$E$4))+MAX(0,MIN(T14,$D$4-SUM(T$15:T15)))))*$D331)</f>
        <v>77953.48343</v>
      </c>
      <c r="U331" s="102">
        <f t="shared" si="396"/>
        <v>119268.8296</v>
      </c>
      <c r="V331" s="102">
        <f t="shared" si="396"/>
        <v>202757.0104</v>
      </c>
      <c r="W331" s="102">
        <f t="shared" si="396"/>
        <v>330899.441</v>
      </c>
      <c r="X331" s="102">
        <f t="shared" si="396"/>
        <v>548465.8234</v>
      </c>
      <c r="Y331" s="102">
        <f t="shared" si="396"/>
        <v>946736.3906</v>
      </c>
      <c r="Z331" s="102">
        <f t="shared" si="396"/>
        <v>1492400.819</v>
      </c>
      <c r="AA331" s="102">
        <f t="shared" si="396"/>
        <v>2014741.106</v>
      </c>
      <c r="AB331" s="102">
        <f t="shared" si="396"/>
        <v>2055035.928</v>
      </c>
      <c r="AC331" s="102">
        <f t="shared" si="396"/>
        <v>3074333.749</v>
      </c>
      <c r="AD331" s="102">
        <f t="shared" si="396"/>
        <v>3800994.453</v>
      </c>
      <c r="AE331" s="102">
        <f t="shared" si="396"/>
        <v>6881700.457</v>
      </c>
      <c r="AF331" s="102">
        <f t="shared" si="396"/>
        <v>9540363.042</v>
      </c>
      <c r="AG331" s="102">
        <f t="shared" si="396"/>
        <v>12201778.31</v>
      </c>
      <c r="AH331" s="102">
        <f t="shared" si="396"/>
        <v>14040112.34</v>
      </c>
      <c r="AI331" s="102">
        <f t="shared" si="396"/>
        <v>16996250.28</v>
      </c>
      <c r="AJ331" s="102">
        <f t="shared" si="396"/>
        <v>18727349.85</v>
      </c>
      <c r="AK331" s="102">
        <f t="shared" si="396"/>
        <v>18829012.61</v>
      </c>
      <c r="AL331" s="102">
        <f t="shared" si="396"/>
        <v>15141800.75</v>
      </c>
      <c r="AM331" s="102">
        <f t="shared" ref="AM331:AV331" si="397">$D331*AM$107*AM$14</f>
        <v>1873860.372</v>
      </c>
      <c r="AN331" s="102">
        <f t="shared" si="397"/>
        <v>0</v>
      </c>
      <c r="AO331" s="102">
        <f t="shared" si="397"/>
        <v>0</v>
      </c>
      <c r="AP331" s="102">
        <f t="shared" si="397"/>
        <v>0</v>
      </c>
      <c r="AQ331" s="102">
        <f t="shared" si="397"/>
        <v>0</v>
      </c>
      <c r="AR331" s="102">
        <f t="shared" si="397"/>
        <v>0</v>
      </c>
      <c r="AS331" s="102">
        <f t="shared" si="397"/>
        <v>0</v>
      </c>
      <c r="AT331" s="102">
        <f t="shared" si="397"/>
        <v>0</v>
      </c>
      <c r="AU331" s="102">
        <f t="shared" si="397"/>
        <v>0</v>
      </c>
      <c r="AV331" s="102">
        <f t="shared" si="397"/>
        <v>0</v>
      </c>
      <c r="AW331" s="90"/>
      <c r="AX331" s="90"/>
      <c r="AY331" s="90"/>
      <c r="AZ331" s="90"/>
      <c r="BA331" s="90"/>
      <c r="BB331" s="90"/>
      <c r="BC331" s="90"/>
      <c r="BD331" s="90"/>
      <c r="BE331" s="90"/>
      <c r="BF331" s="90"/>
      <c r="BG331" s="90"/>
      <c r="BH331" s="90"/>
      <c r="BI331" s="90"/>
      <c r="BJ331" s="90"/>
      <c r="BK331" s="90"/>
      <c r="BL331" s="90"/>
      <c r="BM331" s="90"/>
      <c r="BN331" s="90"/>
      <c r="BO331" s="90"/>
      <c r="BP331" s="90"/>
    </row>
    <row r="332" ht="12.75" customHeight="1" outlineLevel="1">
      <c r="A332" s="90" t="s">
        <v>295</v>
      </c>
      <c r="C332" s="102">
        <f>'RSGen 1-7'!P$392</f>
        <v>33907.55843</v>
      </c>
      <c r="D332" s="102">
        <f>OFFSET(RSGen_Walton!$G$392,0,ROW(C332)-ROW($C$323))</f>
        <v>33907.55843</v>
      </c>
      <c r="E332" s="102">
        <f>OFFSET(RSGen_none!$G$392,0,ROW(D332)-ROW($C$323))</f>
        <v>33907.55843</v>
      </c>
      <c r="F332" s="102"/>
      <c r="G332" s="102"/>
      <c r="H332" s="313"/>
      <c r="I332" s="313"/>
      <c r="J332" s="313"/>
      <c r="K332" s="306"/>
      <c r="L332" s="306"/>
      <c r="M332" s="306"/>
      <c r="N332" s="306"/>
      <c r="O332" s="306"/>
      <c r="P332" s="306"/>
      <c r="Q332" s="306"/>
      <c r="R332" s="306"/>
      <c r="S332" s="306"/>
      <c r="T332" s="306"/>
      <c r="U332" s="102">
        <f t="shared" ref="U332:AL332" si="398">U$112*($C332*MIN($D$4-3,U15-3)+$D332*MIN($E$4-$D$4,MAX(0,U15-$D$4))+$E332*MAX(0,U15-$E$4))</f>
        <v>79456.21784</v>
      </c>
      <c r="V332" s="102">
        <f t="shared" si="398"/>
        <v>202613.3555</v>
      </c>
      <c r="W332" s="102">
        <f t="shared" si="398"/>
        <v>413331.2452</v>
      </c>
      <c r="X332" s="102">
        <f t="shared" si="398"/>
        <v>758876.1662</v>
      </c>
      <c r="Y332" s="102">
        <f t="shared" si="398"/>
        <v>1333092.465</v>
      </c>
      <c r="Z332" s="102">
        <f t="shared" si="398"/>
        <v>2324741.248</v>
      </c>
      <c r="AA332" s="102">
        <f t="shared" si="398"/>
        <v>3892406.383</v>
      </c>
      <c r="AB332" s="102">
        <f t="shared" si="398"/>
        <v>6023834.43</v>
      </c>
      <c r="AC332" s="102">
        <f t="shared" si="398"/>
        <v>8238962.637</v>
      </c>
      <c r="AD332" s="102">
        <f t="shared" si="398"/>
        <v>11537340.56</v>
      </c>
      <c r="AE332" s="102">
        <f t="shared" si="398"/>
        <v>15642354.82</v>
      </c>
      <c r="AF332" s="102">
        <f t="shared" si="398"/>
        <v>22969563.13</v>
      </c>
      <c r="AG332" s="102">
        <f t="shared" si="398"/>
        <v>33153230.08</v>
      </c>
      <c r="AH332" s="102">
        <f t="shared" si="398"/>
        <v>46253290.6</v>
      </c>
      <c r="AI332" s="102">
        <f t="shared" si="398"/>
        <v>61489124.53</v>
      </c>
      <c r="AJ332" s="102">
        <f t="shared" si="398"/>
        <v>80042799.5</v>
      </c>
      <c r="AK332" s="102">
        <f t="shared" si="398"/>
        <v>100732018.5</v>
      </c>
      <c r="AL332" s="102">
        <f t="shared" si="398"/>
        <v>121938644.4</v>
      </c>
      <c r="AM332" s="102">
        <f t="shared" ref="AM332:AV332" si="399">$C332*AM$107*(4)+$D332*AM$107*(AM$15-7)</f>
        <v>139815777</v>
      </c>
      <c r="AN332" s="102">
        <f t="shared" si="399"/>
        <v>144522075.9</v>
      </c>
      <c r="AO332" s="102">
        <f t="shared" si="399"/>
        <v>147412517.4</v>
      </c>
      <c r="AP332" s="102">
        <f t="shared" si="399"/>
        <v>150360767.8</v>
      </c>
      <c r="AQ332" s="102">
        <f t="shared" si="399"/>
        <v>153367983.1</v>
      </c>
      <c r="AR332" s="102">
        <f t="shared" si="399"/>
        <v>156435342.8</v>
      </c>
      <c r="AS332" s="102">
        <f t="shared" si="399"/>
        <v>159564049.7</v>
      </c>
      <c r="AT332" s="102">
        <f t="shared" si="399"/>
        <v>162755330.7</v>
      </c>
      <c r="AU332" s="102">
        <f t="shared" si="399"/>
        <v>166010437.3</v>
      </c>
      <c r="AV332" s="102">
        <f t="shared" si="399"/>
        <v>169330646</v>
      </c>
      <c r="AW332" s="90"/>
      <c r="AX332" s="90"/>
      <c r="AY332" s="90"/>
      <c r="AZ332" s="90"/>
      <c r="BA332" s="90"/>
      <c r="BB332" s="90"/>
      <c r="BC332" s="90"/>
      <c r="BD332" s="90"/>
      <c r="BE332" s="90"/>
      <c r="BF332" s="90"/>
      <c r="BG332" s="90"/>
      <c r="BH332" s="90"/>
      <c r="BI332" s="90"/>
      <c r="BJ332" s="90"/>
      <c r="BK332" s="90"/>
      <c r="BL332" s="90"/>
      <c r="BM332" s="90"/>
      <c r="BN332" s="90"/>
      <c r="BO332" s="90"/>
      <c r="BP332" s="90"/>
    </row>
    <row r="333" ht="13.5" customHeight="1" outlineLevel="1">
      <c r="A333" s="143" t="str">
        <f>"Total "&amp;A323</f>
        <v>Total Contingency</v>
      </c>
      <c r="B333" s="143"/>
      <c r="C333" s="309"/>
      <c r="D333" s="309"/>
      <c r="E333" s="309"/>
      <c r="F333" s="309"/>
      <c r="G333" s="309"/>
      <c r="H333" s="314"/>
      <c r="I333" s="314"/>
      <c r="J333" s="314"/>
      <c r="K333" s="311"/>
      <c r="L333" s="311"/>
      <c r="M333" s="307">
        <f t="shared" ref="M333:AV333" si="400">SUM(M324:M332)</f>
        <v>3542.012009</v>
      </c>
      <c r="N333" s="307">
        <f t="shared" si="400"/>
        <v>70244.85613</v>
      </c>
      <c r="O333" s="307">
        <f t="shared" si="400"/>
        <v>176170.3935</v>
      </c>
      <c r="P333" s="307">
        <f t="shared" si="400"/>
        <v>358211.3881</v>
      </c>
      <c r="Q333" s="307">
        <f t="shared" si="400"/>
        <v>658398.4776</v>
      </c>
      <c r="R333" s="307">
        <f t="shared" si="400"/>
        <v>1158876.302</v>
      </c>
      <c r="S333" s="307">
        <f t="shared" si="400"/>
        <v>2015120.389</v>
      </c>
      <c r="T333" s="309">
        <f t="shared" si="400"/>
        <v>3347714.976</v>
      </c>
      <c r="U333" s="309">
        <f t="shared" si="400"/>
        <v>5061899.568</v>
      </c>
      <c r="V333" s="309">
        <f t="shared" si="400"/>
        <v>6989210.401</v>
      </c>
      <c r="W333" s="309">
        <f t="shared" si="400"/>
        <v>9766227.044</v>
      </c>
      <c r="X333" s="309">
        <f t="shared" si="400"/>
        <v>13343078.53</v>
      </c>
      <c r="Y333" s="309">
        <f t="shared" si="400"/>
        <v>19424571.46</v>
      </c>
      <c r="Z333" s="309">
        <f t="shared" si="400"/>
        <v>27976679.51</v>
      </c>
      <c r="AA333" s="309">
        <f t="shared" si="400"/>
        <v>39064321.29</v>
      </c>
      <c r="AB333" s="309">
        <f t="shared" si="400"/>
        <v>52165763.41</v>
      </c>
      <c r="AC333" s="309">
        <f t="shared" si="400"/>
        <v>67995554.09</v>
      </c>
      <c r="AD333" s="309">
        <f t="shared" si="400"/>
        <v>85738390.34</v>
      </c>
      <c r="AE333" s="309">
        <f t="shared" si="400"/>
        <v>104030860.1</v>
      </c>
      <c r="AF333" s="309">
        <f t="shared" si="400"/>
        <v>119565677.6</v>
      </c>
      <c r="AG333" s="309">
        <f t="shared" si="400"/>
        <v>125396387.1</v>
      </c>
      <c r="AH333" s="309">
        <f t="shared" si="400"/>
        <v>128530655.1</v>
      </c>
      <c r="AI333" s="309">
        <f t="shared" si="400"/>
        <v>131053428.7</v>
      </c>
      <c r="AJ333" s="309">
        <f t="shared" si="400"/>
        <v>133598357.5</v>
      </c>
      <c r="AK333" s="309">
        <f t="shared" si="400"/>
        <v>136221161.9</v>
      </c>
      <c r="AL333" s="309">
        <f t="shared" si="400"/>
        <v>138918803.4</v>
      </c>
      <c r="AM333" s="309">
        <f t="shared" si="400"/>
        <v>141689637.4</v>
      </c>
      <c r="AN333" s="309">
        <f t="shared" si="400"/>
        <v>144522075.9</v>
      </c>
      <c r="AO333" s="309">
        <f t="shared" si="400"/>
        <v>147412517.4</v>
      </c>
      <c r="AP333" s="309" t="str">
        <f t="shared" si="400"/>
        <v>#REF!</v>
      </c>
      <c r="AQ333" s="309" t="str">
        <f t="shared" si="400"/>
        <v>#REF!</v>
      </c>
      <c r="AR333" s="309" t="str">
        <f t="shared" si="400"/>
        <v>#REF!</v>
      </c>
      <c r="AS333" s="309" t="str">
        <f t="shared" si="400"/>
        <v>#REF!</v>
      </c>
      <c r="AT333" s="309" t="str">
        <f t="shared" si="400"/>
        <v>#REF!</v>
      </c>
      <c r="AU333" s="309" t="str">
        <f t="shared" si="400"/>
        <v>#REF!</v>
      </c>
      <c r="AV333" s="309" t="str">
        <f t="shared" si="400"/>
        <v>#REF!</v>
      </c>
      <c r="AW333" s="90"/>
      <c r="AX333" s="90"/>
      <c r="AY333" s="90"/>
      <c r="AZ333" s="90"/>
      <c r="BA333" s="90"/>
      <c r="BB333" s="90"/>
      <c r="BC333" s="90"/>
      <c r="BD333" s="90"/>
      <c r="BE333" s="90"/>
      <c r="BF333" s="90"/>
      <c r="BG333" s="90"/>
      <c r="BH333" s="90"/>
      <c r="BI333" s="90"/>
      <c r="BJ333" s="90"/>
      <c r="BK333" s="90"/>
      <c r="BL333" s="90"/>
      <c r="BM333" s="90"/>
      <c r="BN333" s="90"/>
      <c r="BO333" s="90"/>
      <c r="BP333" s="90"/>
    </row>
    <row r="334" ht="13.5" customHeight="1" outlineLevel="1">
      <c r="A334" s="90"/>
      <c r="C334" s="102"/>
      <c r="D334" s="102"/>
      <c r="E334" s="102"/>
      <c r="F334" s="102"/>
      <c r="G334" s="102"/>
      <c r="K334" s="102"/>
      <c r="L334" s="102"/>
      <c r="M334" s="102"/>
      <c r="N334" s="102"/>
      <c r="O334" s="102"/>
      <c r="P334" s="102"/>
      <c r="Q334" s="102"/>
      <c r="R334" s="102"/>
      <c r="S334" s="102"/>
      <c r="T334" s="102"/>
      <c r="U334" s="102"/>
      <c r="V334" s="102"/>
      <c r="W334" s="102"/>
      <c r="X334" s="102"/>
      <c r="Y334" s="102"/>
      <c r="Z334" s="102"/>
      <c r="AA334" s="102"/>
      <c r="AB334" s="102"/>
      <c r="AC334" s="102"/>
      <c r="AD334" s="102"/>
      <c r="AE334" s="102"/>
      <c r="AF334" s="102"/>
      <c r="AG334" s="102"/>
      <c r="AH334" s="102"/>
      <c r="AI334" s="102"/>
      <c r="AJ334" s="102"/>
      <c r="AK334" s="102"/>
      <c r="AL334" s="102"/>
      <c r="AM334" s="102"/>
      <c r="AN334" s="102"/>
      <c r="AO334" s="102"/>
      <c r="AP334" s="102"/>
      <c r="AQ334" s="102"/>
      <c r="AR334" s="102"/>
      <c r="AS334" s="102"/>
      <c r="AT334" s="102"/>
      <c r="AU334" s="102"/>
      <c r="AV334" s="102"/>
      <c r="AW334" s="90"/>
      <c r="AX334" s="90"/>
      <c r="AY334" s="90"/>
      <c r="AZ334" s="90"/>
      <c r="BA334" s="90"/>
      <c r="BB334" s="90"/>
      <c r="BC334" s="90"/>
      <c r="BD334" s="90"/>
      <c r="BE334" s="90"/>
      <c r="BF334" s="90"/>
      <c r="BG334" s="90"/>
      <c r="BH334" s="90"/>
      <c r="BI334" s="90"/>
      <c r="BJ334" s="90"/>
      <c r="BK334" s="90"/>
      <c r="BL334" s="90"/>
      <c r="BM334" s="90"/>
      <c r="BN334" s="90"/>
      <c r="BO334" s="90"/>
      <c r="BP334" s="90"/>
    </row>
    <row r="335" ht="12.75" customHeight="1" outlineLevel="1">
      <c r="A335" s="90" t="s">
        <v>465</v>
      </c>
      <c r="C335" s="102"/>
      <c r="D335" s="102"/>
      <c r="E335" s="102"/>
      <c r="F335" s="102"/>
      <c r="G335" s="102"/>
      <c r="K335" s="102"/>
      <c r="L335" s="102"/>
      <c r="M335" s="102"/>
      <c r="N335" s="102"/>
      <c r="O335" s="102"/>
      <c r="P335" s="102"/>
      <c r="Q335" s="102"/>
      <c r="R335" s="102"/>
      <c r="S335" s="102"/>
      <c r="T335" s="102"/>
      <c r="U335" s="102"/>
      <c r="V335" s="102"/>
      <c r="W335" s="102"/>
      <c r="X335" s="102"/>
      <c r="Y335" s="102"/>
      <c r="Z335" s="102"/>
      <c r="AA335" s="102"/>
      <c r="AB335" s="102"/>
      <c r="AC335" s="102"/>
      <c r="AD335" s="102"/>
      <c r="AE335" s="102"/>
      <c r="AF335" s="102"/>
      <c r="AG335" s="102"/>
      <c r="AH335" s="102"/>
      <c r="AI335" s="102"/>
      <c r="AJ335" s="102"/>
      <c r="AK335" s="102"/>
      <c r="AL335" s="102"/>
      <c r="AM335" s="102"/>
      <c r="AN335" s="102"/>
      <c r="AO335" s="102"/>
      <c r="AP335" s="102"/>
      <c r="AQ335" s="102"/>
      <c r="AR335" s="102"/>
      <c r="AS335" s="102"/>
      <c r="AT335" s="102"/>
      <c r="AU335" s="102"/>
      <c r="AV335" s="102"/>
      <c r="AW335" s="90"/>
      <c r="AX335" s="90"/>
      <c r="AY335" s="90"/>
      <c r="AZ335" s="90"/>
      <c r="BA335" s="90"/>
      <c r="BB335" s="90"/>
      <c r="BC335" s="90"/>
      <c r="BD335" s="90"/>
      <c r="BE335" s="90"/>
      <c r="BF335" s="90"/>
      <c r="BG335" s="90"/>
      <c r="BH335" s="90"/>
      <c r="BI335" s="90"/>
      <c r="BJ335" s="90"/>
      <c r="BK335" s="90"/>
      <c r="BL335" s="90"/>
      <c r="BM335" s="90"/>
      <c r="BN335" s="90"/>
      <c r="BO335" s="90"/>
      <c r="BP335" s="90"/>
    </row>
    <row r="336" ht="12.75" customHeight="1" outlineLevel="1">
      <c r="A336" s="90" t="s">
        <v>287</v>
      </c>
      <c r="C336" s="102">
        <f>'RSGen 1-7'!H$402</f>
        <v>0</v>
      </c>
      <c r="D336" s="102">
        <f>OFFSET(RSGen_Walton!$G$361,0,ROW(C336)-ROW($C$336))</f>
        <v>0</v>
      </c>
      <c r="E336" s="102">
        <f>OFFSET(RSGen_none!$G$361,0,ROW(D336)-ROW($C$336))</f>
        <v>0</v>
      </c>
      <c r="F336" s="102"/>
      <c r="G336" s="102"/>
      <c r="H336" s="313"/>
      <c r="I336" s="313"/>
      <c r="J336" s="313"/>
      <c r="K336" s="306"/>
      <c r="L336" s="306"/>
      <c r="M336" s="102">
        <f>$C336*M$7</f>
        <v>0</v>
      </c>
      <c r="N336" s="102">
        <f t="shared" ref="N336:AV336" si="401">$D336*N$7</f>
        <v>0</v>
      </c>
      <c r="O336" s="102">
        <f t="shared" si="401"/>
        <v>0</v>
      </c>
      <c r="P336" s="102">
        <f t="shared" si="401"/>
        <v>0</v>
      </c>
      <c r="Q336" s="102">
        <f t="shared" si="401"/>
        <v>0</v>
      </c>
      <c r="R336" s="102">
        <f t="shared" si="401"/>
        <v>0</v>
      </c>
      <c r="S336" s="102">
        <f t="shared" si="401"/>
        <v>0</v>
      </c>
      <c r="T336" s="102">
        <f t="shared" si="401"/>
        <v>0</v>
      </c>
      <c r="U336" s="102">
        <f t="shared" si="401"/>
        <v>0</v>
      </c>
      <c r="V336" s="102">
        <f t="shared" si="401"/>
        <v>0</v>
      </c>
      <c r="W336" s="102">
        <f t="shared" si="401"/>
        <v>0</v>
      </c>
      <c r="X336" s="102">
        <f t="shared" si="401"/>
        <v>0</v>
      </c>
      <c r="Y336" s="102">
        <f t="shared" si="401"/>
        <v>0</v>
      </c>
      <c r="Z336" s="102">
        <f t="shared" si="401"/>
        <v>0</v>
      </c>
      <c r="AA336" s="102">
        <f t="shared" si="401"/>
        <v>0</v>
      </c>
      <c r="AB336" s="102">
        <f t="shared" si="401"/>
        <v>0</v>
      </c>
      <c r="AC336" s="102">
        <f t="shared" si="401"/>
        <v>0</v>
      </c>
      <c r="AD336" s="102">
        <f t="shared" si="401"/>
        <v>0</v>
      </c>
      <c r="AE336" s="102">
        <f t="shared" si="401"/>
        <v>0</v>
      </c>
      <c r="AF336" s="102">
        <f t="shared" si="401"/>
        <v>0</v>
      </c>
      <c r="AG336" s="102">
        <f t="shared" si="401"/>
        <v>0</v>
      </c>
      <c r="AH336" s="102">
        <f t="shared" si="401"/>
        <v>0</v>
      </c>
      <c r="AI336" s="102">
        <f t="shared" si="401"/>
        <v>0</v>
      </c>
      <c r="AJ336" s="102">
        <f t="shared" si="401"/>
        <v>0</v>
      </c>
      <c r="AK336" s="102">
        <f t="shared" si="401"/>
        <v>0</v>
      </c>
      <c r="AL336" s="102">
        <f t="shared" si="401"/>
        <v>0</v>
      </c>
      <c r="AM336" s="102">
        <f t="shared" si="401"/>
        <v>0</v>
      </c>
      <c r="AN336" s="102">
        <f t="shared" si="401"/>
        <v>0</v>
      </c>
      <c r="AO336" s="102">
        <f t="shared" si="401"/>
        <v>0</v>
      </c>
      <c r="AP336" s="102" t="str">
        <f t="shared" si="401"/>
        <v>#REF!</v>
      </c>
      <c r="AQ336" s="102" t="str">
        <f t="shared" si="401"/>
        <v>#REF!</v>
      </c>
      <c r="AR336" s="102" t="str">
        <f t="shared" si="401"/>
        <v>#REF!</v>
      </c>
      <c r="AS336" s="102" t="str">
        <f t="shared" si="401"/>
        <v>#REF!</v>
      </c>
      <c r="AT336" s="102" t="str">
        <f t="shared" si="401"/>
        <v>#REF!</v>
      </c>
      <c r="AU336" s="102">
        <f t="shared" si="401"/>
        <v>0</v>
      </c>
      <c r="AV336" s="102">
        <f t="shared" si="401"/>
        <v>0</v>
      </c>
      <c r="AW336" s="90"/>
      <c r="AX336" s="90"/>
      <c r="AY336" s="90"/>
      <c r="AZ336" s="90"/>
      <c r="BA336" s="90"/>
      <c r="BB336" s="90"/>
      <c r="BC336" s="90"/>
      <c r="BD336" s="90"/>
      <c r="BE336" s="90"/>
      <c r="BF336" s="90"/>
      <c r="BG336" s="90"/>
      <c r="BH336" s="90"/>
      <c r="BI336" s="90"/>
      <c r="BJ336" s="90"/>
      <c r="BK336" s="90"/>
      <c r="BL336" s="90"/>
      <c r="BM336" s="90"/>
      <c r="BN336" s="90"/>
      <c r="BO336" s="90"/>
      <c r="BP336" s="90"/>
    </row>
    <row r="337" ht="12.75" customHeight="1" outlineLevel="1">
      <c r="A337" s="90" t="s">
        <v>288</v>
      </c>
      <c r="C337" s="102" t="str">
        <f>'RSGen 1-7'!I$402</f>
        <v/>
      </c>
      <c r="D337" s="102">
        <f>OFFSET(RSGen_Walton!$G$361,0,ROW(C337)-ROW($C$336))</f>
        <v>0</v>
      </c>
      <c r="E337" s="102">
        <f>OFFSET(RSGen_none!$G$361,0,ROW(D337)-ROW($C$336))</f>
        <v>0</v>
      </c>
      <c r="F337" s="102"/>
      <c r="G337" s="102"/>
      <c r="H337" s="313"/>
      <c r="I337" s="313"/>
      <c r="J337" s="313"/>
      <c r="K337" s="306"/>
      <c r="L337" s="306"/>
      <c r="M337" s="306"/>
      <c r="N337" s="102">
        <f t="shared" ref="N337:O337" si="402">$C337*N$8</f>
        <v>0</v>
      </c>
      <c r="O337" s="102">
        <f t="shared" si="402"/>
        <v>0</v>
      </c>
      <c r="P337" s="102">
        <f t="shared" ref="P337:AV337" si="403">$D337*P$8</f>
        <v>0</v>
      </c>
      <c r="Q337" s="102">
        <f t="shared" si="403"/>
        <v>0</v>
      </c>
      <c r="R337" s="102">
        <f t="shared" si="403"/>
        <v>0</v>
      </c>
      <c r="S337" s="102">
        <f t="shared" si="403"/>
        <v>0</v>
      </c>
      <c r="T337" s="102">
        <f t="shared" si="403"/>
        <v>0</v>
      </c>
      <c r="U337" s="102">
        <f t="shared" si="403"/>
        <v>0</v>
      </c>
      <c r="V337" s="102">
        <f t="shared" si="403"/>
        <v>0</v>
      </c>
      <c r="W337" s="102">
        <f t="shared" si="403"/>
        <v>0</v>
      </c>
      <c r="X337" s="102">
        <f t="shared" si="403"/>
        <v>0</v>
      </c>
      <c r="Y337" s="102">
        <f t="shared" si="403"/>
        <v>0</v>
      </c>
      <c r="Z337" s="102">
        <f t="shared" si="403"/>
        <v>0</v>
      </c>
      <c r="AA337" s="102">
        <f t="shared" si="403"/>
        <v>0</v>
      </c>
      <c r="AB337" s="102">
        <f t="shared" si="403"/>
        <v>0</v>
      </c>
      <c r="AC337" s="102">
        <f t="shared" si="403"/>
        <v>0</v>
      </c>
      <c r="AD337" s="102">
        <f t="shared" si="403"/>
        <v>0</v>
      </c>
      <c r="AE337" s="102">
        <f t="shared" si="403"/>
        <v>0</v>
      </c>
      <c r="AF337" s="102">
        <f t="shared" si="403"/>
        <v>0</v>
      </c>
      <c r="AG337" s="102">
        <f t="shared" si="403"/>
        <v>0</v>
      </c>
      <c r="AH337" s="102">
        <f t="shared" si="403"/>
        <v>0</v>
      </c>
      <c r="AI337" s="102">
        <f t="shared" si="403"/>
        <v>0</v>
      </c>
      <c r="AJ337" s="102">
        <f t="shared" si="403"/>
        <v>0</v>
      </c>
      <c r="AK337" s="102">
        <f t="shared" si="403"/>
        <v>0</v>
      </c>
      <c r="AL337" s="102">
        <f t="shared" si="403"/>
        <v>0</v>
      </c>
      <c r="AM337" s="102">
        <f t="shared" si="403"/>
        <v>0</v>
      </c>
      <c r="AN337" s="102">
        <f t="shared" si="403"/>
        <v>0</v>
      </c>
      <c r="AO337" s="102">
        <f t="shared" si="403"/>
        <v>0</v>
      </c>
      <c r="AP337" s="102">
        <f t="shared" si="403"/>
        <v>0</v>
      </c>
      <c r="AQ337" s="102" t="str">
        <f t="shared" si="403"/>
        <v>#REF!</v>
      </c>
      <c r="AR337" s="102" t="str">
        <f t="shared" si="403"/>
        <v>#REF!</v>
      </c>
      <c r="AS337" s="102" t="str">
        <f t="shared" si="403"/>
        <v>#REF!</v>
      </c>
      <c r="AT337" s="102" t="str">
        <f t="shared" si="403"/>
        <v>#REF!</v>
      </c>
      <c r="AU337" s="102" t="str">
        <f t="shared" si="403"/>
        <v>#REF!</v>
      </c>
      <c r="AV337" s="102">
        <f t="shared" si="403"/>
        <v>0</v>
      </c>
      <c r="AW337" s="90"/>
      <c r="AX337" s="90"/>
      <c r="AY337" s="90"/>
      <c r="AZ337" s="90"/>
      <c r="BA337" s="90"/>
      <c r="BB337" s="90"/>
      <c r="BC337" s="90"/>
      <c r="BD337" s="90"/>
      <c r="BE337" s="90"/>
      <c r="BF337" s="90"/>
      <c r="BG337" s="90"/>
      <c r="BH337" s="90"/>
      <c r="BI337" s="90"/>
      <c r="BJ337" s="90"/>
      <c r="BK337" s="90"/>
      <c r="BL337" s="90"/>
      <c r="BM337" s="90"/>
      <c r="BN337" s="90"/>
      <c r="BO337" s="90"/>
      <c r="BP337" s="90"/>
    </row>
    <row r="338" ht="12.75" customHeight="1" outlineLevel="1">
      <c r="A338" s="90" t="s">
        <v>289</v>
      </c>
      <c r="C338" s="102" t="str">
        <f>'RSGen 1-7'!J$402</f>
        <v/>
      </c>
      <c r="D338" s="102" t="str">
        <f>OFFSET(RSGen_Walton!$G$361,0,ROW(C338)-ROW($C$336))</f>
        <v/>
      </c>
      <c r="E338" s="102" t="str">
        <f>OFFSET(RSGen_none!$G$361,0,ROW(D338)-ROW($C$336))</f>
        <v/>
      </c>
      <c r="F338" s="102"/>
      <c r="G338" s="102"/>
      <c r="H338" s="313"/>
      <c r="I338" s="313"/>
      <c r="J338" s="313"/>
      <c r="K338" s="306"/>
      <c r="L338" s="306"/>
      <c r="M338" s="306"/>
      <c r="N338" s="306"/>
      <c r="O338" s="102">
        <f t="shared" ref="O338:P338" si="404">$C338*O$9</f>
        <v>0</v>
      </c>
      <c r="P338" s="102">
        <f t="shared" si="404"/>
        <v>0</v>
      </c>
      <c r="Q338" s="102">
        <f t="shared" ref="Q338:AV338" si="405">$D338*Q$9</f>
        <v>0</v>
      </c>
      <c r="R338" s="102">
        <f t="shared" si="405"/>
        <v>0</v>
      </c>
      <c r="S338" s="102">
        <f t="shared" si="405"/>
        <v>0</v>
      </c>
      <c r="T338" s="102">
        <f t="shared" si="405"/>
        <v>0</v>
      </c>
      <c r="U338" s="102">
        <f t="shared" si="405"/>
        <v>0</v>
      </c>
      <c r="V338" s="102">
        <f t="shared" si="405"/>
        <v>0</v>
      </c>
      <c r="W338" s="102">
        <f t="shared" si="405"/>
        <v>0</v>
      </c>
      <c r="X338" s="102">
        <f t="shared" si="405"/>
        <v>0</v>
      </c>
      <c r="Y338" s="102">
        <f t="shared" si="405"/>
        <v>0</v>
      </c>
      <c r="Z338" s="102">
        <f t="shared" si="405"/>
        <v>0</v>
      </c>
      <c r="AA338" s="102">
        <f t="shared" si="405"/>
        <v>0</v>
      </c>
      <c r="AB338" s="102">
        <f t="shared" si="405"/>
        <v>0</v>
      </c>
      <c r="AC338" s="102">
        <f t="shared" si="405"/>
        <v>0</v>
      </c>
      <c r="AD338" s="102">
        <f t="shared" si="405"/>
        <v>0</v>
      </c>
      <c r="AE338" s="102">
        <f t="shared" si="405"/>
        <v>0</v>
      </c>
      <c r="AF338" s="102">
        <f t="shared" si="405"/>
        <v>0</v>
      </c>
      <c r="AG338" s="102">
        <f t="shared" si="405"/>
        <v>0</v>
      </c>
      <c r="AH338" s="102">
        <f t="shared" si="405"/>
        <v>0</v>
      </c>
      <c r="AI338" s="102">
        <f t="shared" si="405"/>
        <v>0</v>
      </c>
      <c r="AJ338" s="102">
        <f t="shared" si="405"/>
        <v>0</v>
      </c>
      <c r="AK338" s="102">
        <f t="shared" si="405"/>
        <v>0</v>
      </c>
      <c r="AL338" s="102">
        <f t="shared" si="405"/>
        <v>0</v>
      </c>
      <c r="AM338" s="102">
        <f t="shared" si="405"/>
        <v>0</v>
      </c>
      <c r="AN338" s="102">
        <f t="shared" si="405"/>
        <v>0</v>
      </c>
      <c r="AO338" s="102">
        <f t="shared" si="405"/>
        <v>0</v>
      </c>
      <c r="AP338" s="102">
        <f t="shared" si="405"/>
        <v>0</v>
      </c>
      <c r="AQ338" s="102">
        <f t="shared" si="405"/>
        <v>0</v>
      </c>
      <c r="AR338" s="102" t="str">
        <f t="shared" si="405"/>
        <v>#REF!</v>
      </c>
      <c r="AS338" s="102" t="str">
        <f t="shared" si="405"/>
        <v>#REF!</v>
      </c>
      <c r="AT338" s="102" t="str">
        <f t="shared" si="405"/>
        <v>#REF!</v>
      </c>
      <c r="AU338" s="102" t="str">
        <f t="shared" si="405"/>
        <v>#REF!</v>
      </c>
      <c r="AV338" s="102" t="str">
        <f t="shared" si="405"/>
        <v>#REF!</v>
      </c>
      <c r="AW338" s="90"/>
      <c r="AX338" s="90"/>
      <c r="AY338" s="90"/>
      <c r="AZ338" s="90"/>
      <c r="BA338" s="90"/>
      <c r="BB338" s="90"/>
      <c r="BC338" s="90"/>
      <c r="BD338" s="90"/>
      <c r="BE338" s="90"/>
      <c r="BF338" s="90"/>
      <c r="BG338" s="90"/>
      <c r="BH338" s="90"/>
      <c r="BI338" s="90"/>
      <c r="BJ338" s="90"/>
      <c r="BK338" s="90"/>
      <c r="BL338" s="90"/>
      <c r="BM338" s="90"/>
      <c r="BN338" s="90"/>
      <c r="BO338" s="90"/>
      <c r="BP338" s="90"/>
    </row>
    <row r="339" ht="12.75" customHeight="1" outlineLevel="1">
      <c r="A339" s="90" t="s">
        <v>290</v>
      </c>
      <c r="C339" s="102" t="str">
        <f>'RSGen 1-7'!K$402</f>
        <v/>
      </c>
      <c r="D339" s="102" t="str">
        <f>OFFSET(RSGen_Walton!$G$361,0,ROW(C339)-ROW($C$336))</f>
        <v/>
      </c>
      <c r="E339" s="102" t="str">
        <f>OFFSET(RSGen_none!$G$361,0,ROW(D339)-ROW($C$336))</f>
        <v/>
      </c>
      <c r="F339" s="102"/>
      <c r="G339" s="102"/>
      <c r="H339" s="313"/>
      <c r="I339" s="313"/>
      <c r="J339" s="313"/>
      <c r="K339" s="306"/>
      <c r="L339" s="306"/>
      <c r="M339" s="306"/>
      <c r="N339" s="306"/>
      <c r="O339" s="306"/>
      <c r="P339" s="102">
        <f t="shared" ref="P339:Q339" si="406">$C339*P$10</f>
        <v>0</v>
      </c>
      <c r="Q339" s="102">
        <f t="shared" si="406"/>
        <v>0</v>
      </c>
      <c r="R339" s="102">
        <f t="shared" ref="R339:AV339" si="407">$D339*R$10</f>
        <v>0</v>
      </c>
      <c r="S339" s="102">
        <f t="shared" si="407"/>
        <v>0</v>
      </c>
      <c r="T339" s="102">
        <f t="shared" si="407"/>
        <v>0</v>
      </c>
      <c r="U339" s="102">
        <f t="shared" si="407"/>
        <v>0</v>
      </c>
      <c r="V339" s="102">
        <f t="shared" si="407"/>
        <v>0</v>
      </c>
      <c r="W339" s="102">
        <f t="shared" si="407"/>
        <v>0</v>
      </c>
      <c r="X339" s="102">
        <f t="shared" si="407"/>
        <v>0</v>
      </c>
      <c r="Y339" s="102">
        <f t="shared" si="407"/>
        <v>0</v>
      </c>
      <c r="Z339" s="102">
        <f t="shared" si="407"/>
        <v>0</v>
      </c>
      <c r="AA339" s="102">
        <f t="shared" si="407"/>
        <v>0</v>
      </c>
      <c r="AB339" s="102">
        <f t="shared" si="407"/>
        <v>0</v>
      </c>
      <c r="AC339" s="102">
        <f t="shared" si="407"/>
        <v>0</v>
      </c>
      <c r="AD339" s="102">
        <f t="shared" si="407"/>
        <v>0</v>
      </c>
      <c r="AE339" s="102">
        <f t="shared" si="407"/>
        <v>0</v>
      </c>
      <c r="AF339" s="102">
        <f t="shared" si="407"/>
        <v>0</v>
      </c>
      <c r="AG339" s="102">
        <f t="shared" si="407"/>
        <v>0</v>
      </c>
      <c r="AH339" s="102">
        <f t="shared" si="407"/>
        <v>0</v>
      </c>
      <c r="AI339" s="102">
        <f t="shared" si="407"/>
        <v>0</v>
      </c>
      <c r="AJ339" s="102">
        <f t="shared" si="407"/>
        <v>0</v>
      </c>
      <c r="AK339" s="102">
        <f t="shared" si="407"/>
        <v>0</v>
      </c>
      <c r="AL339" s="102">
        <f t="shared" si="407"/>
        <v>0</v>
      </c>
      <c r="AM339" s="102">
        <f t="shared" si="407"/>
        <v>0</v>
      </c>
      <c r="AN339" s="102">
        <f t="shared" si="407"/>
        <v>0</v>
      </c>
      <c r="AO339" s="102">
        <f t="shared" si="407"/>
        <v>0</v>
      </c>
      <c r="AP339" s="102">
        <f t="shared" si="407"/>
        <v>0</v>
      </c>
      <c r="AQ339" s="102">
        <f t="shared" si="407"/>
        <v>0</v>
      </c>
      <c r="AR339" s="102">
        <f t="shared" si="407"/>
        <v>0</v>
      </c>
      <c r="AS339" s="102" t="str">
        <f t="shared" si="407"/>
        <v>#REF!</v>
      </c>
      <c r="AT339" s="102" t="str">
        <f t="shared" si="407"/>
        <v>#REF!</v>
      </c>
      <c r="AU339" s="102" t="str">
        <f t="shared" si="407"/>
        <v>#REF!</v>
      </c>
      <c r="AV339" s="102" t="str">
        <f t="shared" si="407"/>
        <v>#REF!</v>
      </c>
      <c r="AW339" s="90"/>
      <c r="AX339" s="90"/>
      <c r="AY339" s="90"/>
      <c r="AZ339" s="90"/>
      <c r="BA339" s="90"/>
      <c r="BB339" s="90"/>
      <c r="BC339" s="90"/>
      <c r="BD339" s="90"/>
      <c r="BE339" s="90"/>
      <c r="BF339" s="90"/>
      <c r="BG339" s="90"/>
      <c r="BH339" s="90"/>
      <c r="BI339" s="90"/>
      <c r="BJ339" s="90"/>
      <c r="BK339" s="90"/>
      <c r="BL339" s="90"/>
      <c r="BM339" s="90"/>
      <c r="BN339" s="90"/>
      <c r="BO339" s="90"/>
      <c r="BP339" s="90"/>
    </row>
    <row r="340" ht="12.75" customHeight="1" outlineLevel="1">
      <c r="A340" s="90" t="s">
        <v>291</v>
      </c>
      <c r="C340" s="102" t="str">
        <f>'RSGen 1-7'!L$402</f>
        <v/>
      </c>
      <c r="D340" s="102" t="str">
        <f>OFFSET(RSGen_Walton!$G$361,0,ROW(C340)-ROW($C$336))</f>
        <v/>
      </c>
      <c r="E340" s="102" t="str">
        <f>OFFSET(RSGen_none!$G$361,0,ROW(D340)-ROW($C$336))</f>
        <v/>
      </c>
      <c r="F340" s="102"/>
      <c r="G340" s="102"/>
      <c r="H340" s="313"/>
      <c r="I340" s="313"/>
      <c r="J340" s="313"/>
      <c r="K340" s="306"/>
      <c r="L340" s="306"/>
      <c r="M340" s="306"/>
      <c r="N340" s="306"/>
      <c r="O340" s="306"/>
      <c r="P340" s="306"/>
      <c r="Q340" s="102">
        <f t="shared" ref="Q340:R340" si="408">$C340*Q$11</f>
        <v>0</v>
      </c>
      <c r="R340" s="102">
        <f t="shared" si="408"/>
        <v>0</v>
      </c>
      <c r="S340" s="102">
        <f t="shared" ref="S340:AV340" si="409">$D340*S$11</f>
        <v>0</v>
      </c>
      <c r="T340" s="102">
        <f t="shared" si="409"/>
        <v>0</v>
      </c>
      <c r="U340" s="102">
        <f t="shared" si="409"/>
        <v>0</v>
      </c>
      <c r="V340" s="102">
        <f t="shared" si="409"/>
        <v>0</v>
      </c>
      <c r="W340" s="102">
        <f t="shared" si="409"/>
        <v>0</v>
      </c>
      <c r="X340" s="102">
        <f t="shared" si="409"/>
        <v>0</v>
      </c>
      <c r="Y340" s="102">
        <f t="shared" si="409"/>
        <v>0</v>
      </c>
      <c r="Z340" s="102">
        <f t="shared" si="409"/>
        <v>0</v>
      </c>
      <c r="AA340" s="102">
        <f t="shared" si="409"/>
        <v>0</v>
      </c>
      <c r="AB340" s="102">
        <f t="shared" si="409"/>
        <v>0</v>
      </c>
      <c r="AC340" s="102">
        <f t="shared" si="409"/>
        <v>0</v>
      </c>
      <c r="AD340" s="102">
        <f t="shared" si="409"/>
        <v>0</v>
      </c>
      <c r="AE340" s="102">
        <f t="shared" si="409"/>
        <v>0</v>
      </c>
      <c r="AF340" s="102">
        <f t="shared" si="409"/>
        <v>0</v>
      </c>
      <c r="AG340" s="102">
        <f t="shared" si="409"/>
        <v>0</v>
      </c>
      <c r="AH340" s="102">
        <f t="shared" si="409"/>
        <v>0</v>
      </c>
      <c r="AI340" s="102">
        <f t="shared" si="409"/>
        <v>0</v>
      </c>
      <c r="AJ340" s="102">
        <f t="shared" si="409"/>
        <v>0</v>
      </c>
      <c r="AK340" s="102">
        <f t="shared" si="409"/>
        <v>0</v>
      </c>
      <c r="AL340" s="102">
        <f t="shared" si="409"/>
        <v>0</v>
      </c>
      <c r="AM340" s="102">
        <f t="shared" si="409"/>
        <v>0</v>
      </c>
      <c r="AN340" s="102">
        <f t="shared" si="409"/>
        <v>0</v>
      </c>
      <c r="AO340" s="102">
        <f t="shared" si="409"/>
        <v>0</v>
      </c>
      <c r="AP340" s="102">
        <f t="shared" si="409"/>
        <v>0</v>
      </c>
      <c r="AQ340" s="102">
        <f t="shared" si="409"/>
        <v>0</v>
      </c>
      <c r="AR340" s="102">
        <f t="shared" si="409"/>
        <v>0</v>
      </c>
      <c r="AS340" s="102">
        <f t="shared" si="409"/>
        <v>0</v>
      </c>
      <c r="AT340" s="102" t="str">
        <f t="shared" si="409"/>
        <v>#REF!</v>
      </c>
      <c r="AU340" s="102" t="str">
        <f t="shared" si="409"/>
        <v>#REF!</v>
      </c>
      <c r="AV340" s="102" t="str">
        <f t="shared" si="409"/>
        <v>#REF!</v>
      </c>
      <c r="AW340" s="90"/>
      <c r="AX340" s="90"/>
      <c r="AY340" s="90"/>
      <c r="AZ340" s="90"/>
      <c r="BA340" s="90"/>
      <c r="BB340" s="90"/>
      <c r="BC340" s="90"/>
      <c r="BD340" s="90"/>
      <c r="BE340" s="90"/>
      <c r="BF340" s="90"/>
      <c r="BG340" s="90"/>
      <c r="BH340" s="90"/>
      <c r="BI340" s="90"/>
      <c r="BJ340" s="90"/>
      <c r="BK340" s="90"/>
      <c r="BL340" s="90"/>
      <c r="BM340" s="90"/>
      <c r="BN340" s="90"/>
      <c r="BO340" s="90"/>
      <c r="BP340" s="90"/>
    </row>
    <row r="341" ht="12.75" customHeight="1" outlineLevel="1">
      <c r="A341" s="90" t="s">
        <v>292</v>
      </c>
      <c r="C341" s="102" t="str">
        <f>'RSGen 1-7'!M$402</f>
        <v/>
      </c>
      <c r="D341" s="102" t="str">
        <f>OFFSET(RSGen_Walton!$G$361,0,ROW(C341)-ROW($C$336))</f>
        <v/>
      </c>
      <c r="E341" s="102" t="str">
        <f>OFFSET(RSGen_none!$G$361,0,ROW(D341)-ROW($C$336))</f>
        <v/>
      </c>
      <c r="F341" s="102"/>
      <c r="G341" s="102"/>
      <c r="H341" s="313"/>
      <c r="I341" s="313"/>
      <c r="J341" s="313"/>
      <c r="K341" s="306"/>
      <c r="L341" s="306"/>
      <c r="M341" s="306"/>
      <c r="N341" s="306"/>
      <c r="O341" s="306"/>
      <c r="P341" s="306"/>
      <c r="Q341" s="306"/>
      <c r="R341" s="102">
        <f t="shared" ref="R341:S341" si="410">$C341*R$12</f>
        <v>0</v>
      </c>
      <c r="S341" s="102">
        <f t="shared" si="410"/>
        <v>0</v>
      </c>
      <c r="T341" s="102">
        <f t="shared" ref="T341:AV341" si="411">$D341*T$12</f>
        <v>0</v>
      </c>
      <c r="U341" s="102">
        <f t="shared" si="411"/>
        <v>0</v>
      </c>
      <c r="V341" s="102">
        <f t="shared" si="411"/>
        <v>0</v>
      </c>
      <c r="W341" s="102">
        <f t="shared" si="411"/>
        <v>0</v>
      </c>
      <c r="X341" s="102">
        <f t="shared" si="411"/>
        <v>0</v>
      </c>
      <c r="Y341" s="102">
        <f t="shared" si="411"/>
        <v>0</v>
      </c>
      <c r="Z341" s="102">
        <f t="shared" si="411"/>
        <v>0</v>
      </c>
      <c r="AA341" s="102">
        <f t="shared" si="411"/>
        <v>0</v>
      </c>
      <c r="AB341" s="102">
        <f t="shared" si="411"/>
        <v>0</v>
      </c>
      <c r="AC341" s="102">
        <f t="shared" si="411"/>
        <v>0</v>
      </c>
      <c r="AD341" s="102">
        <f t="shared" si="411"/>
        <v>0</v>
      </c>
      <c r="AE341" s="102">
        <f t="shared" si="411"/>
        <v>0</v>
      </c>
      <c r="AF341" s="102">
        <f t="shared" si="411"/>
        <v>0</v>
      </c>
      <c r="AG341" s="102">
        <f t="shared" si="411"/>
        <v>0</v>
      </c>
      <c r="AH341" s="102">
        <f t="shared" si="411"/>
        <v>0</v>
      </c>
      <c r="AI341" s="102">
        <f t="shared" si="411"/>
        <v>0</v>
      </c>
      <c r="AJ341" s="102">
        <f t="shared" si="411"/>
        <v>0</v>
      </c>
      <c r="AK341" s="102">
        <f t="shared" si="411"/>
        <v>0</v>
      </c>
      <c r="AL341" s="102">
        <f t="shared" si="411"/>
        <v>0</v>
      </c>
      <c r="AM341" s="102">
        <f t="shared" si="411"/>
        <v>0</v>
      </c>
      <c r="AN341" s="102">
        <f t="shared" si="411"/>
        <v>0</v>
      </c>
      <c r="AO341" s="102">
        <f t="shared" si="411"/>
        <v>0</v>
      </c>
      <c r="AP341" s="102">
        <f t="shared" si="411"/>
        <v>0</v>
      </c>
      <c r="AQ341" s="102">
        <f t="shared" si="411"/>
        <v>0</v>
      </c>
      <c r="AR341" s="102">
        <f t="shared" si="411"/>
        <v>0</v>
      </c>
      <c r="AS341" s="102">
        <f t="shared" si="411"/>
        <v>0</v>
      </c>
      <c r="AT341" s="102">
        <f t="shared" si="411"/>
        <v>0</v>
      </c>
      <c r="AU341" s="102" t="str">
        <f t="shared" si="411"/>
        <v>#REF!</v>
      </c>
      <c r="AV341" s="102" t="str">
        <f t="shared" si="411"/>
        <v>#REF!</v>
      </c>
      <c r="AW341" s="90"/>
      <c r="AX341" s="90"/>
      <c r="AY341" s="90"/>
      <c r="AZ341" s="90"/>
      <c r="BA341" s="90"/>
      <c r="BB341" s="90"/>
      <c r="BC341" s="90"/>
      <c r="BD341" s="90"/>
      <c r="BE341" s="90"/>
      <c r="BF341" s="90"/>
      <c r="BG341" s="90"/>
      <c r="BH341" s="90"/>
      <c r="BI341" s="90"/>
      <c r="BJ341" s="90"/>
      <c r="BK341" s="90"/>
      <c r="BL341" s="90"/>
      <c r="BM341" s="90"/>
      <c r="BN341" s="90"/>
      <c r="BO341" s="90"/>
      <c r="BP341" s="90"/>
    </row>
    <row r="342" ht="12.75" customHeight="1" outlineLevel="1">
      <c r="A342" s="90" t="s">
        <v>293</v>
      </c>
      <c r="C342" s="102" t="str">
        <f>'RSGen 1-7'!N$402</f>
        <v/>
      </c>
      <c r="D342" s="102" t="str">
        <f>OFFSET(RSGen_Walton!$G$361,0,ROW(C342)-ROW($C$336))</f>
        <v/>
      </c>
      <c r="E342" s="102" t="str">
        <f>OFFSET(RSGen_none!$G$361,0,ROW(D342)-ROW($C$336))</f>
        <v/>
      </c>
      <c r="F342" s="102"/>
      <c r="G342" s="102"/>
      <c r="H342" s="313"/>
      <c r="I342" s="313"/>
      <c r="J342" s="313"/>
      <c r="K342" s="306"/>
      <c r="L342" s="306"/>
      <c r="M342" s="306"/>
      <c r="N342" s="306"/>
      <c r="O342" s="306"/>
      <c r="P342" s="306"/>
      <c r="Q342" s="306"/>
      <c r="R342" s="306"/>
      <c r="S342" s="102">
        <f t="shared" ref="S342:T342" si="412">$C342*S$13</f>
        <v>0</v>
      </c>
      <c r="T342" s="102">
        <f t="shared" si="412"/>
        <v>0</v>
      </c>
      <c r="U342" s="102">
        <f t="shared" ref="U342:AV342" si="413">$D342*U$13</f>
        <v>0</v>
      </c>
      <c r="V342" s="102">
        <f t="shared" si="413"/>
        <v>0</v>
      </c>
      <c r="W342" s="102">
        <f t="shared" si="413"/>
        <v>0</v>
      </c>
      <c r="X342" s="102">
        <f t="shared" si="413"/>
        <v>0</v>
      </c>
      <c r="Y342" s="102">
        <f t="shared" si="413"/>
        <v>0</v>
      </c>
      <c r="Z342" s="102">
        <f t="shared" si="413"/>
        <v>0</v>
      </c>
      <c r="AA342" s="102">
        <f t="shared" si="413"/>
        <v>0</v>
      </c>
      <c r="AB342" s="102">
        <f t="shared" si="413"/>
        <v>0</v>
      </c>
      <c r="AC342" s="102">
        <f t="shared" si="413"/>
        <v>0</v>
      </c>
      <c r="AD342" s="102">
        <f t="shared" si="413"/>
        <v>0</v>
      </c>
      <c r="AE342" s="102">
        <f t="shared" si="413"/>
        <v>0</v>
      </c>
      <c r="AF342" s="102">
        <f t="shared" si="413"/>
        <v>0</v>
      </c>
      <c r="AG342" s="102">
        <f t="shared" si="413"/>
        <v>0</v>
      </c>
      <c r="AH342" s="102">
        <f t="shared" si="413"/>
        <v>0</v>
      </c>
      <c r="AI342" s="102">
        <f t="shared" si="413"/>
        <v>0</v>
      </c>
      <c r="AJ342" s="102">
        <f t="shared" si="413"/>
        <v>0</v>
      </c>
      <c r="AK342" s="102">
        <f t="shared" si="413"/>
        <v>0</v>
      </c>
      <c r="AL342" s="102">
        <f t="shared" si="413"/>
        <v>0</v>
      </c>
      <c r="AM342" s="102">
        <f t="shared" si="413"/>
        <v>0</v>
      </c>
      <c r="AN342" s="102">
        <f t="shared" si="413"/>
        <v>0</v>
      </c>
      <c r="AO342" s="102">
        <f t="shared" si="413"/>
        <v>0</v>
      </c>
      <c r="AP342" s="102">
        <f t="shared" si="413"/>
        <v>0</v>
      </c>
      <c r="AQ342" s="102">
        <f t="shared" si="413"/>
        <v>0</v>
      </c>
      <c r="AR342" s="102">
        <f t="shared" si="413"/>
        <v>0</v>
      </c>
      <c r="AS342" s="102">
        <f t="shared" si="413"/>
        <v>0</v>
      </c>
      <c r="AT342" s="102">
        <f t="shared" si="413"/>
        <v>0</v>
      </c>
      <c r="AU342" s="102">
        <f t="shared" si="413"/>
        <v>0</v>
      </c>
      <c r="AV342" s="102" t="str">
        <f t="shared" si="413"/>
        <v>#REF!</v>
      </c>
      <c r="AW342" s="90"/>
      <c r="AX342" s="90"/>
      <c r="AY342" s="90"/>
      <c r="AZ342" s="90"/>
      <c r="BA342" s="90"/>
      <c r="BB342" s="90"/>
      <c r="BC342" s="90"/>
      <c r="BD342" s="90"/>
      <c r="BE342" s="90"/>
      <c r="BF342" s="90"/>
      <c r="BG342" s="90"/>
      <c r="BH342" s="90"/>
      <c r="BI342" s="90"/>
      <c r="BJ342" s="90"/>
      <c r="BK342" s="90"/>
      <c r="BL342" s="90"/>
      <c r="BM342" s="90"/>
      <c r="BN342" s="90"/>
      <c r="BO342" s="90"/>
      <c r="BP342" s="90"/>
    </row>
    <row r="343" ht="12.75" customHeight="1" outlineLevel="1">
      <c r="A343" s="90" t="s">
        <v>294</v>
      </c>
      <c r="C343" s="102" t="str">
        <f>'RSGen 1-7'!O$402</f>
        <v/>
      </c>
      <c r="D343" s="102" t="str">
        <f>OFFSET(RSGen_Walton!$G$361,0,ROW(C343)-ROW($C$336))</f>
        <v/>
      </c>
      <c r="E343" s="102" t="str">
        <f>OFFSET(RSGen_none!$G$361,0,ROW(D343)-ROW($C$336))</f>
        <v/>
      </c>
      <c r="F343" s="102"/>
      <c r="G343" s="102"/>
      <c r="H343" s="313"/>
      <c r="I343" s="313"/>
      <c r="J343" s="313"/>
      <c r="K343" s="306"/>
      <c r="L343" s="306"/>
      <c r="M343" s="306"/>
      <c r="N343" s="306"/>
      <c r="O343" s="306"/>
      <c r="P343" s="306"/>
      <c r="Q343" s="306"/>
      <c r="R343" s="306"/>
      <c r="S343" s="306"/>
      <c r="T343" s="102">
        <f t="shared" ref="T343:U343" si="414">$C343*T$14</f>
        <v>0</v>
      </c>
      <c r="U343" s="102">
        <f t="shared" si="414"/>
        <v>0</v>
      </c>
      <c r="V343" s="102">
        <f t="shared" ref="V343:AV343" si="415">$D343*V$14</f>
        <v>0</v>
      </c>
      <c r="W343" s="102">
        <f t="shared" si="415"/>
        <v>0</v>
      </c>
      <c r="X343" s="102">
        <f t="shared" si="415"/>
        <v>0</v>
      </c>
      <c r="Y343" s="102">
        <f t="shared" si="415"/>
        <v>0</v>
      </c>
      <c r="Z343" s="102">
        <f t="shared" si="415"/>
        <v>0</v>
      </c>
      <c r="AA343" s="102">
        <f t="shared" si="415"/>
        <v>0</v>
      </c>
      <c r="AB343" s="102">
        <f t="shared" si="415"/>
        <v>0</v>
      </c>
      <c r="AC343" s="102">
        <f t="shared" si="415"/>
        <v>0</v>
      </c>
      <c r="AD343" s="102">
        <f t="shared" si="415"/>
        <v>0</v>
      </c>
      <c r="AE343" s="102">
        <f t="shared" si="415"/>
        <v>0</v>
      </c>
      <c r="AF343" s="102">
        <f t="shared" si="415"/>
        <v>0</v>
      </c>
      <c r="AG343" s="102">
        <f t="shared" si="415"/>
        <v>0</v>
      </c>
      <c r="AH343" s="102">
        <f t="shared" si="415"/>
        <v>0</v>
      </c>
      <c r="AI343" s="102">
        <f t="shared" si="415"/>
        <v>0</v>
      </c>
      <c r="AJ343" s="102">
        <f t="shared" si="415"/>
        <v>0</v>
      </c>
      <c r="AK343" s="102">
        <f t="shared" si="415"/>
        <v>0</v>
      </c>
      <c r="AL343" s="102">
        <f t="shared" si="415"/>
        <v>0</v>
      </c>
      <c r="AM343" s="102">
        <f t="shared" si="415"/>
        <v>0</v>
      </c>
      <c r="AN343" s="102">
        <f t="shared" si="415"/>
        <v>0</v>
      </c>
      <c r="AO343" s="102">
        <f t="shared" si="415"/>
        <v>0</v>
      </c>
      <c r="AP343" s="102">
        <f t="shared" si="415"/>
        <v>0</v>
      </c>
      <c r="AQ343" s="102">
        <f t="shared" si="415"/>
        <v>0</v>
      </c>
      <c r="AR343" s="102">
        <f t="shared" si="415"/>
        <v>0</v>
      </c>
      <c r="AS343" s="102">
        <f t="shared" si="415"/>
        <v>0</v>
      </c>
      <c r="AT343" s="102">
        <f t="shared" si="415"/>
        <v>0</v>
      </c>
      <c r="AU343" s="102">
        <f t="shared" si="415"/>
        <v>0</v>
      </c>
      <c r="AV343" s="102">
        <f t="shared" si="415"/>
        <v>0</v>
      </c>
      <c r="AW343" s="90"/>
      <c r="AX343" s="90"/>
      <c r="AY343" s="90"/>
      <c r="AZ343" s="90"/>
      <c r="BA343" s="90"/>
      <c r="BB343" s="90"/>
      <c r="BC343" s="90"/>
      <c r="BD343" s="90"/>
      <c r="BE343" s="90"/>
      <c r="BF343" s="90"/>
      <c r="BG343" s="90"/>
      <c r="BH343" s="90"/>
      <c r="BI343" s="90"/>
      <c r="BJ343" s="90"/>
      <c r="BK343" s="90"/>
      <c r="BL343" s="90"/>
      <c r="BM343" s="90"/>
      <c r="BN343" s="90"/>
      <c r="BO343" s="90"/>
      <c r="BP343" s="90"/>
    </row>
    <row r="344" ht="12.75" customHeight="1" outlineLevel="1">
      <c r="A344" s="90" t="s">
        <v>295</v>
      </c>
      <c r="C344" s="102" t="str">
        <f>'RSGen 1-7'!P$402</f>
        <v/>
      </c>
      <c r="D344" s="102" t="str">
        <f>OFFSET(RSGen_Walton!$G$361,0,ROW(C344)-ROW($C$336))</f>
        <v/>
      </c>
      <c r="E344" s="102" t="str">
        <f>OFFSET(RSGen_none!$G$361,0,ROW(D344)-ROW($C$336))</f>
        <v/>
      </c>
      <c r="F344" s="102"/>
      <c r="G344" s="102"/>
      <c r="H344" s="313"/>
      <c r="I344" s="313"/>
      <c r="J344" s="313"/>
      <c r="K344" s="306"/>
      <c r="L344" s="306"/>
      <c r="M344" s="306"/>
      <c r="N344" s="306"/>
      <c r="O344" s="306"/>
      <c r="P344" s="306"/>
      <c r="Q344" s="306"/>
      <c r="R344" s="306"/>
      <c r="S344" s="306"/>
      <c r="T344" s="306"/>
      <c r="U344" s="102">
        <f t="shared" ref="U344:V344" si="416">$C344*(U$15-3)</f>
        <v>0</v>
      </c>
      <c r="V344" s="102">
        <f t="shared" si="416"/>
        <v>0</v>
      </c>
      <c r="W344" s="102">
        <f t="shared" ref="W344:AV344" si="417">$C344*(4)+$D344*(W$15-7)</f>
        <v>0</v>
      </c>
      <c r="X344" s="102">
        <f t="shared" si="417"/>
        <v>0</v>
      </c>
      <c r="Y344" s="102">
        <f t="shared" si="417"/>
        <v>0</v>
      </c>
      <c r="Z344" s="102">
        <f t="shared" si="417"/>
        <v>0</v>
      </c>
      <c r="AA344" s="102">
        <f t="shared" si="417"/>
        <v>0</v>
      </c>
      <c r="AB344" s="102">
        <f t="shared" si="417"/>
        <v>0</v>
      </c>
      <c r="AC344" s="102">
        <f t="shared" si="417"/>
        <v>0</v>
      </c>
      <c r="AD344" s="102">
        <f t="shared" si="417"/>
        <v>0</v>
      </c>
      <c r="AE344" s="102">
        <f t="shared" si="417"/>
        <v>0</v>
      </c>
      <c r="AF344" s="102">
        <f t="shared" si="417"/>
        <v>0</v>
      </c>
      <c r="AG344" s="102">
        <f t="shared" si="417"/>
        <v>0</v>
      </c>
      <c r="AH344" s="102">
        <f t="shared" si="417"/>
        <v>0</v>
      </c>
      <c r="AI344" s="102">
        <f t="shared" si="417"/>
        <v>0</v>
      </c>
      <c r="AJ344" s="102">
        <f t="shared" si="417"/>
        <v>0</v>
      </c>
      <c r="AK344" s="102">
        <f t="shared" si="417"/>
        <v>0</v>
      </c>
      <c r="AL344" s="102">
        <f t="shared" si="417"/>
        <v>0</v>
      </c>
      <c r="AM344" s="102">
        <f t="shared" si="417"/>
        <v>0</v>
      </c>
      <c r="AN344" s="102">
        <f t="shared" si="417"/>
        <v>0</v>
      </c>
      <c r="AO344" s="102">
        <f t="shared" si="417"/>
        <v>0</v>
      </c>
      <c r="AP344" s="102">
        <f t="shared" si="417"/>
        <v>0</v>
      </c>
      <c r="AQ344" s="102">
        <f t="shared" si="417"/>
        <v>0</v>
      </c>
      <c r="AR344" s="102">
        <f t="shared" si="417"/>
        <v>0</v>
      </c>
      <c r="AS344" s="102">
        <f t="shared" si="417"/>
        <v>0</v>
      </c>
      <c r="AT344" s="102">
        <f t="shared" si="417"/>
        <v>0</v>
      </c>
      <c r="AU344" s="102">
        <f t="shared" si="417"/>
        <v>0</v>
      </c>
      <c r="AV344" s="102">
        <f t="shared" si="417"/>
        <v>0</v>
      </c>
      <c r="AW344" s="90"/>
      <c r="AX344" s="90"/>
      <c r="AY344" s="90"/>
      <c r="AZ344" s="90"/>
      <c r="BA344" s="90"/>
      <c r="BB344" s="90"/>
      <c r="BC344" s="90"/>
      <c r="BD344" s="90"/>
      <c r="BE344" s="90"/>
      <c r="BF344" s="90"/>
      <c r="BG344" s="90"/>
      <c r="BH344" s="90"/>
      <c r="BI344" s="90"/>
      <c r="BJ344" s="90"/>
      <c r="BK344" s="90"/>
      <c r="BL344" s="90"/>
      <c r="BM344" s="90"/>
      <c r="BN344" s="90"/>
      <c r="BO344" s="90"/>
      <c r="BP344" s="90"/>
    </row>
    <row r="345" ht="13.5" customHeight="1" outlineLevel="1">
      <c r="A345" s="143" t="str">
        <f>"Total "&amp;A335</f>
        <v>Total Depreciation</v>
      </c>
      <c r="B345" s="143"/>
      <c r="C345" s="309"/>
      <c r="D345" s="309"/>
      <c r="E345" s="309"/>
      <c r="F345" s="309"/>
      <c r="G345" s="309"/>
      <c r="H345" s="314"/>
      <c r="I345" s="314"/>
      <c r="J345" s="314"/>
      <c r="K345" s="311"/>
      <c r="L345" s="311"/>
      <c r="M345" s="307">
        <f t="shared" ref="M345:AV345" si="418">SUM(M336:M344)</f>
        <v>0</v>
      </c>
      <c r="N345" s="307">
        <f t="shared" si="418"/>
        <v>0</v>
      </c>
      <c r="O345" s="307">
        <f t="shared" si="418"/>
        <v>0</v>
      </c>
      <c r="P345" s="307">
        <f t="shared" si="418"/>
        <v>0</v>
      </c>
      <c r="Q345" s="307">
        <f t="shared" si="418"/>
        <v>0</v>
      </c>
      <c r="R345" s="307">
        <f t="shared" si="418"/>
        <v>0</v>
      </c>
      <c r="S345" s="307">
        <f t="shared" si="418"/>
        <v>0</v>
      </c>
      <c r="T345" s="309">
        <f t="shared" si="418"/>
        <v>0</v>
      </c>
      <c r="U345" s="309">
        <f t="shared" si="418"/>
        <v>0</v>
      </c>
      <c r="V345" s="309">
        <f t="shared" si="418"/>
        <v>0</v>
      </c>
      <c r="W345" s="309">
        <f t="shared" si="418"/>
        <v>0</v>
      </c>
      <c r="X345" s="309">
        <f t="shared" si="418"/>
        <v>0</v>
      </c>
      <c r="Y345" s="309">
        <f t="shared" si="418"/>
        <v>0</v>
      </c>
      <c r="Z345" s="309">
        <f t="shared" si="418"/>
        <v>0</v>
      </c>
      <c r="AA345" s="309">
        <f t="shared" si="418"/>
        <v>0</v>
      </c>
      <c r="AB345" s="309">
        <f t="shared" si="418"/>
        <v>0</v>
      </c>
      <c r="AC345" s="309">
        <f t="shared" si="418"/>
        <v>0</v>
      </c>
      <c r="AD345" s="309">
        <f t="shared" si="418"/>
        <v>0</v>
      </c>
      <c r="AE345" s="309">
        <f t="shared" si="418"/>
        <v>0</v>
      </c>
      <c r="AF345" s="309">
        <f t="shared" si="418"/>
        <v>0</v>
      </c>
      <c r="AG345" s="309">
        <f t="shared" si="418"/>
        <v>0</v>
      </c>
      <c r="AH345" s="309">
        <f t="shared" si="418"/>
        <v>0</v>
      </c>
      <c r="AI345" s="309">
        <f t="shared" si="418"/>
        <v>0</v>
      </c>
      <c r="AJ345" s="309">
        <f t="shared" si="418"/>
        <v>0</v>
      </c>
      <c r="AK345" s="309">
        <f t="shared" si="418"/>
        <v>0</v>
      </c>
      <c r="AL345" s="309">
        <f t="shared" si="418"/>
        <v>0</v>
      </c>
      <c r="AM345" s="309">
        <f t="shared" si="418"/>
        <v>0</v>
      </c>
      <c r="AN345" s="309">
        <f t="shared" si="418"/>
        <v>0</v>
      </c>
      <c r="AO345" s="309">
        <f t="shared" si="418"/>
        <v>0</v>
      </c>
      <c r="AP345" s="309" t="str">
        <f t="shared" si="418"/>
        <v>#REF!</v>
      </c>
      <c r="AQ345" s="309" t="str">
        <f t="shared" si="418"/>
        <v>#REF!</v>
      </c>
      <c r="AR345" s="309" t="str">
        <f t="shared" si="418"/>
        <v>#REF!</v>
      </c>
      <c r="AS345" s="309" t="str">
        <f t="shared" si="418"/>
        <v>#REF!</v>
      </c>
      <c r="AT345" s="309" t="str">
        <f t="shared" si="418"/>
        <v>#REF!</v>
      </c>
      <c r="AU345" s="309" t="str">
        <f t="shared" si="418"/>
        <v>#REF!</v>
      </c>
      <c r="AV345" s="309" t="str">
        <f t="shared" si="418"/>
        <v>#REF!</v>
      </c>
      <c r="AW345" s="90"/>
      <c r="AX345" s="90"/>
      <c r="AY345" s="90"/>
      <c r="AZ345" s="90"/>
      <c r="BA345" s="90"/>
      <c r="BB345" s="90"/>
      <c r="BC345" s="90"/>
      <c r="BD345" s="90"/>
      <c r="BE345" s="90"/>
      <c r="BF345" s="90"/>
      <c r="BG345" s="90"/>
      <c r="BH345" s="90"/>
      <c r="BI345" s="90"/>
      <c r="BJ345" s="90"/>
      <c r="BK345" s="90"/>
      <c r="BL345" s="90"/>
      <c r="BM345" s="90"/>
      <c r="BN345" s="90"/>
      <c r="BO345" s="90"/>
      <c r="BP345" s="90"/>
    </row>
    <row r="346" ht="13.5" customHeight="1" outlineLevel="1">
      <c r="A346" s="90"/>
      <c r="C346" s="102"/>
      <c r="D346" s="102"/>
      <c r="E346" s="102"/>
      <c r="F346" s="102"/>
      <c r="G346" s="102"/>
      <c r="K346" s="102"/>
      <c r="L346" s="102"/>
      <c r="M346" s="102"/>
      <c r="N346" s="102"/>
      <c r="O346" s="102"/>
      <c r="P346" s="102"/>
      <c r="Q346" s="102"/>
      <c r="R346" s="102"/>
      <c r="S346" s="102"/>
      <c r="T346" s="102"/>
      <c r="U346" s="102"/>
      <c r="V346" s="102"/>
      <c r="W346" s="102"/>
      <c r="X346" s="102"/>
      <c r="Y346" s="102"/>
      <c r="Z346" s="102"/>
      <c r="AA346" s="102"/>
      <c r="AB346" s="102"/>
      <c r="AC346" s="102"/>
      <c r="AD346" s="102"/>
      <c r="AE346" s="102"/>
      <c r="AF346" s="102"/>
      <c r="AG346" s="102"/>
      <c r="AH346" s="102"/>
      <c r="AI346" s="102"/>
      <c r="AJ346" s="102"/>
      <c r="AK346" s="102"/>
      <c r="AL346" s="102"/>
      <c r="AM346" s="102"/>
      <c r="AN346" s="102"/>
      <c r="AO346" s="102"/>
      <c r="AP346" s="102"/>
      <c r="AQ346" s="102"/>
      <c r="AR346" s="102"/>
      <c r="AS346" s="102"/>
      <c r="AT346" s="102"/>
      <c r="AU346" s="102"/>
      <c r="AV346" s="102"/>
      <c r="AW346" s="90"/>
      <c r="AX346" s="90"/>
      <c r="AY346" s="90"/>
      <c r="AZ346" s="90"/>
      <c r="BA346" s="90"/>
      <c r="BB346" s="90"/>
      <c r="BC346" s="90"/>
      <c r="BD346" s="90"/>
      <c r="BE346" s="90"/>
      <c r="BF346" s="90"/>
      <c r="BG346" s="90"/>
      <c r="BH346" s="90"/>
      <c r="BI346" s="90"/>
      <c r="BJ346" s="90"/>
      <c r="BK346" s="90"/>
      <c r="BL346" s="90"/>
      <c r="BM346" s="90"/>
      <c r="BN346" s="90"/>
      <c r="BO346" s="90"/>
      <c r="BP346" s="90"/>
    </row>
    <row r="347" ht="12.75" customHeight="1" outlineLevel="1">
      <c r="A347" s="90"/>
      <c r="C347" s="102"/>
      <c r="D347" s="102"/>
      <c r="E347" s="102"/>
      <c r="F347" s="102"/>
      <c r="G347" s="102"/>
      <c r="K347" s="102"/>
      <c r="L347" s="102"/>
      <c r="M347" s="102"/>
      <c r="N347" s="102"/>
      <c r="O347" s="102"/>
      <c r="P347" s="102"/>
      <c r="Q347" s="102"/>
      <c r="R347" s="102"/>
      <c r="S347" s="102"/>
      <c r="T347" s="102"/>
      <c r="U347" s="102"/>
      <c r="V347" s="102"/>
      <c r="W347" s="102"/>
      <c r="X347" s="102"/>
      <c r="Y347" s="102"/>
      <c r="Z347" s="102"/>
      <c r="AA347" s="102"/>
      <c r="AB347" s="102"/>
      <c r="AC347" s="102"/>
      <c r="AD347" s="102"/>
      <c r="AE347" s="102"/>
      <c r="AF347" s="102"/>
      <c r="AG347" s="102"/>
      <c r="AH347" s="102"/>
      <c r="AI347" s="102"/>
      <c r="AJ347" s="102"/>
      <c r="AK347" s="102"/>
      <c r="AL347" s="102"/>
      <c r="AM347" s="102"/>
      <c r="AN347" s="102"/>
      <c r="AO347" s="102"/>
      <c r="AP347" s="102"/>
      <c r="AQ347" s="102"/>
      <c r="AR347" s="102"/>
      <c r="AS347" s="102"/>
      <c r="AT347" s="102"/>
      <c r="AU347" s="102"/>
      <c r="AV347" s="102"/>
      <c r="AW347" s="90"/>
      <c r="AX347" s="90"/>
      <c r="AY347" s="90"/>
      <c r="AZ347" s="90"/>
      <c r="BA347" s="90"/>
      <c r="BB347" s="90"/>
      <c r="BC347" s="90"/>
      <c r="BD347" s="90"/>
      <c r="BE347" s="90"/>
      <c r="BF347" s="90"/>
      <c r="BG347" s="90"/>
      <c r="BH347" s="90"/>
      <c r="BI347" s="90"/>
      <c r="BJ347" s="90"/>
      <c r="BK347" s="90"/>
      <c r="BL347" s="90"/>
      <c r="BM347" s="90"/>
      <c r="BN347" s="90"/>
      <c r="BO347" s="90"/>
      <c r="BP347" s="90"/>
    </row>
    <row r="348" ht="12.75" customHeight="1" outlineLevel="1">
      <c r="A348" s="90" t="s">
        <v>248</v>
      </c>
      <c r="C348" s="102"/>
      <c r="D348" s="102"/>
      <c r="E348" s="102"/>
      <c r="F348" s="102"/>
      <c r="G348" s="102"/>
      <c r="K348" s="102"/>
      <c r="L348" s="102"/>
      <c r="M348" s="102"/>
      <c r="N348" s="102"/>
      <c r="O348" s="102"/>
      <c r="P348" s="102"/>
      <c r="Q348" s="102"/>
      <c r="R348" s="102"/>
      <c r="S348" s="102"/>
      <c r="T348" s="102"/>
      <c r="U348" s="102"/>
      <c r="V348" s="102"/>
      <c r="W348" s="102"/>
      <c r="X348" s="102"/>
      <c r="Y348" s="102"/>
      <c r="Z348" s="102"/>
      <c r="AA348" s="102"/>
      <c r="AB348" s="102"/>
      <c r="AC348" s="102"/>
      <c r="AD348" s="102"/>
      <c r="AE348" s="102"/>
      <c r="AF348" s="102"/>
      <c r="AG348" s="102"/>
      <c r="AH348" s="102"/>
      <c r="AI348" s="102"/>
      <c r="AJ348" s="102"/>
      <c r="AK348" s="102"/>
      <c r="AL348" s="102"/>
      <c r="AM348" s="102"/>
      <c r="AN348" s="102"/>
      <c r="AO348" s="102"/>
      <c r="AP348" s="102"/>
      <c r="AQ348" s="102"/>
      <c r="AR348" s="102"/>
      <c r="AS348" s="102"/>
      <c r="AT348" s="102"/>
      <c r="AU348" s="102"/>
      <c r="AV348" s="102"/>
      <c r="AW348" s="90"/>
      <c r="AX348" s="90"/>
      <c r="AY348" s="90"/>
      <c r="AZ348" s="90"/>
      <c r="BA348" s="90"/>
      <c r="BB348" s="90"/>
      <c r="BC348" s="90"/>
      <c r="BD348" s="90"/>
      <c r="BE348" s="90"/>
      <c r="BF348" s="90"/>
      <c r="BG348" s="90"/>
      <c r="BH348" s="90"/>
      <c r="BI348" s="90"/>
      <c r="BJ348" s="90"/>
      <c r="BK348" s="90"/>
      <c r="BL348" s="90"/>
      <c r="BM348" s="90"/>
      <c r="BN348" s="90"/>
      <c r="BO348" s="90"/>
      <c r="BP348" s="90"/>
    </row>
    <row r="349" ht="12.75" customHeight="1" outlineLevel="1">
      <c r="A349" s="90" t="s">
        <v>287</v>
      </c>
      <c r="C349" s="102">
        <f>OFFSET('RSGen 1-7'!$H$476,0,ROW(A349)-ROW($A$349))</f>
        <v>0</v>
      </c>
      <c r="D349" s="102">
        <f>OFFSET(RSGen_Walton!$G$476,0,ROW(C349)-ROW($C$349))</f>
        <v>0</v>
      </c>
      <c r="E349" s="102">
        <f>OFFSET(RSGen_none!$G$476,0,ROW(D349)-ROW($C$349))</f>
        <v>0</v>
      </c>
      <c r="F349" s="102"/>
      <c r="G349" s="102"/>
      <c r="H349" s="313"/>
      <c r="I349" s="313"/>
      <c r="J349" s="313"/>
      <c r="K349" s="306"/>
      <c r="L349" s="306"/>
      <c r="M349" s="102">
        <f>$C349*M$7</f>
        <v>0</v>
      </c>
      <c r="N349" s="102">
        <f t="shared" ref="N349:AV349" si="419">$D349*N$7</f>
        <v>0</v>
      </c>
      <c r="O349" s="102">
        <f t="shared" si="419"/>
        <v>0</v>
      </c>
      <c r="P349" s="102">
        <f t="shared" si="419"/>
        <v>0</v>
      </c>
      <c r="Q349" s="102">
        <f t="shared" si="419"/>
        <v>0</v>
      </c>
      <c r="R349" s="102">
        <f t="shared" si="419"/>
        <v>0</v>
      </c>
      <c r="S349" s="102">
        <f t="shared" si="419"/>
        <v>0</v>
      </c>
      <c r="T349" s="102">
        <f t="shared" si="419"/>
        <v>0</v>
      </c>
      <c r="U349" s="102">
        <f t="shared" si="419"/>
        <v>0</v>
      </c>
      <c r="V349" s="102">
        <f t="shared" si="419"/>
        <v>0</v>
      </c>
      <c r="W349" s="102">
        <f t="shared" si="419"/>
        <v>0</v>
      </c>
      <c r="X349" s="102">
        <f t="shared" si="419"/>
        <v>0</v>
      </c>
      <c r="Y349" s="102">
        <f t="shared" si="419"/>
        <v>0</v>
      </c>
      <c r="Z349" s="102">
        <f t="shared" si="419"/>
        <v>0</v>
      </c>
      <c r="AA349" s="102">
        <f t="shared" si="419"/>
        <v>0</v>
      </c>
      <c r="AB349" s="102">
        <f t="shared" si="419"/>
        <v>0</v>
      </c>
      <c r="AC349" s="102">
        <f t="shared" si="419"/>
        <v>0</v>
      </c>
      <c r="AD349" s="102">
        <f t="shared" si="419"/>
        <v>0</v>
      </c>
      <c r="AE349" s="102">
        <f t="shared" si="419"/>
        <v>0</v>
      </c>
      <c r="AF349" s="102">
        <f t="shared" si="419"/>
        <v>0</v>
      </c>
      <c r="AG349" s="102">
        <f t="shared" si="419"/>
        <v>0</v>
      </c>
      <c r="AH349" s="102">
        <f t="shared" si="419"/>
        <v>0</v>
      </c>
      <c r="AI349" s="102">
        <f t="shared" si="419"/>
        <v>0</v>
      </c>
      <c r="AJ349" s="102">
        <f t="shared" si="419"/>
        <v>0</v>
      </c>
      <c r="AK349" s="102">
        <f t="shared" si="419"/>
        <v>0</v>
      </c>
      <c r="AL349" s="102">
        <f t="shared" si="419"/>
        <v>0</v>
      </c>
      <c r="AM349" s="102">
        <f t="shared" si="419"/>
        <v>0</v>
      </c>
      <c r="AN349" s="102">
        <f t="shared" si="419"/>
        <v>0</v>
      </c>
      <c r="AO349" s="102">
        <f t="shared" si="419"/>
        <v>0</v>
      </c>
      <c r="AP349" s="102" t="str">
        <f t="shared" si="419"/>
        <v>#REF!</v>
      </c>
      <c r="AQ349" s="102" t="str">
        <f t="shared" si="419"/>
        <v>#REF!</v>
      </c>
      <c r="AR349" s="102" t="str">
        <f t="shared" si="419"/>
        <v>#REF!</v>
      </c>
      <c r="AS349" s="102" t="str">
        <f t="shared" si="419"/>
        <v>#REF!</v>
      </c>
      <c r="AT349" s="102" t="str">
        <f t="shared" si="419"/>
        <v>#REF!</v>
      </c>
      <c r="AU349" s="102">
        <f t="shared" si="419"/>
        <v>0</v>
      </c>
      <c r="AV349" s="102">
        <f t="shared" si="419"/>
        <v>0</v>
      </c>
      <c r="AW349" s="90"/>
      <c r="AX349" s="90"/>
      <c r="AY349" s="90"/>
      <c r="AZ349" s="90"/>
      <c r="BA349" s="90"/>
      <c r="BB349" s="90"/>
      <c r="BC349" s="90"/>
      <c r="BD349" s="90"/>
      <c r="BE349" s="90"/>
      <c r="BF349" s="90"/>
      <c r="BG349" s="90"/>
      <c r="BH349" s="90"/>
      <c r="BI349" s="90"/>
      <c r="BJ349" s="90"/>
      <c r="BK349" s="90"/>
      <c r="BL349" s="90"/>
      <c r="BM349" s="90"/>
      <c r="BN349" s="90"/>
      <c r="BO349" s="90"/>
      <c r="BP349" s="90"/>
    </row>
    <row r="350" ht="12.75" customHeight="1" outlineLevel="1">
      <c r="A350" s="90" t="s">
        <v>288</v>
      </c>
      <c r="C350" s="102">
        <f>OFFSET('RSGen 1-7'!$H$476,0,ROW(A350)-ROW($A$349))</f>
        <v>0</v>
      </c>
      <c r="D350" s="102">
        <f>OFFSET(RSGen_Walton!$G$476,0,ROW(C350)-ROW($C$349))</f>
        <v>0</v>
      </c>
      <c r="E350" s="102">
        <f>OFFSET(RSGen_none!$G$476,0,ROW(D350)-ROW($C$349))</f>
        <v>0</v>
      </c>
      <c r="F350" s="102"/>
      <c r="G350" s="102"/>
      <c r="H350" s="313"/>
      <c r="I350" s="313"/>
      <c r="J350" s="313"/>
      <c r="K350" s="306"/>
      <c r="L350" s="306"/>
      <c r="M350" s="306"/>
      <c r="N350" s="102">
        <f t="shared" ref="N350:O350" si="420">$C350*N$8</f>
        <v>0</v>
      </c>
      <c r="O350" s="102">
        <f t="shared" si="420"/>
        <v>0</v>
      </c>
      <c r="P350" s="102">
        <f t="shared" ref="P350:AV350" si="421">$D350*P$8</f>
        <v>0</v>
      </c>
      <c r="Q350" s="102">
        <f t="shared" si="421"/>
        <v>0</v>
      </c>
      <c r="R350" s="102">
        <f t="shared" si="421"/>
        <v>0</v>
      </c>
      <c r="S350" s="102">
        <f t="shared" si="421"/>
        <v>0</v>
      </c>
      <c r="T350" s="102">
        <f t="shared" si="421"/>
        <v>0</v>
      </c>
      <c r="U350" s="102">
        <f t="shared" si="421"/>
        <v>0</v>
      </c>
      <c r="V350" s="102">
        <f t="shared" si="421"/>
        <v>0</v>
      </c>
      <c r="W350" s="102">
        <f t="shared" si="421"/>
        <v>0</v>
      </c>
      <c r="X350" s="102">
        <f t="shared" si="421"/>
        <v>0</v>
      </c>
      <c r="Y350" s="102">
        <f t="shared" si="421"/>
        <v>0</v>
      </c>
      <c r="Z350" s="102">
        <f t="shared" si="421"/>
        <v>0</v>
      </c>
      <c r="AA350" s="102">
        <f t="shared" si="421"/>
        <v>0</v>
      </c>
      <c r="AB350" s="102">
        <f t="shared" si="421"/>
        <v>0</v>
      </c>
      <c r="AC350" s="102">
        <f t="shared" si="421"/>
        <v>0</v>
      </c>
      <c r="AD350" s="102">
        <f t="shared" si="421"/>
        <v>0</v>
      </c>
      <c r="AE350" s="102">
        <f t="shared" si="421"/>
        <v>0</v>
      </c>
      <c r="AF350" s="102">
        <f t="shared" si="421"/>
        <v>0</v>
      </c>
      <c r="AG350" s="102">
        <f t="shared" si="421"/>
        <v>0</v>
      </c>
      <c r="AH350" s="102">
        <f t="shared" si="421"/>
        <v>0</v>
      </c>
      <c r="AI350" s="102">
        <f t="shared" si="421"/>
        <v>0</v>
      </c>
      <c r="AJ350" s="102">
        <f t="shared" si="421"/>
        <v>0</v>
      </c>
      <c r="AK350" s="102">
        <f t="shared" si="421"/>
        <v>0</v>
      </c>
      <c r="AL350" s="102">
        <f t="shared" si="421"/>
        <v>0</v>
      </c>
      <c r="AM350" s="102">
        <f t="shared" si="421"/>
        <v>0</v>
      </c>
      <c r="AN350" s="102">
        <f t="shared" si="421"/>
        <v>0</v>
      </c>
      <c r="AO350" s="102">
        <f t="shared" si="421"/>
        <v>0</v>
      </c>
      <c r="AP350" s="102">
        <f t="shared" si="421"/>
        <v>0</v>
      </c>
      <c r="AQ350" s="102" t="str">
        <f t="shared" si="421"/>
        <v>#REF!</v>
      </c>
      <c r="AR350" s="102" t="str">
        <f t="shared" si="421"/>
        <v>#REF!</v>
      </c>
      <c r="AS350" s="102" t="str">
        <f t="shared" si="421"/>
        <v>#REF!</v>
      </c>
      <c r="AT350" s="102" t="str">
        <f t="shared" si="421"/>
        <v>#REF!</v>
      </c>
      <c r="AU350" s="102" t="str">
        <f t="shared" si="421"/>
        <v>#REF!</v>
      </c>
      <c r="AV350" s="102">
        <f t="shared" si="421"/>
        <v>0</v>
      </c>
      <c r="AW350" s="90"/>
      <c r="AX350" s="90"/>
      <c r="AY350" s="90"/>
      <c r="AZ350" s="90"/>
      <c r="BA350" s="90"/>
      <c r="BB350" s="90"/>
      <c r="BC350" s="90"/>
      <c r="BD350" s="90"/>
      <c r="BE350" s="90"/>
      <c r="BF350" s="90"/>
      <c r="BG350" s="90"/>
      <c r="BH350" s="90"/>
      <c r="BI350" s="90"/>
      <c r="BJ350" s="90"/>
      <c r="BK350" s="90"/>
      <c r="BL350" s="90"/>
      <c r="BM350" s="90"/>
      <c r="BN350" s="90"/>
      <c r="BO350" s="90"/>
      <c r="BP350" s="90"/>
    </row>
    <row r="351" ht="12.75" customHeight="1" outlineLevel="1">
      <c r="A351" s="90" t="s">
        <v>289</v>
      </c>
      <c r="C351" s="102">
        <f>OFFSET('RSGen 1-7'!$H$476,0,ROW(A351)-ROW($A$349))</f>
        <v>0</v>
      </c>
      <c r="D351" s="102">
        <f>OFFSET(RSGen_Walton!$G$476,0,ROW(C351)-ROW($C$349))</f>
        <v>0</v>
      </c>
      <c r="E351" s="102">
        <f>OFFSET(RSGen_none!$G$476,0,ROW(D351)-ROW($C$349))</f>
        <v>0</v>
      </c>
      <c r="F351" s="102"/>
      <c r="G351" s="102"/>
      <c r="H351" s="313"/>
      <c r="I351" s="313"/>
      <c r="J351" s="313"/>
      <c r="K351" s="306"/>
      <c r="L351" s="306"/>
      <c r="M351" s="306"/>
      <c r="N351" s="306"/>
      <c r="O351" s="102">
        <f t="shared" ref="O351:P351" si="422">$C351*O$9</f>
        <v>0</v>
      </c>
      <c r="P351" s="102">
        <f t="shared" si="422"/>
        <v>0</v>
      </c>
      <c r="Q351" s="102">
        <f t="shared" ref="Q351:AV351" si="423">$D351*Q$9</f>
        <v>0</v>
      </c>
      <c r="R351" s="102">
        <f t="shared" si="423"/>
        <v>0</v>
      </c>
      <c r="S351" s="102">
        <f t="shared" si="423"/>
        <v>0</v>
      </c>
      <c r="T351" s="102">
        <f t="shared" si="423"/>
        <v>0</v>
      </c>
      <c r="U351" s="102">
        <f t="shared" si="423"/>
        <v>0</v>
      </c>
      <c r="V351" s="102">
        <f t="shared" si="423"/>
        <v>0</v>
      </c>
      <c r="W351" s="102">
        <f t="shared" si="423"/>
        <v>0</v>
      </c>
      <c r="X351" s="102">
        <f t="shared" si="423"/>
        <v>0</v>
      </c>
      <c r="Y351" s="102">
        <f t="shared" si="423"/>
        <v>0</v>
      </c>
      <c r="Z351" s="102">
        <f t="shared" si="423"/>
        <v>0</v>
      </c>
      <c r="AA351" s="102">
        <f t="shared" si="423"/>
        <v>0</v>
      </c>
      <c r="AB351" s="102">
        <f t="shared" si="423"/>
        <v>0</v>
      </c>
      <c r="AC351" s="102">
        <f t="shared" si="423"/>
        <v>0</v>
      </c>
      <c r="AD351" s="102">
        <f t="shared" si="423"/>
        <v>0</v>
      </c>
      <c r="AE351" s="102">
        <f t="shared" si="423"/>
        <v>0</v>
      </c>
      <c r="AF351" s="102">
        <f t="shared" si="423"/>
        <v>0</v>
      </c>
      <c r="AG351" s="102">
        <f t="shared" si="423"/>
        <v>0</v>
      </c>
      <c r="AH351" s="102">
        <f t="shared" si="423"/>
        <v>0</v>
      </c>
      <c r="AI351" s="102">
        <f t="shared" si="423"/>
        <v>0</v>
      </c>
      <c r="AJ351" s="102">
        <f t="shared" si="423"/>
        <v>0</v>
      </c>
      <c r="AK351" s="102">
        <f t="shared" si="423"/>
        <v>0</v>
      </c>
      <c r="AL351" s="102">
        <f t="shared" si="423"/>
        <v>0</v>
      </c>
      <c r="AM351" s="102">
        <f t="shared" si="423"/>
        <v>0</v>
      </c>
      <c r="AN351" s="102">
        <f t="shared" si="423"/>
        <v>0</v>
      </c>
      <c r="AO351" s="102">
        <f t="shared" si="423"/>
        <v>0</v>
      </c>
      <c r="AP351" s="102">
        <f t="shared" si="423"/>
        <v>0</v>
      </c>
      <c r="AQ351" s="102">
        <f t="shared" si="423"/>
        <v>0</v>
      </c>
      <c r="AR351" s="102" t="str">
        <f t="shared" si="423"/>
        <v>#REF!</v>
      </c>
      <c r="AS351" s="102" t="str">
        <f t="shared" si="423"/>
        <v>#REF!</v>
      </c>
      <c r="AT351" s="102" t="str">
        <f t="shared" si="423"/>
        <v>#REF!</v>
      </c>
      <c r="AU351" s="102" t="str">
        <f t="shared" si="423"/>
        <v>#REF!</v>
      </c>
      <c r="AV351" s="102" t="str">
        <f t="shared" si="423"/>
        <v>#REF!</v>
      </c>
      <c r="AW351" s="90"/>
      <c r="AX351" s="90"/>
      <c r="AY351" s="90"/>
      <c r="AZ351" s="90"/>
      <c r="BA351" s="90"/>
      <c r="BB351" s="90"/>
      <c r="BC351" s="90"/>
      <c r="BD351" s="90"/>
      <c r="BE351" s="90"/>
      <c r="BF351" s="90"/>
      <c r="BG351" s="90"/>
      <c r="BH351" s="90"/>
      <c r="BI351" s="90"/>
      <c r="BJ351" s="90"/>
      <c r="BK351" s="90"/>
      <c r="BL351" s="90"/>
      <c r="BM351" s="90"/>
      <c r="BN351" s="90"/>
      <c r="BO351" s="90"/>
      <c r="BP351" s="90"/>
    </row>
    <row r="352" ht="12.75" customHeight="1" outlineLevel="1">
      <c r="A352" s="90" t="s">
        <v>290</v>
      </c>
      <c r="C352" s="102">
        <f>OFFSET('RSGen 1-7'!$H$476,0,ROW(A352)-ROW($A$349))</f>
        <v>0</v>
      </c>
      <c r="D352" s="102">
        <f>OFFSET(RSGen_Walton!$G$476,0,ROW(C352)-ROW($C$349))</f>
        <v>0</v>
      </c>
      <c r="E352" s="102">
        <f>OFFSET(RSGen_none!$G$476,0,ROW(D352)-ROW($C$349))</f>
        <v>0</v>
      </c>
      <c r="F352" s="102"/>
      <c r="G352" s="102"/>
      <c r="H352" s="313"/>
      <c r="I352" s="313"/>
      <c r="J352" s="313"/>
      <c r="K352" s="306"/>
      <c r="L352" s="306"/>
      <c r="M352" s="306"/>
      <c r="N352" s="306"/>
      <c r="O352" s="306"/>
      <c r="P352" s="102">
        <f t="shared" ref="P352:Q352" si="424">$C352*P$10</f>
        <v>0</v>
      </c>
      <c r="Q352" s="102">
        <f t="shared" si="424"/>
        <v>0</v>
      </c>
      <c r="R352" s="102">
        <f t="shared" ref="R352:AV352" si="425">$D352*R$10</f>
        <v>0</v>
      </c>
      <c r="S352" s="102">
        <f t="shared" si="425"/>
        <v>0</v>
      </c>
      <c r="T352" s="102">
        <f t="shared" si="425"/>
        <v>0</v>
      </c>
      <c r="U352" s="102">
        <f t="shared" si="425"/>
        <v>0</v>
      </c>
      <c r="V352" s="102">
        <f t="shared" si="425"/>
        <v>0</v>
      </c>
      <c r="W352" s="102">
        <f t="shared" si="425"/>
        <v>0</v>
      </c>
      <c r="X352" s="102">
        <f t="shared" si="425"/>
        <v>0</v>
      </c>
      <c r="Y352" s="102">
        <f t="shared" si="425"/>
        <v>0</v>
      </c>
      <c r="Z352" s="102">
        <f t="shared" si="425"/>
        <v>0</v>
      </c>
      <c r="AA352" s="102">
        <f t="shared" si="425"/>
        <v>0</v>
      </c>
      <c r="AB352" s="102">
        <f t="shared" si="425"/>
        <v>0</v>
      </c>
      <c r="AC352" s="102">
        <f t="shared" si="425"/>
        <v>0</v>
      </c>
      <c r="AD352" s="102">
        <f t="shared" si="425"/>
        <v>0</v>
      </c>
      <c r="AE352" s="102">
        <f t="shared" si="425"/>
        <v>0</v>
      </c>
      <c r="AF352" s="102">
        <f t="shared" si="425"/>
        <v>0</v>
      </c>
      <c r="AG352" s="102">
        <f t="shared" si="425"/>
        <v>0</v>
      </c>
      <c r="AH352" s="102">
        <f t="shared" si="425"/>
        <v>0</v>
      </c>
      <c r="AI352" s="102">
        <f t="shared" si="425"/>
        <v>0</v>
      </c>
      <c r="AJ352" s="102">
        <f t="shared" si="425"/>
        <v>0</v>
      </c>
      <c r="AK352" s="102">
        <f t="shared" si="425"/>
        <v>0</v>
      </c>
      <c r="AL352" s="102">
        <f t="shared" si="425"/>
        <v>0</v>
      </c>
      <c r="AM352" s="102">
        <f t="shared" si="425"/>
        <v>0</v>
      </c>
      <c r="AN352" s="102">
        <f t="shared" si="425"/>
        <v>0</v>
      </c>
      <c r="AO352" s="102">
        <f t="shared" si="425"/>
        <v>0</v>
      </c>
      <c r="AP352" s="102">
        <f t="shared" si="425"/>
        <v>0</v>
      </c>
      <c r="AQ352" s="102">
        <f t="shared" si="425"/>
        <v>0</v>
      </c>
      <c r="AR352" s="102">
        <f t="shared" si="425"/>
        <v>0</v>
      </c>
      <c r="AS352" s="102" t="str">
        <f t="shared" si="425"/>
        <v>#REF!</v>
      </c>
      <c r="AT352" s="102" t="str">
        <f t="shared" si="425"/>
        <v>#REF!</v>
      </c>
      <c r="AU352" s="102" t="str">
        <f t="shared" si="425"/>
        <v>#REF!</v>
      </c>
      <c r="AV352" s="102" t="str">
        <f t="shared" si="425"/>
        <v>#REF!</v>
      </c>
      <c r="AW352" s="90"/>
      <c r="AX352" s="90"/>
      <c r="AY352" s="90"/>
      <c r="AZ352" s="90"/>
      <c r="BA352" s="90"/>
      <c r="BB352" s="90"/>
      <c r="BC352" s="90"/>
      <c r="BD352" s="90"/>
      <c r="BE352" s="90"/>
      <c r="BF352" s="90"/>
      <c r="BG352" s="90"/>
      <c r="BH352" s="90"/>
      <c r="BI352" s="90"/>
      <c r="BJ352" s="90"/>
      <c r="BK352" s="90"/>
      <c r="BL352" s="90"/>
      <c r="BM352" s="90"/>
      <c r="BN352" s="90"/>
      <c r="BO352" s="90"/>
      <c r="BP352" s="90"/>
    </row>
    <row r="353" ht="12.75" customHeight="1" outlineLevel="1">
      <c r="A353" s="90" t="s">
        <v>291</v>
      </c>
      <c r="C353" s="102">
        <f>OFFSET('RSGen 1-7'!$H$476,0,ROW(A353)-ROW($A$349))</f>
        <v>0</v>
      </c>
      <c r="D353" s="102">
        <f>OFFSET(RSGen_Walton!$G$476,0,ROW(C353)-ROW($C$349))</f>
        <v>0</v>
      </c>
      <c r="E353" s="102">
        <f>OFFSET(RSGen_none!$G$476,0,ROW(D353)-ROW($C$349))</f>
        <v>0</v>
      </c>
      <c r="F353" s="102"/>
      <c r="G353" s="102"/>
      <c r="H353" s="313"/>
      <c r="I353" s="313"/>
      <c r="J353" s="313"/>
      <c r="K353" s="306"/>
      <c r="L353" s="306"/>
      <c r="M353" s="306"/>
      <c r="N353" s="306"/>
      <c r="O353" s="306"/>
      <c r="P353" s="306"/>
      <c r="Q353" s="102">
        <f t="shared" ref="Q353:R353" si="426">$C353*Q$11</f>
        <v>0</v>
      </c>
      <c r="R353" s="102">
        <f t="shared" si="426"/>
        <v>0</v>
      </c>
      <c r="S353" s="102">
        <f t="shared" ref="S353:AV353" si="427">$D353*S$11</f>
        <v>0</v>
      </c>
      <c r="T353" s="102">
        <f t="shared" si="427"/>
        <v>0</v>
      </c>
      <c r="U353" s="102">
        <f t="shared" si="427"/>
        <v>0</v>
      </c>
      <c r="V353" s="102">
        <f t="shared" si="427"/>
        <v>0</v>
      </c>
      <c r="W353" s="102">
        <f t="shared" si="427"/>
        <v>0</v>
      </c>
      <c r="X353" s="102">
        <f t="shared" si="427"/>
        <v>0</v>
      </c>
      <c r="Y353" s="102">
        <f t="shared" si="427"/>
        <v>0</v>
      </c>
      <c r="Z353" s="102">
        <f t="shared" si="427"/>
        <v>0</v>
      </c>
      <c r="AA353" s="102">
        <f t="shared" si="427"/>
        <v>0</v>
      </c>
      <c r="AB353" s="102">
        <f t="shared" si="427"/>
        <v>0</v>
      </c>
      <c r="AC353" s="102">
        <f t="shared" si="427"/>
        <v>0</v>
      </c>
      <c r="AD353" s="102">
        <f t="shared" si="427"/>
        <v>0</v>
      </c>
      <c r="AE353" s="102">
        <f t="shared" si="427"/>
        <v>0</v>
      </c>
      <c r="AF353" s="102">
        <f t="shared" si="427"/>
        <v>0</v>
      </c>
      <c r="AG353" s="102">
        <f t="shared" si="427"/>
        <v>0</v>
      </c>
      <c r="AH353" s="102">
        <f t="shared" si="427"/>
        <v>0</v>
      </c>
      <c r="AI353" s="102">
        <f t="shared" si="427"/>
        <v>0</v>
      </c>
      <c r="AJ353" s="102">
        <f t="shared" si="427"/>
        <v>0</v>
      </c>
      <c r="AK353" s="102">
        <f t="shared" si="427"/>
        <v>0</v>
      </c>
      <c r="AL353" s="102">
        <f t="shared" si="427"/>
        <v>0</v>
      </c>
      <c r="AM353" s="102">
        <f t="shared" si="427"/>
        <v>0</v>
      </c>
      <c r="AN353" s="102">
        <f t="shared" si="427"/>
        <v>0</v>
      </c>
      <c r="AO353" s="102">
        <f t="shared" si="427"/>
        <v>0</v>
      </c>
      <c r="AP353" s="102">
        <f t="shared" si="427"/>
        <v>0</v>
      </c>
      <c r="AQ353" s="102">
        <f t="shared" si="427"/>
        <v>0</v>
      </c>
      <c r="AR353" s="102">
        <f t="shared" si="427"/>
        <v>0</v>
      </c>
      <c r="AS353" s="102">
        <f t="shared" si="427"/>
        <v>0</v>
      </c>
      <c r="AT353" s="102" t="str">
        <f t="shared" si="427"/>
        <v>#REF!</v>
      </c>
      <c r="AU353" s="102" t="str">
        <f t="shared" si="427"/>
        <v>#REF!</v>
      </c>
      <c r="AV353" s="102" t="str">
        <f t="shared" si="427"/>
        <v>#REF!</v>
      </c>
      <c r="AW353" s="90"/>
      <c r="AX353" s="90"/>
      <c r="AY353" s="90"/>
      <c r="AZ353" s="90"/>
      <c r="BA353" s="90"/>
      <c r="BB353" s="90"/>
      <c r="BC353" s="90"/>
      <c r="BD353" s="90"/>
      <c r="BE353" s="90"/>
      <c r="BF353" s="90"/>
      <c r="BG353" s="90"/>
      <c r="BH353" s="90"/>
      <c r="BI353" s="90"/>
      <c r="BJ353" s="90"/>
      <c r="BK353" s="90"/>
      <c r="BL353" s="90"/>
      <c r="BM353" s="90"/>
      <c r="BN353" s="90"/>
      <c r="BO353" s="90"/>
      <c r="BP353" s="90"/>
    </row>
    <row r="354" ht="12.75" customHeight="1" outlineLevel="1">
      <c r="A354" s="90" t="s">
        <v>292</v>
      </c>
      <c r="C354" s="102">
        <f>OFFSET('RSGen 1-7'!$H$476,0,ROW(A354)-ROW($A$349))</f>
        <v>0</v>
      </c>
      <c r="D354" s="102">
        <f>OFFSET(RSGen_Walton!$G$476,0,ROW(C354)-ROW($C$349))</f>
        <v>0</v>
      </c>
      <c r="E354" s="102">
        <f>OFFSET(RSGen_none!$G$476,0,ROW(D354)-ROW($C$349))</f>
        <v>0</v>
      </c>
      <c r="F354" s="102"/>
      <c r="G354" s="102"/>
      <c r="H354" s="313"/>
      <c r="I354" s="313"/>
      <c r="J354" s="313"/>
      <c r="K354" s="306"/>
      <c r="L354" s="306"/>
      <c r="M354" s="306"/>
      <c r="N354" s="306"/>
      <c r="O354" s="306"/>
      <c r="P354" s="306"/>
      <c r="Q354" s="306"/>
      <c r="R354" s="102">
        <f t="shared" ref="R354:S354" si="428">$C354*R$12</f>
        <v>0</v>
      </c>
      <c r="S354" s="102">
        <f t="shared" si="428"/>
        <v>0</v>
      </c>
      <c r="T354" s="102">
        <f t="shared" ref="T354:AV354" si="429">$D354*T$12</f>
        <v>0</v>
      </c>
      <c r="U354" s="102">
        <f t="shared" si="429"/>
        <v>0</v>
      </c>
      <c r="V354" s="102">
        <f t="shared" si="429"/>
        <v>0</v>
      </c>
      <c r="W354" s="102">
        <f t="shared" si="429"/>
        <v>0</v>
      </c>
      <c r="X354" s="102">
        <f t="shared" si="429"/>
        <v>0</v>
      </c>
      <c r="Y354" s="102">
        <f t="shared" si="429"/>
        <v>0</v>
      </c>
      <c r="Z354" s="102">
        <f t="shared" si="429"/>
        <v>0</v>
      </c>
      <c r="AA354" s="102">
        <f t="shared" si="429"/>
        <v>0</v>
      </c>
      <c r="AB354" s="102">
        <f t="shared" si="429"/>
        <v>0</v>
      </c>
      <c r="AC354" s="102">
        <f t="shared" si="429"/>
        <v>0</v>
      </c>
      <c r="AD354" s="102">
        <f t="shared" si="429"/>
        <v>0</v>
      </c>
      <c r="AE354" s="102">
        <f t="shared" si="429"/>
        <v>0</v>
      </c>
      <c r="AF354" s="102">
        <f t="shared" si="429"/>
        <v>0</v>
      </c>
      <c r="AG354" s="102">
        <f t="shared" si="429"/>
        <v>0</v>
      </c>
      <c r="AH354" s="102">
        <f t="shared" si="429"/>
        <v>0</v>
      </c>
      <c r="AI354" s="102">
        <f t="shared" si="429"/>
        <v>0</v>
      </c>
      <c r="AJ354" s="102">
        <f t="shared" si="429"/>
        <v>0</v>
      </c>
      <c r="AK354" s="102">
        <f t="shared" si="429"/>
        <v>0</v>
      </c>
      <c r="AL354" s="102">
        <f t="shared" si="429"/>
        <v>0</v>
      </c>
      <c r="AM354" s="102">
        <f t="shared" si="429"/>
        <v>0</v>
      </c>
      <c r="AN354" s="102">
        <f t="shared" si="429"/>
        <v>0</v>
      </c>
      <c r="AO354" s="102">
        <f t="shared" si="429"/>
        <v>0</v>
      </c>
      <c r="AP354" s="102">
        <f t="shared" si="429"/>
        <v>0</v>
      </c>
      <c r="AQ354" s="102">
        <f t="shared" si="429"/>
        <v>0</v>
      </c>
      <c r="AR354" s="102">
        <f t="shared" si="429"/>
        <v>0</v>
      </c>
      <c r="AS354" s="102">
        <f t="shared" si="429"/>
        <v>0</v>
      </c>
      <c r="AT354" s="102">
        <f t="shared" si="429"/>
        <v>0</v>
      </c>
      <c r="AU354" s="102" t="str">
        <f t="shared" si="429"/>
        <v>#REF!</v>
      </c>
      <c r="AV354" s="102" t="str">
        <f t="shared" si="429"/>
        <v>#REF!</v>
      </c>
      <c r="AW354" s="90"/>
      <c r="AX354" s="90"/>
      <c r="AY354" s="90"/>
      <c r="AZ354" s="90"/>
      <c r="BA354" s="90"/>
      <c r="BB354" s="90"/>
      <c r="BC354" s="90"/>
      <c r="BD354" s="90"/>
      <c r="BE354" s="90"/>
      <c r="BF354" s="90"/>
      <c r="BG354" s="90"/>
      <c r="BH354" s="90"/>
      <c r="BI354" s="90"/>
      <c r="BJ354" s="90"/>
      <c r="BK354" s="90"/>
      <c r="BL354" s="90"/>
      <c r="BM354" s="90"/>
      <c r="BN354" s="90"/>
      <c r="BO354" s="90"/>
      <c r="BP354" s="90"/>
    </row>
    <row r="355" ht="12.75" customHeight="1" outlineLevel="1">
      <c r="A355" s="90" t="s">
        <v>293</v>
      </c>
      <c r="C355" s="102">
        <f>OFFSET('RSGen 1-7'!$H$476,0,ROW(A355)-ROW($A$349))</f>
        <v>0</v>
      </c>
      <c r="D355" s="102">
        <f>OFFSET(RSGen_Walton!$G$476,0,ROW(C355)-ROW($C$349))</f>
        <v>0</v>
      </c>
      <c r="E355" s="102">
        <f>OFFSET(RSGen_none!$G$476,0,ROW(D355)-ROW($C$349))</f>
        <v>0</v>
      </c>
      <c r="F355" s="102"/>
      <c r="G355" s="102"/>
      <c r="H355" s="313"/>
      <c r="I355" s="313"/>
      <c r="J355" s="313"/>
      <c r="K355" s="306"/>
      <c r="L355" s="306"/>
      <c r="M355" s="306"/>
      <c r="N355" s="306"/>
      <c r="O355" s="306"/>
      <c r="P355" s="306"/>
      <c r="Q355" s="306"/>
      <c r="R355" s="306"/>
      <c r="S355" s="102">
        <f t="shared" ref="S355:T355" si="430">$C355*S$13</f>
        <v>0</v>
      </c>
      <c r="T355" s="102">
        <f t="shared" si="430"/>
        <v>0</v>
      </c>
      <c r="U355" s="102">
        <f t="shared" ref="U355:AV355" si="431">$D355*U$13</f>
        <v>0</v>
      </c>
      <c r="V355" s="102">
        <f t="shared" si="431"/>
        <v>0</v>
      </c>
      <c r="W355" s="102">
        <f t="shared" si="431"/>
        <v>0</v>
      </c>
      <c r="X355" s="102">
        <f t="shared" si="431"/>
        <v>0</v>
      </c>
      <c r="Y355" s="102">
        <f t="shared" si="431"/>
        <v>0</v>
      </c>
      <c r="Z355" s="102">
        <f t="shared" si="431"/>
        <v>0</v>
      </c>
      <c r="AA355" s="102">
        <f t="shared" si="431"/>
        <v>0</v>
      </c>
      <c r="AB355" s="102">
        <f t="shared" si="431"/>
        <v>0</v>
      </c>
      <c r="AC355" s="102">
        <f t="shared" si="431"/>
        <v>0</v>
      </c>
      <c r="AD355" s="102">
        <f t="shared" si="431"/>
        <v>0</v>
      </c>
      <c r="AE355" s="102">
        <f t="shared" si="431"/>
        <v>0</v>
      </c>
      <c r="AF355" s="102">
        <f t="shared" si="431"/>
        <v>0</v>
      </c>
      <c r="AG355" s="102">
        <f t="shared" si="431"/>
        <v>0</v>
      </c>
      <c r="AH355" s="102">
        <f t="shared" si="431"/>
        <v>0</v>
      </c>
      <c r="AI355" s="102">
        <f t="shared" si="431"/>
        <v>0</v>
      </c>
      <c r="AJ355" s="102">
        <f t="shared" si="431"/>
        <v>0</v>
      </c>
      <c r="AK355" s="102">
        <f t="shared" si="431"/>
        <v>0</v>
      </c>
      <c r="AL355" s="102">
        <f t="shared" si="431"/>
        <v>0</v>
      </c>
      <c r="AM355" s="102">
        <f t="shared" si="431"/>
        <v>0</v>
      </c>
      <c r="AN355" s="102">
        <f t="shared" si="431"/>
        <v>0</v>
      </c>
      <c r="AO355" s="102">
        <f t="shared" si="431"/>
        <v>0</v>
      </c>
      <c r="AP355" s="102">
        <f t="shared" si="431"/>
        <v>0</v>
      </c>
      <c r="AQ355" s="102">
        <f t="shared" si="431"/>
        <v>0</v>
      </c>
      <c r="AR355" s="102">
        <f t="shared" si="431"/>
        <v>0</v>
      </c>
      <c r="AS355" s="102">
        <f t="shared" si="431"/>
        <v>0</v>
      </c>
      <c r="AT355" s="102">
        <f t="shared" si="431"/>
        <v>0</v>
      </c>
      <c r="AU355" s="102">
        <f t="shared" si="431"/>
        <v>0</v>
      </c>
      <c r="AV355" s="102" t="str">
        <f t="shared" si="431"/>
        <v>#REF!</v>
      </c>
      <c r="AW355" s="90"/>
      <c r="AX355" s="90"/>
      <c r="AY355" s="90"/>
      <c r="AZ355" s="90"/>
      <c r="BA355" s="90"/>
      <c r="BB355" s="90"/>
      <c r="BC355" s="90"/>
      <c r="BD355" s="90"/>
      <c r="BE355" s="90"/>
      <c r="BF355" s="90"/>
      <c r="BG355" s="90"/>
      <c r="BH355" s="90"/>
      <c r="BI355" s="90"/>
      <c r="BJ355" s="90"/>
      <c r="BK355" s="90"/>
      <c r="BL355" s="90"/>
      <c r="BM355" s="90"/>
      <c r="BN355" s="90"/>
      <c r="BO355" s="90"/>
      <c r="BP355" s="90"/>
    </row>
    <row r="356" ht="12.75" customHeight="1" outlineLevel="1">
      <c r="A356" s="90" t="s">
        <v>294</v>
      </c>
      <c r="C356" s="102">
        <f>OFFSET('RSGen 1-7'!$H$476,0,ROW(A356)-ROW($A$349))</f>
        <v>0</v>
      </c>
      <c r="D356" s="102">
        <f>OFFSET(RSGen_Walton!$G$476,0,ROW(C356)-ROW($C$349))</f>
        <v>0</v>
      </c>
      <c r="E356" s="102">
        <f>OFFSET(RSGen_none!$G$476,0,ROW(D356)-ROW($C$349))</f>
        <v>0</v>
      </c>
      <c r="F356" s="102"/>
      <c r="G356" s="102"/>
      <c r="H356" s="313"/>
      <c r="I356" s="313"/>
      <c r="J356" s="313"/>
      <c r="K356" s="306"/>
      <c r="L356" s="306"/>
      <c r="M356" s="306"/>
      <c r="N356" s="306"/>
      <c r="O356" s="306"/>
      <c r="P356" s="306"/>
      <c r="Q356" s="306"/>
      <c r="R356" s="306"/>
      <c r="S356" s="306"/>
      <c r="T356" s="102">
        <f t="shared" ref="T356:U356" si="432">$C356*T$14</f>
        <v>0</v>
      </c>
      <c r="U356" s="102">
        <f t="shared" si="432"/>
        <v>0</v>
      </c>
      <c r="V356" s="102">
        <f t="shared" ref="V356:AV356" si="433">$D356*V$14</f>
        <v>0</v>
      </c>
      <c r="W356" s="102">
        <f t="shared" si="433"/>
        <v>0</v>
      </c>
      <c r="X356" s="102">
        <f t="shared" si="433"/>
        <v>0</v>
      </c>
      <c r="Y356" s="102">
        <f t="shared" si="433"/>
        <v>0</v>
      </c>
      <c r="Z356" s="102">
        <f t="shared" si="433"/>
        <v>0</v>
      </c>
      <c r="AA356" s="102">
        <f t="shared" si="433"/>
        <v>0</v>
      </c>
      <c r="AB356" s="102">
        <f t="shared" si="433"/>
        <v>0</v>
      </c>
      <c r="AC356" s="102">
        <f t="shared" si="433"/>
        <v>0</v>
      </c>
      <c r="AD356" s="102">
        <f t="shared" si="433"/>
        <v>0</v>
      </c>
      <c r="AE356" s="102">
        <f t="shared" si="433"/>
        <v>0</v>
      </c>
      <c r="AF356" s="102">
        <f t="shared" si="433"/>
        <v>0</v>
      </c>
      <c r="AG356" s="102">
        <f t="shared" si="433"/>
        <v>0</v>
      </c>
      <c r="AH356" s="102">
        <f t="shared" si="433"/>
        <v>0</v>
      </c>
      <c r="AI356" s="102">
        <f t="shared" si="433"/>
        <v>0</v>
      </c>
      <c r="AJ356" s="102">
        <f t="shared" si="433"/>
        <v>0</v>
      </c>
      <c r="AK356" s="102">
        <f t="shared" si="433"/>
        <v>0</v>
      </c>
      <c r="AL356" s="102">
        <f t="shared" si="433"/>
        <v>0</v>
      </c>
      <c r="AM356" s="102">
        <f t="shared" si="433"/>
        <v>0</v>
      </c>
      <c r="AN356" s="102">
        <f t="shared" si="433"/>
        <v>0</v>
      </c>
      <c r="AO356" s="102">
        <f t="shared" si="433"/>
        <v>0</v>
      </c>
      <c r="AP356" s="102">
        <f t="shared" si="433"/>
        <v>0</v>
      </c>
      <c r="AQ356" s="102">
        <f t="shared" si="433"/>
        <v>0</v>
      </c>
      <c r="AR356" s="102">
        <f t="shared" si="433"/>
        <v>0</v>
      </c>
      <c r="AS356" s="102">
        <f t="shared" si="433"/>
        <v>0</v>
      </c>
      <c r="AT356" s="102">
        <f t="shared" si="433"/>
        <v>0</v>
      </c>
      <c r="AU356" s="102">
        <f t="shared" si="433"/>
        <v>0</v>
      </c>
      <c r="AV356" s="102">
        <f t="shared" si="433"/>
        <v>0</v>
      </c>
      <c r="AW356" s="90"/>
      <c r="AX356" s="90"/>
      <c r="AY356" s="90"/>
      <c r="AZ356" s="90"/>
      <c r="BA356" s="90"/>
      <c r="BB356" s="90"/>
      <c r="BC356" s="90"/>
      <c r="BD356" s="90"/>
      <c r="BE356" s="90"/>
      <c r="BF356" s="90"/>
      <c r="BG356" s="90"/>
      <c r="BH356" s="90"/>
      <c r="BI356" s="90"/>
      <c r="BJ356" s="90"/>
      <c r="BK356" s="90"/>
      <c r="BL356" s="90"/>
      <c r="BM356" s="90"/>
      <c r="BN356" s="90"/>
      <c r="BO356" s="90"/>
      <c r="BP356" s="90"/>
    </row>
    <row r="357" ht="12.75" customHeight="1" outlineLevel="1">
      <c r="A357" s="90" t="s">
        <v>295</v>
      </c>
      <c r="C357" s="102">
        <f>OFFSET('RSGen 1-7'!$H$476,0,ROW(A357)-ROW($A$349))</f>
        <v>0</v>
      </c>
      <c r="D357" s="102">
        <f>OFFSET(RSGen_Walton!$G$476,0,ROW(C357)-ROW($C$349))</f>
        <v>0</v>
      </c>
      <c r="E357" s="102">
        <f>OFFSET(RSGen_none!$G$476,0,ROW(D357)-ROW($C$349))</f>
        <v>0</v>
      </c>
      <c r="F357" s="102"/>
      <c r="G357" s="102"/>
      <c r="H357" s="313"/>
      <c r="I357" s="313"/>
      <c r="J357" s="313"/>
      <c r="K357" s="306"/>
      <c r="L357" s="306"/>
      <c r="M357" s="306"/>
      <c r="N357" s="306"/>
      <c r="O357" s="306"/>
      <c r="P357" s="306"/>
      <c r="Q357" s="306"/>
      <c r="R357" s="306"/>
      <c r="S357" s="306"/>
      <c r="T357" s="306"/>
      <c r="U357" s="102">
        <f t="shared" ref="U357:V357" si="434">$C357*(U$15-3)</f>
        <v>0</v>
      </c>
      <c r="V357" s="102">
        <f t="shared" si="434"/>
        <v>0</v>
      </c>
      <c r="W357" s="102">
        <f t="shared" ref="W357:AV357" si="435">$C357*(4)+$D357*(W$15-7)</f>
        <v>0</v>
      </c>
      <c r="X357" s="102">
        <f t="shared" si="435"/>
        <v>0</v>
      </c>
      <c r="Y357" s="102">
        <f t="shared" si="435"/>
        <v>0</v>
      </c>
      <c r="Z357" s="102">
        <f t="shared" si="435"/>
        <v>0</v>
      </c>
      <c r="AA357" s="102">
        <f t="shared" si="435"/>
        <v>0</v>
      </c>
      <c r="AB357" s="102">
        <f t="shared" si="435"/>
        <v>0</v>
      </c>
      <c r="AC357" s="102">
        <f t="shared" si="435"/>
        <v>0</v>
      </c>
      <c r="AD357" s="102">
        <f t="shared" si="435"/>
        <v>0</v>
      </c>
      <c r="AE357" s="102">
        <f t="shared" si="435"/>
        <v>0</v>
      </c>
      <c r="AF357" s="102">
        <f t="shared" si="435"/>
        <v>0</v>
      </c>
      <c r="AG357" s="102">
        <f t="shared" si="435"/>
        <v>0</v>
      </c>
      <c r="AH357" s="102">
        <f t="shared" si="435"/>
        <v>0</v>
      </c>
      <c r="AI357" s="102">
        <f t="shared" si="435"/>
        <v>0</v>
      </c>
      <c r="AJ357" s="102">
        <f t="shared" si="435"/>
        <v>0</v>
      </c>
      <c r="AK357" s="102">
        <f t="shared" si="435"/>
        <v>0</v>
      </c>
      <c r="AL357" s="102">
        <f t="shared" si="435"/>
        <v>0</v>
      </c>
      <c r="AM357" s="102">
        <f t="shared" si="435"/>
        <v>0</v>
      </c>
      <c r="AN357" s="102">
        <f t="shared" si="435"/>
        <v>0</v>
      </c>
      <c r="AO357" s="102">
        <f t="shared" si="435"/>
        <v>0</v>
      </c>
      <c r="AP357" s="102">
        <f t="shared" si="435"/>
        <v>0</v>
      </c>
      <c r="AQ357" s="102">
        <f t="shared" si="435"/>
        <v>0</v>
      </c>
      <c r="AR357" s="102">
        <f t="shared" si="435"/>
        <v>0</v>
      </c>
      <c r="AS357" s="102">
        <f t="shared" si="435"/>
        <v>0</v>
      </c>
      <c r="AT357" s="102">
        <f t="shared" si="435"/>
        <v>0</v>
      </c>
      <c r="AU357" s="102">
        <f t="shared" si="435"/>
        <v>0</v>
      </c>
      <c r="AV357" s="102">
        <f t="shared" si="435"/>
        <v>0</v>
      </c>
      <c r="AW357" s="90"/>
      <c r="AX357" s="90"/>
      <c r="AY357" s="90"/>
      <c r="AZ357" s="90"/>
      <c r="BA357" s="90"/>
      <c r="BB357" s="90"/>
      <c r="BC357" s="90"/>
      <c r="BD357" s="90"/>
      <c r="BE357" s="90"/>
      <c r="BF357" s="90"/>
      <c r="BG357" s="90"/>
      <c r="BH357" s="90"/>
      <c r="BI357" s="90"/>
      <c r="BJ357" s="90"/>
      <c r="BK357" s="90"/>
      <c r="BL357" s="90"/>
      <c r="BM357" s="90"/>
      <c r="BN357" s="90"/>
      <c r="BO357" s="90"/>
      <c r="BP357" s="90"/>
    </row>
    <row r="358" ht="13.5" customHeight="1" outlineLevel="1">
      <c r="A358" s="143" t="str">
        <f>"Total "&amp;A348</f>
        <v>Total Other Assets</v>
      </c>
      <c r="B358" s="143"/>
      <c r="C358" s="309"/>
      <c r="D358" s="309"/>
      <c r="E358" s="309"/>
      <c r="F358" s="309"/>
      <c r="G358" s="309"/>
      <c r="H358" s="314"/>
      <c r="I358" s="314"/>
      <c r="J358" s="314"/>
      <c r="K358" s="311"/>
      <c r="L358" s="311">
        <v>688.67</v>
      </c>
      <c r="M358" s="307">
        <f t="shared" ref="M358:AV358" si="436">SUM(M349:M357)</f>
        <v>0</v>
      </c>
      <c r="N358" s="307">
        <f t="shared" si="436"/>
        <v>0</v>
      </c>
      <c r="O358" s="307">
        <f t="shared" si="436"/>
        <v>0</v>
      </c>
      <c r="P358" s="307">
        <f t="shared" si="436"/>
        <v>0</v>
      </c>
      <c r="Q358" s="307">
        <f t="shared" si="436"/>
        <v>0</v>
      </c>
      <c r="R358" s="307">
        <f t="shared" si="436"/>
        <v>0</v>
      </c>
      <c r="S358" s="307">
        <f t="shared" si="436"/>
        <v>0</v>
      </c>
      <c r="T358" s="307">
        <f t="shared" si="436"/>
        <v>0</v>
      </c>
      <c r="U358" s="307">
        <f t="shared" si="436"/>
        <v>0</v>
      </c>
      <c r="V358" s="307">
        <f t="shared" si="436"/>
        <v>0</v>
      </c>
      <c r="W358" s="307">
        <f t="shared" si="436"/>
        <v>0</v>
      </c>
      <c r="X358" s="307">
        <f t="shared" si="436"/>
        <v>0</v>
      </c>
      <c r="Y358" s="307">
        <f t="shared" si="436"/>
        <v>0</v>
      </c>
      <c r="Z358" s="307">
        <f t="shared" si="436"/>
        <v>0</v>
      </c>
      <c r="AA358" s="307">
        <f t="shared" si="436"/>
        <v>0</v>
      </c>
      <c r="AB358" s="307">
        <f t="shared" si="436"/>
        <v>0</v>
      </c>
      <c r="AC358" s="307">
        <f t="shared" si="436"/>
        <v>0</v>
      </c>
      <c r="AD358" s="307">
        <f t="shared" si="436"/>
        <v>0</v>
      </c>
      <c r="AE358" s="307">
        <f t="shared" si="436"/>
        <v>0</v>
      </c>
      <c r="AF358" s="307">
        <f t="shared" si="436"/>
        <v>0</v>
      </c>
      <c r="AG358" s="307">
        <f t="shared" si="436"/>
        <v>0</v>
      </c>
      <c r="AH358" s="307">
        <f t="shared" si="436"/>
        <v>0</v>
      </c>
      <c r="AI358" s="307">
        <f t="shared" si="436"/>
        <v>0</v>
      </c>
      <c r="AJ358" s="307">
        <f t="shared" si="436"/>
        <v>0</v>
      </c>
      <c r="AK358" s="307">
        <f t="shared" si="436"/>
        <v>0</v>
      </c>
      <c r="AL358" s="307">
        <f t="shared" si="436"/>
        <v>0</v>
      </c>
      <c r="AM358" s="307">
        <f t="shared" si="436"/>
        <v>0</v>
      </c>
      <c r="AN358" s="307">
        <f t="shared" si="436"/>
        <v>0</v>
      </c>
      <c r="AO358" s="307">
        <f t="shared" si="436"/>
        <v>0</v>
      </c>
      <c r="AP358" s="307" t="str">
        <f t="shared" si="436"/>
        <v>#REF!</v>
      </c>
      <c r="AQ358" s="307" t="str">
        <f t="shared" si="436"/>
        <v>#REF!</v>
      </c>
      <c r="AR358" s="307" t="str">
        <f t="shared" si="436"/>
        <v>#REF!</v>
      </c>
      <c r="AS358" s="307" t="str">
        <f t="shared" si="436"/>
        <v>#REF!</v>
      </c>
      <c r="AT358" s="307" t="str">
        <f t="shared" si="436"/>
        <v>#REF!</v>
      </c>
      <c r="AU358" s="307" t="str">
        <f t="shared" si="436"/>
        <v>#REF!</v>
      </c>
      <c r="AV358" s="307" t="str">
        <f t="shared" si="436"/>
        <v>#REF!</v>
      </c>
      <c r="AW358" s="90"/>
      <c r="AX358" s="90"/>
      <c r="AY358" s="90"/>
      <c r="AZ358" s="90"/>
      <c r="BA358" s="90"/>
      <c r="BB358" s="90"/>
      <c r="BC358" s="90"/>
      <c r="BD358" s="90"/>
      <c r="BE358" s="90"/>
      <c r="BF358" s="90"/>
      <c r="BG358" s="90"/>
      <c r="BH358" s="90"/>
      <c r="BI358" s="90"/>
      <c r="BJ358" s="90"/>
      <c r="BK358" s="90"/>
      <c r="BL358" s="90"/>
      <c r="BM358" s="90"/>
      <c r="BN358" s="90"/>
      <c r="BO358" s="90"/>
      <c r="BP358" s="90"/>
    </row>
    <row r="359" ht="13.5" customHeight="1" outlineLevel="1">
      <c r="A359" s="90"/>
      <c r="C359" s="102"/>
      <c r="D359" s="102"/>
      <c r="E359" s="102"/>
      <c r="F359" s="102"/>
      <c r="G359" s="102"/>
      <c r="K359" s="102"/>
      <c r="L359" s="102"/>
      <c r="M359" s="102"/>
      <c r="N359" s="102"/>
      <c r="O359" s="102"/>
      <c r="P359" s="102"/>
      <c r="Q359" s="102"/>
      <c r="R359" s="102"/>
      <c r="S359" s="102"/>
      <c r="T359" s="102"/>
      <c r="U359" s="102"/>
      <c r="V359" s="102"/>
      <c r="W359" s="102"/>
      <c r="X359" s="102"/>
      <c r="Y359" s="102"/>
      <c r="Z359" s="102"/>
      <c r="AA359" s="102"/>
      <c r="AB359" s="102"/>
      <c r="AC359" s="102"/>
      <c r="AD359" s="102"/>
      <c r="AE359" s="102"/>
      <c r="AF359" s="102"/>
      <c r="AG359" s="102"/>
      <c r="AH359" s="102"/>
      <c r="AI359" s="102"/>
      <c r="AJ359" s="102"/>
      <c r="AK359" s="102"/>
      <c r="AL359" s="102"/>
      <c r="AM359" s="102"/>
      <c r="AN359" s="102"/>
      <c r="AO359" s="102"/>
      <c r="AP359" s="102"/>
      <c r="AQ359" s="102"/>
      <c r="AR359" s="102"/>
      <c r="AS359" s="102"/>
      <c r="AT359" s="102"/>
      <c r="AU359" s="102"/>
      <c r="AV359" s="102"/>
      <c r="AW359" s="90"/>
      <c r="AX359" s="90"/>
      <c r="AY359" s="90"/>
      <c r="AZ359" s="90"/>
      <c r="BA359" s="90"/>
      <c r="BB359" s="90"/>
      <c r="BC359" s="90"/>
      <c r="BD359" s="90"/>
      <c r="BE359" s="90"/>
      <c r="BF359" s="90"/>
      <c r="BG359" s="90"/>
      <c r="BH359" s="90"/>
      <c r="BI359" s="90"/>
      <c r="BJ359" s="90"/>
      <c r="BK359" s="90"/>
      <c r="BL359" s="90"/>
      <c r="BM359" s="90"/>
      <c r="BN359" s="90"/>
      <c r="BO359" s="90"/>
      <c r="BP359" s="90"/>
    </row>
    <row r="360" ht="12.75" customHeight="1" outlineLevel="1">
      <c r="A360" s="90"/>
      <c r="C360" s="102"/>
      <c r="D360" s="102"/>
      <c r="E360" s="102"/>
      <c r="F360" s="102"/>
      <c r="G360" s="102"/>
      <c r="K360" s="102"/>
      <c r="L360" s="102"/>
      <c r="M360" s="102"/>
      <c r="N360" s="102"/>
      <c r="O360" s="102"/>
      <c r="P360" s="102"/>
      <c r="Q360" s="102"/>
      <c r="R360" s="102"/>
      <c r="S360" s="102"/>
      <c r="T360" s="102"/>
      <c r="U360" s="102"/>
      <c r="V360" s="102"/>
      <c r="W360" s="102"/>
      <c r="X360" s="102"/>
      <c r="Y360" s="102"/>
      <c r="Z360" s="102"/>
      <c r="AA360" s="102"/>
      <c r="AB360" s="102"/>
      <c r="AC360" s="102"/>
      <c r="AD360" s="102"/>
      <c r="AE360" s="102"/>
      <c r="AF360" s="102"/>
      <c r="AG360" s="102"/>
      <c r="AH360" s="102"/>
      <c r="AI360" s="102"/>
      <c r="AJ360" s="102"/>
      <c r="AK360" s="102"/>
      <c r="AL360" s="102"/>
      <c r="AM360" s="102"/>
      <c r="AN360" s="102"/>
      <c r="AO360" s="102"/>
      <c r="AP360" s="102"/>
      <c r="AQ360" s="102"/>
      <c r="AR360" s="102"/>
      <c r="AS360" s="102"/>
      <c r="AT360" s="102"/>
      <c r="AU360" s="102"/>
      <c r="AV360" s="102"/>
      <c r="AW360" s="90"/>
      <c r="AX360" s="90"/>
      <c r="AY360" s="90"/>
      <c r="AZ360" s="90"/>
      <c r="BA360" s="90"/>
      <c r="BB360" s="90"/>
      <c r="BC360" s="90"/>
      <c r="BD360" s="90"/>
      <c r="BE360" s="90"/>
      <c r="BF360" s="90"/>
      <c r="BG360" s="90"/>
      <c r="BH360" s="90"/>
      <c r="BI360" s="90"/>
      <c r="BJ360" s="90"/>
      <c r="BK360" s="90"/>
      <c r="BL360" s="90"/>
      <c r="BM360" s="90"/>
      <c r="BN360" s="90"/>
      <c r="BO360" s="90"/>
      <c r="BP360" s="90"/>
    </row>
    <row r="361" ht="12.75" customHeight="1" outlineLevel="1">
      <c r="A361" s="90" t="s">
        <v>612</v>
      </c>
      <c r="C361" s="102"/>
      <c r="D361" s="102"/>
      <c r="E361" s="102"/>
      <c r="F361" s="102"/>
      <c r="G361" s="102"/>
      <c r="K361" s="102"/>
      <c r="L361" s="102"/>
      <c r="M361" s="102"/>
      <c r="N361" s="102"/>
      <c r="O361" s="102"/>
      <c r="P361" s="102"/>
      <c r="Q361" s="102"/>
      <c r="R361" s="102"/>
      <c r="S361" s="102"/>
      <c r="T361" s="102"/>
      <c r="U361" s="102"/>
      <c r="V361" s="102"/>
      <c r="W361" s="102"/>
      <c r="X361" s="102"/>
      <c r="Y361" s="102"/>
      <c r="Z361" s="102"/>
      <c r="AA361" s="102"/>
      <c r="AB361" s="102"/>
      <c r="AC361" s="102"/>
      <c r="AD361" s="102"/>
      <c r="AE361" s="102"/>
      <c r="AF361" s="102"/>
      <c r="AG361" s="102"/>
      <c r="AH361" s="102"/>
      <c r="AI361" s="102"/>
      <c r="AJ361" s="102"/>
      <c r="AK361" s="102"/>
      <c r="AL361" s="102"/>
      <c r="AM361" s="102"/>
      <c r="AN361" s="102"/>
      <c r="AO361" s="102"/>
      <c r="AP361" s="102"/>
      <c r="AQ361" s="102"/>
      <c r="AR361" s="102"/>
      <c r="AS361" s="102"/>
      <c r="AT361" s="102"/>
      <c r="AU361" s="102"/>
      <c r="AV361" s="102"/>
      <c r="AW361" s="90"/>
      <c r="AX361" s="90"/>
      <c r="AY361" s="90"/>
      <c r="AZ361" s="90"/>
      <c r="BA361" s="90"/>
      <c r="BB361" s="90"/>
      <c r="BC361" s="90"/>
      <c r="BD361" s="90"/>
      <c r="BE361" s="90"/>
      <c r="BF361" s="90"/>
      <c r="BG361" s="90"/>
      <c r="BH361" s="90"/>
      <c r="BI361" s="90"/>
      <c r="BJ361" s="90"/>
      <c r="BK361" s="90"/>
      <c r="BL361" s="90"/>
      <c r="BM361" s="90"/>
      <c r="BN361" s="90"/>
      <c r="BO361" s="90"/>
      <c r="BP361" s="90"/>
    </row>
    <row r="362" ht="12.75" customHeight="1" outlineLevel="1">
      <c r="A362" s="90" t="s">
        <v>287</v>
      </c>
      <c r="C362" s="102">
        <f>'RSGen 1-7'!H$409</f>
        <v>-200000</v>
      </c>
      <c r="D362" s="102">
        <f>OFFSET(RSGen_Walton!$H$409,0,ROW(C362)-ROW($C$362))</f>
        <v>-200000</v>
      </c>
      <c r="E362" s="102">
        <f>OFFSET(RSGen_none!$H$409,0,ROW(D362)-ROW($C$362))</f>
        <v>-200000</v>
      </c>
      <c r="F362" s="102"/>
      <c r="G362" s="102"/>
      <c r="H362" s="313"/>
      <c r="I362" s="313"/>
      <c r="J362" s="313"/>
      <c r="K362" s="306"/>
      <c r="L362" s="306"/>
      <c r="M362" s="102">
        <f t="shared" ref="M362:AL362" si="437">(MAX(0,MIN(M7,SUM(M7:M$15)-$E$4))*$E362+MAX(0,MIN(M7,$D$4-SUM(M8:M$15)))*$C362+(M7-(MAX(0,MIN(M7,SUM(M7:M$15)-$E$4))+MAX(0,MIN(M7,$D$4-SUM(M8:M$15)))))*$D362)</f>
        <v>-400000</v>
      </c>
      <c r="N362" s="102">
        <f t="shared" si="437"/>
        <v>-600000</v>
      </c>
      <c r="O362" s="102">
        <f t="shared" si="437"/>
        <v>-1000000</v>
      </c>
      <c r="P362" s="102">
        <f t="shared" si="437"/>
        <v>-1600000</v>
      </c>
      <c r="Q362" s="102">
        <f t="shared" si="437"/>
        <v>-2600000</v>
      </c>
      <c r="R362" s="102">
        <f t="shared" si="437"/>
        <v>-4400000</v>
      </c>
      <c r="S362" s="102">
        <f t="shared" si="437"/>
        <v>-6800000</v>
      </c>
      <c r="T362" s="102">
        <f t="shared" si="437"/>
        <v>-9000000</v>
      </c>
      <c r="U362" s="102">
        <f t="shared" si="437"/>
        <v>-9000000</v>
      </c>
      <c r="V362" s="102">
        <f t="shared" si="437"/>
        <v>-13200000</v>
      </c>
      <c r="W362" s="102">
        <f t="shared" si="437"/>
        <v>-16000000</v>
      </c>
      <c r="X362" s="102">
        <f t="shared" si="437"/>
        <v>-28400000</v>
      </c>
      <c r="Y362" s="102">
        <f t="shared" si="437"/>
        <v>-38600000</v>
      </c>
      <c r="Z362" s="102">
        <f t="shared" si="437"/>
        <v>-48400000</v>
      </c>
      <c r="AA362" s="102">
        <f t="shared" si="437"/>
        <v>-54600000</v>
      </c>
      <c r="AB362" s="102">
        <f t="shared" si="437"/>
        <v>-64800000</v>
      </c>
      <c r="AC362" s="102">
        <f t="shared" si="437"/>
        <v>-70000000</v>
      </c>
      <c r="AD362" s="102">
        <f t="shared" si="437"/>
        <v>-69000000</v>
      </c>
      <c r="AE362" s="102">
        <f t="shared" si="437"/>
        <v>-54400000</v>
      </c>
      <c r="AF362" s="102">
        <f t="shared" si="437"/>
        <v>-6600000</v>
      </c>
      <c r="AG362" s="102">
        <f t="shared" si="437"/>
        <v>0</v>
      </c>
      <c r="AH362" s="102">
        <f t="shared" si="437"/>
        <v>0</v>
      </c>
      <c r="AI362" s="102">
        <f t="shared" si="437"/>
        <v>0</v>
      </c>
      <c r="AJ362" s="102">
        <f t="shared" si="437"/>
        <v>0</v>
      </c>
      <c r="AK362" s="102">
        <f t="shared" si="437"/>
        <v>0</v>
      </c>
      <c r="AL362" s="102">
        <f t="shared" si="437"/>
        <v>0</v>
      </c>
      <c r="AM362" s="102">
        <f t="shared" ref="AM362:AV362" si="438">$D362*AM$7</f>
        <v>0</v>
      </c>
      <c r="AN362" s="102">
        <f t="shared" si="438"/>
        <v>0</v>
      </c>
      <c r="AO362" s="102">
        <f t="shared" si="438"/>
        <v>0</v>
      </c>
      <c r="AP362" s="102" t="str">
        <f t="shared" si="438"/>
        <v>#REF!</v>
      </c>
      <c r="AQ362" s="102" t="str">
        <f t="shared" si="438"/>
        <v>#REF!</v>
      </c>
      <c r="AR362" s="102" t="str">
        <f t="shared" si="438"/>
        <v>#REF!</v>
      </c>
      <c r="AS362" s="102" t="str">
        <f t="shared" si="438"/>
        <v>#REF!</v>
      </c>
      <c r="AT362" s="102" t="str">
        <f t="shared" si="438"/>
        <v>#REF!</v>
      </c>
      <c r="AU362" s="102">
        <f t="shared" si="438"/>
        <v>0</v>
      </c>
      <c r="AV362" s="102">
        <f t="shared" si="438"/>
        <v>0</v>
      </c>
      <c r="AW362" s="90"/>
      <c r="AX362" s="90"/>
      <c r="AY362" s="90"/>
      <c r="AZ362" s="90"/>
      <c r="BA362" s="90"/>
      <c r="BB362" s="90"/>
      <c r="BC362" s="90"/>
      <c r="BD362" s="90"/>
      <c r="BE362" s="90"/>
      <c r="BF362" s="90"/>
      <c r="BG362" s="90"/>
      <c r="BH362" s="90"/>
      <c r="BI362" s="90"/>
      <c r="BJ362" s="90"/>
      <c r="BK362" s="90"/>
      <c r="BL362" s="90"/>
      <c r="BM362" s="90"/>
      <c r="BN362" s="90"/>
      <c r="BO362" s="90"/>
      <c r="BP362" s="90"/>
    </row>
    <row r="363" ht="12.75" customHeight="1" outlineLevel="1">
      <c r="A363" s="90" t="s">
        <v>288</v>
      </c>
      <c r="C363" s="102">
        <f>'RSGen 1-7'!I$409</f>
        <v>0</v>
      </c>
      <c r="D363" s="102">
        <f>OFFSET(RSGen_Walton!$H$409,0,ROW(C363)-ROW($C$362))</f>
        <v>0</v>
      </c>
      <c r="E363" s="102">
        <f>OFFSET(RSGen_none!$H$409,0,ROW(D363)-ROW($C$362))</f>
        <v>0</v>
      </c>
      <c r="F363" s="102"/>
      <c r="G363" s="102"/>
      <c r="H363" s="313"/>
      <c r="I363" s="313"/>
      <c r="J363" s="313"/>
      <c r="K363" s="306"/>
      <c r="L363" s="306"/>
      <c r="M363" s="306"/>
      <c r="N363" s="102">
        <f t="shared" ref="N363:AL363" si="439">(MAX(0,MIN(N8,SUM(N8:N$15)-$E$4))*$E363+MAX(0,MIN(N8,$D$4-SUM(N9:N$15)))*$C363+(N8-(MAX(0,MIN(N8,SUM(N8:N$15)-$E$4))+MAX(0,MIN(N8,$D$4-SUM(N9:N$15)))))*$D363)</f>
        <v>0</v>
      </c>
      <c r="O363" s="102">
        <f t="shared" si="439"/>
        <v>0</v>
      </c>
      <c r="P363" s="102">
        <f t="shared" si="439"/>
        <v>0</v>
      </c>
      <c r="Q363" s="102">
        <f t="shared" si="439"/>
        <v>0</v>
      </c>
      <c r="R363" s="102">
        <f t="shared" si="439"/>
        <v>0</v>
      </c>
      <c r="S363" s="102">
        <f t="shared" si="439"/>
        <v>0</v>
      </c>
      <c r="T363" s="102">
        <f t="shared" si="439"/>
        <v>0</v>
      </c>
      <c r="U363" s="102">
        <f t="shared" si="439"/>
        <v>0</v>
      </c>
      <c r="V363" s="102">
        <f t="shared" si="439"/>
        <v>0</v>
      </c>
      <c r="W363" s="102">
        <f t="shared" si="439"/>
        <v>0</v>
      </c>
      <c r="X363" s="102">
        <f t="shared" si="439"/>
        <v>0</v>
      </c>
      <c r="Y363" s="102">
        <f t="shared" si="439"/>
        <v>0</v>
      </c>
      <c r="Z363" s="102">
        <f t="shared" si="439"/>
        <v>0</v>
      </c>
      <c r="AA363" s="102">
        <f t="shared" si="439"/>
        <v>0</v>
      </c>
      <c r="AB363" s="102">
        <f t="shared" si="439"/>
        <v>0</v>
      </c>
      <c r="AC363" s="102">
        <f t="shared" si="439"/>
        <v>0</v>
      </c>
      <c r="AD363" s="102">
        <f t="shared" si="439"/>
        <v>0</v>
      </c>
      <c r="AE363" s="102">
        <f t="shared" si="439"/>
        <v>0</v>
      </c>
      <c r="AF363" s="102">
        <f t="shared" si="439"/>
        <v>0</v>
      </c>
      <c r="AG363" s="102">
        <f t="shared" si="439"/>
        <v>0</v>
      </c>
      <c r="AH363" s="102">
        <f t="shared" si="439"/>
        <v>0</v>
      </c>
      <c r="AI363" s="102">
        <f t="shared" si="439"/>
        <v>0</v>
      </c>
      <c r="AJ363" s="102">
        <f t="shared" si="439"/>
        <v>0</v>
      </c>
      <c r="AK363" s="102">
        <f t="shared" si="439"/>
        <v>0</v>
      </c>
      <c r="AL363" s="102">
        <f t="shared" si="439"/>
        <v>0</v>
      </c>
      <c r="AM363" s="102">
        <f t="shared" ref="AM363:AV363" si="440">$D363*AM$112*AM$8</f>
        <v>0</v>
      </c>
      <c r="AN363" s="102">
        <f t="shared" si="440"/>
        <v>0</v>
      </c>
      <c r="AO363" s="102">
        <f t="shared" si="440"/>
        <v>0</v>
      </c>
      <c r="AP363" s="102">
        <f t="shared" si="440"/>
        <v>0</v>
      </c>
      <c r="AQ363" s="102" t="str">
        <f t="shared" si="440"/>
        <v>#REF!</v>
      </c>
      <c r="AR363" s="102" t="str">
        <f t="shared" si="440"/>
        <v>#REF!</v>
      </c>
      <c r="AS363" s="102" t="str">
        <f t="shared" si="440"/>
        <v>#REF!</v>
      </c>
      <c r="AT363" s="102" t="str">
        <f t="shared" si="440"/>
        <v>#REF!</v>
      </c>
      <c r="AU363" s="102" t="str">
        <f t="shared" si="440"/>
        <v>#REF!</v>
      </c>
      <c r="AV363" s="102">
        <f t="shared" si="440"/>
        <v>0</v>
      </c>
      <c r="AW363" s="90"/>
      <c r="AX363" s="90"/>
      <c r="AY363" s="90"/>
      <c r="AZ363" s="90"/>
      <c r="BA363" s="90"/>
      <c r="BB363" s="90"/>
      <c r="BC363" s="90"/>
      <c r="BD363" s="90"/>
      <c r="BE363" s="90"/>
      <c r="BF363" s="90"/>
      <c r="BG363" s="90"/>
      <c r="BH363" s="90"/>
      <c r="BI363" s="90"/>
      <c r="BJ363" s="90"/>
      <c r="BK363" s="90"/>
      <c r="BL363" s="90"/>
      <c r="BM363" s="90"/>
      <c r="BN363" s="90"/>
      <c r="BO363" s="90"/>
      <c r="BP363" s="90"/>
    </row>
    <row r="364" ht="12.75" customHeight="1" outlineLevel="1">
      <c r="A364" s="90" t="s">
        <v>289</v>
      </c>
      <c r="C364" s="102">
        <f>'RSGen 1-7'!J$409</f>
        <v>0</v>
      </c>
      <c r="D364" s="102">
        <f>OFFSET(RSGen_Walton!$H$409,0,ROW(C364)-ROW($C$362))</f>
        <v>0</v>
      </c>
      <c r="E364" s="102">
        <f>OFFSET(RSGen_none!$H$409,0,ROW(D364)-ROW($C$362))</f>
        <v>0</v>
      </c>
      <c r="F364" s="102"/>
      <c r="G364" s="102"/>
      <c r="H364" s="313"/>
      <c r="I364" s="313"/>
      <c r="J364" s="313"/>
      <c r="K364" s="306"/>
      <c r="L364" s="306"/>
      <c r="M364" s="306"/>
      <c r="N364" s="306"/>
      <c r="O364" s="102">
        <f t="shared" ref="O364:AL364" si="441">(MAX(0,MIN(O9,SUM(O9:O$15)-$E$4))*$E364+MAX(0,MIN(O9,$D$4-SUM(O10:O$15)))*$C364+(O9-(MAX(0,MIN(O9,SUM(O9:O$15)-$E$4))+MAX(0,MIN(O9,$D$4-SUM(O10:O$15)))))*$D364)</f>
        <v>0</v>
      </c>
      <c r="P364" s="102">
        <f t="shared" si="441"/>
        <v>0</v>
      </c>
      <c r="Q364" s="102">
        <f t="shared" si="441"/>
        <v>0</v>
      </c>
      <c r="R364" s="102">
        <f t="shared" si="441"/>
        <v>0</v>
      </c>
      <c r="S364" s="102">
        <f t="shared" si="441"/>
        <v>0</v>
      </c>
      <c r="T364" s="102">
        <f t="shared" si="441"/>
        <v>0</v>
      </c>
      <c r="U364" s="102">
        <f t="shared" si="441"/>
        <v>0</v>
      </c>
      <c r="V364" s="102">
        <f t="shared" si="441"/>
        <v>0</v>
      </c>
      <c r="W364" s="102">
        <f t="shared" si="441"/>
        <v>0</v>
      </c>
      <c r="X364" s="102">
        <f t="shared" si="441"/>
        <v>0</v>
      </c>
      <c r="Y364" s="102">
        <f t="shared" si="441"/>
        <v>0</v>
      </c>
      <c r="Z364" s="102">
        <f t="shared" si="441"/>
        <v>0</v>
      </c>
      <c r="AA364" s="102">
        <f t="shared" si="441"/>
        <v>0</v>
      </c>
      <c r="AB364" s="102">
        <f t="shared" si="441"/>
        <v>0</v>
      </c>
      <c r="AC364" s="102">
        <f t="shared" si="441"/>
        <v>0</v>
      </c>
      <c r="AD364" s="102">
        <f t="shared" si="441"/>
        <v>0</v>
      </c>
      <c r="AE364" s="102">
        <f t="shared" si="441"/>
        <v>0</v>
      </c>
      <c r="AF364" s="102">
        <f t="shared" si="441"/>
        <v>0</v>
      </c>
      <c r="AG364" s="102">
        <f t="shared" si="441"/>
        <v>0</v>
      </c>
      <c r="AH364" s="102">
        <f t="shared" si="441"/>
        <v>0</v>
      </c>
      <c r="AI364" s="102">
        <f t="shared" si="441"/>
        <v>0</v>
      </c>
      <c r="AJ364" s="102">
        <f t="shared" si="441"/>
        <v>0</v>
      </c>
      <c r="AK364" s="102">
        <f t="shared" si="441"/>
        <v>0</v>
      </c>
      <c r="AL364" s="102">
        <f t="shared" si="441"/>
        <v>0</v>
      </c>
      <c r="AM364" s="102">
        <f t="shared" ref="AM364:AV364" si="442">$D364*AM$112*AM$9</f>
        <v>0</v>
      </c>
      <c r="AN364" s="102">
        <f t="shared" si="442"/>
        <v>0</v>
      </c>
      <c r="AO364" s="102">
        <f t="shared" si="442"/>
        <v>0</v>
      </c>
      <c r="AP364" s="102">
        <f t="shared" si="442"/>
        <v>0</v>
      </c>
      <c r="AQ364" s="102">
        <f t="shared" si="442"/>
        <v>0</v>
      </c>
      <c r="AR364" s="102" t="str">
        <f t="shared" si="442"/>
        <v>#REF!</v>
      </c>
      <c r="AS364" s="102" t="str">
        <f t="shared" si="442"/>
        <v>#REF!</v>
      </c>
      <c r="AT364" s="102" t="str">
        <f t="shared" si="442"/>
        <v>#REF!</v>
      </c>
      <c r="AU364" s="102" t="str">
        <f t="shared" si="442"/>
        <v>#REF!</v>
      </c>
      <c r="AV364" s="102" t="str">
        <f t="shared" si="442"/>
        <v>#REF!</v>
      </c>
      <c r="AW364" s="90"/>
      <c r="AX364" s="90"/>
      <c r="AY364" s="90"/>
      <c r="AZ364" s="90"/>
      <c r="BA364" s="90"/>
      <c r="BB364" s="90"/>
      <c r="BC364" s="90"/>
      <c r="BD364" s="90"/>
      <c r="BE364" s="90"/>
      <c r="BF364" s="90"/>
      <c r="BG364" s="90"/>
      <c r="BH364" s="90"/>
      <c r="BI364" s="90"/>
      <c r="BJ364" s="90"/>
      <c r="BK364" s="90"/>
      <c r="BL364" s="90"/>
      <c r="BM364" s="90"/>
      <c r="BN364" s="90"/>
      <c r="BO364" s="90"/>
      <c r="BP364" s="90"/>
    </row>
    <row r="365" ht="12.75" customHeight="1" outlineLevel="1">
      <c r="A365" s="90" t="s">
        <v>290</v>
      </c>
      <c r="C365" s="102">
        <f>'RSGen 1-7'!K$409</f>
        <v>0</v>
      </c>
      <c r="D365" s="102">
        <f>OFFSET(RSGen_Walton!$H$409,0,ROW(C365)-ROW($C$362))</f>
        <v>0</v>
      </c>
      <c r="E365" s="102">
        <f>OFFSET(RSGen_none!$H$409,0,ROW(D365)-ROW($C$362))</f>
        <v>0</v>
      </c>
      <c r="F365" s="102"/>
      <c r="G365" s="102"/>
      <c r="H365" s="313"/>
      <c r="I365" s="313"/>
      <c r="J365" s="313"/>
      <c r="K365" s="306"/>
      <c r="L365" s="306"/>
      <c r="M365" s="306"/>
      <c r="N365" s="306"/>
      <c r="O365" s="306"/>
      <c r="P365" s="102">
        <f t="shared" ref="P365:AL365" si="443">(MAX(0,MIN(P10,SUM(P10:P$15)-$E$4))*$E365+MAX(0,MIN(P10,$D$4-SUM(P11:P$15)))*$C365+(P10-(MAX(0,MIN(P10,SUM(P10:P$15)-$E$4))+MAX(0,MIN(P10,$D$4-SUM(P11:P$15)))))*$D365)</f>
        <v>0</v>
      </c>
      <c r="Q365" s="102">
        <f t="shared" si="443"/>
        <v>0</v>
      </c>
      <c r="R365" s="102">
        <f t="shared" si="443"/>
        <v>0</v>
      </c>
      <c r="S365" s="102">
        <f t="shared" si="443"/>
        <v>0</v>
      </c>
      <c r="T365" s="102">
        <f t="shared" si="443"/>
        <v>0</v>
      </c>
      <c r="U365" s="102">
        <f t="shared" si="443"/>
        <v>0</v>
      </c>
      <c r="V365" s="102">
        <f t="shared" si="443"/>
        <v>0</v>
      </c>
      <c r="W365" s="102">
        <f t="shared" si="443"/>
        <v>0</v>
      </c>
      <c r="X365" s="102">
        <f t="shared" si="443"/>
        <v>0</v>
      </c>
      <c r="Y365" s="102">
        <f t="shared" si="443"/>
        <v>0</v>
      </c>
      <c r="Z365" s="102">
        <f t="shared" si="443"/>
        <v>0</v>
      </c>
      <c r="AA365" s="102">
        <f t="shared" si="443"/>
        <v>0</v>
      </c>
      <c r="AB365" s="102">
        <f t="shared" si="443"/>
        <v>0</v>
      </c>
      <c r="AC365" s="102">
        <f t="shared" si="443"/>
        <v>0</v>
      </c>
      <c r="AD365" s="102">
        <f t="shared" si="443"/>
        <v>0</v>
      </c>
      <c r="AE365" s="102">
        <f t="shared" si="443"/>
        <v>0</v>
      </c>
      <c r="AF365" s="102">
        <f t="shared" si="443"/>
        <v>0</v>
      </c>
      <c r="AG365" s="102">
        <f t="shared" si="443"/>
        <v>0</v>
      </c>
      <c r="AH365" s="102">
        <f t="shared" si="443"/>
        <v>0</v>
      </c>
      <c r="AI365" s="102">
        <f t="shared" si="443"/>
        <v>0</v>
      </c>
      <c r="AJ365" s="102">
        <f t="shared" si="443"/>
        <v>0</v>
      </c>
      <c r="AK365" s="102">
        <f t="shared" si="443"/>
        <v>0</v>
      </c>
      <c r="AL365" s="102">
        <f t="shared" si="443"/>
        <v>0</v>
      </c>
      <c r="AM365" s="102">
        <f t="shared" ref="AM365:AV365" si="444">$D365*AM$112*AM$10</f>
        <v>0</v>
      </c>
      <c r="AN365" s="102">
        <f t="shared" si="444"/>
        <v>0</v>
      </c>
      <c r="AO365" s="102">
        <f t="shared" si="444"/>
        <v>0</v>
      </c>
      <c r="AP365" s="102">
        <f t="shared" si="444"/>
        <v>0</v>
      </c>
      <c r="AQ365" s="102">
        <f t="shared" si="444"/>
        <v>0</v>
      </c>
      <c r="AR365" s="102">
        <f t="shared" si="444"/>
        <v>0</v>
      </c>
      <c r="AS365" s="102" t="str">
        <f t="shared" si="444"/>
        <v>#REF!</v>
      </c>
      <c r="AT365" s="102" t="str">
        <f t="shared" si="444"/>
        <v>#REF!</v>
      </c>
      <c r="AU365" s="102" t="str">
        <f t="shared" si="444"/>
        <v>#REF!</v>
      </c>
      <c r="AV365" s="102" t="str">
        <f t="shared" si="444"/>
        <v>#REF!</v>
      </c>
      <c r="AW365" s="90"/>
      <c r="AX365" s="90"/>
      <c r="AY365" s="90"/>
      <c r="AZ365" s="90"/>
      <c r="BA365" s="90"/>
      <c r="BB365" s="90"/>
      <c r="BC365" s="90"/>
      <c r="BD365" s="90"/>
      <c r="BE365" s="90"/>
      <c r="BF365" s="90"/>
      <c r="BG365" s="90"/>
      <c r="BH365" s="90"/>
      <c r="BI365" s="90"/>
      <c r="BJ365" s="90"/>
      <c r="BK365" s="90"/>
      <c r="BL365" s="90"/>
      <c r="BM365" s="90"/>
      <c r="BN365" s="90"/>
      <c r="BO365" s="90"/>
      <c r="BP365" s="90"/>
    </row>
    <row r="366" ht="12.75" customHeight="1" outlineLevel="1">
      <c r="A366" s="90" t="s">
        <v>291</v>
      </c>
      <c r="C366" s="102">
        <f>'RSGen 1-7'!L$409</f>
        <v>0</v>
      </c>
      <c r="D366" s="102">
        <f>OFFSET(RSGen_Walton!$H$409,0,ROW(C366)-ROW($C$362))</f>
        <v>0</v>
      </c>
      <c r="E366" s="102">
        <f>OFFSET(RSGen_none!$H$409,0,ROW(D366)-ROW($C$362))</f>
        <v>0</v>
      </c>
      <c r="F366" s="102"/>
      <c r="G366" s="102"/>
      <c r="H366" s="313"/>
      <c r="I366" s="313"/>
      <c r="J366" s="313"/>
      <c r="K366" s="306"/>
      <c r="L366" s="306"/>
      <c r="M366" s="306"/>
      <c r="N366" s="306"/>
      <c r="O366" s="306"/>
      <c r="P366" s="306"/>
      <c r="Q366" s="102">
        <f t="shared" ref="Q366:AL366" si="445">(MAX(0,MIN(Q11,SUM(Q11:Q$15)-$E$4))*$E366+MAX(0,MIN(Q11,$D$4-SUM(Q12:Q$15)))*$C366+(Q11-(MAX(0,MIN(Q11,SUM(Q11:Q$15)-$E$4))+MAX(0,MIN(Q11,$D$4-SUM(Q12:Q$15)))))*$D366)</f>
        <v>0</v>
      </c>
      <c r="R366" s="102">
        <f t="shared" si="445"/>
        <v>0</v>
      </c>
      <c r="S366" s="102">
        <f t="shared" si="445"/>
        <v>0</v>
      </c>
      <c r="T366" s="102">
        <f t="shared" si="445"/>
        <v>0</v>
      </c>
      <c r="U366" s="102">
        <f t="shared" si="445"/>
        <v>0</v>
      </c>
      <c r="V366" s="102">
        <f t="shared" si="445"/>
        <v>0</v>
      </c>
      <c r="W366" s="102">
        <f t="shared" si="445"/>
        <v>0</v>
      </c>
      <c r="X366" s="102">
        <f t="shared" si="445"/>
        <v>0</v>
      </c>
      <c r="Y366" s="102">
        <f t="shared" si="445"/>
        <v>0</v>
      </c>
      <c r="Z366" s="102">
        <f t="shared" si="445"/>
        <v>0</v>
      </c>
      <c r="AA366" s="102">
        <f t="shared" si="445"/>
        <v>0</v>
      </c>
      <c r="AB366" s="102">
        <f t="shared" si="445"/>
        <v>0</v>
      </c>
      <c r="AC366" s="102">
        <f t="shared" si="445"/>
        <v>0</v>
      </c>
      <c r="AD366" s="102">
        <f t="shared" si="445"/>
        <v>0</v>
      </c>
      <c r="AE366" s="102">
        <f t="shared" si="445"/>
        <v>0</v>
      </c>
      <c r="AF366" s="102">
        <f t="shared" si="445"/>
        <v>0</v>
      </c>
      <c r="AG366" s="102">
        <f t="shared" si="445"/>
        <v>0</v>
      </c>
      <c r="AH366" s="102">
        <f t="shared" si="445"/>
        <v>0</v>
      </c>
      <c r="AI366" s="102">
        <f t="shared" si="445"/>
        <v>0</v>
      </c>
      <c r="AJ366" s="102">
        <f t="shared" si="445"/>
        <v>0</v>
      </c>
      <c r="AK366" s="102">
        <f t="shared" si="445"/>
        <v>0</v>
      </c>
      <c r="AL366" s="102">
        <f t="shared" si="445"/>
        <v>0</v>
      </c>
      <c r="AM366" s="102">
        <f t="shared" ref="AM366:AV366" si="446">$D366*AM$112*AM$11</f>
        <v>0</v>
      </c>
      <c r="AN366" s="102">
        <f t="shared" si="446"/>
        <v>0</v>
      </c>
      <c r="AO366" s="102">
        <f t="shared" si="446"/>
        <v>0</v>
      </c>
      <c r="AP366" s="102">
        <f t="shared" si="446"/>
        <v>0</v>
      </c>
      <c r="AQ366" s="102">
        <f t="shared" si="446"/>
        <v>0</v>
      </c>
      <c r="AR366" s="102">
        <f t="shared" si="446"/>
        <v>0</v>
      </c>
      <c r="AS366" s="102">
        <f t="shared" si="446"/>
        <v>0</v>
      </c>
      <c r="AT366" s="102" t="str">
        <f t="shared" si="446"/>
        <v>#REF!</v>
      </c>
      <c r="AU366" s="102" t="str">
        <f t="shared" si="446"/>
        <v>#REF!</v>
      </c>
      <c r="AV366" s="102" t="str">
        <f t="shared" si="446"/>
        <v>#REF!</v>
      </c>
      <c r="AW366" s="90"/>
      <c r="AX366" s="90"/>
      <c r="AY366" s="90"/>
      <c r="AZ366" s="90"/>
      <c r="BA366" s="90"/>
      <c r="BB366" s="90"/>
      <c r="BC366" s="90"/>
      <c r="BD366" s="90"/>
      <c r="BE366" s="90"/>
      <c r="BF366" s="90"/>
      <c r="BG366" s="90"/>
      <c r="BH366" s="90"/>
      <c r="BI366" s="90"/>
      <c r="BJ366" s="90"/>
      <c r="BK366" s="90"/>
      <c r="BL366" s="90"/>
      <c r="BM366" s="90"/>
      <c r="BN366" s="90"/>
      <c r="BO366" s="90"/>
      <c r="BP366" s="90"/>
    </row>
    <row r="367" ht="12.75" customHeight="1" outlineLevel="1">
      <c r="A367" s="90" t="s">
        <v>292</v>
      </c>
      <c r="C367" s="102">
        <f>'RSGen 1-7'!M$409</f>
        <v>0</v>
      </c>
      <c r="D367" s="102">
        <f>OFFSET(RSGen_Walton!$H$409,0,ROW(C367)-ROW($C$362))</f>
        <v>0</v>
      </c>
      <c r="E367" s="102">
        <f>OFFSET(RSGen_none!$H$409,0,ROW(D367)-ROW($C$362))</f>
        <v>0</v>
      </c>
      <c r="F367" s="102"/>
      <c r="G367" s="102"/>
      <c r="H367" s="313"/>
      <c r="I367" s="313"/>
      <c r="J367" s="313"/>
      <c r="K367" s="306"/>
      <c r="L367" s="306"/>
      <c r="M367" s="306"/>
      <c r="N367" s="306"/>
      <c r="O367" s="306"/>
      <c r="P367" s="306"/>
      <c r="Q367" s="306"/>
      <c r="R367" s="102">
        <f t="shared" ref="R367:AL367" si="447">(MAX(0,MIN(R12,SUM(R12:R$15)-$E$4))*$E367+MAX(0,MIN(R12,$D$4-SUM(R13:R$15)))*$C367+(R12-(MAX(0,MIN(R12,SUM(R12:R$15)-$E$4))+MAX(0,MIN(R12,$D$4-SUM(R13:R$15)))))*$D367)</f>
        <v>0</v>
      </c>
      <c r="S367" s="102">
        <f t="shared" si="447"/>
        <v>0</v>
      </c>
      <c r="T367" s="102">
        <f t="shared" si="447"/>
        <v>0</v>
      </c>
      <c r="U367" s="102">
        <f t="shared" si="447"/>
        <v>0</v>
      </c>
      <c r="V367" s="102">
        <f t="shared" si="447"/>
        <v>0</v>
      </c>
      <c r="W367" s="102">
        <f t="shared" si="447"/>
        <v>0</v>
      </c>
      <c r="X367" s="102">
        <f t="shared" si="447"/>
        <v>0</v>
      </c>
      <c r="Y367" s="102">
        <f t="shared" si="447"/>
        <v>0</v>
      </c>
      <c r="Z367" s="102">
        <f t="shared" si="447"/>
        <v>0</v>
      </c>
      <c r="AA367" s="102">
        <f t="shared" si="447"/>
        <v>0</v>
      </c>
      <c r="AB367" s="102">
        <f t="shared" si="447"/>
        <v>0</v>
      </c>
      <c r="AC367" s="102">
        <f t="shared" si="447"/>
        <v>0</v>
      </c>
      <c r="AD367" s="102">
        <f t="shared" si="447"/>
        <v>0</v>
      </c>
      <c r="AE367" s="102">
        <f t="shared" si="447"/>
        <v>0</v>
      </c>
      <c r="AF367" s="102">
        <f t="shared" si="447"/>
        <v>0</v>
      </c>
      <c r="AG367" s="102">
        <f t="shared" si="447"/>
        <v>0</v>
      </c>
      <c r="AH367" s="102">
        <f t="shared" si="447"/>
        <v>0</v>
      </c>
      <c r="AI367" s="102">
        <f t="shared" si="447"/>
        <v>0</v>
      </c>
      <c r="AJ367" s="102">
        <f t="shared" si="447"/>
        <v>0</v>
      </c>
      <c r="AK367" s="102">
        <f t="shared" si="447"/>
        <v>0</v>
      </c>
      <c r="AL367" s="102">
        <f t="shared" si="447"/>
        <v>0</v>
      </c>
      <c r="AM367" s="102">
        <f t="shared" ref="AM367:AV367" si="448">$D367*AM$112*AM$12</f>
        <v>0</v>
      </c>
      <c r="AN367" s="102">
        <f t="shared" si="448"/>
        <v>0</v>
      </c>
      <c r="AO367" s="102">
        <f t="shared" si="448"/>
        <v>0</v>
      </c>
      <c r="AP367" s="102">
        <f t="shared" si="448"/>
        <v>0</v>
      </c>
      <c r="AQ367" s="102">
        <f t="shared" si="448"/>
        <v>0</v>
      </c>
      <c r="AR367" s="102">
        <f t="shared" si="448"/>
        <v>0</v>
      </c>
      <c r="AS367" s="102">
        <f t="shared" si="448"/>
        <v>0</v>
      </c>
      <c r="AT367" s="102">
        <f t="shared" si="448"/>
        <v>0</v>
      </c>
      <c r="AU367" s="102" t="str">
        <f t="shared" si="448"/>
        <v>#REF!</v>
      </c>
      <c r="AV367" s="102" t="str">
        <f t="shared" si="448"/>
        <v>#REF!</v>
      </c>
      <c r="AW367" s="90"/>
      <c r="AX367" s="90"/>
      <c r="AY367" s="90"/>
      <c r="AZ367" s="90"/>
      <c r="BA367" s="90"/>
      <c r="BB367" s="90"/>
      <c r="BC367" s="90"/>
      <c r="BD367" s="90"/>
      <c r="BE367" s="90"/>
      <c r="BF367" s="90"/>
      <c r="BG367" s="90"/>
      <c r="BH367" s="90"/>
      <c r="BI367" s="90"/>
      <c r="BJ367" s="90"/>
      <c r="BK367" s="90"/>
      <c r="BL367" s="90"/>
      <c r="BM367" s="90"/>
      <c r="BN367" s="90"/>
      <c r="BO367" s="90"/>
      <c r="BP367" s="90"/>
    </row>
    <row r="368" ht="12.75" customHeight="1" outlineLevel="1">
      <c r="A368" s="90" t="s">
        <v>293</v>
      </c>
      <c r="C368" s="102">
        <f>'RSGen 1-7'!N$409</f>
        <v>0</v>
      </c>
      <c r="D368" s="102">
        <f>OFFSET(RSGen_Walton!$H$409,0,ROW(C368)-ROW($C$362))</f>
        <v>0</v>
      </c>
      <c r="E368" s="102">
        <f>OFFSET(RSGen_none!$H$409,0,ROW(D368)-ROW($C$362))</f>
        <v>0</v>
      </c>
      <c r="F368" s="102"/>
      <c r="G368" s="102"/>
      <c r="H368" s="313"/>
      <c r="I368" s="313"/>
      <c r="J368" s="313"/>
      <c r="K368" s="306"/>
      <c r="L368" s="306"/>
      <c r="M368" s="306"/>
      <c r="N368" s="306"/>
      <c r="O368" s="306"/>
      <c r="P368" s="306"/>
      <c r="Q368" s="306"/>
      <c r="R368" s="306"/>
      <c r="S368" s="102">
        <f t="shared" ref="S368:AL368" si="449">(MAX(0,MIN(S13,SUM(S13:S$15)-$E$4))*$E368+MAX(0,MIN(S13,$D$4-SUM(S14:S$15)))*$C368+(S13-(MAX(0,MIN(S13,SUM(S13:S$15)-$E$4))+MAX(0,MIN(S13,$D$4-SUM(S14:S$15)))))*$D368)</f>
        <v>0</v>
      </c>
      <c r="T368" s="102">
        <f t="shared" si="449"/>
        <v>0</v>
      </c>
      <c r="U368" s="102">
        <f t="shared" si="449"/>
        <v>0</v>
      </c>
      <c r="V368" s="102">
        <f t="shared" si="449"/>
        <v>0</v>
      </c>
      <c r="W368" s="102">
        <f t="shared" si="449"/>
        <v>0</v>
      </c>
      <c r="X368" s="102">
        <f t="shared" si="449"/>
        <v>0</v>
      </c>
      <c r="Y368" s="102">
        <f t="shared" si="449"/>
        <v>0</v>
      </c>
      <c r="Z368" s="102">
        <f t="shared" si="449"/>
        <v>0</v>
      </c>
      <c r="AA368" s="102">
        <f t="shared" si="449"/>
        <v>0</v>
      </c>
      <c r="AB368" s="102">
        <f t="shared" si="449"/>
        <v>0</v>
      </c>
      <c r="AC368" s="102">
        <f t="shared" si="449"/>
        <v>0</v>
      </c>
      <c r="AD368" s="102">
        <f t="shared" si="449"/>
        <v>0</v>
      </c>
      <c r="AE368" s="102">
        <f t="shared" si="449"/>
        <v>0</v>
      </c>
      <c r="AF368" s="102">
        <f t="shared" si="449"/>
        <v>0</v>
      </c>
      <c r="AG368" s="102">
        <f t="shared" si="449"/>
        <v>0</v>
      </c>
      <c r="AH368" s="102">
        <f t="shared" si="449"/>
        <v>0</v>
      </c>
      <c r="AI368" s="102">
        <f t="shared" si="449"/>
        <v>0</v>
      </c>
      <c r="AJ368" s="102">
        <f t="shared" si="449"/>
        <v>0</v>
      </c>
      <c r="AK368" s="102">
        <f t="shared" si="449"/>
        <v>0</v>
      </c>
      <c r="AL368" s="102">
        <f t="shared" si="449"/>
        <v>0</v>
      </c>
      <c r="AM368" s="102">
        <f t="shared" ref="AM368:AV368" si="450">$D368*AM$112*AM$13</f>
        <v>0</v>
      </c>
      <c r="AN368" s="102">
        <f t="shared" si="450"/>
        <v>0</v>
      </c>
      <c r="AO368" s="102">
        <f t="shared" si="450"/>
        <v>0</v>
      </c>
      <c r="AP368" s="102">
        <f t="shared" si="450"/>
        <v>0</v>
      </c>
      <c r="AQ368" s="102">
        <f t="shared" si="450"/>
        <v>0</v>
      </c>
      <c r="AR368" s="102">
        <f t="shared" si="450"/>
        <v>0</v>
      </c>
      <c r="AS368" s="102">
        <f t="shared" si="450"/>
        <v>0</v>
      </c>
      <c r="AT368" s="102">
        <f t="shared" si="450"/>
        <v>0</v>
      </c>
      <c r="AU368" s="102">
        <f t="shared" si="450"/>
        <v>0</v>
      </c>
      <c r="AV368" s="102" t="str">
        <f t="shared" si="450"/>
        <v>#REF!</v>
      </c>
      <c r="AW368" s="90"/>
      <c r="AX368" s="90"/>
      <c r="AY368" s="90"/>
      <c r="AZ368" s="90"/>
      <c r="BA368" s="90"/>
      <c r="BB368" s="90"/>
      <c r="BC368" s="90"/>
      <c r="BD368" s="90"/>
      <c r="BE368" s="90"/>
      <c r="BF368" s="90"/>
      <c r="BG368" s="90"/>
      <c r="BH368" s="90"/>
      <c r="BI368" s="90"/>
      <c r="BJ368" s="90"/>
      <c r="BK368" s="90"/>
      <c r="BL368" s="90"/>
      <c r="BM368" s="90"/>
      <c r="BN368" s="90"/>
      <c r="BO368" s="90"/>
      <c r="BP368" s="90"/>
    </row>
    <row r="369" ht="12.75" customHeight="1" outlineLevel="1">
      <c r="A369" s="90" t="s">
        <v>294</v>
      </c>
      <c r="C369" s="102">
        <f>'RSGen 1-7'!O$409</f>
        <v>200000</v>
      </c>
      <c r="D369" s="102">
        <f>OFFSET(RSGen_Walton!$H$409,0,ROW(C369)-ROW($C$362))</f>
        <v>200000</v>
      </c>
      <c r="E369" s="102">
        <f>OFFSET(RSGen_none!$H$409,0,ROW(D369)-ROW($C$362))</f>
        <v>200000</v>
      </c>
      <c r="F369" s="102"/>
      <c r="G369" s="102"/>
      <c r="H369" s="313"/>
      <c r="I369" s="313"/>
      <c r="J369" s="313"/>
      <c r="K369" s="306"/>
      <c r="L369" s="306"/>
      <c r="M369" s="306"/>
      <c r="N369" s="306"/>
      <c r="O369" s="306"/>
      <c r="P369" s="306"/>
      <c r="Q369" s="306"/>
      <c r="R369" s="306"/>
      <c r="S369" s="306"/>
      <c r="T369" s="102">
        <f t="shared" ref="T369:AL369" si="451">(MAX(0,MIN(T14,SUM(T14:T$15)-$E$4))*$E369+MAX(0,MIN(T14,$D$4-SUM(T$15:T15)))*$C369+(T14-(MAX(0,MIN(T14,SUM(T14:T$15)-$E$4))+MAX(0,MIN(T14,$D$4-SUM(T$15:T15)))))*$D369)</f>
        <v>400000</v>
      </c>
      <c r="U369" s="102">
        <f t="shared" si="451"/>
        <v>600000</v>
      </c>
      <c r="V369" s="102">
        <f t="shared" si="451"/>
        <v>1000000</v>
      </c>
      <c r="W369" s="102">
        <f t="shared" si="451"/>
        <v>1600000</v>
      </c>
      <c r="X369" s="102">
        <f t="shared" si="451"/>
        <v>2600000</v>
      </c>
      <c r="Y369" s="102">
        <f t="shared" si="451"/>
        <v>4400000</v>
      </c>
      <c r="Z369" s="102">
        <f t="shared" si="451"/>
        <v>6800000</v>
      </c>
      <c r="AA369" s="102">
        <f t="shared" si="451"/>
        <v>9000000</v>
      </c>
      <c r="AB369" s="102">
        <f t="shared" si="451"/>
        <v>9000000</v>
      </c>
      <c r="AC369" s="102">
        <f t="shared" si="451"/>
        <v>13200000</v>
      </c>
      <c r="AD369" s="102">
        <f t="shared" si="451"/>
        <v>16000000</v>
      </c>
      <c r="AE369" s="102">
        <f t="shared" si="451"/>
        <v>28400000</v>
      </c>
      <c r="AF369" s="102">
        <f t="shared" si="451"/>
        <v>38600000</v>
      </c>
      <c r="AG369" s="102">
        <f t="shared" si="451"/>
        <v>48400000</v>
      </c>
      <c r="AH369" s="102">
        <f t="shared" si="451"/>
        <v>54600000</v>
      </c>
      <c r="AI369" s="102">
        <f t="shared" si="451"/>
        <v>64800000</v>
      </c>
      <c r="AJ369" s="102">
        <f t="shared" si="451"/>
        <v>70000000</v>
      </c>
      <c r="AK369" s="102">
        <f t="shared" si="451"/>
        <v>69000000</v>
      </c>
      <c r="AL369" s="102">
        <f t="shared" si="451"/>
        <v>54400000</v>
      </c>
      <c r="AM369" s="102">
        <f t="shared" ref="AM369:AV369" si="452">$D369*AM$14</f>
        <v>6600000</v>
      </c>
      <c r="AN369" s="102">
        <f t="shared" si="452"/>
        <v>0</v>
      </c>
      <c r="AO369" s="102">
        <f t="shared" si="452"/>
        <v>0</v>
      </c>
      <c r="AP369" s="102">
        <f t="shared" si="452"/>
        <v>0</v>
      </c>
      <c r="AQ369" s="102">
        <f t="shared" si="452"/>
        <v>0</v>
      </c>
      <c r="AR369" s="102">
        <f t="shared" si="452"/>
        <v>0</v>
      </c>
      <c r="AS369" s="102">
        <f t="shared" si="452"/>
        <v>0</v>
      </c>
      <c r="AT369" s="102">
        <f t="shared" si="452"/>
        <v>0</v>
      </c>
      <c r="AU369" s="102">
        <f t="shared" si="452"/>
        <v>0</v>
      </c>
      <c r="AV369" s="102">
        <f t="shared" si="452"/>
        <v>0</v>
      </c>
      <c r="AW369" s="90"/>
      <c r="AX369" s="90"/>
      <c r="AY369" s="90"/>
      <c r="AZ369" s="90"/>
      <c r="BA369" s="90"/>
      <c r="BB369" s="90"/>
      <c r="BC369" s="90"/>
      <c r="BD369" s="90"/>
      <c r="BE369" s="90"/>
      <c r="BF369" s="90"/>
      <c r="BG369" s="90"/>
      <c r="BH369" s="90"/>
      <c r="BI369" s="90"/>
      <c r="BJ369" s="90"/>
      <c r="BK369" s="90"/>
      <c r="BL369" s="90"/>
      <c r="BM369" s="90"/>
      <c r="BN369" s="90"/>
      <c r="BO369" s="90"/>
      <c r="BP369" s="90"/>
    </row>
    <row r="370" ht="12.75" customHeight="1" outlineLevel="1">
      <c r="A370" s="90" t="s">
        <v>295</v>
      </c>
      <c r="C370" s="102" t="str">
        <f>'RSGen 1-7'!P$409</f>
        <v/>
      </c>
      <c r="D370" s="102" t="str">
        <f>OFFSET(RSGen_Walton!$H$409,0,ROW(C370)-ROW($C$362))</f>
        <v/>
      </c>
      <c r="E370" s="102" t="str">
        <f>OFFSET(RSGen_none!$H$409,0,ROW(D370)-ROW($C$362))</f>
        <v/>
      </c>
      <c r="F370" s="102"/>
      <c r="G370" s="102"/>
      <c r="H370" s="313"/>
      <c r="I370" s="313"/>
      <c r="J370" s="313"/>
      <c r="K370" s="306"/>
      <c r="L370" s="306"/>
      <c r="M370" s="306"/>
      <c r="N370" s="306"/>
      <c r="O370" s="306"/>
      <c r="P370" s="306"/>
      <c r="Q370" s="306"/>
      <c r="R370" s="306"/>
      <c r="S370" s="306"/>
      <c r="T370" s="306"/>
      <c r="U370" s="102">
        <f t="shared" ref="U370:AL370" si="453">U$112*($C370*MIN($D$4-3,U15-3)+$D370*MIN($E$4-$D$4,MAX(0,U15-$D$4))+$E370*MAX(0,U15-$E$4))</f>
        <v>0</v>
      </c>
      <c r="V370" s="102">
        <f t="shared" si="453"/>
        <v>0</v>
      </c>
      <c r="W370" s="102">
        <f t="shared" si="453"/>
        <v>0</v>
      </c>
      <c r="X370" s="102">
        <f t="shared" si="453"/>
        <v>0</v>
      </c>
      <c r="Y370" s="102">
        <f t="shared" si="453"/>
        <v>0</v>
      </c>
      <c r="Z370" s="102">
        <f t="shared" si="453"/>
        <v>0</v>
      </c>
      <c r="AA370" s="102">
        <f t="shared" si="453"/>
        <v>0</v>
      </c>
      <c r="AB370" s="102">
        <f t="shared" si="453"/>
        <v>0</v>
      </c>
      <c r="AC370" s="102">
        <f t="shared" si="453"/>
        <v>0</v>
      </c>
      <c r="AD370" s="102">
        <f t="shared" si="453"/>
        <v>0</v>
      </c>
      <c r="AE370" s="102">
        <f t="shared" si="453"/>
        <v>0</v>
      </c>
      <c r="AF370" s="102">
        <f t="shared" si="453"/>
        <v>0</v>
      </c>
      <c r="AG370" s="102">
        <f t="shared" si="453"/>
        <v>0</v>
      </c>
      <c r="AH370" s="102">
        <f t="shared" si="453"/>
        <v>0</v>
      </c>
      <c r="AI370" s="102">
        <f t="shared" si="453"/>
        <v>0</v>
      </c>
      <c r="AJ370" s="102">
        <f t="shared" si="453"/>
        <v>0</v>
      </c>
      <c r="AK370" s="102">
        <f t="shared" si="453"/>
        <v>0</v>
      </c>
      <c r="AL370" s="102">
        <f t="shared" si="453"/>
        <v>0</v>
      </c>
      <c r="AM370" s="102">
        <f t="shared" ref="AM370:AV370" si="454">$C370*AM$112*(4)+$C370*AM$112*(AM$15-7)</f>
        <v>0</v>
      </c>
      <c r="AN370" s="102">
        <f t="shared" si="454"/>
        <v>0</v>
      </c>
      <c r="AO370" s="102">
        <f t="shared" si="454"/>
        <v>0</v>
      </c>
      <c r="AP370" s="102">
        <f t="shared" si="454"/>
        <v>0</v>
      </c>
      <c r="AQ370" s="102">
        <f t="shared" si="454"/>
        <v>0</v>
      </c>
      <c r="AR370" s="102">
        <f t="shared" si="454"/>
        <v>0</v>
      </c>
      <c r="AS370" s="102">
        <f t="shared" si="454"/>
        <v>0</v>
      </c>
      <c r="AT370" s="102">
        <f t="shared" si="454"/>
        <v>0</v>
      </c>
      <c r="AU370" s="102">
        <f t="shared" si="454"/>
        <v>0</v>
      </c>
      <c r="AV370" s="102">
        <f t="shared" si="454"/>
        <v>0</v>
      </c>
      <c r="AW370" s="90"/>
      <c r="AX370" s="90"/>
      <c r="AY370" s="90"/>
      <c r="AZ370" s="90"/>
      <c r="BA370" s="90"/>
      <c r="BB370" s="90"/>
      <c r="BC370" s="90"/>
      <c r="BD370" s="90"/>
      <c r="BE370" s="90"/>
      <c r="BF370" s="90"/>
      <c r="BG370" s="90"/>
      <c r="BH370" s="90"/>
      <c r="BI370" s="90"/>
      <c r="BJ370" s="90"/>
      <c r="BK370" s="90"/>
      <c r="BL370" s="90"/>
      <c r="BM370" s="90"/>
      <c r="BN370" s="90"/>
      <c r="BO370" s="90"/>
      <c r="BP370" s="90"/>
    </row>
    <row r="371" ht="13.5" customHeight="1" outlineLevel="1">
      <c r="A371" s="143" t="str">
        <f>"Total "&amp;A361</f>
        <v>Total LLC Loan</v>
      </c>
      <c r="B371" s="143"/>
      <c r="C371" s="309"/>
      <c r="D371" s="309"/>
      <c r="E371" s="309"/>
      <c r="F371" s="309"/>
      <c r="G371" s="309"/>
      <c r="H371" s="314"/>
      <c r="I371" s="314"/>
      <c r="J371" s="314"/>
      <c r="K371" s="311"/>
      <c r="L371" s="311"/>
      <c r="M371" s="307">
        <f t="shared" ref="M371:AV371" si="455">SUM(M362:M370)</f>
        <v>-400000</v>
      </c>
      <c r="N371" s="307">
        <f t="shared" si="455"/>
        <v>-600000</v>
      </c>
      <c r="O371" s="307">
        <f t="shared" si="455"/>
        <v>-1000000</v>
      </c>
      <c r="P371" s="307">
        <f t="shared" si="455"/>
        <v>-1600000</v>
      </c>
      <c r="Q371" s="307">
        <f t="shared" si="455"/>
        <v>-2600000</v>
      </c>
      <c r="R371" s="307">
        <f t="shared" si="455"/>
        <v>-4400000</v>
      </c>
      <c r="S371" s="307">
        <f t="shared" si="455"/>
        <v>-6800000</v>
      </c>
      <c r="T371" s="309">
        <f t="shared" si="455"/>
        <v>-8600000</v>
      </c>
      <c r="U371" s="309">
        <f t="shared" si="455"/>
        <v>-8400000</v>
      </c>
      <c r="V371" s="309">
        <f t="shared" si="455"/>
        <v>-12200000</v>
      </c>
      <c r="W371" s="309">
        <f t="shared" si="455"/>
        <v>-14400000</v>
      </c>
      <c r="X371" s="309">
        <f t="shared" si="455"/>
        <v>-25800000</v>
      </c>
      <c r="Y371" s="309">
        <f t="shared" si="455"/>
        <v>-34200000</v>
      </c>
      <c r="Z371" s="309">
        <f t="shared" si="455"/>
        <v>-41600000</v>
      </c>
      <c r="AA371" s="309">
        <f t="shared" si="455"/>
        <v>-45600000</v>
      </c>
      <c r="AB371" s="309">
        <f t="shared" si="455"/>
        <v>-55800000</v>
      </c>
      <c r="AC371" s="309">
        <f t="shared" si="455"/>
        <v>-56800000</v>
      </c>
      <c r="AD371" s="309">
        <f t="shared" si="455"/>
        <v>-53000000</v>
      </c>
      <c r="AE371" s="309">
        <f t="shared" si="455"/>
        <v>-26000000</v>
      </c>
      <c r="AF371" s="309">
        <f t="shared" si="455"/>
        <v>32000000</v>
      </c>
      <c r="AG371" s="309">
        <f t="shared" si="455"/>
        <v>48400000</v>
      </c>
      <c r="AH371" s="309">
        <f t="shared" si="455"/>
        <v>54600000</v>
      </c>
      <c r="AI371" s="309">
        <f t="shared" si="455"/>
        <v>64800000</v>
      </c>
      <c r="AJ371" s="309">
        <f t="shared" si="455"/>
        <v>70000000</v>
      </c>
      <c r="AK371" s="309">
        <f t="shared" si="455"/>
        <v>69000000</v>
      </c>
      <c r="AL371" s="309">
        <f t="shared" si="455"/>
        <v>54400000</v>
      </c>
      <c r="AM371" s="309">
        <f t="shared" si="455"/>
        <v>6600000</v>
      </c>
      <c r="AN371" s="309">
        <f t="shared" si="455"/>
        <v>0</v>
      </c>
      <c r="AO371" s="309">
        <f t="shared" si="455"/>
        <v>0</v>
      </c>
      <c r="AP371" s="309" t="str">
        <f t="shared" si="455"/>
        <v>#REF!</v>
      </c>
      <c r="AQ371" s="309" t="str">
        <f t="shared" si="455"/>
        <v>#REF!</v>
      </c>
      <c r="AR371" s="309" t="str">
        <f t="shared" si="455"/>
        <v>#REF!</v>
      </c>
      <c r="AS371" s="309" t="str">
        <f t="shared" si="455"/>
        <v>#REF!</v>
      </c>
      <c r="AT371" s="309" t="str">
        <f t="shared" si="455"/>
        <v>#REF!</v>
      </c>
      <c r="AU371" s="309" t="str">
        <f t="shared" si="455"/>
        <v>#REF!</v>
      </c>
      <c r="AV371" s="309" t="str">
        <f t="shared" si="455"/>
        <v>#REF!</v>
      </c>
      <c r="AW371" s="90"/>
      <c r="AX371" s="90"/>
      <c r="AY371" s="90"/>
      <c r="AZ371" s="90"/>
      <c r="BA371" s="90"/>
      <c r="BB371" s="90"/>
      <c r="BC371" s="90"/>
      <c r="BD371" s="90"/>
      <c r="BE371" s="90"/>
      <c r="BF371" s="90"/>
      <c r="BG371" s="90"/>
      <c r="BH371" s="90"/>
      <c r="BI371" s="90"/>
      <c r="BJ371" s="90"/>
      <c r="BK371" s="90"/>
      <c r="BL371" s="90"/>
      <c r="BM371" s="90"/>
      <c r="BN371" s="90"/>
      <c r="BO371" s="90"/>
      <c r="BP371" s="90"/>
    </row>
    <row r="372" ht="13.5" customHeight="1" outlineLevel="1">
      <c r="A372" s="90"/>
      <c r="C372" s="102"/>
      <c r="D372" s="102"/>
      <c r="E372" s="102"/>
      <c r="F372" s="102"/>
      <c r="G372" s="102"/>
      <c r="K372" s="102"/>
      <c r="L372" s="102"/>
      <c r="M372" s="102"/>
      <c r="N372" s="102"/>
      <c r="O372" s="102"/>
      <c r="P372" s="102"/>
      <c r="Q372" s="102"/>
      <c r="R372" s="102"/>
      <c r="S372" s="102"/>
      <c r="T372" s="102"/>
      <c r="U372" s="102"/>
      <c r="V372" s="102"/>
      <c r="W372" s="102"/>
      <c r="X372" s="102"/>
      <c r="Y372" s="102"/>
      <c r="Z372" s="102"/>
      <c r="AA372" s="102"/>
      <c r="AB372" s="102"/>
      <c r="AC372" s="102"/>
      <c r="AD372" s="102"/>
      <c r="AE372" s="102"/>
      <c r="AF372" s="102"/>
      <c r="AG372" s="102"/>
      <c r="AH372" s="102"/>
      <c r="AI372" s="102"/>
      <c r="AJ372" s="102"/>
      <c r="AK372" s="102"/>
      <c r="AL372" s="102"/>
      <c r="AM372" s="102"/>
      <c r="AN372" s="102"/>
      <c r="AO372" s="102"/>
      <c r="AP372" s="102"/>
      <c r="AQ372" s="102"/>
      <c r="AR372" s="102"/>
      <c r="AS372" s="102"/>
      <c r="AT372" s="102"/>
      <c r="AU372" s="102"/>
      <c r="AV372" s="102"/>
      <c r="AW372" s="90"/>
      <c r="AX372" s="90"/>
      <c r="AY372" s="90"/>
      <c r="AZ372" s="90"/>
      <c r="BA372" s="90"/>
      <c r="BB372" s="90"/>
      <c r="BC372" s="90"/>
      <c r="BD372" s="90"/>
      <c r="BE372" s="90"/>
      <c r="BF372" s="90"/>
      <c r="BG372" s="90"/>
      <c r="BH372" s="90"/>
      <c r="BI372" s="90"/>
      <c r="BJ372" s="90"/>
      <c r="BK372" s="90"/>
      <c r="BL372" s="90"/>
      <c r="BM372" s="90"/>
      <c r="BN372" s="90"/>
      <c r="BO372" s="90"/>
      <c r="BP372" s="90"/>
    </row>
    <row r="373" ht="12.75" customHeight="1" outlineLevel="1">
      <c r="A373" s="90" t="s">
        <v>613</v>
      </c>
      <c r="C373" s="102"/>
      <c r="D373" s="102"/>
      <c r="E373" s="102"/>
      <c r="F373" s="102"/>
      <c r="G373" s="102"/>
      <c r="K373" s="102"/>
      <c r="L373" s="102"/>
      <c r="M373" s="102"/>
      <c r="N373" s="102"/>
      <c r="O373" s="102"/>
      <c r="P373" s="102"/>
      <c r="Q373" s="102"/>
      <c r="R373" s="102"/>
      <c r="S373" s="102"/>
      <c r="T373" s="102"/>
      <c r="U373" s="102"/>
      <c r="V373" s="102"/>
      <c r="W373" s="102"/>
      <c r="X373" s="102"/>
      <c r="Y373" s="102"/>
      <c r="Z373" s="102"/>
      <c r="AA373" s="102"/>
      <c r="AB373" s="102"/>
      <c r="AC373" s="102"/>
      <c r="AD373" s="102"/>
      <c r="AE373" s="102"/>
      <c r="AF373" s="102"/>
      <c r="AG373" s="102"/>
      <c r="AH373" s="102"/>
      <c r="AI373" s="102"/>
      <c r="AJ373" s="102"/>
      <c r="AK373" s="102"/>
      <c r="AL373" s="102"/>
      <c r="AM373" s="102"/>
      <c r="AN373" s="102"/>
      <c r="AO373" s="102"/>
      <c r="AP373" s="102"/>
      <c r="AQ373" s="102"/>
      <c r="AR373" s="102"/>
      <c r="AS373" s="102"/>
      <c r="AT373" s="102"/>
      <c r="AU373" s="102"/>
      <c r="AV373" s="102"/>
      <c r="AW373" s="90"/>
      <c r="AX373" s="90"/>
      <c r="AY373" s="90"/>
      <c r="AZ373" s="90"/>
      <c r="BA373" s="90"/>
      <c r="BB373" s="90"/>
      <c r="BC373" s="90"/>
      <c r="BD373" s="90"/>
      <c r="BE373" s="90"/>
      <c r="BF373" s="90"/>
      <c r="BG373" s="90"/>
      <c r="BH373" s="90"/>
      <c r="BI373" s="90"/>
      <c r="BJ373" s="90"/>
      <c r="BK373" s="90"/>
      <c r="BL373" s="90"/>
      <c r="BM373" s="90"/>
      <c r="BN373" s="90"/>
      <c r="BO373" s="90"/>
      <c r="BP373" s="90"/>
    </row>
    <row r="374" ht="12.75" customHeight="1" outlineLevel="1">
      <c r="A374" s="90" t="s">
        <v>287</v>
      </c>
      <c r="C374" s="102">
        <f>'RSGen 1-7'!H$415</f>
        <v>250000</v>
      </c>
      <c r="D374" s="102">
        <f>OFFSET(RSGen_Walton!$H$415,0,ROW(C374)-ROW($C$374))+OFFSET(RSGen_Walton!$H$421,0,ROW(C374)-ROW($C$374))</f>
        <v>250000</v>
      </c>
      <c r="E374" s="102">
        <f>OFFSET(RSGen_none!$H$415,0,ROW(D374)-ROW($C$374))+OFFSET(RSGen_none!$H$421,0,ROW(D374)-ROW($C$374))</f>
        <v>250000</v>
      </c>
      <c r="F374" s="102"/>
      <c r="G374" s="102"/>
      <c r="H374" s="313"/>
      <c r="I374" s="313"/>
      <c r="J374" s="313"/>
      <c r="K374" s="306"/>
      <c r="L374" s="306"/>
      <c r="M374" s="102">
        <f t="shared" ref="M374:AL374" si="456">(MAX(0,MIN(M7,SUM(M7:M$15)-$E$4))*$E374+MAX(0,MIN(M7,$D$4-SUM(M8:M$15)))*$C374+(M7-(MAX(0,MIN(M7,SUM(M7:M$15)-$E$4))+MAX(0,MIN(M7,$D$4-SUM(M8:M$15)))))*$D374)</f>
        <v>500000</v>
      </c>
      <c r="N374" s="102">
        <f t="shared" si="456"/>
        <v>750000</v>
      </c>
      <c r="O374" s="102">
        <f t="shared" si="456"/>
        <v>1250000</v>
      </c>
      <c r="P374" s="102">
        <f t="shared" si="456"/>
        <v>2000000</v>
      </c>
      <c r="Q374" s="102">
        <f t="shared" si="456"/>
        <v>3250000</v>
      </c>
      <c r="R374" s="102">
        <f t="shared" si="456"/>
        <v>5500000</v>
      </c>
      <c r="S374" s="102">
        <f t="shared" si="456"/>
        <v>8500000</v>
      </c>
      <c r="T374" s="102">
        <f t="shared" si="456"/>
        <v>11250000</v>
      </c>
      <c r="U374" s="102">
        <f t="shared" si="456"/>
        <v>11250000</v>
      </c>
      <c r="V374" s="102">
        <f t="shared" si="456"/>
        <v>16500000</v>
      </c>
      <c r="W374" s="102">
        <f t="shared" si="456"/>
        <v>20000000</v>
      </c>
      <c r="X374" s="102">
        <f t="shared" si="456"/>
        <v>35500000</v>
      </c>
      <c r="Y374" s="102">
        <f t="shared" si="456"/>
        <v>48250000</v>
      </c>
      <c r="Z374" s="102">
        <f t="shared" si="456"/>
        <v>60500000</v>
      </c>
      <c r="AA374" s="102">
        <f t="shared" si="456"/>
        <v>68250000</v>
      </c>
      <c r="AB374" s="102">
        <f t="shared" si="456"/>
        <v>81000000</v>
      </c>
      <c r="AC374" s="102">
        <f t="shared" si="456"/>
        <v>87500000</v>
      </c>
      <c r="AD374" s="102">
        <f t="shared" si="456"/>
        <v>86250000</v>
      </c>
      <c r="AE374" s="102">
        <f t="shared" si="456"/>
        <v>68000000</v>
      </c>
      <c r="AF374" s="102">
        <f t="shared" si="456"/>
        <v>8250000</v>
      </c>
      <c r="AG374" s="102">
        <f t="shared" si="456"/>
        <v>0</v>
      </c>
      <c r="AH374" s="102">
        <f t="shared" si="456"/>
        <v>0</v>
      </c>
      <c r="AI374" s="102">
        <f t="shared" si="456"/>
        <v>0</v>
      </c>
      <c r="AJ374" s="102">
        <f t="shared" si="456"/>
        <v>0</v>
      </c>
      <c r="AK374" s="102">
        <f t="shared" si="456"/>
        <v>0</v>
      </c>
      <c r="AL374" s="102">
        <f t="shared" si="456"/>
        <v>0</v>
      </c>
      <c r="AM374" s="102">
        <f t="shared" ref="AM374:AV374" si="457">$D374*AM$7</f>
        <v>0</v>
      </c>
      <c r="AN374" s="102">
        <f t="shared" si="457"/>
        <v>0</v>
      </c>
      <c r="AO374" s="102">
        <f t="shared" si="457"/>
        <v>0</v>
      </c>
      <c r="AP374" s="102" t="str">
        <f t="shared" si="457"/>
        <v>#REF!</v>
      </c>
      <c r="AQ374" s="102" t="str">
        <f t="shared" si="457"/>
        <v>#REF!</v>
      </c>
      <c r="AR374" s="102" t="str">
        <f t="shared" si="457"/>
        <v>#REF!</v>
      </c>
      <c r="AS374" s="102" t="str">
        <f t="shared" si="457"/>
        <v>#REF!</v>
      </c>
      <c r="AT374" s="102" t="str">
        <f t="shared" si="457"/>
        <v>#REF!</v>
      </c>
      <c r="AU374" s="102">
        <f t="shared" si="457"/>
        <v>0</v>
      </c>
      <c r="AV374" s="102">
        <f t="shared" si="457"/>
        <v>0</v>
      </c>
      <c r="AW374" s="90"/>
      <c r="AX374" s="90"/>
      <c r="AY374" s="90"/>
      <c r="AZ374" s="90"/>
      <c r="BA374" s="90"/>
      <c r="BB374" s="90"/>
      <c r="BC374" s="90"/>
      <c r="BD374" s="90"/>
      <c r="BE374" s="90"/>
      <c r="BF374" s="90"/>
      <c r="BG374" s="90"/>
      <c r="BH374" s="90"/>
      <c r="BI374" s="90"/>
      <c r="BJ374" s="90"/>
      <c r="BK374" s="90"/>
      <c r="BL374" s="90"/>
      <c r="BM374" s="90"/>
      <c r="BN374" s="90"/>
      <c r="BO374" s="90"/>
      <c r="BP374" s="90"/>
    </row>
    <row r="375" ht="12.75" customHeight="1" outlineLevel="1">
      <c r="A375" s="90" t="s">
        <v>288</v>
      </c>
      <c r="C375" s="102">
        <f>'RSGen 1-7'!I$415+'RSGen 1-7'!I421</f>
        <v>-50000</v>
      </c>
      <c r="D375" s="102">
        <f>OFFSET(RSGen_Walton!$H$415,0,ROW(C375)-ROW($C$374))+OFFSET(RSGen_Walton!$H$421,0,ROW(C375)-ROW($C$374))</f>
        <v>-50000</v>
      </c>
      <c r="E375" s="102">
        <f>OFFSET(RSGen_none!$H$415,0,ROW(D375)-ROW($C$374))+OFFSET(RSGen_none!$H$421,0,ROW(D375)-ROW($C$374))</f>
        <v>-50000</v>
      </c>
      <c r="F375" s="102"/>
      <c r="G375" s="102"/>
      <c r="H375" s="313"/>
      <c r="I375" s="313"/>
      <c r="J375" s="313"/>
      <c r="K375" s="306"/>
      <c r="L375" s="306"/>
      <c r="M375" s="306"/>
      <c r="N375" s="102">
        <f t="shared" ref="N375:AL375" si="458">(MAX(0,MIN(N8,SUM(N8:N$15)-$E$4))*$E375+MAX(0,MIN(N8,$D$4-SUM(N9:N$15)))*$C375+(N8-(MAX(0,MIN(N8,SUM(N8:N$15)-$E$4))+MAX(0,MIN(N8,$D$4-SUM(N9:N$15)))))*$D375)</f>
        <v>-100000</v>
      </c>
      <c r="O375" s="102">
        <f t="shared" si="458"/>
        <v>-150000</v>
      </c>
      <c r="P375" s="102">
        <f t="shared" si="458"/>
        <v>-250000</v>
      </c>
      <c r="Q375" s="102">
        <f t="shared" si="458"/>
        <v>-400000</v>
      </c>
      <c r="R375" s="102">
        <f t="shared" si="458"/>
        <v>-650000</v>
      </c>
      <c r="S375" s="102">
        <f t="shared" si="458"/>
        <v>-1100000</v>
      </c>
      <c r="T375" s="102">
        <f t="shared" si="458"/>
        <v>-1700000</v>
      </c>
      <c r="U375" s="102">
        <f t="shared" si="458"/>
        <v>-2250000</v>
      </c>
      <c r="V375" s="102">
        <f t="shared" si="458"/>
        <v>-2250000</v>
      </c>
      <c r="W375" s="102">
        <f t="shared" si="458"/>
        <v>-3300000</v>
      </c>
      <c r="X375" s="102">
        <f t="shared" si="458"/>
        <v>-4000000</v>
      </c>
      <c r="Y375" s="102">
        <f t="shared" si="458"/>
        <v>-7100000</v>
      </c>
      <c r="Z375" s="102">
        <f t="shared" si="458"/>
        <v>-9650000</v>
      </c>
      <c r="AA375" s="102">
        <f t="shared" si="458"/>
        <v>-12100000</v>
      </c>
      <c r="AB375" s="102">
        <f t="shared" si="458"/>
        <v>-13650000</v>
      </c>
      <c r="AC375" s="102">
        <f t="shared" si="458"/>
        <v>-16200000</v>
      </c>
      <c r="AD375" s="102">
        <f t="shared" si="458"/>
        <v>-17500000</v>
      </c>
      <c r="AE375" s="102">
        <f t="shared" si="458"/>
        <v>-17250000</v>
      </c>
      <c r="AF375" s="102">
        <f t="shared" si="458"/>
        <v>-13600000</v>
      </c>
      <c r="AG375" s="102">
        <f t="shared" si="458"/>
        <v>-1650000</v>
      </c>
      <c r="AH375" s="102">
        <f t="shared" si="458"/>
        <v>0</v>
      </c>
      <c r="AI375" s="102">
        <f t="shared" si="458"/>
        <v>0</v>
      </c>
      <c r="AJ375" s="102">
        <f t="shared" si="458"/>
        <v>0</v>
      </c>
      <c r="AK375" s="102">
        <f t="shared" si="458"/>
        <v>0</v>
      </c>
      <c r="AL375" s="102">
        <f t="shared" si="458"/>
        <v>0</v>
      </c>
      <c r="AM375" s="102">
        <f t="shared" ref="AM375:AV375" si="459">$D375*AM$8</f>
        <v>0</v>
      </c>
      <c r="AN375" s="102">
        <f t="shared" si="459"/>
        <v>0</v>
      </c>
      <c r="AO375" s="102">
        <f t="shared" si="459"/>
        <v>0</v>
      </c>
      <c r="AP375" s="102">
        <f t="shared" si="459"/>
        <v>0</v>
      </c>
      <c r="AQ375" s="102" t="str">
        <f t="shared" si="459"/>
        <v>#REF!</v>
      </c>
      <c r="AR375" s="102" t="str">
        <f t="shared" si="459"/>
        <v>#REF!</v>
      </c>
      <c r="AS375" s="102" t="str">
        <f t="shared" si="459"/>
        <v>#REF!</v>
      </c>
      <c r="AT375" s="102" t="str">
        <f t="shared" si="459"/>
        <v>#REF!</v>
      </c>
      <c r="AU375" s="102" t="str">
        <f t="shared" si="459"/>
        <v>#REF!</v>
      </c>
      <c r="AV375" s="102">
        <f t="shared" si="459"/>
        <v>0</v>
      </c>
      <c r="AW375" s="90"/>
      <c r="AX375" s="90"/>
      <c r="AY375" s="90"/>
      <c r="AZ375" s="90"/>
      <c r="BA375" s="90"/>
      <c r="BB375" s="90"/>
      <c r="BC375" s="90"/>
      <c r="BD375" s="90"/>
      <c r="BE375" s="90"/>
      <c r="BF375" s="90"/>
      <c r="BG375" s="90"/>
      <c r="BH375" s="90"/>
      <c r="BI375" s="90"/>
      <c r="BJ375" s="90"/>
      <c r="BK375" s="90"/>
      <c r="BL375" s="90"/>
      <c r="BM375" s="90"/>
      <c r="BN375" s="90"/>
      <c r="BO375" s="90"/>
      <c r="BP375" s="90"/>
    </row>
    <row r="376" ht="12.75" customHeight="1" outlineLevel="1">
      <c r="A376" s="90" t="s">
        <v>289</v>
      </c>
      <c r="C376" s="102">
        <f>'RSGen 1-7'!J$415+'RSGen 1-7'!J421</f>
        <v>-50000</v>
      </c>
      <c r="D376" s="102">
        <f>OFFSET(RSGen_Walton!$H$415,0,ROW(C376)-ROW($C$374))+OFFSET(RSGen_Walton!$H$421,0,ROW(C376)-ROW($C$374))</f>
        <v>-50000</v>
      </c>
      <c r="E376" s="102">
        <f>OFFSET(RSGen_none!$H$415,0,ROW(D376)-ROW($C$374))+OFFSET(RSGen_none!$H$421,0,ROW(D376)-ROW($C$374))</f>
        <v>-50000</v>
      </c>
      <c r="F376" s="102"/>
      <c r="G376" s="102"/>
      <c r="H376" s="313"/>
      <c r="I376" s="313"/>
      <c r="J376" s="313"/>
      <c r="K376" s="306"/>
      <c r="L376" s="306"/>
      <c r="M376" s="306"/>
      <c r="N376" s="306"/>
      <c r="O376" s="102">
        <f t="shared" ref="O376:AL376" si="460">(MAX(0,MIN(O9,SUM(O9:O$15)-$E$4))*$E376+MAX(0,MIN(O9,$D$4-SUM(O10:O$15)))*$C376+(O9-(MAX(0,MIN(O9,SUM(O9:O$15)-$E$4))+MAX(0,MIN(O9,$D$4-SUM(O10:O$15)))))*$D376)</f>
        <v>-100000</v>
      </c>
      <c r="P376" s="102">
        <f t="shared" si="460"/>
        <v>-150000</v>
      </c>
      <c r="Q376" s="102">
        <f t="shared" si="460"/>
        <v>-250000</v>
      </c>
      <c r="R376" s="102">
        <f t="shared" si="460"/>
        <v>-400000</v>
      </c>
      <c r="S376" s="102">
        <f t="shared" si="460"/>
        <v>-650000</v>
      </c>
      <c r="T376" s="102">
        <f t="shared" si="460"/>
        <v>-1100000</v>
      </c>
      <c r="U376" s="102">
        <f t="shared" si="460"/>
        <v>-1700000</v>
      </c>
      <c r="V376" s="102">
        <f t="shared" si="460"/>
        <v>-2250000</v>
      </c>
      <c r="W376" s="102">
        <f t="shared" si="460"/>
        <v>-2250000</v>
      </c>
      <c r="X376" s="102">
        <f t="shared" si="460"/>
        <v>-3300000</v>
      </c>
      <c r="Y376" s="102">
        <f t="shared" si="460"/>
        <v>-4000000</v>
      </c>
      <c r="Z376" s="102">
        <f t="shared" si="460"/>
        <v>-7100000</v>
      </c>
      <c r="AA376" s="102">
        <f t="shared" si="460"/>
        <v>-9650000</v>
      </c>
      <c r="AB376" s="102">
        <f t="shared" si="460"/>
        <v>-12100000</v>
      </c>
      <c r="AC376" s="102">
        <f t="shared" si="460"/>
        <v>-13650000</v>
      </c>
      <c r="AD376" s="102">
        <f t="shared" si="460"/>
        <v>-16200000</v>
      </c>
      <c r="AE376" s="102">
        <f t="shared" si="460"/>
        <v>-17500000</v>
      </c>
      <c r="AF376" s="102">
        <f t="shared" si="460"/>
        <v>-17250000</v>
      </c>
      <c r="AG376" s="102">
        <f t="shared" si="460"/>
        <v>-13600000</v>
      </c>
      <c r="AH376" s="102">
        <f t="shared" si="460"/>
        <v>-1650000</v>
      </c>
      <c r="AI376" s="102">
        <f t="shared" si="460"/>
        <v>0</v>
      </c>
      <c r="AJ376" s="102">
        <f t="shared" si="460"/>
        <v>0</v>
      </c>
      <c r="AK376" s="102">
        <f t="shared" si="460"/>
        <v>0</v>
      </c>
      <c r="AL376" s="102">
        <f t="shared" si="460"/>
        <v>0</v>
      </c>
      <c r="AM376" s="102">
        <f t="shared" ref="AM376:AV376" si="461">$D376*AM$9</f>
        <v>0</v>
      </c>
      <c r="AN376" s="102">
        <f t="shared" si="461"/>
        <v>0</v>
      </c>
      <c r="AO376" s="102">
        <f t="shared" si="461"/>
        <v>0</v>
      </c>
      <c r="AP376" s="102">
        <f t="shared" si="461"/>
        <v>0</v>
      </c>
      <c r="AQ376" s="102">
        <f t="shared" si="461"/>
        <v>0</v>
      </c>
      <c r="AR376" s="102" t="str">
        <f t="shared" si="461"/>
        <v>#REF!</v>
      </c>
      <c r="AS376" s="102" t="str">
        <f t="shared" si="461"/>
        <v>#REF!</v>
      </c>
      <c r="AT376" s="102" t="str">
        <f t="shared" si="461"/>
        <v>#REF!</v>
      </c>
      <c r="AU376" s="102" t="str">
        <f t="shared" si="461"/>
        <v>#REF!</v>
      </c>
      <c r="AV376" s="102" t="str">
        <f t="shared" si="461"/>
        <v>#REF!</v>
      </c>
      <c r="AW376" s="90"/>
      <c r="AX376" s="90"/>
      <c r="AY376" s="90"/>
      <c r="AZ376" s="90"/>
      <c r="BA376" s="90"/>
      <c r="BB376" s="90"/>
      <c r="BC376" s="90"/>
      <c r="BD376" s="90"/>
      <c r="BE376" s="90"/>
      <c r="BF376" s="90"/>
      <c r="BG376" s="90"/>
      <c r="BH376" s="90"/>
      <c r="BI376" s="90"/>
      <c r="BJ376" s="90"/>
      <c r="BK376" s="90"/>
      <c r="BL376" s="90"/>
      <c r="BM376" s="90"/>
      <c r="BN376" s="90"/>
      <c r="BO376" s="90"/>
      <c r="BP376" s="90"/>
    </row>
    <row r="377" ht="12.75" customHeight="1" outlineLevel="1">
      <c r="A377" s="90" t="s">
        <v>290</v>
      </c>
      <c r="C377" s="102">
        <f>'RSGen 1-7'!K$415+'RSGen 1-7'!K421</f>
        <v>-50000</v>
      </c>
      <c r="D377" s="102">
        <f>OFFSET(RSGen_Walton!$H$415,0,ROW(C377)-ROW($C$374))+OFFSET(RSGen_Walton!$H$421,0,ROW(C377)-ROW($C$374))</f>
        <v>-50000</v>
      </c>
      <c r="E377" s="102">
        <f>OFFSET(RSGen_none!$H$415,0,ROW(D377)-ROW($C$374))+OFFSET(RSGen_none!$H$421,0,ROW(D377)-ROW($C$374))</f>
        <v>-50000</v>
      </c>
      <c r="F377" s="102"/>
      <c r="G377" s="102"/>
      <c r="H377" s="313"/>
      <c r="I377" s="313"/>
      <c r="J377" s="313"/>
      <c r="K377" s="306"/>
      <c r="L377" s="306"/>
      <c r="M377" s="306"/>
      <c r="N377" s="306"/>
      <c r="O377" s="306"/>
      <c r="P377" s="102">
        <f t="shared" ref="P377:AL377" si="462">(MAX(0,MIN(P10,SUM(P10:P$15)-$E$4))*$E377+MAX(0,MIN(P10,$D$4-SUM(P11:P$15)))*$C377+(P10-(MAX(0,MIN(P10,SUM(P10:P$15)-$E$4))+MAX(0,MIN(P10,$D$4-SUM(P11:P$15)))))*$D377)</f>
        <v>-100000</v>
      </c>
      <c r="Q377" s="102">
        <f t="shared" si="462"/>
        <v>-150000</v>
      </c>
      <c r="R377" s="102">
        <f t="shared" si="462"/>
        <v>-250000</v>
      </c>
      <c r="S377" s="102">
        <f t="shared" si="462"/>
        <v>-400000</v>
      </c>
      <c r="T377" s="102">
        <f t="shared" si="462"/>
        <v>-650000</v>
      </c>
      <c r="U377" s="102">
        <f t="shared" si="462"/>
        <v>-1100000</v>
      </c>
      <c r="V377" s="102">
        <f t="shared" si="462"/>
        <v>-1700000</v>
      </c>
      <c r="W377" s="102">
        <f t="shared" si="462"/>
        <v>-2250000</v>
      </c>
      <c r="X377" s="102">
        <f t="shared" si="462"/>
        <v>-2250000</v>
      </c>
      <c r="Y377" s="102">
        <f t="shared" si="462"/>
        <v>-3300000</v>
      </c>
      <c r="Z377" s="102">
        <f t="shared" si="462"/>
        <v>-4000000</v>
      </c>
      <c r="AA377" s="102">
        <f t="shared" si="462"/>
        <v>-7100000</v>
      </c>
      <c r="AB377" s="102">
        <f t="shared" si="462"/>
        <v>-9650000</v>
      </c>
      <c r="AC377" s="102">
        <f t="shared" si="462"/>
        <v>-12100000</v>
      </c>
      <c r="AD377" s="102">
        <f t="shared" si="462"/>
        <v>-13650000</v>
      </c>
      <c r="AE377" s="102">
        <f t="shared" si="462"/>
        <v>-16200000</v>
      </c>
      <c r="AF377" s="102">
        <f t="shared" si="462"/>
        <v>-17500000</v>
      </c>
      <c r="AG377" s="102">
        <f t="shared" si="462"/>
        <v>-17250000</v>
      </c>
      <c r="AH377" s="102">
        <f t="shared" si="462"/>
        <v>-13600000</v>
      </c>
      <c r="AI377" s="102">
        <f t="shared" si="462"/>
        <v>-1650000</v>
      </c>
      <c r="AJ377" s="102">
        <f t="shared" si="462"/>
        <v>0</v>
      </c>
      <c r="AK377" s="102">
        <f t="shared" si="462"/>
        <v>0</v>
      </c>
      <c r="AL377" s="102">
        <f t="shared" si="462"/>
        <v>0</v>
      </c>
      <c r="AM377" s="102">
        <f t="shared" ref="AM377:AV377" si="463">$D377*AM$10</f>
        <v>0</v>
      </c>
      <c r="AN377" s="102">
        <f t="shared" si="463"/>
        <v>0</v>
      </c>
      <c r="AO377" s="102">
        <f t="shared" si="463"/>
        <v>0</v>
      </c>
      <c r="AP377" s="102">
        <f t="shared" si="463"/>
        <v>0</v>
      </c>
      <c r="AQ377" s="102">
        <f t="shared" si="463"/>
        <v>0</v>
      </c>
      <c r="AR377" s="102">
        <f t="shared" si="463"/>
        <v>0</v>
      </c>
      <c r="AS377" s="102" t="str">
        <f t="shared" si="463"/>
        <v>#REF!</v>
      </c>
      <c r="AT377" s="102" t="str">
        <f t="shared" si="463"/>
        <v>#REF!</v>
      </c>
      <c r="AU377" s="102" t="str">
        <f t="shared" si="463"/>
        <v>#REF!</v>
      </c>
      <c r="AV377" s="102" t="str">
        <f t="shared" si="463"/>
        <v>#REF!</v>
      </c>
      <c r="AW377" s="90"/>
      <c r="AX377" s="90"/>
      <c r="AY377" s="90"/>
      <c r="AZ377" s="90"/>
      <c r="BA377" s="90"/>
      <c r="BB377" s="90"/>
      <c r="BC377" s="90"/>
      <c r="BD377" s="90"/>
      <c r="BE377" s="90"/>
      <c r="BF377" s="90"/>
      <c r="BG377" s="90"/>
      <c r="BH377" s="90"/>
      <c r="BI377" s="90"/>
      <c r="BJ377" s="90"/>
      <c r="BK377" s="90"/>
      <c r="BL377" s="90"/>
      <c r="BM377" s="90"/>
      <c r="BN377" s="90"/>
      <c r="BO377" s="90"/>
      <c r="BP377" s="90"/>
    </row>
    <row r="378" ht="12.75" customHeight="1" outlineLevel="1">
      <c r="A378" s="90" t="s">
        <v>291</v>
      </c>
      <c r="C378" s="102">
        <f>'RSGen 1-7'!L$415+'RSGen 1-7'!L421</f>
        <v>-50000</v>
      </c>
      <c r="D378" s="102">
        <f>OFFSET(RSGen_Walton!$H$415,0,ROW(C378)-ROW($C$374))+OFFSET(RSGen_Walton!$H$421,0,ROW(C378)-ROW($C$374))</f>
        <v>-50000</v>
      </c>
      <c r="E378" s="102">
        <f>OFFSET(RSGen_none!$H$415,0,ROW(D378)-ROW($C$374))+OFFSET(RSGen_none!$H$421,0,ROW(D378)-ROW($C$374))</f>
        <v>-50000</v>
      </c>
      <c r="F378" s="102"/>
      <c r="G378" s="102"/>
      <c r="H378" s="313"/>
      <c r="I378" s="313"/>
      <c r="J378" s="313"/>
      <c r="K378" s="306"/>
      <c r="L378" s="306"/>
      <c r="M378" s="306"/>
      <c r="N378" s="306"/>
      <c r="O378" s="306"/>
      <c r="P378" s="306"/>
      <c r="Q378" s="102">
        <f t="shared" ref="Q378:AL378" si="464">(MAX(0,MIN(Q11,SUM(Q11:Q$15)-$E$4))*$E378+MAX(0,MIN(Q11,$D$4-SUM(Q12:Q$15)))*$C378+(Q11-(MAX(0,MIN(Q11,SUM(Q11:Q$15)-$E$4))+MAX(0,MIN(Q11,$D$4-SUM(Q12:Q$15)))))*$D378)</f>
        <v>-100000</v>
      </c>
      <c r="R378" s="102">
        <f t="shared" si="464"/>
        <v>-150000</v>
      </c>
      <c r="S378" s="102">
        <f t="shared" si="464"/>
        <v>-250000</v>
      </c>
      <c r="T378" s="102">
        <f t="shared" si="464"/>
        <v>-400000</v>
      </c>
      <c r="U378" s="102">
        <f t="shared" si="464"/>
        <v>-650000</v>
      </c>
      <c r="V378" s="102">
        <f t="shared" si="464"/>
        <v>-1100000</v>
      </c>
      <c r="W378" s="102">
        <f t="shared" si="464"/>
        <v>-1700000</v>
      </c>
      <c r="X378" s="102">
        <f t="shared" si="464"/>
        <v>-2250000</v>
      </c>
      <c r="Y378" s="102">
        <f t="shared" si="464"/>
        <v>-2250000</v>
      </c>
      <c r="Z378" s="102">
        <f t="shared" si="464"/>
        <v>-3300000</v>
      </c>
      <c r="AA378" s="102">
        <f t="shared" si="464"/>
        <v>-4000000</v>
      </c>
      <c r="AB378" s="102">
        <f t="shared" si="464"/>
        <v>-7100000</v>
      </c>
      <c r="AC378" s="102">
        <f t="shared" si="464"/>
        <v>-9650000</v>
      </c>
      <c r="AD378" s="102">
        <f t="shared" si="464"/>
        <v>-12100000</v>
      </c>
      <c r="AE378" s="102">
        <f t="shared" si="464"/>
        <v>-13650000</v>
      </c>
      <c r="AF378" s="102">
        <f t="shared" si="464"/>
        <v>-16200000</v>
      </c>
      <c r="AG378" s="102">
        <f t="shared" si="464"/>
        <v>-17500000</v>
      </c>
      <c r="AH378" s="102">
        <f t="shared" si="464"/>
        <v>-17250000</v>
      </c>
      <c r="AI378" s="102">
        <f t="shared" si="464"/>
        <v>-13600000</v>
      </c>
      <c r="AJ378" s="102">
        <f t="shared" si="464"/>
        <v>-1650000</v>
      </c>
      <c r="AK378" s="102">
        <f t="shared" si="464"/>
        <v>0</v>
      </c>
      <c r="AL378" s="102">
        <f t="shared" si="464"/>
        <v>0</v>
      </c>
      <c r="AM378" s="102">
        <f t="shared" ref="AM378:AV378" si="465">$D378*AM$11</f>
        <v>0</v>
      </c>
      <c r="AN378" s="102">
        <f t="shared" si="465"/>
        <v>0</v>
      </c>
      <c r="AO378" s="102">
        <f t="shared" si="465"/>
        <v>0</v>
      </c>
      <c r="AP378" s="102">
        <f t="shared" si="465"/>
        <v>0</v>
      </c>
      <c r="AQ378" s="102">
        <f t="shared" si="465"/>
        <v>0</v>
      </c>
      <c r="AR378" s="102">
        <f t="shared" si="465"/>
        <v>0</v>
      </c>
      <c r="AS378" s="102">
        <f t="shared" si="465"/>
        <v>0</v>
      </c>
      <c r="AT378" s="102" t="str">
        <f t="shared" si="465"/>
        <v>#REF!</v>
      </c>
      <c r="AU378" s="102" t="str">
        <f t="shared" si="465"/>
        <v>#REF!</v>
      </c>
      <c r="AV378" s="102" t="str">
        <f t="shared" si="465"/>
        <v>#REF!</v>
      </c>
      <c r="AW378" s="90"/>
      <c r="AX378" s="90"/>
      <c r="AY378" s="90"/>
      <c r="AZ378" s="90"/>
      <c r="BA378" s="90"/>
      <c r="BB378" s="90"/>
      <c r="BC378" s="90"/>
      <c r="BD378" s="90"/>
      <c r="BE378" s="90"/>
      <c r="BF378" s="90"/>
      <c r="BG378" s="90"/>
      <c r="BH378" s="90"/>
      <c r="BI378" s="90"/>
      <c r="BJ378" s="90"/>
      <c r="BK378" s="90"/>
      <c r="BL378" s="90"/>
      <c r="BM378" s="90"/>
      <c r="BN378" s="90"/>
      <c r="BO378" s="90"/>
      <c r="BP378" s="90"/>
    </row>
    <row r="379" ht="12.75" customHeight="1" outlineLevel="1">
      <c r="A379" s="90" t="s">
        <v>292</v>
      </c>
      <c r="C379" s="102">
        <f>'RSGen 1-7'!M$415+'RSGen 1-7'!M421</f>
        <v>-50000</v>
      </c>
      <c r="D379" s="102">
        <f>OFFSET(RSGen_Walton!$H$415,0,ROW(C379)-ROW($C$374))+OFFSET(RSGen_Walton!$H$421,0,ROW(C379)-ROW($C$374))</f>
        <v>-50000</v>
      </c>
      <c r="E379" s="102">
        <f>OFFSET(RSGen_none!$H$415,0,ROW(D379)-ROW($C$374))+OFFSET(RSGen_none!$H$421,0,ROW(D379)-ROW($C$374))</f>
        <v>-50000</v>
      </c>
      <c r="F379" s="102"/>
      <c r="G379" s="102"/>
      <c r="H379" s="313"/>
      <c r="I379" s="313"/>
      <c r="J379" s="313"/>
      <c r="K379" s="306"/>
      <c r="L379" s="306"/>
      <c r="M379" s="306"/>
      <c r="N379" s="306"/>
      <c r="O379" s="306"/>
      <c r="P379" s="306"/>
      <c r="Q379" s="306"/>
      <c r="R379" s="102">
        <f t="shared" ref="R379:AL379" si="466">(MAX(0,MIN(R12,SUM(R12:R$15)-$E$4))*$E379+MAX(0,MIN(R12,$D$4-SUM(R13:R$15)))*$C379+(R12-(MAX(0,MIN(R12,SUM(R12:R$15)-$E$4))+MAX(0,MIN(R12,$D$4-SUM(R13:R$15)))))*$D379)</f>
        <v>-100000</v>
      </c>
      <c r="S379" s="102">
        <f t="shared" si="466"/>
        <v>-150000</v>
      </c>
      <c r="T379" s="102">
        <f t="shared" si="466"/>
        <v>-250000</v>
      </c>
      <c r="U379" s="102">
        <f t="shared" si="466"/>
        <v>-400000</v>
      </c>
      <c r="V379" s="102">
        <f t="shared" si="466"/>
        <v>-650000</v>
      </c>
      <c r="W379" s="102">
        <f t="shared" si="466"/>
        <v>-1100000</v>
      </c>
      <c r="X379" s="102">
        <f t="shared" si="466"/>
        <v>-1700000</v>
      </c>
      <c r="Y379" s="102">
        <f t="shared" si="466"/>
        <v>-2250000</v>
      </c>
      <c r="Z379" s="102">
        <f t="shared" si="466"/>
        <v>-2250000</v>
      </c>
      <c r="AA379" s="102">
        <f t="shared" si="466"/>
        <v>-3300000</v>
      </c>
      <c r="AB379" s="102">
        <f t="shared" si="466"/>
        <v>-4000000</v>
      </c>
      <c r="AC379" s="102">
        <f t="shared" si="466"/>
        <v>-7100000</v>
      </c>
      <c r="AD379" s="102">
        <f t="shared" si="466"/>
        <v>-9650000</v>
      </c>
      <c r="AE379" s="102">
        <f t="shared" si="466"/>
        <v>-12100000</v>
      </c>
      <c r="AF379" s="102">
        <f t="shared" si="466"/>
        <v>-13650000</v>
      </c>
      <c r="AG379" s="102">
        <f t="shared" si="466"/>
        <v>-16200000</v>
      </c>
      <c r="AH379" s="102">
        <f t="shared" si="466"/>
        <v>-17500000</v>
      </c>
      <c r="AI379" s="102">
        <f t="shared" si="466"/>
        <v>-17250000</v>
      </c>
      <c r="AJ379" s="102">
        <f t="shared" si="466"/>
        <v>-13600000</v>
      </c>
      <c r="AK379" s="102">
        <f t="shared" si="466"/>
        <v>-1650000</v>
      </c>
      <c r="AL379" s="102">
        <f t="shared" si="466"/>
        <v>0</v>
      </c>
      <c r="AM379" s="102">
        <f t="shared" ref="AM379:AV379" si="467">$D379*AM$12</f>
        <v>0</v>
      </c>
      <c r="AN379" s="102">
        <f t="shared" si="467"/>
        <v>0</v>
      </c>
      <c r="AO379" s="102">
        <f t="shared" si="467"/>
        <v>0</v>
      </c>
      <c r="AP379" s="102">
        <f t="shared" si="467"/>
        <v>0</v>
      </c>
      <c r="AQ379" s="102">
        <f t="shared" si="467"/>
        <v>0</v>
      </c>
      <c r="AR379" s="102">
        <f t="shared" si="467"/>
        <v>0</v>
      </c>
      <c r="AS379" s="102">
        <f t="shared" si="467"/>
        <v>0</v>
      </c>
      <c r="AT379" s="102">
        <f t="shared" si="467"/>
        <v>0</v>
      </c>
      <c r="AU379" s="102" t="str">
        <f t="shared" si="467"/>
        <v>#REF!</v>
      </c>
      <c r="AV379" s="102" t="str">
        <f t="shared" si="467"/>
        <v>#REF!</v>
      </c>
      <c r="AW379" s="90"/>
      <c r="AX379" s="90"/>
      <c r="AY379" s="90"/>
      <c r="AZ379" s="90"/>
      <c r="BA379" s="90"/>
      <c r="BB379" s="90"/>
      <c r="BC379" s="90"/>
      <c r="BD379" s="90"/>
      <c r="BE379" s="90"/>
      <c r="BF379" s="90"/>
      <c r="BG379" s="90"/>
      <c r="BH379" s="90"/>
      <c r="BI379" s="90"/>
      <c r="BJ379" s="90"/>
      <c r="BK379" s="90"/>
      <c r="BL379" s="90"/>
      <c r="BM379" s="90"/>
      <c r="BN379" s="90"/>
      <c r="BO379" s="90"/>
      <c r="BP379" s="90"/>
    </row>
    <row r="380" ht="12.75" customHeight="1" outlineLevel="1">
      <c r="A380" s="90" t="s">
        <v>293</v>
      </c>
      <c r="C380" s="102">
        <f>'RSGen 1-7'!N$415</f>
        <v>0</v>
      </c>
      <c r="D380" s="102">
        <f>OFFSET(RSGen_Walton!$H$415,0,ROW(C380)-ROW($C$374))+OFFSET(RSGen_Walton!$H$421,0,ROW(C380)-ROW($C$374))</f>
        <v>0</v>
      </c>
      <c r="E380" s="102">
        <f>OFFSET(RSGen_none!$H$415,0,ROW(D380)-ROW($C$374))+OFFSET(RSGen_none!$H$421,0,ROW(D380)-ROW($C$374))</f>
        <v>0</v>
      </c>
      <c r="F380" s="102"/>
      <c r="G380" s="102"/>
      <c r="H380" s="313"/>
      <c r="I380" s="313"/>
      <c r="J380" s="313"/>
      <c r="K380" s="306"/>
      <c r="L380" s="306"/>
      <c r="M380" s="306"/>
      <c r="N380" s="306"/>
      <c r="O380" s="306"/>
      <c r="P380" s="306"/>
      <c r="Q380" s="306"/>
      <c r="R380" s="306"/>
      <c r="S380" s="102">
        <f t="shared" ref="S380:AL380" si="468">(MAX(0,MIN(S13,SUM(S13:S$15)-$E$4))*$E380+MAX(0,MIN(S13,$D$4-SUM(S14:S$15)))*$C380+(S13-(MAX(0,MIN(S13,SUM(S13:S$15)-$E$4))+MAX(0,MIN(S13,$D$4-SUM(S14:S$15)))))*$D380)</f>
        <v>0</v>
      </c>
      <c r="T380" s="102">
        <f t="shared" si="468"/>
        <v>0</v>
      </c>
      <c r="U380" s="102">
        <f t="shared" si="468"/>
        <v>0</v>
      </c>
      <c r="V380" s="102">
        <f t="shared" si="468"/>
        <v>0</v>
      </c>
      <c r="W380" s="102">
        <f t="shared" si="468"/>
        <v>0</v>
      </c>
      <c r="X380" s="102">
        <f t="shared" si="468"/>
        <v>0</v>
      </c>
      <c r="Y380" s="102">
        <f t="shared" si="468"/>
        <v>0</v>
      </c>
      <c r="Z380" s="102">
        <f t="shared" si="468"/>
        <v>0</v>
      </c>
      <c r="AA380" s="102">
        <f t="shared" si="468"/>
        <v>0</v>
      </c>
      <c r="AB380" s="102">
        <f t="shared" si="468"/>
        <v>0</v>
      </c>
      <c r="AC380" s="102">
        <f t="shared" si="468"/>
        <v>0</v>
      </c>
      <c r="AD380" s="102">
        <f t="shared" si="468"/>
        <v>0</v>
      </c>
      <c r="AE380" s="102">
        <f t="shared" si="468"/>
        <v>0</v>
      </c>
      <c r="AF380" s="102">
        <f t="shared" si="468"/>
        <v>0</v>
      </c>
      <c r="AG380" s="102">
        <f t="shared" si="468"/>
        <v>0</v>
      </c>
      <c r="AH380" s="102">
        <f t="shared" si="468"/>
        <v>0</v>
      </c>
      <c r="AI380" s="102">
        <f t="shared" si="468"/>
        <v>0</v>
      </c>
      <c r="AJ380" s="102">
        <f t="shared" si="468"/>
        <v>0</v>
      </c>
      <c r="AK380" s="102">
        <f t="shared" si="468"/>
        <v>0</v>
      </c>
      <c r="AL380" s="102">
        <f t="shared" si="468"/>
        <v>0</v>
      </c>
      <c r="AM380" s="102">
        <f t="shared" ref="AM380:AV380" si="469">$D380*AM$107*AM$13</f>
        <v>0</v>
      </c>
      <c r="AN380" s="102">
        <f t="shared" si="469"/>
        <v>0</v>
      </c>
      <c r="AO380" s="102">
        <f t="shared" si="469"/>
        <v>0</v>
      </c>
      <c r="AP380" s="102">
        <f t="shared" si="469"/>
        <v>0</v>
      </c>
      <c r="AQ380" s="102">
        <f t="shared" si="469"/>
        <v>0</v>
      </c>
      <c r="AR380" s="102">
        <f t="shared" si="469"/>
        <v>0</v>
      </c>
      <c r="AS380" s="102">
        <f t="shared" si="469"/>
        <v>0</v>
      </c>
      <c r="AT380" s="102">
        <f t="shared" si="469"/>
        <v>0</v>
      </c>
      <c r="AU380" s="102">
        <f t="shared" si="469"/>
        <v>0</v>
      </c>
      <c r="AV380" s="102" t="str">
        <f t="shared" si="469"/>
        <v>#REF!</v>
      </c>
      <c r="AW380" s="90"/>
      <c r="AX380" s="90"/>
      <c r="AY380" s="90"/>
      <c r="AZ380" s="90"/>
      <c r="BA380" s="90"/>
      <c r="BB380" s="90"/>
      <c r="BC380" s="90"/>
      <c r="BD380" s="90"/>
      <c r="BE380" s="90"/>
      <c r="BF380" s="90"/>
      <c r="BG380" s="90"/>
      <c r="BH380" s="90"/>
      <c r="BI380" s="90"/>
      <c r="BJ380" s="90"/>
      <c r="BK380" s="90"/>
      <c r="BL380" s="90"/>
      <c r="BM380" s="90"/>
      <c r="BN380" s="90"/>
      <c r="BO380" s="90"/>
      <c r="BP380" s="90"/>
    </row>
    <row r="381" ht="12.75" customHeight="1" outlineLevel="1">
      <c r="A381" s="90" t="s">
        <v>294</v>
      </c>
      <c r="C381" s="102">
        <f>'RSGen 1-7'!O$415</f>
        <v>0</v>
      </c>
      <c r="D381" s="102">
        <f>OFFSET(RSGen_Walton!$H$415,0,ROW(C381)-ROW($C$374))+OFFSET(RSGen_Walton!$H$421,0,ROW(C381)-ROW($C$374))</f>
        <v>0</v>
      </c>
      <c r="E381" s="102">
        <f>OFFSET(RSGen_none!$H$415,0,ROW(D381)-ROW($C$374))+OFFSET(RSGen_none!$H$421,0,ROW(D381)-ROW($C$374))</f>
        <v>0</v>
      </c>
      <c r="F381" s="102"/>
      <c r="G381" s="102"/>
      <c r="H381" s="313"/>
      <c r="I381" s="313"/>
      <c r="J381" s="313"/>
      <c r="K381" s="306"/>
      <c r="L381" s="306"/>
      <c r="M381" s="306"/>
      <c r="N381" s="306"/>
      <c r="O381" s="306"/>
      <c r="P381" s="306"/>
      <c r="Q381" s="306"/>
      <c r="R381" s="306"/>
      <c r="S381" s="306"/>
      <c r="T381" s="102">
        <f t="shared" ref="T381:AL381" si="470">(MAX(0,MIN(T14,SUM(T14:T$15)-$E$4))*$E381+MAX(0,MIN(T14,$D$4-SUM(T$15:T15)))*$C381+(T14-(MAX(0,MIN(T14,SUM(T14:T$15)-$E$4))+MAX(0,MIN(T14,$D$4-SUM(T$15:T15)))))*$D381)</f>
        <v>0</v>
      </c>
      <c r="U381" s="102">
        <f t="shared" si="470"/>
        <v>0</v>
      </c>
      <c r="V381" s="102">
        <f t="shared" si="470"/>
        <v>0</v>
      </c>
      <c r="W381" s="102">
        <f t="shared" si="470"/>
        <v>0</v>
      </c>
      <c r="X381" s="102">
        <f t="shared" si="470"/>
        <v>0</v>
      </c>
      <c r="Y381" s="102">
        <f t="shared" si="470"/>
        <v>0</v>
      </c>
      <c r="Z381" s="102">
        <f t="shared" si="470"/>
        <v>0</v>
      </c>
      <c r="AA381" s="102">
        <f t="shared" si="470"/>
        <v>0</v>
      </c>
      <c r="AB381" s="102">
        <f t="shared" si="470"/>
        <v>0</v>
      </c>
      <c r="AC381" s="102">
        <f t="shared" si="470"/>
        <v>0</v>
      </c>
      <c r="AD381" s="102">
        <f t="shared" si="470"/>
        <v>0</v>
      </c>
      <c r="AE381" s="102">
        <f t="shared" si="470"/>
        <v>0</v>
      </c>
      <c r="AF381" s="102">
        <f t="shared" si="470"/>
        <v>0</v>
      </c>
      <c r="AG381" s="102">
        <f t="shared" si="470"/>
        <v>0</v>
      </c>
      <c r="AH381" s="102">
        <f t="shared" si="470"/>
        <v>0</v>
      </c>
      <c r="AI381" s="102">
        <f t="shared" si="470"/>
        <v>0</v>
      </c>
      <c r="AJ381" s="102">
        <f t="shared" si="470"/>
        <v>0</v>
      </c>
      <c r="AK381" s="102">
        <f t="shared" si="470"/>
        <v>0</v>
      </c>
      <c r="AL381" s="102">
        <f t="shared" si="470"/>
        <v>0</v>
      </c>
      <c r="AM381" s="102">
        <f t="shared" ref="AM381:AV381" si="471">$D381*AM$107*AM$14</f>
        <v>0</v>
      </c>
      <c r="AN381" s="102">
        <f t="shared" si="471"/>
        <v>0</v>
      </c>
      <c r="AO381" s="102">
        <f t="shared" si="471"/>
        <v>0</v>
      </c>
      <c r="AP381" s="102">
        <f t="shared" si="471"/>
        <v>0</v>
      </c>
      <c r="AQ381" s="102">
        <f t="shared" si="471"/>
        <v>0</v>
      </c>
      <c r="AR381" s="102">
        <f t="shared" si="471"/>
        <v>0</v>
      </c>
      <c r="AS381" s="102">
        <f t="shared" si="471"/>
        <v>0</v>
      </c>
      <c r="AT381" s="102">
        <f t="shared" si="471"/>
        <v>0</v>
      </c>
      <c r="AU381" s="102">
        <f t="shared" si="471"/>
        <v>0</v>
      </c>
      <c r="AV381" s="102">
        <f t="shared" si="471"/>
        <v>0</v>
      </c>
      <c r="AW381" s="90"/>
      <c r="AX381" s="90"/>
      <c r="AY381" s="90"/>
      <c r="AZ381" s="90"/>
      <c r="BA381" s="90"/>
      <c r="BB381" s="90"/>
      <c r="BC381" s="90"/>
      <c r="BD381" s="90"/>
      <c r="BE381" s="90"/>
      <c r="BF381" s="90"/>
      <c r="BG381" s="90"/>
      <c r="BH381" s="90"/>
      <c r="BI381" s="90"/>
      <c r="BJ381" s="90"/>
      <c r="BK381" s="90"/>
      <c r="BL381" s="90"/>
      <c r="BM381" s="90"/>
      <c r="BN381" s="90"/>
      <c r="BO381" s="90"/>
      <c r="BP381" s="90"/>
    </row>
    <row r="382" ht="12.75" customHeight="1" outlineLevel="1">
      <c r="A382" s="90" t="s">
        <v>295</v>
      </c>
      <c r="C382" s="102">
        <f>'RSGen 1-7'!P$415</f>
        <v>0</v>
      </c>
      <c r="D382" s="102">
        <f>OFFSET(RSGen_Walton!$H$415,0,ROW(C382)-ROW($C$374))+OFFSET(RSGen_Walton!$H$421,0,ROW(C382)-ROW($C$374))</f>
        <v>0</v>
      </c>
      <c r="E382" s="102">
        <f>OFFSET(RSGen_none!$H$415,0,ROW(D382)-ROW($C$374))+OFFSET(RSGen_none!$H$421,0,ROW(D382)-ROW($C$374))</f>
        <v>0</v>
      </c>
      <c r="F382" s="102"/>
      <c r="G382" s="102"/>
      <c r="H382" s="313"/>
      <c r="I382" s="313"/>
      <c r="J382" s="313"/>
      <c r="K382" s="306"/>
      <c r="L382" s="306"/>
      <c r="M382" s="306"/>
      <c r="N382" s="306"/>
      <c r="O382" s="306"/>
      <c r="P382" s="306"/>
      <c r="Q382" s="306"/>
      <c r="R382" s="306"/>
      <c r="S382" s="306"/>
      <c r="T382" s="306"/>
      <c r="U382" s="102">
        <f t="shared" ref="U382:AL382" si="472">($C382*MIN($D$4-3,U15-3)+$D382*MIN($E$4-$D$4,MAX(0,U15-$D$4))+$E382*MAX(0,U15-$E$4))</f>
        <v>0</v>
      </c>
      <c r="V382" s="102">
        <f t="shared" si="472"/>
        <v>0</v>
      </c>
      <c r="W382" s="102">
        <f t="shared" si="472"/>
        <v>0</v>
      </c>
      <c r="X382" s="102">
        <f t="shared" si="472"/>
        <v>0</v>
      </c>
      <c r="Y382" s="102">
        <f t="shared" si="472"/>
        <v>0</v>
      </c>
      <c r="Z382" s="102">
        <f t="shared" si="472"/>
        <v>0</v>
      </c>
      <c r="AA382" s="102">
        <f t="shared" si="472"/>
        <v>0</v>
      </c>
      <c r="AB382" s="102">
        <f t="shared" si="472"/>
        <v>0</v>
      </c>
      <c r="AC382" s="102">
        <f t="shared" si="472"/>
        <v>0</v>
      </c>
      <c r="AD382" s="102">
        <f t="shared" si="472"/>
        <v>0</v>
      </c>
      <c r="AE382" s="102">
        <f t="shared" si="472"/>
        <v>0</v>
      </c>
      <c r="AF382" s="102">
        <f t="shared" si="472"/>
        <v>0</v>
      </c>
      <c r="AG382" s="102">
        <f t="shared" si="472"/>
        <v>0</v>
      </c>
      <c r="AH382" s="102">
        <f t="shared" si="472"/>
        <v>0</v>
      </c>
      <c r="AI382" s="102">
        <f t="shared" si="472"/>
        <v>0</v>
      </c>
      <c r="AJ382" s="102">
        <f t="shared" si="472"/>
        <v>0</v>
      </c>
      <c r="AK382" s="102">
        <f t="shared" si="472"/>
        <v>0</v>
      </c>
      <c r="AL382" s="102">
        <f t="shared" si="472"/>
        <v>0</v>
      </c>
      <c r="AM382" s="102">
        <f t="shared" ref="AM382:AV382" si="473">$C382*AM$107*(4)+$D382*AM$107*(AM$15-7)</f>
        <v>0</v>
      </c>
      <c r="AN382" s="102">
        <f t="shared" si="473"/>
        <v>0</v>
      </c>
      <c r="AO382" s="102">
        <f t="shared" si="473"/>
        <v>0</v>
      </c>
      <c r="AP382" s="102">
        <f t="shared" si="473"/>
        <v>0</v>
      </c>
      <c r="AQ382" s="102">
        <f t="shared" si="473"/>
        <v>0</v>
      </c>
      <c r="AR382" s="102">
        <f t="shared" si="473"/>
        <v>0</v>
      </c>
      <c r="AS382" s="102">
        <f t="shared" si="473"/>
        <v>0</v>
      </c>
      <c r="AT382" s="102">
        <f t="shared" si="473"/>
        <v>0</v>
      </c>
      <c r="AU382" s="102">
        <f t="shared" si="473"/>
        <v>0</v>
      </c>
      <c r="AV382" s="102">
        <f t="shared" si="473"/>
        <v>0</v>
      </c>
      <c r="AW382" s="90"/>
      <c r="AX382" s="90"/>
      <c r="AY382" s="90"/>
      <c r="AZ382" s="90"/>
      <c r="BA382" s="90"/>
      <c r="BB382" s="90"/>
      <c r="BC382" s="90"/>
      <c r="BD382" s="90"/>
      <c r="BE382" s="90"/>
      <c r="BF382" s="90"/>
      <c r="BG382" s="90"/>
      <c r="BH382" s="90"/>
      <c r="BI382" s="90"/>
      <c r="BJ382" s="90"/>
      <c r="BK382" s="90"/>
      <c r="BL382" s="90"/>
      <c r="BM382" s="90"/>
      <c r="BN382" s="90"/>
      <c r="BO382" s="90"/>
      <c r="BP382" s="90"/>
    </row>
    <row r="383" ht="13.5" customHeight="1" outlineLevel="1">
      <c r="A383" s="143" t="str">
        <f>"Total "&amp;A373</f>
        <v>Total CDE Loan</v>
      </c>
      <c r="B383" s="143"/>
      <c r="C383" s="309"/>
      <c r="D383" s="309"/>
      <c r="E383" s="309"/>
      <c r="F383" s="309"/>
      <c r="G383" s="309"/>
      <c r="H383" s="314"/>
      <c r="I383" s="314"/>
      <c r="J383" s="314"/>
      <c r="K383" s="311"/>
      <c r="L383" s="311"/>
      <c r="M383" s="307">
        <f t="shared" ref="M383:AV383" si="474">SUM(M374:M382)</f>
        <v>500000</v>
      </c>
      <c r="N383" s="307">
        <f t="shared" si="474"/>
        <v>650000</v>
      </c>
      <c r="O383" s="307">
        <f t="shared" si="474"/>
        <v>1000000</v>
      </c>
      <c r="P383" s="307">
        <f t="shared" si="474"/>
        <v>1500000</v>
      </c>
      <c r="Q383" s="307">
        <f t="shared" si="474"/>
        <v>2350000</v>
      </c>
      <c r="R383" s="307">
        <f t="shared" si="474"/>
        <v>3950000</v>
      </c>
      <c r="S383" s="307">
        <f t="shared" si="474"/>
        <v>5950000</v>
      </c>
      <c r="T383" s="307">
        <f t="shared" si="474"/>
        <v>7150000</v>
      </c>
      <c r="U383" s="307">
        <f t="shared" si="474"/>
        <v>5150000</v>
      </c>
      <c r="V383" s="307">
        <f t="shared" si="474"/>
        <v>8550000</v>
      </c>
      <c r="W383" s="307">
        <f t="shared" si="474"/>
        <v>9400000</v>
      </c>
      <c r="X383" s="307">
        <f t="shared" si="474"/>
        <v>22000000</v>
      </c>
      <c r="Y383" s="307">
        <f t="shared" si="474"/>
        <v>29350000</v>
      </c>
      <c r="Z383" s="307">
        <f t="shared" si="474"/>
        <v>34200000</v>
      </c>
      <c r="AA383" s="307">
        <f t="shared" si="474"/>
        <v>32100000</v>
      </c>
      <c r="AB383" s="307">
        <f t="shared" si="474"/>
        <v>34500000</v>
      </c>
      <c r="AC383" s="307">
        <f t="shared" si="474"/>
        <v>28800000</v>
      </c>
      <c r="AD383" s="307">
        <f t="shared" si="474"/>
        <v>17150000</v>
      </c>
      <c r="AE383" s="307">
        <f t="shared" si="474"/>
        <v>-8700000</v>
      </c>
      <c r="AF383" s="307">
        <f t="shared" si="474"/>
        <v>-69950000</v>
      </c>
      <c r="AG383" s="307">
        <f t="shared" si="474"/>
        <v>-66200000</v>
      </c>
      <c r="AH383" s="307">
        <f t="shared" si="474"/>
        <v>-50000000</v>
      </c>
      <c r="AI383" s="307">
        <f t="shared" si="474"/>
        <v>-32500000</v>
      </c>
      <c r="AJ383" s="307">
        <f t="shared" si="474"/>
        <v>-15250000</v>
      </c>
      <c r="AK383" s="307">
        <f t="shared" si="474"/>
        <v>-1650000</v>
      </c>
      <c r="AL383" s="307">
        <f t="shared" si="474"/>
        <v>0</v>
      </c>
      <c r="AM383" s="307">
        <f t="shared" si="474"/>
        <v>0</v>
      </c>
      <c r="AN383" s="307">
        <f t="shared" si="474"/>
        <v>0</v>
      </c>
      <c r="AO383" s="307">
        <f t="shared" si="474"/>
        <v>0</v>
      </c>
      <c r="AP383" s="307" t="str">
        <f t="shared" si="474"/>
        <v>#REF!</v>
      </c>
      <c r="AQ383" s="307" t="str">
        <f t="shared" si="474"/>
        <v>#REF!</v>
      </c>
      <c r="AR383" s="307" t="str">
        <f t="shared" si="474"/>
        <v>#REF!</v>
      </c>
      <c r="AS383" s="307" t="str">
        <f t="shared" si="474"/>
        <v>#REF!</v>
      </c>
      <c r="AT383" s="307" t="str">
        <f t="shared" si="474"/>
        <v>#REF!</v>
      </c>
      <c r="AU383" s="307" t="str">
        <f t="shared" si="474"/>
        <v>#REF!</v>
      </c>
      <c r="AV383" s="307" t="str">
        <f t="shared" si="474"/>
        <v>#REF!</v>
      </c>
      <c r="AW383" s="90"/>
      <c r="AX383" s="90"/>
      <c r="AY383" s="90"/>
      <c r="AZ383" s="90"/>
      <c r="BA383" s="90"/>
      <c r="BB383" s="90"/>
      <c r="BC383" s="90"/>
      <c r="BD383" s="90"/>
      <c r="BE383" s="90"/>
      <c r="BF383" s="90"/>
      <c r="BG383" s="90"/>
      <c r="BH383" s="90"/>
      <c r="BI383" s="90"/>
      <c r="BJ383" s="90"/>
      <c r="BK383" s="90"/>
      <c r="BL383" s="90"/>
      <c r="BM383" s="90"/>
      <c r="BN383" s="90"/>
      <c r="BO383" s="90"/>
      <c r="BP383" s="90"/>
    </row>
    <row r="384" ht="13.5" customHeight="1" outlineLevel="1">
      <c r="A384" s="90"/>
      <c r="C384" s="102"/>
      <c r="D384" s="102"/>
      <c r="E384" s="102"/>
      <c r="F384" s="102"/>
      <c r="G384" s="102"/>
      <c r="K384" s="102"/>
      <c r="L384" s="102"/>
      <c r="M384" s="102"/>
      <c r="N384" s="102"/>
      <c r="O384" s="102"/>
      <c r="P384" s="102"/>
      <c r="Q384" s="102"/>
      <c r="R384" s="102"/>
      <c r="S384" s="102"/>
      <c r="T384" s="102"/>
      <c r="U384" s="102"/>
      <c r="V384" s="102"/>
      <c r="W384" s="102"/>
      <c r="X384" s="102"/>
      <c r="Y384" s="102"/>
      <c r="Z384" s="102"/>
      <c r="AA384" s="102"/>
      <c r="AB384" s="102"/>
      <c r="AC384" s="102"/>
      <c r="AD384" s="102"/>
      <c r="AE384" s="102"/>
      <c r="AF384" s="102"/>
      <c r="AG384" s="102"/>
      <c r="AH384" s="102"/>
      <c r="AI384" s="102"/>
      <c r="AJ384" s="102"/>
      <c r="AK384" s="102"/>
      <c r="AL384" s="102"/>
      <c r="AM384" s="102"/>
      <c r="AN384" s="102"/>
      <c r="AO384" s="102"/>
      <c r="AP384" s="102"/>
      <c r="AQ384" s="102"/>
      <c r="AR384" s="102"/>
      <c r="AS384" s="102"/>
      <c r="AT384" s="102"/>
      <c r="AU384" s="102"/>
      <c r="AV384" s="102"/>
      <c r="AW384" s="90"/>
      <c r="AX384" s="90"/>
      <c r="AY384" s="90"/>
      <c r="AZ384" s="90"/>
      <c r="BA384" s="90"/>
      <c r="BB384" s="90"/>
      <c r="BC384" s="90"/>
      <c r="BD384" s="90"/>
      <c r="BE384" s="90"/>
      <c r="BF384" s="90"/>
      <c r="BG384" s="90"/>
      <c r="BH384" s="90"/>
      <c r="BI384" s="90"/>
      <c r="BJ384" s="90"/>
      <c r="BK384" s="90"/>
      <c r="BL384" s="90"/>
      <c r="BM384" s="90"/>
      <c r="BN384" s="90"/>
      <c r="BO384" s="90"/>
      <c r="BP384" s="90"/>
    </row>
    <row r="385" ht="12.75" customHeight="1" outlineLevel="1">
      <c r="A385" s="90" t="s">
        <v>614</v>
      </c>
      <c r="C385" s="102"/>
      <c r="D385" s="102"/>
      <c r="E385" s="102"/>
      <c r="F385" s="102"/>
      <c r="G385" s="102"/>
      <c r="K385" s="102"/>
      <c r="L385" s="102"/>
      <c r="M385" s="102"/>
      <c r="N385" s="102"/>
      <c r="O385" s="102"/>
      <c r="P385" s="102"/>
      <c r="Q385" s="102"/>
      <c r="R385" s="102"/>
      <c r="S385" s="102"/>
      <c r="T385" s="102"/>
      <c r="U385" s="102"/>
      <c r="V385" s="102"/>
      <c r="W385" s="102"/>
      <c r="X385" s="102"/>
      <c r="Y385" s="102"/>
      <c r="Z385" s="102"/>
      <c r="AA385" s="102"/>
      <c r="AB385" s="102"/>
      <c r="AC385" s="102"/>
      <c r="AD385" s="102"/>
      <c r="AE385" s="102"/>
      <c r="AF385" s="102"/>
      <c r="AG385" s="102"/>
      <c r="AH385" s="102"/>
      <c r="AI385" s="102"/>
      <c r="AJ385" s="102"/>
      <c r="AK385" s="102"/>
      <c r="AL385" s="102"/>
      <c r="AM385" s="102"/>
      <c r="AN385" s="102"/>
      <c r="AO385" s="102"/>
      <c r="AP385" s="102"/>
      <c r="AQ385" s="102"/>
      <c r="AR385" s="102"/>
      <c r="AS385" s="102"/>
      <c r="AT385" s="102"/>
      <c r="AU385" s="102"/>
      <c r="AV385" s="102"/>
      <c r="AW385" s="90"/>
      <c r="AX385" s="90"/>
      <c r="AY385" s="90"/>
      <c r="AZ385" s="90"/>
      <c r="BA385" s="90"/>
      <c r="BB385" s="90"/>
      <c r="BC385" s="90"/>
      <c r="BD385" s="90"/>
      <c r="BE385" s="90"/>
      <c r="BF385" s="90"/>
      <c r="BG385" s="90"/>
      <c r="BH385" s="90"/>
      <c r="BI385" s="90"/>
      <c r="BJ385" s="90"/>
      <c r="BK385" s="90"/>
      <c r="BL385" s="90"/>
      <c r="BM385" s="90"/>
      <c r="BN385" s="90"/>
      <c r="BO385" s="90"/>
      <c r="BP385" s="90"/>
    </row>
    <row r="386" ht="12.75" customHeight="1" outlineLevel="1">
      <c r="A386" s="90" t="s">
        <v>615</v>
      </c>
      <c r="C386" s="102">
        <f>'RSGen 1-7'!G$416</f>
        <v>250000</v>
      </c>
      <c r="D386" s="102">
        <v>0.0</v>
      </c>
      <c r="E386" s="102">
        <v>0.0</v>
      </c>
      <c r="F386" s="102"/>
      <c r="G386" s="102"/>
      <c r="K386" s="102"/>
      <c r="L386" s="102">
        <f>$C386*L$6</f>
        <v>500000</v>
      </c>
      <c r="M386" s="102">
        <f t="shared" ref="M386:AL386" si="475">(MAX(0,MIN(M6,SUM(M6:M$15)-$E$4))*$E386+MAX(0,MIN(M6,$D$4-SUM(M7:M$15)))*$C386+(M6-(MAX(0,MIN(M6,SUM(M6:M$15)-$E$4))+MAX(0,MIN(M6,$D$4-SUM(M7:M$15)))))*$D386)</f>
        <v>500000</v>
      </c>
      <c r="N386" s="102">
        <f t="shared" si="475"/>
        <v>0</v>
      </c>
      <c r="O386" s="102">
        <f t="shared" si="475"/>
        <v>0</v>
      </c>
      <c r="P386" s="102">
        <f t="shared" si="475"/>
        <v>0</v>
      </c>
      <c r="Q386" s="102">
        <f t="shared" si="475"/>
        <v>0</v>
      </c>
      <c r="R386" s="102">
        <f t="shared" si="475"/>
        <v>0</v>
      </c>
      <c r="S386" s="102">
        <f t="shared" si="475"/>
        <v>0</v>
      </c>
      <c r="T386" s="102">
        <f t="shared" si="475"/>
        <v>0</v>
      </c>
      <c r="U386" s="102">
        <f t="shared" si="475"/>
        <v>0</v>
      </c>
      <c r="V386" s="102">
        <f t="shared" si="475"/>
        <v>0</v>
      </c>
      <c r="W386" s="102">
        <f t="shared" si="475"/>
        <v>0</v>
      </c>
      <c r="X386" s="102">
        <f t="shared" si="475"/>
        <v>0</v>
      </c>
      <c r="Y386" s="102">
        <f t="shared" si="475"/>
        <v>0</v>
      </c>
      <c r="Z386" s="102">
        <f t="shared" si="475"/>
        <v>0</v>
      </c>
      <c r="AA386" s="102">
        <f t="shared" si="475"/>
        <v>0</v>
      </c>
      <c r="AB386" s="102">
        <f t="shared" si="475"/>
        <v>0</v>
      </c>
      <c r="AC386" s="102">
        <f t="shared" si="475"/>
        <v>0</v>
      </c>
      <c r="AD386" s="102">
        <f t="shared" si="475"/>
        <v>0</v>
      </c>
      <c r="AE386" s="102">
        <f t="shared" si="475"/>
        <v>0</v>
      </c>
      <c r="AF386" s="102">
        <f t="shared" si="475"/>
        <v>0</v>
      </c>
      <c r="AG386" s="102">
        <f t="shared" si="475"/>
        <v>0</v>
      </c>
      <c r="AH386" s="102">
        <f t="shared" si="475"/>
        <v>0</v>
      </c>
      <c r="AI386" s="102">
        <f t="shared" si="475"/>
        <v>0</v>
      </c>
      <c r="AJ386" s="102">
        <f t="shared" si="475"/>
        <v>0</v>
      </c>
      <c r="AK386" s="102">
        <f t="shared" si="475"/>
        <v>0</v>
      </c>
      <c r="AL386" s="102">
        <f t="shared" si="475"/>
        <v>0</v>
      </c>
      <c r="AM386" s="102">
        <f t="shared" ref="AM386:AV386" si="476">$D386*AM$6</f>
        <v>0</v>
      </c>
      <c r="AN386" s="102">
        <f t="shared" si="476"/>
        <v>0</v>
      </c>
      <c r="AO386" s="102" t="str">
        <f t="shared" si="476"/>
        <v>#REF!</v>
      </c>
      <c r="AP386" s="102" t="str">
        <f t="shared" si="476"/>
        <v>#REF!</v>
      </c>
      <c r="AQ386" s="102" t="str">
        <f t="shared" si="476"/>
        <v>#REF!</v>
      </c>
      <c r="AR386" s="102" t="str">
        <f t="shared" si="476"/>
        <v>#REF!</v>
      </c>
      <c r="AS386" s="102" t="str">
        <f t="shared" si="476"/>
        <v>#REF!</v>
      </c>
      <c r="AT386" s="102">
        <f t="shared" si="476"/>
        <v>0</v>
      </c>
      <c r="AU386" s="102">
        <f t="shared" si="476"/>
        <v>0</v>
      </c>
      <c r="AV386" s="102">
        <f t="shared" si="476"/>
        <v>0</v>
      </c>
      <c r="AW386" s="90"/>
      <c r="AX386" s="90"/>
      <c r="AY386" s="90"/>
      <c r="AZ386" s="90"/>
      <c r="BA386" s="90"/>
      <c r="BB386" s="90"/>
      <c r="BC386" s="90"/>
      <c r="BD386" s="90"/>
      <c r="BE386" s="90"/>
      <c r="BF386" s="90"/>
      <c r="BG386" s="90"/>
      <c r="BH386" s="90"/>
      <c r="BI386" s="90"/>
      <c r="BJ386" s="90"/>
      <c r="BK386" s="90"/>
      <c r="BL386" s="90"/>
      <c r="BM386" s="90"/>
      <c r="BN386" s="90"/>
      <c r="BO386" s="90"/>
      <c r="BP386" s="90"/>
    </row>
    <row r="387" ht="12.75" customHeight="1" outlineLevel="1">
      <c r="A387" s="90" t="s">
        <v>287</v>
      </c>
      <c r="C387" s="102">
        <f>'RSGen 1-7'!H$416</f>
        <v>0</v>
      </c>
      <c r="D387" s="102">
        <v>0.0</v>
      </c>
      <c r="E387" s="102">
        <v>0.0</v>
      </c>
      <c r="F387" s="102"/>
      <c r="G387" s="102"/>
      <c r="H387" s="313"/>
      <c r="I387" s="313"/>
      <c r="J387" s="313"/>
      <c r="K387" s="306"/>
      <c r="L387" s="306"/>
      <c r="M387" s="102">
        <f>(MAX(0,MIN(M7,SUM(M7:M$15)-$E$4))*$E387+MAX(0,MIN(M7,$D$4-SUM(M8:M$15)))*$C387+(M7-(MAX(0,MIN(M7,SUM(M7:M$15)-$E$4))+MAX(0,MIN(M7,$D$4-SUM(M8:M$15)))))*$D387)</f>
        <v>0</v>
      </c>
      <c r="N387" s="102">
        <f>$C387*(N$7-1)</f>
        <v>0</v>
      </c>
      <c r="O387" s="102">
        <f t="shared" ref="O387:AV387" si="477">$D387*O$7</f>
        <v>0</v>
      </c>
      <c r="P387" s="102">
        <f t="shared" si="477"/>
        <v>0</v>
      </c>
      <c r="Q387" s="102">
        <f t="shared" si="477"/>
        <v>0</v>
      </c>
      <c r="R387" s="102">
        <f t="shared" si="477"/>
        <v>0</v>
      </c>
      <c r="S387" s="102">
        <f t="shared" si="477"/>
        <v>0</v>
      </c>
      <c r="T387" s="102">
        <f t="shared" si="477"/>
        <v>0</v>
      </c>
      <c r="U387" s="102">
        <f t="shared" si="477"/>
        <v>0</v>
      </c>
      <c r="V387" s="102">
        <f t="shared" si="477"/>
        <v>0</v>
      </c>
      <c r="W387" s="102">
        <f t="shared" si="477"/>
        <v>0</v>
      </c>
      <c r="X387" s="102">
        <f t="shared" si="477"/>
        <v>0</v>
      </c>
      <c r="Y387" s="102">
        <f t="shared" si="477"/>
        <v>0</v>
      </c>
      <c r="Z387" s="102">
        <f t="shared" si="477"/>
        <v>0</v>
      </c>
      <c r="AA387" s="102">
        <f t="shared" si="477"/>
        <v>0</v>
      </c>
      <c r="AB387" s="102">
        <f t="shared" si="477"/>
        <v>0</v>
      </c>
      <c r="AC387" s="102">
        <f t="shared" si="477"/>
        <v>0</v>
      </c>
      <c r="AD387" s="102">
        <f t="shared" si="477"/>
        <v>0</v>
      </c>
      <c r="AE387" s="102">
        <f t="shared" si="477"/>
        <v>0</v>
      </c>
      <c r="AF387" s="102">
        <f t="shared" si="477"/>
        <v>0</v>
      </c>
      <c r="AG387" s="102">
        <f t="shared" si="477"/>
        <v>0</v>
      </c>
      <c r="AH387" s="102">
        <f t="shared" si="477"/>
        <v>0</v>
      </c>
      <c r="AI387" s="102">
        <f t="shared" si="477"/>
        <v>0</v>
      </c>
      <c r="AJ387" s="102">
        <f t="shared" si="477"/>
        <v>0</v>
      </c>
      <c r="AK387" s="102">
        <f t="shared" si="477"/>
        <v>0</v>
      </c>
      <c r="AL387" s="102">
        <f t="shared" si="477"/>
        <v>0</v>
      </c>
      <c r="AM387" s="102">
        <f t="shared" si="477"/>
        <v>0</v>
      </c>
      <c r="AN387" s="102">
        <f t="shared" si="477"/>
        <v>0</v>
      </c>
      <c r="AO387" s="102">
        <f t="shared" si="477"/>
        <v>0</v>
      </c>
      <c r="AP387" s="102" t="str">
        <f t="shared" si="477"/>
        <v>#REF!</v>
      </c>
      <c r="AQ387" s="102" t="str">
        <f t="shared" si="477"/>
        <v>#REF!</v>
      </c>
      <c r="AR387" s="102" t="str">
        <f t="shared" si="477"/>
        <v>#REF!</v>
      </c>
      <c r="AS387" s="102" t="str">
        <f t="shared" si="477"/>
        <v>#REF!</v>
      </c>
      <c r="AT387" s="102" t="str">
        <f t="shared" si="477"/>
        <v>#REF!</v>
      </c>
      <c r="AU387" s="102">
        <f t="shared" si="477"/>
        <v>0</v>
      </c>
      <c r="AV387" s="102">
        <f t="shared" si="477"/>
        <v>0</v>
      </c>
      <c r="AW387" s="90"/>
      <c r="AX387" s="90"/>
      <c r="AY387" s="90"/>
      <c r="AZ387" s="90"/>
      <c r="BA387" s="90"/>
      <c r="BB387" s="90"/>
      <c r="BC387" s="90"/>
      <c r="BD387" s="90"/>
      <c r="BE387" s="90"/>
      <c r="BF387" s="90"/>
      <c r="BG387" s="90"/>
      <c r="BH387" s="90"/>
      <c r="BI387" s="90"/>
      <c r="BJ387" s="90"/>
      <c r="BK387" s="90"/>
      <c r="BL387" s="90"/>
      <c r="BM387" s="90"/>
      <c r="BN387" s="90"/>
      <c r="BO387" s="90"/>
      <c r="BP387" s="90"/>
    </row>
    <row r="388" ht="12.75" customHeight="1" outlineLevel="1">
      <c r="A388" s="90" t="s">
        <v>288</v>
      </c>
      <c r="C388" s="102">
        <f>'RSGen 1-7'!I$416</f>
        <v>0</v>
      </c>
      <c r="D388" s="102">
        <v>0.0</v>
      </c>
      <c r="E388" s="102">
        <v>0.0</v>
      </c>
      <c r="F388" s="102"/>
      <c r="G388" s="102"/>
      <c r="H388" s="313"/>
      <c r="I388" s="313"/>
      <c r="J388" s="313"/>
      <c r="K388" s="306"/>
      <c r="L388" s="306"/>
      <c r="M388" s="306"/>
      <c r="N388" s="102">
        <f t="shared" ref="N388:AL388" si="478">(MAX(0,MIN(N8,SUM(N8:N$15)-$E$4))*$E388+MAX(0,MIN(N8,$D$4-SUM(N9:N$15)))*$C388+(N8-(MAX(0,MIN(N8,SUM(N8:N$15)-$E$4))+MAX(0,MIN(N8,$D$4-SUM(N9:N$15)))))*$D388)</f>
        <v>0</v>
      </c>
      <c r="O388" s="102">
        <f t="shared" si="478"/>
        <v>0</v>
      </c>
      <c r="P388" s="102">
        <f t="shared" si="478"/>
        <v>0</v>
      </c>
      <c r="Q388" s="102">
        <f t="shared" si="478"/>
        <v>0</v>
      </c>
      <c r="R388" s="102">
        <f t="shared" si="478"/>
        <v>0</v>
      </c>
      <c r="S388" s="102">
        <f t="shared" si="478"/>
        <v>0</v>
      </c>
      <c r="T388" s="102">
        <f t="shared" si="478"/>
        <v>0</v>
      </c>
      <c r="U388" s="102">
        <f t="shared" si="478"/>
        <v>0</v>
      </c>
      <c r="V388" s="102">
        <f t="shared" si="478"/>
        <v>0</v>
      </c>
      <c r="W388" s="102">
        <f t="shared" si="478"/>
        <v>0</v>
      </c>
      <c r="X388" s="102">
        <f t="shared" si="478"/>
        <v>0</v>
      </c>
      <c r="Y388" s="102">
        <f t="shared" si="478"/>
        <v>0</v>
      </c>
      <c r="Z388" s="102">
        <f t="shared" si="478"/>
        <v>0</v>
      </c>
      <c r="AA388" s="102">
        <f t="shared" si="478"/>
        <v>0</v>
      </c>
      <c r="AB388" s="102">
        <f t="shared" si="478"/>
        <v>0</v>
      </c>
      <c r="AC388" s="102">
        <f t="shared" si="478"/>
        <v>0</v>
      </c>
      <c r="AD388" s="102">
        <f t="shared" si="478"/>
        <v>0</v>
      </c>
      <c r="AE388" s="102">
        <f t="shared" si="478"/>
        <v>0</v>
      </c>
      <c r="AF388" s="102">
        <f t="shared" si="478"/>
        <v>0</v>
      </c>
      <c r="AG388" s="102">
        <f t="shared" si="478"/>
        <v>0</v>
      </c>
      <c r="AH388" s="102">
        <f t="shared" si="478"/>
        <v>0</v>
      </c>
      <c r="AI388" s="102">
        <f t="shared" si="478"/>
        <v>0</v>
      </c>
      <c r="AJ388" s="102">
        <f t="shared" si="478"/>
        <v>0</v>
      </c>
      <c r="AK388" s="102">
        <f t="shared" si="478"/>
        <v>0</v>
      </c>
      <c r="AL388" s="102">
        <f t="shared" si="478"/>
        <v>0</v>
      </c>
      <c r="AM388" s="102">
        <f t="shared" ref="AM388:AV388" si="479">$D388*AM$8</f>
        <v>0</v>
      </c>
      <c r="AN388" s="102">
        <f t="shared" si="479"/>
        <v>0</v>
      </c>
      <c r="AO388" s="102">
        <f t="shared" si="479"/>
        <v>0</v>
      </c>
      <c r="AP388" s="102">
        <f t="shared" si="479"/>
        <v>0</v>
      </c>
      <c r="AQ388" s="102" t="str">
        <f t="shared" si="479"/>
        <v>#REF!</v>
      </c>
      <c r="AR388" s="102" t="str">
        <f t="shared" si="479"/>
        <v>#REF!</v>
      </c>
      <c r="AS388" s="102" t="str">
        <f t="shared" si="479"/>
        <v>#REF!</v>
      </c>
      <c r="AT388" s="102" t="str">
        <f t="shared" si="479"/>
        <v>#REF!</v>
      </c>
      <c r="AU388" s="102" t="str">
        <f t="shared" si="479"/>
        <v>#REF!</v>
      </c>
      <c r="AV388" s="102">
        <f t="shared" si="479"/>
        <v>0</v>
      </c>
      <c r="AW388" s="90"/>
      <c r="AX388" s="90"/>
      <c r="AY388" s="90"/>
      <c r="AZ388" s="90"/>
      <c r="BA388" s="90"/>
      <c r="BB388" s="90"/>
      <c r="BC388" s="90"/>
      <c r="BD388" s="90"/>
      <c r="BE388" s="90"/>
      <c r="BF388" s="90"/>
      <c r="BG388" s="90"/>
      <c r="BH388" s="90"/>
      <c r="BI388" s="90"/>
      <c r="BJ388" s="90"/>
      <c r="BK388" s="90"/>
      <c r="BL388" s="90"/>
      <c r="BM388" s="90"/>
      <c r="BN388" s="90"/>
      <c r="BO388" s="90"/>
      <c r="BP388" s="90"/>
    </row>
    <row r="389" ht="12.75" customHeight="1" outlineLevel="1">
      <c r="A389" s="90" t="s">
        <v>289</v>
      </c>
      <c r="C389" s="102">
        <f>'RSGen 1-7'!J$416</f>
        <v>0</v>
      </c>
      <c r="D389" s="102">
        <v>0.0</v>
      </c>
      <c r="E389" s="102">
        <v>0.0</v>
      </c>
      <c r="F389" s="102"/>
      <c r="G389" s="102"/>
      <c r="H389" s="313"/>
      <c r="I389" s="313"/>
      <c r="J389" s="313"/>
      <c r="K389" s="306"/>
      <c r="L389" s="306"/>
      <c r="M389" s="306"/>
      <c r="N389" s="306"/>
      <c r="O389" s="102">
        <f t="shared" ref="O389:AL389" si="480">(MAX(0,MIN(O9,SUM(O9:O$15)-$E$4))*$E389+MAX(0,MIN(O9,$D$4-SUM(O10:O$15)))*$C389+(O9-(MAX(0,MIN(O9,SUM(O9:O$15)-$E$4))+MAX(0,MIN(O9,$D$4-SUM(O10:O$15)))))*$D389)</f>
        <v>0</v>
      </c>
      <c r="P389" s="102">
        <f t="shared" si="480"/>
        <v>0</v>
      </c>
      <c r="Q389" s="102">
        <f t="shared" si="480"/>
        <v>0</v>
      </c>
      <c r="R389" s="102">
        <f t="shared" si="480"/>
        <v>0</v>
      </c>
      <c r="S389" s="102">
        <f t="shared" si="480"/>
        <v>0</v>
      </c>
      <c r="T389" s="102">
        <f t="shared" si="480"/>
        <v>0</v>
      </c>
      <c r="U389" s="102">
        <f t="shared" si="480"/>
        <v>0</v>
      </c>
      <c r="V389" s="102">
        <f t="shared" si="480"/>
        <v>0</v>
      </c>
      <c r="W389" s="102">
        <f t="shared" si="480"/>
        <v>0</v>
      </c>
      <c r="X389" s="102">
        <f t="shared" si="480"/>
        <v>0</v>
      </c>
      <c r="Y389" s="102">
        <f t="shared" si="480"/>
        <v>0</v>
      </c>
      <c r="Z389" s="102">
        <f t="shared" si="480"/>
        <v>0</v>
      </c>
      <c r="AA389" s="102">
        <f t="shared" si="480"/>
        <v>0</v>
      </c>
      <c r="AB389" s="102">
        <f t="shared" si="480"/>
        <v>0</v>
      </c>
      <c r="AC389" s="102">
        <f t="shared" si="480"/>
        <v>0</v>
      </c>
      <c r="AD389" s="102">
        <f t="shared" si="480"/>
        <v>0</v>
      </c>
      <c r="AE389" s="102">
        <f t="shared" si="480"/>
        <v>0</v>
      </c>
      <c r="AF389" s="102">
        <f t="shared" si="480"/>
        <v>0</v>
      </c>
      <c r="AG389" s="102">
        <f t="shared" si="480"/>
        <v>0</v>
      </c>
      <c r="AH389" s="102">
        <f t="shared" si="480"/>
        <v>0</v>
      </c>
      <c r="AI389" s="102">
        <f t="shared" si="480"/>
        <v>0</v>
      </c>
      <c r="AJ389" s="102">
        <f t="shared" si="480"/>
        <v>0</v>
      </c>
      <c r="AK389" s="102">
        <f t="shared" si="480"/>
        <v>0</v>
      </c>
      <c r="AL389" s="102">
        <f t="shared" si="480"/>
        <v>0</v>
      </c>
      <c r="AM389" s="102">
        <f t="shared" ref="AM389:AV389" si="481">$D389*AM$107*AM$9</f>
        <v>0</v>
      </c>
      <c r="AN389" s="102">
        <f t="shared" si="481"/>
        <v>0</v>
      </c>
      <c r="AO389" s="102">
        <f t="shared" si="481"/>
        <v>0</v>
      </c>
      <c r="AP389" s="102">
        <f t="shared" si="481"/>
        <v>0</v>
      </c>
      <c r="AQ389" s="102">
        <f t="shared" si="481"/>
        <v>0</v>
      </c>
      <c r="AR389" s="102" t="str">
        <f t="shared" si="481"/>
        <v>#REF!</v>
      </c>
      <c r="AS389" s="102" t="str">
        <f t="shared" si="481"/>
        <v>#REF!</v>
      </c>
      <c r="AT389" s="102" t="str">
        <f t="shared" si="481"/>
        <v>#REF!</v>
      </c>
      <c r="AU389" s="102" t="str">
        <f t="shared" si="481"/>
        <v>#REF!</v>
      </c>
      <c r="AV389" s="102" t="str">
        <f t="shared" si="481"/>
        <v>#REF!</v>
      </c>
      <c r="AW389" s="90"/>
      <c r="AX389" s="90"/>
      <c r="AY389" s="90"/>
      <c r="AZ389" s="90"/>
      <c r="BA389" s="90"/>
      <c r="BB389" s="90"/>
      <c r="BC389" s="90"/>
      <c r="BD389" s="90"/>
      <c r="BE389" s="90"/>
      <c r="BF389" s="90"/>
      <c r="BG389" s="90"/>
      <c r="BH389" s="90"/>
      <c r="BI389" s="90"/>
      <c r="BJ389" s="90"/>
      <c r="BK389" s="90"/>
      <c r="BL389" s="90"/>
      <c r="BM389" s="90"/>
      <c r="BN389" s="90"/>
      <c r="BO389" s="90"/>
      <c r="BP389" s="90"/>
    </row>
    <row r="390" ht="12.75" customHeight="1" outlineLevel="1">
      <c r="A390" s="90" t="s">
        <v>290</v>
      </c>
      <c r="C390" s="102">
        <f>'RSGen 1-7'!K$416</f>
        <v>0</v>
      </c>
      <c r="D390" s="102">
        <v>0.0</v>
      </c>
      <c r="E390" s="102">
        <v>0.0</v>
      </c>
      <c r="F390" s="102"/>
      <c r="G390" s="102"/>
      <c r="H390" s="313"/>
      <c r="I390" s="313"/>
      <c r="J390" s="313"/>
      <c r="K390" s="306"/>
      <c r="L390" s="306"/>
      <c r="M390" s="306"/>
      <c r="N390" s="306"/>
      <c r="O390" s="306"/>
      <c r="P390" s="102">
        <f t="shared" ref="P390:AL390" si="482">(MAX(0,MIN(P10,SUM(P10:P$15)-$E$4))*$E390+MAX(0,MIN(P10,$D$4-SUM(P11:P$15)))*$C390+(P10-(MAX(0,MIN(P10,SUM(P10:P$15)-$E$4))+MAX(0,MIN(P10,$D$4-SUM(P11:P$15)))))*$D390)</f>
        <v>0</v>
      </c>
      <c r="Q390" s="102">
        <f t="shared" si="482"/>
        <v>0</v>
      </c>
      <c r="R390" s="102">
        <f t="shared" si="482"/>
        <v>0</v>
      </c>
      <c r="S390" s="102">
        <f t="shared" si="482"/>
        <v>0</v>
      </c>
      <c r="T390" s="102">
        <f t="shared" si="482"/>
        <v>0</v>
      </c>
      <c r="U390" s="102">
        <f t="shared" si="482"/>
        <v>0</v>
      </c>
      <c r="V390" s="102">
        <f t="shared" si="482"/>
        <v>0</v>
      </c>
      <c r="W390" s="102">
        <f t="shared" si="482"/>
        <v>0</v>
      </c>
      <c r="X390" s="102">
        <f t="shared" si="482"/>
        <v>0</v>
      </c>
      <c r="Y390" s="102">
        <f t="shared" si="482"/>
        <v>0</v>
      </c>
      <c r="Z390" s="102">
        <f t="shared" si="482"/>
        <v>0</v>
      </c>
      <c r="AA390" s="102">
        <f t="shared" si="482"/>
        <v>0</v>
      </c>
      <c r="AB390" s="102">
        <f t="shared" si="482"/>
        <v>0</v>
      </c>
      <c r="AC390" s="102">
        <f t="shared" si="482"/>
        <v>0</v>
      </c>
      <c r="AD390" s="102">
        <f t="shared" si="482"/>
        <v>0</v>
      </c>
      <c r="AE390" s="102">
        <f t="shared" si="482"/>
        <v>0</v>
      </c>
      <c r="AF390" s="102">
        <f t="shared" si="482"/>
        <v>0</v>
      </c>
      <c r="AG390" s="102">
        <f t="shared" si="482"/>
        <v>0</v>
      </c>
      <c r="AH390" s="102">
        <f t="shared" si="482"/>
        <v>0</v>
      </c>
      <c r="AI390" s="102">
        <f t="shared" si="482"/>
        <v>0</v>
      </c>
      <c r="AJ390" s="102">
        <f t="shared" si="482"/>
        <v>0</v>
      </c>
      <c r="AK390" s="102">
        <f t="shared" si="482"/>
        <v>0</v>
      </c>
      <c r="AL390" s="102">
        <f t="shared" si="482"/>
        <v>0</v>
      </c>
      <c r="AM390" s="102">
        <f t="shared" ref="AM390:AV390" si="483">$D390*AM$107*AM$10</f>
        <v>0</v>
      </c>
      <c r="AN390" s="102">
        <f t="shared" si="483"/>
        <v>0</v>
      </c>
      <c r="AO390" s="102">
        <f t="shared" si="483"/>
        <v>0</v>
      </c>
      <c r="AP390" s="102">
        <f t="shared" si="483"/>
        <v>0</v>
      </c>
      <c r="AQ390" s="102">
        <f t="shared" si="483"/>
        <v>0</v>
      </c>
      <c r="AR390" s="102">
        <f t="shared" si="483"/>
        <v>0</v>
      </c>
      <c r="AS390" s="102" t="str">
        <f t="shared" si="483"/>
        <v>#REF!</v>
      </c>
      <c r="AT390" s="102" t="str">
        <f t="shared" si="483"/>
        <v>#REF!</v>
      </c>
      <c r="AU390" s="102" t="str">
        <f t="shared" si="483"/>
        <v>#REF!</v>
      </c>
      <c r="AV390" s="102" t="str">
        <f t="shared" si="483"/>
        <v>#REF!</v>
      </c>
      <c r="AW390" s="90"/>
      <c r="AX390" s="90"/>
      <c r="AY390" s="90"/>
      <c r="AZ390" s="90"/>
      <c r="BA390" s="90"/>
      <c r="BB390" s="90"/>
      <c r="BC390" s="90"/>
      <c r="BD390" s="90"/>
      <c r="BE390" s="90"/>
      <c r="BF390" s="90"/>
      <c r="BG390" s="90"/>
      <c r="BH390" s="90"/>
      <c r="BI390" s="90"/>
      <c r="BJ390" s="90"/>
      <c r="BK390" s="90"/>
      <c r="BL390" s="90"/>
      <c r="BM390" s="90"/>
      <c r="BN390" s="90"/>
      <c r="BO390" s="90"/>
      <c r="BP390" s="90"/>
    </row>
    <row r="391" ht="12.75" customHeight="1" outlineLevel="1">
      <c r="A391" s="90" t="s">
        <v>291</v>
      </c>
      <c r="C391" s="102">
        <f>'RSGen 1-7'!L$416</f>
        <v>0</v>
      </c>
      <c r="D391" s="102">
        <v>0.0</v>
      </c>
      <c r="E391" s="102">
        <v>0.0</v>
      </c>
      <c r="F391" s="102"/>
      <c r="G391" s="102"/>
      <c r="H391" s="313"/>
      <c r="I391" s="313"/>
      <c r="J391" s="313"/>
      <c r="K391" s="306"/>
      <c r="L391" s="306"/>
      <c r="M391" s="306"/>
      <c r="N391" s="306"/>
      <c r="O391" s="306"/>
      <c r="P391" s="306"/>
      <c r="Q391" s="102">
        <f t="shared" ref="Q391:AL391" si="484">(MAX(0,MIN(Q11,SUM(Q11:Q$15)-$E$4))*$E391+MAX(0,MIN(Q11,$D$4-SUM(Q12:Q$15)))*$C391+(Q11-(MAX(0,MIN(Q11,SUM(Q11:Q$15)-$E$4))+MAX(0,MIN(Q11,$D$4-SUM(Q12:Q$15)))))*$D391)</f>
        <v>0</v>
      </c>
      <c r="R391" s="102">
        <f t="shared" si="484"/>
        <v>0</v>
      </c>
      <c r="S391" s="102">
        <f t="shared" si="484"/>
        <v>0</v>
      </c>
      <c r="T391" s="102">
        <f t="shared" si="484"/>
        <v>0</v>
      </c>
      <c r="U391" s="102">
        <f t="shared" si="484"/>
        <v>0</v>
      </c>
      <c r="V391" s="102">
        <f t="shared" si="484"/>
        <v>0</v>
      </c>
      <c r="W391" s="102">
        <f t="shared" si="484"/>
        <v>0</v>
      </c>
      <c r="X391" s="102">
        <f t="shared" si="484"/>
        <v>0</v>
      </c>
      <c r="Y391" s="102">
        <f t="shared" si="484"/>
        <v>0</v>
      </c>
      <c r="Z391" s="102">
        <f t="shared" si="484"/>
        <v>0</v>
      </c>
      <c r="AA391" s="102">
        <f t="shared" si="484"/>
        <v>0</v>
      </c>
      <c r="AB391" s="102">
        <f t="shared" si="484"/>
        <v>0</v>
      </c>
      <c r="AC391" s="102">
        <f t="shared" si="484"/>
        <v>0</v>
      </c>
      <c r="AD391" s="102">
        <f t="shared" si="484"/>
        <v>0</v>
      </c>
      <c r="AE391" s="102">
        <f t="shared" si="484"/>
        <v>0</v>
      </c>
      <c r="AF391" s="102">
        <f t="shared" si="484"/>
        <v>0</v>
      </c>
      <c r="AG391" s="102">
        <f t="shared" si="484"/>
        <v>0</v>
      </c>
      <c r="AH391" s="102">
        <f t="shared" si="484"/>
        <v>0</v>
      </c>
      <c r="AI391" s="102">
        <f t="shared" si="484"/>
        <v>0</v>
      </c>
      <c r="AJ391" s="102">
        <f t="shared" si="484"/>
        <v>0</v>
      </c>
      <c r="AK391" s="102">
        <f t="shared" si="484"/>
        <v>0</v>
      </c>
      <c r="AL391" s="102">
        <f t="shared" si="484"/>
        <v>0</v>
      </c>
      <c r="AM391" s="102">
        <f t="shared" ref="AM391:AV391" si="485">$D391*AM$107*AM$11</f>
        <v>0</v>
      </c>
      <c r="AN391" s="102">
        <f t="shared" si="485"/>
        <v>0</v>
      </c>
      <c r="AO391" s="102">
        <f t="shared" si="485"/>
        <v>0</v>
      </c>
      <c r="AP391" s="102">
        <f t="shared" si="485"/>
        <v>0</v>
      </c>
      <c r="AQ391" s="102">
        <f t="shared" si="485"/>
        <v>0</v>
      </c>
      <c r="AR391" s="102">
        <f t="shared" si="485"/>
        <v>0</v>
      </c>
      <c r="AS391" s="102">
        <f t="shared" si="485"/>
        <v>0</v>
      </c>
      <c r="AT391" s="102" t="str">
        <f t="shared" si="485"/>
        <v>#REF!</v>
      </c>
      <c r="AU391" s="102" t="str">
        <f t="shared" si="485"/>
        <v>#REF!</v>
      </c>
      <c r="AV391" s="102" t="str">
        <f t="shared" si="485"/>
        <v>#REF!</v>
      </c>
      <c r="AW391" s="90"/>
      <c r="AX391" s="90"/>
      <c r="AY391" s="90"/>
      <c r="AZ391" s="90"/>
      <c r="BA391" s="90"/>
      <c r="BB391" s="90"/>
      <c r="BC391" s="90"/>
      <c r="BD391" s="90"/>
      <c r="BE391" s="90"/>
      <c r="BF391" s="90"/>
      <c r="BG391" s="90"/>
      <c r="BH391" s="90"/>
      <c r="BI391" s="90"/>
      <c r="BJ391" s="90"/>
      <c r="BK391" s="90"/>
      <c r="BL391" s="90"/>
      <c r="BM391" s="90"/>
      <c r="BN391" s="90"/>
      <c r="BO391" s="90"/>
      <c r="BP391" s="90"/>
    </row>
    <row r="392" ht="12.75" customHeight="1" outlineLevel="1">
      <c r="A392" s="90" t="s">
        <v>292</v>
      </c>
      <c r="C392" s="102">
        <f>'RSGen 1-7'!M$416</f>
        <v>0</v>
      </c>
      <c r="D392" s="102">
        <v>0.0</v>
      </c>
      <c r="E392" s="102">
        <v>0.0</v>
      </c>
      <c r="F392" s="102"/>
      <c r="G392" s="102"/>
      <c r="H392" s="313"/>
      <c r="I392" s="313"/>
      <c r="J392" s="313"/>
      <c r="K392" s="306"/>
      <c r="L392" s="306"/>
      <c r="M392" s="306"/>
      <c r="N392" s="306"/>
      <c r="O392" s="306"/>
      <c r="P392" s="306"/>
      <c r="Q392" s="306"/>
      <c r="R392" s="102">
        <f t="shared" ref="R392:AL392" si="486">(MAX(0,MIN(R12,SUM(R12:R$15)-$E$4))*$E392+MAX(0,MIN(R12,$D$4-SUM(R13:R$15)))*$C392+(R12-(MAX(0,MIN(R12,SUM(R12:R$15)-$E$4))+MAX(0,MIN(R12,$D$4-SUM(R13:R$15)))))*$D392)</f>
        <v>0</v>
      </c>
      <c r="S392" s="102">
        <f t="shared" si="486"/>
        <v>0</v>
      </c>
      <c r="T392" s="102">
        <f t="shared" si="486"/>
        <v>0</v>
      </c>
      <c r="U392" s="102">
        <f t="shared" si="486"/>
        <v>0</v>
      </c>
      <c r="V392" s="102">
        <f t="shared" si="486"/>
        <v>0</v>
      </c>
      <c r="W392" s="102">
        <f t="shared" si="486"/>
        <v>0</v>
      </c>
      <c r="X392" s="102">
        <f t="shared" si="486"/>
        <v>0</v>
      </c>
      <c r="Y392" s="102">
        <f t="shared" si="486"/>
        <v>0</v>
      </c>
      <c r="Z392" s="102">
        <f t="shared" si="486"/>
        <v>0</v>
      </c>
      <c r="AA392" s="102">
        <f t="shared" si="486"/>
        <v>0</v>
      </c>
      <c r="AB392" s="102">
        <f t="shared" si="486"/>
        <v>0</v>
      </c>
      <c r="AC392" s="102">
        <f t="shared" si="486"/>
        <v>0</v>
      </c>
      <c r="AD392" s="102">
        <f t="shared" si="486"/>
        <v>0</v>
      </c>
      <c r="AE392" s="102">
        <f t="shared" si="486"/>
        <v>0</v>
      </c>
      <c r="AF392" s="102">
        <f t="shared" si="486"/>
        <v>0</v>
      </c>
      <c r="AG392" s="102">
        <f t="shared" si="486"/>
        <v>0</v>
      </c>
      <c r="AH392" s="102">
        <f t="shared" si="486"/>
        <v>0</v>
      </c>
      <c r="AI392" s="102">
        <f t="shared" si="486"/>
        <v>0</v>
      </c>
      <c r="AJ392" s="102">
        <f t="shared" si="486"/>
        <v>0</v>
      </c>
      <c r="AK392" s="102">
        <f t="shared" si="486"/>
        <v>0</v>
      </c>
      <c r="AL392" s="102">
        <f t="shared" si="486"/>
        <v>0</v>
      </c>
      <c r="AM392" s="102">
        <f t="shared" ref="AM392:AV392" si="487">$D392*AM$107*AM$12</f>
        <v>0</v>
      </c>
      <c r="AN392" s="102">
        <f t="shared" si="487"/>
        <v>0</v>
      </c>
      <c r="AO392" s="102">
        <f t="shared" si="487"/>
        <v>0</v>
      </c>
      <c r="AP392" s="102">
        <f t="shared" si="487"/>
        <v>0</v>
      </c>
      <c r="AQ392" s="102">
        <f t="shared" si="487"/>
        <v>0</v>
      </c>
      <c r="AR392" s="102">
        <f t="shared" si="487"/>
        <v>0</v>
      </c>
      <c r="AS392" s="102">
        <f t="shared" si="487"/>
        <v>0</v>
      </c>
      <c r="AT392" s="102">
        <f t="shared" si="487"/>
        <v>0</v>
      </c>
      <c r="AU392" s="102" t="str">
        <f t="shared" si="487"/>
        <v>#REF!</v>
      </c>
      <c r="AV392" s="102" t="str">
        <f t="shared" si="487"/>
        <v>#REF!</v>
      </c>
      <c r="AW392" s="90"/>
      <c r="AX392" s="90"/>
      <c r="AY392" s="90"/>
      <c r="AZ392" s="90"/>
      <c r="BA392" s="90"/>
      <c r="BB392" s="90"/>
      <c r="BC392" s="90"/>
      <c r="BD392" s="90"/>
      <c r="BE392" s="90"/>
      <c r="BF392" s="90"/>
      <c r="BG392" s="90"/>
      <c r="BH392" s="90"/>
      <c r="BI392" s="90"/>
      <c r="BJ392" s="90"/>
      <c r="BK392" s="90"/>
      <c r="BL392" s="90"/>
      <c r="BM392" s="90"/>
      <c r="BN392" s="90"/>
      <c r="BO392" s="90"/>
      <c r="BP392" s="90"/>
    </row>
    <row r="393" ht="12.75" customHeight="1" outlineLevel="1">
      <c r="A393" s="90" t="s">
        <v>293</v>
      </c>
      <c r="C393" s="102">
        <f>'RSGen 1-7'!N$416</f>
        <v>0</v>
      </c>
      <c r="D393" s="102">
        <v>0.0</v>
      </c>
      <c r="E393" s="102">
        <v>0.0</v>
      </c>
      <c r="F393" s="102"/>
      <c r="G393" s="102"/>
      <c r="H393" s="313"/>
      <c r="I393" s="313"/>
      <c r="J393" s="313"/>
      <c r="K393" s="306"/>
      <c r="L393" s="306"/>
      <c r="M393" s="306"/>
      <c r="N393" s="306"/>
      <c r="O393" s="306"/>
      <c r="P393" s="306"/>
      <c r="Q393" s="306"/>
      <c r="R393" s="306"/>
      <c r="S393" s="102">
        <f t="shared" ref="S393:AL393" si="488">(MAX(0,MIN(S13,SUM(S13:S$15)-$E$4))*$E393+MAX(0,MIN(S13,$D$4-SUM(S14:S$15)))*$C393+(S13-(MAX(0,MIN(S13,SUM(S13:S$15)-$E$4))+MAX(0,MIN(S13,$D$4-SUM(S14:S$15)))))*$D393)</f>
        <v>0</v>
      </c>
      <c r="T393" s="102">
        <f t="shared" si="488"/>
        <v>0</v>
      </c>
      <c r="U393" s="102">
        <f t="shared" si="488"/>
        <v>0</v>
      </c>
      <c r="V393" s="102">
        <f t="shared" si="488"/>
        <v>0</v>
      </c>
      <c r="W393" s="102">
        <f t="shared" si="488"/>
        <v>0</v>
      </c>
      <c r="X393" s="102">
        <f t="shared" si="488"/>
        <v>0</v>
      </c>
      <c r="Y393" s="102">
        <f t="shared" si="488"/>
        <v>0</v>
      </c>
      <c r="Z393" s="102">
        <f t="shared" si="488"/>
        <v>0</v>
      </c>
      <c r="AA393" s="102">
        <f t="shared" si="488"/>
        <v>0</v>
      </c>
      <c r="AB393" s="102">
        <f t="shared" si="488"/>
        <v>0</v>
      </c>
      <c r="AC393" s="102">
        <f t="shared" si="488"/>
        <v>0</v>
      </c>
      <c r="AD393" s="102">
        <f t="shared" si="488"/>
        <v>0</v>
      </c>
      <c r="AE393" s="102">
        <f t="shared" si="488"/>
        <v>0</v>
      </c>
      <c r="AF393" s="102">
        <f t="shared" si="488"/>
        <v>0</v>
      </c>
      <c r="AG393" s="102">
        <f t="shared" si="488"/>
        <v>0</v>
      </c>
      <c r="AH393" s="102">
        <f t="shared" si="488"/>
        <v>0</v>
      </c>
      <c r="AI393" s="102">
        <f t="shared" si="488"/>
        <v>0</v>
      </c>
      <c r="AJ393" s="102">
        <f t="shared" si="488"/>
        <v>0</v>
      </c>
      <c r="AK393" s="102">
        <f t="shared" si="488"/>
        <v>0</v>
      </c>
      <c r="AL393" s="102">
        <f t="shared" si="488"/>
        <v>0</v>
      </c>
      <c r="AM393" s="102">
        <f t="shared" ref="AM393:AV393" si="489">$D393*AM$107*AM$13</f>
        <v>0</v>
      </c>
      <c r="AN393" s="102">
        <f t="shared" si="489"/>
        <v>0</v>
      </c>
      <c r="AO393" s="102">
        <f t="shared" si="489"/>
        <v>0</v>
      </c>
      <c r="AP393" s="102">
        <f t="shared" si="489"/>
        <v>0</v>
      </c>
      <c r="AQ393" s="102">
        <f t="shared" si="489"/>
        <v>0</v>
      </c>
      <c r="AR393" s="102">
        <f t="shared" si="489"/>
        <v>0</v>
      </c>
      <c r="AS393" s="102">
        <f t="shared" si="489"/>
        <v>0</v>
      </c>
      <c r="AT393" s="102">
        <f t="shared" si="489"/>
        <v>0</v>
      </c>
      <c r="AU393" s="102">
        <f t="shared" si="489"/>
        <v>0</v>
      </c>
      <c r="AV393" s="102" t="str">
        <f t="shared" si="489"/>
        <v>#REF!</v>
      </c>
      <c r="AW393" s="90"/>
      <c r="AX393" s="90"/>
      <c r="AY393" s="90"/>
      <c r="AZ393" s="90"/>
      <c r="BA393" s="90"/>
      <c r="BB393" s="90"/>
      <c r="BC393" s="90"/>
      <c r="BD393" s="90"/>
      <c r="BE393" s="90"/>
      <c r="BF393" s="90"/>
      <c r="BG393" s="90"/>
      <c r="BH393" s="90"/>
      <c r="BI393" s="90"/>
      <c r="BJ393" s="90"/>
      <c r="BK393" s="90"/>
      <c r="BL393" s="90"/>
      <c r="BM393" s="90"/>
      <c r="BN393" s="90"/>
      <c r="BO393" s="90"/>
      <c r="BP393" s="90"/>
    </row>
    <row r="394" ht="12.75" customHeight="1" outlineLevel="1">
      <c r="A394" s="90" t="s">
        <v>294</v>
      </c>
      <c r="C394" s="102">
        <f>'RSGen 1-7'!O$416</f>
        <v>0</v>
      </c>
      <c r="D394" s="102">
        <f>OFFSET(RSGen_Walton!$G$416,0,ROW(C394)-ROW($C$386))</f>
        <v>0</v>
      </c>
      <c r="E394" s="102">
        <f>OFFSET(RSGen_none!$G$416,0,ROW(D394)-ROW($C$386))</f>
        <v>0</v>
      </c>
      <c r="F394" s="102"/>
      <c r="G394" s="102"/>
      <c r="H394" s="313"/>
      <c r="I394" s="313"/>
      <c r="J394" s="313"/>
      <c r="K394" s="306"/>
      <c r="L394" s="306"/>
      <c r="M394" s="306"/>
      <c r="N394" s="306"/>
      <c r="O394" s="306"/>
      <c r="P394" s="306"/>
      <c r="Q394" s="306"/>
      <c r="R394" s="306"/>
      <c r="S394" s="306"/>
      <c r="T394" s="102">
        <f t="shared" ref="T394:AL394" si="490">(MAX(0,MIN(T14,SUM(T14:T$15)-$E$4))*$E394+MAX(0,MIN(T14,$D$4-SUM(T$15:T15)))*$C394+(T14-(MAX(0,MIN(T14,SUM(T14:T$15)-$E$4))+MAX(0,MIN(T14,$D$4-SUM(T$15:T15)))))*$D394)</f>
        <v>0</v>
      </c>
      <c r="U394" s="102">
        <f t="shared" si="490"/>
        <v>0</v>
      </c>
      <c r="V394" s="102">
        <f t="shared" si="490"/>
        <v>0</v>
      </c>
      <c r="W394" s="102">
        <f t="shared" si="490"/>
        <v>0</v>
      </c>
      <c r="X394" s="102">
        <f t="shared" si="490"/>
        <v>0</v>
      </c>
      <c r="Y394" s="102">
        <f t="shared" si="490"/>
        <v>0</v>
      </c>
      <c r="Z394" s="102">
        <f t="shared" si="490"/>
        <v>0</v>
      </c>
      <c r="AA394" s="102">
        <f t="shared" si="490"/>
        <v>0</v>
      </c>
      <c r="AB394" s="102">
        <f t="shared" si="490"/>
        <v>0</v>
      </c>
      <c r="AC394" s="102">
        <f t="shared" si="490"/>
        <v>0</v>
      </c>
      <c r="AD394" s="102">
        <f t="shared" si="490"/>
        <v>0</v>
      </c>
      <c r="AE394" s="102">
        <f t="shared" si="490"/>
        <v>0</v>
      </c>
      <c r="AF394" s="102">
        <f t="shared" si="490"/>
        <v>0</v>
      </c>
      <c r="AG394" s="102">
        <f t="shared" si="490"/>
        <v>0</v>
      </c>
      <c r="AH394" s="102">
        <f t="shared" si="490"/>
        <v>0</v>
      </c>
      <c r="AI394" s="102">
        <f t="shared" si="490"/>
        <v>0</v>
      </c>
      <c r="AJ394" s="102">
        <f t="shared" si="490"/>
        <v>0</v>
      </c>
      <c r="AK394" s="102">
        <f t="shared" si="490"/>
        <v>0</v>
      </c>
      <c r="AL394" s="102">
        <f t="shared" si="490"/>
        <v>0</v>
      </c>
      <c r="AM394" s="102">
        <f t="shared" ref="AM394:AV394" si="491">$D394*AM$107*AM$14</f>
        <v>0</v>
      </c>
      <c r="AN394" s="102">
        <f t="shared" si="491"/>
        <v>0</v>
      </c>
      <c r="AO394" s="102">
        <f t="shared" si="491"/>
        <v>0</v>
      </c>
      <c r="AP394" s="102">
        <f t="shared" si="491"/>
        <v>0</v>
      </c>
      <c r="AQ394" s="102">
        <f t="shared" si="491"/>
        <v>0</v>
      </c>
      <c r="AR394" s="102">
        <f t="shared" si="491"/>
        <v>0</v>
      </c>
      <c r="AS394" s="102">
        <f t="shared" si="491"/>
        <v>0</v>
      </c>
      <c r="AT394" s="102">
        <f t="shared" si="491"/>
        <v>0</v>
      </c>
      <c r="AU394" s="102">
        <f t="shared" si="491"/>
        <v>0</v>
      </c>
      <c r="AV394" s="102">
        <f t="shared" si="491"/>
        <v>0</v>
      </c>
      <c r="AW394" s="90"/>
      <c r="AX394" s="90"/>
      <c r="AY394" s="90"/>
      <c r="AZ394" s="90"/>
      <c r="BA394" s="90"/>
      <c r="BB394" s="90"/>
      <c r="BC394" s="90"/>
      <c r="BD394" s="90"/>
      <c r="BE394" s="90"/>
      <c r="BF394" s="90"/>
      <c r="BG394" s="90"/>
      <c r="BH394" s="90"/>
      <c r="BI394" s="90"/>
      <c r="BJ394" s="90"/>
      <c r="BK394" s="90"/>
      <c r="BL394" s="90"/>
      <c r="BM394" s="90"/>
      <c r="BN394" s="90"/>
      <c r="BO394" s="90"/>
      <c r="BP394" s="90"/>
    </row>
    <row r="395" ht="12.75" customHeight="1" outlineLevel="1">
      <c r="A395" s="90" t="s">
        <v>295</v>
      </c>
      <c r="C395" s="102">
        <f>'RSGen 1-7'!P$416</f>
        <v>0</v>
      </c>
      <c r="D395" s="102">
        <f>OFFSET(RSGen_Walton!$G$416,0,ROW(C395)-ROW($C$386))</f>
        <v>0</v>
      </c>
      <c r="E395" s="102">
        <f>OFFSET(RSGen_none!$G$416,0,ROW(D395)-ROW($C$386))</f>
        <v>0</v>
      </c>
      <c r="F395" s="102"/>
      <c r="G395" s="102"/>
      <c r="H395" s="313"/>
      <c r="I395" s="313"/>
      <c r="J395" s="313"/>
      <c r="K395" s="306"/>
      <c r="L395" s="306"/>
      <c r="M395" s="306"/>
      <c r="N395" s="306"/>
      <c r="O395" s="306"/>
      <c r="P395" s="306"/>
      <c r="Q395" s="306"/>
      <c r="R395" s="306"/>
      <c r="S395" s="306"/>
      <c r="T395" s="306"/>
      <c r="U395" s="102">
        <f t="shared" ref="U395:AL395" si="492">($C395*MIN($D$4-3,U15-3)+$D395*MIN($E$4-$D$4,MAX(0,U15-$D$4))+$E395*MAX(0,U15-$E$4))</f>
        <v>0</v>
      </c>
      <c r="V395" s="102">
        <f t="shared" si="492"/>
        <v>0</v>
      </c>
      <c r="W395" s="102">
        <f t="shared" si="492"/>
        <v>0</v>
      </c>
      <c r="X395" s="102">
        <f t="shared" si="492"/>
        <v>0</v>
      </c>
      <c r="Y395" s="102">
        <f t="shared" si="492"/>
        <v>0</v>
      </c>
      <c r="Z395" s="102">
        <f t="shared" si="492"/>
        <v>0</v>
      </c>
      <c r="AA395" s="102">
        <f t="shared" si="492"/>
        <v>0</v>
      </c>
      <c r="AB395" s="102">
        <f t="shared" si="492"/>
        <v>0</v>
      </c>
      <c r="AC395" s="102">
        <f t="shared" si="492"/>
        <v>0</v>
      </c>
      <c r="AD395" s="102">
        <f t="shared" si="492"/>
        <v>0</v>
      </c>
      <c r="AE395" s="102">
        <f t="shared" si="492"/>
        <v>0</v>
      </c>
      <c r="AF395" s="102">
        <f t="shared" si="492"/>
        <v>0</v>
      </c>
      <c r="AG395" s="102">
        <f t="shared" si="492"/>
        <v>0</v>
      </c>
      <c r="AH395" s="102">
        <f t="shared" si="492"/>
        <v>0</v>
      </c>
      <c r="AI395" s="102">
        <f t="shared" si="492"/>
        <v>0</v>
      </c>
      <c r="AJ395" s="102">
        <f t="shared" si="492"/>
        <v>0</v>
      </c>
      <c r="AK395" s="102">
        <f t="shared" si="492"/>
        <v>0</v>
      </c>
      <c r="AL395" s="102">
        <f t="shared" si="492"/>
        <v>0</v>
      </c>
      <c r="AM395" s="102">
        <f t="shared" ref="AM395:AV395" si="493">$C395*AM$107*(4)+$D395*AM$107*(AM$15-7)</f>
        <v>0</v>
      </c>
      <c r="AN395" s="102">
        <f t="shared" si="493"/>
        <v>0</v>
      </c>
      <c r="AO395" s="102">
        <f t="shared" si="493"/>
        <v>0</v>
      </c>
      <c r="AP395" s="102">
        <f t="shared" si="493"/>
        <v>0</v>
      </c>
      <c r="AQ395" s="102">
        <f t="shared" si="493"/>
        <v>0</v>
      </c>
      <c r="AR395" s="102">
        <f t="shared" si="493"/>
        <v>0</v>
      </c>
      <c r="AS395" s="102">
        <f t="shared" si="493"/>
        <v>0</v>
      </c>
      <c r="AT395" s="102">
        <f t="shared" si="493"/>
        <v>0</v>
      </c>
      <c r="AU395" s="102">
        <f t="shared" si="493"/>
        <v>0</v>
      </c>
      <c r="AV395" s="102">
        <f t="shared" si="493"/>
        <v>0</v>
      </c>
      <c r="AW395" s="90"/>
      <c r="AX395" s="90"/>
      <c r="AY395" s="90"/>
      <c r="AZ395" s="90"/>
      <c r="BA395" s="90"/>
      <c r="BB395" s="90"/>
      <c r="BC395" s="90"/>
      <c r="BD395" s="90"/>
      <c r="BE395" s="90"/>
      <c r="BF395" s="90"/>
      <c r="BG395" s="90"/>
      <c r="BH395" s="90"/>
      <c r="BI395" s="90"/>
      <c r="BJ395" s="90"/>
      <c r="BK395" s="90"/>
      <c r="BL395" s="90"/>
      <c r="BM395" s="90"/>
      <c r="BN395" s="90"/>
      <c r="BO395" s="90"/>
      <c r="BP395" s="90"/>
    </row>
    <row r="396" ht="13.5" customHeight="1" outlineLevel="1">
      <c r="A396" s="143" t="str">
        <f>"Total "&amp;A385</f>
        <v>Total Convertible Loan</v>
      </c>
      <c r="B396" s="143"/>
      <c r="C396" s="309"/>
      <c r="D396" s="309"/>
      <c r="E396" s="309"/>
      <c r="F396" s="309"/>
      <c r="G396" s="309"/>
      <c r="H396" s="314"/>
      <c r="I396" s="314"/>
      <c r="J396" s="314"/>
      <c r="K396" s="311"/>
      <c r="L396" s="307">
        <f t="shared" ref="L396:AV396" si="494">SUM(L386:L395)</f>
        <v>500000</v>
      </c>
      <c r="M396" s="307">
        <f t="shared" si="494"/>
        <v>500000</v>
      </c>
      <c r="N396" s="307">
        <f t="shared" si="494"/>
        <v>0</v>
      </c>
      <c r="O396" s="307">
        <f t="shared" si="494"/>
        <v>0</v>
      </c>
      <c r="P396" s="307">
        <f t="shared" si="494"/>
        <v>0</v>
      </c>
      <c r="Q396" s="307">
        <f t="shared" si="494"/>
        <v>0</v>
      </c>
      <c r="R396" s="307">
        <f t="shared" si="494"/>
        <v>0</v>
      </c>
      <c r="S396" s="307">
        <f t="shared" si="494"/>
        <v>0</v>
      </c>
      <c r="T396" s="307">
        <f t="shared" si="494"/>
        <v>0</v>
      </c>
      <c r="U396" s="307">
        <f t="shared" si="494"/>
        <v>0</v>
      </c>
      <c r="V396" s="307">
        <f t="shared" si="494"/>
        <v>0</v>
      </c>
      <c r="W396" s="307">
        <f t="shared" si="494"/>
        <v>0</v>
      </c>
      <c r="X396" s="307">
        <f t="shared" si="494"/>
        <v>0</v>
      </c>
      <c r="Y396" s="307">
        <f t="shared" si="494"/>
        <v>0</v>
      </c>
      <c r="Z396" s="307">
        <f t="shared" si="494"/>
        <v>0</v>
      </c>
      <c r="AA396" s="307">
        <f t="shared" si="494"/>
        <v>0</v>
      </c>
      <c r="AB396" s="307">
        <f t="shared" si="494"/>
        <v>0</v>
      </c>
      <c r="AC396" s="307">
        <f t="shared" si="494"/>
        <v>0</v>
      </c>
      <c r="AD396" s="307">
        <f t="shared" si="494"/>
        <v>0</v>
      </c>
      <c r="AE396" s="307">
        <f t="shared" si="494"/>
        <v>0</v>
      </c>
      <c r="AF396" s="307">
        <f t="shared" si="494"/>
        <v>0</v>
      </c>
      <c r="AG396" s="307">
        <f t="shared" si="494"/>
        <v>0</v>
      </c>
      <c r="AH396" s="307">
        <f t="shared" si="494"/>
        <v>0</v>
      </c>
      <c r="AI396" s="307">
        <f t="shared" si="494"/>
        <v>0</v>
      </c>
      <c r="AJ396" s="307">
        <f t="shared" si="494"/>
        <v>0</v>
      </c>
      <c r="AK396" s="307">
        <f t="shared" si="494"/>
        <v>0</v>
      </c>
      <c r="AL396" s="307">
        <f t="shared" si="494"/>
        <v>0</v>
      </c>
      <c r="AM396" s="307">
        <f t="shared" si="494"/>
        <v>0</v>
      </c>
      <c r="AN396" s="307">
        <f t="shared" si="494"/>
        <v>0</v>
      </c>
      <c r="AO396" s="307" t="str">
        <f t="shared" si="494"/>
        <v>#REF!</v>
      </c>
      <c r="AP396" s="307" t="str">
        <f t="shared" si="494"/>
        <v>#REF!</v>
      </c>
      <c r="AQ396" s="307" t="str">
        <f t="shared" si="494"/>
        <v>#REF!</v>
      </c>
      <c r="AR396" s="307" t="str">
        <f t="shared" si="494"/>
        <v>#REF!</v>
      </c>
      <c r="AS396" s="307" t="str">
        <f t="shared" si="494"/>
        <v>#REF!</v>
      </c>
      <c r="AT396" s="307" t="str">
        <f t="shared" si="494"/>
        <v>#REF!</v>
      </c>
      <c r="AU396" s="307" t="str">
        <f t="shared" si="494"/>
        <v>#REF!</v>
      </c>
      <c r="AV396" s="307" t="str">
        <f t="shared" si="494"/>
        <v>#REF!</v>
      </c>
      <c r="AW396" s="90"/>
      <c r="AX396" s="90"/>
      <c r="AY396" s="90"/>
      <c r="AZ396" s="90"/>
      <c r="BA396" s="90"/>
      <c r="BB396" s="90"/>
      <c r="BC396" s="90"/>
      <c r="BD396" s="90"/>
      <c r="BE396" s="90"/>
      <c r="BF396" s="90"/>
      <c r="BG396" s="90"/>
      <c r="BH396" s="90"/>
      <c r="BI396" s="90"/>
      <c r="BJ396" s="90"/>
      <c r="BK396" s="90"/>
      <c r="BL396" s="90"/>
      <c r="BM396" s="90"/>
      <c r="BN396" s="90"/>
      <c r="BO396" s="90"/>
      <c r="BP396" s="90"/>
    </row>
    <row r="397" ht="13.5" customHeight="1" outlineLevel="1">
      <c r="A397" s="90"/>
      <c r="C397" s="102"/>
      <c r="D397" s="102"/>
      <c r="E397" s="102"/>
      <c r="F397" s="102"/>
      <c r="G397" s="102"/>
      <c r="K397" s="102"/>
      <c r="L397" s="102"/>
      <c r="M397" s="102"/>
      <c r="N397" s="102"/>
      <c r="O397" s="102"/>
      <c r="P397" s="102"/>
      <c r="Q397" s="102"/>
      <c r="R397" s="102"/>
      <c r="S397" s="102"/>
      <c r="T397" s="102"/>
      <c r="U397" s="102"/>
      <c r="V397" s="102"/>
      <c r="W397" s="102"/>
      <c r="X397" s="102"/>
      <c r="Y397" s="102"/>
      <c r="Z397" s="102"/>
      <c r="AA397" s="102"/>
      <c r="AB397" s="102"/>
      <c r="AC397" s="102"/>
      <c r="AD397" s="102"/>
      <c r="AE397" s="102"/>
      <c r="AF397" s="102"/>
      <c r="AG397" s="102"/>
      <c r="AH397" s="102"/>
      <c r="AI397" s="102"/>
      <c r="AJ397" s="102"/>
      <c r="AK397" s="102"/>
      <c r="AL397" s="102"/>
      <c r="AM397" s="102"/>
      <c r="AN397" s="102"/>
      <c r="AO397" s="102"/>
      <c r="AP397" s="102"/>
      <c r="AQ397" s="102"/>
      <c r="AR397" s="102"/>
      <c r="AS397" s="102"/>
      <c r="AT397" s="102"/>
      <c r="AU397" s="102"/>
      <c r="AV397" s="102"/>
      <c r="AW397" s="90"/>
      <c r="AX397" s="90"/>
      <c r="AY397" s="90"/>
      <c r="AZ397" s="90"/>
      <c r="BA397" s="90"/>
      <c r="BB397" s="90"/>
      <c r="BC397" s="90"/>
      <c r="BD397" s="90"/>
      <c r="BE397" s="90"/>
      <c r="BF397" s="90"/>
      <c r="BG397" s="90"/>
      <c r="BH397" s="90"/>
      <c r="BI397" s="90"/>
      <c r="BJ397" s="90"/>
      <c r="BK397" s="90"/>
      <c r="BL397" s="90"/>
      <c r="BM397" s="90"/>
      <c r="BN397" s="90"/>
      <c r="BO397" s="90"/>
      <c r="BP397" s="90"/>
    </row>
    <row r="398" ht="12.75" customHeight="1" outlineLevel="1">
      <c r="A398" s="90" t="s">
        <v>567</v>
      </c>
      <c r="C398" s="102"/>
      <c r="D398" s="102"/>
      <c r="E398" s="102"/>
      <c r="F398" s="102"/>
      <c r="G398" s="102"/>
      <c r="K398" s="102"/>
      <c r="L398" s="102"/>
      <c r="M398" s="102"/>
      <c r="N398" s="102"/>
      <c r="O398" s="102"/>
      <c r="P398" s="102"/>
      <c r="Q398" s="102"/>
      <c r="R398" s="102"/>
      <c r="S398" s="102"/>
      <c r="T398" s="102"/>
      <c r="U398" s="102"/>
      <c r="V398" s="102"/>
      <c r="W398" s="102"/>
      <c r="X398" s="102"/>
      <c r="Y398" s="102"/>
      <c r="Z398" s="102"/>
      <c r="AA398" s="102"/>
      <c r="AB398" s="102"/>
      <c r="AC398" s="102"/>
      <c r="AD398" s="102"/>
      <c r="AE398" s="102"/>
      <c r="AF398" s="102"/>
      <c r="AG398" s="102"/>
      <c r="AH398" s="102"/>
      <c r="AI398" s="102"/>
      <c r="AJ398" s="102"/>
      <c r="AK398" s="102"/>
      <c r="AL398" s="102"/>
      <c r="AM398" s="102"/>
      <c r="AN398" s="102"/>
      <c r="AO398" s="102"/>
      <c r="AP398" s="102"/>
      <c r="AQ398" s="102"/>
      <c r="AR398" s="102"/>
      <c r="AS398" s="102"/>
      <c r="AT398" s="102"/>
      <c r="AU398" s="102"/>
      <c r="AV398" s="102"/>
      <c r="AW398" s="90"/>
      <c r="AX398" s="90"/>
      <c r="AY398" s="90"/>
      <c r="AZ398" s="90"/>
      <c r="BA398" s="90"/>
      <c r="BB398" s="90"/>
      <c r="BC398" s="90"/>
      <c r="BD398" s="90"/>
      <c r="BE398" s="90"/>
      <c r="BF398" s="90"/>
      <c r="BG398" s="90"/>
      <c r="BH398" s="90"/>
      <c r="BI398" s="90"/>
      <c r="BJ398" s="90"/>
      <c r="BK398" s="90"/>
      <c r="BL398" s="90"/>
      <c r="BM398" s="90"/>
      <c r="BN398" s="90"/>
      <c r="BO398" s="90"/>
      <c r="BP398" s="90"/>
    </row>
    <row r="399" ht="12.75" customHeight="1" outlineLevel="1">
      <c r="A399" s="90" t="s">
        <v>615</v>
      </c>
      <c r="C399" s="102">
        <f>'RSGen 1-7'!G$422</f>
        <v>0</v>
      </c>
      <c r="D399" s="102">
        <v>0.0</v>
      </c>
      <c r="E399" s="102">
        <v>0.0</v>
      </c>
      <c r="F399" s="102"/>
      <c r="G399" s="102"/>
      <c r="K399" s="102"/>
      <c r="L399" s="102">
        <f>$C399*L$6</f>
        <v>0</v>
      </c>
      <c r="M399" s="102">
        <f t="shared" ref="M399:AL399" si="495">(MAX(0,MIN(M6,SUM(M6:M$15)-$E$4))*$E399+MAX(0,MIN(M6,$D$4-SUM(M7:M$15)))*$C399+(M6-(MAX(0,MIN(M6,SUM(M6:M$15)-$E$4))+MAX(0,MIN(M6,$D$4-SUM(M7:M$15)))))*$D399)</f>
        <v>0</v>
      </c>
      <c r="N399" s="102">
        <f t="shared" si="495"/>
        <v>0</v>
      </c>
      <c r="O399" s="102">
        <f t="shared" si="495"/>
        <v>0</v>
      </c>
      <c r="P399" s="102">
        <f t="shared" si="495"/>
        <v>0</v>
      </c>
      <c r="Q399" s="102">
        <f t="shared" si="495"/>
        <v>0</v>
      </c>
      <c r="R399" s="102">
        <f t="shared" si="495"/>
        <v>0</v>
      </c>
      <c r="S399" s="102">
        <f t="shared" si="495"/>
        <v>0</v>
      </c>
      <c r="T399" s="102">
        <f t="shared" si="495"/>
        <v>0</v>
      </c>
      <c r="U399" s="102">
        <f t="shared" si="495"/>
        <v>0</v>
      </c>
      <c r="V399" s="102">
        <f t="shared" si="495"/>
        <v>0</v>
      </c>
      <c r="W399" s="102">
        <f t="shared" si="495"/>
        <v>0</v>
      </c>
      <c r="X399" s="102">
        <f t="shared" si="495"/>
        <v>0</v>
      </c>
      <c r="Y399" s="102">
        <f t="shared" si="495"/>
        <v>0</v>
      </c>
      <c r="Z399" s="102">
        <f t="shared" si="495"/>
        <v>0</v>
      </c>
      <c r="AA399" s="102">
        <f t="shared" si="495"/>
        <v>0</v>
      </c>
      <c r="AB399" s="102">
        <f t="shared" si="495"/>
        <v>0</v>
      </c>
      <c r="AC399" s="102">
        <f t="shared" si="495"/>
        <v>0</v>
      </c>
      <c r="AD399" s="102">
        <f t="shared" si="495"/>
        <v>0</v>
      </c>
      <c r="AE399" s="102">
        <f t="shared" si="495"/>
        <v>0</v>
      </c>
      <c r="AF399" s="102">
        <f t="shared" si="495"/>
        <v>0</v>
      </c>
      <c r="AG399" s="102">
        <f t="shared" si="495"/>
        <v>0</v>
      </c>
      <c r="AH399" s="102">
        <f t="shared" si="495"/>
        <v>0</v>
      </c>
      <c r="AI399" s="102">
        <f t="shared" si="495"/>
        <v>0</v>
      </c>
      <c r="AJ399" s="102">
        <f t="shared" si="495"/>
        <v>0</v>
      </c>
      <c r="AK399" s="102">
        <f t="shared" si="495"/>
        <v>0</v>
      </c>
      <c r="AL399" s="102">
        <f t="shared" si="495"/>
        <v>0</v>
      </c>
      <c r="AM399" s="102">
        <f t="shared" ref="AM399:AV399" si="496">$D399*AM$6</f>
        <v>0</v>
      </c>
      <c r="AN399" s="102">
        <f t="shared" si="496"/>
        <v>0</v>
      </c>
      <c r="AO399" s="102" t="str">
        <f t="shared" si="496"/>
        <v>#REF!</v>
      </c>
      <c r="AP399" s="102" t="str">
        <f t="shared" si="496"/>
        <v>#REF!</v>
      </c>
      <c r="AQ399" s="102" t="str">
        <f t="shared" si="496"/>
        <v>#REF!</v>
      </c>
      <c r="AR399" s="102" t="str">
        <f t="shared" si="496"/>
        <v>#REF!</v>
      </c>
      <c r="AS399" s="102" t="str">
        <f t="shared" si="496"/>
        <v>#REF!</v>
      </c>
      <c r="AT399" s="102">
        <f t="shared" si="496"/>
        <v>0</v>
      </c>
      <c r="AU399" s="102">
        <f t="shared" si="496"/>
        <v>0</v>
      </c>
      <c r="AV399" s="102">
        <f t="shared" si="496"/>
        <v>0</v>
      </c>
      <c r="AW399" s="90"/>
      <c r="AX399" s="90"/>
      <c r="AY399" s="90"/>
      <c r="AZ399" s="90"/>
      <c r="BA399" s="90"/>
      <c r="BB399" s="90"/>
      <c r="BC399" s="90"/>
      <c r="BD399" s="90"/>
      <c r="BE399" s="90"/>
      <c r="BF399" s="90"/>
      <c r="BG399" s="90"/>
      <c r="BH399" s="90"/>
      <c r="BI399" s="90"/>
      <c r="BJ399" s="90"/>
      <c r="BK399" s="90"/>
      <c r="BL399" s="90"/>
      <c r="BM399" s="90"/>
      <c r="BN399" s="90"/>
      <c r="BO399" s="90"/>
      <c r="BP399" s="90"/>
    </row>
    <row r="400" ht="12.75" customHeight="1" outlineLevel="1">
      <c r="A400" s="90" t="s">
        <v>287</v>
      </c>
      <c r="C400" s="102">
        <f>'RSGen 1-7'!H$422</f>
        <v>0</v>
      </c>
      <c r="D400" s="102">
        <v>0.0</v>
      </c>
      <c r="E400" s="102">
        <v>0.0</v>
      </c>
      <c r="F400" s="102"/>
      <c r="G400" s="102"/>
      <c r="H400" s="313"/>
      <c r="I400" s="313"/>
      <c r="J400" s="313"/>
      <c r="K400" s="306"/>
      <c r="L400" s="306"/>
      <c r="M400" s="102">
        <f t="shared" ref="M400:AL400" si="497">(MAX(0,MIN(M7,SUM(M7:M$15)-$E$4))*$E400+MAX(0,MIN(M7,$D$4-SUM(M8:M$15)))*$C400+(M7-(MAX(0,MIN(M7,SUM(M7:M$15)-$E$4))+MAX(0,MIN(M7,$D$4-SUM(M8:M$15)))))*$D400)</f>
        <v>0</v>
      </c>
      <c r="N400" s="102">
        <f t="shared" si="497"/>
        <v>0</v>
      </c>
      <c r="O400" s="102">
        <f t="shared" si="497"/>
        <v>0</v>
      </c>
      <c r="P400" s="102">
        <f t="shared" si="497"/>
        <v>0</v>
      </c>
      <c r="Q400" s="102">
        <f t="shared" si="497"/>
        <v>0</v>
      </c>
      <c r="R400" s="102">
        <f t="shared" si="497"/>
        <v>0</v>
      </c>
      <c r="S400" s="102">
        <f t="shared" si="497"/>
        <v>0</v>
      </c>
      <c r="T400" s="102">
        <f t="shared" si="497"/>
        <v>0</v>
      </c>
      <c r="U400" s="102">
        <f t="shared" si="497"/>
        <v>0</v>
      </c>
      <c r="V400" s="102">
        <f t="shared" si="497"/>
        <v>0</v>
      </c>
      <c r="W400" s="102">
        <f t="shared" si="497"/>
        <v>0</v>
      </c>
      <c r="X400" s="102">
        <f t="shared" si="497"/>
        <v>0</v>
      </c>
      <c r="Y400" s="102">
        <f t="shared" si="497"/>
        <v>0</v>
      </c>
      <c r="Z400" s="102">
        <f t="shared" si="497"/>
        <v>0</v>
      </c>
      <c r="AA400" s="102">
        <f t="shared" si="497"/>
        <v>0</v>
      </c>
      <c r="AB400" s="102">
        <f t="shared" si="497"/>
        <v>0</v>
      </c>
      <c r="AC400" s="102">
        <f t="shared" si="497"/>
        <v>0</v>
      </c>
      <c r="AD400" s="102">
        <f t="shared" si="497"/>
        <v>0</v>
      </c>
      <c r="AE400" s="102">
        <f t="shared" si="497"/>
        <v>0</v>
      </c>
      <c r="AF400" s="102">
        <f t="shared" si="497"/>
        <v>0</v>
      </c>
      <c r="AG400" s="102">
        <f t="shared" si="497"/>
        <v>0</v>
      </c>
      <c r="AH400" s="102">
        <f t="shared" si="497"/>
        <v>0</v>
      </c>
      <c r="AI400" s="102">
        <f t="shared" si="497"/>
        <v>0</v>
      </c>
      <c r="AJ400" s="102">
        <f t="shared" si="497"/>
        <v>0</v>
      </c>
      <c r="AK400" s="102">
        <f t="shared" si="497"/>
        <v>0</v>
      </c>
      <c r="AL400" s="102">
        <f t="shared" si="497"/>
        <v>0</v>
      </c>
      <c r="AM400" s="102">
        <f t="shared" ref="AM400:AV400" si="498">$D400*AM$7</f>
        <v>0</v>
      </c>
      <c r="AN400" s="102">
        <f t="shared" si="498"/>
        <v>0</v>
      </c>
      <c r="AO400" s="102">
        <f t="shared" si="498"/>
        <v>0</v>
      </c>
      <c r="AP400" s="102" t="str">
        <f t="shared" si="498"/>
        <v>#REF!</v>
      </c>
      <c r="AQ400" s="102" t="str">
        <f t="shared" si="498"/>
        <v>#REF!</v>
      </c>
      <c r="AR400" s="102" t="str">
        <f t="shared" si="498"/>
        <v>#REF!</v>
      </c>
      <c r="AS400" s="102" t="str">
        <f t="shared" si="498"/>
        <v>#REF!</v>
      </c>
      <c r="AT400" s="102" t="str">
        <f t="shared" si="498"/>
        <v>#REF!</v>
      </c>
      <c r="AU400" s="102">
        <f t="shared" si="498"/>
        <v>0</v>
      </c>
      <c r="AV400" s="102">
        <f t="shared" si="498"/>
        <v>0</v>
      </c>
      <c r="AW400" s="90"/>
      <c r="AX400" s="90"/>
      <c r="AY400" s="90"/>
      <c r="AZ400" s="90"/>
      <c r="BA400" s="90"/>
      <c r="BB400" s="90"/>
      <c r="BC400" s="90"/>
      <c r="BD400" s="90"/>
      <c r="BE400" s="90"/>
      <c r="BF400" s="90"/>
      <c r="BG400" s="90"/>
      <c r="BH400" s="90"/>
      <c r="BI400" s="90"/>
      <c r="BJ400" s="90"/>
      <c r="BK400" s="90"/>
      <c r="BL400" s="90"/>
      <c r="BM400" s="90"/>
      <c r="BN400" s="90"/>
      <c r="BO400" s="90"/>
      <c r="BP400" s="90"/>
    </row>
    <row r="401" ht="12.75" customHeight="1" outlineLevel="1">
      <c r="A401" s="90" t="s">
        <v>288</v>
      </c>
      <c r="C401" s="102">
        <f>'RSGen 1-7'!I$422</f>
        <v>-250000</v>
      </c>
      <c r="D401" s="102">
        <v>0.0</v>
      </c>
      <c r="E401" s="102">
        <v>0.0</v>
      </c>
      <c r="F401" s="102"/>
      <c r="G401" s="102"/>
      <c r="H401" s="313"/>
      <c r="I401" s="313"/>
      <c r="J401" s="313"/>
      <c r="K401" s="306"/>
      <c r="L401" s="306"/>
      <c r="M401" s="306"/>
      <c r="N401" s="102">
        <f t="shared" ref="N401:AL401" si="499">(MAX(0,MIN(N8,SUM(N8:N$15)-$E$4))*$E401+MAX(0,MIN(N8,$D$4-SUM(N9:N$15)))*$C401+(N8-(MAX(0,MIN(N8,SUM(N8:N$15)-$E$4))+MAX(0,MIN(N8,$D$4-SUM(N9:N$15)))))*$D401)</f>
        <v>-500000</v>
      </c>
      <c r="O401" s="102">
        <f t="shared" si="499"/>
        <v>-500000</v>
      </c>
      <c r="P401" s="102">
        <f t="shared" si="499"/>
        <v>0</v>
      </c>
      <c r="Q401" s="102">
        <f t="shared" si="499"/>
        <v>0</v>
      </c>
      <c r="R401" s="102">
        <f t="shared" si="499"/>
        <v>0</v>
      </c>
      <c r="S401" s="102">
        <f t="shared" si="499"/>
        <v>0</v>
      </c>
      <c r="T401" s="102">
        <f t="shared" si="499"/>
        <v>0</v>
      </c>
      <c r="U401" s="102">
        <f t="shared" si="499"/>
        <v>0</v>
      </c>
      <c r="V401" s="102">
        <f t="shared" si="499"/>
        <v>0</v>
      </c>
      <c r="W401" s="102">
        <f t="shared" si="499"/>
        <v>0</v>
      </c>
      <c r="X401" s="102">
        <f t="shared" si="499"/>
        <v>0</v>
      </c>
      <c r="Y401" s="102">
        <f t="shared" si="499"/>
        <v>0</v>
      </c>
      <c r="Z401" s="102">
        <f t="shared" si="499"/>
        <v>0</v>
      </c>
      <c r="AA401" s="102">
        <f t="shared" si="499"/>
        <v>0</v>
      </c>
      <c r="AB401" s="102">
        <f t="shared" si="499"/>
        <v>0</v>
      </c>
      <c r="AC401" s="102">
        <f t="shared" si="499"/>
        <v>0</v>
      </c>
      <c r="AD401" s="102">
        <f t="shared" si="499"/>
        <v>0</v>
      </c>
      <c r="AE401" s="102">
        <f t="shared" si="499"/>
        <v>0</v>
      </c>
      <c r="AF401" s="102">
        <f t="shared" si="499"/>
        <v>0</v>
      </c>
      <c r="AG401" s="102">
        <f t="shared" si="499"/>
        <v>0</v>
      </c>
      <c r="AH401" s="102">
        <f t="shared" si="499"/>
        <v>0</v>
      </c>
      <c r="AI401" s="102">
        <f t="shared" si="499"/>
        <v>0</v>
      </c>
      <c r="AJ401" s="102">
        <f t="shared" si="499"/>
        <v>0</v>
      </c>
      <c r="AK401" s="102">
        <f t="shared" si="499"/>
        <v>0</v>
      </c>
      <c r="AL401" s="102">
        <f t="shared" si="499"/>
        <v>0</v>
      </c>
      <c r="AM401" s="102">
        <f t="shared" ref="AM401:AV401" si="500">$D401*AM$8</f>
        <v>0</v>
      </c>
      <c r="AN401" s="102">
        <f t="shared" si="500"/>
        <v>0</v>
      </c>
      <c r="AO401" s="102">
        <f t="shared" si="500"/>
        <v>0</v>
      </c>
      <c r="AP401" s="102">
        <f t="shared" si="500"/>
        <v>0</v>
      </c>
      <c r="AQ401" s="102" t="str">
        <f t="shared" si="500"/>
        <v>#REF!</v>
      </c>
      <c r="AR401" s="102" t="str">
        <f t="shared" si="500"/>
        <v>#REF!</v>
      </c>
      <c r="AS401" s="102" t="str">
        <f t="shared" si="500"/>
        <v>#REF!</v>
      </c>
      <c r="AT401" s="102" t="str">
        <f t="shared" si="500"/>
        <v>#REF!</v>
      </c>
      <c r="AU401" s="102" t="str">
        <f t="shared" si="500"/>
        <v>#REF!</v>
      </c>
      <c r="AV401" s="102">
        <f t="shared" si="500"/>
        <v>0</v>
      </c>
      <c r="AW401" s="90"/>
      <c r="AX401" s="90"/>
      <c r="AY401" s="90"/>
      <c r="AZ401" s="90"/>
      <c r="BA401" s="90"/>
      <c r="BB401" s="90"/>
      <c r="BC401" s="90"/>
      <c r="BD401" s="90"/>
      <c r="BE401" s="90"/>
      <c r="BF401" s="90"/>
      <c r="BG401" s="90"/>
      <c r="BH401" s="90"/>
      <c r="BI401" s="90"/>
      <c r="BJ401" s="90"/>
      <c r="BK401" s="90"/>
      <c r="BL401" s="90"/>
      <c r="BM401" s="90"/>
      <c r="BN401" s="90"/>
      <c r="BO401" s="90"/>
      <c r="BP401" s="90"/>
    </row>
    <row r="402" ht="12.75" customHeight="1" outlineLevel="1">
      <c r="A402" s="90" t="s">
        <v>289</v>
      </c>
      <c r="C402" s="102">
        <f>'RSGen 1-7'!J$422</f>
        <v>0</v>
      </c>
      <c r="D402" s="102">
        <v>0.0</v>
      </c>
      <c r="E402" s="102">
        <v>0.0</v>
      </c>
      <c r="F402" s="102"/>
      <c r="G402" s="102"/>
      <c r="H402" s="313"/>
      <c r="I402" s="313"/>
      <c r="J402" s="313"/>
      <c r="K402" s="306"/>
      <c r="L402" s="306"/>
      <c r="M402" s="306"/>
      <c r="N402" s="306"/>
      <c r="O402" s="102">
        <f t="shared" ref="O402:AL402" si="501">(MAX(0,MIN(O9,SUM(O9:O$15)-$E$4))*$E402+MAX(0,MIN(O9,$D$4-SUM(O10:O$15)))*$C402+(O9-(MAX(0,MIN(O9,SUM(O9:O$15)-$E$4))+MAX(0,MIN(O9,$D$4-SUM(O10:O$15)))))*$D402)</f>
        <v>0</v>
      </c>
      <c r="P402" s="102">
        <f t="shared" si="501"/>
        <v>0</v>
      </c>
      <c r="Q402" s="102">
        <f t="shared" si="501"/>
        <v>0</v>
      </c>
      <c r="R402" s="102">
        <f t="shared" si="501"/>
        <v>0</v>
      </c>
      <c r="S402" s="102">
        <f t="shared" si="501"/>
        <v>0</v>
      </c>
      <c r="T402" s="102">
        <f t="shared" si="501"/>
        <v>0</v>
      </c>
      <c r="U402" s="102">
        <f t="shared" si="501"/>
        <v>0</v>
      </c>
      <c r="V402" s="102">
        <f t="shared" si="501"/>
        <v>0</v>
      </c>
      <c r="W402" s="102">
        <f t="shared" si="501"/>
        <v>0</v>
      </c>
      <c r="X402" s="102">
        <f t="shared" si="501"/>
        <v>0</v>
      </c>
      <c r="Y402" s="102">
        <f t="shared" si="501"/>
        <v>0</v>
      </c>
      <c r="Z402" s="102">
        <f t="shared" si="501"/>
        <v>0</v>
      </c>
      <c r="AA402" s="102">
        <f t="shared" si="501"/>
        <v>0</v>
      </c>
      <c r="AB402" s="102">
        <f t="shared" si="501"/>
        <v>0</v>
      </c>
      <c r="AC402" s="102">
        <f t="shared" si="501"/>
        <v>0</v>
      </c>
      <c r="AD402" s="102">
        <f t="shared" si="501"/>
        <v>0</v>
      </c>
      <c r="AE402" s="102">
        <f t="shared" si="501"/>
        <v>0</v>
      </c>
      <c r="AF402" s="102">
        <f t="shared" si="501"/>
        <v>0</v>
      </c>
      <c r="AG402" s="102">
        <f t="shared" si="501"/>
        <v>0</v>
      </c>
      <c r="AH402" s="102">
        <f t="shared" si="501"/>
        <v>0</v>
      </c>
      <c r="AI402" s="102">
        <f t="shared" si="501"/>
        <v>0</v>
      </c>
      <c r="AJ402" s="102">
        <f t="shared" si="501"/>
        <v>0</v>
      </c>
      <c r="AK402" s="102">
        <f t="shared" si="501"/>
        <v>0</v>
      </c>
      <c r="AL402" s="102">
        <f t="shared" si="501"/>
        <v>0</v>
      </c>
      <c r="AM402" s="102">
        <f t="shared" ref="AM402:AV402" si="502">$D402*AM$9</f>
        <v>0</v>
      </c>
      <c r="AN402" s="102">
        <f t="shared" si="502"/>
        <v>0</v>
      </c>
      <c r="AO402" s="102">
        <f t="shared" si="502"/>
        <v>0</v>
      </c>
      <c r="AP402" s="102">
        <f t="shared" si="502"/>
        <v>0</v>
      </c>
      <c r="AQ402" s="102">
        <f t="shared" si="502"/>
        <v>0</v>
      </c>
      <c r="AR402" s="102" t="str">
        <f t="shared" si="502"/>
        <v>#REF!</v>
      </c>
      <c r="AS402" s="102" t="str">
        <f t="shared" si="502"/>
        <v>#REF!</v>
      </c>
      <c r="AT402" s="102" t="str">
        <f t="shared" si="502"/>
        <v>#REF!</v>
      </c>
      <c r="AU402" s="102" t="str">
        <f t="shared" si="502"/>
        <v>#REF!</v>
      </c>
      <c r="AV402" s="102" t="str">
        <f t="shared" si="502"/>
        <v>#REF!</v>
      </c>
      <c r="AW402" s="90"/>
      <c r="AX402" s="90"/>
      <c r="AY402" s="90"/>
      <c r="AZ402" s="90"/>
      <c r="BA402" s="90"/>
      <c r="BB402" s="90"/>
      <c r="BC402" s="90"/>
      <c r="BD402" s="90"/>
      <c r="BE402" s="90"/>
      <c r="BF402" s="90"/>
      <c r="BG402" s="90"/>
      <c r="BH402" s="90"/>
      <c r="BI402" s="90"/>
      <c r="BJ402" s="90"/>
      <c r="BK402" s="90"/>
      <c r="BL402" s="90"/>
      <c r="BM402" s="90"/>
      <c r="BN402" s="90"/>
      <c r="BO402" s="90"/>
      <c r="BP402" s="90"/>
    </row>
    <row r="403" ht="12.75" customHeight="1" outlineLevel="1">
      <c r="A403" s="90" t="s">
        <v>290</v>
      </c>
      <c r="C403" s="102">
        <f>'RSGen 1-7'!K$422</f>
        <v>0</v>
      </c>
      <c r="D403" s="102">
        <v>0.0</v>
      </c>
      <c r="E403" s="102">
        <v>0.0</v>
      </c>
      <c r="F403" s="102"/>
      <c r="G403" s="102"/>
      <c r="H403" s="313"/>
      <c r="I403" s="313"/>
      <c r="J403" s="313"/>
      <c r="K403" s="306"/>
      <c r="L403" s="306"/>
      <c r="M403" s="306"/>
      <c r="N403" s="306"/>
      <c r="O403" s="306"/>
      <c r="P403" s="102">
        <f t="shared" ref="P403:AL403" si="503">(MAX(0,MIN(P10,SUM(P10:P$15)-$E$4))*$E403+MAX(0,MIN(P10,$D$4-SUM(P11:P$15)))*$C403+(P10-(MAX(0,MIN(P10,SUM(P10:P$15)-$E$4))+MAX(0,MIN(P10,$D$4-SUM(P11:P$15)))))*$D403)</f>
        <v>0</v>
      </c>
      <c r="Q403" s="102">
        <f t="shared" si="503"/>
        <v>0</v>
      </c>
      <c r="R403" s="102">
        <f t="shared" si="503"/>
        <v>0</v>
      </c>
      <c r="S403" s="102">
        <f t="shared" si="503"/>
        <v>0</v>
      </c>
      <c r="T403" s="102">
        <f t="shared" si="503"/>
        <v>0</v>
      </c>
      <c r="U403" s="102">
        <f t="shared" si="503"/>
        <v>0</v>
      </c>
      <c r="V403" s="102">
        <f t="shared" si="503"/>
        <v>0</v>
      </c>
      <c r="W403" s="102">
        <f t="shared" si="503"/>
        <v>0</v>
      </c>
      <c r="X403" s="102">
        <f t="shared" si="503"/>
        <v>0</v>
      </c>
      <c r="Y403" s="102">
        <f t="shared" si="503"/>
        <v>0</v>
      </c>
      <c r="Z403" s="102">
        <f t="shared" si="503"/>
        <v>0</v>
      </c>
      <c r="AA403" s="102">
        <f t="shared" si="503"/>
        <v>0</v>
      </c>
      <c r="AB403" s="102">
        <f t="shared" si="503"/>
        <v>0</v>
      </c>
      <c r="AC403" s="102">
        <f t="shared" si="503"/>
        <v>0</v>
      </c>
      <c r="AD403" s="102">
        <f t="shared" si="503"/>
        <v>0</v>
      </c>
      <c r="AE403" s="102">
        <f t="shared" si="503"/>
        <v>0</v>
      </c>
      <c r="AF403" s="102">
        <f t="shared" si="503"/>
        <v>0</v>
      </c>
      <c r="AG403" s="102">
        <f t="shared" si="503"/>
        <v>0</v>
      </c>
      <c r="AH403" s="102">
        <f t="shared" si="503"/>
        <v>0</v>
      </c>
      <c r="AI403" s="102">
        <f t="shared" si="503"/>
        <v>0</v>
      </c>
      <c r="AJ403" s="102">
        <f t="shared" si="503"/>
        <v>0</v>
      </c>
      <c r="AK403" s="102">
        <f t="shared" si="503"/>
        <v>0</v>
      </c>
      <c r="AL403" s="102">
        <f t="shared" si="503"/>
        <v>0</v>
      </c>
      <c r="AM403" s="102">
        <f t="shared" ref="AM403:AV403" si="504">$D403*AM$10</f>
        <v>0</v>
      </c>
      <c r="AN403" s="102">
        <f t="shared" si="504"/>
        <v>0</v>
      </c>
      <c r="AO403" s="102">
        <f t="shared" si="504"/>
        <v>0</v>
      </c>
      <c r="AP403" s="102">
        <f t="shared" si="504"/>
        <v>0</v>
      </c>
      <c r="AQ403" s="102">
        <f t="shared" si="504"/>
        <v>0</v>
      </c>
      <c r="AR403" s="102">
        <f t="shared" si="504"/>
        <v>0</v>
      </c>
      <c r="AS403" s="102" t="str">
        <f t="shared" si="504"/>
        <v>#REF!</v>
      </c>
      <c r="AT403" s="102" t="str">
        <f t="shared" si="504"/>
        <v>#REF!</v>
      </c>
      <c r="AU403" s="102" t="str">
        <f t="shared" si="504"/>
        <v>#REF!</v>
      </c>
      <c r="AV403" s="102" t="str">
        <f t="shared" si="504"/>
        <v>#REF!</v>
      </c>
      <c r="AW403" s="90"/>
      <c r="AX403" s="90"/>
      <c r="AY403" s="90"/>
      <c r="AZ403" s="90"/>
      <c r="BA403" s="90"/>
      <c r="BB403" s="90"/>
      <c r="BC403" s="90"/>
      <c r="BD403" s="90"/>
      <c r="BE403" s="90"/>
      <c r="BF403" s="90"/>
      <c r="BG403" s="90"/>
      <c r="BH403" s="90"/>
      <c r="BI403" s="90"/>
      <c r="BJ403" s="90"/>
      <c r="BK403" s="90"/>
      <c r="BL403" s="90"/>
      <c r="BM403" s="90"/>
      <c r="BN403" s="90"/>
      <c r="BO403" s="90"/>
      <c r="BP403" s="90"/>
    </row>
    <row r="404" ht="12.75" customHeight="1" outlineLevel="1">
      <c r="A404" s="90" t="s">
        <v>291</v>
      </c>
      <c r="C404" s="102">
        <f>'RSGen 1-7'!L$422</f>
        <v>0</v>
      </c>
      <c r="D404" s="102">
        <v>0.0</v>
      </c>
      <c r="E404" s="102">
        <v>0.0</v>
      </c>
      <c r="F404" s="102"/>
      <c r="G404" s="102"/>
      <c r="H404" s="313"/>
      <c r="I404" s="313"/>
      <c r="J404" s="313"/>
      <c r="K404" s="306"/>
      <c r="L404" s="306"/>
      <c r="M404" s="306"/>
      <c r="N404" s="306"/>
      <c r="O404" s="306"/>
      <c r="P404" s="306"/>
      <c r="Q404" s="102">
        <f t="shared" ref="Q404:AL404" si="505">(MAX(0,MIN(Q11,SUM(Q11:Q$15)-$E$4))*$E404+MAX(0,MIN(Q11,$D$4-SUM(Q12:Q$15)))*$C404+(Q11-(MAX(0,MIN(Q11,SUM(Q11:Q$15)-$E$4))+MAX(0,MIN(Q11,$D$4-SUM(Q12:Q$15)))))*$D404)</f>
        <v>0</v>
      </c>
      <c r="R404" s="102">
        <f t="shared" si="505"/>
        <v>0</v>
      </c>
      <c r="S404" s="102">
        <f t="shared" si="505"/>
        <v>0</v>
      </c>
      <c r="T404" s="102">
        <f t="shared" si="505"/>
        <v>0</v>
      </c>
      <c r="U404" s="102">
        <f t="shared" si="505"/>
        <v>0</v>
      </c>
      <c r="V404" s="102">
        <f t="shared" si="505"/>
        <v>0</v>
      </c>
      <c r="W404" s="102">
        <f t="shared" si="505"/>
        <v>0</v>
      </c>
      <c r="X404" s="102">
        <f t="shared" si="505"/>
        <v>0</v>
      </c>
      <c r="Y404" s="102">
        <f t="shared" si="505"/>
        <v>0</v>
      </c>
      <c r="Z404" s="102">
        <f t="shared" si="505"/>
        <v>0</v>
      </c>
      <c r="AA404" s="102">
        <f t="shared" si="505"/>
        <v>0</v>
      </c>
      <c r="AB404" s="102">
        <f t="shared" si="505"/>
        <v>0</v>
      </c>
      <c r="AC404" s="102">
        <f t="shared" si="505"/>
        <v>0</v>
      </c>
      <c r="AD404" s="102">
        <f t="shared" si="505"/>
        <v>0</v>
      </c>
      <c r="AE404" s="102">
        <f t="shared" si="505"/>
        <v>0</v>
      </c>
      <c r="AF404" s="102">
        <f t="shared" si="505"/>
        <v>0</v>
      </c>
      <c r="AG404" s="102">
        <f t="shared" si="505"/>
        <v>0</v>
      </c>
      <c r="AH404" s="102">
        <f t="shared" si="505"/>
        <v>0</v>
      </c>
      <c r="AI404" s="102">
        <f t="shared" si="505"/>
        <v>0</v>
      </c>
      <c r="AJ404" s="102">
        <f t="shared" si="505"/>
        <v>0</v>
      </c>
      <c r="AK404" s="102">
        <f t="shared" si="505"/>
        <v>0</v>
      </c>
      <c r="AL404" s="102">
        <f t="shared" si="505"/>
        <v>0</v>
      </c>
      <c r="AM404" s="102">
        <f t="shared" ref="AM404:AV404" si="506">$D404*AM$11</f>
        <v>0</v>
      </c>
      <c r="AN404" s="102">
        <f t="shared" si="506"/>
        <v>0</v>
      </c>
      <c r="AO404" s="102">
        <f t="shared" si="506"/>
        <v>0</v>
      </c>
      <c r="AP404" s="102">
        <f t="shared" si="506"/>
        <v>0</v>
      </c>
      <c r="AQ404" s="102">
        <f t="shared" si="506"/>
        <v>0</v>
      </c>
      <c r="AR404" s="102">
        <f t="shared" si="506"/>
        <v>0</v>
      </c>
      <c r="AS404" s="102">
        <f t="shared" si="506"/>
        <v>0</v>
      </c>
      <c r="AT404" s="102" t="str">
        <f t="shared" si="506"/>
        <v>#REF!</v>
      </c>
      <c r="AU404" s="102" t="str">
        <f t="shared" si="506"/>
        <v>#REF!</v>
      </c>
      <c r="AV404" s="102" t="str">
        <f t="shared" si="506"/>
        <v>#REF!</v>
      </c>
      <c r="AW404" s="90"/>
      <c r="AX404" s="90"/>
      <c r="AY404" s="90"/>
      <c r="AZ404" s="90"/>
      <c r="BA404" s="90"/>
      <c r="BB404" s="90"/>
      <c r="BC404" s="90"/>
      <c r="BD404" s="90"/>
      <c r="BE404" s="90"/>
      <c r="BF404" s="90"/>
      <c r="BG404" s="90"/>
      <c r="BH404" s="90"/>
      <c r="BI404" s="90"/>
      <c r="BJ404" s="90"/>
      <c r="BK404" s="90"/>
      <c r="BL404" s="90"/>
      <c r="BM404" s="90"/>
      <c r="BN404" s="90"/>
      <c r="BO404" s="90"/>
      <c r="BP404" s="90"/>
    </row>
    <row r="405" ht="12.75" customHeight="1" outlineLevel="1">
      <c r="A405" s="90" t="s">
        <v>292</v>
      </c>
      <c r="C405" s="102">
        <f>+'RSGen 1-7'!M$422</f>
        <v>0</v>
      </c>
      <c r="D405" s="102">
        <v>0.0</v>
      </c>
      <c r="E405" s="102">
        <v>0.0</v>
      </c>
      <c r="F405" s="102"/>
      <c r="G405" s="102"/>
      <c r="H405" s="313"/>
      <c r="I405" s="313"/>
      <c r="J405" s="313"/>
      <c r="K405" s="306"/>
      <c r="L405" s="306"/>
      <c r="M405" s="306"/>
      <c r="N405" s="306"/>
      <c r="O405" s="306"/>
      <c r="P405" s="306"/>
      <c r="Q405" s="306"/>
      <c r="R405" s="102">
        <f t="shared" ref="R405:AL405" si="507">(MAX(0,MIN(R12,SUM(R12:R$15)-$E$4))*$E405+MAX(0,MIN(R12,$D$4-SUM(R13:R$15)))*$C405+(R12-(MAX(0,MIN(R12,SUM(R12:R$15)-$E$4))+MAX(0,MIN(R12,$D$4-SUM(R13:R$15)))))*$D405)</f>
        <v>0</v>
      </c>
      <c r="S405" s="102">
        <f t="shared" si="507"/>
        <v>0</v>
      </c>
      <c r="T405" s="102">
        <f t="shared" si="507"/>
        <v>0</v>
      </c>
      <c r="U405" s="102">
        <f t="shared" si="507"/>
        <v>0</v>
      </c>
      <c r="V405" s="102">
        <f t="shared" si="507"/>
        <v>0</v>
      </c>
      <c r="W405" s="102">
        <f t="shared" si="507"/>
        <v>0</v>
      </c>
      <c r="X405" s="102">
        <f t="shared" si="507"/>
        <v>0</v>
      </c>
      <c r="Y405" s="102">
        <f t="shared" si="507"/>
        <v>0</v>
      </c>
      <c r="Z405" s="102">
        <f t="shared" si="507"/>
        <v>0</v>
      </c>
      <c r="AA405" s="102">
        <f t="shared" si="507"/>
        <v>0</v>
      </c>
      <c r="AB405" s="102">
        <f t="shared" si="507"/>
        <v>0</v>
      </c>
      <c r="AC405" s="102">
        <f t="shared" si="507"/>
        <v>0</v>
      </c>
      <c r="AD405" s="102">
        <f t="shared" si="507"/>
        <v>0</v>
      </c>
      <c r="AE405" s="102">
        <f t="shared" si="507"/>
        <v>0</v>
      </c>
      <c r="AF405" s="102">
        <f t="shared" si="507"/>
        <v>0</v>
      </c>
      <c r="AG405" s="102">
        <f t="shared" si="507"/>
        <v>0</v>
      </c>
      <c r="AH405" s="102">
        <f t="shared" si="507"/>
        <v>0</v>
      </c>
      <c r="AI405" s="102">
        <f t="shared" si="507"/>
        <v>0</v>
      </c>
      <c r="AJ405" s="102">
        <f t="shared" si="507"/>
        <v>0</v>
      </c>
      <c r="AK405" s="102">
        <f t="shared" si="507"/>
        <v>0</v>
      </c>
      <c r="AL405" s="102">
        <f t="shared" si="507"/>
        <v>0</v>
      </c>
      <c r="AM405" s="102">
        <f t="shared" ref="AM405:AV405" si="508">$D405*AM$12</f>
        <v>0</v>
      </c>
      <c r="AN405" s="102">
        <f t="shared" si="508"/>
        <v>0</v>
      </c>
      <c r="AO405" s="102">
        <f t="shared" si="508"/>
        <v>0</v>
      </c>
      <c r="AP405" s="102">
        <f t="shared" si="508"/>
        <v>0</v>
      </c>
      <c r="AQ405" s="102">
        <f t="shared" si="508"/>
        <v>0</v>
      </c>
      <c r="AR405" s="102">
        <f t="shared" si="508"/>
        <v>0</v>
      </c>
      <c r="AS405" s="102">
        <f t="shared" si="508"/>
        <v>0</v>
      </c>
      <c r="AT405" s="102">
        <f t="shared" si="508"/>
        <v>0</v>
      </c>
      <c r="AU405" s="102" t="str">
        <f t="shared" si="508"/>
        <v>#REF!</v>
      </c>
      <c r="AV405" s="102" t="str">
        <f t="shared" si="508"/>
        <v>#REF!</v>
      </c>
      <c r="AW405" s="90"/>
      <c r="AX405" s="90"/>
      <c r="AY405" s="90"/>
      <c r="AZ405" s="90"/>
      <c r="BA405" s="90"/>
      <c r="BB405" s="90"/>
      <c r="BC405" s="90"/>
      <c r="BD405" s="90"/>
      <c r="BE405" s="90"/>
      <c r="BF405" s="90"/>
      <c r="BG405" s="90"/>
      <c r="BH405" s="90"/>
      <c r="BI405" s="90"/>
      <c r="BJ405" s="90"/>
      <c r="BK405" s="90"/>
      <c r="BL405" s="90"/>
      <c r="BM405" s="90"/>
      <c r="BN405" s="90"/>
      <c r="BO405" s="90"/>
      <c r="BP405" s="90"/>
    </row>
    <row r="406" ht="12.75" customHeight="1" outlineLevel="1">
      <c r="A406" s="90" t="s">
        <v>293</v>
      </c>
      <c r="C406" s="102">
        <f>+'RSGen 1-7'!N$422</f>
        <v>0</v>
      </c>
      <c r="D406" s="102">
        <v>0.0</v>
      </c>
      <c r="E406" s="102">
        <v>0.0</v>
      </c>
      <c r="F406" s="102"/>
      <c r="G406" s="102"/>
      <c r="H406" s="313"/>
      <c r="I406" s="313"/>
      <c r="J406" s="313"/>
      <c r="K406" s="306"/>
      <c r="L406" s="306"/>
      <c r="M406" s="306"/>
      <c r="N406" s="306"/>
      <c r="O406" s="306"/>
      <c r="P406" s="306"/>
      <c r="Q406" s="306"/>
      <c r="R406" s="306"/>
      <c r="S406" s="102">
        <f t="shared" ref="S406:AL406" si="509">(MAX(0,MIN(S13,SUM(S13:S$15)-$E$4))*$E406+MAX(0,MIN(S13,$D$4-SUM(S14:S$15)))*$C406+(S13-(MAX(0,MIN(S13,SUM(S13:S$15)-$E$4))+MAX(0,MIN(S13,$D$4-SUM(S14:S$15)))))*$D406)</f>
        <v>0</v>
      </c>
      <c r="T406" s="102">
        <f t="shared" si="509"/>
        <v>0</v>
      </c>
      <c r="U406" s="102">
        <f t="shared" si="509"/>
        <v>0</v>
      </c>
      <c r="V406" s="102">
        <f t="shared" si="509"/>
        <v>0</v>
      </c>
      <c r="W406" s="102">
        <f t="shared" si="509"/>
        <v>0</v>
      </c>
      <c r="X406" s="102">
        <f t="shared" si="509"/>
        <v>0</v>
      </c>
      <c r="Y406" s="102">
        <f t="shared" si="509"/>
        <v>0</v>
      </c>
      <c r="Z406" s="102">
        <f t="shared" si="509"/>
        <v>0</v>
      </c>
      <c r="AA406" s="102">
        <f t="shared" si="509"/>
        <v>0</v>
      </c>
      <c r="AB406" s="102">
        <f t="shared" si="509"/>
        <v>0</v>
      </c>
      <c r="AC406" s="102">
        <f t="shared" si="509"/>
        <v>0</v>
      </c>
      <c r="AD406" s="102">
        <f t="shared" si="509"/>
        <v>0</v>
      </c>
      <c r="AE406" s="102">
        <f t="shared" si="509"/>
        <v>0</v>
      </c>
      <c r="AF406" s="102">
        <f t="shared" si="509"/>
        <v>0</v>
      </c>
      <c r="AG406" s="102">
        <f t="shared" si="509"/>
        <v>0</v>
      </c>
      <c r="AH406" s="102">
        <f t="shared" si="509"/>
        <v>0</v>
      </c>
      <c r="AI406" s="102">
        <f t="shared" si="509"/>
        <v>0</v>
      </c>
      <c r="AJ406" s="102">
        <f t="shared" si="509"/>
        <v>0</v>
      </c>
      <c r="AK406" s="102">
        <f t="shared" si="509"/>
        <v>0</v>
      </c>
      <c r="AL406" s="102">
        <f t="shared" si="509"/>
        <v>0</v>
      </c>
      <c r="AM406" s="102">
        <f t="shared" ref="AM406:AV406" si="510">$D406*AM$13</f>
        <v>0</v>
      </c>
      <c r="AN406" s="102">
        <f t="shared" si="510"/>
        <v>0</v>
      </c>
      <c r="AO406" s="102">
        <f t="shared" si="510"/>
        <v>0</v>
      </c>
      <c r="AP406" s="102">
        <f t="shared" si="510"/>
        <v>0</v>
      </c>
      <c r="AQ406" s="102">
        <f t="shared" si="510"/>
        <v>0</v>
      </c>
      <c r="AR406" s="102">
        <f t="shared" si="510"/>
        <v>0</v>
      </c>
      <c r="AS406" s="102">
        <f t="shared" si="510"/>
        <v>0</v>
      </c>
      <c r="AT406" s="102">
        <f t="shared" si="510"/>
        <v>0</v>
      </c>
      <c r="AU406" s="102">
        <f t="shared" si="510"/>
        <v>0</v>
      </c>
      <c r="AV406" s="102" t="str">
        <f t="shared" si="510"/>
        <v>#REF!</v>
      </c>
      <c r="AW406" s="90"/>
      <c r="AX406" s="90"/>
      <c r="AY406" s="90"/>
      <c r="AZ406" s="90"/>
      <c r="BA406" s="90"/>
      <c r="BB406" s="90"/>
      <c r="BC406" s="90"/>
      <c r="BD406" s="90"/>
      <c r="BE406" s="90"/>
      <c r="BF406" s="90"/>
      <c r="BG406" s="90"/>
      <c r="BH406" s="90"/>
      <c r="BI406" s="90"/>
      <c r="BJ406" s="90"/>
      <c r="BK406" s="90"/>
      <c r="BL406" s="90"/>
      <c r="BM406" s="90"/>
      <c r="BN406" s="90"/>
      <c r="BO406" s="90"/>
      <c r="BP406" s="90"/>
    </row>
    <row r="407" ht="12.75" customHeight="1" outlineLevel="1">
      <c r="A407" s="90" t="s">
        <v>294</v>
      </c>
      <c r="C407" s="102">
        <f>+'RSGen 1-7'!N$422</f>
        <v>0</v>
      </c>
      <c r="D407" s="102">
        <v>0.0</v>
      </c>
      <c r="E407" s="102">
        <v>0.0</v>
      </c>
      <c r="F407" s="102"/>
      <c r="G407" s="102"/>
      <c r="H407" s="313"/>
      <c r="I407" s="313"/>
      <c r="J407" s="313"/>
      <c r="K407" s="306"/>
      <c r="L407" s="306"/>
      <c r="M407" s="306"/>
      <c r="N407" s="306"/>
      <c r="O407" s="306"/>
      <c r="P407" s="306"/>
      <c r="Q407" s="306"/>
      <c r="R407" s="306"/>
      <c r="S407" s="306"/>
      <c r="T407" s="102">
        <f t="shared" ref="T407:AL407" si="511">(MAX(0,MIN(T14,SUM(T14:T$15)-$E$4))*$E407+MAX(0,MIN(T14,$D$4-SUM(T$15:T15)))*$C407+(T14-(MAX(0,MIN(T14,SUM(T14:T$15)-$E$4))+MAX(0,MIN(T14,$D$4-SUM(T$15:T15)))))*$D407)</f>
        <v>0</v>
      </c>
      <c r="U407" s="102">
        <f t="shared" si="511"/>
        <v>0</v>
      </c>
      <c r="V407" s="102">
        <f t="shared" si="511"/>
        <v>0</v>
      </c>
      <c r="W407" s="102">
        <f t="shared" si="511"/>
        <v>0</v>
      </c>
      <c r="X407" s="102">
        <f t="shared" si="511"/>
        <v>0</v>
      </c>
      <c r="Y407" s="102">
        <f t="shared" si="511"/>
        <v>0</v>
      </c>
      <c r="Z407" s="102">
        <f t="shared" si="511"/>
        <v>0</v>
      </c>
      <c r="AA407" s="102">
        <f t="shared" si="511"/>
        <v>0</v>
      </c>
      <c r="AB407" s="102">
        <f t="shared" si="511"/>
        <v>0</v>
      </c>
      <c r="AC407" s="102">
        <f t="shared" si="511"/>
        <v>0</v>
      </c>
      <c r="AD407" s="102">
        <f t="shared" si="511"/>
        <v>0</v>
      </c>
      <c r="AE407" s="102">
        <f t="shared" si="511"/>
        <v>0</v>
      </c>
      <c r="AF407" s="102">
        <f t="shared" si="511"/>
        <v>0</v>
      </c>
      <c r="AG407" s="102">
        <f t="shared" si="511"/>
        <v>0</v>
      </c>
      <c r="AH407" s="102">
        <f t="shared" si="511"/>
        <v>0</v>
      </c>
      <c r="AI407" s="102">
        <f t="shared" si="511"/>
        <v>0</v>
      </c>
      <c r="AJ407" s="102">
        <f t="shared" si="511"/>
        <v>0</v>
      </c>
      <c r="AK407" s="102">
        <f t="shared" si="511"/>
        <v>0</v>
      </c>
      <c r="AL407" s="102">
        <f t="shared" si="511"/>
        <v>0</v>
      </c>
      <c r="AM407" s="102">
        <f t="shared" ref="AM407:AV407" si="512">$D407*AM$14</f>
        <v>0</v>
      </c>
      <c r="AN407" s="102">
        <f t="shared" si="512"/>
        <v>0</v>
      </c>
      <c r="AO407" s="102">
        <f t="shared" si="512"/>
        <v>0</v>
      </c>
      <c r="AP407" s="102">
        <f t="shared" si="512"/>
        <v>0</v>
      </c>
      <c r="AQ407" s="102">
        <f t="shared" si="512"/>
        <v>0</v>
      </c>
      <c r="AR407" s="102">
        <f t="shared" si="512"/>
        <v>0</v>
      </c>
      <c r="AS407" s="102">
        <f t="shared" si="512"/>
        <v>0</v>
      </c>
      <c r="AT407" s="102">
        <f t="shared" si="512"/>
        <v>0</v>
      </c>
      <c r="AU407" s="102">
        <f t="shared" si="512"/>
        <v>0</v>
      </c>
      <c r="AV407" s="102">
        <f t="shared" si="512"/>
        <v>0</v>
      </c>
      <c r="AW407" s="90"/>
      <c r="AX407" s="90"/>
      <c r="AY407" s="90"/>
      <c r="AZ407" s="90"/>
      <c r="BA407" s="90"/>
      <c r="BB407" s="90"/>
      <c r="BC407" s="90"/>
      <c r="BD407" s="90"/>
      <c r="BE407" s="90"/>
      <c r="BF407" s="90"/>
      <c r="BG407" s="90"/>
      <c r="BH407" s="90"/>
      <c r="BI407" s="90"/>
      <c r="BJ407" s="90"/>
      <c r="BK407" s="90"/>
      <c r="BL407" s="90"/>
      <c r="BM407" s="90"/>
      <c r="BN407" s="90"/>
      <c r="BO407" s="90"/>
      <c r="BP407" s="90"/>
    </row>
    <row r="408" ht="12.75" customHeight="1" outlineLevel="1">
      <c r="A408" s="90" t="s">
        <v>295</v>
      </c>
      <c r="C408" s="102">
        <f>+'RSGen 1-7'!N$422</f>
        <v>0</v>
      </c>
      <c r="D408" s="102">
        <v>0.0</v>
      </c>
      <c r="E408" s="102">
        <v>0.0</v>
      </c>
      <c r="F408" s="102"/>
      <c r="G408" s="102"/>
      <c r="H408" s="313"/>
      <c r="I408" s="313"/>
      <c r="J408" s="313"/>
      <c r="K408" s="306"/>
      <c r="L408" s="306"/>
      <c r="M408" s="306"/>
      <c r="N408" s="306"/>
      <c r="O408" s="306"/>
      <c r="P408" s="306"/>
      <c r="Q408" s="306"/>
      <c r="R408" s="306"/>
      <c r="S408" s="306"/>
      <c r="T408" s="306"/>
      <c r="U408" s="102">
        <f t="shared" ref="U408:AL408" si="513">($C408*MIN($D$4-3,U15-3)+$D408*MIN($E$4-$D$4,MAX(0,U15-$D$4))+$E408*MAX(0,U15-$E$4))</f>
        <v>0</v>
      </c>
      <c r="V408" s="102">
        <f t="shared" si="513"/>
        <v>0</v>
      </c>
      <c r="W408" s="102">
        <f t="shared" si="513"/>
        <v>0</v>
      </c>
      <c r="X408" s="102">
        <f t="shared" si="513"/>
        <v>0</v>
      </c>
      <c r="Y408" s="102">
        <f t="shared" si="513"/>
        <v>0</v>
      </c>
      <c r="Z408" s="102">
        <f t="shared" si="513"/>
        <v>0</v>
      </c>
      <c r="AA408" s="102">
        <f t="shared" si="513"/>
        <v>0</v>
      </c>
      <c r="AB408" s="102">
        <f t="shared" si="513"/>
        <v>0</v>
      </c>
      <c r="AC408" s="102">
        <f t="shared" si="513"/>
        <v>0</v>
      </c>
      <c r="AD408" s="102">
        <f t="shared" si="513"/>
        <v>0</v>
      </c>
      <c r="AE408" s="102">
        <f t="shared" si="513"/>
        <v>0</v>
      </c>
      <c r="AF408" s="102">
        <f t="shared" si="513"/>
        <v>0</v>
      </c>
      <c r="AG408" s="102">
        <f t="shared" si="513"/>
        <v>0</v>
      </c>
      <c r="AH408" s="102">
        <f t="shared" si="513"/>
        <v>0</v>
      </c>
      <c r="AI408" s="102">
        <f t="shared" si="513"/>
        <v>0</v>
      </c>
      <c r="AJ408" s="102">
        <f t="shared" si="513"/>
        <v>0</v>
      </c>
      <c r="AK408" s="102">
        <f t="shared" si="513"/>
        <v>0</v>
      </c>
      <c r="AL408" s="102">
        <f t="shared" si="513"/>
        <v>0</v>
      </c>
      <c r="AM408" s="102">
        <f t="shared" ref="AM408:AV408" si="514">$C408*(4)+$D408*(AM$15-7)</f>
        <v>0</v>
      </c>
      <c r="AN408" s="102">
        <f t="shared" si="514"/>
        <v>0</v>
      </c>
      <c r="AO408" s="102">
        <f t="shared" si="514"/>
        <v>0</v>
      </c>
      <c r="AP408" s="102">
        <f t="shared" si="514"/>
        <v>0</v>
      </c>
      <c r="AQ408" s="102">
        <f t="shared" si="514"/>
        <v>0</v>
      </c>
      <c r="AR408" s="102">
        <f t="shared" si="514"/>
        <v>0</v>
      </c>
      <c r="AS408" s="102">
        <f t="shared" si="514"/>
        <v>0</v>
      </c>
      <c r="AT408" s="102">
        <f t="shared" si="514"/>
        <v>0</v>
      </c>
      <c r="AU408" s="102">
        <f t="shared" si="514"/>
        <v>0</v>
      </c>
      <c r="AV408" s="102">
        <f t="shared" si="514"/>
        <v>0</v>
      </c>
      <c r="AW408" s="90"/>
      <c r="AX408" s="90"/>
      <c r="AY408" s="90"/>
      <c r="AZ408" s="90"/>
      <c r="BA408" s="90"/>
      <c r="BB408" s="90"/>
      <c r="BC408" s="90"/>
      <c r="BD408" s="90"/>
      <c r="BE408" s="90"/>
      <c r="BF408" s="90"/>
      <c r="BG408" s="90"/>
      <c r="BH408" s="90"/>
      <c r="BI408" s="90"/>
      <c r="BJ408" s="90"/>
      <c r="BK408" s="90"/>
      <c r="BL408" s="90"/>
      <c r="BM408" s="90"/>
      <c r="BN408" s="90"/>
      <c r="BO408" s="90"/>
      <c r="BP408" s="90"/>
    </row>
    <row r="409" ht="13.5" customHeight="1" outlineLevel="1">
      <c r="A409" s="143" t="str">
        <f>"Total "&amp;A398</f>
        <v>Total Convertible Loan Repayments</v>
      </c>
      <c r="B409" s="143"/>
      <c r="C409" s="309"/>
      <c r="D409" s="309"/>
      <c r="E409" s="309"/>
      <c r="F409" s="309"/>
      <c r="G409" s="309"/>
      <c r="H409" s="314"/>
      <c r="I409" s="314"/>
      <c r="J409" s="314"/>
      <c r="K409" s="311"/>
      <c r="L409" s="307">
        <f t="shared" ref="L409:AV409" si="515">SUM(L399:L408)</f>
        <v>0</v>
      </c>
      <c r="M409" s="307">
        <f t="shared" si="515"/>
        <v>0</v>
      </c>
      <c r="N409" s="307">
        <f t="shared" si="515"/>
        <v>-500000</v>
      </c>
      <c r="O409" s="307">
        <f t="shared" si="515"/>
        <v>-500000</v>
      </c>
      <c r="P409" s="307">
        <f t="shared" si="515"/>
        <v>0</v>
      </c>
      <c r="Q409" s="307">
        <f t="shared" si="515"/>
        <v>0</v>
      </c>
      <c r="R409" s="307">
        <f t="shared" si="515"/>
        <v>0</v>
      </c>
      <c r="S409" s="307">
        <f t="shared" si="515"/>
        <v>0</v>
      </c>
      <c r="T409" s="307">
        <f t="shared" si="515"/>
        <v>0</v>
      </c>
      <c r="U409" s="307">
        <f t="shared" si="515"/>
        <v>0</v>
      </c>
      <c r="V409" s="307">
        <f t="shared" si="515"/>
        <v>0</v>
      </c>
      <c r="W409" s="307">
        <f t="shared" si="515"/>
        <v>0</v>
      </c>
      <c r="X409" s="307">
        <f t="shared" si="515"/>
        <v>0</v>
      </c>
      <c r="Y409" s="307">
        <f t="shared" si="515"/>
        <v>0</v>
      </c>
      <c r="Z409" s="307">
        <f t="shared" si="515"/>
        <v>0</v>
      </c>
      <c r="AA409" s="307">
        <f t="shared" si="515"/>
        <v>0</v>
      </c>
      <c r="AB409" s="307">
        <f t="shared" si="515"/>
        <v>0</v>
      </c>
      <c r="AC409" s="307">
        <f t="shared" si="515"/>
        <v>0</v>
      </c>
      <c r="AD409" s="307">
        <f t="shared" si="515"/>
        <v>0</v>
      </c>
      <c r="AE409" s="307">
        <f t="shared" si="515"/>
        <v>0</v>
      </c>
      <c r="AF409" s="307">
        <f t="shared" si="515"/>
        <v>0</v>
      </c>
      <c r="AG409" s="307">
        <f t="shared" si="515"/>
        <v>0</v>
      </c>
      <c r="AH409" s="307">
        <f t="shared" si="515"/>
        <v>0</v>
      </c>
      <c r="AI409" s="307">
        <f t="shared" si="515"/>
        <v>0</v>
      </c>
      <c r="AJ409" s="307">
        <f t="shared" si="515"/>
        <v>0</v>
      </c>
      <c r="AK409" s="307">
        <f t="shared" si="515"/>
        <v>0</v>
      </c>
      <c r="AL409" s="307">
        <f t="shared" si="515"/>
        <v>0</v>
      </c>
      <c r="AM409" s="307">
        <f t="shared" si="515"/>
        <v>0</v>
      </c>
      <c r="AN409" s="307">
        <f t="shared" si="515"/>
        <v>0</v>
      </c>
      <c r="AO409" s="307" t="str">
        <f t="shared" si="515"/>
        <v>#REF!</v>
      </c>
      <c r="AP409" s="307" t="str">
        <f t="shared" si="515"/>
        <v>#REF!</v>
      </c>
      <c r="AQ409" s="307" t="str">
        <f t="shared" si="515"/>
        <v>#REF!</v>
      </c>
      <c r="AR409" s="307" t="str">
        <f t="shared" si="515"/>
        <v>#REF!</v>
      </c>
      <c r="AS409" s="307" t="str">
        <f t="shared" si="515"/>
        <v>#REF!</v>
      </c>
      <c r="AT409" s="307" t="str">
        <f t="shared" si="515"/>
        <v>#REF!</v>
      </c>
      <c r="AU409" s="307" t="str">
        <f t="shared" si="515"/>
        <v>#REF!</v>
      </c>
      <c r="AV409" s="307" t="str">
        <f t="shared" si="515"/>
        <v>#REF!</v>
      </c>
      <c r="AW409" s="90"/>
      <c r="AX409" s="90"/>
      <c r="AY409" s="90"/>
      <c r="AZ409" s="90"/>
      <c r="BA409" s="90"/>
      <c r="BB409" s="90"/>
      <c r="BC409" s="90"/>
      <c r="BD409" s="90"/>
      <c r="BE409" s="90"/>
      <c r="BF409" s="90"/>
      <c r="BG409" s="90"/>
      <c r="BH409" s="90"/>
      <c r="BI409" s="90"/>
      <c r="BJ409" s="90"/>
      <c r="BK409" s="90"/>
      <c r="BL409" s="90"/>
      <c r="BM409" s="90"/>
      <c r="BN409" s="90"/>
      <c r="BO409" s="90"/>
      <c r="BP409" s="90"/>
    </row>
    <row r="410" ht="13.5" customHeight="1" outlineLevel="1">
      <c r="A410" s="90"/>
      <c r="C410" s="102"/>
      <c r="D410" s="102"/>
      <c r="E410" s="102"/>
      <c r="F410" s="102"/>
      <c r="G410" s="102"/>
      <c r="K410" s="102"/>
      <c r="L410" s="102"/>
      <c r="M410" s="102"/>
      <c r="N410" s="102"/>
      <c r="O410" s="102"/>
      <c r="P410" s="102"/>
      <c r="Q410" s="102"/>
      <c r="R410" s="102"/>
      <c r="S410" s="102"/>
      <c r="T410" s="102"/>
      <c r="U410" s="102"/>
      <c r="V410" s="102"/>
      <c r="W410" s="102"/>
      <c r="X410" s="102"/>
      <c r="Y410" s="102"/>
      <c r="Z410" s="102"/>
      <c r="AA410" s="102"/>
      <c r="AB410" s="102"/>
      <c r="AC410" s="102"/>
      <c r="AD410" s="102"/>
      <c r="AE410" s="102"/>
      <c r="AF410" s="102"/>
      <c r="AG410" s="102"/>
      <c r="AH410" s="102"/>
      <c r="AI410" s="102"/>
      <c r="AJ410" s="102"/>
      <c r="AK410" s="102"/>
      <c r="AL410" s="102"/>
      <c r="AM410" s="102"/>
      <c r="AN410" s="102"/>
      <c r="AO410" s="102"/>
      <c r="AP410" s="102"/>
      <c r="AQ410" s="102"/>
      <c r="AR410" s="102"/>
      <c r="AS410" s="102"/>
      <c r="AT410" s="102"/>
      <c r="AU410" s="102"/>
      <c r="AV410" s="102"/>
      <c r="AW410" s="90"/>
      <c r="AX410" s="90"/>
      <c r="AY410" s="90"/>
      <c r="AZ410" s="90"/>
      <c r="BA410" s="90"/>
      <c r="BB410" s="90"/>
      <c r="BC410" s="90"/>
      <c r="BD410" s="90"/>
      <c r="BE410" s="90"/>
      <c r="BF410" s="90"/>
      <c r="BG410" s="90"/>
      <c r="BH410" s="90"/>
      <c r="BI410" s="90"/>
      <c r="BJ410" s="90"/>
      <c r="BK410" s="90"/>
      <c r="BL410" s="90"/>
      <c r="BM410" s="90"/>
      <c r="BN410" s="90"/>
      <c r="BO410" s="90"/>
      <c r="BP410" s="90"/>
    </row>
    <row r="411" ht="12.75" customHeight="1" outlineLevel="1">
      <c r="A411" s="90" t="s">
        <v>616</v>
      </c>
      <c r="C411" s="102"/>
      <c r="D411" s="102"/>
      <c r="E411" s="102"/>
      <c r="F411" s="102"/>
      <c r="G411" s="102"/>
      <c r="K411" s="102"/>
      <c r="L411" s="102"/>
      <c r="M411" s="102"/>
      <c r="N411" s="102"/>
      <c r="O411" s="102"/>
      <c r="P411" s="102"/>
      <c r="Q411" s="102"/>
      <c r="R411" s="102"/>
      <c r="S411" s="102"/>
      <c r="T411" s="102"/>
      <c r="U411" s="102"/>
      <c r="V411" s="102"/>
      <c r="W411" s="102"/>
      <c r="X411" s="102"/>
      <c r="Y411" s="102"/>
      <c r="Z411" s="102"/>
      <c r="AA411" s="102"/>
      <c r="AB411" s="102"/>
      <c r="AC411" s="102"/>
      <c r="AD411" s="102"/>
      <c r="AE411" s="102"/>
      <c r="AF411" s="102"/>
      <c r="AG411" s="102"/>
      <c r="AH411" s="102"/>
      <c r="AI411" s="102"/>
      <c r="AJ411" s="102"/>
      <c r="AK411" s="102"/>
      <c r="AL411" s="102"/>
      <c r="AM411" s="102"/>
      <c r="AN411" s="102"/>
      <c r="AO411" s="102"/>
      <c r="AP411" s="102"/>
      <c r="AQ411" s="102"/>
      <c r="AR411" s="102"/>
      <c r="AS411" s="102"/>
      <c r="AT411" s="102"/>
      <c r="AU411" s="102"/>
      <c r="AV411" s="102"/>
      <c r="AW411" s="90"/>
      <c r="AX411" s="90"/>
      <c r="AY411" s="90"/>
      <c r="AZ411" s="90"/>
      <c r="BA411" s="90"/>
      <c r="BB411" s="90"/>
      <c r="BC411" s="90"/>
      <c r="BD411" s="90"/>
      <c r="BE411" s="90"/>
      <c r="BF411" s="90"/>
      <c r="BG411" s="90"/>
      <c r="BH411" s="90"/>
      <c r="BI411" s="90"/>
      <c r="BJ411" s="90"/>
      <c r="BK411" s="90"/>
      <c r="BL411" s="90"/>
      <c r="BM411" s="90"/>
      <c r="BN411" s="90"/>
      <c r="BO411" s="90"/>
      <c r="BP411" s="90"/>
    </row>
    <row r="412" ht="12.75" customHeight="1" outlineLevel="1">
      <c r="A412" s="90" t="s">
        <v>287</v>
      </c>
      <c r="C412" s="102"/>
      <c r="D412" s="102">
        <f>OFFSET(RSGen_Walton!$H$459,0,ROW('All Schools Roll-up'!C412)-ROW('All Schools Roll-up'!$C$412))+OFFSET(RSGen_Walton!$H$464,0,ROW('All Schools Roll-up'!C412)-ROW('All Schools Roll-up'!$C$412))</f>
        <v>0</v>
      </c>
      <c r="E412" s="102">
        <f>OFFSET(RSGen_none!$H$459,0,ROW('All Schools Roll-up'!D412)-ROW('All Schools Roll-up'!$C$412))+OFFSET(RSGen_none!$H$464,0,ROW('All Schools Roll-up'!D412)-ROW('All Schools Roll-up'!$C$412))</f>
        <v>0</v>
      </c>
      <c r="F412" s="102"/>
      <c r="G412" s="102"/>
      <c r="H412" s="313"/>
      <c r="I412" s="313"/>
      <c r="J412" s="313"/>
      <c r="K412" s="306"/>
      <c r="L412" s="306"/>
      <c r="M412" s="102">
        <f t="shared" ref="M412:AL412" si="516">(MAX(0,MIN(M7,SUM(M7:M$15)-$E$4))*$E412+MAX(0,MIN(M7,$D$4-SUM(M8:M$15)))*$C412+(M7-(MAX(0,MIN(M7,SUM(M7:M$15)-$E$4))+MAX(0,MIN(M7,$D$4-SUM(M8:M$15)))))*$D412)</f>
        <v>0</v>
      </c>
      <c r="N412" s="102">
        <f t="shared" si="516"/>
        <v>0</v>
      </c>
      <c r="O412" s="102">
        <f t="shared" si="516"/>
        <v>0</v>
      </c>
      <c r="P412" s="102">
        <f t="shared" si="516"/>
        <v>0</v>
      </c>
      <c r="Q412" s="102">
        <f t="shared" si="516"/>
        <v>0</v>
      </c>
      <c r="R412" s="102">
        <f t="shared" si="516"/>
        <v>0</v>
      </c>
      <c r="S412" s="102">
        <f t="shared" si="516"/>
        <v>0</v>
      </c>
      <c r="T412" s="102">
        <f t="shared" si="516"/>
        <v>0</v>
      </c>
      <c r="U412" s="102">
        <f t="shared" si="516"/>
        <v>0</v>
      </c>
      <c r="V412" s="102">
        <f t="shared" si="516"/>
        <v>0</v>
      </c>
      <c r="W412" s="102">
        <f t="shared" si="516"/>
        <v>0</v>
      </c>
      <c r="X412" s="102">
        <f t="shared" si="516"/>
        <v>0</v>
      </c>
      <c r="Y412" s="102">
        <f t="shared" si="516"/>
        <v>0</v>
      </c>
      <c r="Z412" s="102">
        <f t="shared" si="516"/>
        <v>0</v>
      </c>
      <c r="AA412" s="102">
        <f t="shared" si="516"/>
        <v>0</v>
      </c>
      <c r="AB412" s="102">
        <f t="shared" si="516"/>
        <v>0</v>
      </c>
      <c r="AC412" s="102">
        <f t="shared" si="516"/>
        <v>0</v>
      </c>
      <c r="AD412" s="102">
        <f t="shared" si="516"/>
        <v>0</v>
      </c>
      <c r="AE412" s="102">
        <f t="shared" si="516"/>
        <v>0</v>
      </c>
      <c r="AF412" s="102">
        <f t="shared" si="516"/>
        <v>0</v>
      </c>
      <c r="AG412" s="102">
        <f t="shared" si="516"/>
        <v>0</v>
      </c>
      <c r="AH412" s="102">
        <f t="shared" si="516"/>
        <v>0</v>
      </c>
      <c r="AI412" s="102">
        <f t="shared" si="516"/>
        <v>0</v>
      </c>
      <c r="AJ412" s="102">
        <f t="shared" si="516"/>
        <v>0</v>
      </c>
      <c r="AK412" s="102">
        <f t="shared" si="516"/>
        <v>0</v>
      </c>
      <c r="AL412" s="102">
        <f t="shared" si="516"/>
        <v>0</v>
      </c>
      <c r="AM412" s="102">
        <f t="shared" ref="AM412:AV412" si="517">$D412*AM$7</f>
        <v>0</v>
      </c>
      <c r="AN412" s="102">
        <f t="shared" si="517"/>
        <v>0</v>
      </c>
      <c r="AO412" s="102">
        <f t="shared" si="517"/>
        <v>0</v>
      </c>
      <c r="AP412" s="102" t="str">
        <f t="shared" si="517"/>
        <v>#REF!</v>
      </c>
      <c r="AQ412" s="102" t="str">
        <f t="shared" si="517"/>
        <v>#REF!</v>
      </c>
      <c r="AR412" s="102" t="str">
        <f t="shared" si="517"/>
        <v>#REF!</v>
      </c>
      <c r="AS412" s="102" t="str">
        <f t="shared" si="517"/>
        <v>#REF!</v>
      </c>
      <c r="AT412" s="102" t="str">
        <f t="shared" si="517"/>
        <v>#REF!</v>
      </c>
      <c r="AU412" s="102">
        <f t="shared" si="517"/>
        <v>0</v>
      </c>
      <c r="AV412" s="102">
        <f t="shared" si="517"/>
        <v>0</v>
      </c>
      <c r="AW412" s="90"/>
      <c r="AX412" s="90"/>
      <c r="AY412" s="90"/>
      <c r="AZ412" s="90"/>
      <c r="BA412" s="90"/>
      <c r="BB412" s="90"/>
      <c r="BC412" s="90"/>
      <c r="BD412" s="90"/>
      <c r="BE412" s="90"/>
      <c r="BF412" s="90"/>
      <c r="BG412" s="90"/>
      <c r="BH412" s="90"/>
      <c r="BI412" s="90"/>
      <c r="BJ412" s="90"/>
      <c r="BK412" s="90"/>
      <c r="BL412" s="90"/>
      <c r="BM412" s="90"/>
      <c r="BN412" s="90"/>
      <c r="BO412" s="90"/>
      <c r="BP412" s="90"/>
    </row>
    <row r="413" ht="12.75" customHeight="1" outlineLevel="1">
      <c r="A413" s="90" t="s">
        <v>288</v>
      </c>
      <c r="C413" s="102"/>
      <c r="D413" s="102">
        <f>OFFSET(RSGen_Walton!$H$459,0,ROW('All Schools Roll-up'!C413)-ROW('All Schools Roll-up'!$C$412))+OFFSET(RSGen_Walton!$H$464,0,ROW('All Schools Roll-up'!C413)-ROW('All Schools Roll-up'!$C$412))</f>
        <v>0</v>
      </c>
      <c r="E413" s="102">
        <f>OFFSET(RSGen_none!$H$459,0,ROW('All Schools Roll-up'!D413)-ROW('All Schools Roll-up'!$C$412))+OFFSET(RSGen_none!$H$464,0,ROW('All Schools Roll-up'!D413)-ROW('All Schools Roll-up'!$C$412))</f>
        <v>0</v>
      </c>
      <c r="F413" s="102"/>
      <c r="G413" s="102"/>
      <c r="H413" s="313"/>
      <c r="I413" s="313"/>
      <c r="J413" s="313"/>
      <c r="K413" s="306"/>
      <c r="L413" s="306"/>
      <c r="M413" s="306"/>
      <c r="N413" s="102">
        <f t="shared" ref="N413:AL413" si="518">(MAX(0,MIN(N8,SUM(N8:N$15)-$E$4))*$E413+MAX(0,MIN(N8,$D$4-SUM(N9:N$15)))*$C413+(N8-(MAX(0,MIN(N8,SUM(N8:N$15)-$E$4))+MAX(0,MIN(N8,$D$4-SUM(N9:N$15)))))*$D413)</f>
        <v>0</v>
      </c>
      <c r="O413" s="102">
        <f t="shared" si="518"/>
        <v>0</v>
      </c>
      <c r="P413" s="102">
        <f t="shared" si="518"/>
        <v>0</v>
      </c>
      <c r="Q413" s="102">
        <f t="shared" si="518"/>
        <v>0</v>
      </c>
      <c r="R413" s="102">
        <f t="shared" si="518"/>
        <v>0</v>
      </c>
      <c r="S413" s="102">
        <f t="shared" si="518"/>
        <v>0</v>
      </c>
      <c r="T413" s="102">
        <f t="shared" si="518"/>
        <v>0</v>
      </c>
      <c r="U413" s="102">
        <f t="shared" si="518"/>
        <v>0</v>
      </c>
      <c r="V413" s="102">
        <f t="shared" si="518"/>
        <v>0</v>
      </c>
      <c r="W413" s="102">
        <f t="shared" si="518"/>
        <v>0</v>
      </c>
      <c r="X413" s="102">
        <f t="shared" si="518"/>
        <v>0</v>
      </c>
      <c r="Y413" s="102">
        <f t="shared" si="518"/>
        <v>0</v>
      </c>
      <c r="Z413" s="102">
        <f t="shared" si="518"/>
        <v>0</v>
      </c>
      <c r="AA413" s="102">
        <f t="shared" si="518"/>
        <v>0</v>
      </c>
      <c r="AB413" s="102">
        <f t="shared" si="518"/>
        <v>0</v>
      </c>
      <c r="AC413" s="102">
        <f t="shared" si="518"/>
        <v>0</v>
      </c>
      <c r="AD413" s="102">
        <f t="shared" si="518"/>
        <v>0</v>
      </c>
      <c r="AE413" s="102">
        <f t="shared" si="518"/>
        <v>0</v>
      </c>
      <c r="AF413" s="102">
        <f t="shared" si="518"/>
        <v>0</v>
      </c>
      <c r="AG413" s="102">
        <f t="shared" si="518"/>
        <v>0</v>
      </c>
      <c r="AH413" s="102">
        <f t="shared" si="518"/>
        <v>0</v>
      </c>
      <c r="AI413" s="102">
        <f t="shared" si="518"/>
        <v>0</v>
      </c>
      <c r="AJ413" s="102">
        <f t="shared" si="518"/>
        <v>0</v>
      </c>
      <c r="AK413" s="102">
        <f t="shared" si="518"/>
        <v>0</v>
      </c>
      <c r="AL413" s="102">
        <f t="shared" si="518"/>
        <v>0</v>
      </c>
      <c r="AM413" s="102">
        <f t="shared" ref="AM413:AV413" si="519">$D413*AM$8</f>
        <v>0</v>
      </c>
      <c r="AN413" s="102">
        <f t="shared" si="519"/>
        <v>0</v>
      </c>
      <c r="AO413" s="102">
        <f t="shared" si="519"/>
        <v>0</v>
      </c>
      <c r="AP413" s="102">
        <f t="shared" si="519"/>
        <v>0</v>
      </c>
      <c r="AQ413" s="102" t="str">
        <f t="shared" si="519"/>
        <v>#REF!</v>
      </c>
      <c r="AR413" s="102" t="str">
        <f t="shared" si="519"/>
        <v>#REF!</v>
      </c>
      <c r="AS413" s="102" t="str">
        <f t="shared" si="519"/>
        <v>#REF!</v>
      </c>
      <c r="AT413" s="102" t="str">
        <f t="shared" si="519"/>
        <v>#REF!</v>
      </c>
      <c r="AU413" s="102" t="str">
        <f t="shared" si="519"/>
        <v>#REF!</v>
      </c>
      <c r="AV413" s="102">
        <f t="shared" si="519"/>
        <v>0</v>
      </c>
      <c r="AW413" s="90"/>
      <c r="AX413" s="90"/>
      <c r="AY413" s="90"/>
      <c r="AZ413" s="90"/>
      <c r="BA413" s="90"/>
      <c r="BB413" s="90"/>
      <c r="BC413" s="90"/>
      <c r="BD413" s="90"/>
      <c r="BE413" s="90"/>
      <c r="BF413" s="90"/>
      <c r="BG413" s="90"/>
      <c r="BH413" s="90"/>
      <c r="BI413" s="90"/>
      <c r="BJ413" s="90"/>
      <c r="BK413" s="90"/>
      <c r="BL413" s="90"/>
      <c r="BM413" s="90"/>
      <c r="BN413" s="90"/>
      <c r="BO413" s="90"/>
      <c r="BP413" s="90"/>
    </row>
    <row r="414" ht="12.75" customHeight="1" outlineLevel="1">
      <c r="A414" s="90" t="s">
        <v>289</v>
      </c>
      <c r="C414" s="102"/>
      <c r="D414" s="102">
        <f>OFFSET(RSGen_Walton!$H$459,0,ROW('All Schools Roll-up'!C414)-ROW('All Schools Roll-up'!$C$412))+OFFSET(RSGen_Walton!$H$464,0,ROW('All Schools Roll-up'!C414)-ROW('All Schools Roll-up'!$C$412))</f>
        <v>0</v>
      </c>
      <c r="E414" s="102">
        <f>OFFSET(RSGen_none!$H$459,0,ROW('All Schools Roll-up'!D414)-ROW('All Schools Roll-up'!$C$412))+OFFSET(RSGen_none!$H$464,0,ROW('All Schools Roll-up'!D414)-ROW('All Schools Roll-up'!$C$412))</f>
        <v>0</v>
      </c>
      <c r="F414" s="102"/>
      <c r="G414" s="102"/>
      <c r="H414" s="313"/>
      <c r="I414" s="313"/>
      <c r="J414" s="313"/>
      <c r="K414" s="306"/>
      <c r="L414" s="306"/>
      <c r="M414" s="306"/>
      <c r="N414" s="306"/>
      <c r="O414" s="102">
        <f t="shared" ref="O414:AL414" si="520">(MAX(0,MIN(O9,SUM(O9:O$15)-$E$4))*$E414+MAX(0,MIN(O9,$D$4-SUM(O10:O$15)))*$C414+(O9-(MAX(0,MIN(O9,SUM(O9:O$15)-$E$4))+MAX(0,MIN(O9,$D$4-SUM(O10:O$15)))))*$D414)</f>
        <v>0</v>
      </c>
      <c r="P414" s="102">
        <f t="shared" si="520"/>
        <v>0</v>
      </c>
      <c r="Q414" s="102">
        <f t="shared" si="520"/>
        <v>0</v>
      </c>
      <c r="R414" s="102">
        <f t="shared" si="520"/>
        <v>0</v>
      </c>
      <c r="S414" s="102">
        <f t="shared" si="520"/>
        <v>0</v>
      </c>
      <c r="T414" s="102">
        <f t="shared" si="520"/>
        <v>0</v>
      </c>
      <c r="U414" s="102">
        <f t="shared" si="520"/>
        <v>0</v>
      </c>
      <c r="V414" s="102">
        <f t="shared" si="520"/>
        <v>0</v>
      </c>
      <c r="W414" s="102">
        <f t="shared" si="520"/>
        <v>0</v>
      </c>
      <c r="X414" s="102">
        <f t="shared" si="520"/>
        <v>0</v>
      </c>
      <c r="Y414" s="102">
        <f t="shared" si="520"/>
        <v>0</v>
      </c>
      <c r="Z414" s="102">
        <f t="shared" si="520"/>
        <v>0</v>
      </c>
      <c r="AA414" s="102">
        <f t="shared" si="520"/>
        <v>0</v>
      </c>
      <c r="AB414" s="102">
        <f t="shared" si="520"/>
        <v>0</v>
      </c>
      <c r="AC414" s="102">
        <f t="shared" si="520"/>
        <v>0</v>
      </c>
      <c r="AD414" s="102">
        <f t="shared" si="520"/>
        <v>0</v>
      </c>
      <c r="AE414" s="102">
        <f t="shared" si="520"/>
        <v>0</v>
      </c>
      <c r="AF414" s="102">
        <f t="shared" si="520"/>
        <v>0</v>
      </c>
      <c r="AG414" s="102">
        <f t="shared" si="520"/>
        <v>0</v>
      </c>
      <c r="AH414" s="102">
        <f t="shared" si="520"/>
        <v>0</v>
      </c>
      <c r="AI414" s="102">
        <f t="shared" si="520"/>
        <v>0</v>
      </c>
      <c r="AJ414" s="102">
        <f t="shared" si="520"/>
        <v>0</v>
      </c>
      <c r="AK414" s="102">
        <f t="shared" si="520"/>
        <v>0</v>
      </c>
      <c r="AL414" s="102">
        <f t="shared" si="520"/>
        <v>0</v>
      </c>
      <c r="AM414" s="102">
        <f t="shared" ref="AM414:AV414" si="521">$D414*AM$9</f>
        <v>0</v>
      </c>
      <c r="AN414" s="102">
        <f t="shared" si="521"/>
        <v>0</v>
      </c>
      <c r="AO414" s="102">
        <f t="shared" si="521"/>
        <v>0</v>
      </c>
      <c r="AP414" s="102">
        <f t="shared" si="521"/>
        <v>0</v>
      </c>
      <c r="AQ414" s="102">
        <f t="shared" si="521"/>
        <v>0</v>
      </c>
      <c r="AR414" s="102" t="str">
        <f t="shared" si="521"/>
        <v>#REF!</v>
      </c>
      <c r="AS414" s="102" t="str">
        <f t="shared" si="521"/>
        <v>#REF!</v>
      </c>
      <c r="AT414" s="102" t="str">
        <f t="shared" si="521"/>
        <v>#REF!</v>
      </c>
      <c r="AU414" s="102" t="str">
        <f t="shared" si="521"/>
        <v>#REF!</v>
      </c>
      <c r="AV414" s="102" t="str">
        <f t="shared" si="521"/>
        <v>#REF!</v>
      </c>
      <c r="AW414" s="90"/>
      <c r="AX414" s="90"/>
      <c r="AY414" s="90"/>
      <c r="AZ414" s="90"/>
      <c r="BA414" s="90"/>
      <c r="BB414" s="90"/>
      <c r="BC414" s="90"/>
      <c r="BD414" s="90"/>
      <c r="BE414" s="90"/>
      <c r="BF414" s="90"/>
      <c r="BG414" s="90"/>
      <c r="BH414" s="90"/>
      <c r="BI414" s="90"/>
      <c r="BJ414" s="90"/>
      <c r="BK414" s="90"/>
      <c r="BL414" s="90"/>
      <c r="BM414" s="90"/>
      <c r="BN414" s="90"/>
      <c r="BO414" s="90"/>
      <c r="BP414" s="90"/>
    </row>
    <row r="415" ht="12.75" customHeight="1" outlineLevel="1">
      <c r="A415" s="90" t="s">
        <v>290</v>
      </c>
      <c r="C415" s="102"/>
      <c r="D415" s="102">
        <f>OFFSET(RSGen_Walton!$H$459,0,ROW('All Schools Roll-up'!C415)-ROW('All Schools Roll-up'!$C$412))+OFFSET(RSGen_Walton!$H$464,0,ROW('All Schools Roll-up'!C415)-ROW('All Schools Roll-up'!$C$412))</f>
        <v>50000</v>
      </c>
      <c r="E415" s="102">
        <f>OFFSET(RSGen_none!$H$459,0,ROW('All Schools Roll-up'!D415)-ROW('All Schools Roll-up'!$C$412))+OFFSET(RSGen_none!$H$464,0,ROW('All Schools Roll-up'!D415)-ROW('All Schools Roll-up'!$C$412))</f>
        <v>177051.6847</v>
      </c>
      <c r="F415" s="102"/>
      <c r="G415" s="102"/>
      <c r="H415" s="313"/>
      <c r="I415" s="313"/>
      <c r="J415" s="313"/>
      <c r="K415" s="306"/>
      <c r="L415" s="306"/>
      <c r="M415" s="306"/>
      <c r="N415" s="306"/>
      <c r="O415" s="306"/>
      <c r="P415" s="102">
        <f t="shared" ref="P415:AL415" si="522">(MAX(0,MIN(P10,SUM(P10:P$15)-$E$4))*$E415+MAX(0,MIN(P10,$D$4-SUM(P11:P$15)))*$C415+(P10-(MAX(0,MIN(P10,SUM(P10:P$15)-$E$4))+MAX(0,MIN(P10,$D$4-SUM(P11:P$15)))))*$D415)</f>
        <v>0</v>
      </c>
      <c r="Q415" s="102">
        <f t="shared" si="522"/>
        <v>50000</v>
      </c>
      <c r="R415" s="102">
        <f t="shared" si="522"/>
        <v>250000</v>
      </c>
      <c r="S415" s="102">
        <f t="shared" si="522"/>
        <v>400000</v>
      </c>
      <c r="T415" s="102">
        <f t="shared" si="522"/>
        <v>650000</v>
      </c>
      <c r="U415" s="102">
        <f t="shared" si="522"/>
        <v>1100000</v>
      </c>
      <c r="V415" s="102">
        <f t="shared" si="522"/>
        <v>1700000</v>
      </c>
      <c r="W415" s="102">
        <f t="shared" si="522"/>
        <v>6696808.965</v>
      </c>
      <c r="X415" s="102">
        <f t="shared" si="522"/>
        <v>7967325.812</v>
      </c>
      <c r="Y415" s="102">
        <f t="shared" si="522"/>
        <v>11685411.19</v>
      </c>
      <c r="Z415" s="102">
        <f t="shared" si="522"/>
        <v>14164134.78</v>
      </c>
      <c r="AA415" s="102">
        <f t="shared" si="522"/>
        <v>25141339.23</v>
      </c>
      <c r="AB415" s="102">
        <f t="shared" si="522"/>
        <v>34170975.15</v>
      </c>
      <c r="AC415" s="102">
        <f t="shared" si="522"/>
        <v>42846507.7</v>
      </c>
      <c r="AD415" s="102">
        <f t="shared" si="522"/>
        <v>48335109.93</v>
      </c>
      <c r="AE415" s="102">
        <f t="shared" si="522"/>
        <v>57364745.85</v>
      </c>
      <c r="AF415" s="102">
        <f t="shared" si="522"/>
        <v>61968089.65</v>
      </c>
      <c r="AG415" s="102">
        <f t="shared" si="522"/>
        <v>61082831.22</v>
      </c>
      <c r="AH415" s="102">
        <f t="shared" si="522"/>
        <v>48158058.24</v>
      </c>
      <c r="AI415" s="102">
        <f t="shared" si="522"/>
        <v>5842705.595</v>
      </c>
      <c r="AJ415" s="102">
        <f t="shared" si="522"/>
        <v>0</v>
      </c>
      <c r="AK415" s="102">
        <f t="shared" si="522"/>
        <v>0</v>
      </c>
      <c r="AL415" s="102">
        <f t="shared" si="522"/>
        <v>0</v>
      </c>
      <c r="AM415" s="102">
        <f t="shared" ref="AM415:AV415" si="523">$D415*AM$10</f>
        <v>0</v>
      </c>
      <c r="AN415" s="102">
        <f t="shared" si="523"/>
        <v>0</v>
      </c>
      <c r="AO415" s="102">
        <f t="shared" si="523"/>
        <v>0</v>
      </c>
      <c r="AP415" s="102">
        <f t="shared" si="523"/>
        <v>0</v>
      </c>
      <c r="AQ415" s="102">
        <f t="shared" si="523"/>
        <v>0</v>
      </c>
      <c r="AR415" s="102">
        <f t="shared" si="523"/>
        <v>0</v>
      </c>
      <c r="AS415" s="102" t="str">
        <f t="shared" si="523"/>
        <v>#REF!</v>
      </c>
      <c r="AT415" s="102" t="str">
        <f t="shared" si="523"/>
        <v>#REF!</v>
      </c>
      <c r="AU415" s="102" t="str">
        <f t="shared" si="523"/>
        <v>#REF!</v>
      </c>
      <c r="AV415" s="102" t="str">
        <f t="shared" si="523"/>
        <v>#REF!</v>
      </c>
      <c r="AW415" s="90"/>
      <c r="AX415" s="90"/>
      <c r="AY415" s="90"/>
      <c r="AZ415" s="90"/>
      <c r="BA415" s="90"/>
      <c r="BB415" s="90"/>
      <c r="BC415" s="90"/>
      <c r="BD415" s="90"/>
      <c r="BE415" s="90"/>
      <c r="BF415" s="90"/>
      <c r="BG415" s="90"/>
      <c r="BH415" s="90"/>
      <c r="BI415" s="90"/>
      <c r="BJ415" s="90"/>
      <c r="BK415" s="90"/>
      <c r="BL415" s="90"/>
      <c r="BM415" s="90"/>
      <c r="BN415" s="90"/>
      <c r="BO415" s="90"/>
      <c r="BP415" s="90"/>
    </row>
    <row r="416" ht="12.75" customHeight="1" outlineLevel="1">
      <c r="A416" s="90" t="s">
        <v>291</v>
      </c>
      <c r="C416" s="102"/>
      <c r="D416" s="102">
        <f>OFFSET(RSGen_Walton!$H$459,0,ROW('All Schools Roll-up'!C416)-ROW('All Schools Roll-up'!$C$412))+OFFSET(RSGen_Walton!$H$464,0,ROW('All Schools Roll-up'!C416)-ROW('All Schools Roll-up'!$C$412))</f>
        <v>25000</v>
      </c>
      <c r="E416" s="102">
        <f>OFFSET(RSGen_none!$H$459,0,ROW('All Schools Roll-up'!D416)-ROW('All Schools Roll-up'!$C$412))+OFFSET(RSGen_none!$H$464,0,ROW('All Schools Roll-up'!D416)-ROW('All Schools Roll-up'!$C$412))</f>
        <v>0</v>
      </c>
      <c r="F416" s="102"/>
      <c r="G416" s="102"/>
      <c r="H416" s="313"/>
      <c r="I416" s="313"/>
      <c r="J416" s="313"/>
      <c r="K416" s="306"/>
      <c r="L416" s="306"/>
      <c r="M416" s="306"/>
      <c r="N416" s="306"/>
      <c r="O416" s="306"/>
      <c r="P416" s="306"/>
      <c r="Q416" s="102">
        <f t="shared" ref="Q416:AL416" si="524">(MAX(0,MIN(Q11,SUM(Q11:Q$15)-$E$4))*$E416+MAX(0,MIN(Q11,$D$4-SUM(Q12:Q$15)))*$C416+(Q11-(MAX(0,MIN(Q11,SUM(Q11:Q$15)-$E$4))+MAX(0,MIN(Q11,$D$4-SUM(Q12:Q$15)))))*$D416)</f>
        <v>0</v>
      </c>
      <c r="R416" s="102">
        <f t="shared" si="524"/>
        <v>25000</v>
      </c>
      <c r="S416" s="102">
        <f t="shared" si="524"/>
        <v>125000</v>
      </c>
      <c r="T416" s="102">
        <f t="shared" si="524"/>
        <v>200000</v>
      </c>
      <c r="U416" s="102">
        <f t="shared" si="524"/>
        <v>325000</v>
      </c>
      <c r="V416" s="102">
        <f t="shared" si="524"/>
        <v>550000</v>
      </c>
      <c r="W416" s="102">
        <f t="shared" si="524"/>
        <v>850000</v>
      </c>
      <c r="X416" s="102">
        <f t="shared" si="524"/>
        <v>250000</v>
      </c>
      <c r="Y416" s="102">
        <f t="shared" si="524"/>
        <v>0</v>
      </c>
      <c r="Z416" s="102">
        <f t="shared" si="524"/>
        <v>0</v>
      </c>
      <c r="AA416" s="102">
        <f t="shared" si="524"/>
        <v>0</v>
      </c>
      <c r="AB416" s="102">
        <f t="shared" si="524"/>
        <v>0</v>
      </c>
      <c r="AC416" s="102">
        <f t="shared" si="524"/>
        <v>0</v>
      </c>
      <c r="AD416" s="102">
        <f t="shared" si="524"/>
        <v>0</v>
      </c>
      <c r="AE416" s="102">
        <f t="shared" si="524"/>
        <v>0</v>
      </c>
      <c r="AF416" s="102">
        <f t="shared" si="524"/>
        <v>0</v>
      </c>
      <c r="AG416" s="102">
        <f t="shared" si="524"/>
        <v>0</v>
      </c>
      <c r="AH416" s="102">
        <f t="shared" si="524"/>
        <v>0</v>
      </c>
      <c r="AI416" s="102">
        <f t="shared" si="524"/>
        <v>0</v>
      </c>
      <c r="AJ416" s="102">
        <f t="shared" si="524"/>
        <v>0</v>
      </c>
      <c r="AK416" s="102">
        <f t="shared" si="524"/>
        <v>0</v>
      </c>
      <c r="AL416" s="102">
        <f t="shared" si="524"/>
        <v>0</v>
      </c>
      <c r="AM416" s="102">
        <f t="shared" ref="AM416:AV416" si="525">$D416*AM$11</f>
        <v>0</v>
      </c>
      <c r="AN416" s="102">
        <f t="shared" si="525"/>
        <v>0</v>
      </c>
      <c r="AO416" s="102">
        <f t="shared" si="525"/>
        <v>0</v>
      </c>
      <c r="AP416" s="102">
        <f t="shared" si="525"/>
        <v>0</v>
      </c>
      <c r="AQ416" s="102">
        <f t="shared" si="525"/>
        <v>0</v>
      </c>
      <c r="AR416" s="102">
        <f t="shared" si="525"/>
        <v>0</v>
      </c>
      <c r="AS416" s="102">
        <f t="shared" si="525"/>
        <v>0</v>
      </c>
      <c r="AT416" s="102" t="str">
        <f t="shared" si="525"/>
        <v>#REF!</v>
      </c>
      <c r="AU416" s="102" t="str">
        <f t="shared" si="525"/>
        <v>#REF!</v>
      </c>
      <c r="AV416" s="102" t="str">
        <f t="shared" si="525"/>
        <v>#REF!</v>
      </c>
      <c r="AW416" s="90"/>
      <c r="AX416" s="90"/>
      <c r="AY416" s="90"/>
      <c r="AZ416" s="90"/>
      <c r="BA416" s="90"/>
      <c r="BB416" s="90"/>
      <c r="BC416" s="90"/>
      <c r="BD416" s="90"/>
      <c r="BE416" s="90"/>
      <c r="BF416" s="90"/>
      <c r="BG416" s="90"/>
      <c r="BH416" s="90"/>
      <c r="BI416" s="90"/>
      <c r="BJ416" s="90"/>
      <c r="BK416" s="90"/>
      <c r="BL416" s="90"/>
      <c r="BM416" s="90"/>
      <c r="BN416" s="90"/>
      <c r="BO416" s="90"/>
      <c r="BP416" s="90"/>
    </row>
    <row r="417" ht="12.75" customHeight="1" outlineLevel="1">
      <c r="A417" s="90" t="s">
        <v>292</v>
      </c>
      <c r="C417" s="102"/>
      <c r="D417" s="102">
        <f>OFFSET(RSGen_Walton!$H$459,0,ROW('All Schools Roll-up'!C417)-ROW('All Schools Roll-up'!$C$412))+OFFSET(RSGen_Walton!$H$464,0,ROW('All Schools Roll-up'!C417)-ROW('All Schools Roll-up'!$C$412))</f>
        <v>50000</v>
      </c>
      <c r="E417" s="102">
        <f>OFFSET(RSGen_none!$H$459,0,ROW('All Schools Roll-up'!D417)-ROW('All Schools Roll-up'!$C$412))+OFFSET(RSGen_none!$H$464,0,ROW('All Schools Roll-up'!D417)-ROW('All Schools Roll-up'!$C$412))</f>
        <v>0</v>
      </c>
      <c r="F417" s="102"/>
      <c r="G417" s="102"/>
      <c r="H417" s="313"/>
      <c r="I417" s="313"/>
      <c r="J417" s="313"/>
      <c r="K417" s="306"/>
      <c r="L417" s="306"/>
      <c r="M417" s="306"/>
      <c r="N417" s="306"/>
      <c r="O417" s="306"/>
      <c r="P417" s="306"/>
      <c r="Q417" s="306"/>
      <c r="R417" s="102">
        <f t="shared" ref="R417:AL417" si="526">(MAX(0,MIN(R12,SUM(R12:R$15)-$E$4))*$E417+MAX(0,MIN(R12,$D$4-SUM(R13:R$15)))*$C417+(R12-(MAX(0,MIN(R12,SUM(R12:R$15)-$E$4))+MAX(0,MIN(R12,$D$4-SUM(R13:R$15)))))*$D417)</f>
        <v>0</v>
      </c>
      <c r="S417" s="102">
        <f t="shared" si="526"/>
        <v>50000</v>
      </c>
      <c r="T417" s="102">
        <f t="shared" si="526"/>
        <v>250000</v>
      </c>
      <c r="U417" s="102">
        <f t="shared" si="526"/>
        <v>400000</v>
      </c>
      <c r="V417" s="102">
        <f t="shared" si="526"/>
        <v>650000</v>
      </c>
      <c r="W417" s="102">
        <f t="shared" si="526"/>
        <v>1100000</v>
      </c>
      <c r="X417" s="102">
        <f t="shared" si="526"/>
        <v>1700000</v>
      </c>
      <c r="Y417" s="102">
        <f t="shared" si="526"/>
        <v>500000</v>
      </c>
      <c r="Z417" s="102">
        <f t="shared" si="526"/>
        <v>0</v>
      </c>
      <c r="AA417" s="102">
        <f t="shared" si="526"/>
        <v>0</v>
      </c>
      <c r="AB417" s="102">
        <f t="shared" si="526"/>
        <v>0</v>
      </c>
      <c r="AC417" s="102">
        <f t="shared" si="526"/>
        <v>0</v>
      </c>
      <c r="AD417" s="102">
        <f t="shared" si="526"/>
        <v>0</v>
      </c>
      <c r="AE417" s="102">
        <f t="shared" si="526"/>
        <v>0</v>
      </c>
      <c r="AF417" s="102">
        <f t="shared" si="526"/>
        <v>0</v>
      </c>
      <c r="AG417" s="102">
        <f t="shared" si="526"/>
        <v>0</v>
      </c>
      <c r="AH417" s="102">
        <f t="shared" si="526"/>
        <v>0</v>
      </c>
      <c r="AI417" s="102">
        <f t="shared" si="526"/>
        <v>0</v>
      </c>
      <c r="AJ417" s="102">
        <f t="shared" si="526"/>
        <v>0</v>
      </c>
      <c r="AK417" s="102">
        <f t="shared" si="526"/>
        <v>0</v>
      </c>
      <c r="AL417" s="102">
        <f t="shared" si="526"/>
        <v>0</v>
      </c>
      <c r="AM417" s="102">
        <f t="shared" ref="AM417:AV417" si="527">$D417*AM$12</f>
        <v>0</v>
      </c>
      <c r="AN417" s="102">
        <f t="shared" si="527"/>
        <v>0</v>
      </c>
      <c r="AO417" s="102">
        <f t="shared" si="527"/>
        <v>0</v>
      </c>
      <c r="AP417" s="102">
        <f t="shared" si="527"/>
        <v>0</v>
      </c>
      <c r="AQ417" s="102">
        <f t="shared" si="527"/>
        <v>0</v>
      </c>
      <c r="AR417" s="102">
        <f t="shared" si="527"/>
        <v>0</v>
      </c>
      <c r="AS417" s="102">
        <f t="shared" si="527"/>
        <v>0</v>
      </c>
      <c r="AT417" s="102">
        <f t="shared" si="527"/>
        <v>0</v>
      </c>
      <c r="AU417" s="102" t="str">
        <f t="shared" si="527"/>
        <v>#REF!</v>
      </c>
      <c r="AV417" s="102" t="str">
        <f t="shared" si="527"/>
        <v>#REF!</v>
      </c>
      <c r="AW417" s="90"/>
      <c r="AX417" s="90"/>
      <c r="AY417" s="90"/>
      <c r="AZ417" s="90"/>
      <c r="BA417" s="90"/>
      <c r="BB417" s="90"/>
      <c r="BC417" s="90"/>
      <c r="BD417" s="90"/>
      <c r="BE417" s="90"/>
      <c r="BF417" s="90"/>
      <c r="BG417" s="90"/>
      <c r="BH417" s="90"/>
      <c r="BI417" s="90"/>
      <c r="BJ417" s="90"/>
      <c r="BK417" s="90"/>
      <c r="BL417" s="90"/>
      <c r="BM417" s="90"/>
      <c r="BN417" s="90"/>
      <c r="BO417" s="90"/>
      <c r="BP417" s="90"/>
    </row>
    <row r="418" ht="12.75" customHeight="1" outlineLevel="1">
      <c r="A418" s="90" t="s">
        <v>293</v>
      </c>
      <c r="C418" s="102"/>
      <c r="D418" s="102">
        <f>OFFSET(RSGen_Walton!$H$459,0,ROW('All Schools Roll-up'!C418)-ROW('All Schools Roll-up'!$C$412))+OFFSET(RSGen_Walton!$H$464,0,ROW('All Schools Roll-up'!C418)-ROW('All Schools Roll-up'!$C$412))</f>
        <v>0</v>
      </c>
      <c r="E418" s="102">
        <f>OFFSET(RSGen_none!$H$459,0,ROW('All Schools Roll-up'!D418)-ROW('All Schools Roll-up'!$C$412))+OFFSET(RSGen_none!$H$464,0,ROW('All Schools Roll-up'!D418)-ROW('All Schools Roll-up'!$C$412))</f>
        <v>0</v>
      </c>
      <c r="F418" s="102"/>
      <c r="G418" s="102"/>
      <c r="H418" s="313"/>
      <c r="I418" s="313"/>
      <c r="J418" s="313"/>
      <c r="K418" s="306"/>
      <c r="L418" s="306"/>
      <c r="M418" s="306"/>
      <c r="N418" s="306"/>
      <c r="O418" s="306"/>
      <c r="P418" s="306"/>
      <c r="Q418" s="306"/>
      <c r="R418" s="306"/>
      <c r="S418" s="102">
        <f t="shared" ref="S418:AL418" si="528">(MAX(0,MIN(S13,SUM(S13:S$15)-$E$4))*$E418+MAX(0,MIN(S13,$D$4-SUM(S14:S$15)))*$C418+(S13-(MAX(0,MIN(S13,SUM(S13:S$15)-$E$4))+MAX(0,MIN(S13,$D$4-SUM(S14:S$15)))))*$D418)</f>
        <v>0</v>
      </c>
      <c r="T418" s="102">
        <f t="shared" si="528"/>
        <v>0</v>
      </c>
      <c r="U418" s="102">
        <f t="shared" si="528"/>
        <v>0</v>
      </c>
      <c r="V418" s="102">
        <f t="shared" si="528"/>
        <v>0</v>
      </c>
      <c r="W418" s="102">
        <f t="shared" si="528"/>
        <v>0</v>
      </c>
      <c r="X418" s="102">
        <f t="shared" si="528"/>
        <v>0</v>
      </c>
      <c r="Y418" s="102">
        <f t="shared" si="528"/>
        <v>0</v>
      </c>
      <c r="Z418" s="102">
        <f t="shared" si="528"/>
        <v>0</v>
      </c>
      <c r="AA418" s="102">
        <f t="shared" si="528"/>
        <v>0</v>
      </c>
      <c r="AB418" s="102">
        <f t="shared" si="528"/>
        <v>0</v>
      </c>
      <c r="AC418" s="102">
        <f t="shared" si="528"/>
        <v>0</v>
      </c>
      <c r="AD418" s="102">
        <f t="shared" si="528"/>
        <v>0</v>
      </c>
      <c r="AE418" s="102">
        <f t="shared" si="528"/>
        <v>0</v>
      </c>
      <c r="AF418" s="102">
        <f t="shared" si="528"/>
        <v>0</v>
      </c>
      <c r="AG418" s="102">
        <f t="shared" si="528"/>
        <v>0</v>
      </c>
      <c r="AH418" s="102">
        <f t="shared" si="528"/>
        <v>0</v>
      </c>
      <c r="AI418" s="102">
        <f t="shared" si="528"/>
        <v>0</v>
      </c>
      <c r="AJ418" s="102">
        <f t="shared" si="528"/>
        <v>0</v>
      </c>
      <c r="AK418" s="102">
        <f t="shared" si="528"/>
        <v>0</v>
      </c>
      <c r="AL418" s="102">
        <f t="shared" si="528"/>
        <v>0</v>
      </c>
      <c r="AM418" s="102">
        <f t="shared" ref="AM418:AV418" si="529">$D418*AM$13</f>
        <v>0</v>
      </c>
      <c r="AN418" s="102">
        <f t="shared" si="529"/>
        <v>0</v>
      </c>
      <c r="AO418" s="102">
        <f t="shared" si="529"/>
        <v>0</v>
      </c>
      <c r="AP418" s="102">
        <f t="shared" si="529"/>
        <v>0</v>
      </c>
      <c r="AQ418" s="102">
        <f t="shared" si="529"/>
        <v>0</v>
      </c>
      <c r="AR418" s="102">
        <f t="shared" si="529"/>
        <v>0</v>
      </c>
      <c r="AS418" s="102">
        <f t="shared" si="529"/>
        <v>0</v>
      </c>
      <c r="AT418" s="102">
        <f t="shared" si="529"/>
        <v>0</v>
      </c>
      <c r="AU418" s="102">
        <f t="shared" si="529"/>
        <v>0</v>
      </c>
      <c r="AV418" s="102" t="str">
        <f t="shared" si="529"/>
        <v>#REF!</v>
      </c>
      <c r="AW418" s="90"/>
      <c r="AX418" s="90"/>
      <c r="AY418" s="90"/>
      <c r="AZ418" s="90"/>
      <c r="BA418" s="90"/>
      <c r="BB418" s="90"/>
      <c r="BC418" s="90"/>
      <c r="BD418" s="90"/>
      <c r="BE418" s="90"/>
      <c r="BF418" s="90"/>
      <c r="BG418" s="90"/>
      <c r="BH418" s="90"/>
      <c r="BI418" s="90"/>
      <c r="BJ418" s="90"/>
      <c r="BK418" s="90"/>
      <c r="BL418" s="90"/>
      <c r="BM418" s="90"/>
      <c r="BN418" s="90"/>
      <c r="BO418" s="90"/>
      <c r="BP418" s="90"/>
    </row>
    <row r="419" ht="12.75" customHeight="1" outlineLevel="1">
      <c r="A419" s="90" t="s">
        <v>294</v>
      </c>
      <c r="C419" s="102"/>
      <c r="D419" s="102">
        <f>OFFSET(RSGen_Walton!$H$459,0,ROW('All Schools Roll-up'!C419)-ROW('All Schools Roll-up'!$C$412))+OFFSET(RSGen_Walton!$H$464,0,ROW('All Schools Roll-up'!C419)-ROW('All Schools Roll-up'!$C$412))</f>
        <v>-125000</v>
      </c>
      <c r="E419" s="102">
        <f>OFFSET(RSGen_none!$H$459,0,ROW('All Schools Roll-up'!D419)-ROW('All Schools Roll-up'!$C$412))+OFFSET(RSGen_none!$H$464,0,ROW('All Schools Roll-up'!D419)-ROW('All Schools Roll-up'!$C$412))</f>
        <v>-154232.1687</v>
      </c>
      <c r="F419" s="102"/>
      <c r="G419" s="102"/>
      <c r="H419" s="313"/>
      <c r="I419" s="313"/>
      <c r="J419" s="313"/>
      <c r="K419" s="306"/>
      <c r="L419" s="306"/>
      <c r="M419" s="306"/>
      <c r="N419" s="306"/>
      <c r="O419" s="306"/>
      <c r="P419" s="306"/>
      <c r="Q419" s="306"/>
      <c r="R419" s="306"/>
      <c r="S419" s="306"/>
      <c r="T419" s="102">
        <f t="shared" ref="T419:AL419" si="530">(MAX(0,MIN(T14,SUM(T14:T$15)-$E$4))*$E419+MAX(0,MIN(T14,$D$4-SUM(T$15:T15)))*$C419+(T14-(MAX(0,MIN(T14,SUM(T14:T$15)-$E$4))+MAX(0,MIN(T14,$D$4-SUM(T$15:T15)))))*$D419)</f>
        <v>0</v>
      </c>
      <c r="U419" s="102">
        <f t="shared" si="530"/>
        <v>-125000</v>
      </c>
      <c r="V419" s="102">
        <f t="shared" si="530"/>
        <v>-625000</v>
      </c>
      <c r="W419" s="102">
        <f t="shared" si="530"/>
        <v>-1000000</v>
      </c>
      <c r="X419" s="102">
        <f t="shared" si="530"/>
        <v>-1625000</v>
      </c>
      <c r="Y419" s="102">
        <f t="shared" si="530"/>
        <v>-2750000</v>
      </c>
      <c r="Z419" s="102">
        <f t="shared" si="530"/>
        <v>-4250000</v>
      </c>
      <c r="AA419" s="102">
        <f t="shared" si="530"/>
        <v>-6648125.903</v>
      </c>
      <c r="AB419" s="102">
        <f t="shared" si="530"/>
        <v>-6940447.589</v>
      </c>
      <c r="AC419" s="102">
        <f t="shared" si="530"/>
        <v>-10179323.13</v>
      </c>
      <c r="AD419" s="102">
        <f t="shared" si="530"/>
        <v>-12338573.49</v>
      </c>
      <c r="AE419" s="102">
        <f t="shared" si="530"/>
        <v>-21900967.95</v>
      </c>
      <c r="AF419" s="102">
        <f t="shared" si="530"/>
        <v>-29766808.55</v>
      </c>
      <c r="AG419" s="102">
        <f t="shared" si="530"/>
        <v>-37324184.81</v>
      </c>
      <c r="AH419" s="102">
        <f t="shared" si="530"/>
        <v>-42105382.04</v>
      </c>
      <c r="AI419" s="102">
        <f t="shared" si="530"/>
        <v>-49971222.64</v>
      </c>
      <c r="AJ419" s="102">
        <f t="shared" si="530"/>
        <v>-53981259.03</v>
      </c>
      <c r="AK419" s="102">
        <f t="shared" si="530"/>
        <v>-53210098.18</v>
      </c>
      <c r="AL419" s="102">
        <f t="shared" si="530"/>
        <v>-41951149.87</v>
      </c>
      <c r="AM419" s="102">
        <f t="shared" ref="AM419:AV419" si="531">$D419*AM$14</f>
        <v>-4125000</v>
      </c>
      <c r="AN419" s="102">
        <f t="shared" si="531"/>
        <v>0</v>
      </c>
      <c r="AO419" s="102">
        <f t="shared" si="531"/>
        <v>0</v>
      </c>
      <c r="AP419" s="102">
        <f t="shared" si="531"/>
        <v>0</v>
      </c>
      <c r="AQ419" s="102">
        <f t="shared" si="531"/>
        <v>0</v>
      </c>
      <c r="AR419" s="102">
        <f t="shared" si="531"/>
        <v>0</v>
      </c>
      <c r="AS419" s="102">
        <f t="shared" si="531"/>
        <v>0</v>
      </c>
      <c r="AT419" s="102">
        <f t="shared" si="531"/>
        <v>0</v>
      </c>
      <c r="AU419" s="102">
        <f t="shared" si="531"/>
        <v>0</v>
      </c>
      <c r="AV419" s="102">
        <f t="shared" si="531"/>
        <v>0</v>
      </c>
      <c r="AW419" s="90"/>
      <c r="AX419" s="90"/>
      <c r="AY419" s="90"/>
      <c r="AZ419" s="90"/>
      <c r="BA419" s="90"/>
      <c r="BB419" s="90"/>
      <c r="BC419" s="90"/>
      <c r="BD419" s="90"/>
      <c r="BE419" s="90"/>
      <c r="BF419" s="90"/>
      <c r="BG419" s="90"/>
      <c r="BH419" s="90"/>
      <c r="BI419" s="90"/>
      <c r="BJ419" s="90"/>
      <c r="BK419" s="90"/>
      <c r="BL419" s="90"/>
      <c r="BM419" s="90"/>
      <c r="BN419" s="90"/>
      <c r="BO419" s="90"/>
      <c r="BP419" s="90"/>
    </row>
    <row r="420" ht="12.75" customHeight="1" outlineLevel="1">
      <c r="A420" s="90" t="s">
        <v>295</v>
      </c>
      <c r="C420" s="102"/>
      <c r="D420" s="102">
        <f>OFFSET(RSGen_Walton!$H$459,0,ROW('All Schools Roll-up'!C420)-ROW('All Schools Roll-up'!$C$412))+OFFSET(RSGen_Walton!$H$464,0,ROW('All Schools Roll-up'!C420)-ROW('All Schools Roll-up'!$C$412))</f>
        <v>0</v>
      </c>
      <c r="E420" s="102">
        <f>OFFSET(RSGen_none!$H$459,0,ROW('All Schools Roll-up'!D420)-ROW('All Schools Roll-up'!$C$412))+OFFSET(RSGen_none!$H$464,0,ROW('All Schools Roll-up'!D420)-ROW('All Schools Roll-up'!$C$412))</f>
        <v>-4456.92162</v>
      </c>
      <c r="F420" s="102"/>
      <c r="G420" s="102"/>
      <c r="H420" s="313"/>
      <c r="I420" s="313"/>
      <c r="J420" s="313"/>
      <c r="K420" s="306"/>
      <c r="L420" s="306"/>
      <c r="M420" s="306"/>
      <c r="N420" s="306"/>
      <c r="O420" s="306"/>
      <c r="P420" s="306"/>
      <c r="Q420" s="306"/>
      <c r="R420" s="306"/>
      <c r="S420" s="306"/>
      <c r="T420" s="306"/>
      <c r="U420" s="102">
        <f t="shared" ref="U420:AL420" si="532">($C420*MIN($D$4-3,U15-3)+$D420*MIN($E$4-$D$4,MAX(0,U15-$D$4))+$E420*MAX(0,U15-$E$4))</f>
        <v>0</v>
      </c>
      <c r="V420" s="102">
        <f t="shared" si="532"/>
        <v>0</v>
      </c>
      <c r="W420" s="102">
        <f t="shared" si="532"/>
        <v>0</v>
      </c>
      <c r="X420" s="102">
        <f t="shared" si="532"/>
        <v>0</v>
      </c>
      <c r="Y420" s="102">
        <f t="shared" si="532"/>
        <v>0</v>
      </c>
      <c r="Z420" s="102">
        <f t="shared" si="532"/>
        <v>0</v>
      </c>
      <c r="AA420" s="102">
        <f t="shared" si="532"/>
        <v>0</v>
      </c>
      <c r="AB420" s="102">
        <f t="shared" si="532"/>
        <v>-155992.2567</v>
      </c>
      <c r="AC420" s="102">
        <f t="shared" si="532"/>
        <v>-356553.7296</v>
      </c>
      <c r="AD420" s="102">
        <f t="shared" si="532"/>
        <v>-650710.5566</v>
      </c>
      <c r="AE420" s="102">
        <f t="shared" si="532"/>
        <v>-1007264.286</v>
      </c>
      <c r="AF420" s="102">
        <f t="shared" si="532"/>
        <v>-1640147.156</v>
      </c>
      <c r="AG420" s="102">
        <f t="shared" si="532"/>
        <v>-2500333.029</v>
      </c>
      <c r="AH420" s="102">
        <f t="shared" si="532"/>
        <v>-3578908.061</v>
      </c>
      <c r="AI420" s="102">
        <f t="shared" si="532"/>
        <v>-4795647.663</v>
      </c>
      <c r="AJ420" s="102">
        <f t="shared" si="532"/>
        <v>-6239690.268</v>
      </c>
      <c r="AK420" s="102">
        <f t="shared" si="532"/>
        <v>-7799612.836</v>
      </c>
      <c r="AL420" s="102">
        <f t="shared" si="532"/>
        <v>-9337250.795</v>
      </c>
      <c r="AM420" s="102">
        <f t="shared" ref="AM420:AV420" si="533">$C420*(4)+$D420*(AM$15-7)</f>
        <v>0</v>
      </c>
      <c r="AN420" s="102">
        <f t="shared" si="533"/>
        <v>0</v>
      </c>
      <c r="AO420" s="102">
        <f t="shared" si="533"/>
        <v>0</v>
      </c>
      <c r="AP420" s="102">
        <f t="shared" si="533"/>
        <v>0</v>
      </c>
      <c r="AQ420" s="102">
        <f t="shared" si="533"/>
        <v>0</v>
      </c>
      <c r="AR420" s="102">
        <f t="shared" si="533"/>
        <v>0</v>
      </c>
      <c r="AS420" s="102">
        <f t="shared" si="533"/>
        <v>0</v>
      </c>
      <c r="AT420" s="102">
        <f t="shared" si="533"/>
        <v>0</v>
      </c>
      <c r="AU420" s="102">
        <f t="shared" si="533"/>
        <v>0</v>
      </c>
      <c r="AV420" s="102">
        <f t="shared" si="533"/>
        <v>0</v>
      </c>
      <c r="AW420" s="90"/>
      <c r="AX420" s="90"/>
      <c r="AY420" s="90"/>
      <c r="AZ420" s="90"/>
      <c r="BA420" s="90"/>
      <c r="BB420" s="90"/>
      <c r="BC420" s="90"/>
      <c r="BD420" s="90"/>
      <c r="BE420" s="90"/>
      <c r="BF420" s="90"/>
      <c r="BG420" s="90"/>
      <c r="BH420" s="90"/>
      <c r="BI420" s="90"/>
      <c r="BJ420" s="90"/>
      <c r="BK420" s="90"/>
      <c r="BL420" s="90"/>
      <c r="BM420" s="90"/>
      <c r="BN420" s="90"/>
      <c r="BO420" s="90"/>
      <c r="BP420" s="90"/>
    </row>
    <row r="421" ht="13.5" customHeight="1" outlineLevel="1">
      <c r="A421" s="143" t="str">
        <f>"Total "&amp;A411</f>
        <v>Total InterCompany Loans</v>
      </c>
      <c r="B421" s="143"/>
      <c r="C421" s="309"/>
      <c r="D421" s="309"/>
      <c r="E421" s="309"/>
      <c r="F421" s="309"/>
      <c r="G421" s="309"/>
      <c r="H421" s="314"/>
      <c r="I421" s="314"/>
      <c r="J421" s="314"/>
      <c r="K421" s="311"/>
      <c r="L421" s="311"/>
      <c r="M421" s="307">
        <f t="shared" ref="M421:U421" si="534">SUM(M412:M420)*M$112</f>
        <v>0</v>
      </c>
      <c r="N421" s="307">
        <f t="shared" si="534"/>
        <v>0</v>
      </c>
      <c r="O421" s="307">
        <f t="shared" si="534"/>
        <v>0</v>
      </c>
      <c r="P421" s="307">
        <f t="shared" si="534"/>
        <v>0</v>
      </c>
      <c r="Q421" s="307">
        <f t="shared" si="534"/>
        <v>54121.608</v>
      </c>
      <c r="R421" s="307">
        <f t="shared" si="534"/>
        <v>303622.2209</v>
      </c>
      <c r="S421" s="307">
        <f t="shared" si="534"/>
        <v>647543.3911</v>
      </c>
      <c r="T421" s="307">
        <f t="shared" si="534"/>
        <v>1263554.234</v>
      </c>
      <c r="U421" s="307">
        <f t="shared" si="534"/>
        <v>1991820.948</v>
      </c>
      <c r="V421" s="307">
        <f t="shared" ref="V421:AV421" si="535">SUM(V412:V418)*V$112+SUM(V419:V420)*(R$112*$D415+$D414*Q$112)/SUM($D$414:$D$415)</f>
        <v>2775717.947</v>
      </c>
      <c r="W421" s="307">
        <f t="shared" si="535"/>
        <v>9414249.46</v>
      </c>
      <c r="X421" s="307">
        <f t="shared" si="535"/>
        <v>10464333.91</v>
      </c>
      <c r="Y421" s="307">
        <f t="shared" si="535"/>
        <v>12231984.46</v>
      </c>
      <c r="Z421" s="307">
        <f t="shared" si="535"/>
        <v>13243675.25</v>
      </c>
      <c r="AA421" s="307">
        <f t="shared" si="535"/>
        <v>25069434.81</v>
      </c>
      <c r="AB421" s="307">
        <f t="shared" si="535"/>
        <v>37166102.56</v>
      </c>
      <c r="AC421" s="307">
        <f t="shared" si="535"/>
        <v>45457033.91</v>
      </c>
      <c r="AD421" s="307">
        <f t="shared" si="535"/>
        <v>50877798.95</v>
      </c>
      <c r="AE421" s="307">
        <f t="shared" si="535"/>
        <v>51704057.06</v>
      </c>
      <c r="AF421" s="307">
        <f t="shared" si="535"/>
        <v>48006178.05</v>
      </c>
      <c r="AG421" s="307">
        <f t="shared" si="535"/>
        <v>36095345.19</v>
      </c>
      <c r="AH421" s="307">
        <f t="shared" si="535"/>
        <v>9022512.855</v>
      </c>
      <c r="AI421" s="307">
        <f t="shared" si="535"/>
        <v>-69187872.93</v>
      </c>
      <c r="AJ421" s="307">
        <f t="shared" si="535"/>
        <v>-87730551.76</v>
      </c>
      <c r="AK421" s="307">
        <f t="shared" si="535"/>
        <v>-90657221.22</v>
      </c>
      <c r="AL421" s="307">
        <f t="shared" si="535"/>
        <v>-77736102.72</v>
      </c>
      <c r="AM421" s="307">
        <f t="shared" si="535"/>
        <v>-6377166.142</v>
      </c>
      <c r="AN421" s="307">
        <f t="shared" si="535"/>
        <v>0</v>
      </c>
      <c r="AO421" s="307">
        <f t="shared" si="535"/>
        <v>0</v>
      </c>
      <c r="AP421" s="307" t="str">
        <f t="shared" si="535"/>
        <v>#REF!</v>
      </c>
      <c r="AQ421" s="307" t="str">
        <f t="shared" si="535"/>
        <v>#REF!</v>
      </c>
      <c r="AR421" s="307" t="str">
        <f t="shared" si="535"/>
        <v>#REF!</v>
      </c>
      <c r="AS421" s="307" t="str">
        <f t="shared" si="535"/>
        <v>#REF!</v>
      </c>
      <c r="AT421" s="307" t="str">
        <f t="shared" si="535"/>
        <v>#REF!</v>
      </c>
      <c r="AU421" s="307" t="str">
        <f t="shared" si="535"/>
        <v>#REF!</v>
      </c>
      <c r="AV421" s="307" t="str">
        <f t="shared" si="535"/>
        <v>#REF!</v>
      </c>
      <c r="AW421" s="90"/>
      <c r="AX421" s="90"/>
      <c r="AY421" s="90"/>
      <c r="AZ421" s="90"/>
      <c r="BA421" s="90"/>
      <c r="BB421" s="90"/>
      <c r="BC421" s="90"/>
      <c r="BD421" s="90"/>
      <c r="BE421" s="90"/>
      <c r="BF421" s="90"/>
      <c r="BG421" s="90"/>
      <c r="BH421" s="90"/>
      <c r="BI421" s="90"/>
      <c r="BJ421" s="90"/>
      <c r="BK421" s="90"/>
      <c r="BL421" s="90"/>
      <c r="BM421" s="90"/>
      <c r="BN421" s="90"/>
      <c r="BO421" s="90"/>
      <c r="BP421" s="90"/>
    </row>
    <row r="422" ht="13.5" customHeight="1" outlineLevel="1">
      <c r="A422" s="90"/>
      <c r="C422" s="102"/>
      <c r="D422" s="102"/>
      <c r="E422" s="102"/>
      <c r="F422" s="102"/>
      <c r="G422" s="102"/>
      <c r="K422" s="102"/>
      <c r="L422" s="102"/>
      <c r="M422" s="102"/>
      <c r="N422" s="102"/>
      <c r="O422" s="102"/>
      <c r="P422" s="102"/>
      <c r="Q422" s="102"/>
      <c r="R422" s="102"/>
      <c r="S422" s="102"/>
      <c r="T422" s="102"/>
      <c r="U422" s="102"/>
      <c r="V422" s="102"/>
      <c r="W422" s="102"/>
      <c r="X422" s="102"/>
      <c r="Y422" s="102"/>
      <c r="Z422" s="102"/>
      <c r="AA422" s="102"/>
      <c r="AB422" s="102"/>
      <c r="AC422" s="102"/>
      <c r="AD422" s="102"/>
      <c r="AE422" s="102"/>
      <c r="AF422" s="102"/>
      <c r="AG422" s="102"/>
      <c r="AH422" s="102"/>
      <c r="AI422" s="102"/>
      <c r="AJ422" s="102"/>
      <c r="AK422" s="102"/>
      <c r="AL422" s="102"/>
      <c r="AM422" s="102"/>
      <c r="AN422" s="102"/>
      <c r="AO422" s="102"/>
      <c r="AP422" s="102"/>
      <c r="AQ422" s="102"/>
      <c r="AR422" s="102"/>
      <c r="AS422" s="102"/>
      <c r="AT422" s="102"/>
      <c r="AU422" s="102"/>
      <c r="AV422" s="102"/>
      <c r="AW422" s="90"/>
      <c r="AX422" s="90"/>
      <c r="AY422" s="90"/>
      <c r="AZ422" s="90"/>
      <c r="BA422" s="90"/>
      <c r="BB422" s="90"/>
      <c r="BC422" s="90"/>
      <c r="BD422" s="90"/>
      <c r="BE422" s="90"/>
      <c r="BF422" s="90"/>
      <c r="BG422" s="90"/>
      <c r="BH422" s="90"/>
      <c r="BI422" s="90"/>
      <c r="BJ422" s="90"/>
      <c r="BK422" s="90"/>
      <c r="BL422" s="90"/>
      <c r="BM422" s="90"/>
      <c r="BN422" s="90"/>
      <c r="BO422" s="90"/>
      <c r="BP422" s="90"/>
    </row>
    <row r="423" ht="12.75" customHeight="1" outlineLevel="1">
      <c r="A423" s="90" t="s">
        <v>617</v>
      </c>
      <c r="C423" s="102"/>
      <c r="D423" s="102"/>
      <c r="E423" s="102"/>
      <c r="F423" s="102"/>
      <c r="G423" s="102"/>
      <c r="K423" s="102"/>
      <c r="L423" s="102"/>
      <c r="M423" s="102"/>
      <c r="N423" s="102"/>
      <c r="O423" s="102"/>
      <c r="P423" s="102"/>
      <c r="Q423" s="102"/>
      <c r="R423" s="102"/>
      <c r="S423" s="102"/>
      <c r="T423" s="102"/>
      <c r="U423" s="102"/>
      <c r="V423" s="102"/>
      <c r="W423" s="102"/>
      <c r="X423" s="102"/>
      <c r="Y423" s="102"/>
      <c r="Z423" s="102"/>
      <c r="AA423" s="102"/>
      <c r="AB423" s="102"/>
      <c r="AC423" s="102"/>
      <c r="AD423" s="102"/>
      <c r="AE423" s="102"/>
      <c r="AF423" s="102"/>
      <c r="AG423" s="102"/>
      <c r="AH423" s="102"/>
      <c r="AI423" s="102"/>
      <c r="AJ423" s="102"/>
      <c r="AK423" s="102"/>
      <c r="AL423" s="102"/>
      <c r="AM423" s="102"/>
      <c r="AN423" s="102"/>
      <c r="AO423" s="102"/>
      <c r="AP423" s="102"/>
      <c r="AQ423" s="102"/>
      <c r="AR423" s="102"/>
      <c r="AS423" s="102"/>
      <c r="AT423" s="102"/>
      <c r="AU423" s="102"/>
      <c r="AV423" s="102"/>
      <c r="AW423" s="90"/>
      <c r="AX423" s="90"/>
      <c r="AY423" s="90"/>
      <c r="AZ423" s="90"/>
      <c r="BA423" s="90"/>
      <c r="BB423" s="90"/>
      <c r="BC423" s="90"/>
      <c r="BD423" s="90"/>
      <c r="BE423" s="90"/>
      <c r="BF423" s="90"/>
      <c r="BG423" s="90"/>
      <c r="BH423" s="90"/>
      <c r="BI423" s="90"/>
      <c r="BJ423" s="90"/>
      <c r="BK423" s="90"/>
      <c r="BL423" s="90"/>
      <c r="BM423" s="90"/>
      <c r="BN423" s="90"/>
      <c r="BO423" s="90"/>
      <c r="BP423" s="90"/>
    </row>
    <row r="424" ht="12.75" customHeight="1" outlineLevel="1">
      <c r="A424" s="90" t="s">
        <v>287</v>
      </c>
      <c r="C424" s="102">
        <f>'RSGen 1-7'!H$417+'RSGen 1-7'!H$423</f>
        <v>0</v>
      </c>
      <c r="D424" s="102">
        <f>OFFSET(RSGen_Walton!$G$416,0,ROW(C387)-ROW($C$386))+OFFSET(RSGen_Walton!$G$422,0,ROW(C400)-ROW($C$399))</f>
        <v>0</v>
      </c>
      <c r="E424" s="102">
        <f>OFFSET(RSGen_none!$G$416,0,ROW(D387)-ROW($C$386))+OFFSET(RSGen_none!$G$422,0,ROW(D400)-ROW($C$399))</f>
        <v>0</v>
      </c>
      <c r="F424" s="102"/>
      <c r="G424" s="102"/>
      <c r="H424" s="313"/>
      <c r="I424" s="313"/>
      <c r="J424" s="313"/>
      <c r="K424" s="306"/>
      <c r="L424" s="306"/>
      <c r="M424" s="102">
        <f t="shared" ref="M424:AL424" si="536">(MAX(0,MIN(M7,SUM(M7:M$15)-$E$4))*$E424+MAX(0,MIN(M7,$D$4-SUM(M8:M$15)))*$C424+(M7-(MAX(0,MIN(M7,SUM(M7:M$15)-$E$4))+MAX(0,MIN(M7,$D$4-SUM(M8:M$15)))))*$D424)</f>
        <v>0</v>
      </c>
      <c r="N424" s="102">
        <f t="shared" si="536"/>
        <v>0</v>
      </c>
      <c r="O424" s="102">
        <f t="shared" si="536"/>
        <v>0</v>
      </c>
      <c r="P424" s="102">
        <f t="shared" si="536"/>
        <v>0</v>
      </c>
      <c r="Q424" s="102">
        <f t="shared" si="536"/>
        <v>0</v>
      </c>
      <c r="R424" s="102">
        <f t="shared" si="536"/>
        <v>0</v>
      </c>
      <c r="S424" s="102">
        <f t="shared" si="536"/>
        <v>0</v>
      </c>
      <c r="T424" s="102">
        <f t="shared" si="536"/>
        <v>0</v>
      </c>
      <c r="U424" s="102">
        <f t="shared" si="536"/>
        <v>0</v>
      </c>
      <c r="V424" s="102">
        <f t="shared" si="536"/>
        <v>0</v>
      </c>
      <c r="W424" s="102">
        <f t="shared" si="536"/>
        <v>0</v>
      </c>
      <c r="X424" s="102">
        <f t="shared" si="536"/>
        <v>0</v>
      </c>
      <c r="Y424" s="102">
        <f t="shared" si="536"/>
        <v>0</v>
      </c>
      <c r="Z424" s="102">
        <f t="shared" si="536"/>
        <v>0</v>
      </c>
      <c r="AA424" s="102">
        <f t="shared" si="536"/>
        <v>0</v>
      </c>
      <c r="AB424" s="102">
        <f t="shared" si="536"/>
        <v>0</v>
      </c>
      <c r="AC424" s="102">
        <f t="shared" si="536"/>
        <v>0</v>
      </c>
      <c r="AD424" s="102">
        <f t="shared" si="536"/>
        <v>0</v>
      </c>
      <c r="AE424" s="102">
        <f t="shared" si="536"/>
        <v>0</v>
      </c>
      <c r="AF424" s="102">
        <f t="shared" si="536"/>
        <v>0</v>
      </c>
      <c r="AG424" s="102">
        <f t="shared" si="536"/>
        <v>0</v>
      </c>
      <c r="AH424" s="102">
        <f t="shared" si="536"/>
        <v>0</v>
      </c>
      <c r="AI424" s="102">
        <f t="shared" si="536"/>
        <v>0</v>
      </c>
      <c r="AJ424" s="102">
        <f t="shared" si="536"/>
        <v>0</v>
      </c>
      <c r="AK424" s="102">
        <f t="shared" si="536"/>
        <v>0</v>
      </c>
      <c r="AL424" s="102">
        <f t="shared" si="536"/>
        <v>0</v>
      </c>
      <c r="AM424" s="102">
        <f t="shared" ref="AM424:AV424" si="537">$D424*AM$7</f>
        <v>0</v>
      </c>
      <c r="AN424" s="102">
        <f t="shared" si="537"/>
        <v>0</v>
      </c>
      <c r="AO424" s="102">
        <f t="shared" si="537"/>
        <v>0</v>
      </c>
      <c r="AP424" s="102" t="str">
        <f t="shared" si="537"/>
        <v>#REF!</v>
      </c>
      <c r="AQ424" s="102" t="str">
        <f t="shared" si="537"/>
        <v>#REF!</v>
      </c>
      <c r="AR424" s="102" t="str">
        <f t="shared" si="537"/>
        <v>#REF!</v>
      </c>
      <c r="AS424" s="102" t="str">
        <f t="shared" si="537"/>
        <v>#REF!</v>
      </c>
      <c r="AT424" s="102" t="str">
        <f t="shared" si="537"/>
        <v>#REF!</v>
      </c>
      <c r="AU424" s="102">
        <f t="shared" si="537"/>
        <v>0</v>
      </c>
      <c r="AV424" s="102">
        <f t="shared" si="537"/>
        <v>0</v>
      </c>
      <c r="AW424" s="90"/>
      <c r="AX424" s="90"/>
      <c r="AY424" s="90"/>
      <c r="AZ424" s="90"/>
      <c r="BA424" s="90"/>
      <c r="BB424" s="90"/>
      <c r="BC424" s="90"/>
      <c r="BD424" s="90"/>
      <c r="BE424" s="90"/>
      <c r="BF424" s="90"/>
      <c r="BG424" s="90"/>
      <c r="BH424" s="90"/>
      <c r="BI424" s="90"/>
      <c r="BJ424" s="90"/>
      <c r="BK424" s="90"/>
      <c r="BL424" s="90"/>
      <c r="BM424" s="90"/>
      <c r="BN424" s="90"/>
      <c r="BO424" s="90"/>
      <c r="BP424" s="90"/>
    </row>
    <row r="425" ht="12.75" customHeight="1" outlineLevel="1">
      <c r="A425" s="90" t="s">
        <v>288</v>
      </c>
      <c r="C425" s="102">
        <f>'RSGen 1-7'!I$417+'RSGen 1-7'!I$423</f>
        <v>325239.784</v>
      </c>
      <c r="D425" s="102">
        <f>OFFSET(RSGen_Walton!$G$416,0,ROW(C388)-ROW($C$386))+OFFSET(RSGen_Walton!$G$422,0,ROW(C401)-ROW($C$399))</f>
        <v>313052.284</v>
      </c>
      <c r="E425" s="102">
        <f>OFFSET(RSGen_none!$G$416,0,ROW(D388)-ROW($C$386))+OFFSET(RSGen_none!$G$422,0,ROW(D401)-ROW($C$399))</f>
        <v>288677.284</v>
      </c>
      <c r="F425" s="102"/>
      <c r="G425" s="102"/>
      <c r="H425" s="313"/>
      <c r="I425" s="313"/>
      <c r="J425" s="313"/>
      <c r="K425" s="306"/>
      <c r="L425" s="306"/>
      <c r="M425" s="306"/>
      <c r="N425" s="102">
        <f t="shared" ref="N425:AL425" si="538">(MAX(0,MIN(N8,SUM(N8:N$15)-$E$4))*$E425+MAX(0,MIN(N8,$D$4-SUM(N9:N$15)))*$C425+(N8-(MAX(0,MIN(N8,SUM(N8:N$15)-$E$4))+MAX(0,MIN(N8,$D$4-SUM(N9:N$15)))))*$D425)</f>
        <v>650479.5679</v>
      </c>
      <c r="O425" s="102">
        <f t="shared" si="538"/>
        <v>963531.8519</v>
      </c>
      <c r="P425" s="102">
        <f t="shared" si="538"/>
        <v>1565261.42</v>
      </c>
      <c r="Q425" s="102">
        <f t="shared" si="538"/>
        <v>2504418.272</v>
      </c>
      <c r="R425" s="102">
        <f t="shared" si="538"/>
        <v>4069679.691</v>
      </c>
      <c r="S425" s="102">
        <f t="shared" si="538"/>
        <v>6887150.247</v>
      </c>
      <c r="T425" s="102">
        <f t="shared" si="538"/>
        <v>10643777.65</v>
      </c>
      <c r="U425" s="102">
        <f t="shared" si="538"/>
        <v>13234227.78</v>
      </c>
      <c r="V425" s="102">
        <f t="shared" si="538"/>
        <v>12990477.78</v>
      </c>
      <c r="W425" s="102">
        <f t="shared" si="538"/>
        <v>19052700.74</v>
      </c>
      <c r="X425" s="102">
        <f t="shared" si="538"/>
        <v>23094182.72</v>
      </c>
      <c r="Y425" s="102">
        <f t="shared" si="538"/>
        <v>40992174.32</v>
      </c>
      <c r="Z425" s="102">
        <f t="shared" si="538"/>
        <v>55714715.8</v>
      </c>
      <c r="AA425" s="102">
        <f t="shared" si="538"/>
        <v>69859902.72</v>
      </c>
      <c r="AB425" s="102">
        <f t="shared" si="538"/>
        <v>78808898.52</v>
      </c>
      <c r="AC425" s="102">
        <f t="shared" si="538"/>
        <v>93531440</v>
      </c>
      <c r="AD425" s="102">
        <f t="shared" si="538"/>
        <v>101037049.4</v>
      </c>
      <c r="AE425" s="102">
        <f t="shared" si="538"/>
        <v>99593662.97</v>
      </c>
      <c r="AF425" s="102">
        <f t="shared" si="538"/>
        <v>78520221.24</v>
      </c>
      <c r="AG425" s="102">
        <f t="shared" si="538"/>
        <v>9526350.371</v>
      </c>
      <c r="AH425" s="102">
        <f t="shared" si="538"/>
        <v>0</v>
      </c>
      <c r="AI425" s="102">
        <f t="shared" si="538"/>
        <v>0</v>
      </c>
      <c r="AJ425" s="102">
        <f t="shared" si="538"/>
        <v>0</v>
      </c>
      <c r="AK425" s="102">
        <f t="shared" si="538"/>
        <v>0</v>
      </c>
      <c r="AL425" s="102">
        <f t="shared" si="538"/>
        <v>0</v>
      </c>
      <c r="AM425" s="102">
        <f t="shared" ref="AM425:AV425" si="539">$D425*AM$8</f>
        <v>0</v>
      </c>
      <c r="AN425" s="102">
        <f t="shared" si="539"/>
        <v>0</v>
      </c>
      <c r="AO425" s="102">
        <f t="shared" si="539"/>
        <v>0</v>
      </c>
      <c r="AP425" s="102">
        <f t="shared" si="539"/>
        <v>0</v>
      </c>
      <c r="AQ425" s="102" t="str">
        <f t="shared" si="539"/>
        <v>#REF!</v>
      </c>
      <c r="AR425" s="102" t="str">
        <f t="shared" si="539"/>
        <v>#REF!</v>
      </c>
      <c r="AS425" s="102" t="str">
        <f t="shared" si="539"/>
        <v>#REF!</v>
      </c>
      <c r="AT425" s="102" t="str">
        <f t="shared" si="539"/>
        <v>#REF!</v>
      </c>
      <c r="AU425" s="102" t="str">
        <f t="shared" si="539"/>
        <v>#REF!</v>
      </c>
      <c r="AV425" s="102">
        <f t="shared" si="539"/>
        <v>0</v>
      </c>
      <c r="AW425" s="90"/>
      <c r="AX425" s="90"/>
      <c r="AY425" s="90"/>
      <c r="AZ425" s="90"/>
      <c r="BA425" s="90"/>
      <c r="BB425" s="90"/>
      <c r="BC425" s="90"/>
      <c r="BD425" s="90"/>
      <c r="BE425" s="90"/>
      <c r="BF425" s="90"/>
      <c r="BG425" s="90"/>
      <c r="BH425" s="90"/>
      <c r="BI425" s="90"/>
      <c r="BJ425" s="90"/>
      <c r="BK425" s="90"/>
      <c r="BL425" s="90"/>
      <c r="BM425" s="90"/>
      <c r="BN425" s="90"/>
      <c r="BO425" s="90"/>
      <c r="BP425" s="90"/>
    </row>
    <row r="426" ht="12.75" customHeight="1" outlineLevel="1">
      <c r="A426" s="90" t="s">
        <v>289</v>
      </c>
      <c r="C426" s="102">
        <f>'RSGen 1-7'!J$417+'RSGen 1-7'!J$423</f>
        <v>-643.97424</v>
      </c>
      <c r="D426" s="102">
        <f>OFFSET(RSGen_Walton!$G$416,0,ROW(C389)-ROW($C$386))+OFFSET(RSGen_Walton!$G$422,0,ROW(C402)-ROW($C$399))</f>
        <v>11543.52576</v>
      </c>
      <c r="E426" s="102">
        <f>OFFSET(RSGen_none!$G$416,0,ROW(D389)-ROW($C$386))+OFFSET(RSGen_none!$G$422,0,ROW(D402)-ROW($C$399))</f>
        <v>35918.52576</v>
      </c>
      <c r="F426" s="102"/>
      <c r="G426" s="102"/>
      <c r="H426" s="313"/>
      <c r="I426" s="313"/>
      <c r="J426" s="313"/>
      <c r="K426" s="306"/>
      <c r="L426" s="306"/>
      <c r="M426" s="306"/>
      <c r="N426" s="306"/>
      <c r="O426" s="102">
        <f t="shared" ref="O426:AL426" si="540">(MAX(0,MIN(O9,SUM(O9:O$15)-$E$4))*$E426+MAX(0,MIN(O9,$D$4-SUM(O10:O$15)))*$C426+(O9-(MAX(0,MIN(O9,SUM(O9:O$15)-$E$4))+MAX(0,MIN(O9,$D$4-SUM(O10:O$15)))))*$D426)</f>
        <v>-1287.94848</v>
      </c>
      <c r="P426" s="102">
        <f t="shared" si="540"/>
        <v>10255.57728</v>
      </c>
      <c r="Q426" s="102">
        <f t="shared" si="540"/>
        <v>57717.6288</v>
      </c>
      <c r="R426" s="102">
        <f t="shared" si="540"/>
        <v>92348.20608</v>
      </c>
      <c r="S426" s="102">
        <f t="shared" si="540"/>
        <v>150065.8349</v>
      </c>
      <c r="T426" s="102">
        <f t="shared" si="540"/>
        <v>253957.5667</v>
      </c>
      <c r="U426" s="102">
        <f t="shared" si="540"/>
        <v>392479.8758</v>
      </c>
      <c r="V426" s="102">
        <f t="shared" si="540"/>
        <v>1372583.659</v>
      </c>
      <c r="W426" s="102">
        <f t="shared" si="540"/>
        <v>1616333.659</v>
      </c>
      <c r="X426" s="102">
        <f t="shared" si="540"/>
        <v>2370622.7</v>
      </c>
      <c r="Y426" s="102">
        <f t="shared" si="540"/>
        <v>2873482.061</v>
      </c>
      <c r="Z426" s="102">
        <f t="shared" si="540"/>
        <v>5100430.658</v>
      </c>
      <c r="AA426" s="102">
        <f t="shared" si="540"/>
        <v>6932275.472</v>
      </c>
      <c r="AB426" s="102">
        <f t="shared" si="540"/>
        <v>8692283.234</v>
      </c>
      <c r="AC426" s="102">
        <f t="shared" si="540"/>
        <v>9805757.532</v>
      </c>
      <c r="AD426" s="102">
        <f t="shared" si="540"/>
        <v>11637602.35</v>
      </c>
      <c r="AE426" s="102">
        <f t="shared" si="540"/>
        <v>12571484.02</v>
      </c>
      <c r="AF426" s="102">
        <f t="shared" si="540"/>
        <v>12391891.39</v>
      </c>
      <c r="AG426" s="102">
        <f t="shared" si="540"/>
        <v>9769839.007</v>
      </c>
      <c r="AH426" s="102">
        <f t="shared" si="540"/>
        <v>1185311.35</v>
      </c>
      <c r="AI426" s="102">
        <f t="shared" si="540"/>
        <v>0</v>
      </c>
      <c r="AJ426" s="102">
        <f t="shared" si="540"/>
        <v>0</v>
      </c>
      <c r="AK426" s="102">
        <f t="shared" si="540"/>
        <v>0</v>
      </c>
      <c r="AL426" s="102">
        <f t="shared" si="540"/>
        <v>0</v>
      </c>
      <c r="AM426" s="102">
        <f t="shared" ref="AM426:AV426" si="541">$D426*AM$9</f>
        <v>0</v>
      </c>
      <c r="AN426" s="102">
        <f t="shared" si="541"/>
        <v>0</v>
      </c>
      <c r="AO426" s="102">
        <f t="shared" si="541"/>
        <v>0</v>
      </c>
      <c r="AP426" s="102">
        <f t="shared" si="541"/>
        <v>0</v>
      </c>
      <c r="AQ426" s="102">
        <f t="shared" si="541"/>
        <v>0</v>
      </c>
      <c r="AR426" s="102" t="str">
        <f t="shared" si="541"/>
        <v>#REF!</v>
      </c>
      <c r="AS426" s="102" t="str">
        <f t="shared" si="541"/>
        <v>#REF!</v>
      </c>
      <c r="AT426" s="102" t="str">
        <f t="shared" si="541"/>
        <v>#REF!</v>
      </c>
      <c r="AU426" s="102" t="str">
        <f t="shared" si="541"/>
        <v>#REF!</v>
      </c>
      <c r="AV426" s="102" t="str">
        <f t="shared" si="541"/>
        <v>#REF!</v>
      </c>
      <c r="AW426" s="90"/>
      <c r="AX426" s="90"/>
      <c r="AY426" s="90"/>
      <c r="AZ426" s="90"/>
      <c r="BA426" s="90"/>
      <c r="BB426" s="90"/>
      <c r="BC426" s="90"/>
      <c r="BD426" s="90"/>
      <c r="BE426" s="90"/>
      <c r="BF426" s="90"/>
      <c r="BG426" s="90"/>
      <c r="BH426" s="90"/>
      <c r="BI426" s="90"/>
      <c r="BJ426" s="90"/>
      <c r="BK426" s="90"/>
      <c r="BL426" s="90"/>
      <c r="BM426" s="90"/>
      <c r="BN426" s="90"/>
      <c r="BO426" s="90"/>
      <c r="BP426" s="90"/>
    </row>
    <row r="427" ht="12.75" customHeight="1" outlineLevel="1">
      <c r="A427" s="90" t="s">
        <v>290</v>
      </c>
      <c r="C427" s="102">
        <f>'RSGen 1-7'!K$417+'RSGen 1-7'!K$423</f>
        <v>12883.18847</v>
      </c>
      <c r="D427" s="102">
        <f>OFFSET(RSGen_Walton!$G$416,0,ROW(C390)-ROW($C$386))+OFFSET(RSGen_Walton!$G$422,0,ROW(C403)-ROW($C$399))</f>
        <v>12883.18847</v>
      </c>
      <c r="E427" s="102">
        <f>OFFSET(RSGen_none!$G$416,0,ROW(D390)-ROW($C$386))+OFFSET(RSGen_none!$G$422,0,ROW(D403)-ROW($C$399))</f>
        <v>12883.18847</v>
      </c>
      <c r="F427" s="102"/>
      <c r="G427" s="102"/>
      <c r="H427" s="313"/>
      <c r="I427" s="313"/>
      <c r="J427" s="313"/>
      <c r="K427" s="306"/>
      <c r="L427" s="306"/>
      <c r="M427" s="306"/>
      <c r="N427" s="306"/>
      <c r="O427" s="306"/>
      <c r="P427" s="102">
        <f t="shared" ref="P427:AL427" si="542">(MAX(0,MIN(P10,SUM(P10:P$15)-$E$4))*$E427+MAX(0,MIN(P10,$D$4-SUM(P11:P$15)))*$C427+(P10-(MAX(0,MIN(P10,SUM(P10:P$15)-$E$4))+MAX(0,MIN(P10,$D$4-SUM(P11:P$15)))))*$D427)</f>
        <v>25766.37695</v>
      </c>
      <c r="Q427" s="102">
        <f t="shared" si="542"/>
        <v>38649.56542</v>
      </c>
      <c r="R427" s="102">
        <f t="shared" si="542"/>
        <v>64415.94237</v>
      </c>
      <c r="S427" s="102">
        <f t="shared" si="542"/>
        <v>103065.5078</v>
      </c>
      <c r="T427" s="102">
        <f t="shared" si="542"/>
        <v>167481.4502</v>
      </c>
      <c r="U427" s="102">
        <f t="shared" si="542"/>
        <v>283430.1464</v>
      </c>
      <c r="V427" s="102">
        <f t="shared" si="542"/>
        <v>438028.4081</v>
      </c>
      <c r="W427" s="102">
        <f t="shared" si="542"/>
        <v>579743.4814</v>
      </c>
      <c r="X427" s="102">
        <f t="shared" si="542"/>
        <v>579743.4814</v>
      </c>
      <c r="Y427" s="102">
        <f t="shared" si="542"/>
        <v>850290.4393</v>
      </c>
      <c r="Z427" s="102">
        <f t="shared" si="542"/>
        <v>1030655.078</v>
      </c>
      <c r="AA427" s="102">
        <f t="shared" si="542"/>
        <v>1829412.763</v>
      </c>
      <c r="AB427" s="102">
        <f t="shared" si="542"/>
        <v>2486455.376</v>
      </c>
      <c r="AC427" s="102">
        <f t="shared" si="542"/>
        <v>3117731.611</v>
      </c>
      <c r="AD427" s="102">
        <f t="shared" si="542"/>
        <v>3517110.454</v>
      </c>
      <c r="AE427" s="102">
        <f t="shared" si="542"/>
        <v>4174153.066</v>
      </c>
      <c r="AF427" s="102">
        <f t="shared" si="542"/>
        <v>4509115.966</v>
      </c>
      <c r="AG427" s="102">
        <f t="shared" si="542"/>
        <v>4444700.024</v>
      </c>
      <c r="AH427" s="102">
        <f t="shared" si="542"/>
        <v>3504227.265</v>
      </c>
      <c r="AI427" s="102">
        <f t="shared" si="542"/>
        <v>425145.2197</v>
      </c>
      <c r="AJ427" s="102">
        <f t="shared" si="542"/>
        <v>0</v>
      </c>
      <c r="AK427" s="102">
        <f t="shared" si="542"/>
        <v>0</v>
      </c>
      <c r="AL427" s="102">
        <f t="shared" si="542"/>
        <v>0</v>
      </c>
      <c r="AM427" s="102">
        <f t="shared" ref="AM427:AV427" si="543">$D427*AM$10</f>
        <v>0</v>
      </c>
      <c r="AN427" s="102">
        <f t="shared" si="543"/>
        <v>0</v>
      </c>
      <c r="AO427" s="102">
        <f t="shared" si="543"/>
        <v>0</v>
      </c>
      <c r="AP427" s="102">
        <f t="shared" si="543"/>
        <v>0</v>
      </c>
      <c r="AQ427" s="102">
        <f t="shared" si="543"/>
        <v>0</v>
      </c>
      <c r="AR427" s="102">
        <f t="shared" si="543"/>
        <v>0</v>
      </c>
      <c r="AS427" s="102" t="str">
        <f t="shared" si="543"/>
        <v>#REF!</v>
      </c>
      <c r="AT427" s="102" t="str">
        <f t="shared" si="543"/>
        <v>#REF!</v>
      </c>
      <c r="AU427" s="102" t="str">
        <f t="shared" si="543"/>
        <v>#REF!</v>
      </c>
      <c r="AV427" s="102" t="str">
        <f t="shared" si="543"/>
        <v>#REF!</v>
      </c>
      <c r="AW427" s="90"/>
      <c r="AX427" s="90"/>
      <c r="AY427" s="90"/>
      <c r="AZ427" s="90"/>
      <c r="BA427" s="90"/>
      <c r="BB427" s="90"/>
      <c r="BC427" s="90"/>
      <c r="BD427" s="90"/>
      <c r="BE427" s="90"/>
      <c r="BF427" s="90"/>
      <c r="BG427" s="90"/>
      <c r="BH427" s="90"/>
      <c r="BI427" s="90"/>
      <c r="BJ427" s="90"/>
      <c r="BK427" s="90"/>
      <c r="BL427" s="90"/>
      <c r="BM427" s="90"/>
      <c r="BN427" s="90"/>
      <c r="BO427" s="90"/>
      <c r="BP427" s="90"/>
    </row>
    <row r="428" ht="12.75" customHeight="1" outlineLevel="1">
      <c r="A428" s="90" t="s">
        <v>291</v>
      </c>
      <c r="C428" s="102">
        <f>'RSGen 1-7'!L$417+'RSGen 1-7'!L$423</f>
        <v>868.14</v>
      </c>
      <c r="D428" s="102">
        <f>OFFSET(RSGen_Walton!$G$416,0,ROW(C391)-ROW($C$386))+OFFSET(RSGen_Walton!$G$422,0,ROW(C404)-ROW($C$399))</f>
        <v>868.14</v>
      </c>
      <c r="E428" s="102">
        <f>OFFSET(RSGen_none!$G$416,0,ROW(D391)-ROW($C$386))+OFFSET(RSGen_none!$G$422,0,ROW(D404)-ROW($C$399))</f>
        <v>868.14</v>
      </c>
      <c r="F428" s="102"/>
      <c r="G428" s="102"/>
      <c r="H428" s="313"/>
      <c r="I428" s="313"/>
      <c r="J428" s="313"/>
      <c r="K428" s="306"/>
      <c r="L428" s="306"/>
      <c r="M428" s="306"/>
      <c r="N428" s="306"/>
      <c r="O428" s="306"/>
      <c r="P428" s="306"/>
      <c r="Q428" s="102">
        <f t="shared" ref="Q428:AL428" si="544">(MAX(0,MIN(Q11,SUM(Q11:Q$15)-$E$4))*$E428+MAX(0,MIN(Q11,$D$4-SUM(Q12:Q$15)))*$C428+(Q11-(MAX(0,MIN(Q11,SUM(Q11:Q$15)-$E$4))+MAX(0,MIN(Q11,$D$4-SUM(Q12:Q$15)))))*$D428)</f>
        <v>1736.28</v>
      </c>
      <c r="R428" s="102">
        <f t="shared" si="544"/>
        <v>2604.42</v>
      </c>
      <c r="S428" s="102">
        <f t="shared" si="544"/>
        <v>4340.7</v>
      </c>
      <c r="T428" s="102">
        <f t="shared" si="544"/>
        <v>6945.12</v>
      </c>
      <c r="U428" s="102">
        <f t="shared" si="544"/>
        <v>11285.82</v>
      </c>
      <c r="V428" s="102">
        <f t="shared" si="544"/>
        <v>19099.08</v>
      </c>
      <c r="W428" s="102">
        <f t="shared" si="544"/>
        <v>29516.76</v>
      </c>
      <c r="X428" s="102">
        <f t="shared" si="544"/>
        <v>39066.3</v>
      </c>
      <c r="Y428" s="102">
        <f t="shared" si="544"/>
        <v>39066.3</v>
      </c>
      <c r="Z428" s="102">
        <f t="shared" si="544"/>
        <v>57297.24</v>
      </c>
      <c r="AA428" s="102">
        <f t="shared" si="544"/>
        <v>69451.2</v>
      </c>
      <c r="AB428" s="102">
        <f t="shared" si="544"/>
        <v>123275.88</v>
      </c>
      <c r="AC428" s="102">
        <f t="shared" si="544"/>
        <v>167551.02</v>
      </c>
      <c r="AD428" s="102">
        <f t="shared" si="544"/>
        <v>210089.88</v>
      </c>
      <c r="AE428" s="102">
        <f t="shared" si="544"/>
        <v>237002.22</v>
      </c>
      <c r="AF428" s="102">
        <f t="shared" si="544"/>
        <v>281277.36</v>
      </c>
      <c r="AG428" s="102">
        <f t="shared" si="544"/>
        <v>303849</v>
      </c>
      <c r="AH428" s="102">
        <f t="shared" si="544"/>
        <v>299508.3</v>
      </c>
      <c r="AI428" s="102">
        <f t="shared" si="544"/>
        <v>236134.08</v>
      </c>
      <c r="AJ428" s="102">
        <f t="shared" si="544"/>
        <v>28648.62</v>
      </c>
      <c r="AK428" s="102">
        <f t="shared" si="544"/>
        <v>0</v>
      </c>
      <c r="AL428" s="102">
        <f t="shared" si="544"/>
        <v>0</v>
      </c>
      <c r="AM428" s="102">
        <f t="shared" ref="AM428:AV428" si="545">$D428*AM$11</f>
        <v>0</v>
      </c>
      <c r="AN428" s="102">
        <f t="shared" si="545"/>
        <v>0</v>
      </c>
      <c r="AO428" s="102">
        <f t="shared" si="545"/>
        <v>0</v>
      </c>
      <c r="AP428" s="102">
        <f t="shared" si="545"/>
        <v>0</v>
      </c>
      <c r="AQ428" s="102">
        <f t="shared" si="545"/>
        <v>0</v>
      </c>
      <c r="AR428" s="102">
        <f t="shared" si="545"/>
        <v>0</v>
      </c>
      <c r="AS428" s="102">
        <f t="shared" si="545"/>
        <v>0</v>
      </c>
      <c r="AT428" s="102" t="str">
        <f t="shared" si="545"/>
        <v>#REF!</v>
      </c>
      <c r="AU428" s="102" t="str">
        <f t="shared" si="545"/>
        <v>#REF!</v>
      </c>
      <c r="AV428" s="102" t="str">
        <f t="shared" si="545"/>
        <v>#REF!</v>
      </c>
      <c r="AW428" s="90"/>
      <c r="AX428" s="90"/>
      <c r="AY428" s="90"/>
      <c r="AZ428" s="90"/>
      <c r="BA428" s="90"/>
      <c r="BB428" s="90"/>
      <c r="BC428" s="90"/>
      <c r="BD428" s="90"/>
      <c r="BE428" s="90"/>
      <c r="BF428" s="90"/>
      <c r="BG428" s="90"/>
      <c r="BH428" s="90"/>
      <c r="BI428" s="90"/>
      <c r="BJ428" s="90"/>
      <c r="BK428" s="90"/>
      <c r="BL428" s="90"/>
      <c r="BM428" s="90"/>
      <c r="BN428" s="90"/>
      <c r="BO428" s="90"/>
      <c r="BP428" s="90"/>
    </row>
    <row r="429" ht="12.75" customHeight="1" outlineLevel="1">
      <c r="A429" s="90" t="s">
        <v>292</v>
      </c>
      <c r="C429" s="102">
        <f>'RSGen 1-7'!M$417+'RSGen 1-7'!M$423</f>
        <v>-744.12</v>
      </c>
      <c r="D429" s="102">
        <f>OFFSET(RSGen_Walton!$G$416,0,ROW(C392)-ROW($C$386))+OFFSET(RSGen_Walton!$G$422,0,ROW(C405)-ROW($C$399))</f>
        <v>-744.12</v>
      </c>
      <c r="E429" s="102">
        <f>OFFSET(RSGen_none!$G$416,0,ROW(D392)-ROW($C$386))+OFFSET(RSGen_none!$G$422,0,ROW(D405)-ROW($C$399))</f>
        <v>-744.12</v>
      </c>
      <c r="F429" s="102"/>
      <c r="G429" s="102"/>
      <c r="H429" s="313"/>
      <c r="I429" s="313"/>
      <c r="J429" s="313"/>
      <c r="K429" s="306"/>
      <c r="L429" s="306"/>
      <c r="M429" s="306"/>
      <c r="N429" s="306"/>
      <c r="O429" s="306"/>
      <c r="P429" s="306"/>
      <c r="Q429" s="306"/>
      <c r="R429" s="102">
        <f t="shared" ref="R429:AL429" si="546">(MAX(0,MIN(R12,SUM(R12:R$15)-$E$4))*$E429+MAX(0,MIN(R12,$D$4-SUM(R13:R$15)))*$C429+(R12-(MAX(0,MIN(R12,SUM(R12:R$15)-$E$4))+MAX(0,MIN(R12,$D$4-SUM(R13:R$15)))))*$D429)</f>
        <v>-1488.24</v>
      </c>
      <c r="S429" s="102">
        <f t="shared" si="546"/>
        <v>-2232.36</v>
      </c>
      <c r="T429" s="102">
        <f t="shared" si="546"/>
        <v>-3720.6</v>
      </c>
      <c r="U429" s="102">
        <f t="shared" si="546"/>
        <v>-5952.96</v>
      </c>
      <c r="V429" s="102">
        <f t="shared" si="546"/>
        <v>-9673.56</v>
      </c>
      <c r="W429" s="102">
        <f t="shared" si="546"/>
        <v>-16370.64</v>
      </c>
      <c r="X429" s="102">
        <f t="shared" si="546"/>
        <v>-25300.08</v>
      </c>
      <c r="Y429" s="102">
        <f t="shared" si="546"/>
        <v>-33485.4</v>
      </c>
      <c r="Z429" s="102">
        <f t="shared" si="546"/>
        <v>-33485.4</v>
      </c>
      <c r="AA429" s="102">
        <f t="shared" si="546"/>
        <v>-49111.92</v>
      </c>
      <c r="AB429" s="102">
        <f t="shared" si="546"/>
        <v>-59529.6</v>
      </c>
      <c r="AC429" s="102">
        <f t="shared" si="546"/>
        <v>-105665.04</v>
      </c>
      <c r="AD429" s="102">
        <f t="shared" si="546"/>
        <v>-143615.16</v>
      </c>
      <c r="AE429" s="102">
        <f t="shared" si="546"/>
        <v>-180077.04</v>
      </c>
      <c r="AF429" s="102">
        <f t="shared" si="546"/>
        <v>-203144.76</v>
      </c>
      <c r="AG429" s="102">
        <f t="shared" si="546"/>
        <v>-241094.88</v>
      </c>
      <c r="AH429" s="102">
        <f t="shared" si="546"/>
        <v>-260442</v>
      </c>
      <c r="AI429" s="102">
        <f t="shared" si="546"/>
        <v>-256721.4</v>
      </c>
      <c r="AJ429" s="102">
        <f t="shared" si="546"/>
        <v>-202400.64</v>
      </c>
      <c r="AK429" s="102">
        <f t="shared" si="546"/>
        <v>-24555.96</v>
      </c>
      <c r="AL429" s="102">
        <f t="shared" si="546"/>
        <v>0</v>
      </c>
      <c r="AM429" s="102">
        <f t="shared" ref="AM429:AV429" si="547">$D429*AM$12</f>
        <v>0</v>
      </c>
      <c r="AN429" s="102">
        <f t="shared" si="547"/>
        <v>0</v>
      </c>
      <c r="AO429" s="102">
        <f t="shared" si="547"/>
        <v>0</v>
      </c>
      <c r="AP429" s="102">
        <f t="shared" si="547"/>
        <v>0</v>
      </c>
      <c r="AQ429" s="102">
        <f t="shared" si="547"/>
        <v>0</v>
      </c>
      <c r="AR429" s="102">
        <f t="shared" si="547"/>
        <v>0</v>
      </c>
      <c r="AS429" s="102">
        <f t="shared" si="547"/>
        <v>0</v>
      </c>
      <c r="AT429" s="102">
        <f t="shared" si="547"/>
        <v>0</v>
      </c>
      <c r="AU429" s="102" t="str">
        <f t="shared" si="547"/>
        <v>#REF!</v>
      </c>
      <c r="AV429" s="102" t="str">
        <f t="shared" si="547"/>
        <v>#REF!</v>
      </c>
      <c r="AW429" s="90"/>
      <c r="AX429" s="90"/>
      <c r="AY429" s="90"/>
      <c r="AZ429" s="90"/>
      <c r="BA429" s="90"/>
      <c r="BB429" s="90"/>
      <c r="BC429" s="90"/>
      <c r="BD429" s="90"/>
      <c r="BE429" s="90"/>
      <c r="BF429" s="90"/>
      <c r="BG429" s="90"/>
      <c r="BH429" s="90"/>
      <c r="BI429" s="90"/>
      <c r="BJ429" s="90"/>
      <c r="BK429" s="90"/>
      <c r="BL429" s="90"/>
      <c r="BM429" s="90"/>
      <c r="BN429" s="90"/>
      <c r="BO429" s="90"/>
      <c r="BP429" s="90"/>
    </row>
    <row r="430" ht="12.75" customHeight="1" outlineLevel="1">
      <c r="A430" s="90" t="s">
        <v>293</v>
      </c>
      <c r="C430" s="102">
        <f>'RSGen 1-7'!N$417+'RSGen 1-7'!N$423</f>
        <v>-682.11</v>
      </c>
      <c r="D430" s="102">
        <f>OFFSET(RSGen_Walton!$G$416,0,ROW(C393)-ROW($C$386))+OFFSET(RSGen_Walton!$G$422,0,ROW(C406)-ROW($C$399))</f>
        <v>-682.11</v>
      </c>
      <c r="E430" s="102">
        <f>OFFSET(RSGen_none!$G$416,0,ROW(D393)-ROW($C$386))+OFFSET(RSGen_none!$G$422,0,ROW(D406)-ROW($C$399))</f>
        <v>-682.11</v>
      </c>
      <c r="F430" s="102"/>
      <c r="G430" s="102"/>
      <c r="H430" s="313"/>
      <c r="I430" s="313"/>
      <c r="J430" s="313"/>
      <c r="K430" s="306"/>
      <c r="L430" s="306"/>
      <c r="M430" s="306"/>
      <c r="N430" s="306"/>
      <c r="O430" s="306"/>
      <c r="P430" s="306"/>
      <c r="Q430" s="306"/>
      <c r="R430" s="306"/>
      <c r="S430" s="102">
        <f t="shared" ref="S430:AL430" si="548">(MAX(0,MIN(S13,SUM(S13:S$15)-$E$4))*$E430+MAX(0,MIN(S13,$D$4-SUM(S14:S$15)))*$C430+(S13-(MAX(0,MIN(S13,SUM(S13:S$15)-$E$4))+MAX(0,MIN(S13,$D$4-SUM(S14:S$15)))))*$D430)</f>
        <v>-1364.22</v>
      </c>
      <c r="T430" s="102">
        <f t="shared" si="548"/>
        <v>-2046.33</v>
      </c>
      <c r="U430" s="102">
        <f t="shared" si="548"/>
        <v>-3410.55</v>
      </c>
      <c r="V430" s="102">
        <f t="shared" si="548"/>
        <v>-5456.88</v>
      </c>
      <c r="W430" s="102">
        <f t="shared" si="548"/>
        <v>-8867.43</v>
      </c>
      <c r="X430" s="102">
        <f t="shared" si="548"/>
        <v>-15006.42</v>
      </c>
      <c r="Y430" s="102">
        <f t="shared" si="548"/>
        <v>-23191.74</v>
      </c>
      <c r="Z430" s="102">
        <f t="shared" si="548"/>
        <v>-30694.95</v>
      </c>
      <c r="AA430" s="102">
        <f t="shared" si="548"/>
        <v>-30694.95</v>
      </c>
      <c r="AB430" s="102">
        <f t="shared" si="548"/>
        <v>-45019.26</v>
      </c>
      <c r="AC430" s="102">
        <f t="shared" si="548"/>
        <v>-54568.8</v>
      </c>
      <c r="AD430" s="102">
        <f t="shared" si="548"/>
        <v>-96859.62</v>
      </c>
      <c r="AE430" s="102">
        <f t="shared" si="548"/>
        <v>-131647.23</v>
      </c>
      <c r="AF430" s="102">
        <f t="shared" si="548"/>
        <v>-165070.62</v>
      </c>
      <c r="AG430" s="102">
        <f t="shared" si="548"/>
        <v>-186216.03</v>
      </c>
      <c r="AH430" s="102">
        <f t="shared" si="548"/>
        <v>-221003.64</v>
      </c>
      <c r="AI430" s="102">
        <f t="shared" si="548"/>
        <v>-238738.5</v>
      </c>
      <c r="AJ430" s="102">
        <f t="shared" si="548"/>
        <v>-235327.95</v>
      </c>
      <c r="AK430" s="102">
        <f t="shared" si="548"/>
        <v>-185533.92</v>
      </c>
      <c r="AL430" s="102">
        <f t="shared" si="548"/>
        <v>-22509.63</v>
      </c>
      <c r="AM430" s="102">
        <f t="shared" ref="AM430:AV430" si="549">$D430*AM$13</f>
        <v>0</v>
      </c>
      <c r="AN430" s="102">
        <f t="shared" si="549"/>
        <v>0</v>
      </c>
      <c r="AO430" s="102">
        <f t="shared" si="549"/>
        <v>0</v>
      </c>
      <c r="AP430" s="102">
        <f t="shared" si="549"/>
        <v>0</v>
      </c>
      <c r="AQ430" s="102">
        <f t="shared" si="549"/>
        <v>0</v>
      </c>
      <c r="AR430" s="102">
        <f t="shared" si="549"/>
        <v>0</v>
      </c>
      <c r="AS430" s="102">
        <f t="shared" si="549"/>
        <v>0</v>
      </c>
      <c r="AT430" s="102">
        <f t="shared" si="549"/>
        <v>0</v>
      </c>
      <c r="AU430" s="102">
        <f t="shared" si="549"/>
        <v>0</v>
      </c>
      <c r="AV430" s="102" t="str">
        <f t="shared" si="549"/>
        <v>#REF!</v>
      </c>
      <c r="AW430" s="90"/>
      <c r="AX430" s="90"/>
      <c r="AY430" s="90"/>
      <c r="AZ430" s="90"/>
      <c r="BA430" s="90"/>
      <c r="BB430" s="90"/>
      <c r="BC430" s="90"/>
      <c r="BD430" s="90"/>
      <c r="BE430" s="90"/>
      <c r="BF430" s="90"/>
      <c r="BG430" s="90"/>
      <c r="BH430" s="90"/>
      <c r="BI430" s="90"/>
      <c r="BJ430" s="90"/>
      <c r="BK430" s="90"/>
      <c r="BL430" s="90"/>
      <c r="BM430" s="90"/>
      <c r="BN430" s="90"/>
      <c r="BO430" s="90"/>
      <c r="BP430" s="90"/>
    </row>
    <row r="431" ht="12.75" customHeight="1" outlineLevel="1">
      <c r="A431" s="90" t="s">
        <v>294</v>
      </c>
      <c r="C431" s="102">
        <f>'RSGen 1-7'!O$417+'RSGen 1-7'!O$423</f>
        <v>-651.105</v>
      </c>
      <c r="D431" s="102">
        <f>OFFSET(RSGen_Walton!$G$416,0,ROW(C394)-ROW($C$386))+OFFSET(RSGen_Walton!$G$422,0,ROW(C407)-ROW($C$399))</f>
        <v>-651.105</v>
      </c>
      <c r="E431" s="102">
        <f>OFFSET(RSGen_none!$G$416,0,ROW(D394)-ROW($C$386))+OFFSET(RSGen_none!$G$422,0,ROW(D407)-ROW($C$399))</f>
        <v>-651.105</v>
      </c>
      <c r="F431" s="102"/>
      <c r="G431" s="102"/>
      <c r="H431" s="313"/>
      <c r="I431" s="313"/>
      <c r="J431" s="313"/>
      <c r="K431" s="306"/>
      <c r="L431" s="306"/>
      <c r="M431" s="306"/>
      <c r="N431" s="306"/>
      <c r="O431" s="306"/>
      <c r="P431" s="306"/>
      <c r="Q431" s="306"/>
      <c r="R431" s="306"/>
      <c r="S431" s="306"/>
      <c r="T431" s="102">
        <f t="shared" ref="T431:AL431" si="550">(MAX(0,MIN(T14,SUM(T14:T$15)-$E$4))*$E431+MAX(0,MIN(T14,$D$4-SUM(T$15:T15)))*$C431+(T14-(MAX(0,MIN(T14,SUM(T14:T$15)-$E$4))+MAX(0,MIN(T14,$D$4-SUM(T$15:T15)))))*$D431)</f>
        <v>-1302.21</v>
      </c>
      <c r="U431" s="102">
        <f t="shared" si="550"/>
        <v>-1953.315</v>
      </c>
      <c r="V431" s="102">
        <f t="shared" si="550"/>
        <v>-3255.525</v>
      </c>
      <c r="W431" s="102">
        <f t="shared" si="550"/>
        <v>-5208.84</v>
      </c>
      <c r="X431" s="102">
        <f t="shared" si="550"/>
        <v>-8464.365</v>
      </c>
      <c r="Y431" s="102">
        <f t="shared" si="550"/>
        <v>-14324.31</v>
      </c>
      <c r="Z431" s="102">
        <f t="shared" si="550"/>
        <v>-22137.57</v>
      </c>
      <c r="AA431" s="102">
        <f t="shared" si="550"/>
        <v>-29299.725</v>
      </c>
      <c r="AB431" s="102">
        <f t="shared" si="550"/>
        <v>-29299.725</v>
      </c>
      <c r="AC431" s="102">
        <f t="shared" si="550"/>
        <v>-42972.93</v>
      </c>
      <c r="AD431" s="102">
        <f t="shared" si="550"/>
        <v>-52088.4</v>
      </c>
      <c r="AE431" s="102">
        <f t="shared" si="550"/>
        <v>-92456.91</v>
      </c>
      <c r="AF431" s="102">
        <f t="shared" si="550"/>
        <v>-125663.265</v>
      </c>
      <c r="AG431" s="102">
        <f t="shared" si="550"/>
        <v>-157567.41</v>
      </c>
      <c r="AH431" s="102">
        <f t="shared" si="550"/>
        <v>-177751.665</v>
      </c>
      <c r="AI431" s="102">
        <f t="shared" si="550"/>
        <v>-210958.02</v>
      </c>
      <c r="AJ431" s="102">
        <f t="shared" si="550"/>
        <v>-227886.75</v>
      </c>
      <c r="AK431" s="102">
        <f t="shared" si="550"/>
        <v>-224631.225</v>
      </c>
      <c r="AL431" s="102">
        <f t="shared" si="550"/>
        <v>-177100.56</v>
      </c>
      <c r="AM431" s="102">
        <f t="shared" ref="AM431:AV431" si="551">$D431*AM$14</f>
        <v>-21486.465</v>
      </c>
      <c r="AN431" s="102">
        <f t="shared" si="551"/>
        <v>0</v>
      </c>
      <c r="AO431" s="102">
        <f t="shared" si="551"/>
        <v>0</v>
      </c>
      <c r="AP431" s="102">
        <f t="shared" si="551"/>
        <v>0</v>
      </c>
      <c r="AQ431" s="102">
        <f t="shared" si="551"/>
        <v>0</v>
      </c>
      <c r="AR431" s="102">
        <f t="shared" si="551"/>
        <v>0</v>
      </c>
      <c r="AS431" s="102">
        <f t="shared" si="551"/>
        <v>0</v>
      </c>
      <c r="AT431" s="102">
        <f t="shared" si="551"/>
        <v>0</v>
      </c>
      <c r="AU431" s="102">
        <f t="shared" si="551"/>
        <v>0</v>
      </c>
      <c r="AV431" s="102">
        <f t="shared" si="551"/>
        <v>0</v>
      </c>
      <c r="AW431" s="90"/>
      <c r="AX431" s="90"/>
      <c r="AY431" s="90"/>
      <c r="AZ431" s="90"/>
      <c r="BA431" s="90"/>
      <c r="BB431" s="90"/>
      <c r="BC431" s="90"/>
      <c r="BD431" s="90"/>
      <c r="BE431" s="90"/>
      <c r="BF431" s="90"/>
      <c r="BG431" s="90"/>
      <c r="BH431" s="90"/>
      <c r="BI431" s="90"/>
      <c r="BJ431" s="90"/>
      <c r="BK431" s="90"/>
      <c r="BL431" s="90"/>
      <c r="BM431" s="90"/>
      <c r="BN431" s="90"/>
      <c r="BO431" s="90"/>
      <c r="BP431" s="90"/>
    </row>
    <row r="432" ht="12.75" customHeight="1" outlineLevel="1">
      <c r="A432" s="90" t="s">
        <v>295</v>
      </c>
      <c r="C432" s="102">
        <f>'RSGen 1-7'!P$417+'RSGen 1-7'!P423</f>
        <v>-651.105</v>
      </c>
      <c r="D432" s="102">
        <f>OFFSET(RSGen_Walton!$G$416,0,ROW(C395)-ROW($C$386))+OFFSET(RSGen_Walton!$G$422,0,ROW(C408)-ROW($C$399))</f>
        <v>-651.105</v>
      </c>
      <c r="E432" s="102">
        <f>OFFSET(RSGen_none!$G$416,0,ROW(D395)-ROW($C$386))+OFFSET(RSGen_none!$G$422,0,ROW(D408)-ROW($C$399))</f>
        <v>-651.105</v>
      </c>
      <c r="F432" s="102"/>
      <c r="G432" s="102"/>
      <c r="H432" s="313"/>
      <c r="I432" s="313"/>
      <c r="J432" s="313"/>
      <c r="K432" s="306"/>
      <c r="L432" s="306"/>
      <c r="M432" s="306"/>
      <c r="N432" s="306"/>
      <c r="O432" s="306"/>
      <c r="P432" s="306"/>
      <c r="Q432" s="306"/>
      <c r="R432" s="306"/>
      <c r="S432" s="306"/>
      <c r="T432" s="306"/>
      <c r="U432" s="102">
        <f t="shared" ref="U432:AL432" si="552">($C432*MIN($D$4-3,U15-3)+$D432*MIN($E$4-$D$4,MAX(0,U15-$D$4))+$E432*MAX(0,U15-$E$4))</f>
        <v>-1302.21</v>
      </c>
      <c r="V432" s="102">
        <f t="shared" si="552"/>
        <v>-3255.525</v>
      </c>
      <c r="W432" s="102">
        <f t="shared" si="552"/>
        <v>-6511.05</v>
      </c>
      <c r="X432" s="102">
        <f t="shared" si="552"/>
        <v>-11719.89</v>
      </c>
      <c r="Y432" s="102">
        <f t="shared" si="552"/>
        <v>-20184.255</v>
      </c>
      <c r="Z432" s="102">
        <f t="shared" si="552"/>
        <v>-34508.565</v>
      </c>
      <c r="AA432" s="102">
        <f t="shared" si="552"/>
        <v>-56646.135</v>
      </c>
      <c r="AB432" s="102">
        <f t="shared" si="552"/>
        <v>-85945.86</v>
      </c>
      <c r="AC432" s="102">
        <f t="shared" si="552"/>
        <v>-115245.585</v>
      </c>
      <c r="AD432" s="102">
        <f t="shared" si="552"/>
        <v>-158218.515</v>
      </c>
      <c r="AE432" s="102">
        <f t="shared" si="552"/>
        <v>-210306.915</v>
      </c>
      <c r="AF432" s="102">
        <f t="shared" si="552"/>
        <v>-302763.825</v>
      </c>
      <c r="AG432" s="102">
        <f t="shared" si="552"/>
        <v>-428427.09</v>
      </c>
      <c r="AH432" s="102">
        <f t="shared" si="552"/>
        <v>-585994.5</v>
      </c>
      <c r="AI432" s="102">
        <f t="shared" si="552"/>
        <v>-763746.165</v>
      </c>
      <c r="AJ432" s="102">
        <f t="shared" si="552"/>
        <v>-974704.185</v>
      </c>
      <c r="AK432" s="102">
        <f t="shared" si="552"/>
        <v>-1202590.935</v>
      </c>
      <c r="AL432" s="102">
        <f t="shared" si="552"/>
        <v>-1427222.16</v>
      </c>
      <c r="AM432" s="102">
        <f t="shared" ref="AM432:AV432" si="553">$C432*(4)+$D432*(AM$15-7)</f>
        <v>-1604322.72</v>
      </c>
      <c r="AN432" s="102">
        <f t="shared" si="553"/>
        <v>-1625809.185</v>
      </c>
      <c r="AO432" s="102">
        <f t="shared" si="553"/>
        <v>-1625809.185</v>
      </c>
      <c r="AP432" s="102">
        <f t="shared" si="553"/>
        <v>-1625809.185</v>
      </c>
      <c r="AQ432" s="102">
        <f t="shared" si="553"/>
        <v>-1625809.185</v>
      </c>
      <c r="AR432" s="102">
        <f t="shared" si="553"/>
        <v>-1625809.185</v>
      </c>
      <c r="AS432" s="102">
        <f t="shared" si="553"/>
        <v>-1625809.185</v>
      </c>
      <c r="AT432" s="102">
        <f t="shared" si="553"/>
        <v>-1625809.185</v>
      </c>
      <c r="AU432" s="102">
        <f t="shared" si="553"/>
        <v>-1625809.185</v>
      </c>
      <c r="AV432" s="102">
        <f t="shared" si="553"/>
        <v>-1625809.185</v>
      </c>
      <c r="AW432" s="90"/>
      <c r="AX432" s="90"/>
      <c r="AY432" s="90"/>
      <c r="AZ432" s="90"/>
      <c r="BA432" s="90"/>
      <c r="BB432" s="90"/>
      <c r="BC432" s="90"/>
      <c r="BD432" s="90"/>
      <c r="BE432" s="90"/>
      <c r="BF432" s="90"/>
      <c r="BG432" s="90"/>
      <c r="BH432" s="90"/>
      <c r="BI432" s="90"/>
      <c r="BJ432" s="90"/>
      <c r="BK432" s="90"/>
      <c r="BL432" s="90"/>
      <c r="BM432" s="90"/>
      <c r="BN432" s="90"/>
      <c r="BO432" s="90"/>
      <c r="BP432" s="90"/>
    </row>
    <row r="433" ht="13.5" customHeight="1" outlineLevel="1">
      <c r="A433" s="143" t="str">
        <f>"Total "&amp;A423</f>
        <v>Total Working Capital Loans</v>
      </c>
      <c r="B433" s="143"/>
      <c r="C433" s="309"/>
      <c r="D433" s="309"/>
      <c r="E433" s="309"/>
      <c r="F433" s="309"/>
      <c r="G433" s="309"/>
      <c r="H433" s="314"/>
      <c r="I433" s="314"/>
      <c r="J433" s="314"/>
      <c r="K433" s="311"/>
      <c r="L433" s="311"/>
      <c r="M433" s="307">
        <f t="shared" ref="M433:AV433" si="554">SUM(M424:M432)*M112</f>
        <v>0</v>
      </c>
      <c r="N433" s="307">
        <f t="shared" si="554"/>
        <v>663489.1593</v>
      </c>
      <c r="O433" s="307">
        <f t="shared" si="554"/>
        <v>1001118.557</v>
      </c>
      <c r="P433" s="307">
        <f t="shared" si="554"/>
        <v>1699294.727</v>
      </c>
      <c r="Q433" s="307">
        <f t="shared" si="554"/>
        <v>2817053.235</v>
      </c>
      <c r="R433" s="307">
        <f t="shared" si="554"/>
        <v>4667567.862</v>
      </c>
      <c r="S433" s="307">
        <f t="shared" si="554"/>
        <v>8041954.789</v>
      </c>
      <c r="T433" s="307">
        <f t="shared" si="554"/>
        <v>12710313.34</v>
      </c>
      <c r="U433" s="307">
        <f t="shared" si="554"/>
        <v>16296381.37</v>
      </c>
      <c r="V433" s="307">
        <f t="shared" si="554"/>
        <v>17685634.07</v>
      </c>
      <c r="W433" s="307">
        <f t="shared" si="554"/>
        <v>25893070.89</v>
      </c>
      <c r="X433" s="307">
        <f t="shared" si="554"/>
        <v>32356484.36</v>
      </c>
      <c r="Y433" s="307">
        <f t="shared" si="554"/>
        <v>56644532.64</v>
      </c>
      <c r="Z433" s="307">
        <f t="shared" si="554"/>
        <v>79921957.09</v>
      </c>
      <c r="AA433" s="307">
        <f t="shared" si="554"/>
        <v>103612451.8</v>
      </c>
      <c r="AB433" s="307">
        <f t="shared" si="554"/>
        <v>120981610.4</v>
      </c>
      <c r="AC433" s="307">
        <f t="shared" si="554"/>
        <v>145932649.8</v>
      </c>
      <c r="AD433" s="307">
        <f t="shared" si="554"/>
        <v>162359491.3</v>
      </c>
      <c r="AE433" s="307">
        <f t="shared" si="554"/>
        <v>165622026</v>
      </c>
      <c r="AF433" s="307">
        <f t="shared" si="554"/>
        <v>138259922.3</v>
      </c>
      <c r="AG433" s="307">
        <f t="shared" si="554"/>
        <v>34223497.88</v>
      </c>
      <c r="AH433" s="307">
        <f t="shared" si="554"/>
        <v>5674435.187</v>
      </c>
      <c r="AI433" s="307">
        <f t="shared" si="554"/>
        <v>-1250519.434</v>
      </c>
      <c r="AJ433" s="307">
        <f t="shared" si="554"/>
        <v>-2541442.664</v>
      </c>
      <c r="AK433" s="307">
        <f t="shared" si="554"/>
        <v>-2633513.674</v>
      </c>
      <c r="AL433" s="307">
        <f t="shared" si="554"/>
        <v>-2668990.905</v>
      </c>
      <c r="AM433" s="307">
        <f t="shared" si="554"/>
        <v>-2720658.541</v>
      </c>
      <c r="AN433" s="307">
        <f t="shared" si="554"/>
        <v>-2775071.711</v>
      </c>
      <c r="AO433" s="307">
        <f t="shared" si="554"/>
        <v>-2830573.146</v>
      </c>
      <c r="AP433" s="307" t="str">
        <f t="shared" si="554"/>
        <v>#REF!</v>
      </c>
      <c r="AQ433" s="307" t="str">
        <f t="shared" si="554"/>
        <v>#REF!</v>
      </c>
      <c r="AR433" s="307" t="str">
        <f t="shared" si="554"/>
        <v>#REF!</v>
      </c>
      <c r="AS433" s="307" t="str">
        <f t="shared" si="554"/>
        <v>#REF!</v>
      </c>
      <c r="AT433" s="307" t="str">
        <f t="shared" si="554"/>
        <v>#REF!</v>
      </c>
      <c r="AU433" s="307" t="str">
        <f t="shared" si="554"/>
        <v>#REF!</v>
      </c>
      <c r="AV433" s="307" t="str">
        <f t="shared" si="554"/>
        <v>#REF!</v>
      </c>
      <c r="AW433" s="90"/>
      <c r="AX433" s="90"/>
      <c r="AY433" s="90"/>
      <c r="AZ433" s="90"/>
      <c r="BA433" s="90"/>
      <c r="BB433" s="90"/>
      <c r="BC433" s="90"/>
      <c r="BD433" s="90"/>
      <c r="BE433" s="90"/>
      <c r="BF433" s="90"/>
      <c r="BG433" s="90"/>
      <c r="BH433" s="90"/>
      <c r="BI433" s="90"/>
      <c r="BJ433" s="90"/>
      <c r="BK433" s="90"/>
      <c r="BL433" s="90"/>
      <c r="BM433" s="90"/>
      <c r="BN433" s="90"/>
      <c r="BO433" s="90"/>
      <c r="BP433" s="90"/>
    </row>
    <row r="434" ht="13.5" customHeight="1" outlineLevel="1">
      <c r="A434" s="90"/>
      <c r="C434" s="102"/>
      <c r="D434" s="102"/>
      <c r="E434" s="102"/>
      <c r="F434" s="102"/>
      <c r="G434" s="102"/>
      <c r="K434" s="102"/>
      <c r="L434" s="102"/>
      <c r="M434" s="102"/>
      <c r="N434" s="102"/>
      <c r="O434" s="102"/>
      <c r="P434" s="102"/>
      <c r="Q434" s="102"/>
      <c r="R434" s="102"/>
      <c r="S434" s="102"/>
      <c r="T434" s="102"/>
      <c r="U434" s="102"/>
      <c r="V434" s="102"/>
      <c r="W434" s="102"/>
      <c r="X434" s="102"/>
      <c r="Y434" s="102"/>
      <c r="Z434" s="102"/>
      <c r="AA434" s="102"/>
      <c r="AB434" s="102"/>
      <c r="AC434" s="102"/>
      <c r="AD434" s="102"/>
      <c r="AE434" s="102"/>
      <c r="AF434" s="102"/>
      <c r="AG434" s="102"/>
      <c r="AH434" s="102"/>
      <c r="AI434" s="102"/>
      <c r="AJ434" s="102"/>
      <c r="AK434" s="102"/>
      <c r="AL434" s="102"/>
      <c r="AM434" s="102"/>
      <c r="AN434" s="102"/>
      <c r="AO434" s="102"/>
      <c r="AP434" s="102"/>
      <c r="AQ434" s="102"/>
      <c r="AR434" s="102"/>
      <c r="AS434" s="102"/>
      <c r="AT434" s="102"/>
      <c r="AU434" s="102"/>
      <c r="AV434" s="102"/>
      <c r="AW434" s="90"/>
      <c r="AX434" s="90"/>
      <c r="AY434" s="90"/>
      <c r="AZ434" s="90"/>
      <c r="BA434" s="90"/>
      <c r="BB434" s="90"/>
      <c r="BC434" s="90"/>
      <c r="BD434" s="90"/>
      <c r="BE434" s="90"/>
      <c r="BF434" s="90"/>
      <c r="BG434" s="90"/>
      <c r="BH434" s="90"/>
      <c r="BI434" s="90"/>
      <c r="BJ434" s="90"/>
      <c r="BK434" s="90"/>
      <c r="BL434" s="90"/>
      <c r="BM434" s="90"/>
      <c r="BN434" s="90"/>
      <c r="BO434" s="90"/>
      <c r="BP434" s="90"/>
    </row>
    <row r="435" ht="12.75" customHeight="1" outlineLevel="1">
      <c r="A435" s="90" t="s">
        <v>618</v>
      </c>
      <c r="C435" s="102"/>
      <c r="D435" s="102"/>
      <c r="E435" s="102"/>
      <c r="F435" s="102"/>
      <c r="G435" s="102"/>
      <c r="K435" s="102"/>
      <c r="L435" s="102"/>
      <c r="M435" s="102"/>
      <c r="N435" s="102"/>
      <c r="O435" s="102"/>
      <c r="P435" s="102"/>
      <c r="Q435" s="102"/>
      <c r="R435" s="102"/>
      <c r="S435" s="102"/>
      <c r="T435" s="102"/>
      <c r="U435" s="102"/>
      <c r="V435" s="102"/>
      <c r="W435" s="102"/>
      <c r="X435" s="102"/>
      <c r="Y435" s="102"/>
      <c r="Z435" s="102"/>
      <c r="AA435" s="102"/>
      <c r="AB435" s="102"/>
      <c r="AC435" s="102"/>
      <c r="AD435" s="102"/>
      <c r="AE435" s="102"/>
      <c r="AF435" s="102"/>
      <c r="AG435" s="102"/>
      <c r="AH435" s="102"/>
      <c r="AI435" s="102"/>
      <c r="AJ435" s="102"/>
      <c r="AK435" s="102"/>
      <c r="AL435" s="102"/>
      <c r="AM435" s="102"/>
      <c r="AN435" s="102"/>
      <c r="AO435" s="102"/>
      <c r="AP435" s="102"/>
      <c r="AQ435" s="102"/>
      <c r="AR435" s="102"/>
      <c r="AS435" s="102"/>
      <c r="AT435" s="102"/>
      <c r="AU435" s="102"/>
      <c r="AV435" s="102"/>
      <c r="AW435" s="90"/>
      <c r="AX435" s="90"/>
      <c r="AY435" s="90"/>
      <c r="AZ435" s="90"/>
      <c r="BA435" s="90"/>
      <c r="BB435" s="90"/>
      <c r="BC435" s="90"/>
      <c r="BD435" s="90"/>
      <c r="BE435" s="90"/>
      <c r="BF435" s="90"/>
      <c r="BG435" s="90"/>
      <c r="BH435" s="90"/>
      <c r="BI435" s="90"/>
      <c r="BJ435" s="90"/>
      <c r="BK435" s="90"/>
      <c r="BL435" s="90"/>
      <c r="BM435" s="90"/>
      <c r="BN435" s="90"/>
      <c r="BO435" s="90"/>
      <c r="BP435" s="90"/>
    </row>
    <row r="436" ht="12.75" customHeight="1" outlineLevel="1">
      <c r="A436" s="90" t="s">
        <v>287</v>
      </c>
      <c r="C436" s="102">
        <f>'RSGen 1-7'!$H$47</f>
        <v>0</v>
      </c>
      <c r="D436" s="90"/>
      <c r="E436" s="90"/>
      <c r="F436" s="102"/>
      <c r="G436" s="102"/>
      <c r="H436" s="306"/>
      <c r="I436" s="306"/>
      <c r="J436" s="306"/>
      <c r="K436" s="306"/>
      <c r="L436" s="306"/>
      <c r="M436" s="102">
        <f t="shared" ref="M436:AL436" si="555">(MAX(0,MIN(M7,SUM(M7:M$15)-$E$4))*$E436+MAX(0,MIN(M7,$D$4-SUM(M8:M$15)))*$C436+(M7-(MAX(0,MIN(M7,SUM(M7:M$15)-$E$4))+MAX(0,MIN(M7,$D$4-SUM(M8:M$15)))))*$D436)</f>
        <v>0</v>
      </c>
      <c r="N436" s="102">
        <f t="shared" si="555"/>
        <v>0</v>
      </c>
      <c r="O436" s="102">
        <f t="shared" si="555"/>
        <v>0</v>
      </c>
      <c r="P436" s="102">
        <f t="shared" si="555"/>
        <v>0</v>
      </c>
      <c r="Q436" s="102">
        <f t="shared" si="555"/>
        <v>0</v>
      </c>
      <c r="R436" s="102">
        <f t="shared" si="555"/>
        <v>0</v>
      </c>
      <c r="S436" s="102">
        <f t="shared" si="555"/>
        <v>0</v>
      </c>
      <c r="T436" s="102">
        <f t="shared" si="555"/>
        <v>0</v>
      </c>
      <c r="U436" s="102">
        <f t="shared" si="555"/>
        <v>0</v>
      </c>
      <c r="V436" s="102">
        <f t="shared" si="555"/>
        <v>0</v>
      </c>
      <c r="W436" s="102">
        <f t="shared" si="555"/>
        <v>0</v>
      </c>
      <c r="X436" s="102">
        <f t="shared" si="555"/>
        <v>0</v>
      </c>
      <c r="Y436" s="102">
        <f t="shared" si="555"/>
        <v>0</v>
      </c>
      <c r="Z436" s="102">
        <f t="shared" si="555"/>
        <v>0</v>
      </c>
      <c r="AA436" s="102">
        <f t="shared" si="555"/>
        <v>0</v>
      </c>
      <c r="AB436" s="102">
        <f t="shared" si="555"/>
        <v>0</v>
      </c>
      <c r="AC436" s="102">
        <f t="shared" si="555"/>
        <v>0</v>
      </c>
      <c r="AD436" s="102">
        <f t="shared" si="555"/>
        <v>0</v>
      </c>
      <c r="AE436" s="102">
        <f t="shared" si="555"/>
        <v>0</v>
      </c>
      <c r="AF436" s="102">
        <f t="shared" si="555"/>
        <v>0</v>
      </c>
      <c r="AG436" s="102">
        <f t="shared" si="555"/>
        <v>0</v>
      </c>
      <c r="AH436" s="102">
        <f t="shared" si="555"/>
        <v>0</v>
      </c>
      <c r="AI436" s="102">
        <f t="shared" si="555"/>
        <v>0</v>
      </c>
      <c r="AJ436" s="102">
        <f t="shared" si="555"/>
        <v>0</v>
      </c>
      <c r="AK436" s="102">
        <f t="shared" si="555"/>
        <v>0</v>
      </c>
      <c r="AL436" s="102">
        <f t="shared" si="555"/>
        <v>0</v>
      </c>
      <c r="AM436" s="102">
        <f t="shared" ref="AM436:AV436" si="556">$D436*AM$7</f>
        <v>0</v>
      </c>
      <c r="AN436" s="102">
        <f t="shared" si="556"/>
        <v>0</v>
      </c>
      <c r="AO436" s="102">
        <f t="shared" si="556"/>
        <v>0</v>
      </c>
      <c r="AP436" s="102" t="str">
        <f t="shared" si="556"/>
        <v>#REF!</v>
      </c>
      <c r="AQ436" s="102" t="str">
        <f t="shared" si="556"/>
        <v>#REF!</v>
      </c>
      <c r="AR436" s="102" t="str">
        <f t="shared" si="556"/>
        <v>#REF!</v>
      </c>
      <c r="AS436" s="102" t="str">
        <f t="shared" si="556"/>
        <v>#REF!</v>
      </c>
      <c r="AT436" s="102" t="str">
        <f t="shared" si="556"/>
        <v>#REF!</v>
      </c>
      <c r="AU436" s="102">
        <f t="shared" si="556"/>
        <v>0</v>
      </c>
      <c r="AV436" s="102">
        <f t="shared" si="556"/>
        <v>0</v>
      </c>
      <c r="AW436" s="90"/>
      <c r="AX436" s="90"/>
      <c r="AY436" s="90"/>
      <c r="AZ436" s="90"/>
      <c r="BA436" s="90"/>
      <c r="BB436" s="90"/>
      <c r="BC436" s="90"/>
      <c r="BD436" s="90"/>
      <c r="BE436" s="90"/>
      <c r="BF436" s="90"/>
      <c r="BG436" s="90"/>
      <c r="BH436" s="90"/>
      <c r="BI436" s="90"/>
      <c r="BJ436" s="90"/>
      <c r="BK436" s="90"/>
      <c r="BL436" s="90"/>
      <c r="BM436" s="90"/>
      <c r="BN436" s="90"/>
      <c r="BO436" s="90"/>
      <c r="BP436" s="90"/>
    </row>
    <row r="437" ht="12.75" customHeight="1" outlineLevel="1">
      <c r="A437" s="90" t="s">
        <v>288</v>
      </c>
      <c r="C437" s="102">
        <f>'RSGen 1-7'!$I$47</f>
        <v>392</v>
      </c>
      <c r="D437" s="102">
        <f>OFFSET(RSGen_Walton!$I$47,0,ROW(C437)-ROW($C$437))</f>
        <v>392</v>
      </c>
      <c r="E437" s="102">
        <f>OFFSET(RSGen_none!$I$47,0,ROW(D437)-ROW($C$437))</f>
        <v>392</v>
      </c>
      <c r="F437" s="102"/>
      <c r="G437" s="102"/>
      <c r="H437" s="306"/>
      <c r="I437" s="306"/>
      <c r="J437" s="306"/>
      <c r="K437" s="306"/>
      <c r="L437" s="306"/>
      <c r="M437" s="306"/>
      <c r="N437" s="102">
        <f t="shared" ref="N437:AL437" si="557">(MAX(0,MIN(N8,SUM(N8:N$15)-$E$4))*$E437+MAX(0,MIN(N8,$D$4-SUM(N9:N$15)))*$C437+(N8-(MAX(0,MIN(N8,SUM(N8:N$15)-$E$4))+MAX(0,MIN(N8,$D$4-SUM(N9:N$15)))))*$D437)</f>
        <v>784</v>
      </c>
      <c r="O437" s="102">
        <f t="shared" si="557"/>
        <v>1176</v>
      </c>
      <c r="P437" s="102">
        <f t="shared" si="557"/>
        <v>1960</v>
      </c>
      <c r="Q437" s="102">
        <f t="shared" si="557"/>
        <v>3136</v>
      </c>
      <c r="R437" s="102">
        <f t="shared" si="557"/>
        <v>5096</v>
      </c>
      <c r="S437" s="102">
        <f t="shared" si="557"/>
        <v>8624</v>
      </c>
      <c r="T437" s="102">
        <f t="shared" si="557"/>
        <v>13328</v>
      </c>
      <c r="U437" s="102">
        <f t="shared" si="557"/>
        <v>17640</v>
      </c>
      <c r="V437" s="102">
        <f t="shared" si="557"/>
        <v>17640</v>
      </c>
      <c r="W437" s="102">
        <f t="shared" si="557"/>
        <v>25872</v>
      </c>
      <c r="X437" s="102">
        <f t="shared" si="557"/>
        <v>31360</v>
      </c>
      <c r="Y437" s="102">
        <f t="shared" si="557"/>
        <v>55664</v>
      </c>
      <c r="Z437" s="102">
        <f t="shared" si="557"/>
        <v>75656</v>
      </c>
      <c r="AA437" s="102">
        <f t="shared" si="557"/>
        <v>94864</v>
      </c>
      <c r="AB437" s="102">
        <f t="shared" si="557"/>
        <v>107016</v>
      </c>
      <c r="AC437" s="102">
        <f t="shared" si="557"/>
        <v>127008</v>
      </c>
      <c r="AD437" s="102">
        <f t="shared" si="557"/>
        <v>137200</v>
      </c>
      <c r="AE437" s="102">
        <f t="shared" si="557"/>
        <v>135240</v>
      </c>
      <c r="AF437" s="102">
        <f t="shared" si="557"/>
        <v>106624</v>
      </c>
      <c r="AG437" s="102">
        <f t="shared" si="557"/>
        <v>12936</v>
      </c>
      <c r="AH437" s="102">
        <f t="shared" si="557"/>
        <v>0</v>
      </c>
      <c r="AI437" s="102">
        <f t="shared" si="557"/>
        <v>0</v>
      </c>
      <c r="AJ437" s="102">
        <f t="shared" si="557"/>
        <v>0</v>
      </c>
      <c r="AK437" s="102">
        <f t="shared" si="557"/>
        <v>0</v>
      </c>
      <c r="AL437" s="102">
        <f t="shared" si="557"/>
        <v>0</v>
      </c>
      <c r="AM437" s="102">
        <f t="shared" ref="AM437:AV437" si="558">$D437*AM$8</f>
        <v>0</v>
      </c>
      <c r="AN437" s="102">
        <f t="shared" si="558"/>
        <v>0</v>
      </c>
      <c r="AO437" s="102">
        <f t="shared" si="558"/>
        <v>0</v>
      </c>
      <c r="AP437" s="102">
        <f t="shared" si="558"/>
        <v>0</v>
      </c>
      <c r="AQ437" s="102" t="str">
        <f t="shared" si="558"/>
        <v>#REF!</v>
      </c>
      <c r="AR437" s="102" t="str">
        <f t="shared" si="558"/>
        <v>#REF!</v>
      </c>
      <c r="AS437" s="102" t="str">
        <f t="shared" si="558"/>
        <v>#REF!</v>
      </c>
      <c r="AT437" s="102" t="str">
        <f t="shared" si="558"/>
        <v>#REF!</v>
      </c>
      <c r="AU437" s="102" t="str">
        <f t="shared" si="558"/>
        <v>#REF!</v>
      </c>
      <c r="AV437" s="102">
        <f t="shared" si="558"/>
        <v>0</v>
      </c>
      <c r="AW437" s="90"/>
      <c r="AX437" s="90"/>
      <c r="AY437" s="90"/>
      <c r="AZ437" s="90"/>
      <c r="BA437" s="90"/>
      <c r="BB437" s="90"/>
      <c r="BC437" s="90"/>
      <c r="BD437" s="90"/>
      <c r="BE437" s="90"/>
      <c r="BF437" s="90"/>
      <c r="BG437" s="90"/>
      <c r="BH437" s="90"/>
      <c r="BI437" s="90"/>
      <c r="BJ437" s="90"/>
      <c r="BK437" s="90"/>
      <c r="BL437" s="90"/>
      <c r="BM437" s="90"/>
      <c r="BN437" s="90"/>
      <c r="BO437" s="90"/>
      <c r="BP437" s="90"/>
    </row>
    <row r="438" ht="12.75" customHeight="1" outlineLevel="1">
      <c r="A438" s="90" t="s">
        <v>289</v>
      </c>
      <c r="C438" s="102">
        <f>'RSGen 1-7'!$J$47</f>
        <v>464</v>
      </c>
      <c r="D438" s="102">
        <f>OFFSET(RSGen_Walton!$I$47,0,ROW(C438)-ROW($C$437))</f>
        <v>464</v>
      </c>
      <c r="E438" s="102">
        <f>OFFSET(RSGen_none!$I$47,0,ROW(D438)-ROW($C$437))</f>
        <v>464</v>
      </c>
      <c r="F438" s="102"/>
      <c r="G438" s="102"/>
      <c r="H438" s="306"/>
      <c r="I438" s="306"/>
      <c r="J438" s="306"/>
      <c r="K438" s="306"/>
      <c r="L438" s="306"/>
      <c r="M438" s="306"/>
      <c r="N438" s="306"/>
      <c r="O438" s="102">
        <f t="shared" ref="O438:AL438" si="559">(MAX(0,MIN(O9,SUM(O9:O$15)-$E$4))*$E438+MAX(0,MIN(O9,$D$4-SUM(O10:O$15)))*$C438+(O9-(MAX(0,MIN(O9,SUM(O9:O$15)-$E$4))+MAX(0,MIN(O9,$D$4-SUM(O10:O$15)))))*$D438)</f>
        <v>928</v>
      </c>
      <c r="P438" s="102">
        <f t="shared" si="559"/>
        <v>1392</v>
      </c>
      <c r="Q438" s="102">
        <f t="shared" si="559"/>
        <v>2320</v>
      </c>
      <c r="R438" s="102">
        <f t="shared" si="559"/>
        <v>3712</v>
      </c>
      <c r="S438" s="102">
        <f t="shared" si="559"/>
        <v>6032</v>
      </c>
      <c r="T438" s="102">
        <f t="shared" si="559"/>
        <v>10208</v>
      </c>
      <c r="U438" s="102">
        <f t="shared" si="559"/>
        <v>15776</v>
      </c>
      <c r="V438" s="102">
        <f t="shared" si="559"/>
        <v>20880</v>
      </c>
      <c r="W438" s="102">
        <f t="shared" si="559"/>
        <v>20880</v>
      </c>
      <c r="X438" s="102">
        <f t="shared" si="559"/>
        <v>30624</v>
      </c>
      <c r="Y438" s="102">
        <f t="shared" si="559"/>
        <v>37120</v>
      </c>
      <c r="Z438" s="102">
        <f t="shared" si="559"/>
        <v>65888</v>
      </c>
      <c r="AA438" s="102">
        <f t="shared" si="559"/>
        <v>89552</v>
      </c>
      <c r="AB438" s="102">
        <f t="shared" si="559"/>
        <v>112288</v>
      </c>
      <c r="AC438" s="102">
        <f t="shared" si="559"/>
        <v>126672</v>
      </c>
      <c r="AD438" s="102">
        <f t="shared" si="559"/>
        <v>150336</v>
      </c>
      <c r="AE438" s="102">
        <f t="shared" si="559"/>
        <v>162400</v>
      </c>
      <c r="AF438" s="102">
        <f t="shared" si="559"/>
        <v>160080</v>
      </c>
      <c r="AG438" s="102">
        <f t="shared" si="559"/>
        <v>126208</v>
      </c>
      <c r="AH438" s="102">
        <f t="shared" si="559"/>
        <v>15312</v>
      </c>
      <c r="AI438" s="102">
        <f t="shared" si="559"/>
        <v>0</v>
      </c>
      <c r="AJ438" s="102">
        <f t="shared" si="559"/>
        <v>0</v>
      </c>
      <c r="AK438" s="102">
        <f t="shared" si="559"/>
        <v>0</v>
      </c>
      <c r="AL438" s="102">
        <f t="shared" si="559"/>
        <v>0</v>
      </c>
      <c r="AM438" s="102">
        <f t="shared" ref="AM438:AV438" si="560">$D438*AM$9</f>
        <v>0</v>
      </c>
      <c r="AN438" s="102">
        <f t="shared" si="560"/>
        <v>0</v>
      </c>
      <c r="AO438" s="102">
        <f t="shared" si="560"/>
        <v>0</v>
      </c>
      <c r="AP438" s="102">
        <f t="shared" si="560"/>
        <v>0</v>
      </c>
      <c r="AQ438" s="102">
        <f t="shared" si="560"/>
        <v>0</v>
      </c>
      <c r="AR438" s="102" t="str">
        <f t="shared" si="560"/>
        <v>#REF!</v>
      </c>
      <c r="AS438" s="102" t="str">
        <f t="shared" si="560"/>
        <v>#REF!</v>
      </c>
      <c r="AT438" s="102" t="str">
        <f t="shared" si="560"/>
        <v>#REF!</v>
      </c>
      <c r="AU438" s="102" t="str">
        <f t="shared" si="560"/>
        <v>#REF!</v>
      </c>
      <c r="AV438" s="102" t="str">
        <f t="shared" si="560"/>
        <v>#REF!</v>
      </c>
      <c r="AW438" s="90"/>
      <c r="AX438" s="90"/>
      <c r="AY438" s="90"/>
      <c r="AZ438" s="90"/>
      <c r="BA438" s="90"/>
      <c r="BB438" s="90"/>
      <c r="BC438" s="90"/>
      <c r="BD438" s="90"/>
      <c r="BE438" s="90"/>
      <c r="BF438" s="90"/>
      <c r="BG438" s="90"/>
      <c r="BH438" s="90"/>
      <c r="BI438" s="90"/>
      <c r="BJ438" s="90"/>
      <c r="BK438" s="90"/>
      <c r="BL438" s="90"/>
      <c r="BM438" s="90"/>
      <c r="BN438" s="90"/>
      <c r="BO438" s="90"/>
      <c r="BP438" s="90"/>
    </row>
    <row r="439" ht="12.75" customHeight="1" outlineLevel="1">
      <c r="A439" s="90" t="s">
        <v>290</v>
      </c>
      <c r="C439" s="102">
        <f>'RSGen 1-7'!$K$47</f>
        <v>500</v>
      </c>
      <c r="D439" s="102">
        <f>OFFSET(RSGen_Walton!$I$47,0,ROW(C439)-ROW($C$437))</f>
        <v>500</v>
      </c>
      <c r="E439" s="102">
        <f>OFFSET(RSGen_none!$I$47,0,ROW(D439)-ROW($C$437))</f>
        <v>500</v>
      </c>
      <c r="F439" s="102"/>
      <c r="G439" s="102"/>
      <c r="H439" s="306"/>
      <c r="I439" s="306"/>
      <c r="J439" s="306"/>
      <c r="K439" s="306"/>
      <c r="L439" s="306"/>
      <c r="M439" s="306"/>
      <c r="N439" s="306"/>
      <c r="O439" s="306"/>
      <c r="P439" s="102">
        <f t="shared" ref="P439:AL439" si="561">(MAX(0,MIN(P10,SUM(P10:P$15)-$E$4))*$E439+MAX(0,MIN(P10,$D$4-SUM(P11:P$15)))*$C439+(P10-(MAX(0,MIN(P10,SUM(P10:P$15)-$E$4))+MAX(0,MIN(P10,$D$4-SUM(P11:P$15)))))*$D439)</f>
        <v>1000</v>
      </c>
      <c r="Q439" s="102">
        <f t="shared" si="561"/>
        <v>1500</v>
      </c>
      <c r="R439" s="102">
        <f t="shared" si="561"/>
        <v>2500</v>
      </c>
      <c r="S439" s="102">
        <f t="shared" si="561"/>
        <v>4000</v>
      </c>
      <c r="T439" s="102">
        <f t="shared" si="561"/>
        <v>6500</v>
      </c>
      <c r="U439" s="102">
        <f t="shared" si="561"/>
        <v>11000</v>
      </c>
      <c r="V439" s="102">
        <f t="shared" si="561"/>
        <v>17000</v>
      </c>
      <c r="W439" s="102">
        <f t="shared" si="561"/>
        <v>22500</v>
      </c>
      <c r="X439" s="102">
        <f t="shared" si="561"/>
        <v>22500</v>
      </c>
      <c r="Y439" s="102">
        <f t="shared" si="561"/>
        <v>33000</v>
      </c>
      <c r="Z439" s="102">
        <f t="shared" si="561"/>
        <v>40000</v>
      </c>
      <c r="AA439" s="102">
        <f t="shared" si="561"/>
        <v>71000</v>
      </c>
      <c r="AB439" s="102">
        <f t="shared" si="561"/>
        <v>96500</v>
      </c>
      <c r="AC439" s="102">
        <f t="shared" si="561"/>
        <v>121000</v>
      </c>
      <c r="AD439" s="102">
        <f t="shared" si="561"/>
        <v>136500</v>
      </c>
      <c r="AE439" s="102">
        <f t="shared" si="561"/>
        <v>162000</v>
      </c>
      <c r="AF439" s="102">
        <f t="shared" si="561"/>
        <v>175000</v>
      </c>
      <c r="AG439" s="102">
        <f t="shared" si="561"/>
        <v>172500</v>
      </c>
      <c r="AH439" s="102">
        <f t="shared" si="561"/>
        <v>136000</v>
      </c>
      <c r="AI439" s="102">
        <f t="shared" si="561"/>
        <v>16500</v>
      </c>
      <c r="AJ439" s="102">
        <f t="shared" si="561"/>
        <v>0</v>
      </c>
      <c r="AK439" s="102">
        <f t="shared" si="561"/>
        <v>0</v>
      </c>
      <c r="AL439" s="102">
        <f t="shared" si="561"/>
        <v>0</v>
      </c>
      <c r="AM439" s="102">
        <f t="shared" ref="AM439:AV439" si="562">$D439*AM$10</f>
        <v>0</v>
      </c>
      <c r="AN439" s="102">
        <f t="shared" si="562"/>
        <v>0</v>
      </c>
      <c r="AO439" s="102">
        <f t="shared" si="562"/>
        <v>0</v>
      </c>
      <c r="AP439" s="102">
        <f t="shared" si="562"/>
        <v>0</v>
      </c>
      <c r="AQ439" s="102">
        <f t="shared" si="562"/>
        <v>0</v>
      </c>
      <c r="AR439" s="102">
        <f t="shared" si="562"/>
        <v>0</v>
      </c>
      <c r="AS439" s="102" t="str">
        <f t="shared" si="562"/>
        <v>#REF!</v>
      </c>
      <c r="AT439" s="102" t="str">
        <f t="shared" si="562"/>
        <v>#REF!</v>
      </c>
      <c r="AU439" s="102" t="str">
        <f t="shared" si="562"/>
        <v>#REF!</v>
      </c>
      <c r="AV439" s="102" t="str">
        <f t="shared" si="562"/>
        <v>#REF!</v>
      </c>
      <c r="AW439" s="90"/>
      <c r="AX439" s="90"/>
      <c r="AY439" s="90"/>
      <c r="AZ439" s="90"/>
      <c r="BA439" s="90"/>
      <c r="BB439" s="90"/>
      <c r="BC439" s="90"/>
      <c r="BD439" s="90"/>
      <c r="BE439" s="90"/>
      <c r="BF439" s="90"/>
      <c r="BG439" s="90"/>
      <c r="BH439" s="90"/>
      <c r="BI439" s="90"/>
      <c r="BJ439" s="90"/>
      <c r="BK439" s="90"/>
      <c r="BL439" s="90"/>
      <c r="BM439" s="90"/>
      <c r="BN439" s="90"/>
      <c r="BO439" s="90"/>
      <c r="BP439" s="90"/>
    </row>
    <row r="440" ht="12.75" customHeight="1" outlineLevel="1">
      <c r="A440" s="90" t="s">
        <v>291</v>
      </c>
      <c r="C440" s="102">
        <f>'RSGen 1-7'!$L$47</f>
        <v>500</v>
      </c>
      <c r="D440" s="102">
        <f>OFFSET(RSGen_Walton!$I$47,0,ROW(C440)-ROW($C$437))</f>
        <v>500</v>
      </c>
      <c r="E440" s="102">
        <f>OFFSET(RSGen_none!$I$47,0,ROW(D440)-ROW($C$437))</f>
        <v>500</v>
      </c>
      <c r="F440" s="102"/>
      <c r="G440" s="102"/>
      <c r="H440" s="306"/>
      <c r="I440" s="306"/>
      <c r="J440" s="306"/>
      <c r="K440" s="306"/>
      <c r="L440" s="306"/>
      <c r="M440" s="306"/>
      <c r="N440" s="306"/>
      <c r="O440" s="306"/>
      <c r="P440" s="306"/>
      <c r="Q440" s="102">
        <f t="shared" ref="Q440:AL440" si="563">(MAX(0,MIN(Q11,SUM(Q11:Q$15)-$E$4))*$E440+MAX(0,MIN(Q11,$D$4-SUM(Q12:Q$15)))*$C440+(Q11-(MAX(0,MIN(Q11,SUM(Q11:Q$15)-$E$4))+MAX(0,MIN(Q11,$D$4-SUM(Q12:Q$15)))))*$D440)</f>
        <v>1000</v>
      </c>
      <c r="R440" s="102">
        <f t="shared" si="563"/>
        <v>1500</v>
      </c>
      <c r="S440" s="102">
        <f t="shared" si="563"/>
        <v>2500</v>
      </c>
      <c r="T440" s="102">
        <f t="shared" si="563"/>
        <v>4000</v>
      </c>
      <c r="U440" s="102">
        <f t="shared" si="563"/>
        <v>6500</v>
      </c>
      <c r="V440" s="102">
        <f t="shared" si="563"/>
        <v>11000</v>
      </c>
      <c r="W440" s="102">
        <f t="shared" si="563"/>
        <v>17000</v>
      </c>
      <c r="X440" s="102">
        <f t="shared" si="563"/>
        <v>22500</v>
      </c>
      <c r="Y440" s="102">
        <f t="shared" si="563"/>
        <v>22500</v>
      </c>
      <c r="Z440" s="102">
        <f t="shared" si="563"/>
        <v>33000</v>
      </c>
      <c r="AA440" s="102">
        <f t="shared" si="563"/>
        <v>40000</v>
      </c>
      <c r="AB440" s="102">
        <f t="shared" si="563"/>
        <v>71000</v>
      </c>
      <c r="AC440" s="102">
        <f t="shared" si="563"/>
        <v>96500</v>
      </c>
      <c r="AD440" s="102">
        <f t="shared" si="563"/>
        <v>121000</v>
      </c>
      <c r="AE440" s="102">
        <f t="shared" si="563"/>
        <v>136500</v>
      </c>
      <c r="AF440" s="102">
        <f t="shared" si="563"/>
        <v>162000</v>
      </c>
      <c r="AG440" s="102">
        <f t="shared" si="563"/>
        <v>175000</v>
      </c>
      <c r="AH440" s="102">
        <f t="shared" si="563"/>
        <v>172500</v>
      </c>
      <c r="AI440" s="102">
        <f t="shared" si="563"/>
        <v>136000</v>
      </c>
      <c r="AJ440" s="102">
        <f t="shared" si="563"/>
        <v>16500</v>
      </c>
      <c r="AK440" s="102">
        <f t="shared" si="563"/>
        <v>0</v>
      </c>
      <c r="AL440" s="102">
        <f t="shared" si="563"/>
        <v>0</v>
      </c>
      <c r="AM440" s="102">
        <f t="shared" ref="AM440:AV440" si="564">$D440*AM$11</f>
        <v>0</v>
      </c>
      <c r="AN440" s="102">
        <f t="shared" si="564"/>
        <v>0</v>
      </c>
      <c r="AO440" s="102">
        <f t="shared" si="564"/>
        <v>0</v>
      </c>
      <c r="AP440" s="102">
        <f t="shared" si="564"/>
        <v>0</v>
      </c>
      <c r="AQ440" s="102">
        <f t="shared" si="564"/>
        <v>0</v>
      </c>
      <c r="AR440" s="102">
        <f t="shared" si="564"/>
        <v>0</v>
      </c>
      <c r="AS440" s="102">
        <f t="shared" si="564"/>
        <v>0</v>
      </c>
      <c r="AT440" s="102" t="str">
        <f t="shared" si="564"/>
        <v>#REF!</v>
      </c>
      <c r="AU440" s="102" t="str">
        <f t="shared" si="564"/>
        <v>#REF!</v>
      </c>
      <c r="AV440" s="102" t="str">
        <f t="shared" si="564"/>
        <v>#REF!</v>
      </c>
      <c r="AW440" s="90"/>
      <c r="AX440" s="90"/>
      <c r="AY440" s="90"/>
      <c r="AZ440" s="90"/>
      <c r="BA440" s="90"/>
      <c r="BB440" s="90"/>
      <c r="BC440" s="90"/>
      <c r="BD440" s="90"/>
      <c r="BE440" s="90"/>
      <c r="BF440" s="90"/>
      <c r="BG440" s="90"/>
      <c r="BH440" s="90"/>
      <c r="BI440" s="90"/>
      <c r="BJ440" s="90"/>
      <c r="BK440" s="90"/>
      <c r="BL440" s="90"/>
      <c r="BM440" s="90"/>
      <c r="BN440" s="90"/>
      <c r="BO440" s="90"/>
      <c r="BP440" s="90"/>
    </row>
    <row r="441" ht="12.75" customHeight="1" outlineLevel="1">
      <c r="A441" s="90" t="s">
        <v>292</v>
      </c>
      <c r="C441" s="102">
        <f>'RSGen 1-7'!$M$47</f>
        <v>500</v>
      </c>
      <c r="D441" s="102">
        <f>OFFSET(RSGen_Walton!$I$47,0,ROW(C441)-ROW($C$437))</f>
        <v>500</v>
      </c>
      <c r="E441" s="102">
        <f>OFFSET(RSGen_none!$I$47,0,ROW(D441)-ROW($C$437))</f>
        <v>500</v>
      </c>
      <c r="F441" s="102"/>
      <c r="G441" s="102"/>
      <c r="H441" s="306"/>
      <c r="I441" s="306"/>
      <c r="J441" s="306"/>
      <c r="K441" s="306"/>
      <c r="L441" s="306"/>
      <c r="M441" s="306"/>
      <c r="N441" s="306"/>
      <c r="O441" s="306"/>
      <c r="P441" s="306"/>
      <c r="Q441" s="306"/>
      <c r="R441" s="102">
        <f t="shared" ref="R441:AL441" si="565">(MAX(0,MIN(R12,SUM(R12:R$15)-$E$4))*$E441+MAX(0,MIN(R12,$D$4-SUM(R13:R$15)))*$C441+(R12-(MAX(0,MIN(R12,SUM(R12:R$15)-$E$4))+MAX(0,MIN(R12,$D$4-SUM(R13:R$15)))))*$D441)</f>
        <v>1000</v>
      </c>
      <c r="S441" s="102">
        <f t="shared" si="565"/>
        <v>1500</v>
      </c>
      <c r="T441" s="102">
        <f t="shared" si="565"/>
        <v>2500</v>
      </c>
      <c r="U441" s="102">
        <f t="shared" si="565"/>
        <v>4000</v>
      </c>
      <c r="V441" s="102">
        <f t="shared" si="565"/>
        <v>6500</v>
      </c>
      <c r="W441" s="102">
        <f t="shared" si="565"/>
        <v>11000</v>
      </c>
      <c r="X441" s="102">
        <f t="shared" si="565"/>
        <v>17000</v>
      </c>
      <c r="Y441" s="102">
        <f t="shared" si="565"/>
        <v>22500</v>
      </c>
      <c r="Z441" s="102">
        <f t="shared" si="565"/>
        <v>22500</v>
      </c>
      <c r="AA441" s="102">
        <f t="shared" si="565"/>
        <v>33000</v>
      </c>
      <c r="AB441" s="102">
        <f t="shared" si="565"/>
        <v>40000</v>
      </c>
      <c r="AC441" s="102">
        <f t="shared" si="565"/>
        <v>71000</v>
      </c>
      <c r="AD441" s="102">
        <f t="shared" si="565"/>
        <v>96500</v>
      </c>
      <c r="AE441" s="102">
        <f t="shared" si="565"/>
        <v>121000</v>
      </c>
      <c r="AF441" s="102">
        <f t="shared" si="565"/>
        <v>136500</v>
      </c>
      <c r="AG441" s="102">
        <f t="shared" si="565"/>
        <v>162000</v>
      </c>
      <c r="AH441" s="102">
        <f t="shared" si="565"/>
        <v>175000</v>
      </c>
      <c r="AI441" s="102">
        <f t="shared" si="565"/>
        <v>172500</v>
      </c>
      <c r="AJ441" s="102">
        <f t="shared" si="565"/>
        <v>136000</v>
      </c>
      <c r="AK441" s="102">
        <f t="shared" si="565"/>
        <v>16500</v>
      </c>
      <c r="AL441" s="102">
        <f t="shared" si="565"/>
        <v>0</v>
      </c>
      <c r="AM441" s="102">
        <f t="shared" ref="AM441:AV441" si="566">$D441*AM$12</f>
        <v>0</v>
      </c>
      <c r="AN441" s="102">
        <f t="shared" si="566"/>
        <v>0</v>
      </c>
      <c r="AO441" s="102">
        <f t="shared" si="566"/>
        <v>0</v>
      </c>
      <c r="AP441" s="102">
        <f t="shared" si="566"/>
        <v>0</v>
      </c>
      <c r="AQ441" s="102">
        <f t="shared" si="566"/>
        <v>0</v>
      </c>
      <c r="AR441" s="102">
        <f t="shared" si="566"/>
        <v>0</v>
      </c>
      <c r="AS441" s="102">
        <f t="shared" si="566"/>
        <v>0</v>
      </c>
      <c r="AT441" s="102">
        <f t="shared" si="566"/>
        <v>0</v>
      </c>
      <c r="AU441" s="102" t="str">
        <f t="shared" si="566"/>
        <v>#REF!</v>
      </c>
      <c r="AV441" s="102" t="str">
        <f t="shared" si="566"/>
        <v>#REF!</v>
      </c>
      <c r="AW441" s="90"/>
      <c r="AX441" s="90"/>
      <c r="AY441" s="90"/>
      <c r="AZ441" s="90"/>
      <c r="BA441" s="90"/>
      <c r="BB441" s="90"/>
      <c r="BC441" s="90"/>
      <c r="BD441" s="90"/>
      <c r="BE441" s="90"/>
      <c r="BF441" s="90"/>
      <c r="BG441" s="90"/>
      <c r="BH441" s="90"/>
      <c r="BI441" s="90"/>
      <c r="BJ441" s="90"/>
      <c r="BK441" s="90"/>
      <c r="BL441" s="90"/>
      <c r="BM441" s="90"/>
      <c r="BN441" s="90"/>
      <c r="BO441" s="90"/>
      <c r="BP441" s="90"/>
    </row>
    <row r="442" ht="12.75" customHeight="1" outlineLevel="1">
      <c r="A442" s="90" t="s">
        <v>293</v>
      </c>
      <c r="C442" s="102">
        <f>'RSGen 1-7'!$N$47</f>
        <v>500</v>
      </c>
      <c r="D442" s="102">
        <f>OFFSET(RSGen_Walton!$I$47,0,ROW(C442)-ROW($C$437))</f>
        <v>500</v>
      </c>
      <c r="E442" s="102">
        <f>OFFSET(RSGen_none!$I$47,0,ROW(D442)-ROW($C$437))</f>
        <v>500</v>
      </c>
      <c r="F442" s="102"/>
      <c r="G442" s="102"/>
      <c r="H442" s="306"/>
      <c r="I442" s="306"/>
      <c r="J442" s="306"/>
      <c r="K442" s="306"/>
      <c r="L442" s="306"/>
      <c r="M442" s="306"/>
      <c r="N442" s="306"/>
      <c r="O442" s="306"/>
      <c r="P442" s="306"/>
      <c r="Q442" s="306"/>
      <c r="R442" s="306"/>
      <c r="S442" s="102">
        <f t="shared" ref="S442:AL442" si="567">(MAX(0,MIN(S13,SUM(S13:S$15)-$E$4))*$E442+MAX(0,MIN(S13,$D$4-SUM(S14:S$15)))*$C442+(S13-(MAX(0,MIN(S13,SUM(S13:S$15)-$E$4))+MAX(0,MIN(S13,$D$4-SUM(S14:S$15)))))*$D442)</f>
        <v>1000</v>
      </c>
      <c r="T442" s="102">
        <f t="shared" si="567"/>
        <v>1500</v>
      </c>
      <c r="U442" s="102">
        <f t="shared" si="567"/>
        <v>2500</v>
      </c>
      <c r="V442" s="102">
        <f t="shared" si="567"/>
        <v>4000</v>
      </c>
      <c r="W442" s="102">
        <f t="shared" si="567"/>
        <v>6500</v>
      </c>
      <c r="X442" s="102">
        <f t="shared" si="567"/>
        <v>11000</v>
      </c>
      <c r="Y442" s="102">
        <f t="shared" si="567"/>
        <v>17000</v>
      </c>
      <c r="Z442" s="102">
        <f t="shared" si="567"/>
        <v>22500</v>
      </c>
      <c r="AA442" s="102">
        <f t="shared" si="567"/>
        <v>22500</v>
      </c>
      <c r="AB442" s="102">
        <f t="shared" si="567"/>
        <v>33000</v>
      </c>
      <c r="AC442" s="102">
        <f t="shared" si="567"/>
        <v>40000</v>
      </c>
      <c r="AD442" s="102">
        <f t="shared" si="567"/>
        <v>71000</v>
      </c>
      <c r="AE442" s="102">
        <f t="shared" si="567"/>
        <v>96500</v>
      </c>
      <c r="AF442" s="102">
        <f t="shared" si="567"/>
        <v>121000</v>
      </c>
      <c r="AG442" s="102">
        <f t="shared" si="567"/>
        <v>136500</v>
      </c>
      <c r="AH442" s="102">
        <f t="shared" si="567"/>
        <v>162000</v>
      </c>
      <c r="AI442" s="102">
        <f t="shared" si="567"/>
        <v>175000</v>
      </c>
      <c r="AJ442" s="102">
        <f t="shared" si="567"/>
        <v>172500</v>
      </c>
      <c r="AK442" s="102">
        <f t="shared" si="567"/>
        <v>136000</v>
      </c>
      <c r="AL442" s="102">
        <f t="shared" si="567"/>
        <v>16500</v>
      </c>
      <c r="AM442" s="102">
        <f t="shared" ref="AM442:AV442" si="568">$D442*AM$13</f>
        <v>0</v>
      </c>
      <c r="AN442" s="102">
        <f t="shared" si="568"/>
        <v>0</v>
      </c>
      <c r="AO442" s="102">
        <f t="shared" si="568"/>
        <v>0</v>
      </c>
      <c r="AP442" s="102">
        <f t="shared" si="568"/>
        <v>0</v>
      </c>
      <c r="AQ442" s="102">
        <f t="shared" si="568"/>
        <v>0</v>
      </c>
      <c r="AR442" s="102">
        <f t="shared" si="568"/>
        <v>0</v>
      </c>
      <c r="AS442" s="102">
        <f t="shared" si="568"/>
        <v>0</v>
      </c>
      <c r="AT442" s="102">
        <f t="shared" si="568"/>
        <v>0</v>
      </c>
      <c r="AU442" s="102">
        <f t="shared" si="568"/>
        <v>0</v>
      </c>
      <c r="AV442" s="102" t="str">
        <f t="shared" si="568"/>
        <v>#REF!</v>
      </c>
      <c r="AW442" s="90"/>
      <c r="AX442" s="90"/>
      <c r="AY442" s="90"/>
      <c r="AZ442" s="90"/>
      <c r="BA442" s="90"/>
      <c r="BB442" s="90"/>
      <c r="BC442" s="90"/>
      <c r="BD442" s="90"/>
      <c r="BE442" s="90"/>
      <c r="BF442" s="90"/>
      <c r="BG442" s="90"/>
      <c r="BH442" s="90"/>
      <c r="BI442" s="90"/>
      <c r="BJ442" s="90"/>
      <c r="BK442" s="90"/>
      <c r="BL442" s="90"/>
      <c r="BM442" s="90"/>
      <c r="BN442" s="90"/>
      <c r="BO442" s="90"/>
      <c r="BP442" s="90"/>
    </row>
    <row r="443" ht="12.75" customHeight="1" outlineLevel="1">
      <c r="A443" s="90" t="s">
        <v>294</v>
      </c>
      <c r="C443" s="102">
        <f>'RSGen 1-7'!$O$47</f>
        <v>500</v>
      </c>
      <c r="D443" s="102">
        <f>OFFSET(RSGen_Walton!$I$47,0,ROW(C443)-ROW($C$437))</f>
        <v>500</v>
      </c>
      <c r="E443" s="102">
        <f>OFFSET(RSGen_none!$I$47,0,ROW(D443)-ROW($C$437))</f>
        <v>500</v>
      </c>
      <c r="F443" s="102"/>
      <c r="G443" s="102"/>
      <c r="H443" s="306"/>
      <c r="I443" s="306"/>
      <c r="J443" s="306"/>
      <c r="K443" s="306"/>
      <c r="L443" s="306"/>
      <c r="M443" s="306"/>
      <c r="N443" s="306"/>
      <c r="O443" s="306"/>
      <c r="P443" s="306"/>
      <c r="Q443" s="306"/>
      <c r="R443" s="306"/>
      <c r="S443" s="306"/>
      <c r="T443" s="102">
        <f t="shared" ref="T443:AL443" si="569">(MAX(0,MIN(T14,SUM(T14:T$15)-$E$4))*$E443+MAX(0,MIN(T14,$D$4-SUM(T$15:T15)))*$C443+(T14-(MAX(0,MIN(T14,SUM(T14:T$15)-$E$4))+MAX(0,MIN(T14,$D$4-SUM(T$15:T15)))))*$D443)</f>
        <v>1000</v>
      </c>
      <c r="U443" s="102">
        <f t="shared" si="569"/>
        <v>1500</v>
      </c>
      <c r="V443" s="102">
        <f t="shared" si="569"/>
        <v>2500</v>
      </c>
      <c r="W443" s="102">
        <f t="shared" si="569"/>
        <v>4000</v>
      </c>
      <c r="X443" s="102">
        <f t="shared" si="569"/>
        <v>6500</v>
      </c>
      <c r="Y443" s="102">
        <f t="shared" si="569"/>
        <v>11000</v>
      </c>
      <c r="Z443" s="102">
        <f t="shared" si="569"/>
        <v>17000</v>
      </c>
      <c r="AA443" s="102">
        <f t="shared" si="569"/>
        <v>22500</v>
      </c>
      <c r="AB443" s="102">
        <f t="shared" si="569"/>
        <v>22500</v>
      </c>
      <c r="AC443" s="102">
        <f t="shared" si="569"/>
        <v>33000</v>
      </c>
      <c r="AD443" s="102">
        <f t="shared" si="569"/>
        <v>40000</v>
      </c>
      <c r="AE443" s="102">
        <f t="shared" si="569"/>
        <v>71000</v>
      </c>
      <c r="AF443" s="102">
        <f t="shared" si="569"/>
        <v>96500</v>
      </c>
      <c r="AG443" s="102">
        <f t="shared" si="569"/>
        <v>121000</v>
      </c>
      <c r="AH443" s="102">
        <f t="shared" si="569"/>
        <v>136500</v>
      </c>
      <c r="AI443" s="102">
        <f t="shared" si="569"/>
        <v>162000</v>
      </c>
      <c r="AJ443" s="102">
        <f t="shared" si="569"/>
        <v>175000</v>
      </c>
      <c r="AK443" s="102">
        <f t="shared" si="569"/>
        <v>172500</v>
      </c>
      <c r="AL443" s="102">
        <f t="shared" si="569"/>
        <v>136000</v>
      </c>
      <c r="AM443" s="102">
        <f t="shared" ref="AM443:AV443" si="570">$D443*AM$14</f>
        <v>16500</v>
      </c>
      <c r="AN443" s="102">
        <f t="shared" si="570"/>
        <v>0</v>
      </c>
      <c r="AO443" s="102">
        <f t="shared" si="570"/>
        <v>0</v>
      </c>
      <c r="AP443" s="102">
        <f t="shared" si="570"/>
        <v>0</v>
      </c>
      <c r="AQ443" s="102">
        <f t="shared" si="570"/>
        <v>0</v>
      </c>
      <c r="AR443" s="102">
        <f t="shared" si="570"/>
        <v>0</v>
      </c>
      <c r="AS443" s="102">
        <f t="shared" si="570"/>
        <v>0</v>
      </c>
      <c r="AT443" s="102">
        <f t="shared" si="570"/>
        <v>0</v>
      </c>
      <c r="AU443" s="102">
        <f t="shared" si="570"/>
        <v>0</v>
      </c>
      <c r="AV443" s="102">
        <f t="shared" si="570"/>
        <v>0</v>
      </c>
      <c r="AW443" s="90"/>
      <c r="AX443" s="90"/>
      <c r="AY443" s="90"/>
      <c r="AZ443" s="90"/>
      <c r="BA443" s="90"/>
      <c r="BB443" s="90"/>
      <c r="BC443" s="90"/>
      <c r="BD443" s="90"/>
      <c r="BE443" s="90"/>
      <c r="BF443" s="90"/>
      <c r="BG443" s="90"/>
      <c r="BH443" s="90"/>
      <c r="BI443" s="90"/>
      <c r="BJ443" s="90"/>
      <c r="BK443" s="90"/>
      <c r="BL443" s="90"/>
      <c r="BM443" s="90"/>
      <c r="BN443" s="90"/>
      <c r="BO443" s="90"/>
      <c r="BP443" s="90"/>
    </row>
    <row r="444" ht="12.75" customHeight="1" outlineLevel="1">
      <c r="A444" s="90" t="s">
        <v>295</v>
      </c>
      <c r="C444" s="102">
        <f>'RSGen 1-7'!$P$47</f>
        <v>500</v>
      </c>
      <c r="D444" s="102">
        <f>OFFSET(RSGen_Walton!$I$47,0,ROW(C444)-ROW($C$437))</f>
        <v>500</v>
      </c>
      <c r="E444" s="102">
        <f>OFFSET(RSGen_none!$I$47,0,ROW(D444)-ROW($C$437))</f>
        <v>500</v>
      </c>
      <c r="F444" s="102"/>
      <c r="G444" s="102"/>
      <c r="H444" s="306"/>
      <c r="I444" s="306"/>
      <c r="J444" s="306"/>
      <c r="K444" s="306"/>
      <c r="L444" s="306"/>
      <c r="M444" s="306"/>
      <c r="N444" s="306"/>
      <c r="O444" s="306"/>
      <c r="P444" s="306"/>
      <c r="Q444" s="306"/>
      <c r="R444" s="306"/>
      <c r="S444" s="306"/>
      <c r="T444" s="306"/>
      <c r="U444" s="102">
        <f t="shared" ref="U444:AL444" si="571">($C444*MIN($D$4-3,U15-3)+$D444*MIN($E$4-$D$4,MAX(0,U15-$D$4))+$E444*MAX(0,U15-$E$4))</f>
        <v>1000</v>
      </c>
      <c r="V444" s="102">
        <f t="shared" si="571"/>
        <v>2500</v>
      </c>
      <c r="W444" s="102">
        <f t="shared" si="571"/>
        <v>5000</v>
      </c>
      <c r="X444" s="102">
        <f t="shared" si="571"/>
        <v>9000</v>
      </c>
      <c r="Y444" s="102">
        <f t="shared" si="571"/>
        <v>15500</v>
      </c>
      <c r="Z444" s="102">
        <f t="shared" si="571"/>
        <v>26500</v>
      </c>
      <c r="AA444" s="102">
        <f t="shared" si="571"/>
        <v>43500</v>
      </c>
      <c r="AB444" s="102">
        <f t="shared" si="571"/>
        <v>66000</v>
      </c>
      <c r="AC444" s="102">
        <f t="shared" si="571"/>
        <v>88500</v>
      </c>
      <c r="AD444" s="102">
        <f t="shared" si="571"/>
        <v>121500</v>
      </c>
      <c r="AE444" s="102">
        <f t="shared" si="571"/>
        <v>161500</v>
      </c>
      <c r="AF444" s="102">
        <f t="shared" si="571"/>
        <v>232500</v>
      </c>
      <c r="AG444" s="102">
        <f t="shared" si="571"/>
        <v>329000</v>
      </c>
      <c r="AH444" s="102">
        <f t="shared" si="571"/>
        <v>450000</v>
      </c>
      <c r="AI444" s="102">
        <f t="shared" si="571"/>
        <v>586500</v>
      </c>
      <c r="AJ444" s="102">
        <f t="shared" si="571"/>
        <v>748500</v>
      </c>
      <c r="AK444" s="102">
        <f t="shared" si="571"/>
        <v>923500</v>
      </c>
      <c r="AL444" s="102">
        <f t="shared" si="571"/>
        <v>1096000</v>
      </c>
      <c r="AM444" s="102">
        <f t="shared" ref="AM444:AV444" si="572">$C444*(4)+$D444*(AM$15-7)</f>
        <v>1232000</v>
      </c>
      <c r="AN444" s="102">
        <f t="shared" si="572"/>
        <v>1248500</v>
      </c>
      <c r="AO444" s="102">
        <f t="shared" si="572"/>
        <v>1248500</v>
      </c>
      <c r="AP444" s="102">
        <f t="shared" si="572"/>
        <v>1248500</v>
      </c>
      <c r="AQ444" s="102">
        <f t="shared" si="572"/>
        <v>1248500</v>
      </c>
      <c r="AR444" s="102">
        <f t="shared" si="572"/>
        <v>1248500</v>
      </c>
      <c r="AS444" s="102">
        <f t="shared" si="572"/>
        <v>1248500</v>
      </c>
      <c r="AT444" s="102">
        <f t="shared" si="572"/>
        <v>1248500</v>
      </c>
      <c r="AU444" s="102">
        <f t="shared" si="572"/>
        <v>1248500</v>
      </c>
      <c r="AV444" s="102">
        <f t="shared" si="572"/>
        <v>1248500</v>
      </c>
      <c r="AW444" s="90"/>
      <c r="AX444" s="90"/>
      <c r="AY444" s="90"/>
      <c r="AZ444" s="90"/>
      <c r="BA444" s="90"/>
      <c r="BB444" s="90"/>
      <c r="BC444" s="90"/>
      <c r="BD444" s="90"/>
      <c r="BE444" s="90"/>
      <c r="BF444" s="90"/>
      <c r="BG444" s="90"/>
      <c r="BH444" s="90"/>
      <c r="BI444" s="90"/>
      <c r="BJ444" s="90"/>
      <c r="BK444" s="90"/>
      <c r="BL444" s="90"/>
      <c r="BM444" s="90"/>
      <c r="BN444" s="90"/>
      <c r="BO444" s="90"/>
      <c r="BP444" s="90"/>
    </row>
    <row r="445" ht="12.75" customHeight="1" outlineLevel="1">
      <c r="A445" s="143" t="s">
        <v>619</v>
      </c>
      <c r="B445" s="143"/>
      <c r="C445" s="309"/>
      <c r="D445" s="309"/>
      <c r="E445" s="309"/>
      <c r="F445" s="309"/>
      <c r="G445" s="309"/>
      <c r="H445" s="314"/>
      <c r="I445" s="314"/>
      <c r="J445" s="314"/>
      <c r="K445" s="311"/>
      <c r="L445" s="311"/>
      <c r="M445" s="309">
        <f t="shared" ref="M445:AV445" si="573">SUM(M436:M444)</f>
        <v>0</v>
      </c>
      <c r="N445" s="309">
        <f t="shared" si="573"/>
        <v>784</v>
      </c>
      <c r="O445" s="309">
        <f t="shared" si="573"/>
        <v>2104</v>
      </c>
      <c r="P445" s="309">
        <f t="shared" si="573"/>
        <v>4352</v>
      </c>
      <c r="Q445" s="309">
        <f t="shared" si="573"/>
        <v>7956</v>
      </c>
      <c r="R445" s="309">
        <f t="shared" si="573"/>
        <v>13808</v>
      </c>
      <c r="S445" s="309">
        <f t="shared" si="573"/>
        <v>23656</v>
      </c>
      <c r="T445" s="309">
        <f t="shared" si="573"/>
        <v>39036</v>
      </c>
      <c r="U445" s="309">
        <f t="shared" si="573"/>
        <v>59916</v>
      </c>
      <c r="V445" s="309">
        <f t="shared" si="573"/>
        <v>82020</v>
      </c>
      <c r="W445" s="309">
        <f t="shared" si="573"/>
        <v>112752</v>
      </c>
      <c r="X445" s="309">
        <f t="shared" si="573"/>
        <v>150484</v>
      </c>
      <c r="Y445" s="309">
        <f t="shared" si="573"/>
        <v>214284</v>
      </c>
      <c r="Z445" s="309">
        <f t="shared" si="573"/>
        <v>303044</v>
      </c>
      <c r="AA445" s="309">
        <f t="shared" si="573"/>
        <v>416916</v>
      </c>
      <c r="AB445" s="309">
        <f t="shared" si="573"/>
        <v>548304</v>
      </c>
      <c r="AC445" s="309">
        <f t="shared" si="573"/>
        <v>703680</v>
      </c>
      <c r="AD445" s="309">
        <f t="shared" si="573"/>
        <v>874036</v>
      </c>
      <c r="AE445" s="309">
        <f t="shared" si="573"/>
        <v>1046140</v>
      </c>
      <c r="AF445" s="309">
        <f t="shared" si="573"/>
        <v>1190204</v>
      </c>
      <c r="AG445" s="309">
        <f t="shared" si="573"/>
        <v>1235144</v>
      </c>
      <c r="AH445" s="309">
        <f t="shared" si="573"/>
        <v>1247312</v>
      </c>
      <c r="AI445" s="309">
        <f t="shared" si="573"/>
        <v>1248500</v>
      </c>
      <c r="AJ445" s="309">
        <f t="shared" si="573"/>
        <v>1248500</v>
      </c>
      <c r="AK445" s="309">
        <f t="shared" si="573"/>
        <v>1248500</v>
      </c>
      <c r="AL445" s="309">
        <f t="shared" si="573"/>
        <v>1248500</v>
      </c>
      <c r="AM445" s="309">
        <f t="shared" si="573"/>
        <v>1248500</v>
      </c>
      <c r="AN445" s="309">
        <f t="shared" si="573"/>
        <v>1248500</v>
      </c>
      <c r="AO445" s="309">
        <f t="shared" si="573"/>
        <v>1248500</v>
      </c>
      <c r="AP445" s="309" t="str">
        <f t="shared" si="573"/>
        <v>#REF!</v>
      </c>
      <c r="AQ445" s="309" t="str">
        <f t="shared" si="573"/>
        <v>#REF!</v>
      </c>
      <c r="AR445" s="309" t="str">
        <f t="shared" si="573"/>
        <v>#REF!</v>
      </c>
      <c r="AS445" s="309" t="str">
        <f t="shared" si="573"/>
        <v>#REF!</v>
      </c>
      <c r="AT445" s="309" t="str">
        <f t="shared" si="573"/>
        <v>#REF!</v>
      </c>
      <c r="AU445" s="309" t="str">
        <f t="shared" si="573"/>
        <v>#REF!</v>
      </c>
      <c r="AV445" s="309" t="str">
        <f t="shared" si="573"/>
        <v>#REF!</v>
      </c>
      <c r="AW445" s="90"/>
      <c r="AX445" s="90"/>
      <c r="AY445" s="90"/>
      <c r="AZ445" s="90"/>
      <c r="BA445" s="90"/>
      <c r="BB445" s="90"/>
      <c r="BC445" s="90"/>
      <c r="BD445" s="90"/>
      <c r="BE445" s="90"/>
      <c r="BF445" s="90"/>
      <c r="BG445" s="90"/>
      <c r="BH445" s="90"/>
      <c r="BI445" s="90"/>
      <c r="BJ445" s="90"/>
      <c r="BK445" s="90"/>
      <c r="BL445" s="90"/>
      <c r="BM445" s="90"/>
      <c r="BN445" s="90"/>
      <c r="BO445" s="90"/>
      <c r="BP445" s="90"/>
    </row>
    <row r="446" ht="12.75" customHeight="1" outlineLevel="1">
      <c r="A446" s="90"/>
      <c r="C446" s="102"/>
      <c r="D446" s="102"/>
      <c r="E446" s="102"/>
      <c r="F446" s="102"/>
      <c r="G446" s="102"/>
      <c r="K446" s="102"/>
      <c r="L446" s="102"/>
      <c r="M446" s="102"/>
      <c r="N446" s="102"/>
      <c r="O446" s="102"/>
      <c r="P446" s="102"/>
      <c r="Q446" s="102"/>
      <c r="R446" s="102"/>
      <c r="S446" s="102"/>
      <c r="T446" s="102"/>
      <c r="U446" s="102"/>
      <c r="V446" s="102"/>
      <c r="W446" s="102"/>
      <c r="X446" s="102"/>
      <c r="Y446" s="102"/>
      <c r="Z446" s="102"/>
      <c r="AA446" s="102"/>
      <c r="AB446" s="102"/>
      <c r="AC446" s="102"/>
      <c r="AD446" s="102"/>
      <c r="AE446" s="102"/>
      <c r="AF446" s="102"/>
      <c r="AG446" s="102"/>
      <c r="AH446" s="102"/>
      <c r="AI446" s="102"/>
      <c r="AJ446" s="102"/>
      <c r="AK446" s="102"/>
      <c r="AL446" s="102"/>
      <c r="AM446" s="102"/>
      <c r="AN446" s="102"/>
      <c r="AO446" s="102"/>
      <c r="AP446" s="102"/>
      <c r="AQ446" s="102"/>
      <c r="AR446" s="102"/>
      <c r="AS446" s="102"/>
      <c r="AT446" s="102"/>
      <c r="AU446" s="102"/>
      <c r="AV446" s="102"/>
      <c r="AW446" s="90"/>
      <c r="AX446" s="90"/>
      <c r="AY446" s="90"/>
      <c r="AZ446" s="90"/>
      <c r="BA446" s="90"/>
      <c r="BB446" s="90"/>
      <c r="BC446" s="90"/>
      <c r="BD446" s="90"/>
      <c r="BE446" s="90"/>
      <c r="BF446" s="90"/>
      <c r="BG446" s="90"/>
      <c r="BH446" s="90"/>
      <c r="BI446" s="90"/>
      <c r="BJ446" s="90"/>
      <c r="BK446" s="90"/>
      <c r="BL446" s="90"/>
      <c r="BM446" s="90"/>
      <c r="BN446" s="90"/>
      <c r="BO446" s="90"/>
      <c r="BP446" s="90"/>
    </row>
    <row r="447" ht="12.75" customHeight="1" outlineLevel="1">
      <c r="A447" s="90"/>
      <c r="C447" s="102"/>
      <c r="D447" s="102"/>
      <c r="E447" s="102"/>
      <c r="F447" s="102"/>
      <c r="G447" s="102"/>
      <c r="K447" s="102"/>
      <c r="L447" s="102"/>
      <c r="M447" s="102"/>
      <c r="N447" s="102"/>
      <c r="O447" s="102"/>
      <c r="P447" s="102"/>
      <c r="Q447" s="102"/>
      <c r="R447" s="102"/>
      <c r="S447" s="102"/>
      <c r="T447" s="102"/>
      <c r="U447" s="102"/>
      <c r="V447" s="102"/>
      <c r="W447" s="102"/>
      <c r="X447" s="102"/>
      <c r="Y447" s="102"/>
      <c r="Z447" s="102"/>
      <c r="AA447" s="102"/>
      <c r="AB447" s="102"/>
      <c r="AC447" s="102"/>
      <c r="AD447" s="102"/>
      <c r="AE447" s="102"/>
      <c r="AF447" s="102"/>
      <c r="AG447" s="102"/>
      <c r="AH447" s="102"/>
      <c r="AI447" s="102"/>
      <c r="AJ447" s="102"/>
      <c r="AK447" s="102"/>
      <c r="AL447" s="102"/>
      <c r="AM447" s="102"/>
      <c r="AN447" s="102"/>
      <c r="AO447" s="102"/>
      <c r="AP447" s="102"/>
      <c r="AQ447" s="102"/>
      <c r="AR447" s="102"/>
      <c r="AS447" s="102"/>
      <c r="AT447" s="102"/>
      <c r="AU447" s="102"/>
      <c r="AV447" s="102"/>
      <c r="AW447" s="90"/>
      <c r="AX447" s="90"/>
      <c r="AY447" s="90"/>
      <c r="AZ447" s="90"/>
      <c r="BA447" s="90"/>
      <c r="BB447" s="90"/>
      <c r="BC447" s="90"/>
      <c r="BD447" s="90"/>
      <c r="BE447" s="90"/>
      <c r="BF447" s="90"/>
      <c r="BG447" s="90"/>
      <c r="BH447" s="90"/>
      <c r="BI447" s="90"/>
      <c r="BJ447" s="90"/>
      <c r="BK447" s="90"/>
      <c r="BL447" s="90"/>
      <c r="BM447" s="90"/>
      <c r="BN447" s="90"/>
      <c r="BO447" s="90"/>
      <c r="BP447" s="90"/>
    </row>
    <row r="448" ht="12.75" customHeight="1" outlineLevel="1">
      <c r="A448" s="90" t="s">
        <v>620</v>
      </c>
      <c r="C448" s="102"/>
      <c r="D448" s="102"/>
      <c r="E448" s="102"/>
      <c r="F448" s="102"/>
      <c r="G448" s="102"/>
      <c r="K448" s="102"/>
      <c r="L448" s="102"/>
      <c r="M448" s="102"/>
      <c r="N448" s="102"/>
      <c r="O448" s="102"/>
      <c r="P448" s="102"/>
      <c r="Q448" s="102"/>
      <c r="R448" s="102"/>
      <c r="S448" s="102"/>
      <c r="T448" s="102"/>
      <c r="U448" s="102"/>
      <c r="V448" s="102"/>
      <c r="W448" s="102"/>
      <c r="X448" s="102"/>
      <c r="Y448" s="102"/>
      <c r="Z448" s="102"/>
      <c r="AA448" s="102"/>
      <c r="AB448" s="102"/>
      <c r="AC448" s="102"/>
      <c r="AD448" s="102"/>
      <c r="AE448" s="102"/>
      <c r="AF448" s="102"/>
      <c r="AG448" s="102"/>
      <c r="AH448" s="102"/>
      <c r="AI448" s="102"/>
      <c r="AJ448" s="102"/>
      <c r="AK448" s="102"/>
      <c r="AL448" s="102"/>
      <c r="AM448" s="102"/>
      <c r="AN448" s="102"/>
      <c r="AO448" s="102"/>
      <c r="AP448" s="102"/>
      <c r="AQ448" s="102"/>
      <c r="AR448" s="102"/>
      <c r="AS448" s="102"/>
      <c r="AT448" s="102"/>
      <c r="AU448" s="102"/>
      <c r="AV448" s="102"/>
      <c r="AW448" s="90"/>
      <c r="AX448" s="90"/>
      <c r="AY448" s="90"/>
      <c r="AZ448" s="90"/>
      <c r="BA448" s="90"/>
      <c r="BB448" s="90"/>
      <c r="BC448" s="90"/>
      <c r="BD448" s="90"/>
      <c r="BE448" s="90"/>
      <c r="BF448" s="90"/>
      <c r="BG448" s="90"/>
      <c r="BH448" s="90"/>
      <c r="BI448" s="90"/>
      <c r="BJ448" s="90"/>
      <c r="BK448" s="90"/>
      <c r="BL448" s="90"/>
      <c r="BM448" s="90"/>
      <c r="BN448" s="90"/>
      <c r="BO448" s="90"/>
      <c r="BP448" s="90"/>
    </row>
    <row r="449" ht="12.75" customHeight="1" outlineLevel="1">
      <c r="A449" s="90" t="s">
        <v>287</v>
      </c>
      <c r="C449" s="102">
        <v>0.0</v>
      </c>
      <c r="D449" s="90"/>
      <c r="E449" s="90"/>
      <c r="F449" s="102"/>
      <c r="G449" s="102"/>
      <c r="H449" s="306"/>
      <c r="I449" s="313"/>
      <c r="J449" s="313"/>
      <c r="K449" s="306"/>
      <c r="L449" s="306"/>
      <c r="M449" s="102">
        <f t="shared" ref="M449:AL449" si="574">(MAX(0,MIN(M7,SUM(M7:M$15)-$E$4))*$E449+MAX(0,MIN(M7,$D$4-SUM(M8:M$15)))*$C449+(M7-(MAX(0,MIN(M7,SUM(M7:M$15)-$E$4))+MAX(0,MIN(M7,$D$4-SUM(M8:M$15)))))*$D449)</f>
        <v>0</v>
      </c>
      <c r="N449" s="102">
        <f t="shared" si="574"/>
        <v>0</v>
      </c>
      <c r="O449" s="102">
        <f t="shared" si="574"/>
        <v>0</v>
      </c>
      <c r="P449" s="102">
        <f t="shared" si="574"/>
        <v>0</v>
      </c>
      <c r="Q449" s="102">
        <f t="shared" si="574"/>
        <v>0</v>
      </c>
      <c r="R449" s="102">
        <f t="shared" si="574"/>
        <v>0</v>
      </c>
      <c r="S449" s="102">
        <f t="shared" si="574"/>
        <v>0</v>
      </c>
      <c r="T449" s="102">
        <f t="shared" si="574"/>
        <v>0</v>
      </c>
      <c r="U449" s="102">
        <f t="shared" si="574"/>
        <v>0</v>
      </c>
      <c r="V449" s="102">
        <f t="shared" si="574"/>
        <v>0</v>
      </c>
      <c r="W449" s="102">
        <f t="shared" si="574"/>
        <v>0</v>
      </c>
      <c r="X449" s="102">
        <f t="shared" si="574"/>
        <v>0</v>
      </c>
      <c r="Y449" s="102">
        <f t="shared" si="574"/>
        <v>0</v>
      </c>
      <c r="Z449" s="102">
        <f t="shared" si="574"/>
        <v>0</v>
      </c>
      <c r="AA449" s="102">
        <f t="shared" si="574"/>
        <v>0</v>
      </c>
      <c r="AB449" s="102">
        <f t="shared" si="574"/>
        <v>0</v>
      </c>
      <c r="AC449" s="102">
        <f t="shared" si="574"/>
        <v>0</v>
      </c>
      <c r="AD449" s="102">
        <f t="shared" si="574"/>
        <v>0</v>
      </c>
      <c r="AE449" s="102">
        <f t="shared" si="574"/>
        <v>0</v>
      </c>
      <c r="AF449" s="102">
        <f t="shared" si="574"/>
        <v>0</v>
      </c>
      <c r="AG449" s="102">
        <f t="shared" si="574"/>
        <v>0</v>
      </c>
      <c r="AH449" s="102">
        <f t="shared" si="574"/>
        <v>0</v>
      </c>
      <c r="AI449" s="102">
        <f t="shared" si="574"/>
        <v>0</v>
      </c>
      <c r="AJ449" s="102">
        <f t="shared" si="574"/>
        <v>0</v>
      </c>
      <c r="AK449" s="102">
        <f t="shared" si="574"/>
        <v>0</v>
      </c>
      <c r="AL449" s="102">
        <f t="shared" si="574"/>
        <v>0</v>
      </c>
      <c r="AM449" s="102">
        <f t="shared" ref="AM449:AV449" si="575">$D449*AM$7</f>
        <v>0</v>
      </c>
      <c r="AN449" s="102">
        <f t="shared" si="575"/>
        <v>0</v>
      </c>
      <c r="AO449" s="102">
        <f t="shared" si="575"/>
        <v>0</v>
      </c>
      <c r="AP449" s="102" t="str">
        <f t="shared" si="575"/>
        <v>#REF!</v>
      </c>
      <c r="AQ449" s="102" t="str">
        <f t="shared" si="575"/>
        <v>#REF!</v>
      </c>
      <c r="AR449" s="102" t="str">
        <f t="shared" si="575"/>
        <v>#REF!</v>
      </c>
      <c r="AS449" s="102" t="str">
        <f t="shared" si="575"/>
        <v>#REF!</v>
      </c>
      <c r="AT449" s="102" t="str">
        <f t="shared" si="575"/>
        <v>#REF!</v>
      </c>
      <c r="AU449" s="102">
        <f t="shared" si="575"/>
        <v>0</v>
      </c>
      <c r="AV449" s="102">
        <f t="shared" si="575"/>
        <v>0</v>
      </c>
      <c r="AW449" s="90"/>
      <c r="AX449" s="90"/>
      <c r="AY449" s="90"/>
      <c r="AZ449" s="90"/>
      <c r="BA449" s="90"/>
      <c r="BB449" s="90"/>
      <c r="BC449" s="90"/>
      <c r="BD449" s="90"/>
      <c r="BE449" s="90"/>
      <c r="BF449" s="90"/>
      <c r="BG449" s="90"/>
      <c r="BH449" s="90"/>
      <c r="BI449" s="90"/>
      <c r="BJ449" s="90"/>
      <c r="BK449" s="90"/>
      <c r="BL449" s="90"/>
      <c r="BM449" s="90"/>
      <c r="BN449" s="90"/>
      <c r="BO449" s="90"/>
      <c r="BP449" s="90"/>
    </row>
    <row r="450" ht="12.75" customHeight="1" outlineLevel="1">
      <c r="A450" s="90" t="s">
        <v>288</v>
      </c>
      <c r="C450" s="102">
        <f>'RSGen 1-7'!I56</f>
        <v>376.32</v>
      </c>
      <c r="D450" s="102">
        <f>OFFSET(RSGen_Walton!$I$56,0,ROW(C450)-ROW($C$450))</f>
        <v>376.32</v>
      </c>
      <c r="E450" s="102">
        <f>OFFSET(RSGen_none!$I$56,0,ROW(D450)-ROW($C$450))</f>
        <v>376.32</v>
      </c>
      <c r="F450" s="102"/>
      <c r="G450" s="102"/>
      <c r="H450" s="306"/>
      <c r="I450" s="306"/>
      <c r="J450" s="306"/>
      <c r="K450" s="306"/>
      <c r="L450" s="306"/>
      <c r="M450" s="306"/>
      <c r="N450" s="102">
        <f t="shared" ref="N450:AL450" si="576">(MAX(0,MIN(N8,SUM(N8:N$15)-$E$4))*$E450+MAX(0,MIN(N8,$D$4-SUM(N9:N$15)))*$C450+(N8-(MAX(0,MIN(N8,SUM(N8:N$15)-$E$4))+MAX(0,MIN(N8,$D$4-SUM(N9:N$15)))))*$D450)</f>
        <v>752.64</v>
      </c>
      <c r="O450" s="102">
        <f t="shared" si="576"/>
        <v>1128.96</v>
      </c>
      <c r="P450" s="102">
        <f t="shared" si="576"/>
        <v>1881.6</v>
      </c>
      <c r="Q450" s="102">
        <f t="shared" si="576"/>
        <v>3010.56</v>
      </c>
      <c r="R450" s="102">
        <f t="shared" si="576"/>
        <v>4892.16</v>
      </c>
      <c r="S450" s="102">
        <f t="shared" si="576"/>
        <v>8279.04</v>
      </c>
      <c r="T450" s="102">
        <f t="shared" si="576"/>
        <v>12794.88</v>
      </c>
      <c r="U450" s="102">
        <f t="shared" si="576"/>
        <v>16934.4</v>
      </c>
      <c r="V450" s="102">
        <f t="shared" si="576"/>
        <v>16934.4</v>
      </c>
      <c r="W450" s="102">
        <f t="shared" si="576"/>
        <v>24837.12</v>
      </c>
      <c r="X450" s="102">
        <f t="shared" si="576"/>
        <v>30105.6</v>
      </c>
      <c r="Y450" s="102">
        <f t="shared" si="576"/>
        <v>53437.44</v>
      </c>
      <c r="Z450" s="102">
        <f t="shared" si="576"/>
        <v>72629.76</v>
      </c>
      <c r="AA450" s="102">
        <f t="shared" si="576"/>
        <v>91069.44</v>
      </c>
      <c r="AB450" s="102">
        <f t="shared" si="576"/>
        <v>102735.36</v>
      </c>
      <c r="AC450" s="102">
        <f t="shared" si="576"/>
        <v>121927.68</v>
      </c>
      <c r="AD450" s="102">
        <f t="shared" si="576"/>
        <v>131712</v>
      </c>
      <c r="AE450" s="102">
        <f t="shared" si="576"/>
        <v>129830.4</v>
      </c>
      <c r="AF450" s="102">
        <f t="shared" si="576"/>
        <v>102359.04</v>
      </c>
      <c r="AG450" s="102">
        <f t="shared" si="576"/>
        <v>12418.56</v>
      </c>
      <c r="AH450" s="102">
        <f t="shared" si="576"/>
        <v>0</v>
      </c>
      <c r="AI450" s="102">
        <f t="shared" si="576"/>
        <v>0</v>
      </c>
      <c r="AJ450" s="102">
        <f t="shared" si="576"/>
        <v>0</v>
      </c>
      <c r="AK450" s="102">
        <f t="shared" si="576"/>
        <v>0</v>
      </c>
      <c r="AL450" s="102">
        <f t="shared" si="576"/>
        <v>0</v>
      </c>
      <c r="AM450" s="102">
        <f t="shared" ref="AM450:AV450" si="577">$D450*AM$8</f>
        <v>0</v>
      </c>
      <c r="AN450" s="102">
        <f t="shared" si="577"/>
        <v>0</v>
      </c>
      <c r="AO450" s="102">
        <f t="shared" si="577"/>
        <v>0</v>
      </c>
      <c r="AP450" s="102">
        <f t="shared" si="577"/>
        <v>0</v>
      </c>
      <c r="AQ450" s="102" t="str">
        <f t="shared" si="577"/>
        <v>#REF!</v>
      </c>
      <c r="AR450" s="102" t="str">
        <f t="shared" si="577"/>
        <v>#REF!</v>
      </c>
      <c r="AS450" s="102" t="str">
        <f t="shared" si="577"/>
        <v>#REF!</v>
      </c>
      <c r="AT450" s="102" t="str">
        <f t="shared" si="577"/>
        <v>#REF!</v>
      </c>
      <c r="AU450" s="102" t="str">
        <f t="shared" si="577"/>
        <v>#REF!</v>
      </c>
      <c r="AV450" s="102">
        <f t="shared" si="577"/>
        <v>0</v>
      </c>
      <c r="AW450" s="90"/>
      <c r="AX450" s="90"/>
      <c r="AY450" s="90"/>
      <c r="AZ450" s="90"/>
      <c r="BA450" s="90"/>
      <c r="BB450" s="90"/>
      <c r="BC450" s="90"/>
      <c r="BD450" s="90"/>
      <c r="BE450" s="90"/>
      <c r="BF450" s="90"/>
      <c r="BG450" s="90"/>
      <c r="BH450" s="90"/>
      <c r="BI450" s="90"/>
      <c r="BJ450" s="90"/>
      <c r="BK450" s="90"/>
      <c r="BL450" s="90"/>
      <c r="BM450" s="90"/>
      <c r="BN450" s="90"/>
      <c r="BO450" s="90"/>
      <c r="BP450" s="90"/>
    </row>
    <row r="451" ht="12.75" customHeight="1" outlineLevel="1">
      <c r="A451" s="90" t="s">
        <v>289</v>
      </c>
      <c r="C451" s="102">
        <f>'RSGen 1-7'!J56</f>
        <v>445.44</v>
      </c>
      <c r="D451" s="102">
        <f>OFFSET(RSGen_Walton!$I$56,0,ROW(C451)-ROW($C$450))</f>
        <v>445.44</v>
      </c>
      <c r="E451" s="102">
        <f>OFFSET(RSGen_none!$I$56,0,ROW(D451)-ROW($C$450))</f>
        <v>445.44</v>
      </c>
      <c r="F451" s="102"/>
      <c r="G451" s="102"/>
      <c r="H451" s="306"/>
      <c r="I451" s="306"/>
      <c r="J451" s="306"/>
      <c r="K451" s="306"/>
      <c r="L451" s="306"/>
      <c r="M451" s="306"/>
      <c r="N451" s="306"/>
      <c r="O451" s="102">
        <f t="shared" ref="O451:AL451" si="578">(MAX(0,MIN(O9,SUM(O9:O$15)-$E$4))*$E451+MAX(0,MIN(O9,$D$4-SUM(O10:O$15)))*$C451+(O9-(MAX(0,MIN(O9,SUM(O9:O$15)-$E$4))+MAX(0,MIN(O9,$D$4-SUM(O10:O$15)))))*$D451)</f>
        <v>890.88</v>
      </c>
      <c r="P451" s="102">
        <f t="shared" si="578"/>
        <v>1336.32</v>
      </c>
      <c r="Q451" s="102">
        <f t="shared" si="578"/>
        <v>2227.2</v>
      </c>
      <c r="R451" s="102">
        <f t="shared" si="578"/>
        <v>3563.52</v>
      </c>
      <c r="S451" s="102">
        <f t="shared" si="578"/>
        <v>5790.72</v>
      </c>
      <c r="T451" s="102">
        <f t="shared" si="578"/>
        <v>9799.68</v>
      </c>
      <c r="U451" s="102">
        <f t="shared" si="578"/>
        <v>15144.96</v>
      </c>
      <c r="V451" s="102">
        <f t="shared" si="578"/>
        <v>20044.8</v>
      </c>
      <c r="W451" s="102">
        <f t="shared" si="578"/>
        <v>20044.8</v>
      </c>
      <c r="X451" s="102">
        <f t="shared" si="578"/>
        <v>29399.04</v>
      </c>
      <c r="Y451" s="102">
        <f t="shared" si="578"/>
        <v>35635.2</v>
      </c>
      <c r="Z451" s="102">
        <f t="shared" si="578"/>
        <v>63252.48</v>
      </c>
      <c r="AA451" s="102">
        <f t="shared" si="578"/>
        <v>85969.92</v>
      </c>
      <c r="AB451" s="102">
        <f t="shared" si="578"/>
        <v>107796.48</v>
      </c>
      <c r="AC451" s="102">
        <f t="shared" si="578"/>
        <v>121605.12</v>
      </c>
      <c r="AD451" s="102">
        <f t="shared" si="578"/>
        <v>144322.56</v>
      </c>
      <c r="AE451" s="102">
        <f t="shared" si="578"/>
        <v>155904</v>
      </c>
      <c r="AF451" s="102">
        <f t="shared" si="578"/>
        <v>153676.8</v>
      </c>
      <c r="AG451" s="102">
        <f t="shared" si="578"/>
        <v>121159.68</v>
      </c>
      <c r="AH451" s="102">
        <f t="shared" si="578"/>
        <v>14699.52</v>
      </c>
      <c r="AI451" s="102">
        <f t="shared" si="578"/>
        <v>0</v>
      </c>
      <c r="AJ451" s="102">
        <f t="shared" si="578"/>
        <v>0</v>
      </c>
      <c r="AK451" s="102">
        <f t="shared" si="578"/>
        <v>0</v>
      </c>
      <c r="AL451" s="102">
        <f t="shared" si="578"/>
        <v>0</v>
      </c>
      <c r="AM451" s="102">
        <f t="shared" ref="AM451:AV451" si="579">$D451*AM$9</f>
        <v>0</v>
      </c>
      <c r="AN451" s="102">
        <f t="shared" si="579"/>
        <v>0</v>
      </c>
      <c r="AO451" s="102">
        <f t="shared" si="579"/>
        <v>0</v>
      </c>
      <c r="AP451" s="102">
        <f t="shared" si="579"/>
        <v>0</v>
      </c>
      <c r="AQ451" s="102">
        <f t="shared" si="579"/>
        <v>0</v>
      </c>
      <c r="AR451" s="102" t="str">
        <f t="shared" si="579"/>
        <v>#REF!</v>
      </c>
      <c r="AS451" s="102" t="str">
        <f t="shared" si="579"/>
        <v>#REF!</v>
      </c>
      <c r="AT451" s="102" t="str">
        <f t="shared" si="579"/>
        <v>#REF!</v>
      </c>
      <c r="AU451" s="102" t="str">
        <f t="shared" si="579"/>
        <v>#REF!</v>
      </c>
      <c r="AV451" s="102" t="str">
        <f t="shared" si="579"/>
        <v>#REF!</v>
      </c>
      <c r="AW451" s="90"/>
      <c r="AX451" s="90"/>
      <c r="AY451" s="90"/>
      <c r="AZ451" s="90"/>
      <c r="BA451" s="90"/>
      <c r="BB451" s="90"/>
      <c r="BC451" s="90"/>
      <c r="BD451" s="90"/>
      <c r="BE451" s="90"/>
      <c r="BF451" s="90"/>
      <c r="BG451" s="90"/>
      <c r="BH451" s="90"/>
      <c r="BI451" s="90"/>
      <c r="BJ451" s="90"/>
      <c r="BK451" s="90"/>
      <c r="BL451" s="90"/>
      <c r="BM451" s="90"/>
      <c r="BN451" s="90"/>
      <c r="BO451" s="90"/>
      <c r="BP451" s="90"/>
    </row>
    <row r="452" ht="12.75" customHeight="1" outlineLevel="1">
      <c r="A452" s="90" t="s">
        <v>290</v>
      </c>
      <c r="C452" s="102">
        <f>'RSGen 1-7'!K56</f>
        <v>480</v>
      </c>
      <c r="D452" s="102">
        <f>OFFSET(RSGen_Walton!$I$56,0,ROW(C452)-ROW($C$450))</f>
        <v>480</v>
      </c>
      <c r="E452" s="102">
        <f>OFFSET(RSGen_none!$I$56,0,ROW(D452)-ROW($C$450))</f>
        <v>480</v>
      </c>
      <c r="F452" s="102"/>
      <c r="G452" s="102"/>
      <c r="H452" s="306"/>
      <c r="I452" s="306"/>
      <c r="J452" s="306"/>
      <c r="K452" s="306"/>
      <c r="L452" s="306"/>
      <c r="M452" s="306"/>
      <c r="N452" s="306"/>
      <c r="O452" s="306"/>
      <c r="P452" s="102">
        <f t="shared" ref="P452:AL452" si="580">(MAX(0,MIN(P10,SUM(P10:P$15)-$E$4))*$E452+MAX(0,MIN(P10,$D$4-SUM(P11:P$15)))*$C452+(P10-(MAX(0,MIN(P10,SUM(P10:P$15)-$E$4))+MAX(0,MIN(P10,$D$4-SUM(P11:P$15)))))*$D452)</f>
        <v>960</v>
      </c>
      <c r="Q452" s="102">
        <f t="shared" si="580"/>
        <v>1440</v>
      </c>
      <c r="R452" s="102">
        <f t="shared" si="580"/>
        <v>2400</v>
      </c>
      <c r="S452" s="102">
        <f t="shared" si="580"/>
        <v>3840</v>
      </c>
      <c r="T452" s="102">
        <f t="shared" si="580"/>
        <v>6240</v>
      </c>
      <c r="U452" s="102">
        <f t="shared" si="580"/>
        <v>10560</v>
      </c>
      <c r="V452" s="102">
        <f t="shared" si="580"/>
        <v>16320</v>
      </c>
      <c r="W452" s="102">
        <f t="shared" si="580"/>
        <v>21600</v>
      </c>
      <c r="X452" s="102">
        <f t="shared" si="580"/>
        <v>21600</v>
      </c>
      <c r="Y452" s="102">
        <f t="shared" si="580"/>
        <v>31680</v>
      </c>
      <c r="Z452" s="102">
        <f t="shared" si="580"/>
        <v>38400</v>
      </c>
      <c r="AA452" s="102">
        <f t="shared" si="580"/>
        <v>68160</v>
      </c>
      <c r="AB452" s="102">
        <f t="shared" si="580"/>
        <v>92640</v>
      </c>
      <c r="AC452" s="102">
        <f t="shared" si="580"/>
        <v>116160</v>
      </c>
      <c r="AD452" s="102">
        <f t="shared" si="580"/>
        <v>131040</v>
      </c>
      <c r="AE452" s="102">
        <f t="shared" si="580"/>
        <v>155520</v>
      </c>
      <c r="AF452" s="102">
        <f t="shared" si="580"/>
        <v>168000</v>
      </c>
      <c r="AG452" s="102">
        <f t="shared" si="580"/>
        <v>165600</v>
      </c>
      <c r="AH452" s="102">
        <f t="shared" si="580"/>
        <v>130560</v>
      </c>
      <c r="AI452" s="102">
        <f t="shared" si="580"/>
        <v>15840</v>
      </c>
      <c r="AJ452" s="102">
        <f t="shared" si="580"/>
        <v>0</v>
      </c>
      <c r="AK452" s="102">
        <f t="shared" si="580"/>
        <v>0</v>
      </c>
      <c r="AL452" s="102">
        <f t="shared" si="580"/>
        <v>0</v>
      </c>
      <c r="AM452" s="102">
        <f t="shared" ref="AM452:AV452" si="581">$D452*AM$10</f>
        <v>0</v>
      </c>
      <c r="AN452" s="102">
        <f t="shared" si="581"/>
        <v>0</v>
      </c>
      <c r="AO452" s="102">
        <f t="shared" si="581"/>
        <v>0</v>
      </c>
      <c r="AP452" s="102">
        <f t="shared" si="581"/>
        <v>0</v>
      </c>
      <c r="AQ452" s="102">
        <f t="shared" si="581"/>
        <v>0</v>
      </c>
      <c r="AR452" s="102">
        <f t="shared" si="581"/>
        <v>0</v>
      </c>
      <c r="AS452" s="102" t="str">
        <f t="shared" si="581"/>
        <v>#REF!</v>
      </c>
      <c r="AT452" s="102" t="str">
        <f t="shared" si="581"/>
        <v>#REF!</v>
      </c>
      <c r="AU452" s="102" t="str">
        <f t="shared" si="581"/>
        <v>#REF!</v>
      </c>
      <c r="AV452" s="102" t="str">
        <f t="shared" si="581"/>
        <v>#REF!</v>
      </c>
      <c r="AW452" s="90"/>
      <c r="AX452" s="90"/>
      <c r="AY452" s="90"/>
      <c r="AZ452" s="90"/>
      <c r="BA452" s="90"/>
      <c r="BB452" s="90"/>
      <c r="BC452" s="90"/>
      <c r="BD452" s="90"/>
      <c r="BE452" s="90"/>
      <c r="BF452" s="90"/>
      <c r="BG452" s="90"/>
      <c r="BH452" s="90"/>
      <c r="BI452" s="90"/>
      <c r="BJ452" s="90"/>
      <c r="BK452" s="90"/>
      <c r="BL452" s="90"/>
      <c r="BM452" s="90"/>
      <c r="BN452" s="90"/>
      <c r="BO452" s="90"/>
      <c r="BP452" s="90"/>
    </row>
    <row r="453" ht="12.75" customHeight="1" outlineLevel="1">
      <c r="A453" s="90" t="s">
        <v>291</v>
      </c>
      <c r="C453" s="102">
        <f>'RSGen 1-7'!L56</f>
        <v>480</v>
      </c>
      <c r="D453" s="102">
        <f>OFFSET(RSGen_Walton!$I$56,0,ROW(C453)-ROW($C$450))</f>
        <v>480</v>
      </c>
      <c r="E453" s="102">
        <f>OFFSET(RSGen_none!$I$56,0,ROW(D453)-ROW($C$450))</f>
        <v>480</v>
      </c>
      <c r="F453" s="102"/>
      <c r="G453" s="102"/>
      <c r="H453" s="306"/>
      <c r="I453" s="306"/>
      <c r="J453" s="306"/>
      <c r="K453" s="306"/>
      <c r="L453" s="306"/>
      <c r="M453" s="306"/>
      <c r="N453" s="306"/>
      <c r="O453" s="306"/>
      <c r="P453" s="306"/>
      <c r="Q453" s="102">
        <f t="shared" ref="Q453:AL453" si="582">(MAX(0,MIN(Q11,SUM(Q11:Q$15)-$E$4))*$E453+MAX(0,MIN(Q11,$D$4-SUM(Q12:Q$15)))*$C453+(Q11-(MAX(0,MIN(Q11,SUM(Q11:Q$15)-$E$4))+MAX(0,MIN(Q11,$D$4-SUM(Q12:Q$15)))))*$D453)</f>
        <v>960</v>
      </c>
      <c r="R453" s="102">
        <f t="shared" si="582"/>
        <v>1440</v>
      </c>
      <c r="S453" s="102">
        <f t="shared" si="582"/>
        <v>2400</v>
      </c>
      <c r="T453" s="102">
        <f t="shared" si="582"/>
        <v>3840</v>
      </c>
      <c r="U453" s="102">
        <f t="shared" si="582"/>
        <v>6240</v>
      </c>
      <c r="V453" s="102">
        <f t="shared" si="582"/>
        <v>10560</v>
      </c>
      <c r="W453" s="102">
        <f t="shared" si="582"/>
        <v>16320</v>
      </c>
      <c r="X453" s="102">
        <f t="shared" si="582"/>
        <v>21600</v>
      </c>
      <c r="Y453" s="102">
        <f t="shared" si="582"/>
        <v>21600</v>
      </c>
      <c r="Z453" s="102">
        <f t="shared" si="582"/>
        <v>31680</v>
      </c>
      <c r="AA453" s="102">
        <f t="shared" si="582"/>
        <v>38400</v>
      </c>
      <c r="AB453" s="102">
        <f t="shared" si="582"/>
        <v>68160</v>
      </c>
      <c r="AC453" s="102">
        <f t="shared" si="582"/>
        <v>92640</v>
      </c>
      <c r="AD453" s="102">
        <f t="shared" si="582"/>
        <v>116160</v>
      </c>
      <c r="AE453" s="102">
        <f t="shared" si="582"/>
        <v>131040</v>
      </c>
      <c r="AF453" s="102">
        <f t="shared" si="582"/>
        <v>155520</v>
      </c>
      <c r="AG453" s="102">
        <f t="shared" si="582"/>
        <v>168000</v>
      </c>
      <c r="AH453" s="102">
        <f t="shared" si="582"/>
        <v>165600</v>
      </c>
      <c r="AI453" s="102">
        <f t="shared" si="582"/>
        <v>130560</v>
      </c>
      <c r="AJ453" s="102">
        <f t="shared" si="582"/>
        <v>15840</v>
      </c>
      <c r="AK453" s="102">
        <f t="shared" si="582"/>
        <v>0</v>
      </c>
      <c r="AL453" s="102">
        <f t="shared" si="582"/>
        <v>0</v>
      </c>
      <c r="AM453" s="102">
        <f t="shared" ref="AM453:AV453" si="583">$D453*AM$11</f>
        <v>0</v>
      </c>
      <c r="AN453" s="102">
        <f t="shared" si="583"/>
        <v>0</v>
      </c>
      <c r="AO453" s="102">
        <f t="shared" si="583"/>
        <v>0</v>
      </c>
      <c r="AP453" s="102">
        <f t="shared" si="583"/>
        <v>0</v>
      </c>
      <c r="AQ453" s="102">
        <f t="shared" si="583"/>
        <v>0</v>
      </c>
      <c r="AR453" s="102">
        <f t="shared" si="583"/>
        <v>0</v>
      </c>
      <c r="AS453" s="102">
        <f t="shared" si="583"/>
        <v>0</v>
      </c>
      <c r="AT453" s="102" t="str">
        <f t="shared" si="583"/>
        <v>#REF!</v>
      </c>
      <c r="AU453" s="102" t="str">
        <f t="shared" si="583"/>
        <v>#REF!</v>
      </c>
      <c r="AV453" s="102" t="str">
        <f t="shared" si="583"/>
        <v>#REF!</v>
      </c>
      <c r="AW453" s="90"/>
      <c r="AX453" s="90"/>
      <c r="AY453" s="90"/>
      <c r="AZ453" s="90"/>
      <c r="BA453" s="90"/>
      <c r="BB453" s="90"/>
      <c r="BC453" s="90"/>
      <c r="BD453" s="90"/>
      <c r="BE453" s="90"/>
      <c r="BF453" s="90"/>
      <c r="BG453" s="90"/>
      <c r="BH453" s="90"/>
      <c r="BI453" s="90"/>
      <c r="BJ453" s="90"/>
      <c r="BK453" s="90"/>
      <c r="BL453" s="90"/>
      <c r="BM453" s="90"/>
      <c r="BN453" s="90"/>
      <c r="BO453" s="90"/>
      <c r="BP453" s="90"/>
    </row>
    <row r="454" ht="12.75" customHeight="1" outlineLevel="1">
      <c r="A454" s="90" t="s">
        <v>292</v>
      </c>
      <c r="C454" s="102">
        <f>'RSGen 1-7'!M56</f>
        <v>480</v>
      </c>
      <c r="D454" s="102">
        <f>OFFSET(RSGen_Walton!$I$56,0,ROW(C454)-ROW($C$450))</f>
        <v>480</v>
      </c>
      <c r="E454" s="102">
        <f>OFFSET(RSGen_none!$I$56,0,ROW(D454)-ROW($C$450))</f>
        <v>480</v>
      </c>
      <c r="F454" s="102"/>
      <c r="G454" s="102"/>
      <c r="H454" s="306"/>
      <c r="I454" s="306"/>
      <c r="J454" s="306"/>
      <c r="K454" s="306"/>
      <c r="L454" s="306"/>
      <c r="M454" s="306"/>
      <c r="N454" s="306"/>
      <c r="O454" s="306"/>
      <c r="P454" s="306"/>
      <c r="Q454" s="306"/>
      <c r="R454" s="102">
        <f t="shared" ref="R454:AL454" si="584">(MAX(0,MIN(R12,SUM(R12:R$15)-$E$4))*$E454+MAX(0,MIN(R12,$D$4-SUM(R13:R$15)))*$C454+(R12-(MAX(0,MIN(R12,SUM(R12:R$15)-$E$4))+MAX(0,MIN(R12,$D$4-SUM(R13:R$15)))))*$D454)</f>
        <v>960</v>
      </c>
      <c r="S454" s="102">
        <f t="shared" si="584"/>
        <v>1440</v>
      </c>
      <c r="T454" s="102">
        <f t="shared" si="584"/>
        <v>2400</v>
      </c>
      <c r="U454" s="102">
        <f t="shared" si="584"/>
        <v>3840</v>
      </c>
      <c r="V454" s="102">
        <f t="shared" si="584"/>
        <v>6240</v>
      </c>
      <c r="W454" s="102">
        <f t="shared" si="584"/>
        <v>10560</v>
      </c>
      <c r="X454" s="102">
        <f t="shared" si="584"/>
        <v>16320</v>
      </c>
      <c r="Y454" s="102">
        <f t="shared" si="584"/>
        <v>21600</v>
      </c>
      <c r="Z454" s="102">
        <f t="shared" si="584"/>
        <v>21600</v>
      </c>
      <c r="AA454" s="102">
        <f t="shared" si="584"/>
        <v>31680</v>
      </c>
      <c r="AB454" s="102">
        <f t="shared" si="584"/>
        <v>38400</v>
      </c>
      <c r="AC454" s="102">
        <f t="shared" si="584"/>
        <v>68160</v>
      </c>
      <c r="AD454" s="102">
        <f t="shared" si="584"/>
        <v>92640</v>
      </c>
      <c r="AE454" s="102">
        <f t="shared" si="584"/>
        <v>116160</v>
      </c>
      <c r="AF454" s="102">
        <f t="shared" si="584"/>
        <v>131040</v>
      </c>
      <c r="AG454" s="102">
        <f t="shared" si="584"/>
        <v>155520</v>
      </c>
      <c r="AH454" s="102">
        <f t="shared" si="584"/>
        <v>168000</v>
      </c>
      <c r="AI454" s="102">
        <f t="shared" si="584"/>
        <v>165600</v>
      </c>
      <c r="AJ454" s="102">
        <f t="shared" si="584"/>
        <v>130560</v>
      </c>
      <c r="AK454" s="102">
        <f t="shared" si="584"/>
        <v>15840</v>
      </c>
      <c r="AL454" s="102">
        <f t="shared" si="584"/>
        <v>0</v>
      </c>
      <c r="AM454" s="102">
        <f t="shared" ref="AM454:AV454" si="585">$D454*AM$12</f>
        <v>0</v>
      </c>
      <c r="AN454" s="102">
        <f t="shared" si="585"/>
        <v>0</v>
      </c>
      <c r="AO454" s="102">
        <f t="shared" si="585"/>
        <v>0</v>
      </c>
      <c r="AP454" s="102">
        <f t="shared" si="585"/>
        <v>0</v>
      </c>
      <c r="AQ454" s="102">
        <f t="shared" si="585"/>
        <v>0</v>
      </c>
      <c r="AR454" s="102">
        <f t="shared" si="585"/>
        <v>0</v>
      </c>
      <c r="AS454" s="102">
        <f t="shared" si="585"/>
        <v>0</v>
      </c>
      <c r="AT454" s="102">
        <f t="shared" si="585"/>
        <v>0</v>
      </c>
      <c r="AU454" s="102" t="str">
        <f t="shared" si="585"/>
        <v>#REF!</v>
      </c>
      <c r="AV454" s="102" t="str">
        <f t="shared" si="585"/>
        <v>#REF!</v>
      </c>
      <c r="AW454" s="90"/>
      <c r="AX454" s="90"/>
      <c r="AY454" s="90"/>
      <c r="AZ454" s="90"/>
      <c r="BA454" s="90"/>
      <c r="BB454" s="90"/>
      <c r="BC454" s="90"/>
      <c r="BD454" s="90"/>
      <c r="BE454" s="90"/>
      <c r="BF454" s="90"/>
      <c r="BG454" s="90"/>
      <c r="BH454" s="90"/>
      <c r="BI454" s="90"/>
      <c r="BJ454" s="90"/>
      <c r="BK454" s="90"/>
      <c r="BL454" s="90"/>
      <c r="BM454" s="90"/>
      <c r="BN454" s="90"/>
      <c r="BO454" s="90"/>
      <c r="BP454" s="90"/>
    </row>
    <row r="455" ht="12.75" customHeight="1" outlineLevel="1">
      <c r="A455" s="90" t="s">
        <v>293</v>
      </c>
      <c r="C455" s="102">
        <f>'RSGen 1-7'!N56</f>
        <v>480</v>
      </c>
      <c r="D455" s="102">
        <f>OFFSET(RSGen_Walton!$I$56,0,ROW(C455)-ROW($C$450))</f>
        <v>480</v>
      </c>
      <c r="E455" s="102">
        <f>OFFSET(RSGen_none!$I$56,0,ROW(D455)-ROW($C$450))</f>
        <v>480</v>
      </c>
      <c r="F455" s="102"/>
      <c r="G455" s="102"/>
      <c r="H455" s="306"/>
      <c r="I455" s="306"/>
      <c r="J455" s="306"/>
      <c r="K455" s="306"/>
      <c r="L455" s="306"/>
      <c r="M455" s="306"/>
      <c r="N455" s="306"/>
      <c r="O455" s="306"/>
      <c r="P455" s="306"/>
      <c r="Q455" s="306"/>
      <c r="R455" s="306"/>
      <c r="S455" s="102">
        <f t="shared" ref="S455:AL455" si="586">(MAX(0,MIN(S13,SUM(S13:S$15)-$E$4))*$E455+MAX(0,MIN(S13,$D$4-SUM(S14:S$15)))*$C455+(S13-(MAX(0,MIN(S13,SUM(S13:S$15)-$E$4))+MAX(0,MIN(S13,$D$4-SUM(S14:S$15)))))*$D455)</f>
        <v>960</v>
      </c>
      <c r="T455" s="102">
        <f t="shared" si="586"/>
        <v>1440</v>
      </c>
      <c r="U455" s="102">
        <f t="shared" si="586"/>
        <v>2400</v>
      </c>
      <c r="V455" s="102">
        <f t="shared" si="586"/>
        <v>3840</v>
      </c>
      <c r="W455" s="102">
        <f t="shared" si="586"/>
        <v>6240</v>
      </c>
      <c r="X455" s="102">
        <f t="shared" si="586"/>
        <v>10560</v>
      </c>
      <c r="Y455" s="102">
        <f t="shared" si="586"/>
        <v>16320</v>
      </c>
      <c r="Z455" s="102">
        <f t="shared" si="586"/>
        <v>21600</v>
      </c>
      <c r="AA455" s="102">
        <f t="shared" si="586"/>
        <v>21600</v>
      </c>
      <c r="AB455" s="102">
        <f t="shared" si="586"/>
        <v>31680</v>
      </c>
      <c r="AC455" s="102">
        <f t="shared" si="586"/>
        <v>38400</v>
      </c>
      <c r="AD455" s="102">
        <f t="shared" si="586"/>
        <v>68160</v>
      </c>
      <c r="AE455" s="102">
        <f t="shared" si="586"/>
        <v>92640</v>
      </c>
      <c r="AF455" s="102">
        <f t="shared" si="586"/>
        <v>116160</v>
      </c>
      <c r="AG455" s="102">
        <f t="shared" si="586"/>
        <v>131040</v>
      </c>
      <c r="AH455" s="102">
        <f t="shared" si="586"/>
        <v>155520</v>
      </c>
      <c r="AI455" s="102">
        <f t="shared" si="586"/>
        <v>168000</v>
      </c>
      <c r="AJ455" s="102">
        <f t="shared" si="586"/>
        <v>165600</v>
      </c>
      <c r="AK455" s="102">
        <f t="shared" si="586"/>
        <v>130560</v>
      </c>
      <c r="AL455" s="102">
        <f t="shared" si="586"/>
        <v>15840</v>
      </c>
      <c r="AM455" s="102">
        <f t="shared" ref="AM455:AV455" si="587">$D455*AM$13</f>
        <v>0</v>
      </c>
      <c r="AN455" s="102">
        <f t="shared" si="587"/>
        <v>0</v>
      </c>
      <c r="AO455" s="102">
        <f t="shared" si="587"/>
        <v>0</v>
      </c>
      <c r="AP455" s="102">
        <f t="shared" si="587"/>
        <v>0</v>
      </c>
      <c r="AQ455" s="102">
        <f t="shared" si="587"/>
        <v>0</v>
      </c>
      <c r="AR455" s="102">
        <f t="shared" si="587"/>
        <v>0</v>
      </c>
      <c r="AS455" s="102">
        <f t="shared" si="587"/>
        <v>0</v>
      </c>
      <c r="AT455" s="102">
        <f t="shared" si="587"/>
        <v>0</v>
      </c>
      <c r="AU455" s="102">
        <f t="shared" si="587"/>
        <v>0</v>
      </c>
      <c r="AV455" s="102" t="str">
        <f t="shared" si="587"/>
        <v>#REF!</v>
      </c>
      <c r="AW455" s="90"/>
      <c r="AX455" s="90"/>
      <c r="AY455" s="90"/>
      <c r="AZ455" s="90"/>
      <c r="BA455" s="90"/>
      <c r="BB455" s="90"/>
      <c r="BC455" s="90"/>
      <c r="BD455" s="90"/>
      <c r="BE455" s="90"/>
      <c r="BF455" s="90"/>
      <c r="BG455" s="90"/>
      <c r="BH455" s="90"/>
      <c r="BI455" s="90"/>
      <c r="BJ455" s="90"/>
      <c r="BK455" s="90"/>
      <c r="BL455" s="90"/>
      <c r="BM455" s="90"/>
      <c r="BN455" s="90"/>
      <c r="BO455" s="90"/>
      <c r="BP455" s="90"/>
    </row>
    <row r="456" ht="12.75" customHeight="1" outlineLevel="1">
      <c r="A456" s="90" t="s">
        <v>294</v>
      </c>
      <c r="C456" s="102">
        <f>'RSGen 1-7'!O56</f>
        <v>480</v>
      </c>
      <c r="D456" s="102">
        <f>OFFSET(RSGen_Walton!$I$56,0,ROW(C456)-ROW($C$450))</f>
        <v>480</v>
      </c>
      <c r="E456" s="102">
        <f>OFFSET(RSGen_none!$I$56,0,ROW(D456)-ROW($C$450))</f>
        <v>480</v>
      </c>
      <c r="F456" s="102"/>
      <c r="G456" s="102"/>
      <c r="H456" s="306"/>
      <c r="I456" s="306"/>
      <c r="J456" s="306"/>
      <c r="K456" s="306"/>
      <c r="L456" s="306"/>
      <c r="M456" s="306"/>
      <c r="N456" s="306"/>
      <c r="O456" s="306"/>
      <c r="P456" s="306"/>
      <c r="Q456" s="306"/>
      <c r="R456" s="306"/>
      <c r="S456" s="306"/>
      <c r="T456" s="102">
        <f t="shared" ref="T456:AL456" si="588">(MAX(0,MIN(T14,SUM(T14:T$15)-$E$4))*$E456+MAX(0,MIN(T14,$D$4-SUM(T$15:T15)))*$C456+(T14-(MAX(0,MIN(T14,SUM(T14:T$15)-$E$4))+MAX(0,MIN(T14,$D$4-SUM(T$15:T15)))))*$D456)</f>
        <v>960</v>
      </c>
      <c r="U456" s="102">
        <f t="shared" si="588"/>
        <v>1440</v>
      </c>
      <c r="V456" s="102">
        <f t="shared" si="588"/>
        <v>2400</v>
      </c>
      <c r="W456" s="102">
        <f t="shared" si="588"/>
        <v>3840</v>
      </c>
      <c r="X456" s="102">
        <f t="shared" si="588"/>
        <v>6240</v>
      </c>
      <c r="Y456" s="102">
        <f t="shared" si="588"/>
        <v>10560</v>
      </c>
      <c r="Z456" s="102">
        <f t="shared" si="588"/>
        <v>16320</v>
      </c>
      <c r="AA456" s="102">
        <f t="shared" si="588"/>
        <v>21600</v>
      </c>
      <c r="AB456" s="102">
        <f t="shared" si="588"/>
        <v>21600</v>
      </c>
      <c r="AC456" s="102">
        <f t="shared" si="588"/>
        <v>31680</v>
      </c>
      <c r="AD456" s="102">
        <f t="shared" si="588"/>
        <v>38400</v>
      </c>
      <c r="AE456" s="102">
        <f t="shared" si="588"/>
        <v>68160</v>
      </c>
      <c r="AF456" s="102">
        <f t="shared" si="588"/>
        <v>92640</v>
      </c>
      <c r="AG456" s="102">
        <f t="shared" si="588"/>
        <v>116160</v>
      </c>
      <c r="AH456" s="102">
        <f t="shared" si="588"/>
        <v>131040</v>
      </c>
      <c r="AI456" s="102">
        <f t="shared" si="588"/>
        <v>155520</v>
      </c>
      <c r="AJ456" s="102">
        <f t="shared" si="588"/>
        <v>168000</v>
      </c>
      <c r="AK456" s="102">
        <f t="shared" si="588"/>
        <v>165600</v>
      </c>
      <c r="AL456" s="102">
        <f t="shared" si="588"/>
        <v>130560</v>
      </c>
      <c r="AM456" s="102">
        <f t="shared" ref="AM456:AV456" si="589">$D456*AM$14</f>
        <v>15840</v>
      </c>
      <c r="AN456" s="102">
        <f t="shared" si="589"/>
        <v>0</v>
      </c>
      <c r="AO456" s="102">
        <f t="shared" si="589"/>
        <v>0</v>
      </c>
      <c r="AP456" s="102">
        <f t="shared" si="589"/>
        <v>0</v>
      </c>
      <c r="AQ456" s="102">
        <f t="shared" si="589"/>
        <v>0</v>
      </c>
      <c r="AR456" s="102">
        <f t="shared" si="589"/>
        <v>0</v>
      </c>
      <c r="AS456" s="102">
        <f t="shared" si="589"/>
        <v>0</v>
      </c>
      <c r="AT456" s="102">
        <f t="shared" si="589"/>
        <v>0</v>
      </c>
      <c r="AU456" s="102">
        <f t="shared" si="589"/>
        <v>0</v>
      </c>
      <c r="AV456" s="102">
        <f t="shared" si="589"/>
        <v>0</v>
      </c>
      <c r="AW456" s="90"/>
      <c r="AX456" s="90"/>
      <c r="AY456" s="90"/>
      <c r="AZ456" s="90"/>
      <c r="BA456" s="90"/>
      <c r="BB456" s="90"/>
      <c r="BC456" s="90"/>
      <c r="BD456" s="90"/>
      <c r="BE456" s="90"/>
      <c r="BF456" s="90"/>
      <c r="BG456" s="90"/>
      <c r="BH456" s="90"/>
      <c r="BI456" s="90"/>
      <c r="BJ456" s="90"/>
      <c r="BK456" s="90"/>
      <c r="BL456" s="90"/>
      <c r="BM456" s="90"/>
      <c r="BN456" s="90"/>
      <c r="BO456" s="90"/>
      <c r="BP456" s="90"/>
    </row>
    <row r="457" ht="12.75" customHeight="1" outlineLevel="1">
      <c r="A457" s="90" t="s">
        <v>295</v>
      </c>
      <c r="C457" s="102">
        <f>'RSGen 1-7'!P56</f>
        <v>480</v>
      </c>
      <c r="D457" s="102">
        <f>OFFSET(RSGen_Walton!$I$56,0,ROW(C457)-ROW($C$450))</f>
        <v>480</v>
      </c>
      <c r="E457" s="102">
        <f>OFFSET(RSGen_none!$I$56,0,ROW(D457)-ROW($C$450))</f>
        <v>480</v>
      </c>
      <c r="F457" s="102"/>
      <c r="G457" s="102"/>
      <c r="H457" s="306"/>
      <c r="I457" s="306"/>
      <c r="J457" s="306"/>
      <c r="K457" s="306"/>
      <c r="L457" s="306"/>
      <c r="M457" s="306"/>
      <c r="N457" s="306"/>
      <c r="O457" s="306"/>
      <c r="P457" s="306"/>
      <c r="Q457" s="306"/>
      <c r="R457" s="306"/>
      <c r="S457" s="306"/>
      <c r="T457" s="306"/>
      <c r="U457" s="102">
        <f t="shared" ref="U457:AL457" si="590">($C457*MIN($D$4-3,U15-3)+$D457*MIN($E$4-$D$4,MAX(0,U15-$D$4))+$E457*MAX(0,U15-$E$4))</f>
        <v>960</v>
      </c>
      <c r="V457" s="102">
        <f t="shared" si="590"/>
        <v>2400</v>
      </c>
      <c r="W457" s="102">
        <f t="shared" si="590"/>
        <v>4800</v>
      </c>
      <c r="X457" s="102">
        <f t="shared" si="590"/>
        <v>8640</v>
      </c>
      <c r="Y457" s="102">
        <f t="shared" si="590"/>
        <v>14880</v>
      </c>
      <c r="Z457" s="102">
        <f t="shared" si="590"/>
        <v>25440</v>
      </c>
      <c r="AA457" s="102">
        <f t="shared" si="590"/>
        <v>41760</v>
      </c>
      <c r="AB457" s="102">
        <f t="shared" si="590"/>
        <v>63360</v>
      </c>
      <c r="AC457" s="102">
        <f t="shared" si="590"/>
        <v>84960</v>
      </c>
      <c r="AD457" s="102">
        <f t="shared" si="590"/>
        <v>116640</v>
      </c>
      <c r="AE457" s="102">
        <f t="shared" si="590"/>
        <v>155040</v>
      </c>
      <c r="AF457" s="102">
        <f t="shared" si="590"/>
        <v>223200</v>
      </c>
      <c r="AG457" s="102">
        <f t="shared" si="590"/>
        <v>315840</v>
      </c>
      <c r="AH457" s="102">
        <f t="shared" si="590"/>
        <v>432000</v>
      </c>
      <c r="AI457" s="102">
        <f t="shared" si="590"/>
        <v>563040</v>
      </c>
      <c r="AJ457" s="102">
        <f t="shared" si="590"/>
        <v>718560</v>
      </c>
      <c r="AK457" s="102">
        <f t="shared" si="590"/>
        <v>886560</v>
      </c>
      <c r="AL457" s="102">
        <f t="shared" si="590"/>
        <v>1052160</v>
      </c>
      <c r="AM457" s="102">
        <f t="shared" ref="AM457:AV457" si="591">$C457*(4)+$D457*(AM$15-7)</f>
        <v>1182720</v>
      </c>
      <c r="AN457" s="102">
        <f t="shared" si="591"/>
        <v>1198560</v>
      </c>
      <c r="AO457" s="102">
        <f t="shared" si="591"/>
        <v>1198560</v>
      </c>
      <c r="AP457" s="102">
        <f t="shared" si="591"/>
        <v>1198560</v>
      </c>
      <c r="AQ457" s="102">
        <f t="shared" si="591"/>
        <v>1198560</v>
      </c>
      <c r="AR457" s="102">
        <f t="shared" si="591"/>
        <v>1198560</v>
      </c>
      <c r="AS457" s="102">
        <f t="shared" si="591"/>
        <v>1198560</v>
      </c>
      <c r="AT457" s="102">
        <f t="shared" si="591"/>
        <v>1198560</v>
      </c>
      <c r="AU457" s="102">
        <f t="shared" si="591"/>
        <v>1198560</v>
      </c>
      <c r="AV457" s="102">
        <f t="shared" si="591"/>
        <v>1198560</v>
      </c>
      <c r="AW457" s="90"/>
      <c r="AX457" s="90"/>
      <c r="AY457" s="90"/>
      <c r="AZ457" s="90"/>
      <c r="BA457" s="90"/>
      <c r="BB457" s="90"/>
      <c r="BC457" s="90"/>
      <c r="BD457" s="90"/>
      <c r="BE457" s="90"/>
      <c r="BF457" s="90"/>
      <c r="BG457" s="90"/>
      <c r="BH457" s="90"/>
      <c r="BI457" s="90"/>
      <c r="BJ457" s="90"/>
      <c r="BK457" s="90"/>
      <c r="BL457" s="90"/>
      <c r="BM457" s="90"/>
      <c r="BN457" s="90"/>
      <c r="BO457" s="90"/>
      <c r="BP457" s="90"/>
    </row>
    <row r="458" ht="12.75" customHeight="1" outlineLevel="1">
      <c r="A458" s="143" t="s">
        <v>621</v>
      </c>
      <c r="B458" s="143"/>
      <c r="C458" s="309"/>
      <c r="D458" s="309"/>
      <c r="E458" s="309"/>
      <c r="F458" s="309"/>
      <c r="G458" s="309"/>
      <c r="H458" s="314"/>
      <c r="I458" s="314"/>
      <c r="J458" s="314"/>
      <c r="K458" s="311"/>
      <c r="L458" s="311"/>
      <c r="M458" s="309">
        <f t="shared" ref="M458:AV458" si="592">SUM(M449:M457)</f>
        <v>0</v>
      </c>
      <c r="N458" s="309">
        <f t="shared" si="592"/>
        <v>752.64</v>
      </c>
      <c r="O458" s="309">
        <f t="shared" si="592"/>
        <v>2019.84</v>
      </c>
      <c r="P458" s="309">
        <f t="shared" si="592"/>
        <v>4177.92</v>
      </c>
      <c r="Q458" s="309">
        <f t="shared" si="592"/>
        <v>7637.76</v>
      </c>
      <c r="R458" s="309">
        <f t="shared" si="592"/>
        <v>13255.68</v>
      </c>
      <c r="S458" s="309">
        <f t="shared" si="592"/>
        <v>22709.76</v>
      </c>
      <c r="T458" s="309">
        <f t="shared" si="592"/>
        <v>37474.56</v>
      </c>
      <c r="U458" s="309">
        <f t="shared" si="592"/>
        <v>57519.36</v>
      </c>
      <c r="V458" s="309">
        <f t="shared" si="592"/>
        <v>78739.2</v>
      </c>
      <c r="W458" s="309">
        <f t="shared" si="592"/>
        <v>108241.92</v>
      </c>
      <c r="X458" s="309">
        <f t="shared" si="592"/>
        <v>144464.64</v>
      </c>
      <c r="Y458" s="309">
        <f t="shared" si="592"/>
        <v>205712.64</v>
      </c>
      <c r="Z458" s="309">
        <f t="shared" si="592"/>
        <v>290922.24</v>
      </c>
      <c r="AA458" s="309">
        <f t="shared" si="592"/>
        <v>400239.36</v>
      </c>
      <c r="AB458" s="309">
        <f t="shared" si="592"/>
        <v>526371.84</v>
      </c>
      <c r="AC458" s="309">
        <f t="shared" si="592"/>
        <v>675532.8</v>
      </c>
      <c r="AD458" s="309">
        <f t="shared" si="592"/>
        <v>839074.56</v>
      </c>
      <c r="AE458" s="309">
        <f t="shared" si="592"/>
        <v>1004294.4</v>
      </c>
      <c r="AF458" s="309">
        <f t="shared" si="592"/>
        <v>1142595.84</v>
      </c>
      <c r="AG458" s="309">
        <f t="shared" si="592"/>
        <v>1185738.24</v>
      </c>
      <c r="AH458" s="309">
        <f t="shared" si="592"/>
        <v>1197419.52</v>
      </c>
      <c r="AI458" s="309">
        <f t="shared" si="592"/>
        <v>1198560</v>
      </c>
      <c r="AJ458" s="309">
        <f t="shared" si="592"/>
        <v>1198560</v>
      </c>
      <c r="AK458" s="309">
        <f t="shared" si="592"/>
        <v>1198560</v>
      </c>
      <c r="AL458" s="309">
        <f t="shared" si="592"/>
        <v>1198560</v>
      </c>
      <c r="AM458" s="309">
        <f t="shared" si="592"/>
        <v>1198560</v>
      </c>
      <c r="AN458" s="309">
        <f t="shared" si="592"/>
        <v>1198560</v>
      </c>
      <c r="AO458" s="309">
        <f t="shared" si="592"/>
        <v>1198560</v>
      </c>
      <c r="AP458" s="309" t="str">
        <f t="shared" si="592"/>
        <v>#REF!</v>
      </c>
      <c r="AQ458" s="309" t="str">
        <f t="shared" si="592"/>
        <v>#REF!</v>
      </c>
      <c r="AR458" s="309" t="str">
        <f t="shared" si="592"/>
        <v>#REF!</v>
      </c>
      <c r="AS458" s="309" t="str">
        <f t="shared" si="592"/>
        <v>#REF!</v>
      </c>
      <c r="AT458" s="309" t="str">
        <f t="shared" si="592"/>
        <v>#REF!</v>
      </c>
      <c r="AU458" s="309" t="str">
        <f t="shared" si="592"/>
        <v>#REF!</v>
      </c>
      <c r="AV458" s="309" t="str">
        <f t="shared" si="592"/>
        <v>#REF!</v>
      </c>
      <c r="AW458" s="90"/>
      <c r="AX458" s="90"/>
      <c r="AY458" s="90"/>
      <c r="AZ458" s="90"/>
      <c r="BA458" s="90"/>
      <c r="BB458" s="90"/>
      <c r="BC458" s="90"/>
      <c r="BD458" s="90"/>
      <c r="BE458" s="90"/>
      <c r="BF458" s="90"/>
      <c r="BG458" s="90"/>
      <c r="BH458" s="90"/>
      <c r="BI458" s="90"/>
      <c r="BJ458" s="90"/>
      <c r="BK458" s="90"/>
      <c r="BL458" s="90"/>
      <c r="BM458" s="90"/>
      <c r="BN458" s="90"/>
      <c r="BO458" s="90"/>
      <c r="BP458" s="90"/>
    </row>
    <row r="459" ht="12.75" customHeight="1" outlineLevel="1">
      <c r="A459" s="90"/>
      <c r="K459" s="102"/>
      <c r="L459" s="102"/>
      <c r="M459" s="102"/>
      <c r="N459" s="102"/>
      <c r="O459" s="102"/>
      <c r="P459" s="102"/>
      <c r="Q459" s="102"/>
      <c r="R459" s="102"/>
      <c r="S459" s="102"/>
      <c r="T459" s="102"/>
      <c r="U459" s="102"/>
      <c r="V459" s="102"/>
      <c r="W459" s="102"/>
      <c r="X459" s="102"/>
      <c r="Y459" s="102"/>
      <c r="Z459" s="102"/>
      <c r="AA459" s="102"/>
      <c r="AB459" s="102"/>
      <c r="AC459" s="102"/>
      <c r="AD459" s="102"/>
      <c r="AE459" s="102"/>
      <c r="AF459" s="102"/>
      <c r="AG459" s="102"/>
      <c r="AH459" s="102"/>
      <c r="AI459" s="102"/>
      <c r="AJ459" s="102"/>
      <c r="AK459" s="102"/>
      <c r="AL459" s="102"/>
      <c r="AM459" s="102"/>
      <c r="AN459" s="102"/>
      <c r="AO459" s="102"/>
      <c r="AP459" s="102"/>
      <c r="AQ459" s="102"/>
      <c r="AR459" s="102"/>
      <c r="AS459" s="102"/>
      <c r="AT459" s="102"/>
      <c r="AU459" s="102"/>
      <c r="AV459" s="102"/>
      <c r="AW459" s="90"/>
      <c r="AX459" s="90"/>
      <c r="AY459" s="90"/>
      <c r="AZ459" s="90"/>
      <c r="BA459" s="90"/>
      <c r="BB459" s="90"/>
      <c r="BC459" s="90"/>
      <c r="BD459" s="90"/>
      <c r="BE459" s="90"/>
      <c r="BF459" s="90"/>
      <c r="BG459" s="90"/>
      <c r="BH459" s="90"/>
      <c r="BI459" s="90"/>
      <c r="BJ459" s="90"/>
      <c r="BK459" s="90"/>
      <c r="BL459" s="90"/>
      <c r="BM459" s="90"/>
      <c r="BN459" s="90"/>
      <c r="BO459" s="90"/>
      <c r="BP459" s="90"/>
    </row>
    <row r="460" ht="12.75" customHeight="1" outlineLevel="1">
      <c r="A460" s="90"/>
      <c r="C460" s="102"/>
      <c r="D460" s="102"/>
      <c r="E460" s="102"/>
      <c r="F460" s="102"/>
      <c r="G460" s="102"/>
      <c r="K460" s="102"/>
      <c r="L460" s="102"/>
      <c r="M460" s="102"/>
      <c r="N460" s="102"/>
      <c r="O460" s="102"/>
      <c r="P460" s="102"/>
      <c r="Q460" s="102"/>
      <c r="R460" s="102"/>
      <c r="S460" s="102"/>
      <c r="T460" s="102"/>
      <c r="U460" s="102"/>
      <c r="V460" s="102"/>
      <c r="W460" s="102"/>
      <c r="X460" s="102"/>
      <c r="Y460" s="102"/>
      <c r="Z460" s="102"/>
      <c r="AA460" s="102"/>
      <c r="AB460" s="102"/>
      <c r="AC460" s="102"/>
      <c r="AD460" s="102"/>
      <c r="AE460" s="102"/>
      <c r="AF460" s="102"/>
      <c r="AG460" s="102"/>
      <c r="AH460" s="102"/>
      <c r="AI460" s="102"/>
      <c r="AJ460" s="102"/>
      <c r="AK460" s="102"/>
      <c r="AL460" s="102"/>
      <c r="AM460" s="102"/>
      <c r="AN460" s="102"/>
      <c r="AO460" s="102"/>
      <c r="AP460" s="102"/>
      <c r="AQ460" s="102"/>
      <c r="AR460" s="102"/>
      <c r="AS460" s="102"/>
      <c r="AT460" s="102"/>
      <c r="AU460" s="102"/>
      <c r="AV460" s="102"/>
      <c r="AW460" s="90"/>
      <c r="AX460" s="90"/>
      <c r="AY460" s="90"/>
      <c r="AZ460" s="90"/>
      <c r="BA460" s="90"/>
      <c r="BB460" s="90"/>
      <c r="BC460" s="90"/>
      <c r="BD460" s="90"/>
      <c r="BE460" s="90"/>
      <c r="BF460" s="90"/>
      <c r="BG460" s="90"/>
      <c r="BH460" s="90"/>
      <c r="BI460" s="90"/>
      <c r="BJ460" s="90"/>
      <c r="BK460" s="90"/>
      <c r="BL460" s="90"/>
      <c r="BM460" s="90"/>
      <c r="BN460" s="90"/>
      <c r="BO460" s="90"/>
      <c r="BP460" s="90"/>
    </row>
    <row r="461" ht="12.75" customHeight="1" outlineLevel="1">
      <c r="A461" s="90" t="s">
        <v>190</v>
      </c>
      <c r="C461" s="102"/>
      <c r="D461" s="102"/>
      <c r="E461" s="102"/>
      <c r="F461" s="102"/>
      <c r="G461" s="102"/>
      <c r="K461" s="102"/>
      <c r="L461" s="102"/>
      <c r="M461" s="102"/>
      <c r="N461" s="102"/>
      <c r="O461" s="102"/>
      <c r="P461" s="102"/>
      <c r="Q461" s="102"/>
      <c r="R461" s="102"/>
      <c r="S461" s="102"/>
      <c r="T461" s="102"/>
      <c r="U461" s="102"/>
      <c r="V461" s="102"/>
      <c r="W461" s="102"/>
      <c r="X461" s="102"/>
      <c r="Y461" s="102"/>
      <c r="Z461" s="102"/>
      <c r="AA461" s="102"/>
      <c r="AB461" s="102"/>
      <c r="AC461" s="102"/>
      <c r="AD461" s="102"/>
      <c r="AE461" s="102"/>
      <c r="AF461" s="102"/>
      <c r="AG461" s="102"/>
      <c r="AH461" s="102"/>
      <c r="AI461" s="102"/>
      <c r="AJ461" s="102"/>
      <c r="AK461" s="102"/>
      <c r="AL461" s="102"/>
      <c r="AM461" s="102"/>
      <c r="AN461" s="102"/>
      <c r="AO461" s="102"/>
      <c r="AP461" s="102"/>
      <c r="AQ461" s="102"/>
      <c r="AR461" s="102"/>
      <c r="AS461" s="102"/>
      <c r="AT461" s="102"/>
      <c r="AU461" s="102"/>
      <c r="AV461" s="102"/>
      <c r="AW461" s="90"/>
      <c r="AX461" s="90"/>
      <c r="AY461" s="90"/>
      <c r="AZ461" s="90"/>
      <c r="BA461" s="90"/>
      <c r="BB461" s="90"/>
      <c r="BC461" s="90"/>
      <c r="BD461" s="90"/>
      <c r="BE461" s="90"/>
      <c r="BF461" s="90"/>
      <c r="BG461" s="90"/>
      <c r="BH461" s="90"/>
      <c r="BI461" s="90"/>
      <c r="BJ461" s="90"/>
      <c r="BK461" s="90"/>
      <c r="BL461" s="90"/>
      <c r="BM461" s="90"/>
      <c r="BN461" s="90"/>
      <c r="BO461" s="90"/>
      <c r="BP461" s="90"/>
    </row>
    <row r="462" ht="12.75" customHeight="1" outlineLevel="1">
      <c r="A462" s="90" t="s">
        <v>287</v>
      </c>
      <c r="C462" s="102">
        <f>'RSGen 1-7'!H159</f>
        <v>1.5</v>
      </c>
      <c r="D462" s="102">
        <f>OFFSET(RSGen_Walton!$H$159,0,ROW(C462)-ROW($C$462))</f>
        <v>1.5</v>
      </c>
      <c r="E462" s="102">
        <f>OFFSET(RSGen_none!$H$159,0,ROW(D462)-ROW($C$462))</f>
        <v>1.5</v>
      </c>
      <c r="F462" s="102"/>
      <c r="G462" s="102"/>
      <c r="H462" s="306"/>
      <c r="I462" s="313"/>
      <c r="J462" s="313"/>
      <c r="K462" s="306"/>
      <c r="L462" s="306"/>
      <c r="M462" s="102">
        <f t="shared" ref="M462:AL462" si="593">(MAX(0,MIN(M7,SUM(M7:M$15)-$E$4))*$E462+MAX(0,MIN(M7,$D$4-SUM(M8:M$15)))*$C462+(M7-(MAX(0,MIN(M7,SUM(M7:M$15)-$E$4))+MAX(0,MIN(M7,$D$4-SUM(M8:M$15)))))*$D462)</f>
        <v>3</v>
      </c>
      <c r="N462" s="102">
        <f t="shared" si="593"/>
        <v>4.5</v>
      </c>
      <c r="O462" s="102">
        <f t="shared" si="593"/>
        <v>7.5</v>
      </c>
      <c r="P462" s="102">
        <f t="shared" si="593"/>
        <v>12</v>
      </c>
      <c r="Q462" s="102">
        <f t="shared" si="593"/>
        <v>19.5</v>
      </c>
      <c r="R462" s="102">
        <f t="shared" si="593"/>
        <v>33</v>
      </c>
      <c r="S462" s="102">
        <f t="shared" si="593"/>
        <v>51</v>
      </c>
      <c r="T462" s="102">
        <f t="shared" si="593"/>
        <v>67.5</v>
      </c>
      <c r="U462" s="102">
        <f t="shared" si="593"/>
        <v>67.5</v>
      </c>
      <c r="V462" s="102">
        <f t="shared" si="593"/>
        <v>99</v>
      </c>
      <c r="W462" s="102">
        <f t="shared" si="593"/>
        <v>120</v>
      </c>
      <c r="X462" s="102">
        <f t="shared" si="593"/>
        <v>213</v>
      </c>
      <c r="Y462" s="102">
        <f t="shared" si="593"/>
        <v>289.5</v>
      </c>
      <c r="Z462" s="102">
        <f t="shared" si="593"/>
        <v>363</v>
      </c>
      <c r="AA462" s="102">
        <f t="shared" si="593"/>
        <v>409.5</v>
      </c>
      <c r="AB462" s="102">
        <f t="shared" si="593"/>
        <v>486</v>
      </c>
      <c r="AC462" s="102">
        <f t="shared" si="593"/>
        <v>525</v>
      </c>
      <c r="AD462" s="102">
        <f t="shared" si="593"/>
        <v>517.5</v>
      </c>
      <c r="AE462" s="102">
        <f t="shared" si="593"/>
        <v>408</v>
      </c>
      <c r="AF462" s="102">
        <f t="shared" si="593"/>
        <v>49.5</v>
      </c>
      <c r="AG462" s="102">
        <f t="shared" si="593"/>
        <v>0</v>
      </c>
      <c r="AH462" s="102">
        <f t="shared" si="593"/>
        <v>0</v>
      </c>
      <c r="AI462" s="102">
        <f t="shared" si="593"/>
        <v>0</v>
      </c>
      <c r="AJ462" s="102">
        <f t="shared" si="593"/>
        <v>0</v>
      </c>
      <c r="AK462" s="102">
        <f t="shared" si="593"/>
        <v>0</v>
      </c>
      <c r="AL462" s="102">
        <f t="shared" si="593"/>
        <v>0</v>
      </c>
      <c r="AM462" s="102">
        <f t="shared" ref="AM462:AV462" si="594">$D462*AM$7</f>
        <v>0</v>
      </c>
      <c r="AN462" s="102">
        <f t="shared" si="594"/>
        <v>0</v>
      </c>
      <c r="AO462" s="102">
        <f t="shared" si="594"/>
        <v>0</v>
      </c>
      <c r="AP462" s="102" t="str">
        <f t="shared" si="594"/>
        <v>#REF!</v>
      </c>
      <c r="AQ462" s="102" t="str">
        <f t="shared" si="594"/>
        <v>#REF!</v>
      </c>
      <c r="AR462" s="102" t="str">
        <f t="shared" si="594"/>
        <v>#REF!</v>
      </c>
      <c r="AS462" s="102" t="str">
        <f t="shared" si="594"/>
        <v>#REF!</v>
      </c>
      <c r="AT462" s="102" t="str">
        <f t="shared" si="594"/>
        <v>#REF!</v>
      </c>
      <c r="AU462" s="102">
        <f t="shared" si="594"/>
        <v>0</v>
      </c>
      <c r="AV462" s="102">
        <f t="shared" si="594"/>
        <v>0</v>
      </c>
      <c r="AW462" s="90"/>
      <c r="AX462" s="90"/>
      <c r="AY462" s="90"/>
      <c r="AZ462" s="90"/>
      <c r="BA462" s="90"/>
      <c r="BB462" s="90"/>
      <c r="BC462" s="90"/>
      <c r="BD462" s="90"/>
      <c r="BE462" s="90"/>
      <c r="BF462" s="90"/>
      <c r="BG462" s="90"/>
      <c r="BH462" s="90"/>
      <c r="BI462" s="90"/>
      <c r="BJ462" s="90"/>
      <c r="BK462" s="90"/>
      <c r="BL462" s="90"/>
      <c r="BM462" s="90"/>
      <c r="BN462" s="90"/>
      <c r="BO462" s="90"/>
      <c r="BP462" s="90"/>
    </row>
    <row r="463" ht="12.75" customHeight="1" outlineLevel="1">
      <c r="A463" s="90" t="s">
        <v>288</v>
      </c>
      <c r="C463" s="102">
        <f>'RSGen 1-7'!I159</f>
        <v>18.25</v>
      </c>
      <c r="D463" s="102">
        <f>OFFSET(RSGen_Walton!$H$159,0,ROW(C463)-ROW($C$462))</f>
        <v>18.25</v>
      </c>
      <c r="E463" s="102">
        <f>OFFSET(RSGen_none!$H$159,0,ROW(D463)-ROW($C$462))</f>
        <v>18.25</v>
      </c>
      <c r="F463" s="102"/>
      <c r="G463" s="102"/>
      <c r="H463" s="306"/>
      <c r="I463" s="306"/>
      <c r="J463" s="306"/>
      <c r="K463" s="306"/>
      <c r="L463" s="306"/>
      <c r="M463" s="306"/>
      <c r="N463" s="102">
        <f t="shared" ref="N463:AL463" si="595">(MAX(0,MIN(N8,SUM(N8:N$15)-$E$4))*$E463+MAX(0,MIN(N8,$D$4-SUM(N9:N$15)))*$C463+(N8-(MAX(0,MIN(N8,SUM(N8:N$15)-$E$4))+MAX(0,MIN(N8,$D$4-SUM(N9:N$15)))))*$D463)</f>
        <v>36.5</v>
      </c>
      <c r="O463" s="102">
        <f t="shared" si="595"/>
        <v>54.75</v>
      </c>
      <c r="P463" s="102">
        <f t="shared" si="595"/>
        <v>91.25</v>
      </c>
      <c r="Q463" s="102">
        <f t="shared" si="595"/>
        <v>146</v>
      </c>
      <c r="R463" s="102">
        <f t="shared" si="595"/>
        <v>237.25</v>
      </c>
      <c r="S463" s="102">
        <f t="shared" si="595"/>
        <v>401.5</v>
      </c>
      <c r="T463" s="102">
        <f t="shared" si="595"/>
        <v>620.5</v>
      </c>
      <c r="U463" s="102">
        <f t="shared" si="595"/>
        <v>821.25</v>
      </c>
      <c r="V463" s="102">
        <f t="shared" si="595"/>
        <v>821.25</v>
      </c>
      <c r="W463" s="102">
        <f t="shared" si="595"/>
        <v>1204.5</v>
      </c>
      <c r="X463" s="102">
        <f t="shared" si="595"/>
        <v>1460</v>
      </c>
      <c r="Y463" s="102">
        <f t="shared" si="595"/>
        <v>2591.5</v>
      </c>
      <c r="Z463" s="102">
        <f t="shared" si="595"/>
        <v>3522.25</v>
      </c>
      <c r="AA463" s="102">
        <f t="shared" si="595"/>
        <v>4416.5</v>
      </c>
      <c r="AB463" s="102">
        <f t="shared" si="595"/>
        <v>4982.25</v>
      </c>
      <c r="AC463" s="102">
        <f t="shared" si="595"/>
        <v>5913</v>
      </c>
      <c r="AD463" s="102">
        <f t="shared" si="595"/>
        <v>6387.5</v>
      </c>
      <c r="AE463" s="102">
        <f t="shared" si="595"/>
        <v>6296.25</v>
      </c>
      <c r="AF463" s="102">
        <f t="shared" si="595"/>
        <v>4964</v>
      </c>
      <c r="AG463" s="102">
        <f t="shared" si="595"/>
        <v>602.25</v>
      </c>
      <c r="AH463" s="102">
        <f t="shared" si="595"/>
        <v>0</v>
      </c>
      <c r="AI463" s="102">
        <f t="shared" si="595"/>
        <v>0</v>
      </c>
      <c r="AJ463" s="102">
        <f t="shared" si="595"/>
        <v>0</v>
      </c>
      <c r="AK463" s="102">
        <f t="shared" si="595"/>
        <v>0</v>
      </c>
      <c r="AL463" s="102">
        <f t="shared" si="595"/>
        <v>0</v>
      </c>
      <c r="AM463" s="102">
        <f t="shared" ref="AM463:AV463" si="596">$D463*AM$8</f>
        <v>0</v>
      </c>
      <c r="AN463" s="102">
        <f t="shared" si="596"/>
        <v>0</v>
      </c>
      <c r="AO463" s="102">
        <f t="shared" si="596"/>
        <v>0</v>
      </c>
      <c r="AP463" s="102">
        <f t="shared" si="596"/>
        <v>0</v>
      </c>
      <c r="AQ463" s="102" t="str">
        <f t="shared" si="596"/>
        <v>#REF!</v>
      </c>
      <c r="AR463" s="102" t="str">
        <f t="shared" si="596"/>
        <v>#REF!</v>
      </c>
      <c r="AS463" s="102" t="str">
        <f t="shared" si="596"/>
        <v>#REF!</v>
      </c>
      <c r="AT463" s="102" t="str">
        <f t="shared" si="596"/>
        <v>#REF!</v>
      </c>
      <c r="AU463" s="102" t="str">
        <f t="shared" si="596"/>
        <v>#REF!</v>
      </c>
      <c r="AV463" s="102">
        <f t="shared" si="596"/>
        <v>0</v>
      </c>
      <c r="AW463" s="90"/>
      <c r="AX463" s="90"/>
      <c r="AY463" s="90"/>
      <c r="AZ463" s="90"/>
      <c r="BA463" s="90"/>
      <c r="BB463" s="90"/>
      <c r="BC463" s="90"/>
      <c r="BD463" s="90"/>
      <c r="BE463" s="90"/>
      <c r="BF463" s="90"/>
      <c r="BG463" s="90"/>
      <c r="BH463" s="90"/>
      <c r="BI463" s="90"/>
      <c r="BJ463" s="90"/>
      <c r="BK463" s="90"/>
      <c r="BL463" s="90"/>
      <c r="BM463" s="90"/>
      <c r="BN463" s="90"/>
      <c r="BO463" s="90"/>
      <c r="BP463" s="90"/>
    </row>
    <row r="464" ht="12.75" customHeight="1" outlineLevel="1">
      <c r="A464" s="90" t="s">
        <v>289</v>
      </c>
      <c r="C464" s="102">
        <f>'RSGen 1-7'!J159</f>
        <v>19.25</v>
      </c>
      <c r="D464" s="102">
        <f>OFFSET(RSGen_Walton!$H$159,0,ROW(C464)-ROW($C$462))</f>
        <v>18.25</v>
      </c>
      <c r="E464" s="102">
        <f>OFFSET(RSGen_none!$H$159,0,ROW(D464)-ROW($C$462))</f>
        <v>18.25</v>
      </c>
      <c r="F464" s="102"/>
      <c r="G464" s="102"/>
      <c r="H464" s="306"/>
      <c r="I464" s="306"/>
      <c r="J464" s="306"/>
      <c r="K464" s="306"/>
      <c r="L464" s="306"/>
      <c r="M464" s="306"/>
      <c r="N464" s="306"/>
      <c r="O464" s="102">
        <f t="shared" ref="O464:AL464" si="597">(MAX(0,MIN(O9,SUM(O9:O$15)-$E$4))*$E464+MAX(0,MIN(O9,$D$4-SUM(O10:O$15)))*$C464+(O9-(MAX(0,MIN(O9,SUM(O9:O$15)-$E$4))+MAX(0,MIN(O9,$D$4-SUM(O10:O$15)))))*$D464)</f>
        <v>38.5</v>
      </c>
      <c r="P464" s="102">
        <f t="shared" si="597"/>
        <v>56.75</v>
      </c>
      <c r="Q464" s="102">
        <f t="shared" si="597"/>
        <v>91.25</v>
      </c>
      <c r="R464" s="102">
        <f t="shared" si="597"/>
        <v>146</v>
      </c>
      <c r="S464" s="102">
        <f t="shared" si="597"/>
        <v>237.25</v>
      </c>
      <c r="T464" s="102">
        <f t="shared" si="597"/>
        <v>401.5</v>
      </c>
      <c r="U464" s="102">
        <f t="shared" si="597"/>
        <v>620.5</v>
      </c>
      <c r="V464" s="102">
        <f t="shared" si="597"/>
        <v>821.25</v>
      </c>
      <c r="W464" s="102">
        <f t="shared" si="597"/>
        <v>821.25</v>
      </c>
      <c r="X464" s="102">
        <f t="shared" si="597"/>
        <v>1204.5</v>
      </c>
      <c r="Y464" s="102">
        <f t="shared" si="597"/>
        <v>1460</v>
      </c>
      <c r="Z464" s="102">
        <f t="shared" si="597"/>
        <v>2591.5</v>
      </c>
      <c r="AA464" s="102">
        <f t="shared" si="597"/>
        <v>3522.25</v>
      </c>
      <c r="AB464" s="102">
        <f t="shared" si="597"/>
        <v>4416.5</v>
      </c>
      <c r="AC464" s="102">
        <f t="shared" si="597"/>
        <v>4982.25</v>
      </c>
      <c r="AD464" s="102">
        <f t="shared" si="597"/>
        <v>5913</v>
      </c>
      <c r="AE464" s="102">
        <f t="shared" si="597"/>
        <v>6387.5</v>
      </c>
      <c r="AF464" s="102">
        <f t="shared" si="597"/>
        <v>6296.25</v>
      </c>
      <c r="AG464" s="102">
        <f t="shared" si="597"/>
        <v>4964</v>
      </c>
      <c r="AH464" s="102">
        <f t="shared" si="597"/>
        <v>602.25</v>
      </c>
      <c r="AI464" s="102">
        <f t="shared" si="597"/>
        <v>0</v>
      </c>
      <c r="AJ464" s="102">
        <f t="shared" si="597"/>
        <v>0</v>
      </c>
      <c r="AK464" s="102">
        <f t="shared" si="597"/>
        <v>0</v>
      </c>
      <c r="AL464" s="102">
        <f t="shared" si="597"/>
        <v>0</v>
      </c>
      <c r="AM464" s="102">
        <f t="shared" ref="AM464:AV464" si="598">$D464*AM$9</f>
        <v>0</v>
      </c>
      <c r="AN464" s="102">
        <f t="shared" si="598"/>
        <v>0</v>
      </c>
      <c r="AO464" s="102">
        <f t="shared" si="598"/>
        <v>0</v>
      </c>
      <c r="AP464" s="102">
        <f t="shared" si="598"/>
        <v>0</v>
      </c>
      <c r="AQ464" s="102">
        <f t="shared" si="598"/>
        <v>0</v>
      </c>
      <c r="AR464" s="102" t="str">
        <f t="shared" si="598"/>
        <v>#REF!</v>
      </c>
      <c r="AS464" s="102" t="str">
        <f t="shared" si="598"/>
        <v>#REF!</v>
      </c>
      <c r="AT464" s="102" t="str">
        <f t="shared" si="598"/>
        <v>#REF!</v>
      </c>
      <c r="AU464" s="102" t="str">
        <f t="shared" si="598"/>
        <v>#REF!</v>
      </c>
      <c r="AV464" s="102" t="str">
        <f t="shared" si="598"/>
        <v>#REF!</v>
      </c>
      <c r="AW464" s="90"/>
      <c r="AX464" s="90"/>
      <c r="AY464" s="90"/>
      <c r="AZ464" s="90"/>
      <c r="BA464" s="90"/>
      <c r="BB464" s="90"/>
      <c r="BC464" s="90"/>
      <c r="BD464" s="90"/>
      <c r="BE464" s="90"/>
      <c r="BF464" s="90"/>
      <c r="BG464" s="90"/>
      <c r="BH464" s="90"/>
      <c r="BI464" s="90"/>
      <c r="BJ464" s="90"/>
      <c r="BK464" s="90"/>
      <c r="BL464" s="90"/>
      <c r="BM464" s="90"/>
      <c r="BN464" s="90"/>
      <c r="BO464" s="90"/>
      <c r="BP464" s="90"/>
    </row>
    <row r="465" ht="12.75" customHeight="1" outlineLevel="1">
      <c r="A465" s="90" t="s">
        <v>290</v>
      </c>
      <c r="C465" s="102">
        <f>'RSGen 1-7'!K159</f>
        <v>19.25</v>
      </c>
      <c r="D465" s="102">
        <f>OFFSET(RSGen_Walton!$H$159,0,ROW(C465)-ROW($C$462))</f>
        <v>19.25</v>
      </c>
      <c r="E465" s="102">
        <f>OFFSET(RSGen_none!$H$159,0,ROW(D465)-ROW($C$462))</f>
        <v>19.25</v>
      </c>
      <c r="F465" s="102"/>
      <c r="G465" s="102"/>
      <c r="H465" s="306"/>
      <c r="I465" s="306"/>
      <c r="J465" s="306"/>
      <c r="K465" s="306"/>
      <c r="L465" s="306"/>
      <c r="M465" s="306"/>
      <c r="N465" s="306"/>
      <c r="O465" s="306"/>
      <c r="P465" s="102">
        <f t="shared" ref="P465:AL465" si="599">(MAX(0,MIN(P10,SUM(P10:P$15)-$E$4))*$E465+MAX(0,MIN(P10,$D$4-SUM(P11:P$15)))*$C465+(P10-(MAX(0,MIN(P10,SUM(P10:P$15)-$E$4))+MAX(0,MIN(P10,$D$4-SUM(P11:P$15)))))*$D465)</f>
        <v>38.5</v>
      </c>
      <c r="Q465" s="102">
        <f t="shared" si="599"/>
        <v>57.75</v>
      </c>
      <c r="R465" s="102">
        <f t="shared" si="599"/>
        <v>96.25</v>
      </c>
      <c r="S465" s="102">
        <f t="shared" si="599"/>
        <v>154</v>
      </c>
      <c r="T465" s="102">
        <f t="shared" si="599"/>
        <v>250.25</v>
      </c>
      <c r="U465" s="102">
        <f t="shared" si="599"/>
        <v>423.5</v>
      </c>
      <c r="V465" s="102">
        <f t="shared" si="599"/>
        <v>654.5</v>
      </c>
      <c r="W465" s="102">
        <f t="shared" si="599"/>
        <v>866.25</v>
      </c>
      <c r="X465" s="102">
        <f t="shared" si="599"/>
        <v>866.25</v>
      </c>
      <c r="Y465" s="102">
        <f t="shared" si="599"/>
        <v>1270.5</v>
      </c>
      <c r="Z465" s="102">
        <f t="shared" si="599"/>
        <v>1540</v>
      </c>
      <c r="AA465" s="102">
        <f t="shared" si="599"/>
        <v>2733.5</v>
      </c>
      <c r="AB465" s="102">
        <f t="shared" si="599"/>
        <v>3715.25</v>
      </c>
      <c r="AC465" s="102">
        <f t="shared" si="599"/>
        <v>4658.5</v>
      </c>
      <c r="AD465" s="102">
        <f t="shared" si="599"/>
        <v>5255.25</v>
      </c>
      <c r="AE465" s="102">
        <f t="shared" si="599"/>
        <v>6237</v>
      </c>
      <c r="AF465" s="102">
        <f t="shared" si="599"/>
        <v>6737.5</v>
      </c>
      <c r="AG465" s="102">
        <f t="shared" si="599"/>
        <v>6641.25</v>
      </c>
      <c r="AH465" s="102">
        <f t="shared" si="599"/>
        <v>5236</v>
      </c>
      <c r="AI465" s="102">
        <f t="shared" si="599"/>
        <v>635.25</v>
      </c>
      <c r="AJ465" s="102">
        <f t="shared" si="599"/>
        <v>0</v>
      </c>
      <c r="AK465" s="102">
        <f t="shared" si="599"/>
        <v>0</v>
      </c>
      <c r="AL465" s="102">
        <f t="shared" si="599"/>
        <v>0</v>
      </c>
      <c r="AM465" s="102">
        <f t="shared" ref="AM465:AV465" si="600">$D465*AM$10</f>
        <v>0</v>
      </c>
      <c r="AN465" s="102">
        <f t="shared" si="600"/>
        <v>0</v>
      </c>
      <c r="AO465" s="102">
        <f t="shared" si="600"/>
        <v>0</v>
      </c>
      <c r="AP465" s="102">
        <f t="shared" si="600"/>
        <v>0</v>
      </c>
      <c r="AQ465" s="102">
        <f t="shared" si="600"/>
        <v>0</v>
      </c>
      <c r="AR465" s="102">
        <f t="shared" si="600"/>
        <v>0</v>
      </c>
      <c r="AS465" s="102" t="str">
        <f t="shared" si="600"/>
        <v>#REF!</v>
      </c>
      <c r="AT465" s="102" t="str">
        <f t="shared" si="600"/>
        <v>#REF!</v>
      </c>
      <c r="AU465" s="102" t="str">
        <f t="shared" si="600"/>
        <v>#REF!</v>
      </c>
      <c r="AV465" s="102" t="str">
        <f t="shared" si="600"/>
        <v>#REF!</v>
      </c>
      <c r="AW465" s="90"/>
      <c r="AX465" s="90"/>
      <c r="AY465" s="90"/>
      <c r="AZ465" s="90"/>
      <c r="BA465" s="90"/>
      <c r="BB465" s="90"/>
      <c r="BC465" s="90"/>
      <c r="BD465" s="90"/>
      <c r="BE465" s="90"/>
      <c r="BF465" s="90"/>
      <c r="BG465" s="90"/>
      <c r="BH465" s="90"/>
      <c r="BI465" s="90"/>
      <c r="BJ465" s="90"/>
      <c r="BK465" s="90"/>
      <c r="BL465" s="90"/>
      <c r="BM465" s="90"/>
      <c r="BN465" s="90"/>
      <c r="BO465" s="90"/>
      <c r="BP465" s="90"/>
    </row>
    <row r="466" ht="12.75" customHeight="1" outlineLevel="1">
      <c r="A466" s="90" t="s">
        <v>291</v>
      </c>
      <c r="C466" s="102">
        <f>'RSGen 1-7'!L159</f>
        <v>19.25</v>
      </c>
      <c r="D466" s="102">
        <f>OFFSET(RSGen_Walton!$H$159,0,ROW(C466)-ROW($C$462))</f>
        <v>19.25</v>
      </c>
      <c r="E466" s="102">
        <f>OFFSET(RSGen_none!$H$159,0,ROW(D466)-ROW($C$462))</f>
        <v>19.25</v>
      </c>
      <c r="F466" s="102"/>
      <c r="G466" s="102"/>
      <c r="H466" s="306"/>
      <c r="I466" s="306"/>
      <c r="J466" s="306"/>
      <c r="K466" s="306"/>
      <c r="L466" s="306"/>
      <c r="M466" s="306"/>
      <c r="N466" s="306"/>
      <c r="O466" s="306"/>
      <c r="P466" s="306"/>
      <c r="Q466" s="102">
        <f t="shared" ref="Q466:AL466" si="601">(MAX(0,MIN(Q11,SUM(Q11:Q$15)-$E$4))*$E466+MAX(0,MIN(Q11,$D$4-SUM(Q12:Q$15)))*$C466+(Q11-(MAX(0,MIN(Q11,SUM(Q11:Q$15)-$E$4))+MAX(0,MIN(Q11,$D$4-SUM(Q12:Q$15)))))*$D466)</f>
        <v>38.5</v>
      </c>
      <c r="R466" s="102">
        <f t="shared" si="601"/>
        <v>57.75</v>
      </c>
      <c r="S466" s="102">
        <f t="shared" si="601"/>
        <v>96.25</v>
      </c>
      <c r="T466" s="102">
        <f t="shared" si="601"/>
        <v>154</v>
      </c>
      <c r="U466" s="102">
        <f t="shared" si="601"/>
        <v>250.25</v>
      </c>
      <c r="V466" s="102">
        <f t="shared" si="601"/>
        <v>423.5</v>
      </c>
      <c r="W466" s="102">
        <f t="shared" si="601"/>
        <v>654.5</v>
      </c>
      <c r="X466" s="102">
        <f t="shared" si="601"/>
        <v>866.25</v>
      </c>
      <c r="Y466" s="102">
        <f t="shared" si="601"/>
        <v>866.25</v>
      </c>
      <c r="Z466" s="102">
        <f t="shared" si="601"/>
        <v>1270.5</v>
      </c>
      <c r="AA466" s="102">
        <f t="shared" si="601"/>
        <v>1540</v>
      </c>
      <c r="AB466" s="102">
        <f t="shared" si="601"/>
        <v>2733.5</v>
      </c>
      <c r="AC466" s="102">
        <f t="shared" si="601"/>
        <v>3715.25</v>
      </c>
      <c r="AD466" s="102">
        <f t="shared" si="601"/>
        <v>4658.5</v>
      </c>
      <c r="AE466" s="102">
        <f t="shared" si="601"/>
        <v>5255.25</v>
      </c>
      <c r="AF466" s="102">
        <f t="shared" si="601"/>
        <v>6237</v>
      </c>
      <c r="AG466" s="102">
        <f t="shared" si="601"/>
        <v>6737.5</v>
      </c>
      <c r="AH466" s="102">
        <f t="shared" si="601"/>
        <v>6641.25</v>
      </c>
      <c r="AI466" s="102">
        <f t="shared" si="601"/>
        <v>5236</v>
      </c>
      <c r="AJ466" s="102">
        <f t="shared" si="601"/>
        <v>635.25</v>
      </c>
      <c r="AK466" s="102">
        <f t="shared" si="601"/>
        <v>0</v>
      </c>
      <c r="AL466" s="102">
        <f t="shared" si="601"/>
        <v>0</v>
      </c>
      <c r="AM466" s="102">
        <f t="shared" ref="AM466:AV466" si="602">$D466*AM$11</f>
        <v>0</v>
      </c>
      <c r="AN466" s="102">
        <f t="shared" si="602"/>
        <v>0</v>
      </c>
      <c r="AO466" s="102">
        <f t="shared" si="602"/>
        <v>0</v>
      </c>
      <c r="AP466" s="102">
        <f t="shared" si="602"/>
        <v>0</v>
      </c>
      <c r="AQ466" s="102">
        <f t="shared" si="602"/>
        <v>0</v>
      </c>
      <c r="AR466" s="102">
        <f t="shared" si="602"/>
        <v>0</v>
      </c>
      <c r="AS466" s="102">
        <f t="shared" si="602"/>
        <v>0</v>
      </c>
      <c r="AT466" s="102" t="str">
        <f t="shared" si="602"/>
        <v>#REF!</v>
      </c>
      <c r="AU466" s="102" t="str">
        <f t="shared" si="602"/>
        <v>#REF!</v>
      </c>
      <c r="AV466" s="102" t="str">
        <f t="shared" si="602"/>
        <v>#REF!</v>
      </c>
      <c r="AW466" s="90"/>
      <c r="AX466" s="90"/>
      <c r="AY466" s="90"/>
      <c r="AZ466" s="90"/>
      <c r="BA466" s="90"/>
      <c r="BB466" s="90"/>
      <c r="BC466" s="90"/>
      <c r="BD466" s="90"/>
      <c r="BE466" s="90"/>
      <c r="BF466" s="90"/>
      <c r="BG466" s="90"/>
      <c r="BH466" s="90"/>
      <c r="BI466" s="90"/>
      <c r="BJ466" s="90"/>
      <c r="BK466" s="90"/>
      <c r="BL466" s="90"/>
      <c r="BM466" s="90"/>
      <c r="BN466" s="90"/>
      <c r="BO466" s="90"/>
      <c r="BP466" s="90"/>
    </row>
    <row r="467" ht="12.75" customHeight="1" outlineLevel="1">
      <c r="A467" s="90" t="s">
        <v>292</v>
      </c>
      <c r="C467" s="102">
        <f>'RSGen 1-7'!M159</f>
        <v>19.25</v>
      </c>
      <c r="D467" s="102">
        <f>OFFSET(RSGen_Walton!$H$159,0,ROW(C467)-ROW($C$462))</f>
        <v>19.25</v>
      </c>
      <c r="E467" s="102">
        <f>OFFSET(RSGen_none!$H$159,0,ROW(D467)-ROW($C$462))</f>
        <v>19.25</v>
      </c>
      <c r="F467" s="102"/>
      <c r="G467" s="102"/>
      <c r="H467" s="306"/>
      <c r="I467" s="306"/>
      <c r="J467" s="306"/>
      <c r="K467" s="306"/>
      <c r="L467" s="306"/>
      <c r="M467" s="306"/>
      <c r="N467" s="306"/>
      <c r="O467" s="306"/>
      <c r="P467" s="306"/>
      <c r="Q467" s="306"/>
      <c r="R467" s="102">
        <f t="shared" ref="R467:AL467" si="603">(MAX(0,MIN(R12,SUM(R12:R$15)-$E$4))*$E467+MAX(0,MIN(R12,$D$4-SUM(R13:R$15)))*$C467+(R12-(MAX(0,MIN(R12,SUM(R12:R$15)-$E$4))+MAX(0,MIN(R12,$D$4-SUM(R13:R$15)))))*$D467)</f>
        <v>38.5</v>
      </c>
      <c r="S467" s="102">
        <f t="shared" si="603"/>
        <v>57.75</v>
      </c>
      <c r="T467" s="102">
        <f t="shared" si="603"/>
        <v>96.25</v>
      </c>
      <c r="U467" s="102">
        <f t="shared" si="603"/>
        <v>154</v>
      </c>
      <c r="V467" s="102">
        <f t="shared" si="603"/>
        <v>250.25</v>
      </c>
      <c r="W467" s="102">
        <f t="shared" si="603"/>
        <v>423.5</v>
      </c>
      <c r="X467" s="102">
        <f t="shared" si="603"/>
        <v>654.5</v>
      </c>
      <c r="Y467" s="102">
        <f t="shared" si="603"/>
        <v>866.25</v>
      </c>
      <c r="Z467" s="102">
        <f t="shared" si="603"/>
        <v>866.25</v>
      </c>
      <c r="AA467" s="102">
        <f t="shared" si="603"/>
        <v>1270.5</v>
      </c>
      <c r="AB467" s="102">
        <f t="shared" si="603"/>
        <v>1540</v>
      </c>
      <c r="AC467" s="102">
        <f t="shared" si="603"/>
        <v>2733.5</v>
      </c>
      <c r="AD467" s="102">
        <f t="shared" si="603"/>
        <v>3715.25</v>
      </c>
      <c r="AE467" s="102">
        <f t="shared" si="603"/>
        <v>4658.5</v>
      </c>
      <c r="AF467" s="102">
        <f t="shared" si="603"/>
        <v>5255.25</v>
      </c>
      <c r="AG467" s="102">
        <f t="shared" si="603"/>
        <v>6237</v>
      </c>
      <c r="AH467" s="102">
        <f t="shared" si="603"/>
        <v>6737.5</v>
      </c>
      <c r="AI467" s="102">
        <f t="shared" si="603"/>
        <v>6641.25</v>
      </c>
      <c r="AJ467" s="102">
        <f t="shared" si="603"/>
        <v>5236</v>
      </c>
      <c r="AK467" s="102">
        <f t="shared" si="603"/>
        <v>635.25</v>
      </c>
      <c r="AL467" s="102">
        <f t="shared" si="603"/>
        <v>0</v>
      </c>
      <c r="AM467" s="102">
        <f t="shared" ref="AM467:AV467" si="604">$D467*AM$12</f>
        <v>0</v>
      </c>
      <c r="AN467" s="102">
        <f t="shared" si="604"/>
        <v>0</v>
      </c>
      <c r="AO467" s="102">
        <f t="shared" si="604"/>
        <v>0</v>
      </c>
      <c r="AP467" s="102">
        <f t="shared" si="604"/>
        <v>0</v>
      </c>
      <c r="AQ467" s="102">
        <f t="shared" si="604"/>
        <v>0</v>
      </c>
      <c r="AR467" s="102">
        <f t="shared" si="604"/>
        <v>0</v>
      </c>
      <c r="AS467" s="102">
        <f t="shared" si="604"/>
        <v>0</v>
      </c>
      <c r="AT467" s="102">
        <f t="shared" si="604"/>
        <v>0</v>
      </c>
      <c r="AU467" s="102" t="str">
        <f t="shared" si="604"/>
        <v>#REF!</v>
      </c>
      <c r="AV467" s="102" t="str">
        <f t="shared" si="604"/>
        <v>#REF!</v>
      </c>
      <c r="AW467" s="90"/>
      <c r="AX467" s="90"/>
      <c r="AY467" s="90"/>
      <c r="AZ467" s="90"/>
      <c r="BA467" s="90"/>
      <c r="BB467" s="90"/>
      <c r="BC467" s="90"/>
      <c r="BD467" s="90"/>
      <c r="BE467" s="90"/>
      <c r="BF467" s="90"/>
      <c r="BG467" s="90"/>
      <c r="BH467" s="90"/>
      <c r="BI467" s="90"/>
      <c r="BJ467" s="90"/>
      <c r="BK467" s="90"/>
      <c r="BL467" s="90"/>
      <c r="BM467" s="90"/>
      <c r="BN467" s="90"/>
      <c r="BO467" s="90"/>
      <c r="BP467" s="90"/>
    </row>
    <row r="468" ht="12.75" customHeight="1" outlineLevel="1">
      <c r="A468" s="90" t="s">
        <v>293</v>
      </c>
      <c r="C468" s="102">
        <f>'RSGen 1-7'!N159</f>
        <v>19.25</v>
      </c>
      <c r="D468" s="102">
        <f>OFFSET(RSGen_Walton!$H$159,0,ROW(C468)-ROW($C$462))</f>
        <v>19.25</v>
      </c>
      <c r="E468" s="102">
        <f>OFFSET(RSGen_none!$H$159,0,ROW(D468)-ROW($C$462))</f>
        <v>19.25</v>
      </c>
      <c r="F468" s="102"/>
      <c r="G468" s="102"/>
      <c r="H468" s="306"/>
      <c r="I468" s="306"/>
      <c r="J468" s="306"/>
      <c r="K468" s="306"/>
      <c r="L468" s="306"/>
      <c r="M468" s="306"/>
      <c r="N468" s="306"/>
      <c r="O468" s="306"/>
      <c r="P468" s="306"/>
      <c r="Q468" s="306"/>
      <c r="R468" s="306"/>
      <c r="S468" s="102">
        <f t="shared" ref="S468:AL468" si="605">(MAX(0,MIN(S13,SUM(S13:S$15)-$E$4))*$E468+MAX(0,MIN(S13,$D$4-SUM(S14:S$15)))*$C468+(S13-(MAX(0,MIN(S13,SUM(S13:S$15)-$E$4))+MAX(0,MIN(S13,$D$4-SUM(S14:S$15)))))*$D468)</f>
        <v>38.5</v>
      </c>
      <c r="T468" s="102">
        <f t="shared" si="605"/>
        <v>57.75</v>
      </c>
      <c r="U468" s="102">
        <f t="shared" si="605"/>
        <v>96.25</v>
      </c>
      <c r="V468" s="102">
        <f t="shared" si="605"/>
        <v>154</v>
      </c>
      <c r="W468" s="102">
        <f t="shared" si="605"/>
        <v>250.25</v>
      </c>
      <c r="X468" s="102">
        <f t="shared" si="605"/>
        <v>423.5</v>
      </c>
      <c r="Y468" s="102">
        <f t="shared" si="605"/>
        <v>654.5</v>
      </c>
      <c r="Z468" s="102">
        <f t="shared" si="605"/>
        <v>866.25</v>
      </c>
      <c r="AA468" s="102">
        <f t="shared" si="605"/>
        <v>866.25</v>
      </c>
      <c r="AB468" s="102">
        <f t="shared" si="605"/>
        <v>1270.5</v>
      </c>
      <c r="AC468" s="102">
        <f t="shared" si="605"/>
        <v>1540</v>
      </c>
      <c r="AD468" s="102">
        <f t="shared" si="605"/>
        <v>2733.5</v>
      </c>
      <c r="AE468" s="102">
        <f t="shared" si="605"/>
        <v>3715.25</v>
      </c>
      <c r="AF468" s="102">
        <f t="shared" si="605"/>
        <v>4658.5</v>
      </c>
      <c r="AG468" s="102">
        <f t="shared" si="605"/>
        <v>5255.25</v>
      </c>
      <c r="AH468" s="102">
        <f t="shared" si="605"/>
        <v>6237</v>
      </c>
      <c r="AI468" s="102">
        <f t="shared" si="605"/>
        <v>6737.5</v>
      </c>
      <c r="AJ468" s="102">
        <f t="shared" si="605"/>
        <v>6641.25</v>
      </c>
      <c r="AK468" s="102">
        <f t="shared" si="605"/>
        <v>5236</v>
      </c>
      <c r="AL468" s="102">
        <f t="shared" si="605"/>
        <v>635.25</v>
      </c>
      <c r="AM468" s="102">
        <f t="shared" ref="AM468:AV468" si="606">$D468*AM$13</f>
        <v>0</v>
      </c>
      <c r="AN468" s="102">
        <f t="shared" si="606"/>
        <v>0</v>
      </c>
      <c r="AO468" s="102">
        <f t="shared" si="606"/>
        <v>0</v>
      </c>
      <c r="AP468" s="102">
        <f t="shared" si="606"/>
        <v>0</v>
      </c>
      <c r="AQ468" s="102">
        <f t="shared" si="606"/>
        <v>0</v>
      </c>
      <c r="AR468" s="102">
        <f t="shared" si="606"/>
        <v>0</v>
      </c>
      <c r="AS468" s="102">
        <f t="shared" si="606"/>
        <v>0</v>
      </c>
      <c r="AT468" s="102">
        <f t="shared" si="606"/>
        <v>0</v>
      </c>
      <c r="AU468" s="102">
        <f t="shared" si="606"/>
        <v>0</v>
      </c>
      <c r="AV468" s="102" t="str">
        <f t="shared" si="606"/>
        <v>#REF!</v>
      </c>
      <c r="AW468" s="90"/>
      <c r="AX468" s="90"/>
      <c r="AY468" s="90"/>
      <c r="AZ468" s="90"/>
      <c r="BA468" s="90"/>
      <c r="BB468" s="90"/>
      <c r="BC468" s="90"/>
      <c r="BD468" s="90"/>
      <c r="BE468" s="90"/>
      <c r="BF468" s="90"/>
      <c r="BG468" s="90"/>
      <c r="BH468" s="90"/>
      <c r="BI468" s="90"/>
      <c r="BJ468" s="90"/>
      <c r="BK468" s="90"/>
      <c r="BL468" s="90"/>
      <c r="BM468" s="90"/>
      <c r="BN468" s="90"/>
      <c r="BO468" s="90"/>
      <c r="BP468" s="90"/>
    </row>
    <row r="469" ht="12.75" customHeight="1" outlineLevel="1">
      <c r="A469" s="90" t="s">
        <v>294</v>
      </c>
      <c r="C469" s="102">
        <f>'RSGen 1-7'!O159</f>
        <v>19.25</v>
      </c>
      <c r="D469" s="102">
        <f>OFFSET(RSGen_Walton!$H$159,0,ROW(C469)-ROW($C$462))</f>
        <v>19.25</v>
      </c>
      <c r="E469" s="102">
        <f>OFFSET(RSGen_none!$H$159,0,ROW(D469)-ROW($C$462))</f>
        <v>19.25</v>
      </c>
      <c r="F469" s="102"/>
      <c r="G469" s="102"/>
      <c r="H469" s="306"/>
      <c r="I469" s="306"/>
      <c r="J469" s="306"/>
      <c r="K469" s="306"/>
      <c r="L469" s="306"/>
      <c r="M469" s="306"/>
      <c r="N469" s="306"/>
      <c r="O469" s="306"/>
      <c r="P469" s="306"/>
      <c r="Q469" s="306"/>
      <c r="R469" s="306"/>
      <c r="S469" s="306"/>
      <c r="T469" s="102">
        <f t="shared" ref="T469:AL469" si="607">(MAX(0,MIN(T14,SUM(T14:T$15)-$E$4))*$E469+MAX(0,MIN(T14,$D$4-SUM(T$15:T15)))*$C469+(T14-(MAX(0,MIN(T14,SUM(T14:T$15)-$E$4))+MAX(0,MIN(T14,$D$4-SUM(T$15:T15)))))*$D469)</f>
        <v>38.5</v>
      </c>
      <c r="U469" s="102">
        <f t="shared" si="607"/>
        <v>57.75</v>
      </c>
      <c r="V469" s="102">
        <f t="shared" si="607"/>
        <v>96.25</v>
      </c>
      <c r="W469" s="102">
        <f t="shared" si="607"/>
        <v>154</v>
      </c>
      <c r="X469" s="102">
        <f t="shared" si="607"/>
        <v>250.25</v>
      </c>
      <c r="Y469" s="102">
        <f t="shared" si="607"/>
        <v>423.5</v>
      </c>
      <c r="Z469" s="102">
        <f t="shared" si="607"/>
        <v>654.5</v>
      </c>
      <c r="AA469" s="102">
        <f t="shared" si="607"/>
        <v>866.25</v>
      </c>
      <c r="AB469" s="102">
        <f t="shared" si="607"/>
        <v>866.25</v>
      </c>
      <c r="AC469" s="102">
        <f t="shared" si="607"/>
        <v>1270.5</v>
      </c>
      <c r="AD469" s="102">
        <f t="shared" si="607"/>
        <v>1540</v>
      </c>
      <c r="AE469" s="102">
        <f t="shared" si="607"/>
        <v>2733.5</v>
      </c>
      <c r="AF469" s="102">
        <f t="shared" si="607"/>
        <v>3715.25</v>
      </c>
      <c r="AG469" s="102">
        <f t="shared" si="607"/>
        <v>4658.5</v>
      </c>
      <c r="AH469" s="102">
        <f t="shared" si="607"/>
        <v>5255.25</v>
      </c>
      <c r="AI469" s="102">
        <f t="shared" si="607"/>
        <v>6237</v>
      </c>
      <c r="AJ469" s="102">
        <f t="shared" si="607"/>
        <v>6737.5</v>
      </c>
      <c r="AK469" s="102">
        <f t="shared" si="607"/>
        <v>6641.25</v>
      </c>
      <c r="AL469" s="102">
        <f t="shared" si="607"/>
        <v>5236</v>
      </c>
      <c r="AM469" s="102">
        <f t="shared" ref="AM469:AV469" si="608">$D469*AM$14</f>
        <v>635.25</v>
      </c>
      <c r="AN469" s="102">
        <f t="shared" si="608"/>
        <v>0</v>
      </c>
      <c r="AO469" s="102">
        <f t="shared" si="608"/>
        <v>0</v>
      </c>
      <c r="AP469" s="102">
        <f t="shared" si="608"/>
        <v>0</v>
      </c>
      <c r="AQ469" s="102">
        <f t="shared" si="608"/>
        <v>0</v>
      </c>
      <c r="AR469" s="102">
        <f t="shared" si="608"/>
        <v>0</v>
      </c>
      <c r="AS469" s="102">
        <f t="shared" si="608"/>
        <v>0</v>
      </c>
      <c r="AT469" s="102">
        <f t="shared" si="608"/>
        <v>0</v>
      </c>
      <c r="AU469" s="102">
        <f t="shared" si="608"/>
        <v>0</v>
      </c>
      <c r="AV469" s="102">
        <f t="shared" si="608"/>
        <v>0</v>
      </c>
      <c r="AW469" s="90"/>
      <c r="AX469" s="90"/>
      <c r="AY469" s="90"/>
      <c r="AZ469" s="90"/>
      <c r="BA469" s="90"/>
      <c r="BB469" s="90"/>
      <c r="BC469" s="90"/>
      <c r="BD469" s="90"/>
      <c r="BE469" s="90"/>
      <c r="BF469" s="90"/>
      <c r="BG469" s="90"/>
      <c r="BH469" s="90"/>
      <c r="BI469" s="90"/>
      <c r="BJ469" s="90"/>
      <c r="BK469" s="90"/>
      <c r="BL469" s="90"/>
      <c r="BM469" s="90"/>
      <c r="BN469" s="90"/>
      <c r="BO469" s="90"/>
      <c r="BP469" s="90"/>
    </row>
    <row r="470" ht="12.75" customHeight="1" outlineLevel="1">
      <c r="A470" s="90" t="s">
        <v>295</v>
      </c>
      <c r="C470" s="102">
        <f>'RSGen 1-7'!P159</f>
        <v>19.25</v>
      </c>
      <c r="D470" s="102">
        <f>OFFSET(RSGen_Walton!$H$159,0,ROW(C470)-ROW($C$462))</f>
        <v>19.25</v>
      </c>
      <c r="E470" s="102">
        <f>OFFSET(RSGen_none!$H$159,0,ROW(D470)-ROW($C$462))</f>
        <v>19.25</v>
      </c>
      <c r="F470" s="102"/>
      <c r="G470" s="102"/>
      <c r="H470" s="306"/>
      <c r="I470" s="306"/>
      <c r="J470" s="306"/>
      <c r="K470" s="306"/>
      <c r="L470" s="306"/>
      <c r="M470" s="306"/>
      <c r="N470" s="306"/>
      <c r="O470" s="306"/>
      <c r="P470" s="306"/>
      <c r="Q470" s="306"/>
      <c r="R470" s="306"/>
      <c r="S470" s="306"/>
      <c r="T470" s="306"/>
      <c r="U470" s="102">
        <f t="shared" ref="U470:AL470" si="609">($C470*MIN($D$4-3,U15-3)+$D470*MIN($E$4-$D$4,MAX(0,U15-$D$4))+$E470*MAX(0,U15-$E$4))</f>
        <v>38.5</v>
      </c>
      <c r="V470" s="102">
        <f t="shared" si="609"/>
        <v>96.25</v>
      </c>
      <c r="W470" s="102">
        <f t="shared" si="609"/>
        <v>192.5</v>
      </c>
      <c r="X470" s="102">
        <f t="shared" si="609"/>
        <v>346.5</v>
      </c>
      <c r="Y470" s="102">
        <f t="shared" si="609"/>
        <v>596.75</v>
      </c>
      <c r="Z470" s="102">
        <f t="shared" si="609"/>
        <v>1020.25</v>
      </c>
      <c r="AA470" s="102">
        <f t="shared" si="609"/>
        <v>1674.75</v>
      </c>
      <c r="AB470" s="102">
        <f t="shared" si="609"/>
        <v>2541</v>
      </c>
      <c r="AC470" s="102">
        <f t="shared" si="609"/>
        <v>3407.25</v>
      </c>
      <c r="AD470" s="102">
        <f t="shared" si="609"/>
        <v>4677.75</v>
      </c>
      <c r="AE470" s="102">
        <f t="shared" si="609"/>
        <v>6217.75</v>
      </c>
      <c r="AF470" s="102">
        <f t="shared" si="609"/>
        <v>8951.25</v>
      </c>
      <c r="AG470" s="102">
        <f t="shared" si="609"/>
        <v>12666.5</v>
      </c>
      <c r="AH470" s="102">
        <f t="shared" si="609"/>
        <v>17325</v>
      </c>
      <c r="AI470" s="102">
        <f t="shared" si="609"/>
        <v>22580.25</v>
      </c>
      <c r="AJ470" s="102">
        <f t="shared" si="609"/>
        <v>28817.25</v>
      </c>
      <c r="AK470" s="102">
        <f t="shared" si="609"/>
        <v>35554.75</v>
      </c>
      <c r="AL470" s="102">
        <f t="shared" si="609"/>
        <v>42196</v>
      </c>
      <c r="AM470" s="102">
        <f t="shared" ref="AM470:AV470" si="610">$C470*(4)+$D470*(AM$15-7)</f>
        <v>47432</v>
      </c>
      <c r="AN470" s="102">
        <f t="shared" si="610"/>
        <v>48067.25</v>
      </c>
      <c r="AO470" s="102">
        <f t="shared" si="610"/>
        <v>48067.25</v>
      </c>
      <c r="AP470" s="102">
        <f t="shared" si="610"/>
        <v>48067.25</v>
      </c>
      <c r="AQ470" s="102">
        <f t="shared" si="610"/>
        <v>48067.25</v>
      </c>
      <c r="AR470" s="102">
        <f t="shared" si="610"/>
        <v>48067.25</v>
      </c>
      <c r="AS470" s="102">
        <f t="shared" si="610"/>
        <v>48067.25</v>
      </c>
      <c r="AT470" s="102">
        <f t="shared" si="610"/>
        <v>48067.25</v>
      </c>
      <c r="AU470" s="102">
        <f t="shared" si="610"/>
        <v>48067.25</v>
      </c>
      <c r="AV470" s="102">
        <f t="shared" si="610"/>
        <v>48067.25</v>
      </c>
      <c r="AW470" s="90"/>
      <c r="AX470" s="90"/>
      <c r="AY470" s="90"/>
      <c r="AZ470" s="90"/>
      <c r="BA470" s="90"/>
      <c r="BB470" s="90"/>
      <c r="BC470" s="90"/>
      <c r="BD470" s="90"/>
      <c r="BE470" s="90"/>
      <c r="BF470" s="90"/>
      <c r="BG470" s="90"/>
      <c r="BH470" s="90"/>
      <c r="BI470" s="90"/>
      <c r="BJ470" s="90"/>
      <c r="BK470" s="90"/>
      <c r="BL470" s="90"/>
      <c r="BM470" s="90"/>
      <c r="BN470" s="90"/>
      <c r="BO470" s="90"/>
      <c r="BP470" s="90"/>
    </row>
    <row r="471" ht="12.75" customHeight="1" outlineLevel="1">
      <c r="A471" s="143" t="s">
        <v>273</v>
      </c>
      <c r="B471" s="143"/>
      <c r="C471" s="309"/>
      <c r="D471" s="309"/>
      <c r="E471" s="309"/>
      <c r="F471" s="309"/>
      <c r="G471" s="309"/>
      <c r="H471" s="314"/>
      <c r="I471" s="314"/>
      <c r="J471" s="314"/>
      <c r="K471" s="311"/>
      <c r="L471" s="311"/>
      <c r="M471" s="309">
        <f t="shared" ref="M471:AV471" si="611">SUM(M462:M470)</f>
        <v>3</v>
      </c>
      <c r="N471" s="309">
        <f t="shared" si="611"/>
        <v>41</v>
      </c>
      <c r="O471" s="309">
        <f t="shared" si="611"/>
        <v>100.75</v>
      </c>
      <c r="P471" s="309">
        <f t="shared" si="611"/>
        <v>198.5</v>
      </c>
      <c r="Q471" s="309">
        <f t="shared" si="611"/>
        <v>353</v>
      </c>
      <c r="R471" s="309">
        <f t="shared" si="611"/>
        <v>608.75</v>
      </c>
      <c r="S471" s="309">
        <f t="shared" si="611"/>
        <v>1036.25</v>
      </c>
      <c r="T471" s="309">
        <f t="shared" si="611"/>
        <v>1686.25</v>
      </c>
      <c r="U471" s="309">
        <f t="shared" si="611"/>
        <v>2529.5</v>
      </c>
      <c r="V471" s="309">
        <f t="shared" si="611"/>
        <v>3416.25</v>
      </c>
      <c r="W471" s="309">
        <f t="shared" si="611"/>
        <v>4686.75</v>
      </c>
      <c r="X471" s="309">
        <f t="shared" si="611"/>
        <v>6284.75</v>
      </c>
      <c r="Y471" s="309">
        <f t="shared" si="611"/>
        <v>9018.75</v>
      </c>
      <c r="Z471" s="309">
        <f t="shared" si="611"/>
        <v>12694.5</v>
      </c>
      <c r="AA471" s="309">
        <f t="shared" si="611"/>
        <v>17299.5</v>
      </c>
      <c r="AB471" s="309">
        <f t="shared" si="611"/>
        <v>22551.25</v>
      </c>
      <c r="AC471" s="309">
        <f t="shared" si="611"/>
        <v>28745.25</v>
      </c>
      <c r="AD471" s="309">
        <f t="shared" si="611"/>
        <v>35398.25</v>
      </c>
      <c r="AE471" s="309">
        <f t="shared" si="611"/>
        <v>41909</v>
      </c>
      <c r="AF471" s="309">
        <f t="shared" si="611"/>
        <v>46864.5</v>
      </c>
      <c r="AG471" s="309">
        <f t="shared" si="611"/>
        <v>47762.25</v>
      </c>
      <c r="AH471" s="309">
        <f t="shared" si="611"/>
        <v>48034.25</v>
      </c>
      <c r="AI471" s="309">
        <f t="shared" si="611"/>
        <v>48067.25</v>
      </c>
      <c r="AJ471" s="309">
        <f t="shared" si="611"/>
        <v>48067.25</v>
      </c>
      <c r="AK471" s="309">
        <f t="shared" si="611"/>
        <v>48067.25</v>
      </c>
      <c r="AL471" s="309">
        <f t="shared" si="611"/>
        <v>48067.25</v>
      </c>
      <c r="AM471" s="309">
        <f t="shared" si="611"/>
        <v>48067.25</v>
      </c>
      <c r="AN471" s="309">
        <f t="shared" si="611"/>
        <v>48067.25</v>
      </c>
      <c r="AO471" s="309">
        <f t="shared" si="611"/>
        <v>48067.25</v>
      </c>
      <c r="AP471" s="309" t="str">
        <f t="shared" si="611"/>
        <v>#REF!</v>
      </c>
      <c r="AQ471" s="309" t="str">
        <f t="shared" si="611"/>
        <v>#REF!</v>
      </c>
      <c r="AR471" s="309" t="str">
        <f t="shared" si="611"/>
        <v>#REF!</v>
      </c>
      <c r="AS471" s="309" t="str">
        <f t="shared" si="611"/>
        <v>#REF!</v>
      </c>
      <c r="AT471" s="309" t="str">
        <f t="shared" si="611"/>
        <v>#REF!</v>
      </c>
      <c r="AU471" s="309" t="str">
        <f t="shared" si="611"/>
        <v>#REF!</v>
      </c>
      <c r="AV471" s="309" t="str">
        <f t="shared" si="611"/>
        <v>#REF!</v>
      </c>
      <c r="AW471" s="90"/>
      <c r="AX471" s="90"/>
      <c r="AY471" s="90"/>
      <c r="AZ471" s="90"/>
      <c r="BA471" s="90"/>
      <c r="BB471" s="90"/>
      <c r="BC471" s="90"/>
      <c r="BD471" s="90"/>
      <c r="BE471" s="90"/>
      <c r="BF471" s="90"/>
      <c r="BG471" s="90"/>
      <c r="BH471" s="90"/>
      <c r="BI471" s="90"/>
      <c r="BJ471" s="90"/>
      <c r="BK471" s="90"/>
      <c r="BL471" s="90"/>
      <c r="BM471" s="90"/>
      <c r="BN471" s="90"/>
      <c r="BO471" s="90"/>
      <c r="BP471" s="90"/>
    </row>
    <row r="472" ht="12.75" customHeight="1" outlineLevel="1">
      <c r="A472" s="90"/>
    </row>
    <row r="473" ht="12.75" customHeight="1" outlineLevel="1">
      <c r="A473" s="90" t="s">
        <v>622</v>
      </c>
      <c r="C473" s="102"/>
      <c r="D473" s="102"/>
      <c r="E473" s="102"/>
      <c r="F473" s="102"/>
      <c r="G473" s="102"/>
      <c r="K473" s="102"/>
      <c r="L473" s="102"/>
      <c r="M473" s="102"/>
      <c r="N473" s="102"/>
      <c r="O473" s="102"/>
      <c r="P473" s="102"/>
      <c r="Q473" s="102"/>
      <c r="R473" s="102"/>
      <c r="S473" s="102"/>
      <c r="T473" s="102"/>
      <c r="U473" s="102"/>
      <c r="V473" s="102"/>
      <c r="W473" s="102"/>
      <c r="X473" s="102"/>
      <c r="Y473" s="102"/>
      <c r="Z473" s="102"/>
      <c r="AA473" s="102"/>
      <c r="AB473" s="102"/>
      <c r="AC473" s="102"/>
      <c r="AD473" s="102"/>
      <c r="AE473" s="102"/>
      <c r="AF473" s="102"/>
      <c r="AG473" s="102"/>
      <c r="AH473" s="102"/>
      <c r="AI473" s="102"/>
      <c r="AJ473" s="102"/>
      <c r="AK473" s="102"/>
      <c r="AL473" s="102"/>
      <c r="AM473" s="102"/>
      <c r="AN473" s="102"/>
      <c r="AO473" s="102"/>
      <c r="AP473" s="102"/>
      <c r="AQ473" s="102"/>
      <c r="AR473" s="102"/>
      <c r="AS473" s="102"/>
      <c r="AT473" s="102"/>
      <c r="AU473" s="102"/>
      <c r="AV473" s="102"/>
      <c r="AW473" s="90"/>
      <c r="AX473" s="90"/>
      <c r="AY473" s="90"/>
      <c r="AZ473" s="90"/>
      <c r="BA473" s="90"/>
      <c r="BB473" s="90"/>
      <c r="BC473" s="90"/>
      <c r="BD473" s="90"/>
      <c r="BE473" s="90"/>
      <c r="BF473" s="90"/>
      <c r="BG473" s="90"/>
      <c r="BH473" s="90"/>
      <c r="BI473" s="90"/>
      <c r="BJ473" s="90"/>
      <c r="BK473" s="90"/>
      <c r="BL473" s="90"/>
      <c r="BM473" s="90"/>
      <c r="BN473" s="90"/>
      <c r="BO473" s="90"/>
      <c r="BP473" s="90"/>
    </row>
    <row r="474" ht="12.75" customHeight="1" outlineLevel="1">
      <c r="A474" s="90" t="s">
        <v>287</v>
      </c>
      <c r="C474" s="102">
        <f>'RSGen 1-7'!H475</f>
        <v>30000</v>
      </c>
      <c r="D474" s="102">
        <f>OFFSET(RSGen_Walton!$H$475,0,ROW(C474)-ROW($C$474))</f>
        <v>30000</v>
      </c>
      <c r="E474" s="102">
        <f>OFFSET(RSGen_none!$H$475,0,ROW(D474)-ROW($C$474))</f>
        <v>30000</v>
      </c>
      <c r="F474" s="102"/>
      <c r="G474" s="102"/>
      <c r="H474" s="313"/>
      <c r="I474" s="313"/>
      <c r="J474" s="313"/>
      <c r="K474" s="306"/>
      <c r="L474" s="306"/>
      <c r="M474" s="102">
        <f t="shared" ref="M474:AL474" si="612">M$107*(MAX(0,MIN(M7,SUM(M7:M$15)-$E$4))*$E474+MAX(0,MIN(M7,$D$4-SUM(M8:M$15)))*$C474+(M7-(MAX(0,MIN(M7,SUM(M7:M$15)-$E$4))+MAX(0,MIN(M7,$D$4-SUM(M8:M$15)))))*$D474)</f>
        <v>60000</v>
      </c>
      <c r="N474" s="102">
        <f t="shared" si="612"/>
        <v>90900</v>
      </c>
      <c r="O474" s="102">
        <f t="shared" si="612"/>
        <v>154530</v>
      </c>
      <c r="P474" s="102">
        <f t="shared" si="612"/>
        <v>252192.96</v>
      </c>
      <c r="Q474" s="102">
        <f t="shared" si="612"/>
        <v>418009.8312</v>
      </c>
      <c r="R474" s="102">
        <f t="shared" si="612"/>
        <v>721549.2779</v>
      </c>
      <c r="S474" s="102">
        <f t="shared" si="612"/>
        <v>1148724</v>
      </c>
      <c r="T474" s="102">
        <f t="shared" si="612"/>
        <v>1550777.4</v>
      </c>
      <c r="U474" s="102">
        <f t="shared" si="612"/>
        <v>1581792.948</v>
      </c>
      <c r="V474" s="102">
        <f t="shared" si="612"/>
        <v>2366362.25</v>
      </c>
      <c r="W474" s="102">
        <f t="shared" si="612"/>
        <v>2925684.237</v>
      </c>
      <c r="X474" s="102">
        <f t="shared" si="612"/>
        <v>5296951.31</v>
      </c>
      <c r="Y474" s="102">
        <f t="shared" si="612"/>
        <v>7343365.035</v>
      </c>
      <c r="Z474" s="102">
        <f t="shared" si="612"/>
        <v>9391897.54</v>
      </c>
      <c r="AA474" s="102">
        <f t="shared" si="612"/>
        <v>10806891.69</v>
      </c>
      <c r="AB474" s="102">
        <f t="shared" si="612"/>
        <v>13082276.8</v>
      </c>
      <c r="AC474" s="102">
        <f t="shared" si="612"/>
        <v>14414730.92</v>
      </c>
      <c r="AD474" s="102">
        <f t="shared" si="612"/>
        <v>14492982.31</v>
      </c>
      <c r="AE474" s="102">
        <f t="shared" si="612"/>
        <v>11654878.3</v>
      </c>
      <c r="AF474" s="102">
        <f t="shared" si="612"/>
        <v>1442291.189</v>
      </c>
      <c r="AG474" s="102">
        <f t="shared" si="612"/>
        <v>0</v>
      </c>
      <c r="AH474" s="102">
        <f t="shared" si="612"/>
        <v>0</v>
      </c>
      <c r="AI474" s="102">
        <f t="shared" si="612"/>
        <v>0</v>
      </c>
      <c r="AJ474" s="102">
        <f t="shared" si="612"/>
        <v>0</v>
      </c>
      <c r="AK474" s="102">
        <f t="shared" si="612"/>
        <v>0</v>
      </c>
      <c r="AL474" s="102">
        <f t="shared" si="612"/>
        <v>0</v>
      </c>
      <c r="AM474" s="102">
        <f t="shared" ref="AM474:AV474" si="613">AM7*$D474*AM$107</f>
        <v>0</v>
      </c>
      <c r="AN474" s="102">
        <f t="shared" si="613"/>
        <v>0</v>
      </c>
      <c r="AO474" s="102">
        <f t="shared" si="613"/>
        <v>0</v>
      </c>
      <c r="AP474" s="102" t="str">
        <f t="shared" si="613"/>
        <v>#REF!</v>
      </c>
      <c r="AQ474" s="102" t="str">
        <f t="shared" si="613"/>
        <v>#REF!</v>
      </c>
      <c r="AR474" s="102" t="str">
        <f t="shared" si="613"/>
        <v>#REF!</v>
      </c>
      <c r="AS474" s="102" t="str">
        <f t="shared" si="613"/>
        <v>#REF!</v>
      </c>
      <c r="AT474" s="102" t="str">
        <f t="shared" si="613"/>
        <v>#REF!</v>
      </c>
      <c r="AU474" s="102">
        <f t="shared" si="613"/>
        <v>0</v>
      </c>
      <c r="AV474" s="102">
        <f t="shared" si="613"/>
        <v>0</v>
      </c>
      <c r="AW474" s="90"/>
      <c r="AX474" s="90"/>
      <c r="AY474" s="90"/>
      <c r="AZ474" s="90"/>
      <c r="BA474" s="90"/>
      <c r="BB474" s="90"/>
      <c r="BC474" s="90"/>
      <c r="BD474" s="90"/>
      <c r="BE474" s="90"/>
      <c r="BF474" s="90"/>
      <c r="BG474" s="90"/>
      <c r="BH474" s="90"/>
      <c r="BI474" s="90"/>
      <c r="BJ474" s="90"/>
      <c r="BK474" s="90"/>
      <c r="BL474" s="90"/>
      <c r="BM474" s="90"/>
      <c r="BN474" s="90"/>
      <c r="BO474" s="90"/>
      <c r="BP474" s="90"/>
    </row>
    <row r="475" ht="12.75" customHeight="1" outlineLevel="1">
      <c r="A475" s="90" t="s">
        <v>288</v>
      </c>
      <c r="C475" s="102">
        <f>'RSGen 1-7'!I475</f>
        <v>500368.8984</v>
      </c>
      <c r="D475" s="102">
        <f>OFFSET(RSGen_Walton!$H$475,0,ROW(C475)-ROW($C$474))</f>
        <v>481618.8984</v>
      </c>
      <c r="E475" s="102">
        <f>OFFSET(RSGen_none!$H$475,0,ROW(D475)-ROW($C$474))</f>
        <v>444118.8984</v>
      </c>
      <c r="F475" s="102"/>
      <c r="G475" s="102"/>
      <c r="H475" s="313"/>
      <c r="I475" s="313"/>
      <c r="J475" s="313"/>
      <c r="K475" s="306"/>
      <c r="L475" s="306"/>
      <c r="M475" s="306"/>
      <c r="N475" s="102">
        <f t="shared" ref="N475:AL475" si="614">N$107*(MAX(0,MIN(N8,SUM(N8:N$15)-$E$4))*$E475+MAX(0,MIN(N8,$D$4-SUM(N9:N$15)))*$C475+(N8-(MAX(0,MIN(N8,SUM(N8:N$15)-$E$4))+MAX(0,MIN(N8,$D$4-SUM(N9:N$15)))))*$D475)</f>
        <v>1010745.175</v>
      </c>
      <c r="O475" s="102">
        <f t="shared" si="614"/>
        <v>1527123.867</v>
      </c>
      <c r="P475" s="102">
        <f t="shared" si="614"/>
        <v>2530435.325</v>
      </c>
      <c r="Q475" s="102">
        <f t="shared" si="614"/>
        <v>4129670.45</v>
      </c>
      <c r="R475" s="102">
        <f t="shared" si="614"/>
        <v>6844928.77</v>
      </c>
      <c r="S475" s="102">
        <f t="shared" si="614"/>
        <v>11932782.47</v>
      </c>
      <c r="T475" s="102">
        <f t="shared" si="614"/>
        <v>18810404.37</v>
      </c>
      <c r="U475" s="102">
        <f t="shared" si="614"/>
        <v>23856191.65</v>
      </c>
      <c r="V475" s="102">
        <f t="shared" si="614"/>
        <v>23885140.81</v>
      </c>
      <c r="W475" s="102">
        <f t="shared" si="614"/>
        <v>35732170.66</v>
      </c>
      <c r="X475" s="102">
        <f t="shared" si="614"/>
        <v>44177956.45</v>
      </c>
      <c r="Y475" s="102">
        <f t="shared" si="614"/>
        <v>79984190.15</v>
      </c>
      <c r="Z475" s="102">
        <f t="shared" si="614"/>
        <v>110885124.5</v>
      </c>
      <c r="AA475" s="102">
        <f t="shared" si="614"/>
        <v>141818052.4</v>
      </c>
      <c r="AB475" s="102">
        <f t="shared" si="614"/>
        <v>163184524.3</v>
      </c>
      <c r="AC475" s="102">
        <f t="shared" si="614"/>
        <v>197542936.2</v>
      </c>
      <c r="AD475" s="102">
        <f t="shared" si="614"/>
        <v>217663050.1</v>
      </c>
      <c r="AE475" s="102">
        <f t="shared" si="614"/>
        <v>218844649.5</v>
      </c>
      <c r="AF475" s="102">
        <f t="shared" si="614"/>
        <v>175989158.2</v>
      </c>
      <c r="AG475" s="102">
        <f t="shared" si="614"/>
        <v>21778658.32</v>
      </c>
      <c r="AH475" s="102">
        <f t="shared" si="614"/>
        <v>0</v>
      </c>
      <c r="AI475" s="102">
        <f t="shared" si="614"/>
        <v>0</v>
      </c>
      <c r="AJ475" s="102">
        <f t="shared" si="614"/>
        <v>0</v>
      </c>
      <c r="AK475" s="102">
        <f t="shared" si="614"/>
        <v>0</v>
      </c>
      <c r="AL475" s="102">
        <f t="shared" si="614"/>
        <v>0</v>
      </c>
      <c r="AM475" s="102">
        <f t="shared" ref="AM475:AV475" si="615">AM8*$D475*AM$107</f>
        <v>0</v>
      </c>
      <c r="AN475" s="102">
        <f t="shared" si="615"/>
        <v>0</v>
      </c>
      <c r="AO475" s="102">
        <f t="shared" si="615"/>
        <v>0</v>
      </c>
      <c r="AP475" s="102">
        <f t="shared" si="615"/>
        <v>0</v>
      </c>
      <c r="AQ475" s="102" t="str">
        <f t="shared" si="615"/>
        <v>#REF!</v>
      </c>
      <c r="AR475" s="102" t="str">
        <f t="shared" si="615"/>
        <v>#REF!</v>
      </c>
      <c r="AS475" s="102" t="str">
        <f t="shared" si="615"/>
        <v>#REF!</v>
      </c>
      <c r="AT475" s="102" t="str">
        <f t="shared" si="615"/>
        <v>#REF!</v>
      </c>
      <c r="AU475" s="102" t="str">
        <f t="shared" si="615"/>
        <v>#REF!</v>
      </c>
      <c r="AV475" s="102">
        <f t="shared" si="615"/>
        <v>0</v>
      </c>
      <c r="AW475" s="90"/>
      <c r="AX475" s="90"/>
      <c r="AY475" s="90"/>
      <c r="AZ475" s="90"/>
      <c r="BA475" s="90"/>
      <c r="BB475" s="90"/>
      <c r="BC475" s="90"/>
      <c r="BD475" s="90"/>
      <c r="BE475" s="90"/>
      <c r="BF475" s="90"/>
      <c r="BG475" s="90"/>
      <c r="BH475" s="90"/>
      <c r="BI475" s="90"/>
      <c r="BJ475" s="90"/>
      <c r="BK475" s="90"/>
      <c r="BL475" s="90"/>
      <c r="BM475" s="90"/>
      <c r="BN475" s="90"/>
      <c r="BO475" s="90"/>
      <c r="BP475" s="90"/>
    </row>
    <row r="476" ht="12.75" customHeight="1" outlineLevel="1">
      <c r="A476" s="90" t="s">
        <v>289</v>
      </c>
      <c r="C476" s="102">
        <f>'RSGen 1-7'!J475</f>
        <v>499378.1688</v>
      </c>
      <c r="D476" s="102">
        <f>OFFSET(RSGen_Walton!$H$475,0,ROW(C476)-ROW($C$474))</f>
        <v>499378.1688</v>
      </c>
      <c r="E476" s="102">
        <f>OFFSET(RSGen_none!$H$475,0,ROW(D476)-ROW($C$474))</f>
        <v>499378.1688</v>
      </c>
      <c r="F476" s="102"/>
      <c r="G476" s="102"/>
      <c r="H476" s="313"/>
      <c r="I476" s="313"/>
      <c r="J476" s="313"/>
      <c r="K476" s="306"/>
      <c r="L476" s="306"/>
      <c r="M476" s="306"/>
      <c r="N476" s="306"/>
      <c r="O476" s="102">
        <f t="shared" ref="O476:AL476" si="616">O$107*(MAX(0,MIN(O9,SUM(O9:O$15)-$E$4))*$E476+MAX(0,MIN(O9,$D$4-SUM(O10:O$15)))*$C476+(O9-(MAX(0,MIN(O9,SUM(O9:O$15)-$E$4))+MAX(0,MIN(O9,$D$4-SUM(O10:O$15)))))*$D476)</f>
        <v>1028918.779</v>
      </c>
      <c r="P476" s="102">
        <f t="shared" si="616"/>
        <v>1574245.732</v>
      </c>
      <c r="Q476" s="102">
        <f t="shared" si="616"/>
        <v>2676217.744</v>
      </c>
      <c r="R476" s="102">
        <f t="shared" si="616"/>
        <v>4367587.358</v>
      </c>
      <c r="S476" s="102">
        <f t="shared" si="616"/>
        <v>7311196.018</v>
      </c>
      <c r="T476" s="102">
        <f t="shared" si="616"/>
        <v>12620249.13</v>
      </c>
      <c r="U476" s="102">
        <f t="shared" si="616"/>
        <v>19894101.81</v>
      </c>
      <c r="V476" s="102">
        <f t="shared" si="616"/>
        <v>26857037.44</v>
      </c>
      <c r="W476" s="102">
        <f t="shared" si="616"/>
        <v>27394178.19</v>
      </c>
      <c r="X476" s="102">
        <f t="shared" si="616"/>
        <v>40981690.57</v>
      </c>
      <c r="Y476" s="102">
        <f t="shared" si="616"/>
        <v>50668271.97</v>
      </c>
      <c r="Z476" s="102">
        <f t="shared" si="616"/>
        <v>91734906.41</v>
      </c>
      <c r="AA476" s="102">
        <f t="shared" si="616"/>
        <v>127175589.3</v>
      </c>
      <c r="AB476" s="102">
        <f t="shared" si="616"/>
        <v>162652966.1</v>
      </c>
      <c r="AC476" s="102">
        <f t="shared" si="616"/>
        <v>187158450.1</v>
      </c>
      <c r="AD476" s="102">
        <f t="shared" si="616"/>
        <v>226564559</v>
      </c>
      <c r="AE476" s="102">
        <f t="shared" si="616"/>
        <v>249640578.9</v>
      </c>
      <c r="AF476" s="102">
        <f t="shared" si="616"/>
        <v>250995770.6</v>
      </c>
      <c r="AG476" s="102">
        <f t="shared" si="616"/>
        <v>201844251</v>
      </c>
      <c r="AH476" s="102">
        <f t="shared" si="616"/>
        <v>24978226.06</v>
      </c>
      <c r="AI476" s="102">
        <f t="shared" si="616"/>
        <v>0</v>
      </c>
      <c r="AJ476" s="102">
        <f t="shared" si="616"/>
        <v>0</v>
      </c>
      <c r="AK476" s="102">
        <f t="shared" si="616"/>
        <v>0</v>
      </c>
      <c r="AL476" s="102">
        <f t="shared" si="616"/>
        <v>0</v>
      </c>
      <c r="AM476" s="102">
        <f t="shared" ref="AM476:AV476" si="617">AM9*$D476*AM$107</f>
        <v>0</v>
      </c>
      <c r="AN476" s="102">
        <f t="shared" si="617"/>
        <v>0</v>
      </c>
      <c r="AO476" s="102">
        <f t="shared" si="617"/>
        <v>0</v>
      </c>
      <c r="AP476" s="102">
        <f t="shared" si="617"/>
        <v>0</v>
      </c>
      <c r="AQ476" s="102">
        <f t="shared" si="617"/>
        <v>0</v>
      </c>
      <c r="AR476" s="102" t="str">
        <f t="shared" si="617"/>
        <v>#REF!</v>
      </c>
      <c r="AS476" s="102" t="str">
        <f t="shared" si="617"/>
        <v>#REF!</v>
      </c>
      <c r="AT476" s="102" t="str">
        <f t="shared" si="617"/>
        <v>#REF!</v>
      </c>
      <c r="AU476" s="102" t="str">
        <f t="shared" si="617"/>
        <v>#REF!</v>
      </c>
      <c r="AV476" s="102" t="str">
        <f t="shared" si="617"/>
        <v>#REF!</v>
      </c>
      <c r="AW476" s="90"/>
      <c r="AX476" s="90"/>
      <c r="AY476" s="90"/>
      <c r="AZ476" s="90"/>
      <c r="BA476" s="90"/>
      <c r="BB476" s="90"/>
      <c r="BC476" s="90"/>
      <c r="BD476" s="90"/>
      <c r="BE476" s="90"/>
      <c r="BF476" s="90"/>
      <c r="BG476" s="90"/>
      <c r="BH476" s="90"/>
      <c r="BI476" s="90"/>
      <c r="BJ476" s="90"/>
      <c r="BK476" s="90"/>
      <c r="BL476" s="90"/>
      <c r="BM476" s="90"/>
      <c r="BN476" s="90"/>
      <c r="BO476" s="90"/>
      <c r="BP476" s="90"/>
    </row>
    <row r="477" ht="12.75" customHeight="1" outlineLevel="1">
      <c r="A477" s="90" t="s">
        <v>290</v>
      </c>
      <c r="C477" s="102">
        <f>'RSGen 1-7'!K475</f>
        <v>519198.4588</v>
      </c>
      <c r="D477" s="102">
        <f>OFFSET(RSGen_Walton!$H$475,0,ROW(C477)-ROW($C$474))</f>
        <v>519198.4588</v>
      </c>
      <c r="E477" s="102">
        <f>OFFSET(RSGen_none!$H$475,0,ROW(D477)-ROW($C$474))</f>
        <v>519198.4588</v>
      </c>
      <c r="F477" s="102"/>
      <c r="G477" s="102"/>
      <c r="H477" s="313"/>
      <c r="I477" s="313"/>
      <c r="J477" s="313"/>
      <c r="K477" s="306"/>
      <c r="L477" s="306"/>
      <c r="M477" s="306"/>
      <c r="N477" s="306"/>
      <c r="O477" s="306"/>
      <c r="P477" s="102">
        <f t="shared" ref="P477:AL477" si="618">P$107*(MAX(0,MIN(P10,SUM(P10:P$15)-$E$4))*$E477+MAX(0,MIN(P10,$D$4-SUM(P11:P$15)))*$C477+(P10-(MAX(0,MIN(P10,SUM(P10:P$15)-$E$4))+MAX(0,MIN(P10,$D$4-SUM(P11:P$15)))))*$D477)</f>
        <v>1091151.635</v>
      </c>
      <c r="Q477" s="102">
        <f t="shared" si="618"/>
        <v>1669462.001</v>
      </c>
      <c r="R477" s="102">
        <f t="shared" si="618"/>
        <v>2838085.401</v>
      </c>
      <c r="S477" s="102">
        <f t="shared" si="618"/>
        <v>4677770.434</v>
      </c>
      <c r="T477" s="102">
        <f t="shared" si="618"/>
        <v>7753404.494</v>
      </c>
      <c r="U477" s="102">
        <f t="shared" si="618"/>
        <v>13383568.99</v>
      </c>
      <c r="V477" s="102">
        <f t="shared" si="618"/>
        <v>21097371.48</v>
      </c>
      <c r="W477" s="102">
        <f t="shared" si="618"/>
        <v>28481451.5</v>
      </c>
      <c r="X477" s="102">
        <f t="shared" si="618"/>
        <v>29051080.53</v>
      </c>
      <c r="Y477" s="102">
        <f t="shared" si="618"/>
        <v>43460416.47</v>
      </c>
      <c r="Z477" s="102">
        <f t="shared" si="618"/>
        <v>53732878.54</v>
      </c>
      <c r="AA477" s="102">
        <f t="shared" si="618"/>
        <v>97283376.6</v>
      </c>
      <c r="AB477" s="102">
        <f t="shared" si="618"/>
        <v>134867644.5</v>
      </c>
      <c r="AC477" s="102">
        <f t="shared" si="618"/>
        <v>172490825.7</v>
      </c>
      <c r="AD477" s="102">
        <f t="shared" si="618"/>
        <v>198478493.1</v>
      </c>
      <c r="AE477" s="102">
        <f t="shared" si="618"/>
        <v>240268030.8</v>
      </c>
      <c r="AF477" s="102">
        <f t="shared" si="618"/>
        <v>264739774.7</v>
      </c>
      <c r="AG477" s="102">
        <f t="shared" si="618"/>
        <v>266176933.4</v>
      </c>
      <c r="AH477" s="102">
        <f t="shared" si="618"/>
        <v>214052546.1</v>
      </c>
      <c r="AI477" s="102">
        <f t="shared" si="618"/>
        <v>26489002.58</v>
      </c>
      <c r="AJ477" s="102">
        <f t="shared" si="618"/>
        <v>0</v>
      </c>
      <c r="AK477" s="102">
        <f t="shared" si="618"/>
        <v>0</v>
      </c>
      <c r="AL477" s="102">
        <f t="shared" si="618"/>
        <v>0</v>
      </c>
      <c r="AM477" s="102">
        <f t="shared" ref="AM477:AV477" si="619">AM10*$D477*AM$107</f>
        <v>0</v>
      </c>
      <c r="AN477" s="102">
        <f t="shared" si="619"/>
        <v>0</v>
      </c>
      <c r="AO477" s="102">
        <f t="shared" si="619"/>
        <v>0</v>
      </c>
      <c r="AP477" s="102">
        <f t="shared" si="619"/>
        <v>0</v>
      </c>
      <c r="AQ477" s="102">
        <f t="shared" si="619"/>
        <v>0</v>
      </c>
      <c r="AR477" s="102">
        <f t="shared" si="619"/>
        <v>0</v>
      </c>
      <c r="AS477" s="102" t="str">
        <f t="shared" si="619"/>
        <v>#REF!</v>
      </c>
      <c r="AT477" s="102" t="str">
        <f t="shared" si="619"/>
        <v>#REF!</v>
      </c>
      <c r="AU477" s="102" t="str">
        <f t="shared" si="619"/>
        <v>#REF!</v>
      </c>
      <c r="AV477" s="102" t="str">
        <f t="shared" si="619"/>
        <v>#REF!</v>
      </c>
      <c r="AW477" s="90"/>
      <c r="AX477" s="90"/>
      <c r="AY477" s="90"/>
      <c r="AZ477" s="90"/>
      <c r="BA477" s="90"/>
      <c r="BB477" s="90"/>
      <c r="BC477" s="90"/>
      <c r="BD477" s="90"/>
      <c r="BE477" s="90"/>
      <c r="BF477" s="90"/>
      <c r="BG477" s="90"/>
      <c r="BH477" s="90"/>
      <c r="BI477" s="90"/>
      <c r="BJ477" s="90"/>
      <c r="BK477" s="90"/>
      <c r="BL477" s="90"/>
      <c r="BM477" s="90"/>
      <c r="BN477" s="90"/>
      <c r="BO477" s="90"/>
      <c r="BP477" s="90"/>
    </row>
    <row r="478" ht="12.75" customHeight="1" outlineLevel="1">
      <c r="A478" s="90" t="s">
        <v>291</v>
      </c>
      <c r="C478" s="102">
        <f>'RSGen 1-7'!L475</f>
        <v>520534.0588</v>
      </c>
      <c r="D478" s="102">
        <f>OFFSET(RSGen_Walton!$H$475,0,ROW(C478)-ROW($C$474))</f>
        <v>520534.0588</v>
      </c>
      <c r="E478" s="102">
        <f>OFFSET(RSGen_none!$H$475,0,ROW(D478)-ROW($C$474))</f>
        <v>520534.0588</v>
      </c>
      <c r="F478" s="102"/>
      <c r="G478" s="102"/>
      <c r="H478" s="313"/>
      <c r="I478" s="313"/>
      <c r="J478" s="313"/>
      <c r="K478" s="306"/>
      <c r="L478" s="306"/>
      <c r="M478" s="306"/>
      <c r="N478" s="306"/>
      <c r="O478" s="306"/>
      <c r="P478" s="306"/>
      <c r="Q478" s="102">
        <f t="shared" ref="Q478:AL478" si="620">Q$107*(MAX(0,MIN(Q11,SUM(Q11:Q$15)-$E$4))*$E478+MAX(0,MIN(Q11,$D$4-SUM(Q12:Q$15)))*$C478+(Q11-(MAX(0,MIN(Q11,SUM(Q11:Q$15)-$E$4))+MAX(0,MIN(Q11,$D$4-SUM(Q12:Q$15)))))*$D478)</f>
        <v>1115837.713</v>
      </c>
      <c r="R478" s="102">
        <f t="shared" si="620"/>
        <v>1707231.701</v>
      </c>
      <c r="S478" s="102">
        <f t="shared" si="620"/>
        <v>2931127.285</v>
      </c>
      <c r="T478" s="102">
        <f t="shared" si="620"/>
        <v>4783599.729</v>
      </c>
      <c r="U478" s="102">
        <f t="shared" si="620"/>
        <v>7928816.551</v>
      </c>
      <c r="V478" s="102">
        <f t="shared" si="620"/>
        <v>13686357.18</v>
      </c>
      <c r="W478" s="102">
        <f t="shared" si="620"/>
        <v>21574675.78</v>
      </c>
      <c r="X478" s="102">
        <f t="shared" si="620"/>
        <v>29125812.3</v>
      </c>
      <c r="Y478" s="102">
        <f t="shared" si="620"/>
        <v>29708328.55</v>
      </c>
      <c r="Z478" s="102">
        <f t="shared" si="620"/>
        <v>44443659.51</v>
      </c>
      <c r="AA478" s="102">
        <f t="shared" si="620"/>
        <v>54948524.48</v>
      </c>
      <c r="AB478" s="102">
        <f t="shared" si="620"/>
        <v>99484303.58</v>
      </c>
      <c r="AC478" s="102">
        <f t="shared" si="620"/>
        <v>137918873.3</v>
      </c>
      <c r="AD478" s="102">
        <f t="shared" si="620"/>
        <v>176393236.7</v>
      </c>
      <c r="AE478" s="102">
        <f t="shared" si="620"/>
        <v>202968845.8</v>
      </c>
      <c r="AF478" s="102">
        <f t="shared" si="620"/>
        <v>245703824.7</v>
      </c>
      <c r="AG478" s="102">
        <f t="shared" si="620"/>
        <v>270729214.3</v>
      </c>
      <c r="AH478" s="102">
        <f t="shared" si="620"/>
        <v>272198887.2</v>
      </c>
      <c r="AI478" s="102">
        <f t="shared" si="620"/>
        <v>218895244.2</v>
      </c>
      <c r="AJ478" s="102">
        <f t="shared" si="620"/>
        <v>27088286.47</v>
      </c>
      <c r="AK478" s="102">
        <f t="shared" si="620"/>
        <v>0</v>
      </c>
      <c r="AL478" s="102">
        <f t="shared" si="620"/>
        <v>0</v>
      </c>
      <c r="AM478" s="102">
        <f t="shared" ref="AM478:AV478" si="621">AM11*$D478*AM$107</f>
        <v>0</v>
      </c>
      <c r="AN478" s="102">
        <f t="shared" si="621"/>
        <v>0</v>
      </c>
      <c r="AO478" s="102">
        <f t="shared" si="621"/>
        <v>0</v>
      </c>
      <c r="AP478" s="102">
        <f t="shared" si="621"/>
        <v>0</v>
      </c>
      <c r="AQ478" s="102">
        <f t="shared" si="621"/>
        <v>0</v>
      </c>
      <c r="AR478" s="102">
        <f t="shared" si="621"/>
        <v>0</v>
      </c>
      <c r="AS478" s="102">
        <f t="shared" si="621"/>
        <v>0</v>
      </c>
      <c r="AT478" s="102" t="str">
        <f t="shared" si="621"/>
        <v>#REF!</v>
      </c>
      <c r="AU478" s="102" t="str">
        <f t="shared" si="621"/>
        <v>#REF!</v>
      </c>
      <c r="AV478" s="102" t="str">
        <f t="shared" si="621"/>
        <v>#REF!</v>
      </c>
      <c r="AW478" s="90"/>
      <c r="AX478" s="90"/>
      <c r="AY478" s="90"/>
      <c r="AZ478" s="90"/>
      <c r="BA478" s="90"/>
      <c r="BB478" s="90"/>
      <c r="BC478" s="90"/>
      <c r="BD478" s="90"/>
      <c r="BE478" s="90"/>
      <c r="BF478" s="90"/>
      <c r="BG478" s="90"/>
      <c r="BH478" s="90"/>
      <c r="BI478" s="90"/>
      <c r="BJ478" s="90"/>
      <c r="BK478" s="90"/>
      <c r="BL478" s="90"/>
      <c r="BM478" s="90"/>
      <c r="BN478" s="90"/>
      <c r="BO478" s="90"/>
      <c r="BP478" s="90"/>
    </row>
    <row r="479" ht="12.75" customHeight="1" outlineLevel="1">
      <c r="A479" s="90" t="s">
        <v>292</v>
      </c>
      <c r="C479" s="102">
        <f>'RSGen 1-7'!M475</f>
        <v>519389.2588</v>
      </c>
      <c r="D479" s="102">
        <f>OFFSET(RSGen_Walton!$H$475,0,ROW(C479)-ROW($C$474))</f>
        <v>519389.2588</v>
      </c>
      <c r="E479" s="102">
        <f>OFFSET(RSGen_none!$H$475,0,ROW(D479)-ROW($C$474))</f>
        <v>519389.2588</v>
      </c>
      <c r="F479" s="102"/>
      <c r="G479" s="102"/>
      <c r="H479" s="313"/>
      <c r="I479" s="313"/>
      <c r="J479" s="313"/>
      <c r="K479" s="306"/>
      <c r="L479" s="306"/>
      <c r="M479" s="306"/>
      <c r="N479" s="306"/>
      <c r="O479" s="306"/>
      <c r="P479" s="306"/>
      <c r="Q479" s="306"/>
      <c r="R479" s="102">
        <f t="shared" ref="R479:AL479" si="622">R$107*(MAX(0,MIN(R12,SUM(R12:R$15)-$E$4))*$E479+MAX(0,MIN(R12,$D$4-SUM(R13:R$15)))*$C479+(R12-(MAX(0,MIN(R12,SUM(R12:R$15)-$E$4))+MAX(0,MIN(R12,$D$4-SUM(R13:R$15)))))*$D479)</f>
        <v>1135651.347</v>
      </c>
      <c r="S479" s="102">
        <f t="shared" si="622"/>
        <v>1754808.55</v>
      </c>
      <c r="T479" s="102">
        <f t="shared" si="622"/>
        <v>2983174.534</v>
      </c>
      <c r="U479" s="102">
        <f t="shared" si="622"/>
        <v>4868540.84</v>
      </c>
      <c r="V479" s="102">
        <f t="shared" si="622"/>
        <v>8069606.443</v>
      </c>
      <c r="W479" s="102">
        <f t="shared" si="622"/>
        <v>13929382.2</v>
      </c>
      <c r="X479" s="102">
        <f t="shared" si="622"/>
        <v>21957771.57</v>
      </c>
      <c r="Y479" s="102">
        <f t="shared" si="622"/>
        <v>29642991.62</v>
      </c>
      <c r="Z479" s="102">
        <f t="shared" si="622"/>
        <v>30235851.46</v>
      </c>
      <c r="AA479" s="102">
        <f t="shared" si="622"/>
        <v>45232833.78</v>
      </c>
      <c r="AB479" s="102">
        <f t="shared" si="622"/>
        <v>55924230.85</v>
      </c>
      <c r="AC479" s="102">
        <f t="shared" si="622"/>
        <v>101250820</v>
      </c>
      <c r="AD479" s="102">
        <f t="shared" si="622"/>
        <v>140367862.1</v>
      </c>
      <c r="AE479" s="102">
        <f t="shared" si="622"/>
        <v>179525404.6</v>
      </c>
      <c r="AF479" s="102">
        <f t="shared" si="622"/>
        <v>206572909.7</v>
      </c>
      <c r="AG479" s="102">
        <f t="shared" si="622"/>
        <v>250066722.4</v>
      </c>
      <c r="AH479" s="102">
        <f t="shared" si="622"/>
        <v>275536481.1</v>
      </c>
      <c r="AI479" s="102">
        <f t="shared" si="622"/>
        <v>277032250.6</v>
      </c>
      <c r="AJ479" s="102">
        <f t="shared" si="622"/>
        <v>222782109</v>
      </c>
      <c r="AK479" s="102">
        <f t="shared" si="622"/>
        <v>27569285.99</v>
      </c>
      <c r="AL479" s="102">
        <f t="shared" si="622"/>
        <v>0</v>
      </c>
      <c r="AM479" s="102">
        <f t="shared" ref="AM479:AV479" si="623">AM12*$D479*AM$107</f>
        <v>0</v>
      </c>
      <c r="AN479" s="102">
        <f t="shared" si="623"/>
        <v>0</v>
      </c>
      <c r="AO479" s="102">
        <f t="shared" si="623"/>
        <v>0</v>
      </c>
      <c r="AP479" s="102">
        <f t="shared" si="623"/>
        <v>0</v>
      </c>
      <c r="AQ479" s="102">
        <f t="shared" si="623"/>
        <v>0</v>
      </c>
      <c r="AR479" s="102">
        <f t="shared" si="623"/>
        <v>0</v>
      </c>
      <c r="AS479" s="102">
        <f t="shared" si="623"/>
        <v>0</v>
      </c>
      <c r="AT479" s="102">
        <f t="shared" si="623"/>
        <v>0</v>
      </c>
      <c r="AU479" s="102" t="str">
        <f t="shared" si="623"/>
        <v>#REF!</v>
      </c>
      <c r="AV479" s="102" t="str">
        <f t="shared" si="623"/>
        <v>#REF!</v>
      </c>
      <c r="AW479" s="90"/>
      <c r="AX479" s="90"/>
      <c r="AY479" s="90"/>
      <c r="AZ479" s="90"/>
      <c r="BA479" s="90"/>
      <c r="BB479" s="90"/>
      <c r="BC479" s="90"/>
      <c r="BD479" s="90"/>
      <c r="BE479" s="90"/>
      <c r="BF479" s="90"/>
      <c r="BG479" s="90"/>
      <c r="BH479" s="90"/>
      <c r="BI479" s="90"/>
      <c r="BJ479" s="90"/>
      <c r="BK479" s="90"/>
      <c r="BL479" s="90"/>
      <c r="BM479" s="90"/>
      <c r="BN479" s="90"/>
      <c r="BO479" s="90"/>
      <c r="BP479" s="90"/>
    </row>
    <row r="480" ht="12.75" customHeight="1" outlineLevel="1">
      <c r="A480" s="90" t="s">
        <v>293</v>
      </c>
      <c r="C480" s="102">
        <f>'RSGen 1-7'!N475</f>
        <v>518339.8588</v>
      </c>
      <c r="D480" s="102">
        <f>OFFSET(RSGen_Walton!$H$475,0,ROW(C480)-ROW($C$474))</f>
        <v>518339.8588</v>
      </c>
      <c r="E480" s="102">
        <f>OFFSET(RSGen_none!$H$475,0,ROW(D480)-ROW($C$474))</f>
        <v>518339.8588</v>
      </c>
      <c r="F480" s="102"/>
      <c r="G480" s="102"/>
      <c r="H480" s="313"/>
      <c r="I480" s="313"/>
      <c r="J480" s="313"/>
      <c r="K480" s="306"/>
      <c r="L480" s="306"/>
      <c r="M480" s="306"/>
      <c r="N480" s="306"/>
      <c r="O480" s="306"/>
      <c r="P480" s="306"/>
      <c r="Q480" s="306"/>
      <c r="R480" s="306"/>
      <c r="S480" s="102">
        <f t="shared" ref="S480:AL480" si="624">S$107*(MAX(0,MIN(S13,SUM(S13:S$15)-$E$4))*$E480+MAX(0,MIN(S13,$D$4-SUM(S14:S$15)))*$C480+(S13-(MAX(0,MIN(S13,SUM(S13:S$15)-$E$4))+MAX(0,MIN(S13,$D$4-SUM(S14:S$15)))))*$D480)</f>
        <v>1167508.698</v>
      </c>
      <c r="T480" s="102">
        <f t="shared" si="624"/>
        <v>1786288.308</v>
      </c>
      <c r="U480" s="102">
        <f t="shared" si="624"/>
        <v>3036690.123</v>
      </c>
      <c r="V480" s="102">
        <f t="shared" si="624"/>
        <v>4955878.281</v>
      </c>
      <c r="W480" s="102">
        <f t="shared" si="624"/>
        <v>8214368.251</v>
      </c>
      <c r="X480" s="102">
        <f t="shared" si="624"/>
        <v>14179263.35</v>
      </c>
      <c r="Y480" s="102">
        <f t="shared" si="624"/>
        <v>22351675.14</v>
      </c>
      <c r="Z480" s="102">
        <f t="shared" si="624"/>
        <v>30174761.43</v>
      </c>
      <c r="AA480" s="102">
        <f t="shared" si="624"/>
        <v>30778256.66</v>
      </c>
      <c r="AB480" s="102">
        <f t="shared" si="624"/>
        <v>46044271.96</v>
      </c>
      <c r="AC480" s="102">
        <f t="shared" si="624"/>
        <v>56927463.52</v>
      </c>
      <c r="AD480" s="102">
        <f t="shared" si="624"/>
        <v>103067172.7</v>
      </c>
      <c r="AE480" s="102">
        <f t="shared" si="624"/>
        <v>142885941</v>
      </c>
      <c r="AF480" s="102">
        <f t="shared" si="624"/>
        <v>182745936.1</v>
      </c>
      <c r="AG480" s="102">
        <f t="shared" si="624"/>
        <v>210278650.3</v>
      </c>
      <c r="AH480" s="102">
        <f t="shared" si="624"/>
        <v>254552704.6</v>
      </c>
      <c r="AI480" s="102">
        <f t="shared" si="624"/>
        <v>280479368.9</v>
      </c>
      <c r="AJ480" s="102">
        <f t="shared" si="624"/>
        <v>282001971.2</v>
      </c>
      <c r="AK480" s="102">
        <f t="shared" si="624"/>
        <v>226778628.7</v>
      </c>
      <c r="AL480" s="102">
        <f t="shared" si="624"/>
        <v>28063855.3</v>
      </c>
      <c r="AM480" s="102">
        <f t="shared" ref="AM480:AV480" si="625">AM13*$D480*AM$107</f>
        <v>0</v>
      </c>
      <c r="AN480" s="102">
        <f t="shared" si="625"/>
        <v>0</v>
      </c>
      <c r="AO480" s="102">
        <f t="shared" si="625"/>
        <v>0</v>
      </c>
      <c r="AP480" s="102">
        <f t="shared" si="625"/>
        <v>0</v>
      </c>
      <c r="AQ480" s="102">
        <f t="shared" si="625"/>
        <v>0</v>
      </c>
      <c r="AR480" s="102">
        <f t="shared" si="625"/>
        <v>0</v>
      </c>
      <c r="AS480" s="102">
        <f t="shared" si="625"/>
        <v>0</v>
      </c>
      <c r="AT480" s="102">
        <f t="shared" si="625"/>
        <v>0</v>
      </c>
      <c r="AU480" s="102">
        <f t="shared" si="625"/>
        <v>0</v>
      </c>
      <c r="AV480" s="102" t="str">
        <f t="shared" si="625"/>
        <v>#REF!</v>
      </c>
      <c r="AW480" s="90"/>
      <c r="AX480" s="90"/>
      <c r="AY480" s="90"/>
      <c r="AZ480" s="90"/>
      <c r="BA480" s="90"/>
      <c r="BB480" s="90"/>
      <c r="BC480" s="90"/>
      <c r="BD480" s="90"/>
      <c r="BE480" s="90"/>
      <c r="BF480" s="90"/>
      <c r="BG480" s="90"/>
      <c r="BH480" s="90"/>
      <c r="BI480" s="90"/>
      <c r="BJ480" s="90"/>
      <c r="BK480" s="90"/>
      <c r="BL480" s="90"/>
      <c r="BM480" s="90"/>
      <c r="BN480" s="90"/>
      <c r="BO480" s="90"/>
      <c r="BP480" s="90"/>
    </row>
    <row r="481" ht="12.75" customHeight="1" outlineLevel="1">
      <c r="A481" s="90" t="s">
        <v>294</v>
      </c>
      <c r="C481" s="102">
        <f>'RSGen 1-7'!O475</f>
        <v>517338.1588</v>
      </c>
      <c r="D481" s="102">
        <f>OFFSET(RSGen_Walton!$H$475,0,ROW(C481)-ROW($C$474))</f>
        <v>517338.1588</v>
      </c>
      <c r="E481" s="102">
        <f>OFFSET(RSGen_none!$H$475,0,ROW(D481)-ROW($C$474))</f>
        <v>517338.1588</v>
      </c>
      <c r="F481" s="102"/>
      <c r="G481" s="102"/>
      <c r="H481" s="313"/>
      <c r="I481" s="313"/>
      <c r="J481" s="313"/>
      <c r="K481" s="306"/>
      <c r="L481" s="306"/>
      <c r="M481" s="306"/>
      <c r="N481" s="306"/>
      <c r="O481" s="306"/>
      <c r="P481" s="306"/>
      <c r="Q481" s="306"/>
      <c r="R481" s="306"/>
      <c r="S481" s="306"/>
      <c r="T481" s="102">
        <f t="shared" ref="T481:AL481" si="626">T$107*(MAX(0,MIN(T14,SUM(T14:T$15)-$E$4))*$E481+MAX(0,MIN(T14,$D$4-SUM(T$15:T15)))*$C481+(T14-(MAX(0,MIN(T14,SUM(T14:T$15)-$E$4))+MAX(0,MIN(T14,$D$4-SUM(T$15:T15)))))*$D481)</f>
        <v>1188557.518</v>
      </c>
      <c r="U481" s="102">
        <f t="shared" si="626"/>
        <v>1818493.003</v>
      </c>
      <c r="V481" s="102">
        <f t="shared" si="626"/>
        <v>3091438.105</v>
      </c>
      <c r="W481" s="102">
        <f t="shared" si="626"/>
        <v>5045226.987</v>
      </c>
      <c r="X481" s="102">
        <f t="shared" si="626"/>
        <v>8362463.731</v>
      </c>
      <c r="Y481" s="102">
        <f t="shared" si="626"/>
        <v>14434898.93</v>
      </c>
      <c r="Z481" s="102">
        <f t="shared" si="626"/>
        <v>22754649.77</v>
      </c>
      <c r="AA481" s="102">
        <f t="shared" si="626"/>
        <v>30718777.19</v>
      </c>
      <c r="AB481" s="102">
        <f t="shared" si="626"/>
        <v>31333152.74</v>
      </c>
      <c r="AC481" s="102">
        <f t="shared" si="626"/>
        <v>46874396.49</v>
      </c>
      <c r="AD481" s="102">
        <f t="shared" si="626"/>
        <v>57953799.3</v>
      </c>
      <c r="AE481" s="102">
        <f t="shared" si="626"/>
        <v>104925353.6</v>
      </c>
      <c r="AF481" s="102">
        <f t="shared" si="626"/>
        <v>145462007.9</v>
      </c>
      <c r="AG481" s="102">
        <f t="shared" si="626"/>
        <v>186040632.2</v>
      </c>
      <c r="AH481" s="102">
        <f t="shared" si="626"/>
        <v>214069729.1</v>
      </c>
      <c r="AI481" s="102">
        <f t="shared" si="626"/>
        <v>259141993</v>
      </c>
      <c r="AJ481" s="102">
        <f t="shared" si="626"/>
        <v>285536084.9</v>
      </c>
      <c r="AK481" s="102">
        <f t="shared" si="626"/>
        <v>287086137.9</v>
      </c>
      <c r="AL481" s="102">
        <f t="shared" si="626"/>
        <v>230867182.9</v>
      </c>
      <c r="AM481" s="102">
        <f t="shared" ref="AM481:AV481" si="627">AM14*$D481*AM$107</f>
        <v>28569813.88</v>
      </c>
      <c r="AN481" s="102">
        <f t="shared" si="627"/>
        <v>0</v>
      </c>
      <c r="AO481" s="102">
        <f t="shared" si="627"/>
        <v>0</v>
      </c>
      <c r="AP481" s="102">
        <f t="shared" si="627"/>
        <v>0</v>
      </c>
      <c r="AQ481" s="102">
        <f t="shared" si="627"/>
        <v>0</v>
      </c>
      <c r="AR481" s="102">
        <f t="shared" si="627"/>
        <v>0</v>
      </c>
      <c r="AS481" s="102">
        <f t="shared" si="627"/>
        <v>0</v>
      </c>
      <c r="AT481" s="102">
        <f t="shared" si="627"/>
        <v>0</v>
      </c>
      <c r="AU481" s="102">
        <f t="shared" si="627"/>
        <v>0</v>
      </c>
      <c r="AV481" s="102">
        <f t="shared" si="627"/>
        <v>0</v>
      </c>
      <c r="AW481" s="90"/>
      <c r="AX481" s="90"/>
      <c r="AY481" s="90"/>
      <c r="AZ481" s="90"/>
      <c r="BA481" s="90"/>
      <c r="BB481" s="90"/>
      <c r="BC481" s="90"/>
      <c r="BD481" s="90"/>
      <c r="BE481" s="90"/>
      <c r="BF481" s="90"/>
      <c r="BG481" s="90"/>
      <c r="BH481" s="90"/>
      <c r="BI481" s="90"/>
      <c r="BJ481" s="90"/>
      <c r="BK481" s="90"/>
      <c r="BL481" s="90"/>
      <c r="BM481" s="90"/>
      <c r="BN481" s="90"/>
      <c r="BO481" s="90"/>
      <c r="BP481" s="90"/>
    </row>
    <row r="482" ht="12.75" customHeight="1" outlineLevel="1">
      <c r="A482" s="90" t="s">
        <v>295</v>
      </c>
      <c r="C482" s="102">
        <f>'RSGen 1-7'!P475</f>
        <v>516336.4588</v>
      </c>
      <c r="D482" s="102">
        <f>OFFSET(RSGen_Walton!$H$475,0,ROW(C482)-ROW($C$474))</f>
        <v>516336.4588</v>
      </c>
      <c r="E482" s="102">
        <f>OFFSET(RSGen_none!$H$475,0,ROW(D482)-ROW($C$474))</f>
        <v>516336.4588</v>
      </c>
      <c r="F482" s="102"/>
      <c r="G482" s="102"/>
      <c r="H482" s="313"/>
      <c r="I482" s="313"/>
      <c r="J482" s="313"/>
      <c r="K482" s="306"/>
      <c r="L482" s="306"/>
      <c r="M482" s="306"/>
      <c r="N482" s="306"/>
      <c r="O482" s="306"/>
      <c r="P482" s="306"/>
      <c r="Q482" s="306"/>
      <c r="R482" s="306"/>
      <c r="S482" s="306"/>
      <c r="T482" s="306"/>
      <c r="U482" s="102">
        <f t="shared" ref="U482:AL482" si="628">U107*(($C482*MIN($D$4-3,U15-3)+$D482*MIN($E$4-$D$4,MAX(0,U15-$D$4))+$E482*MAX(0,U15-$E$4)))</f>
        <v>1209981.288</v>
      </c>
      <c r="V482" s="102">
        <f t="shared" si="628"/>
        <v>3085452.284</v>
      </c>
      <c r="W482" s="102">
        <f t="shared" si="628"/>
        <v>6294322.659</v>
      </c>
      <c r="X482" s="102">
        <f t="shared" si="628"/>
        <v>11556376.4</v>
      </c>
      <c r="Y482" s="102">
        <f t="shared" si="628"/>
        <v>20300701.21</v>
      </c>
      <c r="Z482" s="102">
        <f t="shared" si="628"/>
        <v>35401803.47</v>
      </c>
      <c r="AA482" s="102">
        <f t="shared" si="628"/>
        <v>59274642.26</v>
      </c>
      <c r="AB482" s="102">
        <f t="shared" si="628"/>
        <v>91732618.79</v>
      </c>
      <c r="AC482" s="102">
        <f t="shared" si="628"/>
        <v>125465204.5</v>
      </c>
      <c r="AD482" s="102">
        <f t="shared" si="628"/>
        <v>175693816.9</v>
      </c>
      <c r="AE482" s="102">
        <f t="shared" si="628"/>
        <v>238206110.8</v>
      </c>
      <c r="AF482" s="102">
        <f t="shared" si="628"/>
        <v>349786867.9</v>
      </c>
      <c r="AG482" s="102">
        <f t="shared" si="628"/>
        <v>504866568.3</v>
      </c>
      <c r="AH482" s="102">
        <f t="shared" si="628"/>
        <v>704357917.5</v>
      </c>
      <c r="AI482" s="102">
        <f t="shared" si="628"/>
        <v>936373415.5</v>
      </c>
      <c r="AJ482" s="102">
        <f t="shared" si="628"/>
        <v>1218913916</v>
      </c>
      <c r="AK482" s="102">
        <f t="shared" si="628"/>
        <v>1533975072</v>
      </c>
      <c r="AL482" s="102">
        <f t="shared" si="628"/>
        <v>1856915444</v>
      </c>
      <c r="AM482" s="102">
        <f t="shared" ref="AM482:AV482" si="629">(4)*$C482*AM$107+(AM15-7)*$D482*AM$107</f>
        <v>2129082320</v>
      </c>
      <c r="AN482" s="102">
        <f t="shared" si="629"/>
        <v>2200748752</v>
      </c>
      <c r="AO482" s="102">
        <f t="shared" si="629"/>
        <v>2244763727</v>
      </c>
      <c r="AP482" s="102">
        <f t="shared" si="629"/>
        <v>2289659001</v>
      </c>
      <c r="AQ482" s="102">
        <f t="shared" si="629"/>
        <v>2335452181</v>
      </c>
      <c r="AR482" s="102">
        <f t="shared" si="629"/>
        <v>2382161225</v>
      </c>
      <c r="AS482" s="102">
        <f t="shared" si="629"/>
        <v>2429804450</v>
      </c>
      <c r="AT482" s="102">
        <f t="shared" si="629"/>
        <v>2478400539</v>
      </c>
      <c r="AU482" s="102">
        <f t="shared" si="629"/>
        <v>2527968549</v>
      </c>
      <c r="AV482" s="102">
        <f t="shared" si="629"/>
        <v>2578527920</v>
      </c>
      <c r="AW482" s="90"/>
      <c r="AX482" s="90"/>
      <c r="AY482" s="90"/>
      <c r="AZ482" s="90"/>
      <c r="BA482" s="90"/>
      <c r="BB482" s="90"/>
      <c r="BC482" s="90"/>
      <c r="BD482" s="90"/>
      <c r="BE482" s="90"/>
      <c r="BF482" s="90"/>
      <c r="BG482" s="90"/>
      <c r="BH482" s="90"/>
      <c r="BI482" s="90"/>
      <c r="BJ482" s="90"/>
      <c r="BK482" s="90"/>
      <c r="BL482" s="90"/>
      <c r="BM482" s="90"/>
      <c r="BN482" s="90"/>
      <c r="BO482" s="90"/>
      <c r="BP482" s="90"/>
    </row>
    <row r="483" ht="13.5" customHeight="1" outlineLevel="1">
      <c r="A483" s="143" t="str">
        <f>"Total "&amp;A473</f>
        <v>Total Receivables</v>
      </c>
      <c r="B483" s="143"/>
      <c r="C483" s="309"/>
      <c r="D483" s="309"/>
      <c r="E483" s="309"/>
      <c r="F483" s="309"/>
      <c r="G483" s="309"/>
      <c r="H483" s="314"/>
      <c r="I483" s="314"/>
      <c r="J483" s="314"/>
      <c r="K483" s="311"/>
      <c r="L483" s="311"/>
      <c r="M483" s="307">
        <f t="shared" ref="M483:AV483" si="630">SUM(M474:M482)</f>
        <v>60000</v>
      </c>
      <c r="N483" s="307">
        <f t="shared" si="630"/>
        <v>1101645.175</v>
      </c>
      <c r="O483" s="307">
        <f t="shared" si="630"/>
        <v>2710572.646</v>
      </c>
      <c r="P483" s="307">
        <f t="shared" si="630"/>
        <v>5448025.651</v>
      </c>
      <c r="Q483" s="307">
        <f t="shared" si="630"/>
        <v>10009197.74</v>
      </c>
      <c r="R483" s="307">
        <f t="shared" si="630"/>
        <v>17615033.86</v>
      </c>
      <c r="S483" s="307">
        <f t="shared" si="630"/>
        <v>30923917.46</v>
      </c>
      <c r="T483" s="309">
        <f t="shared" si="630"/>
        <v>51476455.48</v>
      </c>
      <c r="U483" s="309">
        <f t="shared" si="630"/>
        <v>77578177.2</v>
      </c>
      <c r="V483" s="309">
        <f t="shared" si="630"/>
        <v>107094644.3</v>
      </c>
      <c r="W483" s="309">
        <f t="shared" si="630"/>
        <v>149591460.4</v>
      </c>
      <c r="X483" s="309">
        <f t="shared" si="630"/>
        <v>204689366.2</v>
      </c>
      <c r="Y483" s="309">
        <f t="shared" si="630"/>
        <v>297894839.1</v>
      </c>
      <c r="Z483" s="309">
        <f t="shared" si="630"/>
        <v>428755532.6</v>
      </c>
      <c r="AA483" s="309">
        <f t="shared" si="630"/>
        <v>598036944.4</v>
      </c>
      <c r="AB483" s="309">
        <f t="shared" si="630"/>
        <v>798305989.6</v>
      </c>
      <c r="AC483" s="309">
        <f t="shared" si="630"/>
        <v>1040043701</v>
      </c>
      <c r="AD483" s="309">
        <f t="shared" si="630"/>
        <v>1310674972</v>
      </c>
      <c r="AE483" s="309">
        <f t="shared" si="630"/>
        <v>1588919793</v>
      </c>
      <c r="AF483" s="309">
        <f t="shared" si="630"/>
        <v>1823438541</v>
      </c>
      <c r="AG483" s="309">
        <f t="shared" si="630"/>
        <v>1911781630</v>
      </c>
      <c r="AH483" s="309">
        <f t="shared" si="630"/>
        <v>1959746492</v>
      </c>
      <c r="AI483" s="309">
        <f t="shared" si="630"/>
        <v>1998411275</v>
      </c>
      <c r="AJ483" s="309">
        <f t="shared" si="630"/>
        <v>2036322367</v>
      </c>
      <c r="AK483" s="309">
        <f t="shared" si="630"/>
        <v>2075409124</v>
      </c>
      <c r="AL483" s="309">
        <f t="shared" si="630"/>
        <v>2115846482</v>
      </c>
      <c r="AM483" s="309">
        <f t="shared" si="630"/>
        <v>2157652134</v>
      </c>
      <c r="AN483" s="309">
        <f t="shared" si="630"/>
        <v>2200748752</v>
      </c>
      <c r="AO483" s="309">
        <f t="shared" si="630"/>
        <v>2244763727</v>
      </c>
      <c r="AP483" s="309" t="str">
        <f t="shared" si="630"/>
        <v>#REF!</v>
      </c>
      <c r="AQ483" s="309" t="str">
        <f t="shared" si="630"/>
        <v>#REF!</v>
      </c>
      <c r="AR483" s="309" t="str">
        <f t="shared" si="630"/>
        <v>#REF!</v>
      </c>
      <c r="AS483" s="309" t="str">
        <f t="shared" si="630"/>
        <v>#REF!</v>
      </c>
      <c r="AT483" s="309" t="str">
        <f t="shared" si="630"/>
        <v>#REF!</v>
      </c>
      <c r="AU483" s="309" t="str">
        <f t="shared" si="630"/>
        <v>#REF!</v>
      </c>
      <c r="AV483" s="309" t="str">
        <f t="shared" si="630"/>
        <v>#REF!</v>
      </c>
      <c r="AW483" s="90"/>
      <c r="AX483" s="90"/>
      <c r="AY483" s="90"/>
      <c r="AZ483" s="90"/>
      <c r="BA483" s="90"/>
      <c r="BB483" s="90"/>
      <c r="BC483" s="90"/>
      <c r="BD483" s="90"/>
      <c r="BE483" s="90"/>
      <c r="BF483" s="90"/>
      <c r="BG483" s="90"/>
      <c r="BH483" s="90"/>
      <c r="BI483" s="90"/>
      <c r="BJ483" s="90"/>
      <c r="BK483" s="90"/>
      <c r="BL483" s="90"/>
      <c r="BM483" s="90"/>
      <c r="BN483" s="90"/>
      <c r="BO483" s="90"/>
      <c r="BP483" s="90"/>
    </row>
    <row r="484" ht="13.5" customHeight="1" outlineLevel="1">
      <c r="A484" s="90"/>
      <c r="K484" s="102"/>
      <c r="L484" s="102"/>
      <c r="M484" s="102"/>
      <c r="N484" s="102"/>
      <c r="O484" s="102"/>
      <c r="P484" s="102"/>
      <c r="Q484" s="102"/>
      <c r="R484" s="102"/>
      <c r="S484" s="102"/>
      <c r="T484" s="102"/>
      <c r="U484" s="102"/>
      <c r="V484" s="102"/>
      <c r="W484" s="102"/>
      <c r="X484" s="102"/>
      <c r="Y484" s="102"/>
      <c r="Z484" s="102"/>
      <c r="AA484" s="102"/>
      <c r="AB484" s="102"/>
      <c r="AC484" s="102"/>
      <c r="AD484" s="102"/>
      <c r="AE484" s="102"/>
      <c r="AF484" s="102"/>
      <c r="AG484" s="102"/>
      <c r="AH484" s="102"/>
      <c r="AI484" s="102"/>
      <c r="AJ484" s="102"/>
      <c r="AK484" s="102"/>
      <c r="AL484" s="102"/>
      <c r="AM484" s="102"/>
      <c r="AN484" s="102"/>
      <c r="AO484" s="102"/>
      <c r="AP484" s="102"/>
      <c r="AQ484" s="102"/>
      <c r="AR484" s="102"/>
      <c r="AS484" s="102"/>
      <c r="AT484" s="102"/>
      <c r="AU484" s="102"/>
      <c r="AV484" s="102"/>
      <c r="AW484" s="90"/>
      <c r="AX484" s="90"/>
      <c r="AY484" s="90"/>
      <c r="AZ484" s="90"/>
      <c r="BA484" s="90"/>
      <c r="BB484" s="90"/>
      <c r="BC484" s="90"/>
      <c r="BD484" s="90"/>
      <c r="BE484" s="90"/>
      <c r="BF484" s="90"/>
      <c r="BG484" s="90"/>
      <c r="BH484" s="90"/>
      <c r="BI484" s="90"/>
      <c r="BJ484" s="90"/>
      <c r="BK484" s="90"/>
      <c r="BL484" s="90"/>
      <c r="BM484" s="90"/>
      <c r="BN484" s="90"/>
      <c r="BO484" s="90"/>
      <c r="BP484" s="90"/>
    </row>
    <row r="485" ht="12.75" customHeight="1" outlineLevel="1">
      <c r="A485" s="90" t="s">
        <v>623</v>
      </c>
      <c r="C485" s="102"/>
      <c r="D485" s="102"/>
      <c r="E485" s="102"/>
      <c r="F485" s="102"/>
      <c r="G485" s="102"/>
      <c r="K485" s="102"/>
      <c r="L485" s="102"/>
      <c r="M485" s="102"/>
      <c r="N485" s="102"/>
      <c r="O485" s="102"/>
      <c r="P485" s="102"/>
      <c r="Q485" s="102"/>
      <c r="R485" s="102"/>
      <c r="S485" s="102"/>
      <c r="T485" s="102"/>
      <c r="U485" s="102"/>
      <c r="V485" s="102"/>
      <c r="W485" s="102"/>
      <c r="X485" s="102"/>
      <c r="Y485" s="102"/>
      <c r="Z485" s="102"/>
      <c r="AA485" s="102"/>
      <c r="AB485" s="102"/>
      <c r="AC485" s="102"/>
      <c r="AD485" s="102"/>
      <c r="AE485" s="102"/>
      <c r="AF485" s="102"/>
      <c r="AG485" s="102"/>
      <c r="AH485" s="102"/>
      <c r="AI485" s="102"/>
      <c r="AJ485" s="102"/>
      <c r="AK485" s="102"/>
      <c r="AL485" s="102"/>
      <c r="AM485" s="102"/>
      <c r="AN485" s="102"/>
      <c r="AO485" s="102"/>
      <c r="AP485" s="102"/>
      <c r="AQ485" s="102"/>
      <c r="AR485" s="102"/>
      <c r="AS485" s="102"/>
      <c r="AT485" s="102"/>
      <c r="AU485" s="102"/>
      <c r="AV485" s="102"/>
      <c r="AW485" s="90"/>
      <c r="AX485" s="90"/>
      <c r="AY485" s="90"/>
      <c r="AZ485" s="90"/>
      <c r="BA485" s="90"/>
      <c r="BB485" s="90"/>
      <c r="BC485" s="90"/>
      <c r="BD485" s="90"/>
      <c r="BE485" s="90"/>
      <c r="BF485" s="90"/>
      <c r="BG485" s="90"/>
      <c r="BH485" s="90"/>
      <c r="BI485" s="90"/>
      <c r="BJ485" s="90"/>
      <c r="BK485" s="90"/>
      <c r="BL485" s="90"/>
      <c r="BM485" s="90"/>
      <c r="BN485" s="90"/>
      <c r="BO485" s="90"/>
      <c r="BP485" s="90"/>
    </row>
    <row r="486" ht="12.75" customHeight="1" outlineLevel="1">
      <c r="A486" s="90" t="s">
        <v>287</v>
      </c>
      <c r="C486" s="102">
        <f>'RSGen 1-7'!H480</f>
        <v>8855.030022</v>
      </c>
      <c r="D486" s="102">
        <f>OFFSET(RSGen_Walton!$H$480,0,ROW(C486)-ROW($C$486))</f>
        <v>8943.580322</v>
      </c>
      <c r="E486" s="102">
        <f>OFFSET(RSGen_none!$H$480,0,ROW(D486)-ROW($C$486))</f>
        <v>7731.580322</v>
      </c>
      <c r="F486" s="102"/>
      <c r="G486" s="102"/>
      <c r="H486" s="313"/>
      <c r="I486" s="313"/>
      <c r="J486" s="313"/>
      <c r="K486" s="306"/>
      <c r="L486" s="306"/>
      <c r="M486" s="102">
        <f t="shared" ref="M486:AL486" si="631">M$112*(MAX(0,MIN(M7,SUM(M7:M$15)-$E$4))*$E486+MAX(0,MIN(M7,$D$4-SUM(M8:M$15)))*$C486+(M7-(MAX(0,MIN(M7,SUM(M7:M$15)-$E$4))+MAX(0,MIN(M7,$D$4-SUM(M8:M$15)))))*$D486)</f>
        <v>17710.06004</v>
      </c>
      <c r="N486" s="102">
        <f t="shared" si="631"/>
        <v>27186.71317</v>
      </c>
      <c r="O486" s="102">
        <f t="shared" si="631"/>
        <v>46524.50484</v>
      </c>
      <c r="P486" s="102">
        <f t="shared" si="631"/>
        <v>75927.99189</v>
      </c>
      <c r="Q486" s="102">
        <f t="shared" si="631"/>
        <v>125850.6466</v>
      </c>
      <c r="R486" s="102">
        <f t="shared" si="631"/>
        <v>217237.5776</v>
      </c>
      <c r="S486" s="102">
        <f t="shared" si="631"/>
        <v>342445.4178</v>
      </c>
      <c r="T486" s="102">
        <f t="shared" si="631"/>
        <v>413574.068</v>
      </c>
      <c r="U486" s="102">
        <f t="shared" si="631"/>
        <v>407645.0377</v>
      </c>
      <c r="V486" s="102">
        <f t="shared" si="631"/>
        <v>609836.9763</v>
      </c>
      <c r="W486" s="102">
        <f t="shared" si="631"/>
        <v>753980.2616</v>
      </c>
      <c r="X486" s="102">
        <f t="shared" si="631"/>
        <v>1365081.264</v>
      </c>
      <c r="Y486" s="102">
        <f t="shared" si="631"/>
        <v>1892464.067</v>
      </c>
      <c r="Z486" s="102">
        <f t="shared" si="631"/>
        <v>2420392.904</v>
      </c>
      <c r="AA486" s="102">
        <f t="shared" si="631"/>
        <v>2785052.099</v>
      </c>
      <c r="AB486" s="102">
        <f t="shared" si="631"/>
        <v>3371443.288</v>
      </c>
      <c r="AC486" s="102">
        <f t="shared" si="631"/>
        <v>3714831.03</v>
      </c>
      <c r="AD486" s="102">
        <f t="shared" si="631"/>
        <v>3734997.256</v>
      </c>
      <c r="AE486" s="102">
        <f t="shared" si="631"/>
        <v>3003587.359</v>
      </c>
      <c r="AF486" s="102">
        <f t="shared" si="631"/>
        <v>371693.9356</v>
      </c>
      <c r="AG486" s="102">
        <f t="shared" si="631"/>
        <v>0</v>
      </c>
      <c r="AH486" s="102">
        <f t="shared" si="631"/>
        <v>0</v>
      </c>
      <c r="AI486" s="102">
        <f t="shared" si="631"/>
        <v>0</v>
      </c>
      <c r="AJ486" s="102">
        <f t="shared" si="631"/>
        <v>0</v>
      </c>
      <c r="AK486" s="102">
        <f t="shared" si="631"/>
        <v>0</v>
      </c>
      <c r="AL486" s="102">
        <f t="shared" si="631"/>
        <v>0</v>
      </c>
      <c r="AM486" s="102">
        <f t="shared" ref="AM486:AV486" si="632">$D486*AM7*AM$112</f>
        <v>0</v>
      </c>
      <c r="AN486" s="102">
        <f t="shared" si="632"/>
        <v>0</v>
      </c>
      <c r="AO486" s="102">
        <f t="shared" si="632"/>
        <v>0</v>
      </c>
      <c r="AP486" s="102" t="str">
        <f t="shared" si="632"/>
        <v>#REF!</v>
      </c>
      <c r="AQ486" s="102" t="str">
        <f t="shared" si="632"/>
        <v>#REF!</v>
      </c>
      <c r="AR486" s="102" t="str">
        <f t="shared" si="632"/>
        <v>#REF!</v>
      </c>
      <c r="AS486" s="102" t="str">
        <f t="shared" si="632"/>
        <v>#REF!</v>
      </c>
      <c r="AT486" s="102" t="str">
        <f t="shared" si="632"/>
        <v>#REF!</v>
      </c>
      <c r="AU486" s="102">
        <f t="shared" si="632"/>
        <v>0</v>
      </c>
      <c r="AV486" s="102">
        <f t="shared" si="632"/>
        <v>0</v>
      </c>
      <c r="AW486" s="90"/>
      <c r="AX486" s="90"/>
      <c r="AY486" s="90"/>
      <c r="AZ486" s="90"/>
      <c r="BA486" s="90"/>
      <c r="BB486" s="90"/>
      <c r="BC486" s="90"/>
      <c r="BD486" s="90"/>
      <c r="BE486" s="90"/>
      <c r="BF486" s="90"/>
      <c r="BG486" s="90"/>
      <c r="BH486" s="90"/>
      <c r="BI486" s="90"/>
      <c r="BJ486" s="90"/>
      <c r="BK486" s="90"/>
      <c r="BL486" s="90"/>
      <c r="BM486" s="90"/>
      <c r="BN486" s="90"/>
      <c r="BO486" s="90"/>
      <c r="BP486" s="90"/>
    </row>
    <row r="487" ht="12.75" customHeight="1" outlineLevel="1">
      <c r="A487" s="90" t="s">
        <v>288</v>
      </c>
      <c r="C487" s="102">
        <f>'RSGen 1-7'!I480</f>
        <v>158886.22</v>
      </c>
      <c r="D487" s="102">
        <f>OFFSET(RSGen_Walton!$H$480,0,ROW(C487)-ROW($C$486))</f>
        <v>158265.7072</v>
      </c>
      <c r="E487" s="102">
        <f>OFFSET(RSGen_none!$H$480,0,ROW(D487)-ROW($C$486))</f>
        <v>146833.0833</v>
      </c>
      <c r="F487" s="102"/>
      <c r="G487" s="102"/>
      <c r="H487" s="313"/>
      <c r="I487" s="313"/>
      <c r="J487" s="313"/>
      <c r="K487" s="306"/>
      <c r="L487" s="306"/>
      <c r="M487" s="306"/>
      <c r="N487" s="102">
        <f t="shared" ref="N487:AL487" si="633">N$112*(MAX(0,MIN(N8,SUM(N8:N$15)-$E$4))*$E487+MAX(0,MIN(N8,$D$4-SUM(N9:N$15)))*$C487+(N8-(MAX(0,MIN(N8,SUM(N8:N$15)-$E$4))+MAX(0,MIN(N8,$D$4-SUM(N9:N$15)))))*$D487)</f>
        <v>324127.8888</v>
      </c>
      <c r="O487" s="102">
        <f t="shared" si="633"/>
        <v>495270.0883</v>
      </c>
      <c r="P487" s="102">
        <f t="shared" si="633"/>
        <v>839764.173</v>
      </c>
      <c r="Q487" s="102">
        <f t="shared" si="633"/>
        <v>1370495.13</v>
      </c>
      <c r="R487" s="102">
        <f t="shared" si="633"/>
        <v>2271595.679</v>
      </c>
      <c r="S487" s="102">
        <f t="shared" si="633"/>
        <v>3921123.617</v>
      </c>
      <c r="T487" s="102">
        <f t="shared" si="633"/>
        <v>6181116.684</v>
      </c>
      <c r="U487" s="102">
        <f t="shared" si="633"/>
        <v>7875677.586</v>
      </c>
      <c r="V487" s="102">
        <f t="shared" si="633"/>
        <v>7896560.698</v>
      </c>
      <c r="W487" s="102">
        <f t="shared" si="633"/>
        <v>11813254.8</v>
      </c>
      <c r="X487" s="102">
        <f t="shared" si="633"/>
        <v>14605478.67</v>
      </c>
      <c r="Y487" s="102">
        <f t="shared" si="633"/>
        <v>26443219.13</v>
      </c>
      <c r="Z487" s="102">
        <f t="shared" si="633"/>
        <v>36659240.26</v>
      </c>
      <c r="AA487" s="102">
        <f t="shared" si="633"/>
        <v>46885838.69</v>
      </c>
      <c r="AB487" s="102">
        <f t="shared" si="633"/>
        <v>53949713.39</v>
      </c>
      <c r="AC487" s="102">
        <f t="shared" si="633"/>
        <v>65308795.91</v>
      </c>
      <c r="AD487" s="102">
        <f t="shared" si="633"/>
        <v>71960617.71</v>
      </c>
      <c r="AE487" s="102">
        <f t="shared" si="633"/>
        <v>72351261.06</v>
      </c>
      <c r="AF487" s="102">
        <f t="shared" si="633"/>
        <v>58182996.72</v>
      </c>
      <c r="AG487" s="102">
        <f t="shared" si="633"/>
        <v>7200145.845</v>
      </c>
      <c r="AH487" s="102">
        <f t="shared" si="633"/>
        <v>0</v>
      </c>
      <c r="AI487" s="102">
        <f t="shared" si="633"/>
        <v>0</v>
      </c>
      <c r="AJ487" s="102">
        <f t="shared" si="633"/>
        <v>0</v>
      </c>
      <c r="AK487" s="102">
        <f t="shared" si="633"/>
        <v>0</v>
      </c>
      <c r="AL487" s="102">
        <f t="shared" si="633"/>
        <v>0</v>
      </c>
      <c r="AM487" s="102">
        <f t="shared" ref="AM487:AV487" si="634">$D487*AM8*AM$112</f>
        <v>0</v>
      </c>
      <c r="AN487" s="102">
        <f t="shared" si="634"/>
        <v>0</v>
      </c>
      <c r="AO487" s="102">
        <f t="shared" si="634"/>
        <v>0</v>
      </c>
      <c r="AP487" s="102">
        <f t="shared" si="634"/>
        <v>0</v>
      </c>
      <c r="AQ487" s="102" t="str">
        <f t="shared" si="634"/>
        <v>#REF!</v>
      </c>
      <c r="AR487" s="102" t="str">
        <f t="shared" si="634"/>
        <v>#REF!</v>
      </c>
      <c r="AS487" s="102" t="str">
        <f t="shared" si="634"/>
        <v>#REF!</v>
      </c>
      <c r="AT487" s="102" t="str">
        <f t="shared" si="634"/>
        <v>#REF!</v>
      </c>
      <c r="AU487" s="102" t="str">
        <f t="shared" si="634"/>
        <v>#REF!</v>
      </c>
      <c r="AV487" s="102">
        <f t="shared" si="634"/>
        <v>0</v>
      </c>
      <c r="AW487" s="90"/>
      <c r="AX487" s="90"/>
      <c r="AY487" s="90"/>
      <c r="AZ487" s="90"/>
      <c r="BA487" s="90"/>
      <c r="BB487" s="90"/>
      <c r="BC487" s="90"/>
      <c r="BD487" s="90"/>
      <c r="BE487" s="90"/>
      <c r="BF487" s="90"/>
      <c r="BG487" s="90"/>
      <c r="BH487" s="90"/>
      <c r="BI487" s="90"/>
      <c r="BJ487" s="90"/>
      <c r="BK487" s="90"/>
      <c r="BL487" s="90"/>
      <c r="BM487" s="90"/>
      <c r="BN487" s="90"/>
      <c r="BO487" s="90"/>
      <c r="BP487" s="90"/>
    </row>
    <row r="488" ht="12.75" customHeight="1" outlineLevel="1">
      <c r="A488" s="90" t="s">
        <v>289</v>
      </c>
      <c r="C488" s="102">
        <f>'RSGen 1-7'!J480</f>
        <v>163950.551</v>
      </c>
      <c r="D488" s="102">
        <f>OFFSET(RSGen_Walton!$H$480,0,ROW(C488)-ROW($C$486))</f>
        <v>166216.1611</v>
      </c>
      <c r="E488" s="102">
        <f>OFFSET(RSGen_none!$H$480,0,ROW(D488)-ROW($C$486))</f>
        <v>166167.4111</v>
      </c>
      <c r="F488" s="102"/>
      <c r="G488" s="102"/>
      <c r="H488" s="313"/>
      <c r="I488" s="313"/>
      <c r="J488" s="313"/>
      <c r="K488" s="306"/>
      <c r="L488" s="306"/>
      <c r="M488" s="306"/>
      <c r="N488" s="306"/>
      <c r="O488" s="102">
        <f t="shared" ref="O488:AL488" si="635">O$112*(MAX(0,MIN(O9,SUM(O9:O$15)-$E$4))*$E488+MAX(0,MIN(O9,$D$4-SUM(O10:O$15)))*$C488+(O9-(MAX(0,MIN(O9,SUM(O9:O$15)-$E$4))+MAX(0,MIN(O9,$D$4-SUM(O10:O$15)))))*$D488)</f>
        <v>341148.3065</v>
      </c>
      <c r="P488" s="102">
        <f t="shared" si="635"/>
        <v>524361.1925</v>
      </c>
      <c r="Q488" s="102">
        <f t="shared" si="635"/>
        <v>899588.5913</v>
      </c>
      <c r="R488" s="102">
        <f t="shared" si="635"/>
        <v>1468128.581</v>
      </c>
      <c r="S488" s="102">
        <f t="shared" si="635"/>
        <v>2433423.123</v>
      </c>
      <c r="T488" s="102">
        <f t="shared" si="635"/>
        <v>4200462.683</v>
      </c>
      <c r="U488" s="102">
        <f t="shared" si="635"/>
        <v>6621456.629</v>
      </c>
      <c r="V488" s="102">
        <f t="shared" si="635"/>
        <v>8936927.323</v>
      </c>
      <c r="W488" s="102">
        <f t="shared" si="635"/>
        <v>9115071.61</v>
      </c>
      <c r="X488" s="102">
        <f t="shared" si="635"/>
        <v>13636147.13</v>
      </c>
      <c r="Y488" s="102">
        <f t="shared" si="635"/>
        <v>16859236.45</v>
      </c>
      <c r="Z488" s="102">
        <f t="shared" si="635"/>
        <v>30523647.59</v>
      </c>
      <c r="AA488" s="102">
        <f t="shared" si="635"/>
        <v>42316093.41</v>
      </c>
      <c r="AB488" s="102">
        <f t="shared" si="635"/>
        <v>54120748.7</v>
      </c>
      <c r="AC488" s="102">
        <f t="shared" si="635"/>
        <v>62274643.31</v>
      </c>
      <c r="AD488" s="102">
        <f t="shared" si="635"/>
        <v>75386535.25</v>
      </c>
      <c r="AE488" s="102">
        <f t="shared" si="635"/>
        <v>83064793.47</v>
      </c>
      <c r="AF488" s="102">
        <f t="shared" si="635"/>
        <v>83515716.63</v>
      </c>
      <c r="AG488" s="102">
        <f t="shared" si="635"/>
        <v>67161160.64</v>
      </c>
      <c r="AH488" s="102">
        <f t="shared" si="635"/>
        <v>8311193.63</v>
      </c>
      <c r="AI488" s="102">
        <f t="shared" si="635"/>
        <v>0</v>
      </c>
      <c r="AJ488" s="102">
        <f t="shared" si="635"/>
        <v>0</v>
      </c>
      <c r="AK488" s="102">
        <f t="shared" si="635"/>
        <v>0</v>
      </c>
      <c r="AL488" s="102">
        <f t="shared" si="635"/>
        <v>0</v>
      </c>
      <c r="AM488" s="102">
        <f t="shared" ref="AM488:AV488" si="636">$D488*AM9*AM$112</f>
        <v>0</v>
      </c>
      <c r="AN488" s="102">
        <f t="shared" si="636"/>
        <v>0</v>
      </c>
      <c r="AO488" s="102">
        <f t="shared" si="636"/>
        <v>0</v>
      </c>
      <c r="AP488" s="102">
        <f t="shared" si="636"/>
        <v>0</v>
      </c>
      <c r="AQ488" s="102">
        <f t="shared" si="636"/>
        <v>0</v>
      </c>
      <c r="AR488" s="102" t="str">
        <f t="shared" si="636"/>
        <v>#REF!</v>
      </c>
      <c r="AS488" s="102" t="str">
        <f t="shared" si="636"/>
        <v>#REF!</v>
      </c>
      <c r="AT488" s="102" t="str">
        <f t="shared" si="636"/>
        <v>#REF!</v>
      </c>
      <c r="AU488" s="102" t="str">
        <f t="shared" si="636"/>
        <v>#REF!</v>
      </c>
      <c r="AV488" s="102" t="str">
        <f t="shared" si="636"/>
        <v>#REF!</v>
      </c>
      <c r="AW488" s="90"/>
      <c r="AX488" s="90"/>
      <c r="AY488" s="90"/>
      <c r="AZ488" s="90"/>
      <c r="BA488" s="90"/>
      <c r="BB488" s="90"/>
      <c r="BC488" s="90"/>
      <c r="BD488" s="90"/>
      <c r="BE488" s="90"/>
      <c r="BF488" s="90"/>
      <c r="BG488" s="90"/>
      <c r="BH488" s="90"/>
      <c r="BI488" s="90"/>
      <c r="BJ488" s="90"/>
      <c r="BK488" s="90"/>
      <c r="BL488" s="90"/>
      <c r="BM488" s="90"/>
      <c r="BN488" s="90"/>
      <c r="BO488" s="90"/>
      <c r="BP488" s="90"/>
    </row>
    <row r="489" ht="12.75" customHeight="1" outlineLevel="1">
      <c r="A489" s="90" t="s">
        <v>290</v>
      </c>
      <c r="C489" s="102">
        <f>'RSGen 1-7'!K480</f>
        <v>170783.7321</v>
      </c>
      <c r="D489" s="102">
        <f>OFFSET(RSGen_Walton!$H$480,0,ROW(C489)-ROW($C$486))</f>
        <v>173140.7611</v>
      </c>
      <c r="E489" s="102">
        <f>OFFSET(RSGen_none!$H$480,0,ROW(D489)-ROW($C$486))</f>
        <v>173140.7611</v>
      </c>
      <c r="F489" s="102"/>
      <c r="G489" s="102"/>
      <c r="H489" s="313"/>
      <c r="I489" s="313"/>
      <c r="J489" s="313"/>
      <c r="K489" s="306"/>
      <c r="L489" s="306"/>
      <c r="M489" s="306"/>
      <c r="N489" s="306"/>
      <c r="O489" s="306"/>
      <c r="P489" s="102">
        <f t="shared" ref="P489:AL489" si="637">P$112*(MAX(0,MIN(P10,SUM(P10:P$15)-$E$4))*$E489+MAX(0,MIN(P10,$D$4-SUM(P11:P$15)))*$C489+(P10-(MAX(0,MIN(P10,SUM(P10:P$15)-$E$4))+MAX(0,MIN(P10,$D$4-SUM(P11:P$15)))))*$D489)</f>
        <v>362474.1257</v>
      </c>
      <c r="Q489" s="102">
        <f t="shared" si="637"/>
        <v>557136.7362</v>
      </c>
      <c r="R489" s="102">
        <f t="shared" si="637"/>
        <v>955806.9529</v>
      </c>
      <c r="S489" s="102">
        <f t="shared" si="637"/>
        <v>1559876.947</v>
      </c>
      <c r="T489" s="102">
        <f t="shared" si="637"/>
        <v>2585496.04</v>
      </c>
      <c r="U489" s="102">
        <f t="shared" si="637"/>
        <v>4462963.933</v>
      </c>
      <c r="V489" s="102">
        <f t="shared" si="637"/>
        <v>7035254.055</v>
      </c>
      <c r="W489" s="102">
        <f t="shared" si="637"/>
        <v>9497592.974</v>
      </c>
      <c r="X489" s="102">
        <f t="shared" si="637"/>
        <v>9687544.833</v>
      </c>
      <c r="Y489" s="102">
        <f t="shared" si="637"/>
        <v>14492567.07</v>
      </c>
      <c r="Z489" s="102">
        <f t="shared" si="637"/>
        <v>17918082.92</v>
      </c>
      <c r="AA489" s="102">
        <f t="shared" si="637"/>
        <v>32440689.13</v>
      </c>
      <c r="AB489" s="102">
        <f t="shared" si="637"/>
        <v>44973761.01</v>
      </c>
      <c r="AC489" s="102">
        <f t="shared" si="637"/>
        <v>57519809.15</v>
      </c>
      <c r="AD489" s="102">
        <f t="shared" si="637"/>
        <v>66185810.15</v>
      </c>
      <c r="AE489" s="102">
        <f t="shared" si="637"/>
        <v>80121196.11</v>
      </c>
      <c r="AF489" s="102">
        <f t="shared" si="637"/>
        <v>88281688.31</v>
      </c>
      <c r="AG489" s="102">
        <f t="shared" si="637"/>
        <v>88760931.76</v>
      </c>
      <c r="AH489" s="102">
        <f t="shared" si="637"/>
        <v>71379225.82</v>
      </c>
      <c r="AI489" s="102">
        <f t="shared" si="637"/>
        <v>8833179.195</v>
      </c>
      <c r="AJ489" s="102">
        <f t="shared" si="637"/>
        <v>0</v>
      </c>
      <c r="AK489" s="102">
        <f t="shared" si="637"/>
        <v>0</v>
      </c>
      <c r="AL489" s="102">
        <f t="shared" si="637"/>
        <v>0</v>
      </c>
      <c r="AM489" s="102">
        <f t="shared" ref="AM489:AV489" si="638">$D489*AM10*AM$112</f>
        <v>0</v>
      </c>
      <c r="AN489" s="102">
        <f t="shared" si="638"/>
        <v>0</v>
      </c>
      <c r="AO489" s="102">
        <f t="shared" si="638"/>
        <v>0</v>
      </c>
      <c r="AP489" s="102">
        <f t="shared" si="638"/>
        <v>0</v>
      </c>
      <c r="AQ489" s="102">
        <f t="shared" si="638"/>
        <v>0</v>
      </c>
      <c r="AR489" s="102">
        <f t="shared" si="638"/>
        <v>0</v>
      </c>
      <c r="AS489" s="102" t="str">
        <f t="shared" si="638"/>
        <v>#REF!</v>
      </c>
      <c r="AT489" s="102" t="str">
        <f t="shared" si="638"/>
        <v>#REF!</v>
      </c>
      <c r="AU489" s="102" t="str">
        <f t="shared" si="638"/>
        <v>#REF!</v>
      </c>
      <c r="AV489" s="102" t="str">
        <f t="shared" si="638"/>
        <v>#REF!</v>
      </c>
      <c r="AW489" s="90"/>
      <c r="AX489" s="90"/>
      <c r="AY489" s="90"/>
      <c r="AZ489" s="90"/>
      <c r="BA489" s="90"/>
      <c r="BB489" s="90"/>
      <c r="BC489" s="90"/>
      <c r="BD489" s="90"/>
      <c r="BE489" s="90"/>
      <c r="BF489" s="90"/>
      <c r="BG489" s="90"/>
      <c r="BH489" s="90"/>
      <c r="BI489" s="90"/>
      <c r="BJ489" s="90"/>
      <c r="BK489" s="90"/>
      <c r="BL489" s="90"/>
      <c r="BM489" s="90"/>
      <c r="BN489" s="90"/>
      <c r="BO489" s="90"/>
      <c r="BP489" s="90"/>
    </row>
    <row r="490" ht="12.75" customHeight="1" outlineLevel="1">
      <c r="A490" s="90" t="s">
        <v>291</v>
      </c>
      <c r="C490" s="102">
        <f>'RSGen 1-7'!L480</f>
        <v>170241.5041</v>
      </c>
      <c r="D490" s="102">
        <f>OFFSET(RSGen_Walton!$H$480,0,ROW(C490)-ROW($C$486))</f>
        <v>172618.8772</v>
      </c>
      <c r="E490" s="102">
        <f>OFFSET(RSGen_none!$H$480,0,ROW(D490)-ROW($C$486))</f>
        <v>172618.8772</v>
      </c>
      <c r="F490" s="102"/>
      <c r="G490" s="102"/>
      <c r="H490" s="313"/>
      <c r="I490" s="313"/>
      <c r="J490" s="313"/>
      <c r="K490" s="306"/>
      <c r="L490" s="306"/>
      <c r="M490" s="306"/>
      <c r="N490" s="306"/>
      <c r="O490" s="306"/>
      <c r="P490" s="306"/>
      <c r="Q490" s="102">
        <f t="shared" ref="Q490:AL490" si="639">Q$112*(MAX(0,MIN(Q11,SUM(Q11:Q$15)-$E$4))*$E490+MAX(0,MIN(Q11,$D$4-SUM(Q12:Q$15)))*$C490+(Q11-(MAX(0,MIN(Q11,SUM(Q11:Q$15)-$E$4))+MAX(0,MIN(Q11,$D$4-SUM(Q12:Q$15)))))*$D490)</f>
        <v>368549.7581</v>
      </c>
      <c r="R490" s="102">
        <f t="shared" si="639"/>
        <v>566505.9418</v>
      </c>
      <c r="S490" s="102">
        <f t="shared" si="639"/>
        <v>971984.4617</v>
      </c>
      <c r="T490" s="102">
        <f t="shared" si="639"/>
        <v>1586278.642</v>
      </c>
      <c r="U490" s="102">
        <f t="shared" si="639"/>
        <v>2629256.848</v>
      </c>
      <c r="V490" s="102">
        <f t="shared" si="639"/>
        <v>4538501.821</v>
      </c>
      <c r="W490" s="102">
        <f t="shared" si="639"/>
        <v>7154329.235</v>
      </c>
      <c r="X490" s="102">
        <f t="shared" si="639"/>
        <v>9658344.467</v>
      </c>
      <c r="Y490" s="102">
        <f t="shared" si="639"/>
        <v>9851511.356</v>
      </c>
      <c r="Z490" s="102">
        <f t="shared" si="639"/>
        <v>14737860.99</v>
      </c>
      <c r="AA490" s="102">
        <f t="shared" si="639"/>
        <v>18221355.4</v>
      </c>
      <c r="AB490" s="102">
        <f t="shared" si="639"/>
        <v>32989763.96</v>
      </c>
      <c r="AC490" s="102">
        <f t="shared" si="639"/>
        <v>45734964.32</v>
      </c>
      <c r="AD490" s="102">
        <f t="shared" si="639"/>
        <v>58493360.58</v>
      </c>
      <c r="AE490" s="102">
        <f t="shared" si="639"/>
        <v>67306037.96</v>
      </c>
      <c r="AF490" s="102">
        <f t="shared" si="639"/>
        <v>81477287.28</v>
      </c>
      <c r="AG490" s="102">
        <f t="shared" si="639"/>
        <v>89775899.87</v>
      </c>
      <c r="AH490" s="102">
        <f t="shared" si="639"/>
        <v>90263254.75</v>
      </c>
      <c r="AI490" s="102">
        <f t="shared" si="639"/>
        <v>72587354.78</v>
      </c>
      <c r="AJ490" s="102">
        <f t="shared" si="639"/>
        <v>8982685.154</v>
      </c>
      <c r="AK490" s="102">
        <f t="shared" si="639"/>
        <v>0</v>
      </c>
      <c r="AL490" s="102">
        <f t="shared" si="639"/>
        <v>0</v>
      </c>
      <c r="AM490" s="102">
        <f t="shared" ref="AM490:AV490" si="640">$D490*AM11*AM$112</f>
        <v>0</v>
      </c>
      <c r="AN490" s="102">
        <f t="shared" si="640"/>
        <v>0</v>
      </c>
      <c r="AO490" s="102">
        <f t="shared" si="640"/>
        <v>0</v>
      </c>
      <c r="AP490" s="102">
        <f t="shared" si="640"/>
        <v>0</v>
      </c>
      <c r="AQ490" s="102">
        <f t="shared" si="640"/>
        <v>0</v>
      </c>
      <c r="AR490" s="102">
        <f t="shared" si="640"/>
        <v>0</v>
      </c>
      <c r="AS490" s="102">
        <f t="shared" si="640"/>
        <v>0</v>
      </c>
      <c r="AT490" s="102" t="str">
        <f t="shared" si="640"/>
        <v>#REF!</v>
      </c>
      <c r="AU490" s="102" t="str">
        <f t="shared" si="640"/>
        <v>#REF!</v>
      </c>
      <c r="AV490" s="102" t="str">
        <f t="shared" si="640"/>
        <v>#REF!</v>
      </c>
      <c r="AW490" s="90"/>
      <c r="AX490" s="90"/>
      <c r="AY490" s="90"/>
      <c r="AZ490" s="90"/>
      <c r="BA490" s="90"/>
      <c r="BB490" s="90"/>
      <c r="BC490" s="90"/>
      <c r="BD490" s="90"/>
      <c r="BE490" s="90"/>
      <c r="BF490" s="90"/>
      <c r="BG490" s="90"/>
      <c r="BH490" s="90"/>
      <c r="BI490" s="90"/>
      <c r="BJ490" s="90"/>
      <c r="BK490" s="90"/>
      <c r="BL490" s="90"/>
      <c r="BM490" s="90"/>
      <c r="BN490" s="90"/>
      <c r="BO490" s="90"/>
      <c r="BP490" s="90"/>
    </row>
    <row r="491" ht="12.75" customHeight="1" outlineLevel="1">
      <c r="A491" s="90" t="s">
        <v>292</v>
      </c>
      <c r="C491" s="102">
        <f>'RSGen 1-7'!M480</f>
        <v>170004.1281</v>
      </c>
      <c r="D491" s="102">
        <f>OFFSET(RSGen_Walton!$H$480,0,ROW(C491)-ROW($C$486))</f>
        <v>172380.8637</v>
      </c>
      <c r="E491" s="102">
        <f>OFFSET(RSGen_none!$H$480,0,ROW(D491)-ROW($C$486))</f>
        <v>172380.8637</v>
      </c>
      <c r="F491" s="102"/>
      <c r="G491" s="102"/>
      <c r="H491" s="313"/>
      <c r="I491" s="313"/>
      <c r="J491" s="313"/>
      <c r="K491" s="306"/>
      <c r="L491" s="306"/>
      <c r="M491" s="306"/>
      <c r="N491" s="306"/>
      <c r="O491" s="306"/>
      <c r="P491" s="306"/>
      <c r="Q491" s="306"/>
      <c r="R491" s="102">
        <f t="shared" ref="R491:AL491" si="641">R$112*(MAX(0,MIN(R12,SUM(R12:R$15)-$E$4))*$E491+MAX(0,MIN(R12,$D$4-SUM(R13:R$15)))*$C491+(R12-(MAX(0,MIN(R12,SUM(R12:R$15)-$E$4))+MAX(0,MIN(R12,$D$4-SUM(R13:R$15)))))*$D491)</f>
        <v>375396.5887</v>
      </c>
      <c r="S491" s="102">
        <f t="shared" si="641"/>
        <v>577033.371</v>
      </c>
      <c r="T491" s="102">
        <f t="shared" si="641"/>
        <v>990057.1376</v>
      </c>
      <c r="U491" s="102">
        <f t="shared" si="641"/>
        <v>1615773.249</v>
      </c>
      <c r="V491" s="102">
        <f t="shared" si="641"/>
        <v>2678144.159</v>
      </c>
      <c r="W491" s="102">
        <f t="shared" si="641"/>
        <v>4622888.841</v>
      </c>
      <c r="X491" s="102">
        <f t="shared" si="641"/>
        <v>7287353.865</v>
      </c>
      <c r="Y491" s="102">
        <f t="shared" si="641"/>
        <v>9837927.717</v>
      </c>
      <c r="Z491" s="102">
        <f t="shared" si="641"/>
        <v>10034686.27</v>
      </c>
      <c r="AA491" s="102">
        <f t="shared" si="641"/>
        <v>15011890.66</v>
      </c>
      <c r="AB491" s="102">
        <f t="shared" si="641"/>
        <v>18560155.73</v>
      </c>
      <c r="AC491" s="102">
        <f t="shared" si="641"/>
        <v>33603161.94</v>
      </c>
      <c r="AD491" s="102">
        <f t="shared" si="641"/>
        <v>46585341.27</v>
      </c>
      <c r="AE491" s="102">
        <f t="shared" si="641"/>
        <v>59580961.86</v>
      </c>
      <c r="AF491" s="102">
        <f t="shared" si="641"/>
        <v>68557498.51</v>
      </c>
      <c r="AG491" s="102">
        <f t="shared" si="641"/>
        <v>82992242.16</v>
      </c>
      <c r="AH491" s="102">
        <f t="shared" si="641"/>
        <v>91445155.71</v>
      </c>
      <c r="AI491" s="102">
        <f t="shared" si="641"/>
        <v>91941572.27</v>
      </c>
      <c r="AJ491" s="102">
        <f t="shared" si="641"/>
        <v>73937013.94</v>
      </c>
      <c r="AK491" s="102">
        <f t="shared" si="641"/>
        <v>9149705.475</v>
      </c>
      <c r="AL491" s="102">
        <f t="shared" si="641"/>
        <v>0</v>
      </c>
      <c r="AM491" s="102">
        <f t="shared" ref="AM491:AV491" si="642">$D491*AM12*AM$112</f>
        <v>0</v>
      </c>
      <c r="AN491" s="102">
        <f t="shared" si="642"/>
        <v>0</v>
      </c>
      <c r="AO491" s="102">
        <f t="shared" si="642"/>
        <v>0</v>
      </c>
      <c r="AP491" s="102">
        <f t="shared" si="642"/>
        <v>0</v>
      </c>
      <c r="AQ491" s="102">
        <f t="shared" si="642"/>
        <v>0</v>
      </c>
      <c r="AR491" s="102">
        <f t="shared" si="642"/>
        <v>0</v>
      </c>
      <c r="AS491" s="102">
        <f t="shared" si="642"/>
        <v>0</v>
      </c>
      <c r="AT491" s="102">
        <f t="shared" si="642"/>
        <v>0</v>
      </c>
      <c r="AU491" s="102" t="str">
        <f t="shared" si="642"/>
        <v>#REF!</v>
      </c>
      <c r="AV491" s="102" t="str">
        <f t="shared" si="642"/>
        <v>#REF!</v>
      </c>
      <c r="AW491" s="90"/>
      <c r="AX491" s="90"/>
      <c r="AY491" s="90"/>
      <c r="AZ491" s="90"/>
      <c r="BA491" s="90"/>
      <c r="BB491" s="90"/>
      <c r="BC491" s="90"/>
      <c r="BD491" s="90"/>
      <c r="BE491" s="90"/>
      <c r="BF491" s="90"/>
      <c r="BG491" s="90"/>
      <c r="BH491" s="90"/>
      <c r="BI491" s="90"/>
      <c r="BJ491" s="90"/>
      <c r="BK491" s="90"/>
      <c r="BL491" s="90"/>
      <c r="BM491" s="90"/>
      <c r="BN491" s="90"/>
      <c r="BO491" s="90"/>
      <c r="BP491" s="90"/>
    </row>
    <row r="492" ht="12.75" customHeight="1" outlineLevel="1">
      <c r="A492" s="90" t="s">
        <v>293</v>
      </c>
      <c r="C492" s="102">
        <f>'RSGen 1-7'!N480</f>
        <v>169778.2001</v>
      </c>
      <c r="D492" s="102">
        <f>OFFSET(RSGen_Walton!$H$480,0,ROW(C492)-ROW($C$486))</f>
        <v>172151.1882</v>
      </c>
      <c r="E492" s="102">
        <f>OFFSET(RSGen_none!$H$480,0,ROW(D492)-ROW($C$486))</f>
        <v>172151.1882</v>
      </c>
      <c r="F492" s="102"/>
      <c r="G492" s="102"/>
      <c r="H492" s="313"/>
      <c r="I492" s="313"/>
      <c r="J492" s="313"/>
      <c r="K492" s="306"/>
      <c r="L492" s="306"/>
      <c r="M492" s="306"/>
      <c r="N492" s="306"/>
      <c r="O492" s="306"/>
      <c r="P492" s="306"/>
      <c r="Q492" s="306"/>
      <c r="R492" s="306"/>
      <c r="S492" s="102">
        <f t="shared" ref="S492:AL492" si="643">S$112*(MAX(0,MIN(S13,SUM(S13:S$15)-$E$4))*$E492+MAX(0,MIN(S13,$D$4-SUM(S14:S$15)))*$C492+(S13-(MAX(0,MIN(S13,SUM(S13:S$15)-$E$4))+MAX(0,MIN(S13,$D$4-SUM(S14:S$15)))))*$D492)</f>
        <v>382395.6572</v>
      </c>
      <c r="T492" s="102">
        <f t="shared" si="643"/>
        <v>587791.1729</v>
      </c>
      <c r="U492" s="102">
        <f t="shared" si="643"/>
        <v>1008512.773</v>
      </c>
      <c r="V492" s="102">
        <f t="shared" si="643"/>
        <v>1645892.845</v>
      </c>
      <c r="W492" s="102">
        <f t="shared" si="643"/>
        <v>2728067.391</v>
      </c>
      <c r="X492" s="102">
        <f t="shared" si="643"/>
        <v>4709064.02</v>
      </c>
      <c r="Y492" s="102">
        <f t="shared" si="643"/>
        <v>7423197.283</v>
      </c>
      <c r="Z492" s="102">
        <f t="shared" si="643"/>
        <v>10021316.33</v>
      </c>
      <c r="AA492" s="102">
        <f t="shared" si="643"/>
        <v>10221742.66</v>
      </c>
      <c r="AB492" s="102">
        <f t="shared" si="643"/>
        <v>15291727.02</v>
      </c>
      <c r="AC492" s="102">
        <f t="shared" si="643"/>
        <v>18906135.22</v>
      </c>
      <c r="AD492" s="102">
        <f t="shared" si="643"/>
        <v>34229557.82</v>
      </c>
      <c r="AE492" s="102">
        <f t="shared" si="643"/>
        <v>47453737.69</v>
      </c>
      <c r="AF492" s="102">
        <f t="shared" si="643"/>
        <v>60691609.38</v>
      </c>
      <c r="AG492" s="102">
        <f t="shared" si="643"/>
        <v>69835477.48</v>
      </c>
      <c r="AH492" s="102">
        <f t="shared" si="643"/>
        <v>84539298.89</v>
      </c>
      <c r="AI492" s="102">
        <f t="shared" si="643"/>
        <v>93149783.03</v>
      </c>
      <c r="AJ492" s="102">
        <f t="shared" si="643"/>
        <v>93655453.28</v>
      </c>
      <c r="AK492" s="102">
        <f t="shared" si="643"/>
        <v>75315272.34</v>
      </c>
      <c r="AL492" s="102">
        <f t="shared" si="643"/>
        <v>9320264.953</v>
      </c>
      <c r="AM492" s="102">
        <f t="shared" ref="AM492:AV492" si="644">$D492*AM13*AM$112</f>
        <v>0</v>
      </c>
      <c r="AN492" s="102">
        <f t="shared" si="644"/>
        <v>0</v>
      </c>
      <c r="AO492" s="102">
        <f t="shared" si="644"/>
        <v>0</v>
      </c>
      <c r="AP492" s="102">
        <f t="shared" si="644"/>
        <v>0</v>
      </c>
      <c r="AQ492" s="102">
        <f t="shared" si="644"/>
        <v>0</v>
      </c>
      <c r="AR492" s="102">
        <f t="shared" si="644"/>
        <v>0</v>
      </c>
      <c r="AS492" s="102">
        <f t="shared" si="644"/>
        <v>0</v>
      </c>
      <c r="AT492" s="102">
        <f t="shared" si="644"/>
        <v>0</v>
      </c>
      <c r="AU492" s="102">
        <f t="shared" si="644"/>
        <v>0</v>
      </c>
      <c r="AV492" s="102" t="str">
        <f t="shared" si="644"/>
        <v>#REF!</v>
      </c>
      <c r="AW492" s="90"/>
      <c r="AX492" s="90"/>
      <c r="AY492" s="90"/>
      <c r="AZ492" s="90"/>
      <c r="BA492" s="90"/>
      <c r="BB492" s="90"/>
      <c r="BC492" s="90"/>
      <c r="BD492" s="90"/>
      <c r="BE492" s="90"/>
      <c r="BF492" s="90"/>
      <c r="BG492" s="90"/>
      <c r="BH492" s="90"/>
      <c r="BI492" s="90"/>
      <c r="BJ492" s="90"/>
      <c r="BK492" s="90"/>
      <c r="BL492" s="90"/>
      <c r="BM492" s="90"/>
      <c r="BN492" s="90"/>
      <c r="BO492" s="90"/>
      <c r="BP492" s="90"/>
    </row>
    <row r="493" ht="12.75" customHeight="1" outlineLevel="1">
      <c r="A493" s="90" t="s">
        <v>294</v>
      </c>
      <c r="C493" s="102">
        <f>'RSGen 1-7'!O480</f>
        <v>169657.9961</v>
      </c>
      <c r="D493" s="102">
        <f>OFFSET(RSGen_Walton!$H$480,0,ROW(C493)-ROW($C$486))</f>
        <v>172028.4179</v>
      </c>
      <c r="E493" s="102">
        <f>OFFSET(RSGen_none!$H$480,0,ROW(D493)-ROW($C$486))</f>
        <v>172028.4179</v>
      </c>
      <c r="F493" s="102"/>
      <c r="G493" s="102"/>
      <c r="H493" s="313"/>
      <c r="I493" s="313"/>
      <c r="J493" s="313"/>
      <c r="K493" s="306"/>
      <c r="L493" s="306"/>
      <c r="M493" s="306"/>
      <c r="N493" s="306"/>
      <c r="O493" s="306"/>
      <c r="P493" s="306"/>
      <c r="Q493" s="306"/>
      <c r="R493" s="306"/>
      <c r="S493" s="306"/>
      <c r="T493" s="102">
        <f t="shared" ref="T493:AL493" si="645">T$112*(MAX(0,MIN(T14,SUM(T14:T$15)-$E$4))*$E493+MAX(0,MIN(T14,$D$4-SUM(T$15:T15)))*$C493+(T14-(MAX(0,MIN(T14,SUM(T14:T$15)-$E$4))+MAX(0,MIN(T14,$D$4-SUM(T$15:T15)))))*$D493)</f>
        <v>389767.4172</v>
      </c>
      <c r="U493" s="102">
        <f t="shared" si="645"/>
        <v>599121.4752</v>
      </c>
      <c r="V493" s="102">
        <f t="shared" si="645"/>
        <v>1027949.419</v>
      </c>
      <c r="W493" s="102">
        <f t="shared" si="645"/>
        <v>1677613.452</v>
      </c>
      <c r="X493" s="102">
        <f t="shared" si="645"/>
        <v>2780644.297</v>
      </c>
      <c r="Y493" s="102">
        <f t="shared" si="645"/>
        <v>4799819.848</v>
      </c>
      <c r="Z493" s="102">
        <f t="shared" si="645"/>
        <v>7566261.47</v>
      </c>
      <c r="AA493" s="102">
        <f t="shared" si="645"/>
        <v>10214452.98</v>
      </c>
      <c r="AB493" s="102">
        <f t="shared" si="645"/>
        <v>10418742.04</v>
      </c>
      <c r="AC493" s="102">
        <f t="shared" si="645"/>
        <v>15586438.1</v>
      </c>
      <c r="AD493" s="102">
        <f t="shared" si="645"/>
        <v>19270505.28</v>
      </c>
      <c r="AE493" s="102">
        <f t="shared" si="645"/>
        <v>34889249.82</v>
      </c>
      <c r="AF493" s="102">
        <f t="shared" si="645"/>
        <v>48368293.8</v>
      </c>
      <c r="AG493" s="102">
        <f t="shared" si="645"/>
        <v>61861293.48</v>
      </c>
      <c r="AH493" s="102">
        <f t="shared" si="645"/>
        <v>71181387.53</v>
      </c>
      <c r="AI493" s="102">
        <f t="shared" si="645"/>
        <v>86168589.56</v>
      </c>
      <c r="AJ493" s="102">
        <f t="shared" si="645"/>
        <v>94945019.98</v>
      </c>
      <c r="AK493" s="102">
        <f t="shared" si="645"/>
        <v>95460435.8</v>
      </c>
      <c r="AL493" s="102">
        <f t="shared" si="645"/>
        <v>76766792.2</v>
      </c>
      <c r="AM493" s="102">
        <f t="shared" ref="AM493:AV493" si="646">$D493*AM14*AM$112</f>
        <v>9499890.535</v>
      </c>
      <c r="AN493" s="102">
        <f t="shared" si="646"/>
        <v>0</v>
      </c>
      <c r="AO493" s="102">
        <f t="shared" si="646"/>
        <v>0</v>
      </c>
      <c r="AP493" s="102">
        <f t="shared" si="646"/>
        <v>0</v>
      </c>
      <c r="AQ493" s="102">
        <f t="shared" si="646"/>
        <v>0</v>
      </c>
      <c r="AR493" s="102">
        <f t="shared" si="646"/>
        <v>0</v>
      </c>
      <c r="AS493" s="102">
        <f t="shared" si="646"/>
        <v>0</v>
      </c>
      <c r="AT493" s="102">
        <f t="shared" si="646"/>
        <v>0</v>
      </c>
      <c r="AU493" s="102">
        <f t="shared" si="646"/>
        <v>0</v>
      </c>
      <c r="AV493" s="102">
        <f t="shared" si="646"/>
        <v>0</v>
      </c>
      <c r="AW493" s="90"/>
      <c r="AX493" s="90"/>
      <c r="AY493" s="90"/>
      <c r="AZ493" s="90"/>
      <c r="BA493" s="90"/>
      <c r="BB493" s="90"/>
      <c r="BC493" s="90"/>
      <c r="BD493" s="90"/>
      <c r="BE493" s="90"/>
      <c r="BF493" s="90"/>
      <c r="BG493" s="90"/>
      <c r="BH493" s="90"/>
      <c r="BI493" s="90"/>
      <c r="BJ493" s="90"/>
      <c r="BK493" s="90"/>
      <c r="BL493" s="90"/>
      <c r="BM493" s="90"/>
      <c r="BN493" s="90"/>
      <c r="BO493" s="90"/>
      <c r="BP493" s="90"/>
    </row>
    <row r="494" ht="12.75" customHeight="1" outlineLevel="1">
      <c r="A494" s="90" t="s">
        <v>295</v>
      </c>
      <c r="C494" s="102">
        <f>'RSGen 1-7'!P480</f>
        <v>169537.7921</v>
      </c>
      <c r="D494" s="102">
        <f>OFFSET(RSGen_Walton!$H$480,0,ROW(C494)-ROW($C$486))</f>
        <v>171905.7097</v>
      </c>
      <c r="E494" s="102">
        <f>OFFSET(RSGen_none!$H$480,0,ROW(D494)-ROW($C$486))</f>
        <v>171905.7097</v>
      </c>
      <c r="F494" s="102"/>
      <c r="G494" s="102"/>
      <c r="H494" s="313"/>
      <c r="I494" s="313"/>
      <c r="J494" s="313"/>
      <c r="K494" s="306"/>
      <c r="L494" s="306"/>
      <c r="M494" s="306"/>
      <c r="N494" s="306"/>
      <c r="O494" s="306"/>
      <c r="P494" s="306"/>
      <c r="Q494" s="306"/>
      <c r="R494" s="306"/>
      <c r="S494" s="306"/>
      <c r="T494" s="306"/>
      <c r="U494" s="102">
        <f t="shared" ref="U494:AL494" si="647">U112*(($C494*MIN($D$4-3,U15-3)+$D494*MIN($E$4-$D$4,MAX(0,U15-$D$4))+$E494*MAX(0,U15-$E$4)))</f>
        <v>397281.0892</v>
      </c>
      <c r="V494" s="102">
        <f t="shared" si="647"/>
        <v>1015896.658</v>
      </c>
      <c r="W494" s="102">
        <f t="shared" si="647"/>
        <v>2083975.096</v>
      </c>
      <c r="X494" s="102">
        <f t="shared" si="647"/>
        <v>3835599.741</v>
      </c>
      <c r="Y494" s="102">
        <f t="shared" si="647"/>
        <v>6746545.81</v>
      </c>
      <c r="Z494" s="102">
        <f t="shared" si="647"/>
        <v>11773800.77</v>
      </c>
      <c r="AA494" s="102">
        <f t="shared" si="647"/>
        <v>19721358.52</v>
      </c>
      <c r="AB494" s="102">
        <f t="shared" si="647"/>
        <v>30527096.02</v>
      </c>
      <c r="AC494" s="102">
        <f t="shared" si="647"/>
        <v>41757174.48</v>
      </c>
      <c r="AD494" s="102">
        <f t="shared" si="647"/>
        <v>58479144.63</v>
      </c>
      <c r="AE494" s="102">
        <f t="shared" si="647"/>
        <v>79290622.31</v>
      </c>
      <c r="AF494" s="102">
        <f t="shared" si="647"/>
        <v>116438085.3</v>
      </c>
      <c r="AG494" s="102">
        <f t="shared" si="647"/>
        <v>168067315.4</v>
      </c>
      <c r="AH494" s="102">
        <f t="shared" si="647"/>
        <v>234482172.7</v>
      </c>
      <c r="AI494" s="102">
        <f t="shared" si="647"/>
        <v>311725042.2</v>
      </c>
      <c r="AJ494" s="102">
        <f t="shared" si="647"/>
        <v>405788810.8</v>
      </c>
      <c r="AK494" s="102">
        <f t="shared" si="647"/>
        <v>510679428.4</v>
      </c>
      <c r="AL494" s="102">
        <f t="shared" si="647"/>
        <v>618193207.5</v>
      </c>
      <c r="AM494" s="102">
        <f t="shared" ref="AM494:AV494" si="648">$C494*4*AM$112+$D494*(AM15-7)*AM$112</f>
        <v>708803346.6</v>
      </c>
      <c r="AN494" s="102">
        <f t="shared" si="648"/>
        <v>732662390.1</v>
      </c>
      <c r="AO494" s="102">
        <f t="shared" si="648"/>
        <v>747315637.9</v>
      </c>
      <c r="AP494" s="102">
        <f t="shared" si="648"/>
        <v>762261950.7</v>
      </c>
      <c r="AQ494" s="102">
        <f t="shared" si="648"/>
        <v>777507189.7</v>
      </c>
      <c r="AR494" s="102">
        <f t="shared" si="648"/>
        <v>793057333.5</v>
      </c>
      <c r="AS494" s="102">
        <f t="shared" si="648"/>
        <v>808918480.1</v>
      </c>
      <c r="AT494" s="102">
        <f t="shared" si="648"/>
        <v>825096849.7</v>
      </c>
      <c r="AU494" s="102">
        <f t="shared" si="648"/>
        <v>841598786.7</v>
      </c>
      <c r="AV494" s="102">
        <f t="shared" si="648"/>
        <v>858430762.5</v>
      </c>
      <c r="AW494" s="90"/>
      <c r="AX494" s="90"/>
      <c r="AY494" s="90"/>
      <c r="AZ494" s="90"/>
      <c r="BA494" s="90"/>
      <c r="BB494" s="90"/>
      <c r="BC494" s="90"/>
      <c r="BD494" s="90"/>
      <c r="BE494" s="90"/>
      <c r="BF494" s="90"/>
      <c r="BG494" s="90"/>
      <c r="BH494" s="90"/>
      <c r="BI494" s="90"/>
      <c r="BJ494" s="90"/>
      <c r="BK494" s="90"/>
      <c r="BL494" s="90"/>
      <c r="BM494" s="90"/>
      <c r="BN494" s="90"/>
      <c r="BO494" s="90"/>
      <c r="BP494" s="90"/>
    </row>
    <row r="495" ht="13.5" customHeight="1" outlineLevel="1">
      <c r="A495" s="143" t="str">
        <f>"Total "&amp;A485</f>
        <v>Total Payables</v>
      </c>
      <c r="B495" s="143"/>
      <c r="C495" s="309"/>
      <c r="D495" s="309"/>
      <c r="E495" s="309"/>
      <c r="F495" s="309"/>
      <c r="G495" s="309"/>
      <c r="H495" s="314"/>
      <c r="I495" s="314"/>
      <c r="J495" s="314"/>
      <c r="K495" s="311"/>
      <c r="L495" s="311"/>
      <c r="M495" s="307">
        <f t="shared" ref="M495:AV495" si="649">SUM(M486:M494)</f>
        <v>17710.06004</v>
      </c>
      <c r="N495" s="307">
        <f t="shared" si="649"/>
        <v>351314.602</v>
      </c>
      <c r="O495" s="307">
        <f t="shared" si="649"/>
        <v>882942.8997</v>
      </c>
      <c r="P495" s="307">
        <f t="shared" si="649"/>
        <v>1802527.483</v>
      </c>
      <c r="Q495" s="307">
        <f t="shared" si="649"/>
        <v>3321620.862</v>
      </c>
      <c r="R495" s="307">
        <f t="shared" si="649"/>
        <v>5854671.321</v>
      </c>
      <c r="S495" s="307">
        <f t="shared" si="649"/>
        <v>10188282.6</v>
      </c>
      <c r="T495" s="309">
        <f t="shared" si="649"/>
        <v>16934543.84</v>
      </c>
      <c r="U495" s="309">
        <f t="shared" si="649"/>
        <v>25617688.62</v>
      </c>
      <c r="V495" s="309">
        <f t="shared" si="649"/>
        <v>35384963.96</v>
      </c>
      <c r="W495" s="309">
        <f t="shared" si="649"/>
        <v>49446773.67</v>
      </c>
      <c r="X495" s="309">
        <f t="shared" si="649"/>
        <v>67565258.28</v>
      </c>
      <c r="Y495" s="309">
        <f t="shared" si="649"/>
        <v>98346488.73</v>
      </c>
      <c r="Z495" s="309">
        <f t="shared" si="649"/>
        <v>141655289.5</v>
      </c>
      <c r="AA495" s="309">
        <f t="shared" si="649"/>
        <v>197818473.6</v>
      </c>
      <c r="AB495" s="309">
        <f t="shared" si="649"/>
        <v>264203151.2</v>
      </c>
      <c r="AC495" s="309">
        <f t="shared" si="649"/>
        <v>344405953.5</v>
      </c>
      <c r="AD495" s="309">
        <f t="shared" si="649"/>
        <v>434325870</v>
      </c>
      <c r="AE495" s="309">
        <f t="shared" si="649"/>
        <v>527061447.6</v>
      </c>
      <c r="AF495" s="309">
        <f t="shared" si="649"/>
        <v>605884869.8</v>
      </c>
      <c r="AG495" s="309">
        <f t="shared" si="649"/>
        <v>635654466.6</v>
      </c>
      <c r="AH495" s="309">
        <f t="shared" si="649"/>
        <v>651601689.1</v>
      </c>
      <c r="AI495" s="309">
        <f t="shared" si="649"/>
        <v>664405521</v>
      </c>
      <c r="AJ495" s="309">
        <f t="shared" si="649"/>
        <v>677308983.2</v>
      </c>
      <c r="AK495" s="309">
        <f t="shared" si="649"/>
        <v>690604842</v>
      </c>
      <c r="AL495" s="309">
        <f t="shared" si="649"/>
        <v>704280264.7</v>
      </c>
      <c r="AM495" s="309">
        <f t="shared" si="649"/>
        <v>718303237.2</v>
      </c>
      <c r="AN495" s="309">
        <f t="shared" si="649"/>
        <v>732662390.1</v>
      </c>
      <c r="AO495" s="309">
        <f t="shared" si="649"/>
        <v>747315637.9</v>
      </c>
      <c r="AP495" s="309" t="str">
        <f t="shared" si="649"/>
        <v>#REF!</v>
      </c>
      <c r="AQ495" s="309" t="str">
        <f t="shared" si="649"/>
        <v>#REF!</v>
      </c>
      <c r="AR495" s="309" t="str">
        <f t="shared" si="649"/>
        <v>#REF!</v>
      </c>
      <c r="AS495" s="309" t="str">
        <f t="shared" si="649"/>
        <v>#REF!</v>
      </c>
      <c r="AT495" s="309" t="str">
        <f t="shared" si="649"/>
        <v>#REF!</v>
      </c>
      <c r="AU495" s="309" t="str">
        <f t="shared" si="649"/>
        <v>#REF!</v>
      </c>
      <c r="AV495" s="309" t="str">
        <f t="shared" si="649"/>
        <v>#REF!</v>
      </c>
      <c r="AW495" s="90"/>
      <c r="AX495" s="90"/>
      <c r="AY495" s="90"/>
      <c r="AZ495" s="90"/>
      <c r="BA495" s="90"/>
      <c r="BB495" s="90"/>
      <c r="BC495" s="90"/>
      <c r="BD495" s="90"/>
      <c r="BE495" s="90"/>
      <c r="BF495" s="90"/>
      <c r="BG495" s="90"/>
      <c r="BH495" s="90"/>
      <c r="BI495" s="90"/>
      <c r="BJ495" s="90"/>
      <c r="BK495" s="90"/>
      <c r="BL495" s="90"/>
      <c r="BM495" s="90"/>
      <c r="BN495" s="90"/>
      <c r="BO495" s="90"/>
      <c r="BP495" s="90"/>
    </row>
    <row r="496" ht="12.75" customHeight="1">
      <c r="A496" s="90"/>
      <c r="K496" s="102"/>
      <c r="L496" s="102"/>
      <c r="M496" s="102"/>
      <c r="N496" s="102"/>
      <c r="O496" s="102"/>
      <c r="P496" s="102"/>
      <c r="Q496" s="102"/>
      <c r="R496" s="102"/>
      <c r="S496" s="102"/>
      <c r="T496" s="102"/>
      <c r="U496" s="102"/>
      <c r="V496" s="102"/>
      <c r="W496" s="102"/>
      <c r="X496" s="102"/>
      <c r="Y496" s="102"/>
      <c r="Z496" s="102"/>
      <c r="AA496" s="102"/>
      <c r="AB496" s="102"/>
      <c r="AC496" s="102"/>
      <c r="AD496" s="102"/>
      <c r="AE496" s="102"/>
      <c r="AF496" s="102"/>
      <c r="AG496" s="102"/>
      <c r="AH496" s="102"/>
      <c r="AI496" s="102"/>
      <c r="AJ496" s="102"/>
      <c r="AK496" s="102"/>
      <c r="AL496" s="102"/>
      <c r="AM496" s="102"/>
      <c r="AN496" s="102"/>
      <c r="AO496" s="102"/>
      <c r="AP496" s="102"/>
      <c r="AQ496" s="102"/>
      <c r="AR496" s="102"/>
      <c r="AS496" s="102"/>
      <c r="AT496" s="102"/>
      <c r="AU496" s="102"/>
      <c r="AV496" s="102"/>
      <c r="AW496" s="90"/>
      <c r="AX496" s="90"/>
      <c r="AY496" s="90"/>
      <c r="AZ496" s="90"/>
      <c r="BA496" s="90"/>
      <c r="BB496" s="90"/>
      <c r="BC496" s="90"/>
      <c r="BD496" s="90"/>
      <c r="BE496" s="90"/>
      <c r="BF496" s="90"/>
      <c r="BG496" s="90"/>
      <c r="BH496" s="90"/>
      <c r="BI496" s="90"/>
      <c r="BJ496" s="90"/>
      <c r="BK496" s="90"/>
      <c r="BL496" s="90"/>
      <c r="BM496" s="90"/>
      <c r="BN496" s="90"/>
      <c r="BO496" s="90"/>
      <c r="BP496" s="90"/>
    </row>
    <row r="497" ht="12.75" customHeight="1">
      <c r="A497" s="90"/>
      <c r="K497" s="102"/>
      <c r="L497" s="102"/>
      <c r="M497" s="102"/>
      <c r="N497" s="102"/>
      <c r="O497" s="102"/>
      <c r="P497" s="102"/>
      <c r="Q497" s="102"/>
      <c r="R497" s="102"/>
      <c r="S497" s="102"/>
      <c r="T497" s="102"/>
      <c r="U497" s="102"/>
      <c r="V497" s="102"/>
      <c r="W497" s="102"/>
      <c r="X497" s="102"/>
      <c r="Y497" s="102"/>
      <c r="Z497" s="102"/>
      <c r="AA497" s="102"/>
      <c r="AB497" s="102"/>
      <c r="AC497" s="102"/>
      <c r="AD497" s="102"/>
      <c r="AE497" s="102"/>
      <c r="AF497" s="102"/>
      <c r="AG497" s="102"/>
      <c r="AH497" s="102"/>
      <c r="AI497" s="102"/>
      <c r="AJ497" s="102"/>
      <c r="AK497" s="102"/>
      <c r="AL497" s="102"/>
      <c r="AM497" s="102"/>
      <c r="AN497" s="102"/>
      <c r="AO497" s="102"/>
      <c r="AP497" s="102"/>
      <c r="AQ497" s="102"/>
      <c r="AR497" s="102"/>
      <c r="AS497" s="102"/>
      <c r="AT497" s="102"/>
      <c r="AU497" s="102"/>
      <c r="AV497" s="102"/>
      <c r="AW497" s="90"/>
      <c r="AX497" s="90"/>
      <c r="AY497" s="90"/>
      <c r="AZ497" s="90"/>
      <c r="BA497" s="90"/>
      <c r="BB497" s="90"/>
      <c r="BC497" s="90"/>
      <c r="BD497" s="90"/>
      <c r="BE497" s="90"/>
      <c r="BF497" s="90"/>
      <c r="BG497" s="90"/>
      <c r="BH497" s="90"/>
      <c r="BI497" s="90"/>
      <c r="BJ497" s="90"/>
      <c r="BK497" s="90"/>
      <c r="BL497" s="90"/>
      <c r="BM497" s="90"/>
      <c r="BN497" s="90"/>
      <c r="BO497" s="90"/>
      <c r="BP497" s="90"/>
    </row>
    <row r="498" ht="12.75" customHeight="1">
      <c r="A498" s="90"/>
      <c r="K498" s="102"/>
      <c r="L498" s="102"/>
      <c r="M498" s="102"/>
      <c r="N498" s="102"/>
      <c r="O498" s="102"/>
      <c r="P498" s="102"/>
      <c r="Q498" s="102"/>
      <c r="R498" s="102"/>
      <c r="S498" s="102"/>
      <c r="T498" s="102"/>
      <c r="U498" s="102"/>
      <c r="V498" s="102"/>
      <c r="W498" s="102"/>
      <c r="X498" s="102"/>
      <c r="Y498" s="102"/>
      <c r="Z498" s="102"/>
      <c r="AA498" s="102"/>
      <c r="AB498" s="102"/>
      <c r="AC498" s="102"/>
      <c r="AD498" s="102"/>
      <c r="AE498" s="102"/>
      <c r="AF498" s="102"/>
      <c r="AG498" s="102"/>
      <c r="AH498" s="102"/>
      <c r="AI498" s="102"/>
      <c r="AJ498" s="102"/>
      <c r="AK498" s="102"/>
      <c r="AL498" s="102"/>
      <c r="AM498" s="102"/>
      <c r="AN498" s="102"/>
      <c r="AO498" s="102"/>
      <c r="AP498" s="102"/>
      <c r="AQ498" s="102"/>
      <c r="AR498" s="102"/>
      <c r="AS498" s="102"/>
      <c r="AT498" s="102"/>
      <c r="AU498" s="102"/>
      <c r="AV498" s="102"/>
      <c r="AW498" s="90"/>
      <c r="AX498" s="90"/>
      <c r="AY498" s="90"/>
      <c r="AZ498" s="90"/>
      <c r="BA498" s="90"/>
      <c r="BB498" s="90"/>
      <c r="BC498" s="90"/>
      <c r="BD498" s="90"/>
      <c r="BE498" s="90"/>
      <c r="BF498" s="90"/>
      <c r="BG498" s="90"/>
      <c r="BH498" s="90"/>
      <c r="BI498" s="90"/>
      <c r="BJ498" s="90"/>
      <c r="BK498" s="90"/>
      <c r="BL498" s="90"/>
      <c r="BM498" s="90"/>
      <c r="BN498" s="90"/>
      <c r="BO498" s="90"/>
      <c r="BP498" s="90"/>
    </row>
    <row r="499" ht="12.75" customHeight="1">
      <c r="A499" s="90"/>
      <c r="K499" s="102"/>
      <c r="L499" s="102"/>
      <c r="M499" s="102"/>
      <c r="N499" s="102"/>
      <c r="O499" s="102"/>
      <c r="P499" s="102"/>
      <c r="Q499" s="102"/>
      <c r="R499" s="102"/>
      <c r="S499" s="102"/>
      <c r="T499" s="102"/>
      <c r="U499" s="102"/>
      <c r="V499" s="102"/>
      <c r="W499" s="102"/>
      <c r="X499" s="102"/>
      <c r="Y499" s="102"/>
      <c r="Z499" s="102"/>
      <c r="AA499" s="102"/>
      <c r="AB499" s="102"/>
      <c r="AC499" s="102"/>
      <c r="AD499" s="102"/>
      <c r="AE499" s="102"/>
      <c r="AF499" s="102"/>
      <c r="AG499" s="102"/>
      <c r="AH499" s="102"/>
      <c r="AI499" s="102"/>
      <c r="AJ499" s="102"/>
      <c r="AK499" s="102"/>
      <c r="AL499" s="102"/>
      <c r="AM499" s="102"/>
      <c r="AN499" s="102"/>
      <c r="AO499" s="102"/>
      <c r="AP499" s="102"/>
      <c r="AQ499" s="102"/>
      <c r="AR499" s="102"/>
      <c r="AS499" s="102"/>
      <c r="AT499" s="102"/>
      <c r="AU499" s="102"/>
      <c r="AV499" s="102"/>
      <c r="AW499" s="90"/>
      <c r="AX499" s="90"/>
      <c r="AY499" s="90"/>
      <c r="AZ499" s="90"/>
      <c r="BA499" s="90"/>
      <c r="BB499" s="90"/>
      <c r="BC499" s="90"/>
      <c r="BD499" s="90"/>
      <c r="BE499" s="90"/>
      <c r="BF499" s="90"/>
      <c r="BG499" s="90"/>
      <c r="BH499" s="90"/>
      <c r="BI499" s="90"/>
      <c r="BJ499" s="90"/>
      <c r="BK499" s="90"/>
      <c r="BL499" s="90"/>
      <c r="BM499" s="90"/>
      <c r="BN499" s="90"/>
      <c r="BO499" s="90"/>
      <c r="BP499" s="90"/>
    </row>
    <row r="500" ht="12.75" customHeight="1">
      <c r="A500" s="90"/>
      <c r="K500" s="102"/>
      <c r="L500" s="102"/>
      <c r="M500" s="102"/>
      <c r="N500" s="102"/>
      <c r="O500" s="102"/>
      <c r="P500" s="102"/>
      <c r="Q500" s="102"/>
      <c r="R500" s="102"/>
      <c r="S500" s="102"/>
      <c r="T500" s="102"/>
      <c r="U500" s="102"/>
      <c r="V500" s="102"/>
      <c r="W500" s="102"/>
      <c r="X500" s="102"/>
      <c r="Y500" s="102"/>
      <c r="Z500" s="102"/>
      <c r="AA500" s="102"/>
      <c r="AB500" s="102"/>
      <c r="AC500" s="102"/>
      <c r="AD500" s="102"/>
      <c r="AE500" s="102"/>
      <c r="AF500" s="102"/>
      <c r="AG500" s="102"/>
      <c r="AH500" s="102"/>
      <c r="AI500" s="102"/>
      <c r="AJ500" s="102"/>
      <c r="AK500" s="102"/>
      <c r="AL500" s="102"/>
      <c r="AM500" s="102"/>
      <c r="AN500" s="102"/>
      <c r="AO500" s="102"/>
      <c r="AP500" s="102"/>
      <c r="AQ500" s="102"/>
      <c r="AR500" s="102"/>
      <c r="AS500" s="102"/>
      <c r="AT500" s="102"/>
      <c r="AU500" s="102"/>
      <c r="AV500" s="102"/>
      <c r="AW500" s="90"/>
      <c r="AX500" s="90"/>
      <c r="AY500" s="90"/>
      <c r="AZ500" s="90"/>
      <c r="BA500" s="90"/>
      <c r="BB500" s="90"/>
      <c r="BC500" s="90"/>
      <c r="BD500" s="90"/>
      <c r="BE500" s="90"/>
      <c r="BF500" s="90"/>
      <c r="BG500" s="90"/>
      <c r="BH500" s="90"/>
      <c r="BI500" s="90"/>
      <c r="BJ500" s="90"/>
      <c r="BK500" s="90"/>
      <c r="BL500" s="90"/>
      <c r="BM500" s="90"/>
      <c r="BN500" s="90"/>
      <c r="BO500" s="90"/>
      <c r="BP500" s="90"/>
    </row>
    <row r="501" ht="12.75" customHeight="1">
      <c r="A501" s="90"/>
      <c r="K501" s="102"/>
      <c r="L501" s="102"/>
      <c r="M501" s="102"/>
      <c r="N501" s="102"/>
      <c r="O501" s="102"/>
      <c r="P501" s="102"/>
      <c r="Q501" s="102"/>
      <c r="R501" s="102"/>
      <c r="S501" s="102"/>
      <c r="T501" s="102"/>
      <c r="U501" s="102"/>
      <c r="V501" s="102"/>
      <c r="W501" s="102"/>
      <c r="X501" s="102"/>
      <c r="Y501" s="102"/>
      <c r="Z501" s="102"/>
      <c r="AA501" s="102"/>
      <c r="AB501" s="102"/>
      <c r="AC501" s="102"/>
      <c r="AD501" s="102"/>
      <c r="AE501" s="102"/>
      <c r="AF501" s="102"/>
      <c r="AG501" s="102"/>
      <c r="AH501" s="102"/>
      <c r="AI501" s="102"/>
      <c r="AJ501" s="102"/>
      <c r="AK501" s="102"/>
      <c r="AL501" s="102"/>
      <c r="AM501" s="102"/>
      <c r="AN501" s="102"/>
      <c r="AO501" s="102"/>
      <c r="AP501" s="102"/>
      <c r="AQ501" s="102"/>
      <c r="AR501" s="102"/>
      <c r="AS501" s="102"/>
      <c r="AT501" s="102"/>
      <c r="AU501" s="102"/>
      <c r="AV501" s="102"/>
      <c r="AW501" s="90"/>
      <c r="AX501" s="90"/>
      <c r="AY501" s="90"/>
      <c r="AZ501" s="90"/>
      <c r="BA501" s="90"/>
      <c r="BB501" s="90"/>
      <c r="BC501" s="90"/>
      <c r="BD501" s="90"/>
      <c r="BE501" s="90"/>
      <c r="BF501" s="90"/>
      <c r="BG501" s="90"/>
      <c r="BH501" s="90"/>
      <c r="BI501" s="90"/>
      <c r="BJ501" s="90"/>
      <c r="BK501" s="90"/>
      <c r="BL501" s="90"/>
      <c r="BM501" s="90"/>
      <c r="BN501" s="90"/>
      <c r="BO501" s="90"/>
      <c r="BP501" s="90"/>
    </row>
    <row r="502" ht="12.75" customHeight="1">
      <c r="A502" s="90"/>
      <c r="K502" s="102"/>
      <c r="L502" s="102"/>
      <c r="M502" s="102"/>
      <c r="N502" s="102"/>
      <c r="O502" s="102"/>
      <c r="P502" s="102"/>
      <c r="Q502" s="102"/>
      <c r="R502" s="102"/>
      <c r="S502" s="102"/>
      <c r="T502" s="102"/>
      <c r="U502" s="102"/>
      <c r="V502" s="102"/>
      <c r="W502" s="102"/>
      <c r="X502" s="102"/>
      <c r="Y502" s="102"/>
      <c r="Z502" s="102"/>
      <c r="AA502" s="102"/>
      <c r="AB502" s="102"/>
      <c r="AC502" s="102"/>
      <c r="AD502" s="102"/>
      <c r="AE502" s="102"/>
      <c r="AF502" s="102"/>
      <c r="AG502" s="102"/>
      <c r="AH502" s="102"/>
      <c r="AI502" s="102"/>
      <c r="AJ502" s="102"/>
      <c r="AK502" s="102"/>
      <c r="AL502" s="102"/>
      <c r="AM502" s="102"/>
      <c r="AN502" s="102"/>
      <c r="AO502" s="102"/>
      <c r="AP502" s="102"/>
      <c r="AQ502" s="102"/>
      <c r="AR502" s="102"/>
      <c r="AS502" s="102"/>
      <c r="AT502" s="102"/>
      <c r="AU502" s="102"/>
      <c r="AV502" s="102"/>
      <c r="AW502" s="90"/>
      <c r="AX502" s="90"/>
      <c r="AY502" s="90"/>
      <c r="AZ502" s="90"/>
      <c r="BA502" s="90"/>
      <c r="BB502" s="90"/>
      <c r="BC502" s="90"/>
      <c r="BD502" s="90"/>
      <c r="BE502" s="90"/>
      <c r="BF502" s="90"/>
      <c r="BG502" s="90"/>
      <c r="BH502" s="90"/>
      <c r="BI502" s="90"/>
      <c r="BJ502" s="90"/>
      <c r="BK502" s="90"/>
      <c r="BL502" s="90"/>
      <c r="BM502" s="90"/>
      <c r="BN502" s="90"/>
      <c r="BO502" s="90"/>
      <c r="BP502" s="90"/>
    </row>
    <row r="503" ht="12.75" customHeight="1">
      <c r="A503" s="90"/>
      <c r="K503" s="102"/>
      <c r="L503" s="102"/>
      <c r="M503" s="102"/>
      <c r="N503" s="102"/>
      <c r="O503" s="102"/>
      <c r="P503" s="102"/>
      <c r="Q503" s="102"/>
      <c r="R503" s="102"/>
      <c r="S503" s="102"/>
      <c r="T503" s="102"/>
      <c r="U503" s="102"/>
      <c r="V503" s="102"/>
      <c r="W503" s="102"/>
      <c r="X503" s="102"/>
      <c r="Y503" s="102"/>
      <c r="Z503" s="102"/>
      <c r="AA503" s="102"/>
      <c r="AB503" s="102"/>
      <c r="AC503" s="102"/>
      <c r="AD503" s="102"/>
      <c r="AE503" s="102"/>
      <c r="AF503" s="102"/>
      <c r="AG503" s="102"/>
      <c r="AH503" s="102"/>
      <c r="AI503" s="102"/>
      <c r="AJ503" s="102"/>
      <c r="AK503" s="102"/>
      <c r="AL503" s="102"/>
      <c r="AM503" s="102"/>
      <c r="AN503" s="102"/>
      <c r="AO503" s="102"/>
      <c r="AP503" s="102"/>
      <c r="AQ503" s="102"/>
      <c r="AR503" s="102"/>
      <c r="AS503" s="102"/>
      <c r="AT503" s="102"/>
      <c r="AU503" s="102"/>
      <c r="AV503" s="102"/>
      <c r="AW503" s="90"/>
      <c r="AX503" s="90"/>
      <c r="AY503" s="90"/>
      <c r="AZ503" s="90"/>
      <c r="BA503" s="90"/>
      <c r="BB503" s="90"/>
      <c r="BC503" s="90"/>
      <c r="BD503" s="90"/>
      <c r="BE503" s="90"/>
      <c r="BF503" s="90"/>
      <c r="BG503" s="90"/>
      <c r="BH503" s="90"/>
      <c r="BI503" s="90"/>
      <c r="BJ503" s="90"/>
      <c r="BK503" s="90"/>
      <c r="BL503" s="90"/>
      <c r="BM503" s="90"/>
      <c r="BN503" s="90"/>
      <c r="BO503" s="90"/>
      <c r="BP503" s="90"/>
    </row>
    <row r="504" ht="12.75" customHeight="1">
      <c r="A504" s="90"/>
      <c r="K504" s="102"/>
      <c r="L504" s="102"/>
      <c r="M504" s="102"/>
      <c r="N504" s="102"/>
      <c r="O504" s="102"/>
      <c r="P504" s="102"/>
      <c r="Q504" s="102"/>
      <c r="R504" s="102"/>
      <c r="S504" s="102"/>
      <c r="T504" s="102"/>
      <c r="U504" s="102"/>
      <c r="V504" s="102"/>
      <c r="W504" s="102"/>
      <c r="X504" s="102"/>
      <c r="Y504" s="102"/>
      <c r="Z504" s="102"/>
      <c r="AA504" s="102"/>
      <c r="AB504" s="102"/>
      <c r="AC504" s="102"/>
      <c r="AD504" s="102"/>
      <c r="AE504" s="102"/>
      <c r="AF504" s="102"/>
      <c r="AG504" s="102"/>
      <c r="AH504" s="102"/>
      <c r="AI504" s="102"/>
      <c r="AJ504" s="102"/>
      <c r="AK504" s="102"/>
      <c r="AL504" s="102"/>
      <c r="AM504" s="102"/>
      <c r="AN504" s="102"/>
      <c r="AO504" s="102"/>
      <c r="AP504" s="102"/>
      <c r="AQ504" s="102"/>
      <c r="AR504" s="102"/>
      <c r="AS504" s="102"/>
      <c r="AT504" s="102"/>
      <c r="AU504" s="102"/>
      <c r="AV504" s="102"/>
      <c r="AW504" s="90"/>
      <c r="AX504" s="90"/>
      <c r="AY504" s="90"/>
      <c r="AZ504" s="90"/>
      <c r="BA504" s="90"/>
      <c r="BB504" s="90"/>
      <c r="BC504" s="90"/>
      <c r="BD504" s="90"/>
      <c r="BE504" s="90"/>
      <c r="BF504" s="90"/>
      <c r="BG504" s="90"/>
      <c r="BH504" s="90"/>
      <c r="BI504" s="90"/>
      <c r="BJ504" s="90"/>
      <c r="BK504" s="90"/>
      <c r="BL504" s="90"/>
      <c r="BM504" s="90"/>
      <c r="BN504" s="90"/>
      <c r="BO504" s="90"/>
      <c r="BP504" s="90"/>
    </row>
    <row r="505" ht="12.75" customHeight="1">
      <c r="A505" s="90"/>
      <c r="K505" s="102"/>
      <c r="L505" s="102"/>
      <c r="M505" s="102"/>
      <c r="N505" s="102"/>
      <c r="O505" s="102"/>
      <c r="P505" s="102"/>
      <c r="Q505" s="102"/>
      <c r="R505" s="102"/>
      <c r="S505" s="102"/>
      <c r="T505" s="102"/>
      <c r="U505" s="102"/>
      <c r="V505" s="102"/>
      <c r="W505" s="102"/>
      <c r="X505" s="102"/>
      <c r="Y505" s="102"/>
      <c r="Z505" s="102"/>
      <c r="AA505" s="102"/>
      <c r="AB505" s="102"/>
      <c r="AC505" s="102"/>
      <c r="AD505" s="102"/>
      <c r="AE505" s="102"/>
      <c r="AF505" s="102"/>
      <c r="AG505" s="102"/>
      <c r="AH505" s="102"/>
      <c r="AI505" s="102"/>
      <c r="AJ505" s="102"/>
      <c r="AK505" s="102"/>
      <c r="AL505" s="102"/>
      <c r="AM505" s="102"/>
      <c r="AN505" s="102"/>
      <c r="AO505" s="102"/>
      <c r="AP505" s="102"/>
      <c r="AQ505" s="102"/>
      <c r="AR505" s="102"/>
      <c r="AS505" s="102"/>
      <c r="AT505" s="102"/>
      <c r="AU505" s="102"/>
      <c r="AV505" s="102"/>
      <c r="AW505" s="90"/>
      <c r="AX505" s="90"/>
      <c r="AY505" s="90"/>
      <c r="AZ505" s="90"/>
      <c r="BA505" s="90"/>
      <c r="BB505" s="90"/>
      <c r="BC505" s="90"/>
      <c r="BD505" s="90"/>
      <c r="BE505" s="90"/>
      <c r="BF505" s="90"/>
      <c r="BG505" s="90"/>
      <c r="BH505" s="90"/>
      <c r="BI505" s="90"/>
      <c r="BJ505" s="90"/>
      <c r="BK505" s="90"/>
      <c r="BL505" s="90"/>
      <c r="BM505" s="90"/>
      <c r="BN505" s="90"/>
      <c r="BO505" s="90"/>
      <c r="BP505" s="90"/>
    </row>
    <row r="506" ht="12.75" customHeight="1">
      <c r="A506" s="90"/>
      <c r="K506" s="102"/>
      <c r="L506" s="102"/>
      <c r="M506" s="102"/>
      <c r="N506" s="102"/>
      <c r="O506" s="102"/>
      <c r="P506" s="102"/>
      <c r="Q506" s="102"/>
      <c r="R506" s="102"/>
      <c r="S506" s="102"/>
      <c r="T506" s="102"/>
      <c r="U506" s="102"/>
      <c r="V506" s="102"/>
      <c r="W506" s="102"/>
      <c r="X506" s="102"/>
      <c r="Y506" s="102"/>
      <c r="Z506" s="102"/>
      <c r="AA506" s="102"/>
      <c r="AB506" s="102"/>
      <c r="AC506" s="102"/>
      <c r="AD506" s="102"/>
      <c r="AE506" s="102"/>
      <c r="AF506" s="102"/>
      <c r="AG506" s="102"/>
      <c r="AH506" s="102"/>
      <c r="AI506" s="102"/>
      <c r="AJ506" s="102"/>
      <c r="AK506" s="102"/>
      <c r="AL506" s="102"/>
      <c r="AM506" s="102"/>
      <c r="AN506" s="102"/>
      <c r="AO506" s="102"/>
      <c r="AP506" s="102"/>
      <c r="AQ506" s="102"/>
      <c r="AR506" s="102"/>
      <c r="AS506" s="102"/>
      <c r="AT506" s="102"/>
      <c r="AU506" s="102"/>
      <c r="AV506" s="102"/>
      <c r="AW506" s="90"/>
      <c r="AX506" s="90"/>
      <c r="AY506" s="90"/>
      <c r="AZ506" s="90"/>
      <c r="BA506" s="90"/>
      <c r="BB506" s="90"/>
      <c r="BC506" s="90"/>
      <c r="BD506" s="90"/>
      <c r="BE506" s="90"/>
      <c r="BF506" s="90"/>
      <c r="BG506" s="90"/>
      <c r="BH506" s="90"/>
      <c r="BI506" s="90"/>
      <c r="BJ506" s="90"/>
      <c r="BK506" s="90"/>
      <c r="BL506" s="90"/>
      <c r="BM506" s="90"/>
      <c r="BN506" s="90"/>
      <c r="BO506" s="90"/>
      <c r="BP506" s="90"/>
    </row>
    <row r="507" ht="12.75" customHeight="1">
      <c r="A507" s="90"/>
      <c r="K507" s="102"/>
      <c r="L507" s="102"/>
      <c r="M507" s="102"/>
      <c r="N507" s="102"/>
      <c r="O507" s="102"/>
      <c r="P507" s="102"/>
      <c r="Q507" s="102"/>
      <c r="R507" s="102"/>
      <c r="S507" s="102"/>
      <c r="T507" s="102"/>
      <c r="U507" s="102"/>
      <c r="V507" s="102"/>
      <c r="W507" s="102"/>
      <c r="X507" s="102"/>
      <c r="Y507" s="102"/>
      <c r="Z507" s="102"/>
      <c r="AA507" s="102"/>
      <c r="AB507" s="102"/>
      <c r="AC507" s="102"/>
      <c r="AD507" s="102"/>
      <c r="AE507" s="102"/>
      <c r="AF507" s="102"/>
      <c r="AG507" s="102"/>
      <c r="AH507" s="102"/>
      <c r="AI507" s="102"/>
      <c r="AJ507" s="102"/>
      <c r="AK507" s="102"/>
      <c r="AL507" s="102"/>
      <c r="AM507" s="102"/>
      <c r="AN507" s="102"/>
      <c r="AO507" s="102"/>
      <c r="AP507" s="102"/>
      <c r="AQ507" s="102"/>
      <c r="AR507" s="102"/>
      <c r="AS507" s="102"/>
      <c r="AT507" s="102"/>
      <c r="AU507" s="102"/>
      <c r="AV507" s="102"/>
      <c r="AW507" s="90"/>
      <c r="AX507" s="90"/>
      <c r="AY507" s="90"/>
      <c r="AZ507" s="90"/>
      <c r="BA507" s="90"/>
      <c r="BB507" s="90"/>
      <c r="BC507" s="90"/>
      <c r="BD507" s="90"/>
      <c r="BE507" s="90"/>
      <c r="BF507" s="90"/>
      <c r="BG507" s="90"/>
      <c r="BH507" s="90"/>
      <c r="BI507" s="90"/>
      <c r="BJ507" s="90"/>
      <c r="BK507" s="90"/>
      <c r="BL507" s="90"/>
      <c r="BM507" s="90"/>
      <c r="BN507" s="90"/>
      <c r="BO507" s="90"/>
      <c r="BP507" s="90"/>
    </row>
    <row r="508" ht="12.75" customHeight="1">
      <c r="A508" s="90"/>
      <c r="K508" s="102"/>
      <c r="L508" s="102"/>
      <c r="M508" s="102"/>
      <c r="N508" s="102"/>
      <c r="O508" s="102"/>
      <c r="P508" s="102"/>
      <c r="Q508" s="102"/>
      <c r="R508" s="102"/>
      <c r="S508" s="102"/>
      <c r="T508" s="102"/>
      <c r="U508" s="102"/>
      <c r="V508" s="102"/>
      <c r="W508" s="102"/>
      <c r="X508" s="102"/>
      <c r="Y508" s="102"/>
      <c r="Z508" s="102"/>
      <c r="AA508" s="102"/>
      <c r="AB508" s="102"/>
      <c r="AC508" s="102"/>
      <c r="AD508" s="102"/>
      <c r="AE508" s="102"/>
      <c r="AF508" s="102"/>
      <c r="AG508" s="102"/>
      <c r="AH508" s="102"/>
      <c r="AI508" s="102"/>
      <c r="AJ508" s="102"/>
      <c r="AK508" s="102"/>
      <c r="AL508" s="102"/>
      <c r="AM508" s="102"/>
      <c r="AN508" s="102"/>
      <c r="AO508" s="102"/>
      <c r="AP508" s="102"/>
      <c r="AQ508" s="102"/>
      <c r="AR508" s="102"/>
      <c r="AS508" s="102"/>
      <c r="AT508" s="102"/>
      <c r="AU508" s="102"/>
      <c r="AV508" s="102"/>
      <c r="AW508" s="90"/>
      <c r="AX508" s="90"/>
      <c r="AY508" s="90"/>
      <c r="AZ508" s="90"/>
      <c r="BA508" s="90"/>
      <c r="BB508" s="90"/>
      <c r="BC508" s="90"/>
      <c r="BD508" s="90"/>
      <c r="BE508" s="90"/>
      <c r="BF508" s="90"/>
      <c r="BG508" s="90"/>
      <c r="BH508" s="90"/>
      <c r="BI508" s="90"/>
      <c r="BJ508" s="90"/>
      <c r="BK508" s="90"/>
      <c r="BL508" s="90"/>
      <c r="BM508" s="90"/>
      <c r="BN508" s="90"/>
      <c r="BO508" s="90"/>
      <c r="BP508" s="90"/>
    </row>
    <row r="509" ht="12.75" customHeight="1">
      <c r="A509" s="90"/>
      <c r="K509" s="102"/>
      <c r="L509" s="102"/>
      <c r="M509" s="102"/>
      <c r="N509" s="102"/>
      <c r="O509" s="102"/>
      <c r="P509" s="102"/>
      <c r="Q509" s="102"/>
      <c r="R509" s="102"/>
      <c r="S509" s="102"/>
      <c r="T509" s="102"/>
      <c r="U509" s="102"/>
      <c r="V509" s="102"/>
      <c r="W509" s="102"/>
      <c r="X509" s="102"/>
      <c r="Y509" s="102"/>
      <c r="Z509" s="102"/>
      <c r="AA509" s="102"/>
      <c r="AB509" s="102"/>
      <c r="AC509" s="102"/>
      <c r="AD509" s="102"/>
      <c r="AE509" s="102"/>
      <c r="AF509" s="102"/>
      <c r="AG509" s="102"/>
      <c r="AH509" s="102"/>
      <c r="AI509" s="102"/>
      <c r="AJ509" s="102"/>
      <c r="AK509" s="102"/>
      <c r="AL509" s="102"/>
      <c r="AM509" s="102"/>
      <c r="AN509" s="102"/>
      <c r="AO509" s="102"/>
      <c r="AP509" s="102"/>
      <c r="AQ509" s="102"/>
      <c r="AR509" s="102"/>
      <c r="AS509" s="102"/>
      <c r="AT509" s="102"/>
      <c r="AU509" s="102"/>
      <c r="AV509" s="102"/>
      <c r="AW509" s="90"/>
      <c r="AX509" s="90"/>
      <c r="AY509" s="90"/>
      <c r="AZ509" s="90"/>
      <c r="BA509" s="90"/>
      <c r="BB509" s="90"/>
      <c r="BC509" s="90"/>
      <c r="BD509" s="90"/>
      <c r="BE509" s="90"/>
      <c r="BF509" s="90"/>
      <c r="BG509" s="90"/>
      <c r="BH509" s="90"/>
      <c r="BI509" s="90"/>
      <c r="BJ509" s="90"/>
      <c r="BK509" s="90"/>
      <c r="BL509" s="90"/>
      <c r="BM509" s="90"/>
      <c r="BN509" s="90"/>
      <c r="BO509" s="90"/>
      <c r="BP509" s="90"/>
    </row>
    <row r="510" ht="12.75" customHeight="1">
      <c r="A510" s="316"/>
      <c r="K510" s="102"/>
      <c r="L510" s="102"/>
      <c r="M510" s="102"/>
      <c r="N510" s="102"/>
      <c r="O510" s="102"/>
      <c r="P510" s="102"/>
      <c r="Q510" s="102"/>
      <c r="R510" s="102"/>
      <c r="S510" s="102"/>
      <c r="T510" s="102"/>
      <c r="U510" s="102"/>
      <c r="V510" s="102"/>
      <c r="W510" s="102"/>
      <c r="X510" s="102"/>
      <c r="Y510" s="102"/>
      <c r="Z510" s="102"/>
      <c r="AA510" s="102"/>
      <c r="AB510" s="102"/>
      <c r="AC510" s="102"/>
      <c r="AD510" s="102"/>
      <c r="AE510" s="102"/>
      <c r="AF510" s="102"/>
      <c r="AG510" s="102"/>
      <c r="AH510" s="102"/>
      <c r="AI510" s="102"/>
      <c r="AJ510" s="102"/>
      <c r="AK510" s="102"/>
      <c r="AL510" s="102"/>
      <c r="AM510" s="102"/>
      <c r="AN510" s="102"/>
      <c r="AO510" s="102"/>
      <c r="AP510" s="102"/>
      <c r="AQ510" s="102"/>
      <c r="AR510" s="102"/>
      <c r="AS510" s="102"/>
      <c r="AT510" s="102"/>
      <c r="AU510" s="102"/>
      <c r="AV510" s="102"/>
      <c r="AW510" s="90"/>
      <c r="AX510" s="90"/>
      <c r="AY510" s="90"/>
      <c r="AZ510" s="90"/>
      <c r="BA510" s="90"/>
      <c r="BB510" s="90"/>
      <c r="BC510" s="90"/>
      <c r="BD510" s="90"/>
      <c r="BE510" s="90"/>
      <c r="BF510" s="90"/>
      <c r="BG510" s="90"/>
      <c r="BH510" s="90"/>
      <c r="BI510" s="90"/>
      <c r="BJ510" s="90"/>
      <c r="BK510" s="90"/>
      <c r="BL510" s="90"/>
      <c r="BM510" s="90"/>
      <c r="BN510" s="90"/>
      <c r="BO510" s="90"/>
      <c r="BP510" s="90"/>
    </row>
    <row r="511" ht="12.75" customHeight="1">
      <c r="A511" s="316"/>
      <c r="K511" s="102"/>
      <c r="L511" s="102"/>
      <c r="M511" s="102"/>
      <c r="N511" s="102"/>
      <c r="O511" s="102"/>
      <c r="P511" s="102"/>
      <c r="Q511" s="102"/>
      <c r="R511" s="102"/>
      <c r="S511" s="102"/>
      <c r="T511" s="102"/>
      <c r="U511" s="102"/>
      <c r="V511" s="102"/>
      <c r="W511" s="102"/>
      <c r="X511" s="102"/>
      <c r="Y511" s="102"/>
      <c r="Z511" s="102"/>
      <c r="AA511" s="102"/>
      <c r="AB511" s="102"/>
      <c r="AC511" s="102"/>
      <c r="AD511" s="102"/>
      <c r="AE511" s="102"/>
      <c r="AF511" s="102"/>
      <c r="AG511" s="102"/>
      <c r="AH511" s="102"/>
      <c r="AI511" s="102"/>
      <c r="AJ511" s="102"/>
      <c r="AK511" s="102"/>
      <c r="AL511" s="102"/>
      <c r="AM511" s="102"/>
      <c r="AN511" s="102"/>
      <c r="AO511" s="102"/>
      <c r="AP511" s="102"/>
      <c r="AQ511" s="102"/>
      <c r="AR511" s="102"/>
      <c r="AS511" s="102"/>
      <c r="AT511" s="102"/>
      <c r="AU511" s="102"/>
      <c r="AV511" s="102"/>
      <c r="AW511" s="90"/>
      <c r="AX511" s="90"/>
      <c r="AY511" s="90"/>
      <c r="AZ511" s="90"/>
      <c r="BA511" s="90"/>
      <c r="BB511" s="90"/>
      <c r="BC511" s="90"/>
      <c r="BD511" s="90"/>
      <c r="BE511" s="90"/>
      <c r="BF511" s="90"/>
      <c r="BG511" s="90"/>
      <c r="BH511" s="90"/>
      <c r="BI511" s="90"/>
      <c r="BJ511" s="90"/>
      <c r="BK511" s="90"/>
      <c r="BL511" s="90"/>
      <c r="BM511" s="90"/>
      <c r="BN511" s="90"/>
      <c r="BO511" s="90"/>
      <c r="BP511" s="90"/>
    </row>
    <row r="512" ht="12.75" customHeight="1">
      <c r="A512" s="316"/>
      <c r="K512" s="102"/>
      <c r="L512" s="102"/>
      <c r="M512" s="102"/>
      <c r="N512" s="102"/>
      <c r="O512" s="102"/>
      <c r="P512" s="102"/>
      <c r="Q512" s="102"/>
      <c r="R512" s="102"/>
      <c r="S512" s="102"/>
      <c r="T512" s="102"/>
      <c r="U512" s="102"/>
      <c r="V512" s="102"/>
      <c r="W512" s="102"/>
      <c r="X512" s="102"/>
      <c r="Y512" s="102"/>
      <c r="Z512" s="102"/>
      <c r="AA512" s="102"/>
      <c r="AB512" s="102"/>
      <c r="AC512" s="102"/>
      <c r="AD512" s="102"/>
      <c r="AE512" s="102"/>
      <c r="AF512" s="102"/>
      <c r="AG512" s="102"/>
      <c r="AH512" s="102"/>
      <c r="AI512" s="102"/>
      <c r="AJ512" s="102"/>
      <c r="AK512" s="102"/>
      <c r="AL512" s="102"/>
      <c r="AM512" s="102"/>
      <c r="AN512" s="102"/>
      <c r="AO512" s="102"/>
      <c r="AP512" s="102"/>
      <c r="AQ512" s="102"/>
      <c r="AR512" s="102"/>
      <c r="AS512" s="102"/>
      <c r="AT512" s="102"/>
      <c r="AU512" s="102"/>
      <c r="AV512" s="102"/>
      <c r="AW512" s="90"/>
      <c r="AX512" s="90"/>
      <c r="AY512" s="90"/>
      <c r="AZ512" s="90"/>
      <c r="BA512" s="90"/>
      <c r="BB512" s="90"/>
      <c r="BC512" s="90"/>
      <c r="BD512" s="90"/>
      <c r="BE512" s="90"/>
      <c r="BF512" s="90"/>
      <c r="BG512" s="90"/>
      <c r="BH512" s="90"/>
      <c r="BI512" s="90"/>
      <c r="BJ512" s="90"/>
      <c r="BK512" s="90"/>
      <c r="BL512" s="90"/>
      <c r="BM512" s="90"/>
      <c r="BN512" s="90"/>
      <c r="BO512" s="90"/>
      <c r="BP512" s="90"/>
    </row>
    <row r="513" ht="12.75" customHeight="1">
      <c r="A513" s="316"/>
      <c r="K513" s="102"/>
      <c r="L513" s="102"/>
      <c r="M513" s="102"/>
      <c r="N513" s="102"/>
      <c r="O513" s="102"/>
      <c r="P513" s="102"/>
      <c r="Q513" s="102"/>
      <c r="R513" s="102"/>
      <c r="S513" s="102"/>
      <c r="T513" s="102"/>
      <c r="U513" s="102"/>
      <c r="V513" s="102"/>
      <c r="W513" s="102"/>
      <c r="X513" s="102"/>
      <c r="Y513" s="102"/>
      <c r="Z513" s="102"/>
      <c r="AA513" s="102"/>
      <c r="AB513" s="102"/>
      <c r="AC513" s="102"/>
      <c r="AD513" s="102"/>
      <c r="AE513" s="102"/>
      <c r="AF513" s="102"/>
      <c r="AG513" s="102"/>
      <c r="AH513" s="102"/>
      <c r="AI513" s="102"/>
      <c r="AJ513" s="102"/>
      <c r="AK513" s="102"/>
      <c r="AL513" s="102"/>
      <c r="AM513" s="102"/>
      <c r="AN513" s="102"/>
      <c r="AO513" s="102"/>
      <c r="AP513" s="102"/>
      <c r="AQ513" s="102"/>
      <c r="AR513" s="102"/>
      <c r="AS513" s="102"/>
      <c r="AT513" s="102"/>
      <c r="AU513" s="102"/>
      <c r="AV513" s="102"/>
      <c r="AW513" s="90"/>
      <c r="AX513" s="90"/>
      <c r="AY513" s="90"/>
      <c r="AZ513" s="90"/>
      <c r="BA513" s="90"/>
      <c r="BB513" s="90"/>
      <c r="BC513" s="90"/>
      <c r="BD513" s="90"/>
      <c r="BE513" s="90"/>
      <c r="BF513" s="90"/>
      <c r="BG513" s="90"/>
      <c r="BH513" s="90"/>
      <c r="BI513" s="90"/>
      <c r="BJ513" s="90"/>
      <c r="BK513" s="90"/>
      <c r="BL513" s="90"/>
      <c r="BM513" s="90"/>
      <c r="BN513" s="90"/>
      <c r="BO513" s="90"/>
      <c r="BP513" s="90"/>
    </row>
    <row r="514" ht="12.75" customHeight="1">
      <c r="A514" s="316"/>
      <c r="K514" s="102"/>
      <c r="L514" s="102"/>
      <c r="M514" s="102"/>
      <c r="N514" s="102"/>
      <c r="O514" s="102"/>
      <c r="P514" s="102"/>
      <c r="Q514" s="102"/>
      <c r="R514" s="102"/>
      <c r="S514" s="102"/>
      <c r="T514" s="102"/>
      <c r="U514" s="102"/>
      <c r="V514" s="102"/>
      <c r="W514" s="102"/>
      <c r="X514" s="102"/>
      <c r="Y514" s="102"/>
      <c r="Z514" s="102"/>
      <c r="AA514" s="102"/>
      <c r="AB514" s="102"/>
      <c r="AC514" s="102"/>
      <c r="AD514" s="102"/>
      <c r="AE514" s="102"/>
      <c r="AF514" s="102"/>
      <c r="AG514" s="102"/>
      <c r="AH514" s="102"/>
      <c r="AI514" s="102"/>
      <c r="AJ514" s="102"/>
      <c r="AK514" s="102"/>
      <c r="AL514" s="102"/>
      <c r="AM514" s="102"/>
      <c r="AN514" s="102"/>
      <c r="AO514" s="102"/>
      <c r="AP514" s="102"/>
      <c r="AQ514" s="102"/>
      <c r="AR514" s="102"/>
      <c r="AS514" s="102"/>
      <c r="AT514" s="102"/>
      <c r="AU514" s="102"/>
      <c r="AV514" s="102"/>
      <c r="AW514" s="90"/>
      <c r="AX514" s="90"/>
      <c r="AY514" s="90"/>
      <c r="AZ514" s="90"/>
      <c r="BA514" s="90"/>
      <c r="BB514" s="90"/>
      <c r="BC514" s="90"/>
      <c r="BD514" s="90"/>
      <c r="BE514" s="90"/>
      <c r="BF514" s="90"/>
      <c r="BG514" s="90"/>
      <c r="BH514" s="90"/>
      <c r="BI514" s="90"/>
      <c r="BJ514" s="90"/>
      <c r="BK514" s="90"/>
      <c r="BL514" s="90"/>
      <c r="BM514" s="90"/>
      <c r="BN514" s="90"/>
      <c r="BO514" s="90"/>
      <c r="BP514" s="90"/>
    </row>
    <row r="515" ht="12.75" customHeight="1">
      <c r="A515" s="316"/>
      <c r="K515" s="102"/>
      <c r="L515" s="102"/>
      <c r="M515" s="102"/>
      <c r="N515" s="102"/>
      <c r="O515" s="102"/>
      <c r="P515" s="102"/>
      <c r="Q515" s="102"/>
      <c r="R515" s="102"/>
      <c r="S515" s="102"/>
      <c r="T515" s="102"/>
      <c r="U515" s="102"/>
      <c r="V515" s="102"/>
      <c r="W515" s="102"/>
      <c r="X515" s="102"/>
      <c r="Y515" s="102"/>
      <c r="Z515" s="102"/>
      <c r="AA515" s="102"/>
      <c r="AB515" s="102"/>
      <c r="AC515" s="102"/>
      <c r="AD515" s="102"/>
      <c r="AE515" s="102"/>
      <c r="AF515" s="102"/>
      <c r="AG515" s="102"/>
      <c r="AH515" s="102"/>
      <c r="AI515" s="102"/>
      <c r="AJ515" s="102"/>
      <c r="AK515" s="102"/>
      <c r="AL515" s="102"/>
      <c r="AM515" s="102"/>
      <c r="AN515" s="102"/>
      <c r="AO515" s="102"/>
      <c r="AP515" s="102"/>
      <c r="AQ515" s="102"/>
      <c r="AR515" s="102"/>
      <c r="AS515" s="102"/>
      <c r="AT515" s="102"/>
      <c r="AU515" s="102"/>
      <c r="AV515" s="102"/>
      <c r="AW515" s="90"/>
      <c r="AX515" s="90"/>
      <c r="AY515" s="90"/>
      <c r="AZ515" s="90"/>
      <c r="BA515" s="90"/>
      <c r="BB515" s="90"/>
      <c r="BC515" s="90"/>
      <c r="BD515" s="90"/>
      <c r="BE515" s="90"/>
      <c r="BF515" s="90"/>
      <c r="BG515" s="90"/>
      <c r="BH515" s="90"/>
      <c r="BI515" s="90"/>
      <c r="BJ515" s="90"/>
      <c r="BK515" s="90"/>
      <c r="BL515" s="90"/>
      <c r="BM515" s="90"/>
      <c r="BN515" s="90"/>
      <c r="BO515" s="90"/>
      <c r="BP515" s="90"/>
    </row>
    <row r="516" ht="12.75" customHeight="1">
      <c r="A516" s="316"/>
      <c r="K516" s="102"/>
      <c r="L516" s="102"/>
      <c r="M516" s="102"/>
      <c r="N516" s="102"/>
      <c r="O516" s="102"/>
      <c r="P516" s="102"/>
      <c r="Q516" s="102"/>
      <c r="R516" s="102"/>
      <c r="S516" s="102"/>
      <c r="T516" s="102"/>
      <c r="U516" s="102"/>
      <c r="V516" s="102"/>
      <c r="W516" s="102"/>
      <c r="X516" s="102"/>
      <c r="Y516" s="102"/>
      <c r="Z516" s="102"/>
      <c r="AA516" s="102"/>
      <c r="AB516" s="102"/>
      <c r="AC516" s="102"/>
      <c r="AD516" s="102"/>
      <c r="AE516" s="102"/>
      <c r="AF516" s="102"/>
      <c r="AG516" s="102"/>
      <c r="AH516" s="102"/>
      <c r="AI516" s="102"/>
      <c r="AJ516" s="102"/>
      <c r="AK516" s="102"/>
      <c r="AL516" s="102"/>
      <c r="AM516" s="102"/>
      <c r="AN516" s="102"/>
      <c r="AO516" s="102"/>
      <c r="AP516" s="102"/>
      <c r="AQ516" s="102"/>
      <c r="AR516" s="102"/>
      <c r="AS516" s="102"/>
      <c r="AT516" s="102"/>
      <c r="AU516" s="102"/>
      <c r="AV516" s="102"/>
      <c r="AW516" s="90"/>
      <c r="AX516" s="90"/>
      <c r="AY516" s="90"/>
      <c r="AZ516" s="90"/>
      <c r="BA516" s="90"/>
      <c r="BB516" s="90"/>
      <c r="BC516" s="90"/>
      <c r="BD516" s="90"/>
      <c r="BE516" s="90"/>
      <c r="BF516" s="90"/>
      <c r="BG516" s="90"/>
      <c r="BH516" s="90"/>
      <c r="BI516" s="90"/>
      <c r="BJ516" s="90"/>
      <c r="BK516" s="90"/>
      <c r="BL516" s="90"/>
      <c r="BM516" s="90"/>
      <c r="BN516" s="90"/>
      <c r="BO516" s="90"/>
      <c r="BP516" s="90"/>
    </row>
    <row r="517" ht="12.75" customHeight="1">
      <c r="A517" s="316"/>
      <c r="K517" s="102"/>
      <c r="L517" s="102"/>
      <c r="M517" s="102"/>
      <c r="N517" s="102"/>
      <c r="O517" s="102"/>
      <c r="P517" s="102"/>
      <c r="Q517" s="102"/>
      <c r="R517" s="102"/>
      <c r="S517" s="102"/>
      <c r="T517" s="102"/>
      <c r="U517" s="102"/>
      <c r="V517" s="102"/>
      <c r="W517" s="102"/>
      <c r="X517" s="102"/>
      <c r="Y517" s="102"/>
      <c r="Z517" s="102"/>
      <c r="AA517" s="102"/>
      <c r="AB517" s="102"/>
      <c r="AC517" s="102"/>
      <c r="AD517" s="102"/>
      <c r="AE517" s="102"/>
      <c r="AF517" s="102"/>
      <c r="AG517" s="102"/>
      <c r="AH517" s="102"/>
      <c r="AI517" s="102"/>
      <c r="AJ517" s="102"/>
      <c r="AK517" s="102"/>
      <c r="AL517" s="102"/>
      <c r="AM517" s="102"/>
      <c r="AN517" s="102"/>
      <c r="AO517" s="102"/>
      <c r="AP517" s="102"/>
      <c r="AQ517" s="102"/>
      <c r="AR517" s="102"/>
      <c r="AS517" s="102"/>
      <c r="AT517" s="102"/>
      <c r="AU517" s="102"/>
      <c r="AV517" s="102"/>
      <c r="AW517" s="90"/>
      <c r="AX517" s="90"/>
      <c r="AY517" s="90"/>
      <c r="AZ517" s="90"/>
      <c r="BA517" s="90"/>
      <c r="BB517" s="90"/>
      <c r="BC517" s="90"/>
      <c r="BD517" s="90"/>
      <c r="BE517" s="90"/>
      <c r="BF517" s="90"/>
      <c r="BG517" s="90"/>
      <c r="BH517" s="90"/>
      <c r="BI517" s="90"/>
      <c r="BJ517" s="90"/>
      <c r="BK517" s="90"/>
      <c r="BL517" s="90"/>
      <c r="BM517" s="90"/>
      <c r="BN517" s="90"/>
      <c r="BO517" s="90"/>
      <c r="BP517" s="90"/>
    </row>
    <row r="518" ht="12.75" customHeight="1">
      <c r="A518" s="316"/>
      <c r="K518" s="102"/>
      <c r="L518" s="102"/>
      <c r="M518" s="102"/>
      <c r="N518" s="102"/>
      <c r="O518" s="102"/>
      <c r="P518" s="102"/>
      <c r="Q518" s="102"/>
      <c r="R518" s="102"/>
      <c r="S518" s="102"/>
      <c r="T518" s="102"/>
      <c r="U518" s="102"/>
      <c r="V518" s="102"/>
      <c r="W518" s="102"/>
      <c r="X518" s="102"/>
      <c r="Y518" s="102"/>
      <c r="Z518" s="102"/>
      <c r="AA518" s="102"/>
      <c r="AB518" s="102"/>
      <c r="AC518" s="102"/>
      <c r="AD518" s="102"/>
      <c r="AE518" s="102"/>
      <c r="AF518" s="102"/>
      <c r="AG518" s="102"/>
      <c r="AH518" s="102"/>
      <c r="AI518" s="102"/>
      <c r="AJ518" s="102"/>
      <c r="AK518" s="102"/>
      <c r="AL518" s="102"/>
      <c r="AM518" s="102"/>
      <c r="AN518" s="102"/>
      <c r="AO518" s="102"/>
      <c r="AP518" s="102"/>
      <c r="AQ518" s="102"/>
      <c r="AR518" s="102"/>
      <c r="AS518" s="102"/>
      <c r="AT518" s="102"/>
      <c r="AU518" s="102"/>
      <c r="AV518" s="102"/>
      <c r="AW518" s="90"/>
      <c r="AX518" s="90"/>
      <c r="AY518" s="90"/>
      <c r="AZ518" s="90"/>
      <c r="BA518" s="90"/>
      <c r="BB518" s="90"/>
      <c r="BC518" s="90"/>
      <c r="BD518" s="90"/>
      <c r="BE518" s="90"/>
      <c r="BF518" s="90"/>
      <c r="BG518" s="90"/>
      <c r="BH518" s="90"/>
      <c r="BI518" s="90"/>
      <c r="BJ518" s="90"/>
      <c r="BK518" s="90"/>
      <c r="BL518" s="90"/>
      <c r="BM518" s="90"/>
      <c r="BN518" s="90"/>
      <c r="BO518" s="90"/>
      <c r="BP518" s="90"/>
    </row>
    <row r="519" ht="12.75" customHeight="1">
      <c r="A519" s="316"/>
      <c r="K519" s="102"/>
      <c r="L519" s="102"/>
      <c r="M519" s="102"/>
      <c r="N519" s="102"/>
      <c r="O519" s="102"/>
      <c r="P519" s="102"/>
      <c r="Q519" s="102"/>
      <c r="R519" s="102"/>
      <c r="S519" s="102"/>
      <c r="T519" s="102"/>
      <c r="U519" s="102"/>
      <c r="V519" s="102"/>
      <c r="W519" s="102"/>
      <c r="X519" s="102"/>
      <c r="Y519" s="102"/>
      <c r="Z519" s="102"/>
      <c r="AA519" s="102"/>
      <c r="AB519" s="102"/>
      <c r="AC519" s="102"/>
      <c r="AD519" s="102"/>
      <c r="AE519" s="102"/>
      <c r="AF519" s="102"/>
      <c r="AG519" s="102"/>
      <c r="AH519" s="102"/>
      <c r="AI519" s="102"/>
      <c r="AJ519" s="102"/>
      <c r="AK519" s="102"/>
      <c r="AL519" s="102"/>
      <c r="AM519" s="102"/>
      <c r="AN519" s="102"/>
      <c r="AO519" s="102"/>
      <c r="AP519" s="102"/>
      <c r="AQ519" s="102"/>
      <c r="AR519" s="102"/>
      <c r="AS519" s="102"/>
      <c r="AT519" s="102"/>
      <c r="AU519" s="102"/>
      <c r="AV519" s="102"/>
      <c r="AW519" s="90"/>
      <c r="AX519" s="90"/>
      <c r="AY519" s="90"/>
      <c r="AZ519" s="90"/>
      <c r="BA519" s="90"/>
      <c r="BB519" s="90"/>
      <c r="BC519" s="90"/>
      <c r="BD519" s="90"/>
      <c r="BE519" s="90"/>
      <c r="BF519" s="90"/>
      <c r="BG519" s="90"/>
      <c r="BH519" s="90"/>
      <c r="BI519" s="90"/>
      <c r="BJ519" s="90"/>
      <c r="BK519" s="90"/>
      <c r="BL519" s="90"/>
      <c r="BM519" s="90"/>
      <c r="BN519" s="90"/>
      <c r="BO519" s="90"/>
      <c r="BP519" s="90"/>
    </row>
    <row r="520" ht="12.75" customHeight="1">
      <c r="A520" s="316"/>
      <c r="K520" s="102"/>
      <c r="L520" s="102"/>
      <c r="M520" s="102"/>
      <c r="N520" s="102"/>
      <c r="O520" s="102"/>
      <c r="P520" s="102"/>
      <c r="Q520" s="102"/>
      <c r="R520" s="102"/>
      <c r="S520" s="102"/>
      <c r="T520" s="102"/>
      <c r="U520" s="102"/>
      <c r="V520" s="102"/>
      <c r="W520" s="102"/>
      <c r="X520" s="102"/>
      <c r="Y520" s="102"/>
      <c r="Z520" s="102"/>
      <c r="AA520" s="102"/>
      <c r="AB520" s="102"/>
      <c r="AC520" s="102"/>
      <c r="AD520" s="102"/>
      <c r="AE520" s="102"/>
      <c r="AF520" s="102"/>
      <c r="AG520" s="102"/>
      <c r="AH520" s="102"/>
      <c r="AI520" s="102"/>
      <c r="AJ520" s="102"/>
      <c r="AK520" s="102"/>
      <c r="AL520" s="102"/>
      <c r="AM520" s="102"/>
      <c r="AN520" s="102"/>
      <c r="AO520" s="102"/>
      <c r="AP520" s="102"/>
      <c r="AQ520" s="102"/>
      <c r="AR520" s="102"/>
      <c r="AS520" s="102"/>
      <c r="AT520" s="102"/>
      <c r="AU520" s="102"/>
      <c r="AV520" s="102"/>
      <c r="AW520" s="90"/>
      <c r="AX520" s="90"/>
      <c r="AY520" s="90"/>
      <c r="AZ520" s="90"/>
      <c r="BA520" s="90"/>
      <c r="BB520" s="90"/>
      <c r="BC520" s="90"/>
      <c r="BD520" s="90"/>
      <c r="BE520" s="90"/>
      <c r="BF520" s="90"/>
      <c r="BG520" s="90"/>
      <c r="BH520" s="90"/>
      <c r="BI520" s="90"/>
      <c r="BJ520" s="90"/>
      <c r="BK520" s="90"/>
      <c r="BL520" s="90"/>
      <c r="BM520" s="90"/>
      <c r="BN520" s="90"/>
      <c r="BO520" s="90"/>
      <c r="BP520" s="90"/>
    </row>
    <row r="521" ht="12.75" customHeight="1">
      <c r="A521" s="316"/>
      <c r="K521" s="102"/>
      <c r="L521" s="102"/>
      <c r="M521" s="102"/>
      <c r="N521" s="102"/>
      <c r="O521" s="102"/>
      <c r="P521" s="102"/>
      <c r="Q521" s="102"/>
      <c r="R521" s="102"/>
      <c r="S521" s="102"/>
      <c r="T521" s="102"/>
      <c r="U521" s="102"/>
      <c r="V521" s="102"/>
      <c r="W521" s="102"/>
      <c r="X521" s="102"/>
      <c r="Y521" s="102"/>
      <c r="Z521" s="102"/>
      <c r="AA521" s="102"/>
      <c r="AB521" s="102"/>
      <c r="AC521" s="102"/>
      <c r="AD521" s="102"/>
      <c r="AE521" s="102"/>
      <c r="AF521" s="102"/>
      <c r="AG521" s="102"/>
      <c r="AH521" s="102"/>
      <c r="AI521" s="102"/>
      <c r="AJ521" s="102"/>
      <c r="AK521" s="102"/>
      <c r="AL521" s="102"/>
      <c r="AM521" s="102"/>
      <c r="AN521" s="102"/>
      <c r="AO521" s="102"/>
      <c r="AP521" s="102"/>
      <c r="AQ521" s="102"/>
      <c r="AR521" s="102"/>
      <c r="AS521" s="102"/>
      <c r="AT521" s="102"/>
      <c r="AU521" s="102"/>
      <c r="AV521" s="102"/>
      <c r="AW521" s="90"/>
      <c r="AX521" s="90"/>
      <c r="AY521" s="90"/>
      <c r="AZ521" s="90"/>
      <c r="BA521" s="90"/>
      <c r="BB521" s="90"/>
      <c r="BC521" s="90"/>
      <c r="BD521" s="90"/>
      <c r="BE521" s="90"/>
      <c r="BF521" s="90"/>
      <c r="BG521" s="90"/>
      <c r="BH521" s="90"/>
      <c r="BI521" s="90"/>
      <c r="BJ521" s="90"/>
      <c r="BK521" s="90"/>
      <c r="BL521" s="90"/>
      <c r="BM521" s="90"/>
      <c r="BN521" s="90"/>
      <c r="BO521" s="90"/>
      <c r="BP521" s="90"/>
    </row>
    <row r="522" ht="12.75" customHeight="1">
      <c r="A522" s="316"/>
      <c r="K522" s="102"/>
      <c r="L522" s="102"/>
      <c r="M522" s="102"/>
      <c r="N522" s="102"/>
      <c r="O522" s="102"/>
      <c r="P522" s="102"/>
      <c r="Q522" s="102"/>
      <c r="R522" s="102"/>
      <c r="S522" s="102"/>
      <c r="T522" s="102"/>
      <c r="U522" s="102"/>
      <c r="V522" s="102"/>
      <c r="W522" s="102"/>
      <c r="X522" s="102"/>
      <c r="Y522" s="102"/>
      <c r="Z522" s="102"/>
      <c r="AA522" s="102"/>
      <c r="AB522" s="102"/>
      <c r="AC522" s="102"/>
      <c r="AD522" s="102"/>
      <c r="AE522" s="102"/>
      <c r="AF522" s="102"/>
      <c r="AG522" s="102"/>
      <c r="AH522" s="102"/>
      <c r="AI522" s="102"/>
      <c r="AJ522" s="102"/>
      <c r="AK522" s="102"/>
      <c r="AL522" s="102"/>
      <c r="AM522" s="102"/>
      <c r="AN522" s="102"/>
      <c r="AO522" s="102"/>
      <c r="AP522" s="102"/>
      <c r="AQ522" s="102"/>
      <c r="AR522" s="102"/>
      <c r="AS522" s="102"/>
      <c r="AT522" s="102"/>
      <c r="AU522" s="102"/>
      <c r="AV522" s="102"/>
      <c r="AW522" s="90"/>
      <c r="AX522" s="90"/>
      <c r="AY522" s="90"/>
      <c r="AZ522" s="90"/>
      <c r="BA522" s="90"/>
      <c r="BB522" s="90"/>
      <c r="BC522" s="90"/>
      <c r="BD522" s="90"/>
      <c r="BE522" s="90"/>
      <c r="BF522" s="90"/>
      <c r="BG522" s="90"/>
      <c r="BH522" s="90"/>
      <c r="BI522" s="90"/>
      <c r="BJ522" s="90"/>
      <c r="BK522" s="90"/>
      <c r="BL522" s="90"/>
      <c r="BM522" s="90"/>
      <c r="BN522" s="90"/>
      <c r="BO522" s="90"/>
      <c r="BP522" s="90"/>
    </row>
    <row r="523" ht="12.75" customHeight="1">
      <c r="A523" s="316"/>
      <c r="K523" s="102"/>
      <c r="L523" s="102"/>
      <c r="M523" s="102"/>
      <c r="N523" s="102"/>
      <c r="O523" s="102"/>
      <c r="P523" s="102"/>
      <c r="Q523" s="102"/>
      <c r="R523" s="102"/>
      <c r="S523" s="102"/>
      <c r="T523" s="102"/>
      <c r="U523" s="102"/>
      <c r="V523" s="102"/>
      <c r="W523" s="102"/>
      <c r="X523" s="102"/>
      <c r="Y523" s="102"/>
      <c r="Z523" s="102"/>
      <c r="AA523" s="102"/>
      <c r="AB523" s="102"/>
      <c r="AC523" s="102"/>
      <c r="AD523" s="102"/>
      <c r="AE523" s="102"/>
      <c r="AF523" s="102"/>
      <c r="AG523" s="102"/>
      <c r="AH523" s="102"/>
      <c r="AI523" s="102"/>
      <c r="AJ523" s="102"/>
      <c r="AK523" s="102"/>
      <c r="AL523" s="102"/>
      <c r="AM523" s="102"/>
      <c r="AN523" s="102"/>
      <c r="AO523" s="102"/>
      <c r="AP523" s="102"/>
      <c r="AQ523" s="102"/>
      <c r="AR523" s="102"/>
      <c r="AS523" s="102"/>
      <c r="AT523" s="102"/>
      <c r="AU523" s="102"/>
      <c r="AV523" s="102"/>
      <c r="AW523" s="90"/>
      <c r="AX523" s="90"/>
      <c r="AY523" s="90"/>
      <c r="AZ523" s="90"/>
      <c r="BA523" s="90"/>
      <c r="BB523" s="90"/>
      <c r="BC523" s="90"/>
      <c r="BD523" s="90"/>
      <c r="BE523" s="90"/>
      <c r="BF523" s="90"/>
      <c r="BG523" s="90"/>
      <c r="BH523" s="90"/>
      <c r="BI523" s="90"/>
      <c r="BJ523" s="90"/>
      <c r="BK523" s="90"/>
      <c r="BL523" s="90"/>
      <c r="BM523" s="90"/>
      <c r="BN523" s="90"/>
      <c r="BO523" s="90"/>
      <c r="BP523" s="90"/>
    </row>
    <row r="524" ht="12.75" customHeight="1">
      <c r="A524" s="316"/>
      <c r="K524" s="102"/>
      <c r="L524" s="102"/>
      <c r="M524" s="102"/>
      <c r="N524" s="102"/>
      <c r="O524" s="102"/>
      <c r="P524" s="102"/>
      <c r="Q524" s="102"/>
      <c r="R524" s="102"/>
      <c r="S524" s="102"/>
      <c r="T524" s="102"/>
      <c r="U524" s="102"/>
      <c r="V524" s="102"/>
      <c r="W524" s="102"/>
      <c r="X524" s="102"/>
      <c r="Y524" s="102"/>
      <c r="Z524" s="102"/>
      <c r="AA524" s="102"/>
      <c r="AB524" s="102"/>
      <c r="AC524" s="102"/>
      <c r="AD524" s="102"/>
      <c r="AE524" s="102"/>
      <c r="AF524" s="102"/>
      <c r="AG524" s="102"/>
      <c r="AH524" s="102"/>
      <c r="AI524" s="102"/>
      <c r="AJ524" s="102"/>
      <c r="AK524" s="102"/>
      <c r="AL524" s="102"/>
      <c r="AM524" s="102"/>
      <c r="AN524" s="102"/>
      <c r="AO524" s="102"/>
      <c r="AP524" s="102"/>
      <c r="AQ524" s="102"/>
      <c r="AR524" s="102"/>
      <c r="AS524" s="102"/>
      <c r="AT524" s="102"/>
      <c r="AU524" s="102"/>
      <c r="AV524" s="102"/>
      <c r="AW524" s="90"/>
      <c r="AX524" s="90"/>
      <c r="AY524" s="90"/>
      <c r="AZ524" s="90"/>
      <c r="BA524" s="90"/>
      <c r="BB524" s="90"/>
      <c r="BC524" s="90"/>
      <c r="BD524" s="90"/>
      <c r="BE524" s="90"/>
      <c r="BF524" s="90"/>
      <c r="BG524" s="90"/>
      <c r="BH524" s="90"/>
      <c r="BI524" s="90"/>
      <c r="BJ524" s="90"/>
      <c r="BK524" s="90"/>
      <c r="BL524" s="90"/>
      <c r="BM524" s="90"/>
      <c r="BN524" s="90"/>
      <c r="BO524" s="90"/>
      <c r="BP524" s="90"/>
    </row>
    <row r="525" ht="12.75" customHeight="1">
      <c r="A525" s="316"/>
      <c r="K525" s="102"/>
      <c r="L525" s="102"/>
      <c r="M525" s="102"/>
      <c r="N525" s="102"/>
      <c r="O525" s="102"/>
      <c r="P525" s="102"/>
      <c r="Q525" s="102"/>
      <c r="R525" s="102"/>
      <c r="S525" s="102"/>
      <c r="T525" s="102"/>
      <c r="U525" s="102"/>
      <c r="V525" s="102"/>
      <c r="W525" s="102"/>
      <c r="X525" s="102"/>
      <c r="Y525" s="102"/>
      <c r="Z525" s="102"/>
      <c r="AA525" s="102"/>
      <c r="AB525" s="102"/>
      <c r="AC525" s="102"/>
      <c r="AD525" s="102"/>
      <c r="AE525" s="102"/>
      <c r="AF525" s="102"/>
      <c r="AG525" s="102"/>
      <c r="AH525" s="102"/>
      <c r="AI525" s="102"/>
      <c r="AJ525" s="102"/>
      <c r="AK525" s="102"/>
      <c r="AL525" s="102"/>
      <c r="AM525" s="102"/>
      <c r="AN525" s="102"/>
      <c r="AO525" s="102"/>
      <c r="AP525" s="102"/>
      <c r="AQ525" s="102"/>
      <c r="AR525" s="102"/>
      <c r="AS525" s="102"/>
      <c r="AT525" s="102"/>
      <c r="AU525" s="102"/>
      <c r="AV525" s="102"/>
      <c r="AW525" s="90"/>
      <c r="AX525" s="90"/>
      <c r="AY525" s="90"/>
      <c r="AZ525" s="90"/>
      <c r="BA525" s="90"/>
      <c r="BB525" s="90"/>
      <c r="BC525" s="90"/>
      <c r="BD525" s="90"/>
      <c r="BE525" s="90"/>
      <c r="BF525" s="90"/>
      <c r="BG525" s="90"/>
      <c r="BH525" s="90"/>
      <c r="BI525" s="90"/>
      <c r="BJ525" s="90"/>
      <c r="BK525" s="90"/>
      <c r="BL525" s="90"/>
      <c r="BM525" s="90"/>
      <c r="BN525" s="90"/>
      <c r="BO525" s="90"/>
      <c r="BP525" s="90"/>
    </row>
    <row r="526" ht="12.75" customHeight="1">
      <c r="A526" s="316"/>
      <c r="K526" s="102"/>
      <c r="L526" s="102"/>
      <c r="M526" s="102"/>
      <c r="N526" s="102"/>
      <c r="O526" s="102"/>
      <c r="P526" s="102"/>
      <c r="Q526" s="102"/>
      <c r="R526" s="102"/>
      <c r="S526" s="102"/>
      <c r="T526" s="102"/>
      <c r="U526" s="102"/>
      <c r="V526" s="102"/>
      <c r="W526" s="102"/>
      <c r="X526" s="102"/>
      <c r="Y526" s="102"/>
      <c r="Z526" s="102"/>
      <c r="AA526" s="102"/>
      <c r="AB526" s="102"/>
      <c r="AC526" s="102"/>
      <c r="AD526" s="102"/>
      <c r="AE526" s="102"/>
      <c r="AF526" s="102"/>
      <c r="AG526" s="102"/>
      <c r="AH526" s="102"/>
      <c r="AI526" s="102"/>
      <c r="AJ526" s="102"/>
      <c r="AK526" s="102"/>
      <c r="AL526" s="102"/>
      <c r="AM526" s="102"/>
      <c r="AN526" s="102"/>
      <c r="AO526" s="102"/>
      <c r="AP526" s="102"/>
      <c r="AQ526" s="102"/>
      <c r="AR526" s="102"/>
      <c r="AS526" s="102"/>
      <c r="AT526" s="102"/>
      <c r="AU526" s="102"/>
      <c r="AV526" s="102"/>
      <c r="AW526" s="90"/>
      <c r="AX526" s="90"/>
      <c r="AY526" s="90"/>
      <c r="AZ526" s="90"/>
      <c r="BA526" s="90"/>
      <c r="BB526" s="90"/>
      <c r="BC526" s="90"/>
      <c r="BD526" s="90"/>
      <c r="BE526" s="90"/>
      <c r="BF526" s="90"/>
      <c r="BG526" s="90"/>
      <c r="BH526" s="90"/>
      <c r="BI526" s="90"/>
      <c r="BJ526" s="90"/>
      <c r="BK526" s="90"/>
      <c r="BL526" s="90"/>
      <c r="BM526" s="90"/>
      <c r="BN526" s="90"/>
      <c r="BO526" s="90"/>
      <c r="BP526" s="90"/>
    </row>
    <row r="527" ht="12.75" customHeight="1">
      <c r="A527" s="316"/>
      <c r="K527" s="102"/>
      <c r="L527" s="102"/>
      <c r="M527" s="102"/>
      <c r="N527" s="102"/>
      <c r="O527" s="102"/>
      <c r="P527" s="102"/>
      <c r="Q527" s="102"/>
      <c r="R527" s="102"/>
      <c r="S527" s="102"/>
      <c r="T527" s="102"/>
      <c r="U527" s="102"/>
      <c r="V527" s="102"/>
      <c r="W527" s="102"/>
      <c r="X527" s="102"/>
      <c r="Y527" s="102"/>
      <c r="Z527" s="102"/>
      <c r="AA527" s="102"/>
      <c r="AB527" s="102"/>
      <c r="AC527" s="102"/>
      <c r="AD527" s="102"/>
      <c r="AE527" s="102"/>
      <c r="AF527" s="102"/>
      <c r="AG527" s="102"/>
      <c r="AH527" s="102"/>
      <c r="AI527" s="102"/>
      <c r="AJ527" s="102"/>
      <c r="AK527" s="102"/>
      <c r="AL527" s="102"/>
      <c r="AM527" s="102"/>
      <c r="AN527" s="102"/>
      <c r="AO527" s="102"/>
      <c r="AP527" s="102"/>
      <c r="AQ527" s="102"/>
      <c r="AR527" s="102"/>
      <c r="AS527" s="102"/>
      <c r="AT527" s="102"/>
      <c r="AU527" s="102"/>
      <c r="AV527" s="102"/>
      <c r="AW527" s="90"/>
      <c r="AX527" s="90"/>
      <c r="AY527" s="90"/>
      <c r="AZ527" s="90"/>
      <c r="BA527" s="90"/>
      <c r="BB527" s="90"/>
      <c r="BC527" s="90"/>
      <c r="BD527" s="90"/>
      <c r="BE527" s="90"/>
      <c r="BF527" s="90"/>
      <c r="BG527" s="90"/>
      <c r="BH527" s="90"/>
      <c r="BI527" s="90"/>
      <c r="BJ527" s="90"/>
      <c r="BK527" s="90"/>
      <c r="BL527" s="90"/>
      <c r="BM527" s="90"/>
      <c r="BN527" s="90"/>
      <c r="BO527" s="90"/>
      <c r="BP527" s="90"/>
    </row>
    <row r="528" ht="12.75" customHeight="1">
      <c r="A528" s="316"/>
      <c r="K528" s="102"/>
      <c r="L528" s="102"/>
      <c r="M528" s="102"/>
      <c r="N528" s="102"/>
      <c r="O528" s="102"/>
      <c r="P528" s="102"/>
      <c r="Q528" s="102"/>
      <c r="R528" s="102"/>
      <c r="S528" s="102"/>
      <c r="T528" s="102"/>
      <c r="U528" s="102"/>
      <c r="V528" s="102"/>
      <c r="W528" s="102"/>
      <c r="X528" s="102"/>
      <c r="Y528" s="102"/>
      <c r="Z528" s="102"/>
      <c r="AA528" s="102"/>
      <c r="AB528" s="102"/>
      <c r="AC528" s="102"/>
      <c r="AD528" s="102"/>
      <c r="AE528" s="102"/>
      <c r="AF528" s="102"/>
      <c r="AG528" s="102"/>
      <c r="AH528" s="102"/>
      <c r="AI528" s="102"/>
      <c r="AJ528" s="102"/>
      <c r="AK528" s="102"/>
      <c r="AL528" s="102"/>
      <c r="AM528" s="102"/>
      <c r="AN528" s="102"/>
      <c r="AO528" s="102"/>
      <c r="AP528" s="102"/>
      <c r="AQ528" s="102"/>
      <c r="AR528" s="102"/>
      <c r="AS528" s="102"/>
      <c r="AT528" s="102"/>
      <c r="AU528" s="102"/>
      <c r="AV528" s="102"/>
      <c r="AW528" s="90"/>
      <c r="AX528" s="90"/>
      <c r="AY528" s="90"/>
      <c r="AZ528" s="90"/>
      <c r="BA528" s="90"/>
      <c r="BB528" s="90"/>
      <c r="BC528" s="90"/>
      <c r="BD528" s="90"/>
      <c r="BE528" s="90"/>
      <c r="BF528" s="90"/>
      <c r="BG528" s="90"/>
      <c r="BH528" s="90"/>
      <c r="BI528" s="90"/>
      <c r="BJ528" s="90"/>
      <c r="BK528" s="90"/>
      <c r="BL528" s="90"/>
      <c r="BM528" s="90"/>
      <c r="BN528" s="90"/>
      <c r="BO528" s="90"/>
      <c r="BP528" s="90"/>
    </row>
    <row r="529" ht="12.75" customHeight="1">
      <c r="A529" s="316"/>
      <c r="K529" s="102"/>
      <c r="L529" s="102"/>
      <c r="M529" s="102"/>
      <c r="N529" s="102"/>
      <c r="O529" s="102"/>
      <c r="P529" s="102"/>
      <c r="Q529" s="102"/>
      <c r="R529" s="102"/>
      <c r="S529" s="102"/>
      <c r="T529" s="102"/>
      <c r="U529" s="102"/>
      <c r="V529" s="102"/>
      <c r="W529" s="102"/>
      <c r="X529" s="102"/>
      <c r="Y529" s="102"/>
      <c r="Z529" s="102"/>
      <c r="AA529" s="102"/>
      <c r="AB529" s="102"/>
      <c r="AC529" s="102"/>
      <c r="AD529" s="102"/>
      <c r="AE529" s="102"/>
      <c r="AF529" s="102"/>
      <c r="AG529" s="102"/>
      <c r="AH529" s="102"/>
      <c r="AI529" s="102"/>
      <c r="AJ529" s="102"/>
      <c r="AK529" s="102"/>
      <c r="AL529" s="102"/>
      <c r="AM529" s="102"/>
      <c r="AN529" s="102"/>
      <c r="AO529" s="102"/>
      <c r="AP529" s="102"/>
      <c r="AQ529" s="102"/>
      <c r="AR529" s="102"/>
      <c r="AS529" s="102"/>
      <c r="AT529" s="102"/>
      <c r="AU529" s="102"/>
      <c r="AV529" s="102"/>
      <c r="AW529" s="90"/>
      <c r="AX529" s="90"/>
      <c r="AY529" s="90"/>
      <c r="AZ529" s="90"/>
      <c r="BA529" s="90"/>
      <c r="BB529" s="90"/>
      <c r="BC529" s="90"/>
      <c r="BD529" s="90"/>
      <c r="BE529" s="90"/>
      <c r="BF529" s="90"/>
      <c r="BG529" s="90"/>
      <c r="BH529" s="90"/>
      <c r="BI529" s="90"/>
      <c r="BJ529" s="90"/>
      <c r="BK529" s="90"/>
      <c r="BL529" s="90"/>
      <c r="BM529" s="90"/>
      <c r="BN529" s="90"/>
      <c r="BO529" s="90"/>
      <c r="BP529" s="90"/>
    </row>
    <row r="530" ht="12.75" customHeight="1">
      <c r="A530" s="316"/>
      <c r="K530" s="102"/>
      <c r="L530" s="102"/>
      <c r="M530" s="102"/>
      <c r="N530" s="102"/>
      <c r="O530" s="102"/>
      <c r="P530" s="102"/>
      <c r="Q530" s="102"/>
      <c r="R530" s="102"/>
      <c r="S530" s="102"/>
      <c r="T530" s="102"/>
      <c r="U530" s="102"/>
      <c r="V530" s="102"/>
      <c r="W530" s="102"/>
      <c r="X530" s="102"/>
      <c r="Y530" s="102"/>
      <c r="Z530" s="102"/>
      <c r="AA530" s="102"/>
      <c r="AB530" s="102"/>
      <c r="AC530" s="102"/>
      <c r="AD530" s="102"/>
      <c r="AE530" s="102"/>
      <c r="AF530" s="102"/>
      <c r="AG530" s="102"/>
      <c r="AH530" s="102"/>
      <c r="AI530" s="102"/>
      <c r="AJ530" s="102"/>
      <c r="AK530" s="102"/>
      <c r="AL530" s="102"/>
      <c r="AM530" s="102"/>
      <c r="AN530" s="102"/>
      <c r="AO530" s="102"/>
      <c r="AP530" s="102"/>
      <c r="AQ530" s="102"/>
      <c r="AR530" s="102"/>
      <c r="AS530" s="102"/>
      <c r="AT530" s="102"/>
      <c r="AU530" s="102"/>
      <c r="AV530" s="102"/>
      <c r="AW530" s="90"/>
      <c r="AX530" s="90"/>
      <c r="AY530" s="90"/>
      <c r="AZ530" s="90"/>
      <c r="BA530" s="90"/>
      <c r="BB530" s="90"/>
      <c r="BC530" s="90"/>
      <c r="BD530" s="90"/>
      <c r="BE530" s="90"/>
      <c r="BF530" s="90"/>
      <c r="BG530" s="90"/>
      <c r="BH530" s="90"/>
      <c r="BI530" s="90"/>
      <c r="BJ530" s="90"/>
      <c r="BK530" s="90"/>
      <c r="BL530" s="90"/>
      <c r="BM530" s="90"/>
      <c r="BN530" s="90"/>
      <c r="BO530" s="90"/>
      <c r="BP530" s="90"/>
    </row>
    <row r="531" ht="12.75" customHeight="1">
      <c r="A531" s="316"/>
      <c r="K531" s="102"/>
      <c r="L531" s="102"/>
      <c r="M531" s="102"/>
      <c r="N531" s="102"/>
      <c r="O531" s="102"/>
      <c r="P531" s="102"/>
      <c r="Q531" s="102"/>
      <c r="R531" s="102"/>
      <c r="S531" s="102"/>
      <c r="T531" s="102"/>
      <c r="U531" s="102"/>
      <c r="V531" s="102"/>
      <c r="W531" s="102"/>
      <c r="X531" s="102"/>
      <c r="Y531" s="102"/>
      <c r="Z531" s="102"/>
      <c r="AA531" s="102"/>
      <c r="AB531" s="102"/>
      <c r="AC531" s="102"/>
      <c r="AD531" s="102"/>
      <c r="AE531" s="102"/>
      <c r="AF531" s="102"/>
      <c r="AG531" s="102"/>
      <c r="AH531" s="102"/>
      <c r="AI531" s="102"/>
      <c r="AJ531" s="102"/>
      <c r="AK531" s="102"/>
      <c r="AL531" s="102"/>
      <c r="AM531" s="102"/>
      <c r="AN531" s="102"/>
      <c r="AO531" s="102"/>
      <c r="AP531" s="102"/>
      <c r="AQ531" s="102"/>
      <c r="AR531" s="102"/>
      <c r="AS531" s="102"/>
      <c r="AT531" s="102"/>
      <c r="AU531" s="102"/>
      <c r="AV531" s="102"/>
      <c r="AW531" s="90"/>
      <c r="AX531" s="90"/>
      <c r="AY531" s="90"/>
      <c r="AZ531" s="90"/>
      <c r="BA531" s="90"/>
      <c r="BB531" s="90"/>
      <c r="BC531" s="90"/>
      <c r="BD531" s="90"/>
      <c r="BE531" s="90"/>
      <c r="BF531" s="90"/>
      <c r="BG531" s="90"/>
      <c r="BH531" s="90"/>
      <c r="BI531" s="90"/>
      <c r="BJ531" s="90"/>
      <c r="BK531" s="90"/>
      <c r="BL531" s="90"/>
      <c r="BM531" s="90"/>
      <c r="BN531" s="90"/>
      <c r="BO531" s="90"/>
      <c r="BP531" s="90"/>
    </row>
    <row r="532" ht="12.75" customHeight="1">
      <c r="A532" s="316"/>
      <c r="K532" s="102"/>
      <c r="L532" s="102"/>
      <c r="M532" s="102"/>
      <c r="N532" s="102"/>
      <c r="O532" s="102"/>
      <c r="P532" s="102"/>
      <c r="Q532" s="102"/>
      <c r="R532" s="102"/>
      <c r="S532" s="102"/>
      <c r="T532" s="102"/>
      <c r="U532" s="102"/>
      <c r="V532" s="102"/>
      <c r="W532" s="102"/>
      <c r="X532" s="102"/>
      <c r="Y532" s="102"/>
      <c r="Z532" s="102"/>
      <c r="AA532" s="102"/>
      <c r="AB532" s="102"/>
      <c r="AC532" s="102"/>
      <c r="AD532" s="102"/>
      <c r="AE532" s="102"/>
      <c r="AF532" s="102"/>
      <c r="AG532" s="102"/>
      <c r="AH532" s="102"/>
      <c r="AI532" s="102"/>
      <c r="AJ532" s="102"/>
      <c r="AK532" s="102"/>
      <c r="AL532" s="102"/>
      <c r="AM532" s="102"/>
      <c r="AN532" s="102"/>
      <c r="AO532" s="102"/>
      <c r="AP532" s="102"/>
      <c r="AQ532" s="102"/>
      <c r="AR532" s="102"/>
      <c r="AS532" s="102"/>
      <c r="AT532" s="102"/>
      <c r="AU532" s="102"/>
      <c r="AV532" s="102"/>
      <c r="AW532" s="90"/>
      <c r="AX532" s="90"/>
      <c r="AY532" s="90"/>
      <c r="AZ532" s="90"/>
      <c r="BA532" s="90"/>
      <c r="BB532" s="90"/>
      <c r="BC532" s="90"/>
      <c r="BD532" s="90"/>
      <c r="BE532" s="90"/>
      <c r="BF532" s="90"/>
      <c r="BG532" s="90"/>
      <c r="BH532" s="90"/>
      <c r="BI532" s="90"/>
      <c r="BJ532" s="90"/>
      <c r="BK532" s="90"/>
      <c r="BL532" s="90"/>
      <c r="BM532" s="90"/>
      <c r="BN532" s="90"/>
      <c r="BO532" s="90"/>
      <c r="BP532" s="90"/>
    </row>
    <row r="533" ht="12.75" customHeight="1">
      <c r="A533" s="316"/>
      <c r="K533" s="102"/>
      <c r="L533" s="102"/>
      <c r="M533" s="102"/>
      <c r="N533" s="102"/>
      <c r="O533" s="102"/>
      <c r="P533" s="102"/>
      <c r="Q533" s="102"/>
      <c r="R533" s="102"/>
      <c r="S533" s="102"/>
      <c r="T533" s="102"/>
      <c r="U533" s="102"/>
      <c r="V533" s="102"/>
      <c r="W533" s="102"/>
      <c r="X533" s="102"/>
      <c r="Y533" s="102"/>
      <c r="Z533" s="102"/>
      <c r="AA533" s="102"/>
      <c r="AB533" s="102"/>
      <c r="AC533" s="102"/>
      <c r="AD533" s="102"/>
      <c r="AE533" s="102"/>
      <c r="AF533" s="102"/>
      <c r="AG533" s="102"/>
      <c r="AH533" s="102"/>
      <c r="AI533" s="102"/>
      <c r="AJ533" s="102"/>
      <c r="AK533" s="102"/>
      <c r="AL533" s="102"/>
      <c r="AM533" s="102"/>
      <c r="AN533" s="102"/>
      <c r="AO533" s="102"/>
      <c r="AP533" s="102"/>
      <c r="AQ533" s="102"/>
      <c r="AR533" s="102"/>
      <c r="AS533" s="102"/>
      <c r="AT533" s="102"/>
      <c r="AU533" s="102"/>
      <c r="AV533" s="102"/>
      <c r="AW533" s="90"/>
      <c r="AX533" s="90"/>
      <c r="AY533" s="90"/>
      <c r="AZ533" s="90"/>
      <c r="BA533" s="90"/>
      <c r="BB533" s="90"/>
      <c r="BC533" s="90"/>
      <c r="BD533" s="90"/>
      <c r="BE533" s="90"/>
      <c r="BF533" s="90"/>
      <c r="BG533" s="90"/>
      <c r="BH533" s="90"/>
      <c r="BI533" s="90"/>
      <c r="BJ533" s="90"/>
      <c r="BK533" s="90"/>
      <c r="BL533" s="90"/>
      <c r="BM533" s="90"/>
      <c r="BN533" s="90"/>
      <c r="BO533" s="90"/>
      <c r="BP533" s="90"/>
    </row>
    <row r="534" ht="12.75" customHeight="1">
      <c r="A534" s="316"/>
      <c r="K534" s="102"/>
      <c r="L534" s="102"/>
      <c r="M534" s="102"/>
      <c r="N534" s="102"/>
      <c r="O534" s="102"/>
      <c r="P534" s="102"/>
      <c r="Q534" s="102"/>
      <c r="R534" s="102"/>
      <c r="S534" s="102"/>
      <c r="T534" s="102"/>
      <c r="U534" s="102"/>
      <c r="V534" s="102"/>
      <c r="W534" s="102"/>
      <c r="X534" s="102"/>
      <c r="Y534" s="102"/>
      <c r="Z534" s="102"/>
      <c r="AA534" s="102"/>
      <c r="AB534" s="102"/>
      <c r="AC534" s="102"/>
      <c r="AD534" s="102"/>
      <c r="AE534" s="102"/>
      <c r="AF534" s="102"/>
      <c r="AG534" s="102"/>
      <c r="AH534" s="102"/>
      <c r="AI534" s="102"/>
      <c r="AJ534" s="102"/>
      <c r="AK534" s="102"/>
      <c r="AL534" s="102"/>
      <c r="AM534" s="102"/>
      <c r="AN534" s="102"/>
      <c r="AO534" s="102"/>
      <c r="AP534" s="102"/>
      <c r="AQ534" s="102"/>
      <c r="AR534" s="102"/>
      <c r="AS534" s="102"/>
      <c r="AT534" s="102"/>
      <c r="AU534" s="102"/>
      <c r="AV534" s="102"/>
      <c r="AW534" s="90"/>
      <c r="AX534" s="90"/>
      <c r="AY534" s="90"/>
      <c r="AZ534" s="90"/>
      <c r="BA534" s="90"/>
      <c r="BB534" s="90"/>
      <c r="BC534" s="90"/>
      <c r="BD534" s="90"/>
      <c r="BE534" s="90"/>
      <c r="BF534" s="90"/>
      <c r="BG534" s="90"/>
      <c r="BH534" s="90"/>
      <c r="BI534" s="90"/>
      <c r="BJ534" s="90"/>
      <c r="BK534" s="90"/>
      <c r="BL534" s="90"/>
      <c r="BM534" s="90"/>
      <c r="BN534" s="90"/>
      <c r="BO534" s="90"/>
      <c r="BP534" s="90"/>
    </row>
    <row r="535" ht="12.75" customHeight="1">
      <c r="A535" s="316"/>
      <c r="K535" s="102"/>
      <c r="L535" s="102"/>
      <c r="M535" s="102"/>
      <c r="N535" s="102"/>
      <c r="O535" s="102"/>
      <c r="P535" s="102"/>
      <c r="Q535" s="102"/>
      <c r="R535" s="102"/>
      <c r="S535" s="102"/>
      <c r="T535" s="102"/>
      <c r="U535" s="102"/>
      <c r="V535" s="102"/>
      <c r="W535" s="102"/>
      <c r="X535" s="102"/>
      <c r="Y535" s="102"/>
      <c r="Z535" s="102"/>
      <c r="AA535" s="102"/>
      <c r="AB535" s="102"/>
      <c r="AC535" s="102"/>
      <c r="AD535" s="102"/>
      <c r="AE535" s="102"/>
      <c r="AF535" s="102"/>
      <c r="AG535" s="102"/>
      <c r="AH535" s="102"/>
      <c r="AI535" s="102"/>
      <c r="AJ535" s="102"/>
      <c r="AK535" s="102"/>
      <c r="AL535" s="102"/>
      <c r="AM535" s="102"/>
      <c r="AN535" s="102"/>
      <c r="AO535" s="102"/>
      <c r="AP535" s="102"/>
      <c r="AQ535" s="102"/>
      <c r="AR535" s="102"/>
      <c r="AS535" s="102"/>
      <c r="AT535" s="102"/>
      <c r="AU535" s="102"/>
      <c r="AV535" s="102"/>
      <c r="AW535" s="90"/>
      <c r="AX535" s="90"/>
      <c r="AY535" s="90"/>
      <c r="AZ535" s="90"/>
      <c r="BA535" s="90"/>
      <c r="BB535" s="90"/>
      <c r="BC535" s="90"/>
      <c r="BD535" s="90"/>
      <c r="BE535" s="90"/>
      <c r="BF535" s="90"/>
      <c r="BG535" s="90"/>
      <c r="BH535" s="90"/>
      <c r="BI535" s="90"/>
      <c r="BJ535" s="90"/>
      <c r="BK535" s="90"/>
      <c r="BL535" s="90"/>
      <c r="BM535" s="90"/>
      <c r="BN535" s="90"/>
      <c r="BO535" s="90"/>
      <c r="BP535" s="90"/>
    </row>
    <row r="536" ht="12.75" customHeight="1">
      <c r="A536" s="316"/>
      <c r="K536" s="102"/>
      <c r="L536" s="102"/>
      <c r="M536" s="102"/>
      <c r="N536" s="102"/>
      <c r="O536" s="102"/>
      <c r="P536" s="102"/>
      <c r="Q536" s="102"/>
      <c r="R536" s="102"/>
      <c r="S536" s="102"/>
      <c r="T536" s="102"/>
      <c r="U536" s="102"/>
      <c r="V536" s="102"/>
      <c r="W536" s="102"/>
      <c r="X536" s="102"/>
      <c r="Y536" s="102"/>
      <c r="Z536" s="102"/>
      <c r="AA536" s="102"/>
      <c r="AB536" s="102"/>
      <c r="AC536" s="102"/>
      <c r="AD536" s="102"/>
      <c r="AE536" s="102"/>
      <c r="AF536" s="102"/>
      <c r="AG536" s="102"/>
      <c r="AH536" s="102"/>
      <c r="AI536" s="102"/>
      <c r="AJ536" s="102"/>
      <c r="AK536" s="102"/>
      <c r="AL536" s="102"/>
      <c r="AM536" s="102"/>
      <c r="AN536" s="102"/>
      <c r="AO536" s="102"/>
      <c r="AP536" s="102"/>
      <c r="AQ536" s="102"/>
      <c r="AR536" s="102"/>
      <c r="AS536" s="102"/>
      <c r="AT536" s="102"/>
      <c r="AU536" s="102"/>
      <c r="AV536" s="102"/>
      <c r="AW536" s="90"/>
      <c r="AX536" s="90"/>
      <c r="AY536" s="90"/>
      <c r="AZ536" s="90"/>
      <c r="BA536" s="90"/>
      <c r="BB536" s="90"/>
      <c r="BC536" s="90"/>
      <c r="BD536" s="90"/>
      <c r="BE536" s="90"/>
      <c r="BF536" s="90"/>
      <c r="BG536" s="90"/>
      <c r="BH536" s="90"/>
      <c r="BI536" s="90"/>
      <c r="BJ536" s="90"/>
      <c r="BK536" s="90"/>
      <c r="BL536" s="90"/>
      <c r="BM536" s="90"/>
      <c r="BN536" s="90"/>
      <c r="BO536" s="90"/>
      <c r="BP536" s="90"/>
    </row>
    <row r="537" ht="12.75" customHeight="1">
      <c r="A537" s="316"/>
      <c r="K537" s="102"/>
      <c r="L537" s="102"/>
      <c r="M537" s="102"/>
      <c r="N537" s="102"/>
      <c r="O537" s="102"/>
      <c r="P537" s="102"/>
      <c r="Q537" s="102"/>
      <c r="R537" s="102"/>
      <c r="S537" s="102"/>
      <c r="T537" s="102"/>
      <c r="U537" s="102"/>
      <c r="V537" s="102"/>
      <c r="W537" s="102"/>
      <c r="X537" s="102"/>
      <c r="Y537" s="102"/>
      <c r="Z537" s="102"/>
      <c r="AA537" s="102"/>
      <c r="AB537" s="102"/>
      <c r="AC537" s="102"/>
      <c r="AD537" s="102"/>
      <c r="AE537" s="102"/>
      <c r="AF537" s="102"/>
      <c r="AG537" s="102"/>
      <c r="AH537" s="102"/>
      <c r="AI537" s="102"/>
      <c r="AJ537" s="102"/>
      <c r="AK537" s="102"/>
      <c r="AL537" s="102"/>
      <c r="AM537" s="102"/>
      <c r="AN537" s="102"/>
      <c r="AO537" s="102"/>
      <c r="AP537" s="102"/>
      <c r="AQ537" s="102"/>
      <c r="AR537" s="102"/>
      <c r="AS537" s="102"/>
      <c r="AT537" s="102"/>
      <c r="AU537" s="102"/>
      <c r="AV537" s="102"/>
      <c r="AW537" s="90"/>
      <c r="AX537" s="90"/>
      <c r="AY537" s="90"/>
      <c r="AZ537" s="90"/>
      <c r="BA537" s="90"/>
      <c r="BB537" s="90"/>
      <c r="BC537" s="90"/>
      <c r="BD537" s="90"/>
      <c r="BE537" s="90"/>
      <c r="BF537" s="90"/>
      <c r="BG537" s="90"/>
      <c r="BH537" s="90"/>
      <c r="BI537" s="90"/>
      <c r="BJ537" s="90"/>
      <c r="BK537" s="90"/>
      <c r="BL537" s="90"/>
      <c r="BM537" s="90"/>
      <c r="BN537" s="90"/>
      <c r="BO537" s="90"/>
      <c r="BP537" s="90"/>
    </row>
    <row r="538" ht="12.75" customHeight="1">
      <c r="A538" s="316"/>
      <c r="K538" s="102"/>
      <c r="L538" s="102"/>
      <c r="M538" s="102"/>
      <c r="N538" s="102"/>
      <c r="O538" s="102"/>
      <c r="P538" s="102"/>
      <c r="Q538" s="102"/>
      <c r="R538" s="102"/>
      <c r="S538" s="102"/>
      <c r="T538" s="102"/>
      <c r="U538" s="102"/>
      <c r="V538" s="102"/>
      <c r="W538" s="102"/>
      <c r="X538" s="102"/>
      <c r="Y538" s="102"/>
      <c r="Z538" s="102"/>
      <c r="AA538" s="102"/>
      <c r="AB538" s="102"/>
      <c r="AC538" s="102"/>
      <c r="AD538" s="102"/>
      <c r="AE538" s="102"/>
      <c r="AF538" s="102"/>
      <c r="AG538" s="102"/>
      <c r="AH538" s="102"/>
      <c r="AI538" s="102"/>
      <c r="AJ538" s="102"/>
      <c r="AK538" s="102"/>
      <c r="AL538" s="102"/>
      <c r="AM538" s="102"/>
      <c r="AN538" s="102"/>
      <c r="AO538" s="102"/>
      <c r="AP538" s="102"/>
      <c r="AQ538" s="102"/>
      <c r="AR538" s="102"/>
      <c r="AS538" s="102"/>
      <c r="AT538" s="102"/>
      <c r="AU538" s="102"/>
      <c r="AV538" s="102"/>
      <c r="AW538" s="90"/>
      <c r="AX538" s="90"/>
      <c r="AY538" s="90"/>
      <c r="AZ538" s="90"/>
      <c r="BA538" s="90"/>
      <c r="BB538" s="90"/>
      <c r="BC538" s="90"/>
      <c r="BD538" s="90"/>
      <c r="BE538" s="90"/>
      <c r="BF538" s="90"/>
      <c r="BG538" s="90"/>
      <c r="BH538" s="90"/>
      <c r="BI538" s="90"/>
      <c r="BJ538" s="90"/>
      <c r="BK538" s="90"/>
      <c r="BL538" s="90"/>
      <c r="BM538" s="90"/>
      <c r="BN538" s="90"/>
      <c r="BO538" s="90"/>
      <c r="BP538" s="90"/>
    </row>
    <row r="539" ht="12.75" customHeight="1">
      <c r="A539" s="316"/>
      <c r="K539" s="102"/>
      <c r="L539" s="102"/>
      <c r="M539" s="102"/>
      <c r="N539" s="102"/>
      <c r="O539" s="102"/>
      <c r="P539" s="102"/>
      <c r="Q539" s="102"/>
      <c r="R539" s="102"/>
      <c r="S539" s="102"/>
      <c r="T539" s="102"/>
      <c r="U539" s="102"/>
      <c r="V539" s="102"/>
      <c r="W539" s="102"/>
      <c r="X539" s="102"/>
      <c r="Y539" s="102"/>
      <c r="Z539" s="102"/>
      <c r="AA539" s="102"/>
      <c r="AB539" s="102"/>
      <c r="AC539" s="102"/>
      <c r="AD539" s="102"/>
      <c r="AE539" s="102"/>
      <c r="AF539" s="102"/>
      <c r="AG539" s="102"/>
      <c r="AH539" s="102"/>
      <c r="AI539" s="102"/>
      <c r="AJ539" s="102"/>
      <c r="AK539" s="102"/>
      <c r="AL539" s="102"/>
      <c r="AM539" s="102"/>
      <c r="AN539" s="102"/>
      <c r="AO539" s="102"/>
      <c r="AP539" s="102"/>
      <c r="AQ539" s="102"/>
      <c r="AR539" s="102"/>
      <c r="AS539" s="102"/>
      <c r="AT539" s="102"/>
      <c r="AU539" s="102"/>
      <c r="AV539" s="102"/>
      <c r="AW539" s="90"/>
      <c r="AX539" s="90"/>
      <c r="AY539" s="90"/>
      <c r="AZ539" s="90"/>
      <c r="BA539" s="90"/>
      <c r="BB539" s="90"/>
      <c r="BC539" s="90"/>
      <c r="BD539" s="90"/>
      <c r="BE539" s="90"/>
      <c r="BF539" s="90"/>
      <c r="BG539" s="90"/>
      <c r="BH539" s="90"/>
      <c r="BI539" s="90"/>
      <c r="BJ539" s="90"/>
      <c r="BK539" s="90"/>
      <c r="BL539" s="90"/>
      <c r="BM539" s="90"/>
      <c r="BN539" s="90"/>
      <c r="BO539" s="90"/>
      <c r="BP539" s="90"/>
    </row>
    <row r="540" ht="12.75" customHeight="1">
      <c r="A540" s="316"/>
      <c r="K540" s="102"/>
      <c r="L540" s="102"/>
      <c r="M540" s="102"/>
      <c r="N540" s="102"/>
      <c r="O540" s="102"/>
      <c r="P540" s="102"/>
      <c r="Q540" s="102"/>
      <c r="R540" s="102"/>
      <c r="S540" s="102"/>
      <c r="T540" s="102"/>
      <c r="U540" s="102"/>
      <c r="V540" s="102"/>
      <c r="W540" s="102"/>
      <c r="X540" s="102"/>
      <c r="Y540" s="102"/>
      <c r="Z540" s="102"/>
      <c r="AA540" s="102"/>
      <c r="AB540" s="102"/>
      <c r="AC540" s="102"/>
      <c r="AD540" s="102"/>
      <c r="AE540" s="102"/>
      <c r="AF540" s="102"/>
      <c r="AG540" s="102"/>
      <c r="AH540" s="102"/>
      <c r="AI540" s="102"/>
      <c r="AJ540" s="102"/>
      <c r="AK540" s="102"/>
      <c r="AL540" s="102"/>
      <c r="AM540" s="102"/>
      <c r="AN540" s="102"/>
      <c r="AO540" s="102"/>
      <c r="AP540" s="102"/>
      <c r="AQ540" s="102"/>
      <c r="AR540" s="102"/>
      <c r="AS540" s="102"/>
      <c r="AT540" s="102"/>
      <c r="AU540" s="102"/>
      <c r="AV540" s="102"/>
      <c r="AW540" s="90"/>
      <c r="AX540" s="90"/>
      <c r="AY540" s="90"/>
      <c r="AZ540" s="90"/>
      <c r="BA540" s="90"/>
      <c r="BB540" s="90"/>
      <c r="BC540" s="90"/>
      <c r="BD540" s="90"/>
      <c r="BE540" s="90"/>
      <c r="BF540" s="90"/>
      <c r="BG540" s="90"/>
      <c r="BH540" s="90"/>
      <c r="BI540" s="90"/>
      <c r="BJ540" s="90"/>
      <c r="BK540" s="90"/>
      <c r="BL540" s="90"/>
      <c r="BM540" s="90"/>
      <c r="BN540" s="90"/>
      <c r="BO540" s="90"/>
      <c r="BP540" s="90"/>
    </row>
    <row r="541" ht="12.75" customHeight="1">
      <c r="A541" s="316"/>
      <c r="K541" s="102"/>
      <c r="L541" s="102"/>
      <c r="M541" s="102"/>
      <c r="N541" s="102"/>
      <c r="O541" s="102"/>
      <c r="P541" s="102"/>
      <c r="Q541" s="102"/>
      <c r="R541" s="102"/>
      <c r="S541" s="102"/>
      <c r="T541" s="102"/>
      <c r="U541" s="102"/>
      <c r="V541" s="102"/>
      <c r="W541" s="102"/>
      <c r="X541" s="102"/>
      <c r="Y541" s="102"/>
      <c r="Z541" s="102"/>
      <c r="AA541" s="102"/>
      <c r="AB541" s="102"/>
      <c r="AC541" s="102"/>
      <c r="AD541" s="102"/>
      <c r="AE541" s="102"/>
      <c r="AF541" s="102"/>
      <c r="AG541" s="102"/>
      <c r="AH541" s="102"/>
      <c r="AI541" s="102"/>
      <c r="AJ541" s="102"/>
      <c r="AK541" s="102"/>
      <c r="AL541" s="102"/>
      <c r="AM541" s="102"/>
      <c r="AN541" s="102"/>
      <c r="AO541" s="102"/>
      <c r="AP541" s="102"/>
      <c r="AQ541" s="102"/>
      <c r="AR541" s="102"/>
      <c r="AS541" s="102"/>
      <c r="AT541" s="102"/>
      <c r="AU541" s="102"/>
      <c r="AV541" s="102"/>
      <c r="AW541" s="90"/>
      <c r="AX541" s="90"/>
      <c r="AY541" s="90"/>
      <c r="AZ541" s="90"/>
      <c r="BA541" s="90"/>
      <c r="BB541" s="90"/>
      <c r="BC541" s="90"/>
      <c r="BD541" s="90"/>
      <c r="BE541" s="90"/>
      <c r="BF541" s="90"/>
      <c r="BG541" s="90"/>
      <c r="BH541" s="90"/>
      <c r="BI541" s="90"/>
      <c r="BJ541" s="90"/>
      <c r="BK541" s="90"/>
      <c r="BL541" s="90"/>
      <c r="BM541" s="90"/>
      <c r="BN541" s="90"/>
      <c r="BO541" s="90"/>
      <c r="BP541" s="90"/>
    </row>
    <row r="542" ht="12.75" customHeight="1">
      <c r="A542" s="316"/>
      <c r="K542" s="102"/>
      <c r="L542" s="102"/>
      <c r="M542" s="102"/>
      <c r="N542" s="102"/>
      <c r="O542" s="102"/>
      <c r="P542" s="102"/>
      <c r="Q542" s="102"/>
      <c r="R542" s="102"/>
      <c r="S542" s="102"/>
      <c r="T542" s="102"/>
      <c r="U542" s="102"/>
      <c r="V542" s="102"/>
      <c r="W542" s="102"/>
      <c r="X542" s="102"/>
      <c r="Y542" s="102"/>
      <c r="Z542" s="102"/>
      <c r="AA542" s="102"/>
      <c r="AB542" s="102"/>
      <c r="AC542" s="102"/>
      <c r="AD542" s="102"/>
      <c r="AE542" s="102"/>
      <c r="AF542" s="102"/>
      <c r="AG542" s="102"/>
      <c r="AH542" s="102"/>
      <c r="AI542" s="102"/>
      <c r="AJ542" s="102"/>
      <c r="AK542" s="102"/>
      <c r="AL542" s="102"/>
      <c r="AM542" s="102"/>
      <c r="AN542" s="102"/>
      <c r="AO542" s="102"/>
      <c r="AP542" s="102"/>
      <c r="AQ542" s="102"/>
      <c r="AR542" s="102"/>
      <c r="AS542" s="102"/>
      <c r="AT542" s="102"/>
      <c r="AU542" s="102"/>
      <c r="AV542" s="102"/>
      <c r="AW542" s="90"/>
      <c r="AX542" s="90"/>
      <c r="AY542" s="90"/>
      <c r="AZ542" s="90"/>
      <c r="BA542" s="90"/>
      <c r="BB542" s="90"/>
      <c r="BC542" s="90"/>
      <c r="BD542" s="90"/>
      <c r="BE542" s="90"/>
      <c r="BF542" s="90"/>
      <c r="BG542" s="90"/>
      <c r="BH542" s="90"/>
      <c r="BI542" s="90"/>
      <c r="BJ542" s="90"/>
      <c r="BK542" s="90"/>
      <c r="BL542" s="90"/>
      <c r="BM542" s="90"/>
      <c r="BN542" s="90"/>
      <c r="BO542" s="90"/>
      <c r="BP542" s="90"/>
    </row>
    <row r="543" ht="12.75" customHeight="1">
      <c r="A543" s="316"/>
      <c r="K543" s="102"/>
      <c r="L543" s="102"/>
      <c r="M543" s="102"/>
      <c r="N543" s="102"/>
      <c r="O543" s="102"/>
      <c r="P543" s="102"/>
      <c r="Q543" s="102"/>
      <c r="R543" s="102"/>
      <c r="S543" s="102"/>
      <c r="T543" s="102"/>
      <c r="U543" s="102"/>
      <c r="V543" s="102"/>
      <c r="W543" s="102"/>
      <c r="X543" s="102"/>
      <c r="Y543" s="102"/>
      <c r="Z543" s="102"/>
      <c r="AA543" s="102"/>
      <c r="AB543" s="102"/>
      <c r="AC543" s="102"/>
      <c r="AD543" s="102"/>
      <c r="AE543" s="102"/>
      <c r="AF543" s="102"/>
      <c r="AG543" s="102"/>
      <c r="AH543" s="102"/>
      <c r="AI543" s="102"/>
      <c r="AJ543" s="102"/>
      <c r="AK543" s="102"/>
      <c r="AL543" s="102"/>
      <c r="AM543" s="102"/>
      <c r="AN543" s="102"/>
      <c r="AO543" s="102"/>
      <c r="AP543" s="102"/>
      <c r="AQ543" s="102"/>
      <c r="AR543" s="102"/>
      <c r="AS543" s="102"/>
      <c r="AT543" s="102"/>
      <c r="AU543" s="102"/>
      <c r="AV543" s="102"/>
      <c r="AW543" s="90"/>
      <c r="AX543" s="90"/>
      <c r="AY543" s="90"/>
      <c r="AZ543" s="90"/>
      <c r="BA543" s="90"/>
      <c r="BB543" s="90"/>
      <c r="BC543" s="90"/>
      <c r="BD543" s="90"/>
      <c r="BE543" s="90"/>
      <c r="BF543" s="90"/>
      <c r="BG543" s="90"/>
      <c r="BH543" s="90"/>
      <c r="BI543" s="90"/>
      <c r="BJ543" s="90"/>
      <c r="BK543" s="90"/>
      <c r="BL543" s="90"/>
      <c r="BM543" s="90"/>
      <c r="BN543" s="90"/>
      <c r="BO543" s="90"/>
      <c r="BP543" s="90"/>
    </row>
    <row r="544" ht="12.75" customHeight="1">
      <c r="A544" s="316"/>
      <c r="K544" s="102"/>
      <c r="L544" s="102"/>
      <c r="M544" s="102"/>
      <c r="N544" s="102"/>
      <c r="O544" s="102"/>
      <c r="P544" s="102"/>
      <c r="Q544" s="102"/>
      <c r="R544" s="102"/>
      <c r="S544" s="102"/>
      <c r="T544" s="102"/>
      <c r="U544" s="102"/>
      <c r="V544" s="102"/>
      <c r="W544" s="102"/>
      <c r="X544" s="102"/>
      <c r="Y544" s="102"/>
      <c r="Z544" s="102"/>
      <c r="AA544" s="102"/>
      <c r="AB544" s="102"/>
      <c r="AC544" s="102"/>
      <c r="AD544" s="102"/>
      <c r="AE544" s="102"/>
      <c r="AF544" s="102"/>
      <c r="AG544" s="102"/>
      <c r="AH544" s="102"/>
      <c r="AI544" s="102"/>
      <c r="AJ544" s="102"/>
      <c r="AK544" s="102"/>
      <c r="AL544" s="102"/>
      <c r="AM544" s="102"/>
      <c r="AN544" s="102"/>
      <c r="AO544" s="102"/>
      <c r="AP544" s="102"/>
      <c r="AQ544" s="102"/>
      <c r="AR544" s="102"/>
      <c r="AS544" s="102"/>
      <c r="AT544" s="102"/>
      <c r="AU544" s="102"/>
      <c r="AV544" s="102"/>
      <c r="AW544" s="90"/>
      <c r="AX544" s="90"/>
      <c r="AY544" s="90"/>
      <c r="AZ544" s="90"/>
      <c r="BA544" s="90"/>
      <c r="BB544" s="90"/>
      <c r="BC544" s="90"/>
      <c r="BD544" s="90"/>
      <c r="BE544" s="90"/>
      <c r="BF544" s="90"/>
      <c r="BG544" s="90"/>
      <c r="BH544" s="90"/>
      <c r="BI544" s="90"/>
      <c r="BJ544" s="90"/>
      <c r="BK544" s="90"/>
      <c r="BL544" s="90"/>
      <c r="BM544" s="90"/>
      <c r="BN544" s="90"/>
      <c r="BO544" s="90"/>
      <c r="BP544" s="90"/>
    </row>
    <row r="545" ht="12.75" customHeight="1">
      <c r="A545" s="316"/>
      <c r="K545" s="102"/>
      <c r="L545" s="102"/>
      <c r="M545" s="102"/>
      <c r="N545" s="102"/>
      <c r="O545" s="102"/>
      <c r="P545" s="102"/>
      <c r="Q545" s="102"/>
      <c r="R545" s="102"/>
      <c r="S545" s="102"/>
      <c r="T545" s="102"/>
      <c r="U545" s="102"/>
      <c r="V545" s="102"/>
      <c r="W545" s="102"/>
      <c r="X545" s="102"/>
      <c r="Y545" s="102"/>
      <c r="Z545" s="102"/>
      <c r="AA545" s="102"/>
      <c r="AB545" s="102"/>
      <c r="AC545" s="102"/>
      <c r="AD545" s="102"/>
      <c r="AE545" s="102"/>
      <c r="AF545" s="102"/>
      <c r="AG545" s="102"/>
      <c r="AH545" s="102"/>
      <c r="AI545" s="102"/>
      <c r="AJ545" s="102"/>
      <c r="AK545" s="102"/>
      <c r="AL545" s="102"/>
      <c r="AM545" s="102"/>
      <c r="AN545" s="102"/>
      <c r="AO545" s="102"/>
      <c r="AP545" s="102"/>
      <c r="AQ545" s="102"/>
      <c r="AR545" s="102"/>
      <c r="AS545" s="102"/>
      <c r="AT545" s="102"/>
      <c r="AU545" s="102"/>
      <c r="AV545" s="102"/>
      <c r="AW545" s="90"/>
      <c r="AX545" s="90"/>
      <c r="AY545" s="90"/>
      <c r="AZ545" s="90"/>
      <c r="BA545" s="90"/>
      <c r="BB545" s="90"/>
      <c r="BC545" s="90"/>
      <c r="BD545" s="90"/>
      <c r="BE545" s="90"/>
      <c r="BF545" s="90"/>
      <c r="BG545" s="90"/>
      <c r="BH545" s="90"/>
      <c r="BI545" s="90"/>
      <c r="BJ545" s="90"/>
      <c r="BK545" s="90"/>
      <c r="BL545" s="90"/>
      <c r="BM545" s="90"/>
      <c r="BN545" s="90"/>
      <c r="BO545" s="90"/>
      <c r="BP545" s="90"/>
    </row>
    <row r="546" ht="12.75" customHeight="1">
      <c r="A546" s="316"/>
      <c r="K546" s="102"/>
      <c r="L546" s="102"/>
      <c r="M546" s="102"/>
      <c r="N546" s="102"/>
      <c r="O546" s="102"/>
      <c r="P546" s="102"/>
      <c r="Q546" s="102"/>
      <c r="R546" s="102"/>
      <c r="S546" s="102"/>
      <c r="T546" s="102"/>
      <c r="U546" s="102"/>
      <c r="V546" s="102"/>
      <c r="W546" s="102"/>
      <c r="X546" s="102"/>
      <c r="Y546" s="102"/>
      <c r="Z546" s="102"/>
      <c r="AA546" s="102"/>
      <c r="AB546" s="102"/>
      <c r="AC546" s="102"/>
      <c r="AD546" s="102"/>
      <c r="AE546" s="102"/>
      <c r="AF546" s="102"/>
      <c r="AG546" s="102"/>
      <c r="AH546" s="102"/>
      <c r="AI546" s="102"/>
      <c r="AJ546" s="102"/>
      <c r="AK546" s="102"/>
      <c r="AL546" s="102"/>
      <c r="AM546" s="102"/>
      <c r="AN546" s="102"/>
      <c r="AO546" s="102"/>
      <c r="AP546" s="102"/>
      <c r="AQ546" s="102"/>
      <c r="AR546" s="102"/>
      <c r="AS546" s="102"/>
      <c r="AT546" s="102"/>
      <c r="AU546" s="102"/>
      <c r="AV546" s="102"/>
      <c r="AW546" s="90"/>
      <c r="AX546" s="90"/>
      <c r="AY546" s="90"/>
      <c r="AZ546" s="90"/>
      <c r="BA546" s="90"/>
      <c r="BB546" s="90"/>
      <c r="BC546" s="90"/>
      <c r="BD546" s="90"/>
      <c r="BE546" s="90"/>
      <c r="BF546" s="90"/>
      <c r="BG546" s="90"/>
      <c r="BH546" s="90"/>
      <c r="BI546" s="90"/>
      <c r="BJ546" s="90"/>
      <c r="BK546" s="90"/>
      <c r="BL546" s="90"/>
      <c r="BM546" s="90"/>
      <c r="BN546" s="90"/>
      <c r="BO546" s="90"/>
      <c r="BP546" s="90"/>
    </row>
    <row r="547" ht="12.75" customHeight="1">
      <c r="A547" s="316"/>
      <c r="K547" s="102"/>
      <c r="L547" s="102"/>
      <c r="M547" s="102"/>
      <c r="N547" s="102"/>
      <c r="O547" s="102"/>
      <c r="P547" s="102"/>
      <c r="Q547" s="102"/>
      <c r="R547" s="102"/>
      <c r="S547" s="102"/>
      <c r="T547" s="102"/>
      <c r="U547" s="102"/>
      <c r="V547" s="102"/>
      <c r="W547" s="102"/>
      <c r="X547" s="102"/>
      <c r="Y547" s="102"/>
      <c r="Z547" s="102"/>
      <c r="AA547" s="102"/>
      <c r="AB547" s="102"/>
      <c r="AC547" s="102"/>
      <c r="AD547" s="102"/>
      <c r="AE547" s="102"/>
      <c r="AF547" s="102"/>
      <c r="AG547" s="102"/>
      <c r="AH547" s="102"/>
      <c r="AI547" s="102"/>
      <c r="AJ547" s="102"/>
      <c r="AK547" s="102"/>
      <c r="AL547" s="102"/>
      <c r="AM547" s="102"/>
      <c r="AN547" s="102"/>
      <c r="AO547" s="102"/>
      <c r="AP547" s="102"/>
      <c r="AQ547" s="102"/>
      <c r="AR547" s="102"/>
      <c r="AS547" s="102"/>
      <c r="AT547" s="102"/>
      <c r="AU547" s="102"/>
      <c r="AV547" s="102"/>
      <c r="AW547" s="90"/>
      <c r="AX547" s="90"/>
      <c r="AY547" s="90"/>
      <c r="AZ547" s="90"/>
      <c r="BA547" s="90"/>
      <c r="BB547" s="90"/>
      <c r="BC547" s="90"/>
      <c r="BD547" s="90"/>
      <c r="BE547" s="90"/>
      <c r="BF547" s="90"/>
      <c r="BG547" s="90"/>
      <c r="BH547" s="90"/>
      <c r="BI547" s="90"/>
      <c r="BJ547" s="90"/>
      <c r="BK547" s="90"/>
      <c r="BL547" s="90"/>
      <c r="BM547" s="90"/>
      <c r="BN547" s="90"/>
      <c r="BO547" s="90"/>
      <c r="BP547" s="90"/>
    </row>
    <row r="548" ht="12.75" customHeight="1">
      <c r="A548" s="316"/>
      <c r="K548" s="102"/>
      <c r="L548" s="102"/>
      <c r="M548" s="102"/>
      <c r="N548" s="102"/>
      <c r="O548" s="102"/>
      <c r="P548" s="102"/>
      <c r="Q548" s="102"/>
      <c r="R548" s="102"/>
      <c r="S548" s="102"/>
      <c r="T548" s="102"/>
      <c r="U548" s="102"/>
      <c r="V548" s="102"/>
      <c r="W548" s="102"/>
      <c r="X548" s="102"/>
      <c r="Y548" s="102"/>
      <c r="Z548" s="102"/>
      <c r="AA548" s="102"/>
      <c r="AB548" s="102"/>
      <c r="AC548" s="102"/>
      <c r="AD548" s="102"/>
      <c r="AE548" s="102"/>
      <c r="AF548" s="102"/>
      <c r="AG548" s="102"/>
      <c r="AH548" s="102"/>
      <c r="AI548" s="102"/>
      <c r="AJ548" s="102"/>
      <c r="AK548" s="102"/>
      <c r="AL548" s="102"/>
      <c r="AM548" s="102"/>
      <c r="AN548" s="102"/>
      <c r="AO548" s="102"/>
      <c r="AP548" s="102"/>
      <c r="AQ548" s="102"/>
      <c r="AR548" s="102"/>
      <c r="AS548" s="102"/>
      <c r="AT548" s="102"/>
      <c r="AU548" s="102"/>
      <c r="AV548" s="102"/>
      <c r="AW548" s="90"/>
      <c r="AX548" s="90"/>
      <c r="AY548" s="90"/>
      <c r="AZ548" s="90"/>
      <c r="BA548" s="90"/>
      <c r="BB548" s="90"/>
      <c r="BC548" s="90"/>
      <c r="BD548" s="90"/>
      <c r="BE548" s="90"/>
      <c r="BF548" s="90"/>
      <c r="BG548" s="90"/>
      <c r="BH548" s="90"/>
      <c r="BI548" s="90"/>
      <c r="BJ548" s="90"/>
      <c r="BK548" s="90"/>
      <c r="BL548" s="90"/>
      <c r="BM548" s="90"/>
      <c r="BN548" s="90"/>
      <c r="BO548" s="90"/>
      <c r="BP548" s="90"/>
    </row>
    <row r="549" ht="12.75" customHeight="1">
      <c r="A549" s="316"/>
      <c r="K549" s="102"/>
      <c r="L549" s="102"/>
      <c r="M549" s="102"/>
      <c r="N549" s="102"/>
      <c r="O549" s="102"/>
      <c r="P549" s="102"/>
      <c r="Q549" s="102"/>
      <c r="R549" s="102"/>
      <c r="S549" s="102"/>
      <c r="T549" s="102"/>
      <c r="U549" s="102"/>
      <c r="V549" s="102"/>
      <c r="W549" s="102"/>
      <c r="X549" s="102"/>
      <c r="Y549" s="102"/>
      <c r="Z549" s="102"/>
      <c r="AA549" s="102"/>
      <c r="AB549" s="102"/>
      <c r="AC549" s="102"/>
      <c r="AD549" s="102"/>
      <c r="AE549" s="102"/>
      <c r="AF549" s="102"/>
      <c r="AG549" s="102"/>
      <c r="AH549" s="102"/>
      <c r="AI549" s="102"/>
      <c r="AJ549" s="102"/>
      <c r="AK549" s="102"/>
      <c r="AL549" s="102"/>
      <c r="AM549" s="102"/>
      <c r="AN549" s="102"/>
      <c r="AO549" s="102"/>
      <c r="AP549" s="102"/>
      <c r="AQ549" s="102"/>
      <c r="AR549" s="102"/>
      <c r="AS549" s="102"/>
      <c r="AT549" s="102"/>
      <c r="AU549" s="102"/>
      <c r="AV549" s="102"/>
      <c r="AW549" s="90"/>
      <c r="AX549" s="90"/>
      <c r="AY549" s="90"/>
      <c r="AZ549" s="90"/>
      <c r="BA549" s="90"/>
      <c r="BB549" s="90"/>
      <c r="BC549" s="90"/>
      <c r="BD549" s="90"/>
      <c r="BE549" s="90"/>
      <c r="BF549" s="90"/>
      <c r="BG549" s="90"/>
      <c r="BH549" s="90"/>
      <c r="BI549" s="90"/>
      <c r="BJ549" s="90"/>
      <c r="BK549" s="90"/>
      <c r="BL549" s="90"/>
      <c r="BM549" s="90"/>
      <c r="BN549" s="90"/>
      <c r="BO549" s="90"/>
      <c r="BP549" s="90"/>
    </row>
    <row r="550" ht="12.75" customHeight="1">
      <c r="A550" s="316"/>
      <c r="K550" s="102"/>
      <c r="L550" s="102"/>
      <c r="M550" s="102"/>
      <c r="N550" s="102"/>
      <c r="O550" s="102"/>
      <c r="P550" s="102"/>
      <c r="Q550" s="102"/>
      <c r="R550" s="102"/>
      <c r="S550" s="102"/>
      <c r="T550" s="102"/>
      <c r="U550" s="102"/>
      <c r="V550" s="102"/>
      <c r="W550" s="102"/>
      <c r="X550" s="102"/>
      <c r="Y550" s="102"/>
      <c r="Z550" s="102"/>
      <c r="AA550" s="102"/>
      <c r="AB550" s="102"/>
      <c r="AC550" s="102"/>
      <c r="AD550" s="102"/>
      <c r="AE550" s="102"/>
      <c r="AF550" s="102"/>
      <c r="AG550" s="102"/>
      <c r="AH550" s="102"/>
      <c r="AI550" s="102"/>
      <c r="AJ550" s="102"/>
      <c r="AK550" s="102"/>
      <c r="AL550" s="102"/>
      <c r="AM550" s="102"/>
      <c r="AN550" s="102"/>
      <c r="AO550" s="102"/>
      <c r="AP550" s="102"/>
      <c r="AQ550" s="102"/>
      <c r="AR550" s="102"/>
      <c r="AS550" s="102"/>
      <c r="AT550" s="102"/>
      <c r="AU550" s="102"/>
      <c r="AV550" s="102"/>
      <c r="AW550" s="90"/>
      <c r="AX550" s="90"/>
      <c r="AY550" s="90"/>
      <c r="AZ550" s="90"/>
      <c r="BA550" s="90"/>
      <c r="BB550" s="90"/>
      <c r="BC550" s="90"/>
      <c r="BD550" s="90"/>
      <c r="BE550" s="90"/>
      <c r="BF550" s="90"/>
      <c r="BG550" s="90"/>
      <c r="BH550" s="90"/>
      <c r="BI550" s="90"/>
      <c r="BJ550" s="90"/>
      <c r="BK550" s="90"/>
      <c r="BL550" s="90"/>
      <c r="BM550" s="90"/>
      <c r="BN550" s="90"/>
      <c r="BO550" s="90"/>
      <c r="BP550" s="90"/>
    </row>
    <row r="551" ht="12.75" customHeight="1">
      <c r="A551" s="316"/>
      <c r="K551" s="102"/>
      <c r="L551" s="102"/>
      <c r="M551" s="102"/>
      <c r="N551" s="102"/>
      <c r="O551" s="102"/>
      <c r="P551" s="102"/>
      <c r="Q551" s="102"/>
      <c r="R551" s="102"/>
      <c r="S551" s="102"/>
      <c r="T551" s="102"/>
      <c r="U551" s="102"/>
      <c r="V551" s="102"/>
      <c r="W551" s="102"/>
      <c r="X551" s="102"/>
      <c r="Y551" s="102"/>
      <c r="Z551" s="102"/>
      <c r="AA551" s="102"/>
      <c r="AB551" s="102"/>
      <c r="AC551" s="102"/>
      <c r="AD551" s="102"/>
      <c r="AE551" s="102"/>
      <c r="AF551" s="102"/>
      <c r="AG551" s="102"/>
      <c r="AH551" s="102"/>
      <c r="AI551" s="102"/>
      <c r="AJ551" s="102"/>
      <c r="AK551" s="102"/>
      <c r="AL551" s="102"/>
      <c r="AM551" s="102"/>
      <c r="AN551" s="102"/>
      <c r="AO551" s="102"/>
      <c r="AP551" s="102"/>
      <c r="AQ551" s="102"/>
      <c r="AR551" s="102"/>
      <c r="AS551" s="102"/>
      <c r="AT551" s="102"/>
      <c r="AU551" s="102"/>
      <c r="AV551" s="102"/>
      <c r="AW551" s="90"/>
      <c r="AX551" s="90"/>
      <c r="AY551" s="90"/>
      <c r="AZ551" s="90"/>
      <c r="BA551" s="90"/>
      <c r="BB551" s="90"/>
      <c r="BC551" s="90"/>
      <c r="BD551" s="90"/>
      <c r="BE551" s="90"/>
      <c r="BF551" s="90"/>
      <c r="BG551" s="90"/>
      <c r="BH551" s="90"/>
      <c r="BI551" s="90"/>
      <c r="BJ551" s="90"/>
      <c r="BK551" s="90"/>
      <c r="BL551" s="90"/>
      <c r="BM551" s="90"/>
      <c r="BN551" s="90"/>
      <c r="BO551" s="90"/>
      <c r="BP551" s="90"/>
    </row>
    <row r="552" ht="12.75" customHeight="1">
      <c r="A552" s="316"/>
      <c r="K552" s="102"/>
      <c r="L552" s="102"/>
      <c r="M552" s="102"/>
      <c r="N552" s="102"/>
      <c r="O552" s="102"/>
      <c r="P552" s="102"/>
      <c r="Q552" s="102"/>
      <c r="R552" s="102"/>
      <c r="S552" s="102"/>
      <c r="T552" s="102"/>
      <c r="U552" s="102"/>
      <c r="V552" s="102"/>
      <c r="W552" s="102"/>
      <c r="X552" s="102"/>
      <c r="Y552" s="102"/>
      <c r="Z552" s="102"/>
      <c r="AA552" s="102"/>
      <c r="AB552" s="102"/>
      <c r="AC552" s="102"/>
      <c r="AD552" s="102"/>
      <c r="AE552" s="102"/>
      <c r="AF552" s="102"/>
      <c r="AG552" s="102"/>
      <c r="AH552" s="102"/>
      <c r="AI552" s="102"/>
      <c r="AJ552" s="102"/>
      <c r="AK552" s="102"/>
      <c r="AL552" s="102"/>
      <c r="AM552" s="102"/>
      <c r="AN552" s="102"/>
      <c r="AO552" s="102"/>
      <c r="AP552" s="102"/>
      <c r="AQ552" s="102"/>
      <c r="AR552" s="102"/>
      <c r="AS552" s="102"/>
      <c r="AT552" s="102"/>
      <c r="AU552" s="102"/>
      <c r="AV552" s="102"/>
      <c r="AW552" s="90"/>
      <c r="AX552" s="90"/>
      <c r="AY552" s="90"/>
      <c r="AZ552" s="90"/>
      <c r="BA552" s="90"/>
      <c r="BB552" s="90"/>
      <c r="BC552" s="90"/>
      <c r="BD552" s="90"/>
      <c r="BE552" s="90"/>
      <c r="BF552" s="90"/>
      <c r="BG552" s="90"/>
      <c r="BH552" s="90"/>
      <c r="BI552" s="90"/>
      <c r="BJ552" s="90"/>
      <c r="BK552" s="90"/>
      <c r="BL552" s="90"/>
      <c r="BM552" s="90"/>
      <c r="BN552" s="90"/>
      <c r="BO552" s="90"/>
      <c r="BP552" s="90"/>
    </row>
    <row r="553" ht="12.75" customHeight="1">
      <c r="A553" s="316"/>
      <c r="K553" s="102"/>
      <c r="L553" s="102"/>
      <c r="M553" s="102"/>
      <c r="N553" s="102"/>
      <c r="O553" s="102"/>
      <c r="P553" s="102"/>
      <c r="Q553" s="102"/>
      <c r="R553" s="102"/>
      <c r="S553" s="102"/>
      <c r="T553" s="102"/>
      <c r="U553" s="102"/>
      <c r="V553" s="102"/>
      <c r="W553" s="102"/>
      <c r="X553" s="102"/>
      <c r="Y553" s="102"/>
      <c r="Z553" s="102"/>
      <c r="AA553" s="102"/>
      <c r="AB553" s="102"/>
      <c r="AC553" s="102"/>
      <c r="AD553" s="102"/>
      <c r="AE553" s="102"/>
      <c r="AF553" s="102"/>
      <c r="AG553" s="102"/>
      <c r="AH553" s="102"/>
      <c r="AI553" s="102"/>
      <c r="AJ553" s="102"/>
      <c r="AK553" s="102"/>
      <c r="AL553" s="102"/>
      <c r="AM553" s="102"/>
      <c r="AN553" s="102"/>
      <c r="AO553" s="102"/>
      <c r="AP553" s="102"/>
      <c r="AQ553" s="102"/>
      <c r="AR553" s="102"/>
      <c r="AS553" s="102"/>
      <c r="AT553" s="102"/>
      <c r="AU553" s="102"/>
      <c r="AV553" s="102"/>
      <c r="AW553" s="90"/>
      <c r="AX553" s="90"/>
      <c r="AY553" s="90"/>
      <c r="AZ553" s="90"/>
      <c r="BA553" s="90"/>
      <c r="BB553" s="90"/>
      <c r="BC553" s="90"/>
      <c r="BD553" s="90"/>
      <c r="BE553" s="90"/>
      <c r="BF553" s="90"/>
      <c r="BG553" s="90"/>
      <c r="BH553" s="90"/>
      <c r="BI553" s="90"/>
      <c r="BJ553" s="90"/>
      <c r="BK553" s="90"/>
      <c r="BL553" s="90"/>
      <c r="BM553" s="90"/>
      <c r="BN553" s="90"/>
      <c r="BO553" s="90"/>
      <c r="BP553" s="90"/>
    </row>
    <row r="554" ht="12.75" customHeight="1">
      <c r="A554" s="316"/>
      <c r="K554" s="102"/>
      <c r="L554" s="102"/>
      <c r="M554" s="102"/>
      <c r="N554" s="102"/>
      <c r="O554" s="102"/>
      <c r="P554" s="102"/>
      <c r="Q554" s="102"/>
      <c r="R554" s="102"/>
      <c r="S554" s="102"/>
      <c r="T554" s="102"/>
      <c r="U554" s="102"/>
      <c r="V554" s="102"/>
      <c r="W554" s="102"/>
      <c r="X554" s="102"/>
      <c r="Y554" s="102"/>
      <c r="Z554" s="102"/>
      <c r="AA554" s="102"/>
      <c r="AB554" s="102"/>
      <c r="AC554" s="102"/>
      <c r="AD554" s="102"/>
      <c r="AE554" s="102"/>
      <c r="AF554" s="102"/>
      <c r="AG554" s="102"/>
      <c r="AH554" s="102"/>
      <c r="AI554" s="102"/>
      <c r="AJ554" s="102"/>
      <c r="AK554" s="102"/>
      <c r="AL554" s="102"/>
      <c r="AM554" s="102"/>
      <c r="AN554" s="102"/>
      <c r="AO554" s="102"/>
      <c r="AP554" s="102"/>
      <c r="AQ554" s="102"/>
      <c r="AR554" s="102"/>
      <c r="AS554" s="102"/>
      <c r="AT554" s="102"/>
      <c r="AU554" s="102"/>
      <c r="AV554" s="102"/>
      <c r="AW554" s="90"/>
      <c r="AX554" s="90"/>
      <c r="AY554" s="90"/>
      <c r="AZ554" s="90"/>
      <c r="BA554" s="90"/>
      <c r="BB554" s="90"/>
      <c r="BC554" s="90"/>
      <c r="BD554" s="90"/>
      <c r="BE554" s="90"/>
      <c r="BF554" s="90"/>
      <c r="BG554" s="90"/>
      <c r="BH554" s="90"/>
      <c r="BI554" s="90"/>
      <c r="BJ554" s="90"/>
      <c r="BK554" s="90"/>
      <c r="BL554" s="90"/>
      <c r="BM554" s="90"/>
      <c r="BN554" s="90"/>
      <c r="BO554" s="90"/>
      <c r="BP554" s="90"/>
    </row>
    <row r="555" ht="12.75" customHeight="1">
      <c r="A555" s="316"/>
      <c r="K555" s="102"/>
      <c r="L555" s="102"/>
      <c r="M555" s="102"/>
      <c r="N555" s="102"/>
      <c r="O555" s="102"/>
      <c r="P555" s="102"/>
      <c r="Q555" s="102"/>
      <c r="R555" s="102"/>
      <c r="S555" s="102"/>
      <c r="T555" s="102"/>
      <c r="U555" s="102"/>
      <c r="V555" s="102"/>
      <c r="W555" s="102"/>
      <c r="X555" s="102"/>
      <c r="Y555" s="102"/>
      <c r="Z555" s="102"/>
      <c r="AA555" s="102"/>
      <c r="AB555" s="102"/>
      <c r="AC555" s="102"/>
      <c r="AD555" s="102"/>
      <c r="AE555" s="102"/>
      <c r="AF555" s="102"/>
      <c r="AG555" s="102"/>
      <c r="AH555" s="102"/>
      <c r="AI555" s="102"/>
      <c r="AJ555" s="102"/>
      <c r="AK555" s="102"/>
      <c r="AL555" s="102"/>
      <c r="AM555" s="102"/>
      <c r="AN555" s="102"/>
      <c r="AO555" s="102"/>
      <c r="AP555" s="102"/>
      <c r="AQ555" s="102"/>
      <c r="AR555" s="102"/>
      <c r="AS555" s="102"/>
      <c r="AT555" s="102"/>
      <c r="AU555" s="102"/>
      <c r="AV555" s="102"/>
      <c r="AW555" s="90"/>
      <c r="AX555" s="90"/>
      <c r="AY555" s="90"/>
      <c r="AZ555" s="90"/>
      <c r="BA555" s="90"/>
      <c r="BB555" s="90"/>
      <c r="BC555" s="90"/>
      <c r="BD555" s="90"/>
      <c r="BE555" s="90"/>
      <c r="BF555" s="90"/>
      <c r="BG555" s="90"/>
      <c r="BH555" s="90"/>
      <c r="BI555" s="90"/>
      <c r="BJ555" s="90"/>
      <c r="BK555" s="90"/>
      <c r="BL555" s="90"/>
      <c r="BM555" s="90"/>
      <c r="BN555" s="90"/>
      <c r="BO555" s="90"/>
      <c r="BP555" s="90"/>
    </row>
    <row r="556" ht="12.75" customHeight="1">
      <c r="A556" s="316"/>
      <c r="K556" s="102"/>
      <c r="L556" s="102"/>
      <c r="M556" s="102"/>
      <c r="N556" s="102"/>
      <c r="O556" s="102"/>
      <c r="P556" s="102"/>
      <c r="Q556" s="102"/>
      <c r="R556" s="102"/>
      <c r="S556" s="102"/>
      <c r="T556" s="102"/>
      <c r="U556" s="102"/>
      <c r="V556" s="102"/>
      <c r="W556" s="102"/>
      <c r="X556" s="102"/>
      <c r="Y556" s="102"/>
      <c r="Z556" s="102"/>
      <c r="AA556" s="102"/>
      <c r="AB556" s="102"/>
      <c r="AC556" s="102"/>
      <c r="AD556" s="102"/>
      <c r="AE556" s="102"/>
      <c r="AF556" s="102"/>
      <c r="AG556" s="102"/>
      <c r="AH556" s="102"/>
      <c r="AI556" s="102"/>
      <c r="AJ556" s="102"/>
      <c r="AK556" s="102"/>
      <c r="AL556" s="102"/>
      <c r="AM556" s="102"/>
      <c r="AN556" s="102"/>
      <c r="AO556" s="102"/>
      <c r="AP556" s="102"/>
      <c r="AQ556" s="102"/>
      <c r="AR556" s="102"/>
      <c r="AS556" s="102"/>
      <c r="AT556" s="102"/>
      <c r="AU556" s="102"/>
      <c r="AV556" s="102"/>
      <c r="AW556" s="90"/>
      <c r="AX556" s="90"/>
      <c r="AY556" s="90"/>
      <c r="AZ556" s="90"/>
      <c r="BA556" s="90"/>
      <c r="BB556" s="90"/>
      <c r="BC556" s="90"/>
      <c r="BD556" s="90"/>
      <c r="BE556" s="90"/>
      <c r="BF556" s="90"/>
      <c r="BG556" s="90"/>
      <c r="BH556" s="90"/>
      <c r="BI556" s="90"/>
      <c r="BJ556" s="90"/>
      <c r="BK556" s="90"/>
      <c r="BL556" s="90"/>
      <c r="BM556" s="90"/>
      <c r="BN556" s="90"/>
      <c r="BO556" s="90"/>
      <c r="BP556" s="90"/>
    </row>
    <row r="557" ht="12.75" customHeight="1">
      <c r="A557" s="316"/>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c r="AG557" s="102"/>
      <c r="AH557" s="102"/>
      <c r="AI557" s="102"/>
      <c r="AJ557" s="102"/>
      <c r="AK557" s="102"/>
      <c r="AL557" s="102"/>
      <c r="AM557" s="102"/>
      <c r="AN557" s="102"/>
      <c r="AO557" s="102"/>
      <c r="AP557" s="102"/>
      <c r="AQ557" s="102"/>
      <c r="AR557" s="102"/>
      <c r="AS557" s="102"/>
      <c r="AT557" s="102"/>
      <c r="AU557" s="102"/>
      <c r="AV557" s="102"/>
      <c r="AW557" s="90"/>
      <c r="AX557" s="90"/>
      <c r="AY557" s="90"/>
      <c r="AZ557" s="90"/>
      <c r="BA557" s="90"/>
      <c r="BB557" s="90"/>
      <c r="BC557" s="90"/>
      <c r="BD557" s="90"/>
      <c r="BE557" s="90"/>
      <c r="BF557" s="90"/>
      <c r="BG557" s="90"/>
      <c r="BH557" s="90"/>
      <c r="BI557" s="90"/>
      <c r="BJ557" s="90"/>
      <c r="BK557" s="90"/>
      <c r="BL557" s="90"/>
      <c r="BM557" s="90"/>
      <c r="BN557" s="90"/>
      <c r="BO557" s="90"/>
      <c r="BP557" s="90"/>
    </row>
    <row r="558" ht="12.75" customHeight="1">
      <c r="A558" s="316"/>
      <c r="K558" s="102"/>
      <c r="L558" s="102"/>
      <c r="M558" s="102"/>
      <c r="N558" s="102"/>
      <c r="O558" s="102"/>
      <c r="P558" s="102"/>
      <c r="Q558" s="102"/>
      <c r="R558" s="102"/>
      <c r="S558" s="102"/>
      <c r="T558" s="102"/>
      <c r="U558" s="102"/>
      <c r="V558" s="102"/>
      <c r="W558" s="102"/>
      <c r="X558" s="102"/>
      <c r="Y558" s="102"/>
      <c r="Z558" s="102"/>
      <c r="AA558" s="102"/>
      <c r="AB558" s="102"/>
      <c r="AC558" s="102"/>
      <c r="AD558" s="102"/>
      <c r="AE558" s="102"/>
      <c r="AF558" s="102"/>
      <c r="AG558" s="102"/>
      <c r="AH558" s="102"/>
      <c r="AI558" s="102"/>
      <c r="AJ558" s="102"/>
      <c r="AK558" s="102"/>
      <c r="AL558" s="102"/>
      <c r="AM558" s="102"/>
      <c r="AN558" s="102"/>
      <c r="AO558" s="102"/>
      <c r="AP558" s="102"/>
      <c r="AQ558" s="102"/>
      <c r="AR558" s="102"/>
      <c r="AS558" s="102"/>
      <c r="AT558" s="102"/>
      <c r="AU558" s="102"/>
      <c r="AV558" s="102"/>
      <c r="AW558" s="90"/>
      <c r="AX558" s="90"/>
      <c r="AY558" s="90"/>
      <c r="AZ558" s="90"/>
      <c r="BA558" s="90"/>
      <c r="BB558" s="90"/>
      <c r="BC558" s="90"/>
      <c r="BD558" s="90"/>
      <c r="BE558" s="90"/>
      <c r="BF558" s="90"/>
      <c r="BG558" s="90"/>
      <c r="BH558" s="90"/>
      <c r="BI558" s="90"/>
      <c r="BJ558" s="90"/>
      <c r="BK558" s="90"/>
      <c r="BL558" s="90"/>
      <c r="BM558" s="90"/>
      <c r="BN558" s="90"/>
      <c r="BO558" s="90"/>
      <c r="BP558" s="90"/>
    </row>
    <row r="559" ht="12.75" customHeight="1">
      <c r="A559" s="316"/>
      <c r="K559" s="102"/>
      <c r="L559" s="102"/>
      <c r="M559" s="102"/>
      <c r="N559" s="102"/>
      <c r="O559" s="102"/>
      <c r="P559" s="102"/>
      <c r="Q559" s="102"/>
      <c r="R559" s="102"/>
      <c r="S559" s="102"/>
      <c r="T559" s="102"/>
      <c r="U559" s="102"/>
      <c r="V559" s="102"/>
      <c r="W559" s="102"/>
      <c r="X559" s="102"/>
      <c r="Y559" s="102"/>
      <c r="Z559" s="102"/>
      <c r="AA559" s="102"/>
      <c r="AB559" s="102"/>
      <c r="AC559" s="102"/>
      <c r="AD559" s="102"/>
      <c r="AE559" s="102"/>
      <c r="AF559" s="102"/>
      <c r="AG559" s="102"/>
      <c r="AH559" s="102"/>
      <c r="AI559" s="102"/>
      <c r="AJ559" s="102"/>
      <c r="AK559" s="102"/>
      <c r="AL559" s="102"/>
      <c r="AM559" s="102"/>
      <c r="AN559" s="102"/>
      <c r="AO559" s="102"/>
      <c r="AP559" s="102"/>
      <c r="AQ559" s="102"/>
      <c r="AR559" s="102"/>
      <c r="AS559" s="102"/>
      <c r="AT559" s="102"/>
      <c r="AU559" s="102"/>
      <c r="AV559" s="102"/>
      <c r="AW559" s="90"/>
      <c r="AX559" s="90"/>
      <c r="AY559" s="90"/>
      <c r="AZ559" s="90"/>
      <c r="BA559" s="90"/>
      <c r="BB559" s="90"/>
      <c r="BC559" s="90"/>
      <c r="BD559" s="90"/>
      <c r="BE559" s="90"/>
      <c r="BF559" s="90"/>
      <c r="BG559" s="90"/>
      <c r="BH559" s="90"/>
      <c r="BI559" s="90"/>
      <c r="BJ559" s="90"/>
      <c r="BK559" s="90"/>
      <c r="BL559" s="90"/>
      <c r="BM559" s="90"/>
      <c r="BN559" s="90"/>
      <c r="BO559" s="90"/>
      <c r="BP559" s="90"/>
    </row>
    <row r="560" ht="12.75" customHeight="1">
      <c r="A560" s="316"/>
      <c r="K560" s="102"/>
      <c r="L560" s="102"/>
      <c r="M560" s="102"/>
      <c r="N560" s="102"/>
      <c r="O560" s="102"/>
      <c r="P560" s="102"/>
      <c r="Q560" s="102"/>
      <c r="R560" s="102"/>
      <c r="S560" s="102"/>
      <c r="T560" s="102"/>
      <c r="U560" s="102"/>
      <c r="V560" s="102"/>
      <c r="W560" s="102"/>
      <c r="X560" s="102"/>
      <c r="Y560" s="102"/>
      <c r="Z560" s="102"/>
      <c r="AA560" s="102"/>
      <c r="AB560" s="102"/>
      <c r="AC560" s="102"/>
      <c r="AD560" s="102"/>
      <c r="AE560" s="102"/>
      <c r="AF560" s="102"/>
      <c r="AG560" s="102"/>
      <c r="AH560" s="102"/>
      <c r="AI560" s="102"/>
      <c r="AJ560" s="102"/>
      <c r="AK560" s="102"/>
      <c r="AL560" s="102"/>
      <c r="AM560" s="102"/>
      <c r="AN560" s="102"/>
      <c r="AO560" s="102"/>
      <c r="AP560" s="102"/>
      <c r="AQ560" s="102"/>
      <c r="AR560" s="102"/>
      <c r="AS560" s="102"/>
      <c r="AT560" s="102"/>
      <c r="AU560" s="102"/>
      <c r="AV560" s="102"/>
      <c r="AW560" s="90"/>
      <c r="AX560" s="90"/>
      <c r="AY560" s="90"/>
      <c r="AZ560" s="90"/>
      <c r="BA560" s="90"/>
      <c r="BB560" s="90"/>
      <c r="BC560" s="90"/>
      <c r="BD560" s="90"/>
      <c r="BE560" s="90"/>
      <c r="BF560" s="90"/>
      <c r="BG560" s="90"/>
      <c r="BH560" s="90"/>
      <c r="BI560" s="90"/>
      <c r="BJ560" s="90"/>
      <c r="BK560" s="90"/>
      <c r="BL560" s="90"/>
      <c r="BM560" s="90"/>
      <c r="BN560" s="90"/>
      <c r="BO560" s="90"/>
      <c r="BP560" s="90"/>
    </row>
    <row r="561" ht="12.75" customHeight="1">
      <c r="A561" s="316"/>
      <c r="K561" s="102"/>
      <c r="L561" s="102"/>
      <c r="M561" s="102"/>
      <c r="N561" s="102"/>
      <c r="O561" s="102"/>
      <c r="P561" s="102"/>
      <c r="Q561" s="102"/>
      <c r="R561" s="102"/>
      <c r="S561" s="102"/>
      <c r="T561" s="102"/>
      <c r="U561" s="102"/>
      <c r="V561" s="102"/>
      <c r="W561" s="102"/>
      <c r="X561" s="102"/>
      <c r="Y561" s="102"/>
      <c r="Z561" s="102"/>
      <c r="AA561" s="102"/>
      <c r="AB561" s="102"/>
      <c r="AC561" s="102"/>
      <c r="AD561" s="102"/>
      <c r="AE561" s="102"/>
      <c r="AF561" s="102"/>
      <c r="AG561" s="102"/>
      <c r="AH561" s="102"/>
      <c r="AI561" s="102"/>
      <c r="AJ561" s="102"/>
      <c r="AK561" s="102"/>
      <c r="AL561" s="102"/>
      <c r="AM561" s="102"/>
      <c r="AN561" s="102"/>
      <c r="AO561" s="102"/>
      <c r="AP561" s="102"/>
      <c r="AQ561" s="102"/>
      <c r="AR561" s="102"/>
      <c r="AS561" s="102"/>
      <c r="AT561" s="102"/>
      <c r="AU561" s="102"/>
      <c r="AV561" s="102"/>
      <c r="AW561" s="90"/>
      <c r="AX561" s="90"/>
      <c r="AY561" s="90"/>
      <c r="AZ561" s="90"/>
      <c r="BA561" s="90"/>
      <c r="BB561" s="90"/>
      <c r="BC561" s="90"/>
      <c r="BD561" s="90"/>
      <c r="BE561" s="90"/>
      <c r="BF561" s="90"/>
      <c r="BG561" s="90"/>
      <c r="BH561" s="90"/>
      <c r="BI561" s="90"/>
      <c r="BJ561" s="90"/>
      <c r="BK561" s="90"/>
      <c r="BL561" s="90"/>
      <c r="BM561" s="90"/>
      <c r="BN561" s="90"/>
      <c r="BO561" s="90"/>
      <c r="BP561" s="90"/>
    </row>
    <row r="562" ht="12.75" customHeight="1">
      <c r="A562" s="316"/>
      <c r="K562" s="102"/>
      <c r="L562" s="102"/>
      <c r="M562" s="102"/>
      <c r="N562" s="102"/>
      <c r="O562" s="102"/>
      <c r="P562" s="102"/>
      <c r="Q562" s="102"/>
      <c r="R562" s="102"/>
      <c r="S562" s="102"/>
      <c r="T562" s="102"/>
      <c r="U562" s="102"/>
      <c r="V562" s="102"/>
      <c r="W562" s="102"/>
      <c r="X562" s="102"/>
      <c r="Y562" s="102"/>
      <c r="Z562" s="102"/>
      <c r="AA562" s="102"/>
      <c r="AB562" s="102"/>
      <c r="AC562" s="102"/>
      <c r="AD562" s="102"/>
      <c r="AE562" s="102"/>
      <c r="AF562" s="102"/>
      <c r="AG562" s="102"/>
      <c r="AH562" s="102"/>
      <c r="AI562" s="102"/>
      <c r="AJ562" s="102"/>
      <c r="AK562" s="102"/>
      <c r="AL562" s="102"/>
      <c r="AM562" s="102"/>
      <c r="AN562" s="102"/>
      <c r="AO562" s="102"/>
      <c r="AP562" s="102"/>
      <c r="AQ562" s="102"/>
      <c r="AR562" s="102"/>
      <c r="AS562" s="102"/>
      <c r="AT562" s="102"/>
      <c r="AU562" s="102"/>
      <c r="AV562" s="102"/>
      <c r="AW562" s="90"/>
      <c r="AX562" s="90"/>
      <c r="AY562" s="90"/>
      <c r="AZ562" s="90"/>
      <c r="BA562" s="90"/>
      <c r="BB562" s="90"/>
      <c r="BC562" s="90"/>
      <c r="BD562" s="90"/>
      <c r="BE562" s="90"/>
      <c r="BF562" s="90"/>
      <c r="BG562" s="90"/>
      <c r="BH562" s="90"/>
      <c r="BI562" s="90"/>
      <c r="BJ562" s="90"/>
      <c r="BK562" s="90"/>
      <c r="BL562" s="90"/>
      <c r="BM562" s="90"/>
      <c r="BN562" s="90"/>
      <c r="BO562" s="90"/>
      <c r="BP562" s="90"/>
    </row>
    <row r="563" ht="12.75" customHeight="1">
      <c r="A563" s="316"/>
      <c r="K563" s="102"/>
      <c r="L563" s="102"/>
      <c r="M563" s="102"/>
      <c r="N563" s="102"/>
      <c r="O563" s="102"/>
      <c r="P563" s="102"/>
      <c r="Q563" s="102"/>
      <c r="R563" s="102"/>
      <c r="S563" s="102"/>
      <c r="T563" s="102"/>
      <c r="U563" s="102"/>
      <c r="V563" s="102"/>
      <c r="W563" s="102"/>
      <c r="X563" s="102"/>
      <c r="Y563" s="102"/>
      <c r="Z563" s="102"/>
      <c r="AA563" s="102"/>
      <c r="AB563" s="102"/>
      <c r="AC563" s="102"/>
      <c r="AD563" s="102"/>
      <c r="AE563" s="102"/>
      <c r="AF563" s="102"/>
      <c r="AG563" s="102"/>
      <c r="AH563" s="102"/>
      <c r="AI563" s="102"/>
      <c r="AJ563" s="102"/>
      <c r="AK563" s="102"/>
      <c r="AL563" s="102"/>
      <c r="AM563" s="102"/>
      <c r="AN563" s="102"/>
      <c r="AO563" s="102"/>
      <c r="AP563" s="102"/>
      <c r="AQ563" s="102"/>
      <c r="AR563" s="102"/>
      <c r="AS563" s="102"/>
      <c r="AT563" s="102"/>
      <c r="AU563" s="102"/>
      <c r="AV563" s="102"/>
      <c r="AW563" s="90"/>
      <c r="AX563" s="90"/>
      <c r="AY563" s="90"/>
      <c r="AZ563" s="90"/>
      <c r="BA563" s="90"/>
      <c r="BB563" s="90"/>
      <c r="BC563" s="90"/>
      <c r="BD563" s="90"/>
      <c r="BE563" s="90"/>
      <c r="BF563" s="90"/>
      <c r="BG563" s="90"/>
      <c r="BH563" s="90"/>
      <c r="BI563" s="90"/>
      <c r="BJ563" s="90"/>
      <c r="BK563" s="90"/>
      <c r="BL563" s="90"/>
      <c r="BM563" s="90"/>
      <c r="BN563" s="90"/>
      <c r="BO563" s="90"/>
      <c r="BP563" s="90"/>
    </row>
    <row r="564" ht="12.75" customHeight="1">
      <c r="A564" s="316"/>
      <c r="K564" s="102"/>
      <c r="L564" s="102"/>
      <c r="M564" s="102"/>
      <c r="N564" s="102"/>
      <c r="O564" s="102"/>
      <c r="P564" s="102"/>
      <c r="Q564" s="102"/>
      <c r="R564" s="102"/>
      <c r="S564" s="102"/>
      <c r="T564" s="102"/>
      <c r="U564" s="102"/>
      <c r="V564" s="102"/>
      <c r="W564" s="102"/>
      <c r="X564" s="102"/>
      <c r="Y564" s="102"/>
      <c r="Z564" s="102"/>
      <c r="AA564" s="102"/>
      <c r="AB564" s="102"/>
      <c r="AC564" s="102"/>
      <c r="AD564" s="102"/>
      <c r="AE564" s="102"/>
      <c r="AF564" s="102"/>
      <c r="AG564" s="102"/>
      <c r="AH564" s="102"/>
      <c r="AI564" s="102"/>
      <c r="AJ564" s="102"/>
      <c r="AK564" s="102"/>
      <c r="AL564" s="102"/>
      <c r="AM564" s="102"/>
      <c r="AN564" s="102"/>
      <c r="AO564" s="102"/>
      <c r="AP564" s="102"/>
      <c r="AQ564" s="102"/>
      <c r="AR564" s="102"/>
      <c r="AS564" s="102"/>
      <c r="AT564" s="102"/>
      <c r="AU564" s="102"/>
      <c r="AV564" s="102"/>
      <c r="AW564" s="90"/>
      <c r="AX564" s="90"/>
      <c r="AY564" s="90"/>
      <c r="AZ564" s="90"/>
      <c r="BA564" s="90"/>
      <c r="BB564" s="90"/>
      <c r="BC564" s="90"/>
      <c r="BD564" s="90"/>
      <c r="BE564" s="90"/>
      <c r="BF564" s="90"/>
      <c r="BG564" s="90"/>
      <c r="BH564" s="90"/>
      <c r="BI564" s="90"/>
      <c r="BJ564" s="90"/>
      <c r="BK564" s="90"/>
      <c r="BL564" s="90"/>
      <c r="BM564" s="90"/>
      <c r="BN564" s="90"/>
      <c r="BO564" s="90"/>
      <c r="BP564" s="90"/>
    </row>
    <row r="565" ht="12.75" customHeight="1">
      <c r="A565" s="316"/>
      <c r="K565" s="102"/>
      <c r="L565" s="102"/>
      <c r="M565" s="102"/>
      <c r="N565" s="102"/>
      <c r="O565" s="102"/>
      <c r="P565" s="102"/>
      <c r="Q565" s="102"/>
      <c r="R565" s="102"/>
      <c r="S565" s="102"/>
      <c r="T565" s="102"/>
      <c r="U565" s="102"/>
      <c r="V565" s="102"/>
      <c r="W565" s="102"/>
      <c r="X565" s="102"/>
      <c r="Y565" s="102"/>
      <c r="Z565" s="102"/>
      <c r="AA565" s="102"/>
      <c r="AB565" s="102"/>
      <c r="AC565" s="102"/>
      <c r="AD565" s="102"/>
      <c r="AE565" s="102"/>
      <c r="AF565" s="102"/>
      <c r="AG565" s="102"/>
      <c r="AH565" s="102"/>
      <c r="AI565" s="102"/>
      <c r="AJ565" s="102"/>
      <c r="AK565" s="102"/>
      <c r="AL565" s="102"/>
      <c r="AM565" s="102"/>
      <c r="AN565" s="102"/>
      <c r="AO565" s="102"/>
      <c r="AP565" s="102"/>
      <c r="AQ565" s="102"/>
      <c r="AR565" s="102"/>
      <c r="AS565" s="102"/>
      <c r="AT565" s="102"/>
      <c r="AU565" s="102"/>
      <c r="AV565" s="102"/>
      <c r="AW565" s="90"/>
      <c r="AX565" s="90"/>
      <c r="AY565" s="90"/>
      <c r="AZ565" s="90"/>
      <c r="BA565" s="90"/>
      <c r="BB565" s="90"/>
      <c r="BC565" s="90"/>
      <c r="BD565" s="90"/>
      <c r="BE565" s="90"/>
      <c r="BF565" s="90"/>
      <c r="BG565" s="90"/>
      <c r="BH565" s="90"/>
      <c r="BI565" s="90"/>
      <c r="BJ565" s="90"/>
      <c r="BK565" s="90"/>
      <c r="BL565" s="90"/>
      <c r="BM565" s="90"/>
      <c r="BN565" s="90"/>
      <c r="BO565" s="90"/>
      <c r="BP565" s="90"/>
    </row>
    <row r="566" ht="12.75" customHeight="1">
      <c r="A566" s="316"/>
      <c r="K566" s="102"/>
      <c r="L566" s="102"/>
      <c r="M566" s="102"/>
      <c r="N566" s="102"/>
      <c r="O566" s="102"/>
      <c r="P566" s="102"/>
      <c r="Q566" s="102"/>
      <c r="R566" s="102"/>
      <c r="S566" s="102"/>
      <c r="T566" s="102"/>
      <c r="U566" s="102"/>
      <c r="V566" s="102"/>
      <c r="W566" s="102"/>
      <c r="X566" s="102"/>
      <c r="Y566" s="102"/>
      <c r="Z566" s="102"/>
      <c r="AA566" s="102"/>
      <c r="AB566" s="102"/>
      <c r="AC566" s="102"/>
      <c r="AD566" s="102"/>
      <c r="AE566" s="102"/>
      <c r="AF566" s="102"/>
      <c r="AG566" s="102"/>
      <c r="AH566" s="102"/>
      <c r="AI566" s="102"/>
      <c r="AJ566" s="102"/>
      <c r="AK566" s="102"/>
      <c r="AL566" s="102"/>
      <c r="AM566" s="102"/>
      <c r="AN566" s="102"/>
      <c r="AO566" s="102"/>
      <c r="AP566" s="102"/>
      <c r="AQ566" s="102"/>
      <c r="AR566" s="102"/>
      <c r="AS566" s="102"/>
      <c r="AT566" s="102"/>
      <c r="AU566" s="102"/>
      <c r="AV566" s="102"/>
      <c r="AW566" s="90"/>
      <c r="AX566" s="90"/>
      <c r="AY566" s="90"/>
      <c r="AZ566" s="90"/>
      <c r="BA566" s="90"/>
      <c r="BB566" s="90"/>
      <c r="BC566" s="90"/>
      <c r="BD566" s="90"/>
      <c r="BE566" s="90"/>
      <c r="BF566" s="90"/>
      <c r="BG566" s="90"/>
      <c r="BH566" s="90"/>
      <c r="BI566" s="90"/>
      <c r="BJ566" s="90"/>
      <c r="BK566" s="90"/>
      <c r="BL566" s="90"/>
      <c r="BM566" s="90"/>
      <c r="BN566" s="90"/>
      <c r="BO566" s="90"/>
      <c r="BP566" s="90"/>
    </row>
    <row r="567" ht="12.75" customHeight="1">
      <c r="A567" s="316"/>
      <c r="K567" s="102"/>
      <c r="L567" s="102"/>
      <c r="M567" s="102"/>
      <c r="N567" s="102"/>
      <c r="O567" s="102"/>
      <c r="P567" s="102"/>
      <c r="Q567" s="102"/>
      <c r="R567" s="102"/>
      <c r="S567" s="102"/>
      <c r="T567" s="102"/>
      <c r="U567" s="102"/>
      <c r="V567" s="102"/>
      <c r="W567" s="102"/>
      <c r="X567" s="102"/>
      <c r="Y567" s="102"/>
      <c r="Z567" s="102"/>
      <c r="AA567" s="102"/>
      <c r="AB567" s="102"/>
      <c r="AC567" s="102"/>
      <c r="AD567" s="102"/>
      <c r="AE567" s="102"/>
      <c r="AF567" s="102"/>
      <c r="AG567" s="102"/>
      <c r="AH567" s="102"/>
      <c r="AI567" s="102"/>
      <c r="AJ567" s="102"/>
      <c r="AK567" s="102"/>
      <c r="AL567" s="102"/>
      <c r="AM567" s="102"/>
      <c r="AN567" s="102"/>
      <c r="AO567" s="102"/>
      <c r="AP567" s="102"/>
      <c r="AQ567" s="102"/>
      <c r="AR567" s="102"/>
      <c r="AS567" s="102"/>
      <c r="AT567" s="102"/>
      <c r="AU567" s="102"/>
      <c r="AV567" s="102"/>
      <c r="AW567" s="90"/>
      <c r="AX567" s="90"/>
      <c r="AY567" s="90"/>
      <c r="AZ567" s="90"/>
      <c r="BA567" s="90"/>
      <c r="BB567" s="90"/>
      <c r="BC567" s="90"/>
      <c r="BD567" s="90"/>
      <c r="BE567" s="90"/>
      <c r="BF567" s="90"/>
      <c r="BG567" s="90"/>
      <c r="BH567" s="90"/>
      <c r="BI567" s="90"/>
      <c r="BJ567" s="90"/>
      <c r="BK567" s="90"/>
      <c r="BL567" s="90"/>
      <c r="BM567" s="90"/>
      <c r="BN567" s="90"/>
      <c r="BO567" s="90"/>
      <c r="BP567" s="90"/>
    </row>
    <row r="568" ht="12.75" customHeight="1">
      <c r="A568" s="316"/>
      <c r="K568" s="102"/>
      <c r="L568" s="102"/>
      <c r="M568" s="102"/>
      <c r="N568" s="102"/>
      <c r="O568" s="102"/>
      <c r="P568" s="102"/>
      <c r="Q568" s="102"/>
      <c r="R568" s="102"/>
      <c r="S568" s="102"/>
      <c r="T568" s="102"/>
      <c r="U568" s="102"/>
      <c r="V568" s="102"/>
      <c r="W568" s="102"/>
      <c r="X568" s="102"/>
      <c r="Y568" s="102"/>
      <c r="Z568" s="102"/>
      <c r="AA568" s="102"/>
      <c r="AB568" s="102"/>
      <c r="AC568" s="102"/>
      <c r="AD568" s="102"/>
      <c r="AE568" s="102"/>
      <c r="AF568" s="102"/>
      <c r="AG568" s="102"/>
      <c r="AH568" s="102"/>
      <c r="AI568" s="102"/>
      <c r="AJ568" s="102"/>
      <c r="AK568" s="102"/>
      <c r="AL568" s="102"/>
      <c r="AM568" s="102"/>
      <c r="AN568" s="102"/>
      <c r="AO568" s="102"/>
      <c r="AP568" s="102"/>
      <c r="AQ568" s="102"/>
      <c r="AR568" s="102"/>
      <c r="AS568" s="102"/>
      <c r="AT568" s="102"/>
      <c r="AU568" s="102"/>
      <c r="AV568" s="102"/>
      <c r="AW568" s="90"/>
      <c r="AX568" s="90"/>
      <c r="AY568" s="90"/>
      <c r="AZ568" s="90"/>
      <c r="BA568" s="90"/>
      <c r="BB568" s="90"/>
      <c r="BC568" s="90"/>
      <c r="BD568" s="90"/>
      <c r="BE568" s="90"/>
      <c r="BF568" s="90"/>
      <c r="BG568" s="90"/>
      <c r="BH568" s="90"/>
      <c r="BI568" s="90"/>
      <c r="BJ568" s="90"/>
      <c r="BK568" s="90"/>
      <c r="BL568" s="90"/>
      <c r="BM568" s="90"/>
      <c r="BN568" s="90"/>
      <c r="BO568" s="90"/>
      <c r="BP568" s="90"/>
    </row>
    <row r="569" ht="12.75" customHeight="1">
      <c r="A569" s="316"/>
      <c r="K569" s="102"/>
      <c r="L569" s="102"/>
      <c r="M569" s="102"/>
      <c r="N569" s="102"/>
      <c r="O569" s="102"/>
      <c r="P569" s="102"/>
      <c r="Q569" s="102"/>
      <c r="R569" s="102"/>
      <c r="S569" s="102"/>
      <c r="T569" s="102"/>
      <c r="U569" s="102"/>
      <c r="V569" s="102"/>
      <c r="W569" s="102"/>
      <c r="X569" s="102"/>
      <c r="Y569" s="102"/>
      <c r="Z569" s="102"/>
      <c r="AA569" s="102"/>
      <c r="AB569" s="102"/>
      <c r="AC569" s="102"/>
      <c r="AD569" s="102"/>
      <c r="AE569" s="102"/>
      <c r="AF569" s="102"/>
      <c r="AG569" s="102"/>
      <c r="AH569" s="102"/>
      <c r="AI569" s="102"/>
      <c r="AJ569" s="102"/>
      <c r="AK569" s="102"/>
      <c r="AL569" s="102"/>
      <c r="AM569" s="102"/>
      <c r="AN569" s="102"/>
      <c r="AO569" s="102"/>
      <c r="AP569" s="102"/>
      <c r="AQ569" s="102"/>
      <c r="AR569" s="102"/>
      <c r="AS569" s="102"/>
      <c r="AT569" s="102"/>
      <c r="AU569" s="102"/>
      <c r="AV569" s="102"/>
      <c r="AW569" s="90"/>
      <c r="AX569" s="90"/>
      <c r="AY569" s="90"/>
      <c r="AZ569" s="90"/>
      <c r="BA569" s="90"/>
      <c r="BB569" s="90"/>
      <c r="BC569" s="90"/>
      <c r="BD569" s="90"/>
      <c r="BE569" s="90"/>
      <c r="BF569" s="90"/>
      <c r="BG569" s="90"/>
      <c r="BH569" s="90"/>
      <c r="BI569" s="90"/>
      <c r="BJ569" s="90"/>
      <c r="BK569" s="90"/>
      <c r="BL569" s="90"/>
      <c r="BM569" s="90"/>
      <c r="BN569" s="90"/>
      <c r="BO569" s="90"/>
      <c r="BP569" s="90"/>
    </row>
    <row r="570" ht="12.75" customHeight="1">
      <c r="A570" s="316"/>
      <c r="K570" s="102"/>
      <c r="L570" s="102"/>
      <c r="M570" s="102"/>
      <c r="N570" s="102"/>
      <c r="O570" s="102"/>
      <c r="P570" s="102"/>
      <c r="Q570" s="102"/>
      <c r="R570" s="102"/>
      <c r="S570" s="102"/>
      <c r="T570" s="102"/>
      <c r="U570" s="102"/>
      <c r="V570" s="102"/>
      <c r="W570" s="102"/>
      <c r="X570" s="102"/>
      <c r="Y570" s="102"/>
      <c r="Z570" s="102"/>
      <c r="AA570" s="102"/>
      <c r="AB570" s="102"/>
      <c r="AC570" s="102"/>
      <c r="AD570" s="102"/>
      <c r="AE570" s="102"/>
      <c r="AF570" s="102"/>
      <c r="AG570" s="102"/>
      <c r="AH570" s="102"/>
      <c r="AI570" s="102"/>
      <c r="AJ570" s="102"/>
      <c r="AK570" s="102"/>
      <c r="AL570" s="102"/>
      <c r="AM570" s="102"/>
      <c r="AN570" s="102"/>
      <c r="AO570" s="102"/>
      <c r="AP570" s="102"/>
      <c r="AQ570" s="102"/>
      <c r="AR570" s="102"/>
      <c r="AS570" s="102"/>
      <c r="AT570" s="102"/>
      <c r="AU570" s="102"/>
      <c r="AV570" s="102"/>
      <c r="AW570" s="90"/>
      <c r="AX570" s="90"/>
      <c r="AY570" s="90"/>
      <c r="AZ570" s="90"/>
      <c r="BA570" s="90"/>
      <c r="BB570" s="90"/>
      <c r="BC570" s="90"/>
      <c r="BD570" s="90"/>
      <c r="BE570" s="90"/>
      <c r="BF570" s="90"/>
      <c r="BG570" s="90"/>
      <c r="BH570" s="90"/>
      <c r="BI570" s="90"/>
      <c r="BJ570" s="90"/>
      <c r="BK570" s="90"/>
      <c r="BL570" s="90"/>
      <c r="BM570" s="90"/>
      <c r="BN570" s="90"/>
      <c r="BO570" s="90"/>
      <c r="BP570" s="90"/>
    </row>
    <row r="571" ht="12.75" customHeight="1">
      <c r="A571" s="316"/>
      <c r="K571" s="102"/>
      <c r="L571" s="102"/>
      <c r="M571" s="102"/>
      <c r="N571" s="102"/>
      <c r="O571" s="102"/>
      <c r="P571" s="102"/>
      <c r="Q571" s="102"/>
      <c r="R571" s="102"/>
      <c r="S571" s="102"/>
      <c r="T571" s="102"/>
      <c r="U571" s="102"/>
      <c r="V571" s="102"/>
      <c r="W571" s="102"/>
      <c r="X571" s="102"/>
      <c r="Y571" s="102"/>
      <c r="Z571" s="102"/>
      <c r="AA571" s="102"/>
      <c r="AB571" s="102"/>
      <c r="AC571" s="102"/>
      <c r="AD571" s="102"/>
      <c r="AE571" s="102"/>
      <c r="AF571" s="102"/>
      <c r="AG571" s="102"/>
      <c r="AH571" s="102"/>
      <c r="AI571" s="102"/>
      <c r="AJ571" s="102"/>
      <c r="AK571" s="102"/>
      <c r="AL571" s="102"/>
      <c r="AM571" s="102"/>
      <c r="AN571" s="102"/>
      <c r="AO571" s="102"/>
      <c r="AP571" s="102"/>
      <c r="AQ571" s="102"/>
      <c r="AR571" s="102"/>
      <c r="AS571" s="102"/>
      <c r="AT571" s="102"/>
      <c r="AU571" s="102"/>
      <c r="AV571" s="102"/>
      <c r="AW571" s="90"/>
      <c r="AX571" s="90"/>
      <c r="AY571" s="90"/>
      <c r="AZ571" s="90"/>
      <c r="BA571" s="90"/>
      <c r="BB571" s="90"/>
      <c r="BC571" s="90"/>
      <c r="BD571" s="90"/>
      <c r="BE571" s="90"/>
      <c r="BF571" s="90"/>
      <c r="BG571" s="90"/>
      <c r="BH571" s="90"/>
      <c r="BI571" s="90"/>
      <c r="BJ571" s="90"/>
      <c r="BK571" s="90"/>
      <c r="BL571" s="90"/>
      <c r="BM571" s="90"/>
      <c r="BN571" s="90"/>
      <c r="BO571" s="90"/>
      <c r="BP571" s="90"/>
    </row>
    <row r="572" ht="12.75" customHeight="1">
      <c r="A572" s="316"/>
      <c r="K572" s="102"/>
      <c r="L572" s="102"/>
      <c r="M572" s="102"/>
      <c r="N572" s="102"/>
      <c r="O572" s="102"/>
      <c r="P572" s="102"/>
      <c r="Q572" s="102"/>
      <c r="R572" s="102"/>
      <c r="S572" s="102"/>
      <c r="T572" s="102"/>
      <c r="U572" s="102"/>
      <c r="V572" s="102"/>
      <c r="W572" s="102"/>
      <c r="X572" s="102"/>
      <c r="Y572" s="102"/>
      <c r="Z572" s="102"/>
      <c r="AA572" s="102"/>
      <c r="AB572" s="102"/>
      <c r="AC572" s="102"/>
      <c r="AD572" s="102"/>
      <c r="AE572" s="102"/>
      <c r="AF572" s="102"/>
      <c r="AG572" s="102"/>
      <c r="AH572" s="102"/>
      <c r="AI572" s="102"/>
      <c r="AJ572" s="102"/>
      <c r="AK572" s="102"/>
      <c r="AL572" s="102"/>
      <c r="AM572" s="102"/>
      <c r="AN572" s="102"/>
      <c r="AO572" s="102"/>
      <c r="AP572" s="102"/>
      <c r="AQ572" s="102"/>
      <c r="AR572" s="102"/>
      <c r="AS572" s="102"/>
      <c r="AT572" s="102"/>
      <c r="AU572" s="102"/>
      <c r="AV572" s="102"/>
      <c r="AW572" s="90"/>
      <c r="AX572" s="90"/>
      <c r="AY572" s="90"/>
      <c r="AZ572" s="90"/>
      <c r="BA572" s="90"/>
      <c r="BB572" s="90"/>
      <c r="BC572" s="90"/>
      <c r="BD572" s="90"/>
      <c r="BE572" s="90"/>
      <c r="BF572" s="90"/>
      <c r="BG572" s="90"/>
      <c r="BH572" s="90"/>
      <c r="BI572" s="90"/>
      <c r="BJ572" s="90"/>
      <c r="BK572" s="90"/>
      <c r="BL572" s="90"/>
      <c r="BM572" s="90"/>
      <c r="BN572" s="90"/>
      <c r="BO572" s="90"/>
      <c r="BP572" s="90"/>
    </row>
    <row r="573" ht="12.75" customHeight="1">
      <c r="A573" s="316"/>
      <c r="K573" s="102"/>
      <c r="L573" s="102"/>
      <c r="M573" s="102"/>
      <c r="N573" s="102"/>
      <c r="O573" s="102"/>
      <c r="P573" s="102"/>
      <c r="Q573" s="102"/>
      <c r="R573" s="102"/>
      <c r="S573" s="102"/>
      <c r="T573" s="102"/>
      <c r="U573" s="102"/>
      <c r="V573" s="102"/>
      <c r="W573" s="102"/>
      <c r="X573" s="102"/>
      <c r="Y573" s="102"/>
      <c r="Z573" s="102"/>
      <c r="AA573" s="102"/>
      <c r="AB573" s="102"/>
      <c r="AC573" s="102"/>
      <c r="AD573" s="102"/>
      <c r="AE573" s="102"/>
      <c r="AF573" s="102"/>
      <c r="AG573" s="102"/>
      <c r="AH573" s="102"/>
      <c r="AI573" s="102"/>
      <c r="AJ573" s="102"/>
      <c r="AK573" s="102"/>
      <c r="AL573" s="102"/>
      <c r="AM573" s="102"/>
      <c r="AN573" s="102"/>
      <c r="AO573" s="102"/>
      <c r="AP573" s="102"/>
      <c r="AQ573" s="102"/>
      <c r="AR573" s="102"/>
      <c r="AS573" s="102"/>
      <c r="AT573" s="102"/>
      <c r="AU573" s="102"/>
      <c r="AV573" s="102"/>
      <c r="AW573" s="90"/>
      <c r="AX573" s="90"/>
      <c r="AY573" s="90"/>
      <c r="AZ573" s="90"/>
      <c r="BA573" s="90"/>
      <c r="BB573" s="90"/>
      <c r="BC573" s="90"/>
      <c r="BD573" s="90"/>
      <c r="BE573" s="90"/>
      <c r="BF573" s="90"/>
      <c r="BG573" s="90"/>
      <c r="BH573" s="90"/>
      <c r="BI573" s="90"/>
      <c r="BJ573" s="90"/>
      <c r="BK573" s="90"/>
      <c r="BL573" s="90"/>
      <c r="BM573" s="90"/>
      <c r="BN573" s="90"/>
      <c r="BO573" s="90"/>
      <c r="BP573" s="90"/>
    </row>
    <row r="574" ht="12.75" customHeight="1">
      <c r="A574" s="316"/>
      <c r="K574" s="102"/>
      <c r="L574" s="102"/>
      <c r="M574" s="102"/>
      <c r="N574" s="102"/>
      <c r="O574" s="102"/>
      <c r="P574" s="102"/>
      <c r="Q574" s="102"/>
      <c r="R574" s="102"/>
      <c r="S574" s="102"/>
      <c r="T574" s="102"/>
      <c r="U574" s="102"/>
      <c r="V574" s="102"/>
      <c r="W574" s="102"/>
      <c r="X574" s="102"/>
      <c r="Y574" s="102"/>
      <c r="Z574" s="102"/>
      <c r="AA574" s="102"/>
      <c r="AB574" s="102"/>
      <c r="AC574" s="102"/>
      <c r="AD574" s="102"/>
      <c r="AE574" s="102"/>
      <c r="AF574" s="102"/>
      <c r="AG574" s="102"/>
      <c r="AH574" s="102"/>
      <c r="AI574" s="102"/>
      <c r="AJ574" s="102"/>
      <c r="AK574" s="102"/>
      <c r="AL574" s="102"/>
      <c r="AM574" s="102"/>
      <c r="AN574" s="102"/>
      <c r="AO574" s="102"/>
      <c r="AP574" s="102"/>
      <c r="AQ574" s="102"/>
      <c r="AR574" s="102"/>
      <c r="AS574" s="102"/>
      <c r="AT574" s="102"/>
      <c r="AU574" s="102"/>
      <c r="AV574" s="102"/>
      <c r="AW574" s="90"/>
      <c r="AX574" s="90"/>
      <c r="AY574" s="90"/>
      <c r="AZ574" s="90"/>
      <c r="BA574" s="90"/>
      <c r="BB574" s="90"/>
      <c r="BC574" s="90"/>
      <c r="BD574" s="90"/>
      <c r="BE574" s="90"/>
      <c r="BF574" s="90"/>
      <c r="BG574" s="90"/>
      <c r="BH574" s="90"/>
      <c r="BI574" s="90"/>
      <c r="BJ574" s="90"/>
      <c r="BK574" s="90"/>
      <c r="BL574" s="90"/>
      <c r="BM574" s="90"/>
      <c r="BN574" s="90"/>
      <c r="BO574" s="90"/>
      <c r="BP574" s="90"/>
    </row>
    <row r="575" ht="12.75" customHeight="1">
      <c r="A575" s="316"/>
      <c r="K575" s="102"/>
      <c r="L575" s="102"/>
      <c r="M575" s="102"/>
      <c r="N575" s="102"/>
      <c r="O575" s="102"/>
      <c r="P575" s="102"/>
      <c r="Q575" s="102"/>
      <c r="R575" s="102"/>
      <c r="S575" s="102"/>
      <c r="T575" s="102"/>
      <c r="U575" s="102"/>
      <c r="V575" s="102"/>
      <c r="W575" s="102"/>
      <c r="X575" s="102"/>
      <c r="Y575" s="102"/>
      <c r="Z575" s="102"/>
      <c r="AA575" s="102"/>
      <c r="AB575" s="102"/>
      <c r="AC575" s="102"/>
      <c r="AD575" s="102"/>
      <c r="AE575" s="102"/>
      <c r="AF575" s="102"/>
      <c r="AG575" s="102"/>
      <c r="AH575" s="102"/>
      <c r="AI575" s="102"/>
      <c r="AJ575" s="102"/>
      <c r="AK575" s="102"/>
      <c r="AL575" s="102"/>
      <c r="AM575" s="102"/>
      <c r="AN575" s="102"/>
      <c r="AO575" s="102"/>
      <c r="AP575" s="102"/>
      <c r="AQ575" s="102"/>
      <c r="AR575" s="102"/>
      <c r="AS575" s="102"/>
      <c r="AT575" s="102"/>
      <c r="AU575" s="102"/>
      <c r="AV575" s="102"/>
      <c r="AW575" s="90"/>
      <c r="AX575" s="90"/>
      <c r="AY575" s="90"/>
      <c r="AZ575" s="90"/>
      <c r="BA575" s="90"/>
      <c r="BB575" s="90"/>
      <c r="BC575" s="90"/>
      <c r="BD575" s="90"/>
      <c r="BE575" s="90"/>
      <c r="BF575" s="90"/>
      <c r="BG575" s="90"/>
      <c r="BH575" s="90"/>
      <c r="BI575" s="90"/>
      <c r="BJ575" s="90"/>
      <c r="BK575" s="90"/>
      <c r="BL575" s="90"/>
      <c r="BM575" s="90"/>
      <c r="BN575" s="90"/>
      <c r="BO575" s="90"/>
      <c r="BP575" s="90"/>
    </row>
    <row r="576" ht="12.75" customHeight="1">
      <c r="A576" s="316"/>
      <c r="K576" s="102"/>
      <c r="L576" s="102"/>
      <c r="M576" s="102"/>
      <c r="N576" s="102"/>
      <c r="O576" s="102"/>
      <c r="P576" s="102"/>
      <c r="Q576" s="102"/>
      <c r="R576" s="102"/>
      <c r="S576" s="102"/>
      <c r="T576" s="102"/>
      <c r="U576" s="102"/>
      <c r="V576" s="102"/>
      <c r="W576" s="102"/>
      <c r="X576" s="102"/>
      <c r="Y576" s="102"/>
      <c r="Z576" s="102"/>
      <c r="AA576" s="102"/>
      <c r="AB576" s="102"/>
      <c r="AC576" s="102"/>
      <c r="AD576" s="102"/>
      <c r="AE576" s="102"/>
      <c r="AF576" s="102"/>
      <c r="AG576" s="102"/>
      <c r="AH576" s="102"/>
      <c r="AI576" s="102"/>
      <c r="AJ576" s="102"/>
      <c r="AK576" s="102"/>
      <c r="AL576" s="102"/>
      <c r="AM576" s="102"/>
      <c r="AN576" s="102"/>
      <c r="AO576" s="102"/>
      <c r="AP576" s="102"/>
      <c r="AQ576" s="102"/>
      <c r="AR576" s="102"/>
      <c r="AS576" s="102"/>
      <c r="AT576" s="102"/>
      <c r="AU576" s="102"/>
      <c r="AV576" s="102"/>
      <c r="AW576" s="90"/>
      <c r="AX576" s="90"/>
      <c r="AY576" s="90"/>
      <c r="AZ576" s="90"/>
      <c r="BA576" s="90"/>
      <c r="BB576" s="90"/>
      <c r="BC576" s="90"/>
      <c r="BD576" s="90"/>
      <c r="BE576" s="90"/>
      <c r="BF576" s="90"/>
      <c r="BG576" s="90"/>
      <c r="BH576" s="90"/>
      <c r="BI576" s="90"/>
      <c r="BJ576" s="90"/>
      <c r="BK576" s="90"/>
      <c r="BL576" s="90"/>
      <c r="BM576" s="90"/>
      <c r="BN576" s="90"/>
      <c r="BO576" s="90"/>
      <c r="BP576" s="90"/>
    </row>
    <row r="577" ht="12.75" customHeight="1">
      <c r="A577" s="316"/>
      <c r="K577" s="102"/>
      <c r="L577" s="102"/>
      <c r="M577" s="102"/>
      <c r="N577" s="102"/>
      <c r="O577" s="102"/>
      <c r="P577" s="102"/>
      <c r="Q577" s="102"/>
      <c r="R577" s="102"/>
      <c r="S577" s="102"/>
      <c r="T577" s="102"/>
      <c r="U577" s="102"/>
      <c r="V577" s="102"/>
      <c r="W577" s="102"/>
      <c r="X577" s="102"/>
      <c r="Y577" s="102"/>
      <c r="Z577" s="102"/>
      <c r="AA577" s="102"/>
      <c r="AB577" s="102"/>
      <c r="AC577" s="102"/>
      <c r="AD577" s="102"/>
      <c r="AE577" s="102"/>
      <c r="AF577" s="102"/>
      <c r="AG577" s="102"/>
      <c r="AH577" s="102"/>
      <c r="AI577" s="102"/>
      <c r="AJ577" s="102"/>
      <c r="AK577" s="102"/>
      <c r="AL577" s="102"/>
      <c r="AM577" s="102"/>
      <c r="AN577" s="102"/>
      <c r="AO577" s="102"/>
      <c r="AP577" s="102"/>
      <c r="AQ577" s="102"/>
      <c r="AR577" s="102"/>
      <c r="AS577" s="102"/>
      <c r="AT577" s="102"/>
      <c r="AU577" s="102"/>
      <c r="AV577" s="102"/>
      <c r="AW577" s="90"/>
      <c r="AX577" s="90"/>
      <c r="AY577" s="90"/>
      <c r="AZ577" s="90"/>
      <c r="BA577" s="90"/>
      <c r="BB577" s="90"/>
      <c r="BC577" s="90"/>
      <c r="BD577" s="90"/>
      <c r="BE577" s="90"/>
      <c r="BF577" s="90"/>
      <c r="BG577" s="90"/>
      <c r="BH577" s="90"/>
      <c r="BI577" s="90"/>
      <c r="BJ577" s="90"/>
      <c r="BK577" s="90"/>
      <c r="BL577" s="90"/>
      <c r="BM577" s="90"/>
      <c r="BN577" s="90"/>
      <c r="BO577" s="90"/>
      <c r="BP577" s="90"/>
    </row>
    <row r="578" ht="12.75" customHeight="1">
      <c r="A578" s="316"/>
      <c r="K578" s="102"/>
      <c r="L578" s="102"/>
      <c r="M578" s="102"/>
      <c r="N578" s="102"/>
      <c r="O578" s="102"/>
      <c r="P578" s="102"/>
      <c r="Q578" s="102"/>
      <c r="R578" s="102"/>
      <c r="S578" s="102"/>
      <c r="T578" s="102"/>
      <c r="U578" s="102"/>
      <c r="V578" s="102"/>
      <c r="W578" s="102"/>
      <c r="X578" s="102"/>
      <c r="Y578" s="102"/>
      <c r="Z578" s="102"/>
      <c r="AA578" s="102"/>
      <c r="AB578" s="102"/>
      <c r="AC578" s="102"/>
      <c r="AD578" s="102"/>
      <c r="AE578" s="102"/>
      <c r="AF578" s="102"/>
      <c r="AG578" s="102"/>
      <c r="AH578" s="102"/>
      <c r="AI578" s="102"/>
      <c r="AJ578" s="102"/>
      <c r="AK578" s="102"/>
      <c r="AL578" s="102"/>
      <c r="AM578" s="102"/>
      <c r="AN578" s="102"/>
      <c r="AO578" s="102"/>
      <c r="AP578" s="102"/>
      <c r="AQ578" s="102"/>
      <c r="AR578" s="102"/>
      <c r="AS578" s="102"/>
      <c r="AT578" s="102"/>
      <c r="AU578" s="102"/>
      <c r="AV578" s="102"/>
      <c r="AW578" s="90"/>
      <c r="AX578" s="90"/>
      <c r="AY578" s="90"/>
      <c r="AZ578" s="90"/>
      <c r="BA578" s="90"/>
      <c r="BB578" s="90"/>
      <c r="BC578" s="90"/>
      <c r="BD578" s="90"/>
      <c r="BE578" s="90"/>
      <c r="BF578" s="90"/>
      <c r="BG578" s="90"/>
      <c r="BH578" s="90"/>
      <c r="BI578" s="90"/>
      <c r="BJ578" s="90"/>
      <c r="BK578" s="90"/>
      <c r="BL578" s="90"/>
      <c r="BM578" s="90"/>
      <c r="BN578" s="90"/>
      <c r="BO578" s="90"/>
      <c r="BP578" s="90"/>
    </row>
    <row r="579" ht="12.75" customHeight="1">
      <c r="A579" s="316"/>
      <c r="K579" s="102"/>
      <c r="L579" s="102"/>
      <c r="M579" s="102"/>
      <c r="N579" s="102"/>
      <c r="O579" s="102"/>
      <c r="P579" s="102"/>
      <c r="Q579" s="102"/>
      <c r="R579" s="102"/>
      <c r="S579" s="102"/>
      <c r="T579" s="102"/>
      <c r="U579" s="102"/>
      <c r="V579" s="102"/>
      <c r="W579" s="102"/>
      <c r="X579" s="102"/>
      <c r="Y579" s="102"/>
      <c r="Z579" s="102"/>
      <c r="AA579" s="102"/>
      <c r="AB579" s="102"/>
      <c r="AC579" s="102"/>
      <c r="AD579" s="102"/>
      <c r="AE579" s="102"/>
      <c r="AF579" s="102"/>
      <c r="AG579" s="102"/>
      <c r="AH579" s="102"/>
      <c r="AI579" s="102"/>
      <c r="AJ579" s="102"/>
      <c r="AK579" s="102"/>
      <c r="AL579" s="102"/>
      <c r="AM579" s="102"/>
      <c r="AN579" s="102"/>
      <c r="AO579" s="102"/>
      <c r="AP579" s="102"/>
      <c r="AQ579" s="102"/>
      <c r="AR579" s="102"/>
      <c r="AS579" s="102"/>
      <c r="AT579" s="102"/>
      <c r="AU579" s="102"/>
      <c r="AV579" s="102"/>
      <c r="AW579" s="90"/>
      <c r="AX579" s="90"/>
      <c r="AY579" s="90"/>
      <c r="AZ579" s="90"/>
      <c r="BA579" s="90"/>
      <c r="BB579" s="90"/>
      <c r="BC579" s="90"/>
      <c r="BD579" s="90"/>
      <c r="BE579" s="90"/>
      <c r="BF579" s="90"/>
      <c r="BG579" s="90"/>
      <c r="BH579" s="90"/>
      <c r="BI579" s="90"/>
      <c r="BJ579" s="90"/>
      <c r="BK579" s="90"/>
      <c r="BL579" s="90"/>
      <c r="BM579" s="90"/>
      <c r="BN579" s="90"/>
      <c r="BO579" s="90"/>
      <c r="BP579" s="90"/>
    </row>
    <row r="580" ht="12.75" customHeight="1">
      <c r="A580" s="316"/>
      <c r="K580" s="102"/>
      <c r="L580" s="102"/>
      <c r="M580" s="102"/>
      <c r="N580" s="102"/>
      <c r="O580" s="102"/>
      <c r="P580" s="102"/>
      <c r="Q580" s="102"/>
      <c r="R580" s="102"/>
      <c r="S580" s="102"/>
      <c r="T580" s="102"/>
      <c r="U580" s="102"/>
      <c r="V580" s="102"/>
      <c r="W580" s="102"/>
      <c r="X580" s="102"/>
      <c r="Y580" s="102"/>
      <c r="Z580" s="102"/>
      <c r="AA580" s="102"/>
      <c r="AB580" s="102"/>
      <c r="AC580" s="102"/>
      <c r="AD580" s="102"/>
      <c r="AE580" s="102"/>
      <c r="AF580" s="102"/>
      <c r="AG580" s="102"/>
      <c r="AH580" s="102"/>
      <c r="AI580" s="102"/>
      <c r="AJ580" s="102"/>
      <c r="AK580" s="102"/>
      <c r="AL580" s="102"/>
      <c r="AM580" s="102"/>
      <c r="AN580" s="102"/>
      <c r="AO580" s="102"/>
      <c r="AP580" s="102"/>
      <c r="AQ580" s="102"/>
      <c r="AR580" s="102"/>
      <c r="AS580" s="102"/>
      <c r="AT580" s="102"/>
      <c r="AU580" s="102"/>
      <c r="AV580" s="102"/>
      <c r="AW580" s="90"/>
      <c r="AX580" s="90"/>
      <c r="AY580" s="90"/>
      <c r="AZ580" s="90"/>
      <c r="BA580" s="90"/>
      <c r="BB580" s="90"/>
      <c r="BC580" s="90"/>
      <c r="BD580" s="90"/>
      <c r="BE580" s="90"/>
      <c r="BF580" s="90"/>
      <c r="BG580" s="90"/>
      <c r="BH580" s="90"/>
      <c r="BI580" s="90"/>
      <c r="BJ580" s="90"/>
      <c r="BK580" s="90"/>
      <c r="BL580" s="90"/>
      <c r="BM580" s="90"/>
      <c r="BN580" s="90"/>
      <c r="BO580" s="90"/>
      <c r="BP580" s="90"/>
    </row>
    <row r="581" ht="12.75" customHeight="1">
      <c r="A581" s="316"/>
      <c r="K581" s="102"/>
      <c r="L581" s="102"/>
      <c r="M581" s="102"/>
      <c r="N581" s="102"/>
      <c r="O581" s="102"/>
      <c r="P581" s="102"/>
      <c r="Q581" s="102"/>
      <c r="R581" s="102"/>
      <c r="S581" s="102"/>
      <c r="T581" s="102"/>
      <c r="U581" s="102"/>
      <c r="V581" s="102"/>
      <c r="W581" s="102"/>
      <c r="X581" s="102"/>
      <c r="Y581" s="102"/>
      <c r="Z581" s="102"/>
      <c r="AA581" s="102"/>
      <c r="AB581" s="102"/>
      <c r="AC581" s="102"/>
      <c r="AD581" s="102"/>
      <c r="AE581" s="102"/>
      <c r="AF581" s="102"/>
      <c r="AG581" s="102"/>
      <c r="AH581" s="102"/>
      <c r="AI581" s="102"/>
      <c r="AJ581" s="102"/>
      <c r="AK581" s="102"/>
      <c r="AL581" s="102"/>
      <c r="AM581" s="102"/>
      <c r="AN581" s="102"/>
      <c r="AO581" s="102"/>
      <c r="AP581" s="102"/>
      <c r="AQ581" s="102"/>
      <c r="AR581" s="102"/>
      <c r="AS581" s="102"/>
      <c r="AT581" s="102"/>
      <c r="AU581" s="102"/>
      <c r="AV581" s="102"/>
      <c r="AW581" s="90"/>
      <c r="AX581" s="90"/>
      <c r="AY581" s="90"/>
      <c r="AZ581" s="90"/>
      <c r="BA581" s="90"/>
      <c r="BB581" s="90"/>
      <c r="BC581" s="90"/>
      <c r="BD581" s="90"/>
      <c r="BE581" s="90"/>
      <c r="BF581" s="90"/>
      <c r="BG581" s="90"/>
      <c r="BH581" s="90"/>
      <c r="BI581" s="90"/>
      <c r="BJ581" s="90"/>
      <c r="BK581" s="90"/>
      <c r="BL581" s="90"/>
      <c r="BM581" s="90"/>
      <c r="BN581" s="90"/>
      <c r="BO581" s="90"/>
      <c r="BP581" s="90"/>
    </row>
    <row r="582" ht="12.75" customHeight="1">
      <c r="A582" s="316"/>
      <c r="K582" s="102"/>
      <c r="L582" s="102"/>
      <c r="M582" s="102"/>
      <c r="N582" s="102"/>
      <c r="O582" s="102"/>
      <c r="P582" s="102"/>
      <c r="Q582" s="102"/>
      <c r="R582" s="102"/>
      <c r="S582" s="102"/>
      <c r="T582" s="102"/>
      <c r="U582" s="102"/>
      <c r="V582" s="102"/>
      <c r="W582" s="102"/>
      <c r="X582" s="102"/>
      <c r="Y582" s="102"/>
      <c r="Z582" s="102"/>
      <c r="AA582" s="102"/>
      <c r="AB582" s="102"/>
      <c r="AC582" s="102"/>
      <c r="AD582" s="102"/>
      <c r="AE582" s="102"/>
      <c r="AF582" s="102"/>
      <c r="AG582" s="102"/>
      <c r="AH582" s="102"/>
      <c r="AI582" s="102"/>
      <c r="AJ582" s="102"/>
      <c r="AK582" s="102"/>
      <c r="AL582" s="102"/>
      <c r="AM582" s="102"/>
      <c r="AN582" s="102"/>
      <c r="AO582" s="102"/>
      <c r="AP582" s="102"/>
      <c r="AQ582" s="102"/>
      <c r="AR582" s="102"/>
      <c r="AS582" s="102"/>
      <c r="AT582" s="102"/>
      <c r="AU582" s="102"/>
      <c r="AV582" s="102"/>
      <c r="AW582" s="90"/>
      <c r="AX582" s="90"/>
      <c r="AY582" s="90"/>
      <c r="AZ582" s="90"/>
      <c r="BA582" s="90"/>
      <c r="BB582" s="90"/>
      <c r="BC582" s="90"/>
      <c r="BD582" s="90"/>
      <c r="BE582" s="90"/>
      <c r="BF582" s="90"/>
      <c r="BG582" s="90"/>
      <c r="BH582" s="90"/>
      <c r="BI582" s="90"/>
      <c r="BJ582" s="90"/>
      <c r="BK582" s="90"/>
      <c r="BL582" s="90"/>
      <c r="BM582" s="90"/>
      <c r="BN582" s="90"/>
      <c r="BO582" s="90"/>
      <c r="BP582" s="90"/>
    </row>
  </sheetData>
  <printOptions/>
  <pageMargins bottom="0.35" footer="0.0" header="0.0" left="0.629861111111111" right="0.390277777777778" top="1.04027777777778"/>
  <pageSetup paperSize="5" orientation="landscape"/>
  <headerFooter>
    <oddHeader>&amp;CAll Schools Roll-up Financials</oddHeader>
    <oddFooter>&amp;C&amp;A&amp;R&amp;P</oddFooter>
  </headerFooter>
  <rowBreaks count="1" manualBreakCount="1">
    <brk id="52" man="1"/>
  </row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CC00"/>
    <pageSetUpPr/>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2.63" defaultRowHeight="15.0" outlineLevelRow="1"/>
  <cols>
    <col customWidth="1" min="1" max="2" width="1.38"/>
    <col customWidth="1" min="3" max="3" width="3.38"/>
    <col customWidth="1" min="4" max="4" width="33.25"/>
    <col customWidth="1" min="5" max="6" width="0.75"/>
    <col customWidth="1" min="7" max="7" width="7.75"/>
    <col customWidth="1" min="8" max="8" width="10.75"/>
    <col customWidth="1" min="9" max="18" width="11.5"/>
    <col customWidth="1" min="19" max="45" width="13.0"/>
    <col customWidth="1" min="46" max="59" width="10.88"/>
  </cols>
  <sheetData>
    <row r="1" ht="12.75" customHeight="1">
      <c r="A1" s="158"/>
      <c r="B1" s="95"/>
      <c r="C1" s="95"/>
      <c r="D1" s="95"/>
      <c r="E1" s="95"/>
      <c r="F1" s="95"/>
      <c r="G1" s="317" t="s">
        <v>624</v>
      </c>
      <c r="H1" s="317"/>
      <c r="I1" s="317"/>
      <c r="J1" s="317"/>
      <c r="K1" s="317"/>
      <c r="L1" s="317"/>
      <c r="M1" s="317"/>
      <c r="N1" s="317"/>
      <c r="O1" s="317"/>
      <c r="P1" s="317"/>
      <c r="Q1" s="317"/>
      <c r="R1" s="317"/>
      <c r="AT1" s="318"/>
      <c r="AU1" s="318"/>
      <c r="AV1" s="318"/>
      <c r="AW1" s="318"/>
      <c r="AX1" s="318"/>
      <c r="AY1" s="318"/>
      <c r="AZ1" s="318"/>
      <c r="BA1" s="318"/>
      <c r="BB1" s="318"/>
      <c r="BC1" s="318"/>
      <c r="BD1" s="318"/>
      <c r="BE1" s="318"/>
      <c r="BF1" s="318"/>
      <c r="BG1" s="318"/>
    </row>
    <row r="2" ht="12.75" customHeight="1">
      <c r="A2" s="96"/>
      <c r="B2" s="97"/>
      <c r="C2" s="97"/>
      <c r="D2" s="97"/>
      <c r="E2" s="97"/>
      <c r="F2" s="97"/>
      <c r="G2" s="280">
        <v>-1.0</v>
      </c>
      <c r="H2" s="280">
        <v>0.0</v>
      </c>
      <c r="I2" s="165">
        <f t="shared" ref="I2:R2" si="1">H2+1</f>
        <v>1</v>
      </c>
      <c r="J2" s="165">
        <f t="shared" si="1"/>
        <v>2</v>
      </c>
      <c r="K2" s="165">
        <f t="shared" si="1"/>
        <v>3</v>
      </c>
      <c r="L2" s="165">
        <f t="shared" si="1"/>
        <v>4</v>
      </c>
      <c r="M2" s="165">
        <f t="shared" si="1"/>
        <v>5</v>
      </c>
      <c r="N2" s="165">
        <f t="shared" si="1"/>
        <v>6</v>
      </c>
      <c r="O2" s="165">
        <f t="shared" si="1"/>
        <v>7</v>
      </c>
      <c r="P2" s="165">
        <f t="shared" si="1"/>
        <v>8</v>
      </c>
      <c r="Q2" s="319">
        <f t="shared" si="1"/>
        <v>9</v>
      </c>
      <c r="R2" s="319">
        <f t="shared" si="1"/>
        <v>10</v>
      </c>
      <c r="AT2" s="320">
        <f t="shared" ref="AT2:BG2" si="2">AS2+1</f>
        <v>1</v>
      </c>
      <c r="AU2" s="320">
        <f t="shared" si="2"/>
        <v>2</v>
      </c>
      <c r="AV2" s="320">
        <f t="shared" si="2"/>
        <v>3</v>
      </c>
      <c r="AW2" s="320">
        <f t="shared" si="2"/>
        <v>4</v>
      </c>
      <c r="AX2" s="320">
        <f t="shared" si="2"/>
        <v>5</v>
      </c>
      <c r="AY2" s="320">
        <f t="shared" si="2"/>
        <v>6</v>
      </c>
      <c r="AZ2" s="320">
        <f t="shared" si="2"/>
        <v>7</v>
      </c>
      <c r="BA2" s="320">
        <f t="shared" si="2"/>
        <v>8</v>
      </c>
      <c r="BB2" s="320">
        <f t="shared" si="2"/>
        <v>9</v>
      </c>
      <c r="BC2" s="320">
        <f t="shared" si="2"/>
        <v>10</v>
      </c>
      <c r="BD2" s="320">
        <f t="shared" si="2"/>
        <v>11</v>
      </c>
      <c r="BE2" s="320">
        <f t="shared" si="2"/>
        <v>12</v>
      </c>
      <c r="BF2" s="320">
        <f t="shared" si="2"/>
        <v>13</v>
      </c>
      <c r="BG2" s="320">
        <f t="shared" si="2"/>
        <v>14</v>
      </c>
    </row>
    <row r="3" ht="12.75" customHeight="1">
      <c r="A3" s="321" t="s">
        <v>191</v>
      </c>
      <c r="B3" s="322"/>
      <c r="C3" s="322"/>
      <c r="D3" s="322"/>
      <c r="E3" s="322"/>
      <c r="F3" s="322"/>
      <c r="G3" s="323"/>
      <c r="H3" s="324"/>
      <c r="I3" s="325"/>
      <c r="J3" s="325"/>
      <c r="K3" s="325"/>
      <c r="L3" s="325"/>
      <c r="M3" s="325"/>
      <c r="N3" s="325"/>
      <c r="O3" s="325"/>
      <c r="P3" s="325"/>
      <c r="Q3" s="325"/>
      <c r="R3" s="326"/>
      <c r="AT3" s="327"/>
      <c r="AU3" s="327"/>
      <c r="AV3" s="327"/>
      <c r="AW3" s="327"/>
      <c r="AX3" s="327"/>
      <c r="AY3" s="327"/>
      <c r="AZ3" s="327"/>
      <c r="BA3" s="327"/>
      <c r="BB3" s="327"/>
      <c r="BC3" s="327"/>
      <c r="BD3" s="327"/>
      <c r="BE3" s="327"/>
      <c r="BF3" s="327"/>
      <c r="BG3" s="327"/>
    </row>
    <row r="4" ht="12.75" customHeight="1">
      <c r="A4" s="328"/>
      <c r="B4" s="329"/>
      <c r="C4" s="329"/>
      <c r="D4" s="329" t="s">
        <v>165</v>
      </c>
      <c r="E4" s="329"/>
      <c r="F4" s="329"/>
      <c r="G4" s="330">
        <f t="shared" ref="G4:R4" si="3">G47</f>
        <v>0</v>
      </c>
      <c r="H4" s="330">
        <f t="shared" si="3"/>
        <v>0</v>
      </c>
      <c r="I4" s="330">
        <f t="shared" si="3"/>
        <v>392</v>
      </c>
      <c r="J4" s="330">
        <f t="shared" si="3"/>
        <v>464</v>
      </c>
      <c r="K4" s="330">
        <f t="shared" si="3"/>
        <v>500</v>
      </c>
      <c r="L4" s="330">
        <f t="shared" si="3"/>
        <v>500</v>
      </c>
      <c r="M4" s="330">
        <f t="shared" si="3"/>
        <v>500</v>
      </c>
      <c r="N4" s="330">
        <f t="shared" si="3"/>
        <v>500</v>
      </c>
      <c r="O4" s="330">
        <f t="shared" si="3"/>
        <v>500</v>
      </c>
      <c r="P4" s="330">
        <f t="shared" si="3"/>
        <v>500</v>
      </c>
      <c r="Q4" s="330">
        <f t="shared" si="3"/>
        <v>500</v>
      </c>
      <c r="R4" s="331">
        <f t="shared" si="3"/>
        <v>500</v>
      </c>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327"/>
      <c r="AU4" s="327"/>
      <c r="AV4" s="327"/>
      <c r="AW4" s="327"/>
      <c r="AX4" s="327"/>
      <c r="AY4" s="327"/>
      <c r="AZ4" s="327"/>
      <c r="BA4" s="327"/>
      <c r="BB4" s="327"/>
      <c r="BC4" s="327"/>
      <c r="BD4" s="327"/>
      <c r="BE4" s="327"/>
      <c r="BF4" s="327"/>
      <c r="BG4" s="327"/>
    </row>
    <row r="5" ht="12.75" customHeight="1">
      <c r="A5" s="328"/>
      <c r="B5" s="323"/>
      <c r="C5" s="323"/>
      <c r="D5" s="323"/>
      <c r="E5" s="323"/>
      <c r="F5" s="323"/>
      <c r="G5" s="323"/>
      <c r="H5" s="324"/>
      <c r="I5" s="324"/>
      <c r="J5" s="324"/>
      <c r="K5" s="324"/>
      <c r="L5" s="324"/>
      <c r="M5" s="324"/>
      <c r="N5" s="324"/>
      <c r="O5" s="324"/>
      <c r="P5" s="324"/>
      <c r="Q5" s="324"/>
      <c r="R5" s="332"/>
      <c r="AT5" s="327"/>
      <c r="AU5" s="327"/>
      <c r="AV5" s="327"/>
      <c r="AW5" s="327"/>
      <c r="AX5" s="327"/>
      <c r="AY5" s="327"/>
      <c r="AZ5" s="327"/>
      <c r="BA5" s="327"/>
      <c r="BB5" s="327"/>
      <c r="BC5" s="327"/>
      <c r="BD5" s="327"/>
      <c r="BE5" s="327"/>
      <c r="BF5" s="327"/>
      <c r="BG5" s="327"/>
    </row>
    <row r="6" ht="12.75" customHeight="1">
      <c r="A6" s="328"/>
      <c r="B6" s="323"/>
      <c r="C6" s="329" t="s">
        <v>226</v>
      </c>
      <c r="D6" s="323"/>
      <c r="E6" s="323"/>
      <c r="F6" s="323"/>
      <c r="G6" s="323"/>
      <c r="H6" s="324"/>
      <c r="I6" s="324"/>
      <c r="J6" s="324"/>
      <c r="K6" s="324"/>
      <c r="L6" s="324"/>
      <c r="M6" s="324"/>
      <c r="N6" s="324"/>
      <c r="O6" s="324"/>
      <c r="P6" s="324"/>
      <c r="Q6" s="324"/>
      <c r="R6" s="332"/>
      <c r="AT6" s="327"/>
      <c r="AU6" s="327"/>
      <c r="AV6" s="327"/>
      <c r="AW6" s="327"/>
      <c r="AX6" s="327"/>
      <c r="AY6" s="327"/>
      <c r="AZ6" s="327"/>
      <c r="BA6" s="327"/>
      <c r="BB6" s="327"/>
      <c r="BC6" s="327"/>
      <c r="BD6" s="327"/>
      <c r="BE6" s="327"/>
      <c r="BF6" s="327"/>
      <c r="BG6" s="327"/>
    </row>
    <row r="7" ht="12.75" customHeight="1">
      <c r="A7" s="328"/>
      <c r="B7" s="323"/>
      <c r="C7" s="323"/>
      <c r="D7" s="333" t="s">
        <v>544</v>
      </c>
      <c r="E7" s="323"/>
      <c r="F7" s="323"/>
      <c r="G7" s="334">
        <f t="shared" ref="G7:R7" si="4">G273</f>
        <v>0</v>
      </c>
      <c r="H7" s="334">
        <f t="shared" si="4"/>
        <v>0</v>
      </c>
      <c r="I7" s="334">
        <f t="shared" si="4"/>
        <v>2414555.856</v>
      </c>
      <c r="J7" s="334">
        <f t="shared" si="4"/>
        <v>2827914.192</v>
      </c>
      <c r="K7" s="334">
        <f t="shared" si="4"/>
        <v>3064891.2</v>
      </c>
      <c r="L7" s="334">
        <f t="shared" si="4"/>
        <v>3073795.2</v>
      </c>
      <c r="M7" s="334">
        <f t="shared" si="4"/>
        <v>3066163.2</v>
      </c>
      <c r="N7" s="334">
        <f t="shared" si="4"/>
        <v>3059167.2</v>
      </c>
      <c r="O7" s="334">
        <f t="shared" si="4"/>
        <v>3052489.2</v>
      </c>
      <c r="P7" s="334">
        <f t="shared" si="4"/>
        <v>3045811.2</v>
      </c>
      <c r="Q7" s="334">
        <f t="shared" si="4"/>
        <v>3042313.2</v>
      </c>
      <c r="R7" s="335">
        <f t="shared" si="4"/>
        <v>3042313.2</v>
      </c>
      <c r="AT7" s="327"/>
      <c r="AU7" s="327"/>
      <c r="AV7" s="327"/>
      <c r="AW7" s="327"/>
      <c r="AX7" s="327"/>
      <c r="AY7" s="327"/>
      <c r="AZ7" s="327"/>
      <c r="BA7" s="327"/>
      <c r="BB7" s="327"/>
      <c r="BC7" s="327"/>
      <c r="BD7" s="327"/>
      <c r="BE7" s="327"/>
      <c r="BF7" s="327"/>
      <c r="BG7" s="327"/>
    </row>
    <row r="8" ht="12.75" customHeight="1">
      <c r="A8" s="328"/>
      <c r="B8" s="323"/>
      <c r="C8" s="323"/>
      <c r="D8" s="333" t="s">
        <v>545</v>
      </c>
      <c r="E8" s="323"/>
      <c r="F8" s="323"/>
      <c r="G8" s="334">
        <f t="shared" ref="G8:R8" si="5">G282</f>
        <v>0</v>
      </c>
      <c r="H8" s="334">
        <f t="shared" si="5"/>
        <v>200000</v>
      </c>
      <c r="I8" s="334">
        <f t="shared" si="5"/>
        <v>487401.6</v>
      </c>
      <c r="J8" s="334">
        <f t="shared" si="5"/>
        <v>429795.2</v>
      </c>
      <c r="K8" s="334">
        <f t="shared" si="5"/>
        <v>313631.8584</v>
      </c>
      <c r="L8" s="334">
        <f t="shared" si="5"/>
        <v>313631.8584</v>
      </c>
      <c r="M8" s="334">
        <f t="shared" si="5"/>
        <v>313631.8584</v>
      </c>
      <c r="N8" s="334">
        <f t="shared" si="5"/>
        <v>313631.8584</v>
      </c>
      <c r="O8" s="334">
        <f t="shared" si="5"/>
        <v>313631.8584</v>
      </c>
      <c r="P8" s="334">
        <f t="shared" si="5"/>
        <v>313631.8584</v>
      </c>
      <c r="Q8" s="334">
        <f t="shared" si="5"/>
        <v>313631.8584</v>
      </c>
      <c r="R8" s="335">
        <f t="shared" si="5"/>
        <v>313631.8584</v>
      </c>
      <c r="AT8" s="327"/>
      <c r="AU8" s="327"/>
      <c r="AV8" s="327"/>
      <c r="AW8" s="327"/>
      <c r="AX8" s="327"/>
      <c r="AY8" s="327"/>
      <c r="AZ8" s="327"/>
      <c r="BA8" s="327"/>
      <c r="BB8" s="327"/>
      <c r="BC8" s="327"/>
      <c r="BD8" s="327"/>
      <c r="BE8" s="327"/>
      <c r="BF8" s="327"/>
      <c r="BG8" s="327"/>
    </row>
    <row r="9" ht="12.75" customHeight="1">
      <c r="A9" s="328"/>
      <c r="B9" s="323"/>
      <c r="C9" s="323"/>
      <c r="D9" s="333" t="s">
        <v>625</v>
      </c>
      <c r="E9" s="323"/>
      <c r="F9" s="323"/>
      <c r="G9" s="334">
        <f t="shared" ref="G9:R9" si="6">G289</f>
        <v>0</v>
      </c>
      <c r="H9" s="334">
        <f t="shared" si="6"/>
        <v>0</v>
      </c>
      <c r="I9" s="334">
        <f t="shared" si="6"/>
        <v>250000</v>
      </c>
      <c r="J9" s="334">
        <f t="shared" si="6"/>
        <v>0</v>
      </c>
      <c r="K9" s="334">
        <f t="shared" si="6"/>
        <v>0</v>
      </c>
      <c r="L9" s="334">
        <f t="shared" si="6"/>
        <v>0</v>
      </c>
      <c r="M9" s="334">
        <f t="shared" si="6"/>
        <v>0</v>
      </c>
      <c r="N9" s="334">
        <f t="shared" si="6"/>
        <v>0</v>
      </c>
      <c r="O9" s="334">
        <f t="shared" si="6"/>
        <v>0</v>
      </c>
      <c r="P9" s="334">
        <f t="shared" si="6"/>
        <v>0</v>
      </c>
      <c r="Q9" s="334">
        <f t="shared" si="6"/>
        <v>0</v>
      </c>
      <c r="R9" s="335">
        <f t="shared" si="6"/>
        <v>0</v>
      </c>
      <c r="AT9" s="327"/>
      <c r="AU9" s="327"/>
      <c r="AV9" s="327"/>
      <c r="AW9" s="327"/>
      <c r="AX9" s="327"/>
      <c r="AY9" s="327"/>
      <c r="AZ9" s="327"/>
      <c r="BA9" s="327"/>
      <c r="BB9" s="327"/>
      <c r="BC9" s="327"/>
      <c r="BD9" s="327"/>
      <c r="BE9" s="327"/>
      <c r="BF9" s="327"/>
      <c r="BG9" s="327"/>
    </row>
    <row r="10" ht="12.75" customHeight="1">
      <c r="A10" s="328"/>
      <c r="B10" s="323"/>
      <c r="C10" s="323"/>
      <c r="D10" s="336" t="s">
        <v>509</v>
      </c>
      <c r="E10" s="337"/>
      <c r="F10" s="337"/>
      <c r="G10" s="338">
        <f t="shared" ref="G10:R10" si="7">G294</f>
        <v>0</v>
      </c>
      <c r="H10" s="338">
        <f t="shared" si="7"/>
        <v>0</v>
      </c>
      <c r="I10" s="338">
        <f t="shared" si="7"/>
        <v>58835.2</v>
      </c>
      <c r="J10" s="338">
        <f t="shared" si="7"/>
        <v>71478.4</v>
      </c>
      <c r="K10" s="338">
        <f t="shared" si="7"/>
        <v>82800</v>
      </c>
      <c r="L10" s="338">
        <f t="shared" si="7"/>
        <v>82800</v>
      </c>
      <c r="M10" s="338">
        <f t="shared" si="7"/>
        <v>82800</v>
      </c>
      <c r="N10" s="338">
        <f t="shared" si="7"/>
        <v>82800</v>
      </c>
      <c r="O10" s="338">
        <f t="shared" si="7"/>
        <v>82800</v>
      </c>
      <c r="P10" s="338">
        <f t="shared" si="7"/>
        <v>82800</v>
      </c>
      <c r="Q10" s="338">
        <f t="shared" si="7"/>
        <v>82800</v>
      </c>
      <c r="R10" s="339">
        <f t="shared" si="7"/>
        <v>82800</v>
      </c>
      <c r="AT10" s="327"/>
      <c r="AU10" s="327"/>
      <c r="AV10" s="327"/>
      <c r="AW10" s="327"/>
      <c r="AX10" s="327"/>
      <c r="AY10" s="327"/>
      <c r="AZ10" s="327"/>
      <c r="BA10" s="327"/>
      <c r="BB10" s="327"/>
      <c r="BC10" s="327"/>
      <c r="BD10" s="327"/>
      <c r="BE10" s="327"/>
      <c r="BF10" s="327"/>
      <c r="BG10" s="327"/>
    </row>
    <row r="11" ht="12.75" customHeight="1">
      <c r="A11" s="328"/>
      <c r="B11" s="323"/>
      <c r="C11" s="329" t="s">
        <v>209</v>
      </c>
      <c r="D11" s="323"/>
      <c r="E11" s="323"/>
      <c r="F11" s="323"/>
      <c r="G11" s="340">
        <f t="shared" ref="G11:R11" si="8">SUM(G7:G10)</f>
        <v>0</v>
      </c>
      <c r="H11" s="340">
        <f t="shared" si="8"/>
        <v>200000</v>
      </c>
      <c r="I11" s="340">
        <f t="shared" si="8"/>
        <v>3210792.656</v>
      </c>
      <c r="J11" s="340">
        <f t="shared" si="8"/>
        <v>3329187.792</v>
      </c>
      <c r="K11" s="340">
        <f t="shared" si="8"/>
        <v>3461323.058</v>
      </c>
      <c r="L11" s="340">
        <f t="shared" si="8"/>
        <v>3470227.058</v>
      </c>
      <c r="M11" s="340">
        <f t="shared" si="8"/>
        <v>3462595.058</v>
      </c>
      <c r="N11" s="340">
        <f t="shared" si="8"/>
        <v>3455599.058</v>
      </c>
      <c r="O11" s="340">
        <f t="shared" si="8"/>
        <v>3448921.058</v>
      </c>
      <c r="P11" s="340">
        <f t="shared" si="8"/>
        <v>3442243.058</v>
      </c>
      <c r="Q11" s="340">
        <f t="shared" si="8"/>
        <v>3438745.058</v>
      </c>
      <c r="R11" s="341">
        <f t="shared" si="8"/>
        <v>3438745.058</v>
      </c>
      <c r="AT11" s="327"/>
      <c r="AU11" s="327"/>
      <c r="AV11" s="327"/>
      <c r="AW11" s="327"/>
      <c r="AX11" s="327"/>
      <c r="AY11" s="327"/>
      <c r="AZ11" s="327"/>
      <c r="BA11" s="327"/>
      <c r="BB11" s="327"/>
      <c r="BC11" s="327"/>
      <c r="BD11" s="327"/>
      <c r="BE11" s="327"/>
      <c r="BF11" s="327"/>
      <c r="BG11" s="327"/>
    </row>
    <row r="12" ht="12.75" customHeight="1">
      <c r="A12" s="328"/>
      <c r="B12" s="323"/>
      <c r="C12" s="323"/>
      <c r="D12" s="323"/>
      <c r="E12" s="323"/>
      <c r="F12" s="323"/>
      <c r="G12" s="334"/>
      <c r="H12" s="340"/>
      <c r="I12" s="340"/>
      <c r="J12" s="340"/>
      <c r="K12" s="340"/>
      <c r="L12" s="340"/>
      <c r="M12" s="340"/>
      <c r="N12" s="340"/>
      <c r="O12" s="340"/>
      <c r="P12" s="340"/>
      <c r="Q12" s="340"/>
      <c r="R12" s="341"/>
      <c r="AT12" s="327"/>
      <c r="AU12" s="327"/>
      <c r="AV12" s="327"/>
      <c r="AW12" s="327"/>
      <c r="AX12" s="327"/>
      <c r="AY12" s="327"/>
      <c r="AZ12" s="327"/>
      <c r="BA12" s="327"/>
      <c r="BB12" s="327"/>
      <c r="BC12" s="327"/>
      <c r="BD12" s="327"/>
      <c r="BE12" s="327"/>
      <c r="BF12" s="327"/>
      <c r="BG12" s="327"/>
    </row>
    <row r="13" ht="12.75" customHeight="1">
      <c r="A13" s="328"/>
      <c r="B13" s="323"/>
      <c r="C13" s="342" t="s">
        <v>178</v>
      </c>
      <c r="D13" s="323"/>
      <c r="E13" s="323"/>
      <c r="F13" s="323"/>
      <c r="G13" s="334"/>
      <c r="H13" s="340"/>
      <c r="I13" s="340"/>
      <c r="J13" s="340"/>
      <c r="K13" s="340"/>
      <c r="L13" s="340"/>
      <c r="M13" s="340"/>
      <c r="N13" s="340"/>
      <c r="O13" s="340"/>
      <c r="P13" s="340"/>
      <c r="Q13" s="340"/>
      <c r="R13" s="341"/>
      <c r="AT13" s="327"/>
      <c r="AU13" s="327"/>
      <c r="AV13" s="327"/>
      <c r="AW13" s="327"/>
      <c r="AX13" s="327"/>
      <c r="AY13" s="327"/>
      <c r="AZ13" s="327"/>
      <c r="BA13" s="327"/>
      <c r="BB13" s="327"/>
      <c r="BC13" s="327"/>
      <c r="BD13" s="327"/>
      <c r="BE13" s="327"/>
      <c r="BF13" s="327"/>
      <c r="BG13" s="327"/>
    </row>
    <row r="14" ht="12.75" customHeight="1">
      <c r="A14" s="328"/>
      <c r="B14" s="323"/>
      <c r="C14" s="323"/>
      <c r="D14" s="342" t="s">
        <v>278</v>
      </c>
      <c r="E14" s="323"/>
      <c r="F14" s="323"/>
      <c r="G14" s="334">
        <f t="shared" ref="G14:R14" si="9">G319</f>
        <v>0</v>
      </c>
      <c r="H14" s="334">
        <f t="shared" si="9"/>
        <v>111400</v>
      </c>
      <c r="I14" s="334">
        <f t="shared" si="9"/>
        <v>894400</v>
      </c>
      <c r="J14" s="334">
        <f t="shared" si="9"/>
        <v>915300</v>
      </c>
      <c r="K14" s="334">
        <f t="shared" si="9"/>
        <v>968375</v>
      </c>
      <c r="L14" s="334">
        <f t="shared" si="9"/>
        <v>968375</v>
      </c>
      <c r="M14" s="334">
        <f t="shared" si="9"/>
        <v>968375</v>
      </c>
      <c r="N14" s="334">
        <f t="shared" si="9"/>
        <v>968375</v>
      </c>
      <c r="O14" s="334">
        <f t="shared" si="9"/>
        <v>968375</v>
      </c>
      <c r="P14" s="334">
        <f t="shared" si="9"/>
        <v>968375</v>
      </c>
      <c r="Q14" s="334">
        <f t="shared" si="9"/>
        <v>968375</v>
      </c>
      <c r="R14" s="335">
        <f t="shared" si="9"/>
        <v>968375</v>
      </c>
      <c r="AT14" s="327"/>
      <c r="AU14" s="327"/>
      <c r="AV14" s="327"/>
      <c r="AW14" s="327"/>
      <c r="AX14" s="327"/>
      <c r="AY14" s="327"/>
      <c r="AZ14" s="327"/>
      <c r="BA14" s="327"/>
      <c r="BB14" s="327"/>
      <c r="BC14" s="327"/>
      <c r="BD14" s="327"/>
      <c r="BE14" s="327"/>
      <c r="BF14" s="327"/>
      <c r="BG14" s="327"/>
    </row>
    <row r="15" ht="12.75" customHeight="1">
      <c r="A15" s="328"/>
      <c r="B15" s="323"/>
      <c r="C15" s="323"/>
      <c r="D15" s="342" t="s">
        <v>133</v>
      </c>
      <c r="E15" s="323"/>
      <c r="F15" s="323"/>
      <c r="G15" s="334">
        <f t="shared" ref="G15:R15" si="10">G330</f>
        <v>0</v>
      </c>
      <c r="H15" s="334">
        <f t="shared" si="10"/>
        <v>23970.60044</v>
      </c>
      <c r="I15" s="334">
        <f t="shared" si="10"/>
        <v>208837.1833</v>
      </c>
      <c r="J15" s="334">
        <f t="shared" si="10"/>
        <v>211121.0229</v>
      </c>
      <c r="K15" s="334">
        <f t="shared" si="10"/>
        <v>224603.6508</v>
      </c>
      <c r="L15" s="334">
        <f t="shared" si="10"/>
        <v>224603.6508</v>
      </c>
      <c r="M15" s="334">
        <f t="shared" si="10"/>
        <v>224603.6508</v>
      </c>
      <c r="N15" s="334">
        <f t="shared" si="10"/>
        <v>224603.6508</v>
      </c>
      <c r="O15" s="334">
        <f t="shared" si="10"/>
        <v>224603.6508</v>
      </c>
      <c r="P15" s="334">
        <f t="shared" si="10"/>
        <v>224603.6508</v>
      </c>
      <c r="Q15" s="334">
        <f t="shared" si="10"/>
        <v>224603.6508</v>
      </c>
      <c r="R15" s="335">
        <f t="shared" si="10"/>
        <v>224603.6508</v>
      </c>
      <c r="AT15" s="327"/>
      <c r="AU15" s="327"/>
      <c r="AV15" s="327"/>
      <c r="AW15" s="327"/>
      <c r="AX15" s="327"/>
      <c r="AY15" s="327"/>
      <c r="AZ15" s="327"/>
      <c r="BA15" s="327"/>
      <c r="BB15" s="327"/>
      <c r="BC15" s="327"/>
      <c r="BD15" s="327"/>
      <c r="BE15" s="327"/>
      <c r="BF15" s="327"/>
      <c r="BG15" s="327"/>
    </row>
    <row r="16" ht="12.75" customHeight="1">
      <c r="A16" s="328"/>
      <c r="B16" s="323"/>
      <c r="C16" s="323"/>
      <c r="D16" s="342" t="s">
        <v>451</v>
      </c>
      <c r="E16" s="323"/>
      <c r="F16" s="323"/>
      <c r="G16" s="334">
        <f t="shared" ref="G16:R16" si="11">G339</f>
        <v>0</v>
      </c>
      <c r="H16" s="334">
        <f t="shared" si="11"/>
        <v>3950</v>
      </c>
      <c r="I16" s="334">
        <f t="shared" si="11"/>
        <v>505423.3</v>
      </c>
      <c r="J16" s="334">
        <f t="shared" si="11"/>
        <v>334153.6</v>
      </c>
      <c r="K16" s="334">
        <f t="shared" si="11"/>
        <v>350750</v>
      </c>
      <c r="L16" s="334">
        <f t="shared" si="11"/>
        <v>338700</v>
      </c>
      <c r="M16" s="334">
        <f t="shared" si="11"/>
        <v>338700</v>
      </c>
      <c r="N16" s="334">
        <f t="shared" si="11"/>
        <v>338700</v>
      </c>
      <c r="O16" s="334">
        <f t="shared" si="11"/>
        <v>338700</v>
      </c>
      <c r="P16" s="334">
        <f t="shared" si="11"/>
        <v>338700</v>
      </c>
      <c r="Q16" s="334">
        <f t="shared" si="11"/>
        <v>338700</v>
      </c>
      <c r="R16" s="335">
        <f t="shared" si="11"/>
        <v>338700</v>
      </c>
      <c r="AT16" s="327"/>
      <c r="AU16" s="327"/>
      <c r="AV16" s="327"/>
      <c r="AW16" s="327"/>
      <c r="AX16" s="327"/>
      <c r="AY16" s="327"/>
      <c r="AZ16" s="327"/>
      <c r="BA16" s="327"/>
      <c r="BB16" s="327"/>
      <c r="BC16" s="327"/>
      <c r="BD16" s="327"/>
      <c r="BE16" s="327"/>
      <c r="BF16" s="327"/>
      <c r="BG16" s="327"/>
    </row>
    <row r="17" ht="12.75" customHeight="1">
      <c r="A17" s="328"/>
      <c r="B17" s="323"/>
      <c r="C17" s="323"/>
      <c r="D17" s="342" t="s">
        <v>626</v>
      </c>
      <c r="E17" s="323"/>
      <c r="F17" s="323"/>
      <c r="G17" s="334"/>
      <c r="H17" s="334"/>
      <c r="I17" s="334"/>
      <c r="J17" s="334"/>
      <c r="K17" s="334"/>
      <c r="L17" s="334"/>
      <c r="M17" s="334"/>
      <c r="N17" s="334"/>
      <c r="O17" s="334"/>
      <c r="P17" s="334"/>
      <c r="Q17" s="334"/>
      <c r="R17" s="335"/>
      <c r="AT17" s="327"/>
      <c r="AU17" s="327"/>
      <c r="AV17" s="327"/>
      <c r="AW17" s="327"/>
      <c r="AX17" s="327"/>
      <c r="AY17" s="327"/>
      <c r="AZ17" s="327"/>
      <c r="BA17" s="327"/>
      <c r="BB17" s="327"/>
      <c r="BC17" s="327"/>
      <c r="BD17" s="327"/>
      <c r="BE17" s="327"/>
      <c r="BF17" s="327"/>
      <c r="BG17" s="327"/>
    </row>
    <row r="18" ht="12.75" customHeight="1">
      <c r="A18" s="328"/>
      <c r="B18" s="323"/>
      <c r="C18" s="323"/>
      <c r="D18" s="342" t="s">
        <v>627</v>
      </c>
      <c r="E18" s="323"/>
      <c r="F18" s="323"/>
      <c r="G18" s="334">
        <f t="shared" ref="G18:R18" si="12">G378</f>
        <v>0</v>
      </c>
      <c r="H18" s="334">
        <f t="shared" si="12"/>
        <v>24000</v>
      </c>
      <c r="I18" s="334">
        <f t="shared" si="12"/>
        <v>333054.9042</v>
      </c>
      <c r="J18" s="334">
        <f t="shared" si="12"/>
        <v>342178.5611</v>
      </c>
      <c r="K18" s="334">
        <f t="shared" si="12"/>
        <v>354213.5364</v>
      </c>
      <c r="L18" s="334">
        <f t="shared" si="12"/>
        <v>387483.247</v>
      </c>
      <c r="M18" s="334">
        <f t="shared" si="12"/>
        <v>386567.407</v>
      </c>
      <c r="N18" s="334">
        <f t="shared" si="12"/>
        <v>385727.887</v>
      </c>
      <c r="O18" s="334">
        <f t="shared" si="12"/>
        <v>384926.527</v>
      </c>
      <c r="P18" s="334">
        <f t="shared" si="12"/>
        <v>384125.167</v>
      </c>
      <c r="Q18" s="334">
        <f t="shared" si="12"/>
        <v>383705.407</v>
      </c>
      <c r="R18" s="335">
        <f t="shared" si="12"/>
        <v>383705.407</v>
      </c>
      <c r="AT18" s="327"/>
      <c r="AU18" s="327"/>
      <c r="AV18" s="327"/>
      <c r="AW18" s="327"/>
      <c r="AX18" s="327"/>
      <c r="AY18" s="327"/>
      <c r="AZ18" s="327"/>
      <c r="BA18" s="327"/>
      <c r="BB18" s="327"/>
      <c r="BC18" s="327"/>
      <c r="BD18" s="327"/>
      <c r="BE18" s="327"/>
      <c r="BF18" s="327"/>
      <c r="BG18" s="327"/>
    </row>
    <row r="19" ht="12.75" customHeight="1">
      <c r="A19" s="328"/>
      <c r="B19" s="323"/>
      <c r="C19" s="323"/>
      <c r="D19" s="342" t="s">
        <v>628</v>
      </c>
      <c r="E19" s="323"/>
      <c r="F19" s="323"/>
      <c r="G19" s="334">
        <f t="shared" ref="G19:R19" si="13">G380</f>
        <v>0</v>
      </c>
      <c r="H19" s="334">
        <f t="shared" si="13"/>
        <v>6000</v>
      </c>
      <c r="I19" s="334">
        <f t="shared" si="13"/>
        <v>121110.8742</v>
      </c>
      <c r="J19" s="334">
        <f t="shared" si="13"/>
        <v>124428.5677</v>
      </c>
      <c r="K19" s="334">
        <f t="shared" si="13"/>
        <v>128804.9223</v>
      </c>
      <c r="L19" s="334">
        <f t="shared" si="13"/>
        <v>96870.81175</v>
      </c>
      <c r="M19" s="334">
        <f t="shared" si="13"/>
        <v>96641.85175</v>
      </c>
      <c r="N19" s="334">
        <f t="shared" si="13"/>
        <v>96431.97175</v>
      </c>
      <c r="O19" s="334">
        <f t="shared" si="13"/>
        <v>96231.63175</v>
      </c>
      <c r="P19" s="334">
        <f t="shared" si="13"/>
        <v>96031.29175</v>
      </c>
      <c r="Q19" s="334">
        <f t="shared" si="13"/>
        <v>95926.35175</v>
      </c>
      <c r="R19" s="335">
        <f t="shared" si="13"/>
        <v>95926.35175</v>
      </c>
      <c r="AT19" s="327"/>
      <c r="AU19" s="327"/>
      <c r="AV19" s="327"/>
      <c r="AW19" s="327"/>
      <c r="AX19" s="327"/>
      <c r="AY19" s="327"/>
      <c r="AZ19" s="327"/>
      <c r="BA19" s="327"/>
      <c r="BB19" s="327"/>
      <c r="BC19" s="327"/>
      <c r="BD19" s="327"/>
      <c r="BE19" s="327"/>
      <c r="BF19" s="327"/>
      <c r="BG19" s="327"/>
    </row>
    <row r="20" ht="12.75" customHeight="1">
      <c r="A20" s="328"/>
      <c r="B20" s="323"/>
      <c r="C20" s="323"/>
      <c r="D20" s="342" t="s">
        <v>629</v>
      </c>
      <c r="E20" s="323"/>
      <c r="F20" s="323"/>
      <c r="G20" s="334">
        <f t="shared" ref="G20:R20" si="14">G379</f>
        <v>0</v>
      </c>
      <c r="H20" s="334">
        <f t="shared" si="14"/>
        <v>0</v>
      </c>
      <c r="I20" s="334">
        <f t="shared" si="14"/>
        <v>605554.3712</v>
      </c>
      <c r="J20" s="334">
        <f t="shared" si="14"/>
        <v>622142.8384</v>
      </c>
      <c r="K20" s="334">
        <f t="shared" si="14"/>
        <v>644024.6117</v>
      </c>
      <c r="L20" s="334">
        <f t="shared" si="14"/>
        <v>645805.4117</v>
      </c>
      <c r="M20" s="334">
        <f t="shared" si="14"/>
        <v>644279.0117</v>
      </c>
      <c r="N20" s="334">
        <f t="shared" si="14"/>
        <v>642879.8117</v>
      </c>
      <c r="O20" s="334">
        <f t="shared" si="14"/>
        <v>641544.2117</v>
      </c>
      <c r="P20" s="334">
        <f t="shared" si="14"/>
        <v>640208.6117</v>
      </c>
      <c r="Q20" s="334">
        <f t="shared" si="14"/>
        <v>639509.0117</v>
      </c>
      <c r="R20" s="335">
        <f t="shared" si="14"/>
        <v>639509.0117</v>
      </c>
      <c r="AT20" s="327"/>
      <c r="AU20" s="327"/>
      <c r="AV20" s="327"/>
      <c r="AW20" s="327"/>
      <c r="AX20" s="327"/>
      <c r="AY20" s="327"/>
      <c r="AZ20" s="327"/>
      <c r="BA20" s="327"/>
      <c r="BB20" s="327"/>
      <c r="BC20" s="327"/>
      <c r="BD20" s="327"/>
      <c r="BE20" s="327"/>
      <c r="BF20" s="327"/>
      <c r="BG20" s="327"/>
    </row>
    <row r="21" ht="12.75" customHeight="1">
      <c r="A21" s="328"/>
      <c r="B21" s="323"/>
      <c r="C21" s="323"/>
      <c r="D21" s="342" t="s">
        <v>314</v>
      </c>
      <c r="E21" s="323"/>
      <c r="F21" s="323"/>
      <c r="G21" s="334">
        <f t="shared" ref="G21:R21" si="15">G383-SUM(G18:G20)</f>
        <v>0</v>
      </c>
      <c r="H21" s="334">
        <f t="shared" si="15"/>
        <v>7780</v>
      </c>
      <c r="I21" s="334">
        <f t="shared" si="15"/>
        <v>434173.8943</v>
      </c>
      <c r="J21" s="334">
        <f t="shared" si="15"/>
        <v>696633.6098</v>
      </c>
      <c r="K21" s="334">
        <f t="shared" si="15"/>
        <v>711730.6497</v>
      </c>
      <c r="L21" s="334">
        <f t="shared" si="15"/>
        <v>711730.6497</v>
      </c>
      <c r="M21" s="334">
        <f t="shared" si="15"/>
        <v>711730.6497</v>
      </c>
      <c r="N21" s="334">
        <f t="shared" si="15"/>
        <v>711730.6497</v>
      </c>
      <c r="O21" s="334">
        <f t="shared" si="15"/>
        <v>711730.6497</v>
      </c>
      <c r="P21" s="334">
        <f t="shared" si="15"/>
        <v>711730.6497</v>
      </c>
      <c r="Q21" s="334">
        <f t="shared" si="15"/>
        <v>711730.6497</v>
      </c>
      <c r="R21" s="335">
        <f t="shared" si="15"/>
        <v>711730.6497</v>
      </c>
      <c r="AT21" s="327"/>
      <c r="AU21" s="327"/>
      <c r="AV21" s="327"/>
      <c r="AW21" s="327"/>
      <c r="AX21" s="327"/>
      <c r="AY21" s="327"/>
      <c r="AZ21" s="327"/>
      <c r="BA21" s="327"/>
      <c r="BB21" s="327"/>
      <c r="BC21" s="327"/>
      <c r="BD21" s="327"/>
      <c r="BE21" s="327"/>
      <c r="BF21" s="327"/>
      <c r="BG21" s="327"/>
    </row>
    <row r="22" ht="12.75" customHeight="1">
      <c r="A22" s="328"/>
      <c r="B22" s="323"/>
      <c r="C22" s="323"/>
      <c r="D22" s="343" t="s">
        <v>555</v>
      </c>
      <c r="E22" s="337"/>
      <c r="F22" s="337"/>
      <c r="G22" s="338">
        <f t="shared" ref="G22:R22" si="16">G393</f>
        <v>0</v>
      </c>
      <c r="H22" s="338">
        <f t="shared" si="16"/>
        <v>1771.006004</v>
      </c>
      <c r="I22" s="338">
        <f t="shared" si="16"/>
        <v>62759.6168</v>
      </c>
      <c r="J22" s="338">
        <f t="shared" si="16"/>
        <v>78365.02156</v>
      </c>
      <c r="K22" s="338">
        <f t="shared" si="16"/>
        <v>80312.85082</v>
      </c>
      <c r="L22" s="338">
        <f t="shared" si="16"/>
        <v>78808.77276</v>
      </c>
      <c r="M22" s="338">
        <f t="shared" si="16"/>
        <v>76719.70316</v>
      </c>
      <c r="N22" s="338">
        <f t="shared" si="16"/>
        <v>74574.79276</v>
      </c>
      <c r="O22" s="338">
        <f t="shared" si="16"/>
        <v>74456.68756</v>
      </c>
      <c r="P22" s="338">
        <f t="shared" si="16"/>
        <v>74339.82256</v>
      </c>
      <c r="Q22" s="338">
        <f t="shared" si="16"/>
        <v>74266.20556</v>
      </c>
      <c r="R22" s="339">
        <f t="shared" si="16"/>
        <v>74252.56336</v>
      </c>
      <c r="AT22" s="327"/>
      <c r="AU22" s="327"/>
      <c r="AV22" s="327"/>
      <c r="AW22" s="327"/>
      <c r="AX22" s="327"/>
      <c r="AY22" s="327"/>
      <c r="AZ22" s="327"/>
      <c r="BA22" s="327"/>
      <c r="BB22" s="327"/>
      <c r="BC22" s="327"/>
      <c r="BD22" s="327"/>
      <c r="BE22" s="327"/>
      <c r="BF22" s="327"/>
      <c r="BG22" s="327"/>
    </row>
    <row r="23" ht="12.75" customHeight="1">
      <c r="A23" s="328"/>
      <c r="B23" s="329"/>
      <c r="C23" s="329" t="s">
        <v>231</v>
      </c>
      <c r="D23" s="329"/>
      <c r="E23" s="329"/>
      <c r="F23" s="329"/>
      <c r="G23" s="340">
        <f t="shared" ref="G23:R23" si="17">SUM(G14:G22)</f>
        <v>0</v>
      </c>
      <c r="H23" s="340">
        <f t="shared" si="17"/>
        <v>178871.6064</v>
      </c>
      <c r="I23" s="340">
        <f t="shared" si="17"/>
        <v>3165314.144</v>
      </c>
      <c r="J23" s="340">
        <f t="shared" si="17"/>
        <v>3324323.221</v>
      </c>
      <c r="K23" s="340">
        <f t="shared" si="17"/>
        <v>3462815.222</v>
      </c>
      <c r="L23" s="340">
        <f t="shared" si="17"/>
        <v>3452377.544</v>
      </c>
      <c r="M23" s="340">
        <f t="shared" si="17"/>
        <v>3447617.274</v>
      </c>
      <c r="N23" s="340">
        <f t="shared" si="17"/>
        <v>3443023.764</v>
      </c>
      <c r="O23" s="340">
        <f t="shared" si="17"/>
        <v>3440568.359</v>
      </c>
      <c r="P23" s="340">
        <f t="shared" si="17"/>
        <v>3438114.194</v>
      </c>
      <c r="Q23" s="340">
        <f t="shared" si="17"/>
        <v>3436816.277</v>
      </c>
      <c r="R23" s="341">
        <f t="shared" si="17"/>
        <v>3436802.634</v>
      </c>
      <c r="AT23" s="327"/>
      <c r="AU23" s="327"/>
      <c r="AV23" s="327"/>
      <c r="AW23" s="327"/>
      <c r="AX23" s="327"/>
      <c r="AY23" s="327"/>
      <c r="AZ23" s="327"/>
      <c r="BA23" s="327"/>
      <c r="BB23" s="327"/>
      <c r="BC23" s="327"/>
      <c r="BD23" s="327"/>
      <c r="BE23" s="327"/>
      <c r="BF23" s="327"/>
      <c r="BG23" s="327"/>
    </row>
    <row r="24" ht="12.75" customHeight="1">
      <c r="A24" s="328"/>
      <c r="B24" s="323"/>
      <c r="C24" s="323"/>
      <c r="D24" s="323"/>
      <c r="E24" s="323"/>
      <c r="F24" s="323"/>
      <c r="G24" s="334"/>
      <c r="H24" s="340"/>
      <c r="I24" s="340"/>
      <c r="J24" s="340"/>
      <c r="K24" s="340"/>
      <c r="L24" s="340"/>
      <c r="M24" s="340"/>
      <c r="N24" s="340"/>
      <c r="O24" s="340"/>
      <c r="P24" s="340"/>
      <c r="Q24" s="340"/>
      <c r="R24" s="341"/>
      <c r="AT24" s="327"/>
      <c r="AU24" s="327"/>
      <c r="AV24" s="327"/>
      <c r="AW24" s="327"/>
      <c r="AX24" s="327"/>
      <c r="AY24" s="327"/>
      <c r="AZ24" s="327"/>
      <c r="BA24" s="327"/>
      <c r="BB24" s="327"/>
      <c r="BC24" s="327"/>
      <c r="BD24" s="327"/>
      <c r="BE24" s="327"/>
      <c r="BF24" s="327"/>
      <c r="BG24" s="327"/>
    </row>
    <row r="25" ht="12.75" customHeight="1">
      <c r="A25" s="328"/>
      <c r="B25" s="323"/>
      <c r="C25" s="329" t="s">
        <v>194</v>
      </c>
      <c r="D25" s="323"/>
      <c r="E25" s="323"/>
      <c r="F25" s="323"/>
      <c r="G25" s="340">
        <f t="shared" ref="G25:R25" si="18">G11-G23</f>
        <v>0</v>
      </c>
      <c r="H25" s="340">
        <f t="shared" si="18"/>
        <v>21128.39356</v>
      </c>
      <c r="I25" s="340">
        <f t="shared" si="18"/>
        <v>45478.51209</v>
      </c>
      <c r="J25" s="340">
        <f t="shared" si="18"/>
        <v>4864.570572</v>
      </c>
      <c r="K25" s="340">
        <f t="shared" si="18"/>
        <v>-1492.163391</v>
      </c>
      <c r="L25" s="340">
        <f t="shared" si="18"/>
        <v>17849.51467</v>
      </c>
      <c r="M25" s="340">
        <f t="shared" si="18"/>
        <v>14977.78427</v>
      </c>
      <c r="N25" s="340">
        <f t="shared" si="18"/>
        <v>12575.29467</v>
      </c>
      <c r="O25" s="340">
        <f t="shared" si="18"/>
        <v>8352.69987</v>
      </c>
      <c r="P25" s="340">
        <f t="shared" si="18"/>
        <v>4128.86487</v>
      </c>
      <c r="Q25" s="340">
        <f t="shared" si="18"/>
        <v>1928.78187</v>
      </c>
      <c r="R25" s="341">
        <f t="shared" si="18"/>
        <v>1942.42407</v>
      </c>
      <c r="AT25" s="327"/>
      <c r="AU25" s="327"/>
      <c r="AV25" s="327"/>
      <c r="AW25" s="327"/>
      <c r="AX25" s="327"/>
      <c r="AY25" s="327"/>
      <c r="AZ25" s="327"/>
      <c r="BA25" s="327"/>
      <c r="BB25" s="327"/>
      <c r="BC25" s="327"/>
      <c r="BD25" s="327"/>
      <c r="BE25" s="327"/>
      <c r="BF25" s="327"/>
      <c r="BG25" s="327"/>
    </row>
    <row r="26" ht="12.75" customHeight="1">
      <c r="A26" s="328"/>
      <c r="B26" s="323"/>
      <c r="C26" s="329" t="s">
        <v>195</v>
      </c>
      <c r="D26" s="323"/>
      <c r="E26" s="323"/>
      <c r="F26" s="323"/>
      <c r="G26" s="340">
        <f>G25</f>
        <v>0</v>
      </c>
      <c r="H26" s="340">
        <f t="shared" ref="H26:R26" si="19">H25+G26</f>
        <v>21128.39356</v>
      </c>
      <c r="I26" s="340">
        <f t="shared" si="19"/>
        <v>66606.90565</v>
      </c>
      <c r="J26" s="340">
        <f t="shared" si="19"/>
        <v>71471.47622</v>
      </c>
      <c r="K26" s="340">
        <f t="shared" si="19"/>
        <v>69979.31283</v>
      </c>
      <c r="L26" s="340">
        <f t="shared" si="19"/>
        <v>87828.8275</v>
      </c>
      <c r="M26" s="340">
        <f t="shared" si="19"/>
        <v>102806.6118</v>
      </c>
      <c r="N26" s="340">
        <f t="shared" si="19"/>
        <v>115381.9064</v>
      </c>
      <c r="O26" s="340">
        <f t="shared" si="19"/>
        <v>123734.6063</v>
      </c>
      <c r="P26" s="340">
        <f t="shared" si="19"/>
        <v>127863.4712</v>
      </c>
      <c r="Q26" s="340">
        <f t="shared" si="19"/>
        <v>129792.2531</v>
      </c>
      <c r="R26" s="341">
        <f t="shared" si="19"/>
        <v>131734.6771</v>
      </c>
      <c r="AT26" s="327"/>
      <c r="AU26" s="327"/>
      <c r="AV26" s="327"/>
      <c r="AW26" s="327"/>
      <c r="AX26" s="327"/>
      <c r="AY26" s="327"/>
      <c r="AZ26" s="327"/>
      <c r="BA26" s="327"/>
      <c r="BB26" s="327"/>
      <c r="BC26" s="327"/>
      <c r="BD26" s="327"/>
      <c r="BE26" s="327"/>
      <c r="BF26" s="327"/>
      <c r="BG26" s="327"/>
    </row>
    <row r="27" ht="12.75" customHeight="1">
      <c r="A27" s="328"/>
      <c r="B27" s="323"/>
      <c r="C27" s="329" t="s">
        <v>630</v>
      </c>
      <c r="D27" s="323"/>
      <c r="E27" s="323"/>
      <c r="F27" s="323"/>
      <c r="G27" s="340"/>
      <c r="H27" s="344">
        <f t="shared" ref="H27:R27" si="20">H26/H23</f>
        <v>0.1181204439</v>
      </c>
      <c r="I27" s="344">
        <f t="shared" si="20"/>
        <v>0.0210427473</v>
      </c>
      <c r="J27" s="344">
        <f t="shared" si="20"/>
        <v>0.02149955689</v>
      </c>
      <c r="K27" s="344">
        <f t="shared" si="20"/>
        <v>0.02020879208</v>
      </c>
      <c r="L27" s="344">
        <f t="shared" si="20"/>
        <v>0.02544009929</v>
      </c>
      <c r="M27" s="344">
        <f t="shared" si="20"/>
        <v>0.02981961268</v>
      </c>
      <c r="N27" s="344">
        <f t="shared" si="20"/>
        <v>0.03351179497</v>
      </c>
      <c r="O27" s="344">
        <f t="shared" si="20"/>
        <v>0.03596342041</v>
      </c>
      <c r="P27" s="344">
        <f t="shared" si="20"/>
        <v>0.03719000126</v>
      </c>
      <c r="Q27" s="344">
        <f t="shared" si="20"/>
        <v>0.0377652579</v>
      </c>
      <c r="R27" s="345">
        <f t="shared" si="20"/>
        <v>0.03833059129</v>
      </c>
      <c r="AT27" s="327"/>
      <c r="AU27" s="327"/>
      <c r="AV27" s="327"/>
      <c r="AW27" s="327"/>
      <c r="AX27" s="327"/>
      <c r="AY27" s="327"/>
      <c r="AZ27" s="327"/>
      <c r="BA27" s="327"/>
      <c r="BB27" s="327"/>
      <c r="BC27" s="327"/>
      <c r="BD27" s="327"/>
      <c r="BE27" s="327"/>
      <c r="BF27" s="327"/>
      <c r="BG27" s="327"/>
    </row>
    <row r="28" ht="12.75" customHeight="1">
      <c r="A28" s="328"/>
      <c r="B28" s="323"/>
      <c r="C28" s="329"/>
      <c r="D28" s="323"/>
      <c r="E28" s="323"/>
      <c r="F28" s="323"/>
      <c r="G28" s="340"/>
      <c r="H28" s="340"/>
      <c r="I28" s="340"/>
      <c r="J28" s="340"/>
      <c r="K28" s="340"/>
      <c r="L28" s="340"/>
      <c r="M28" s="340"/>
      <c r="N28" s="340"/>
      <c r="O28" s="340"/>
      <c r="P28" s="340"/>
      <c r="Q28" s="340"/>
      <c r="R28" s="341"/>
      <c r="AT28" s="327"/>
      <c r="AU28" s="327"/>
      <c r="AV28" s="327"/>
      <c r="AW28" s="327"/>
      <c r="AX28" s="327"/>
      <c r="AY28" s="327"/>
      <c r="AZ28" s="327"/>
      <c r="BA28" s="327"/>
      <c r="BB28" s="327"/>
      <c r="BC28" s="327"/>
      <c r="BD28" s="327"/>
      <c r="BE28" s="327"/>
      <c r="BF28" s="327"/>
      <c r="BG28" s="327"/>
    </row>
    <row r="29" ht="12.75" customHeight="1">
      <c r="A29" s="328"/>
      <c r="B29" s="323"/>
      <c r="C29" s="329" t="s">
        <v>631</v>
      </c>
      <c r="D29" s="323"/>
      <c r="E29" s="323"/>
      <c r="F29" s="323"/>
      <c r="G29" s="340">
        <f>G391</f>
        <v>0</v>
      </c>
      <c r="H29" s="340">
        <f t="shared" ref="H29:R29" si="21">H392+G29</f>
        <v>1771.006004</v>
      </c>
      <c r="I29" s="340">
        <f t="shared" si="21"/>
        <v>33110.75</v>
      </c>
      <c r="J29" s="340">
        <f t="shared" si="21"/>
        <v>65900.8602</v>
      </c>
      <c r="K29" s="340">
        <f t="shared" si="21"/>
        <v>100057.6066</v>
      </c>
      <c r="L29" s="340">
        <f t="shared" si="21"/>
        <v>134105.9075</v>
      </c>
      <c r="M29" s="340">
        <f t="shared" si="21"/>
        <v>168106.7331</v>
      </c>
      <c r="N29" s="340">
        <f t="shared" si="21"/>
        <v>202062.3731</v>
      </c>
      <c r="O29" s="340">
        <f t="shared" si="21"/>
        <v>235993.9724</v>
      </c>
      <c r="P29" s="340">
        <f t="shared" si="21"/>
        <v>269901.5308</v>
      </c>
      <c r="Q29" s="340">
        <f t="shared" si="21"/>
        <v>303796.4964</v>
      </c>
      <c r="R29" s="341">
        <f t="shared" si="21"/>
        <v>337691.462</v>
      </c>
      <c r="AT29" s="327"/>
      <c r="AU29" s="327"/>
      <c r="AV29" s="327"/>
      <c r="AW29" s="327"/>
      <c r="AX29" s="327"/>
      <c r="AY29" s="327"/>
      <c r="AZ29" s="327"/>
      <c r="BA29" s="327"/>
      <c r="BB29" s="327"/>
      <c r="BC29" s="327"/>
      <c r="BD29" s="327"/>
      <c r="BE29" s="327"/>
      <c r="BF29" s="327"/>
      <c r="BG29" s="327"/>
    </row>
    <row r="30" ht="12.75" customHeight="1">
      <c r="A30" s="328"/>
      <c r="B30" s="323"/>
      <c r="C30" s="329"/>
      <c r="D30" s="329" t="s">
        <v>632</v>
      </c>
      <c r="E30" s="323"/>
      <c r="F30" s="323"/>
      <c r="G30" s="340"/>
      <c r="H30" s="344">
        <f t="shared" ref="H30:R30" si="22">(H26+H29)/H23</f>
        <v>0.128021434</v>
      </c>
      <c r="I30" s="344">
        <f t="shared" si="22"/>
        <v>0.03150324142</v>
      </c>
      <c r="J30" s="344">
        <f t="shared" si="22"/>
        <v>0.04132339946</v>
      </c>
      <c r="K30" s="344">
        <f t="shared" si="22"/>
        <v>0.04910366525</v>
      </c>
      <c r="L30" s="344">
        <f t="shared" si="22"/>
        <v>0.06428460739</v>
      </c>
      <c r="M30" s="344">
        <f t="shared" si="22"/>
        <v>0.07857987802</v>
      </c>
      <c r="N30" s="344">
        <f t="shared" si="22"/>
        <v>0.09219927057</v>
      </c>
      <c r="O30" s="344">
        <f t="shared" si="22"/>
        <v>0.1045549866</v>
      </c>
      <c r="P30" s="344">
        <f t="shared" si="22"/>
        <v>0.1156927838</v>
      </c>
      <c r="Q30" s="344">
        <f t="shared" si="22"/>
        <v>0.1261600023</v>
      </c>
      <c r="R30" s="345">
        <f t="shared" si="22"/>
        <v>0.136588041</v>
      </c>
      <c r="AT30" s="327"/>
      <c r="AU30" s="327"/>
      <c r="AV30" s="327"/>
      <c r="AW30" s="327"/>
      <c r="AX30" s="327"/>
      <c r="AY30" s="327"/>
      <c r="AZ30" s="327"/>
      <c r="BA30" s="327"/>
      <c r="BB30" s="327"/>
      <c r="BC30" s="327"/>
      <c r="BD30" s="327"/>
      <c r="BE30" s="327"/>
      <c r="BF30" s="327"/>
      <c r="BG30" s="327"/>
    </row>
    <row r="31" ht="12.75" customHeight="1">
      <c r="A31" s="328"/>
      <c r="B31" s="323"/>
      <c r="C31" s="329"/>
      <c r="D31" s="323"/>
      <c r="E31" s="323"/>
      <c r="F31" s="323"/>
      <c r="G31" s="340"/>
      <c r="H31" s="340"/>
      <c r="I31" s="340"/>
      <c r="J31" s="340"/>
      <c r="K31" s="340"/>
      <c r="L31" s="340"/>
      <c r="M31" s="340"/>
      <c r="N31" s="340"/>
      <c r="O31" s="340"/>
      <c r="P31" s="340"/>
      <c r="Q31" s="340"/>
      <c r="R31" s="341"/>
      <c r="AT31" s="327"/>
      <c r="AU31" s="327"/>
      <c r="AV31" s="327"/>
      <c r="AW31" s="327"/>
      <c r="AX31" s="327"/>
      <c r="AY31" s="327"/>
      <c r="AZ31" s="327"/>
      <c r="BA31" s="327"/>
      <c r="BB31" s="327"/>
      <c r="BC31" s="327"/>
      <c r="BD31" s="327"/>
      <c r="BE31" s="327"/>
      <c r="BF31" s="327"/>
      <c r="BG31" s="327"/>
    </row>
    <row r="32" ht="12.75" customHeight="1">
      <c r="A32" s="328"/>
      <c r="B32" s="323"/>
      <c r="C32" s="329" t="s">
        <v>196</v>
      </c>
      <c r="D32" s="323"/>
      <c r="E32" s="323"/>
      <c r="F32" s="323"/>
      <c r="G32" s="340">
        <f t="shared" ref="G32:R32" si="23">G428</f>
        <v>0</v>
      </c>
      <c r="H32" s="340">
        <f t="shared" si="23"/>
        <v>50071.97388</v>
      </c>
      <c r="I32" s="340">
        <f t="shared" si="23"/>
        <v>56305.9984</v>
      </c>
      <c r="J32" s="340">
        <f t="shared" si="23"/>
        <v>12905.27821</v>
      </c>
      <c r="K32" s="340">
        <f t="shared" si="23"/>
        <v>11400.61335</v>
      </c>
      <c r="L32" s="340">
        <f t="shared" si="23"/>
        <v>3260.784121</v>
      </c>
      <c r="M32" s="340">
        <f t="shared" si="23"/>
        <v>18401.23491</v>
      </c>
      <c r="N32" s="340">
        <f t="shared" si="23"/>
        <v>31114.14406</v>
      </c>
      <c r="O32" s="340">
        <f t="shared" si="23"/>
        <v>114694.6687</v>
      </c>
      <c r="P32" s="340">
        <f t="shared" si="23"/>
        <v>119051.4203</v>
      </c>
      <c r="Q32" s="340">
        <f t="shared" si="23"/>
        <v>121098.9513</v>
      </c>
      <c r="R32" s="341">
        <f t="shared" si="23"/>
        <v>123040.6933</v>
      </c>
      <c r="AT32" s="327"/>
      <c r="AU32" s="327"/>
      <c r="AV32" s="327"/>
      <c r="AW32" s="327"/>
      <c r="AX32" s="327"/>
      <c r="AY32" s="327"/>
      <c r="AZ32" s="327"/>
      <c r="BA32" s="327"/>
      <c r="BB32" s="327"/>
      <c r="BC32" s="327"/>
      <c r="BD32" s="327"/>
      <c r="BE32" s="327"/>
      <c r="BF32" s="327"/>
      <c r="BG32" s="327"/>
    </row>
    <row r="33" ht="12.75" customHeight="1">
      <c r="A33" s="346"/>
      <c r="B33" s="347"/>
      <c r="C33" s="348"/>
      <c r="D33" s="348" t="s">
        <v>633</v>
      </c>
      <c r="E33" s="347"/>
      <c r="F33" s="347"/>
      <c r="G33" s="349">
        <f>G467</f>
        <v>0</v>
      </c>
      <c r="H33" s="349">
        <f t="shared" ref="H33:R33" si="24">H451</f>
        <v>0</v>
      </c>
      <c r="I33" s="349">
        <f t="shared" si="24"/>
        <v>313052.284</v>
      </c>
      <c r="J33" s="349">
        <f t="shared" si="24"/>
        <v>324595.8097</v>
      </c>
      <c r="K33" s="349">
        <f t="shared" si="24"/>
        <v>337478.9982</v>
      </c>
      <c r="L33" s="349">
        <f t="shared" si="24"/>
        <v>338347.1382</v>
      </c>
      <c r="M33" s="349">
        <f t="shared" si="24"/>
        <v>337603.0182</v>
      </c>
      <c r="N33" s="349">
        <f t="shared" si="24"/>
        <v>336920.9082</v>
      </c>
      <c r="O33" s="349">
        <f t="shared" si="24"/>
        <v>336269.8032</v>
      </c>
      <c r="P33" s="349">
        <f t="shared" si="24"/>
        <v>335618.6982</v>
      </c>
      <c r="Q33" s="349">
        <f t="shared" si="24"/>
        <v>335277.6432</v>
      </c>
      <c r="R33" s="350">
        <f t="shared" si="24"/>
        <v>335277.6432</v>
      </c>
      <c r="AT33" s="327"/>
      <c r="AU33" s="327"/>
      <c r="AV33" s="327"/>
      <c r="AW33" s="327"/>
      <c r="AX33" s="327"/>
      <c r="AY33" s="327"/>
      <c r="AZ33" s="327"/>
      <c r="BA33" s="327"/>
      <c r="BB33" s="327"/>
      <c r="BC33" s="327"/>
      <c r="BD33" s="327"/>
      <c r="BE33" s="327"/>
      <c r="BF33" s="327"/>
      <c r="BG33" s="327"/>
    </row>
    <row r="34" ht="12.75" customHeight="1">
      <c r="A34" s="316"/>
      <c r="B34" s="90"/>
      <c r="C34" s="90"/>
      <c r="D34" s="90"/>
      <c r="E34" s="90"/>
      <c r="F34" s="90"/>
      <c r="G34" s="90"/>
      <c r="H34" s="90"/>
      <c r="I34" s="90"/>
      <c r="J34" s="90"/>
      <c r="K34" s="90"/>
      <c r="L34" s="90"/>
      <c r="M34" s="90"/>
      <c r="N34" s="90"/>
      <c r="O34" s="90"/>
      <c r="P34" s="90"/>
      <c r="Q34" s="90"/>
      <c r="R34" s="90"/>
      <c r="AT34" s="313"/>
      <c r="AU34" s="313"/>
      <c r="AV34" s="313"/>
      <c r="AW34" s="313"/>
      <c r="AX34" s="313"/>
      <c r="AY34" s="313"/>
      <c r="AZ34" s="313"/>
      <c r="BA34" s="313"/>
      <c r="BB34" s="313"/>
      <c r="BC34" s="313"/>
      <c r="BD34" s="313"/>
      <c r="BE34" s="313"/>
      <c r="BF34" s="313"/>
      <c r="BG34" s="313"/>
    </row>
    <row r="35" ht="12.75" customHeight="1">
      <c r="A35" s="106" t="s">
        <v>634</v>
      </c>
      <c r="B35" s="253"/>
      <c r="C35" s="253"/>
      <c r="D35" s="253"/>
      <c r="E35" s="253"/>
      <c r="F35" s="253"/>
      <c r="G35" s="253"/>
      <c r="H35" s="253"/>
      <c r="I35" s="253"/>
      <c r="J35" s="253"/>
      <c r="K35" s="253"/>
      <c r="L35" s="253"/>
      <c r="M35" s="253"/>
      <c r="N35" s="253"/>
      <c r="O35" s="253"/>
      <c r="P35" s="253"/>
      <c r="Q35" s="253"/>
      <c r="R35" s="253"/>
      <c r="AT35" s="314"/>
      <c r="AU35" s="314"/>
      <c r="AV35" s="314"/>
      <c r="AW35" s="314"/>
      <c r="AX35" s="314"/>
      <c r="AY35" s="314"/>
      <c r="AZ35" s="314"/>
      <c r="BA35" s="314"/>
      <c r="BB35" s="314"/>
      <c r="BC35" s="314"/>
      <c r="BD35" s="314"/>
      <c r="BE35" s="314"/>
      <c r="BF35" s="314"/>
      <c r="BG35" s="314"/>
    </row>
    <row r="36" ht="12.75" customHeight="1" outlineLevel="1">
      <c r="A36" s="67"/>
      <c r="B36" s="90"/>
      <c r="C36" s="90"/>
      <c r="D36" s="90"/>
      <c r="E36" s="90"/>
      <c r="F36" s="90"/>
      <c r="G36" s="90"/>
      <c r="H36" s="90"/>
      <c r="I36" s="90"/>
      <c r="J36" s="90"/>
      <c r="K36" s="90"/>
      <c r="L36" s="90"/>
      <c r="M36" s="90"/>
      <c r="N36" s="90"/>
      <c r="O36" s="90"/>
      <c r="P36" s="90"/>
      <c r="Q36" s="90"/>
      <c r="R36" s="90"/>
      <c r="AT36" s="313"/>
      <c r="AU36" s="313"/>
      <c r="AV36" s="313"/>
      <c r="AW36" s="313"/>
      <c r="AX36" s="313"/>
      <c r="AY36" s="313"/>
      <c r="AZ36" s="313"/>
      <c r="BA36" s="313"/>
      <c r="BB36" s="313"/>
      <c r="BC36" s="313"/>
      <c r="BD36" s="313"/>
      <c r="BE36" s="313"/>
      <c r="BF36" s="313"/>
      <c r="BG36" s="313"/>
    </row>
    <row r="37" ht="12.75" customHeight="1" outlineLevel="1">
      <c r="A37" s="67"/>
      <c r="B37" s="90" t="s">
        <v>635</v>
      </c>
      <c r="C37" s="90"/>
      <c r="D37" s="90"/>
      <c r="E37" s="90"/>
      <c r="F37" s="90"/>
      <c r="G37" s="102" t="str">
        <f>'RS3'!J36</f>
        <v/>
      </c>
      <c r="H37" s="102">
        <f>'RS3'!K36</f>
        <v>0</v>
      </c>
      <c r="I37" s="102">
        <f>'RS3'!L36</f>
        <v>180</v>
      </c>
      <c r="J37" s="102">
        <f>'RS3'!M36</f>
        <v>180</v>
      </c>
      <c r="K37" s="102">
        <f>'RS3'!N36</f>
        <v>180</v>
      </c>
      <c r="L37" s="102">
        <f>'RS3'!O36</f>
        <v>180</v>
      </c>
      <c r="M37" s="102">
        <f>'RS3'!P36</f>
        <v>180</v>
      </c>
      <c r="N37" s="102">
        <f>'RS3'!Q36</f>
        <v>180</v>
      </c>
      <c r="O37" s="102">
        <f>'RS3'!R36</f>
        <v>180</v>
      </c>
      <c r="P37" s="102">
        <f>'RS3'!S36</f>
        <v>180</v>
      </c>
      <c r="Q37" s="102">
        <f>'RS3'!T36</f>
        <v>180</v>
      </c>
      <c r="R37" s="102">
        <f>'RS3'!U36</f>
        <v>180</v>
      </c>
      <c r="AT37" s="306" t="str">
        <f t="shared" ref="AT37:BG37" si="25">AS37</f>
        <v/>
      </c>
      <c r="AU37" s="306" t="str">
        <f t="shared" si="25"/>
        <v/>
      </c>
      <c r="AV37" s="306" t="str">
        <f t="shared" si="25"/>
        <v/>
      </c>
      <c r="AW37" s="306" t="str">
        <f t="shared" si="25"/>
        <v/>
      </c>
      <c r="AX37" s="306" t="str">
        <f t="shared" si="25"/>
        <v/>
      </c>
      <c r="AY37" s="306" t="str">
        <f t="shared" si="25"/>
        <v/>
      </c>
      <c r="AZ37" s="306" t="str">
        <f t="shared" si="25"/>
        <v/>
      </c>
      <c r="BA37" s="306" t="str">
        <f t="shared" si="25"/>
        <v/>
      </c>
      <c r="BB37" s="306" t="str">
        <f t="shared" si="25"/>
        <v/>
      </c>
      <c r="BC37" s="306" t="str">
        <f t="shared" si="25"/>
        <v/>
      </c>
      <c r="BD37" s="306" t="str">
        <f t="shared" si="25"/>
        <v/>
      </c>
      <c r="BE37" s="306" t="str">
        <f t="shared" si="25"/>
        <v/>
      </c>
      <c r="BF37" s="306" t="str">
        <f t="shared" si="25"/>
        <v/>
      </c>
      <c r="BG37" s="306" t="str">
        <f t="shared" si="25"/>
        <v/>
      </c>
    </row>
    <row r="38" ht="12.75" customHeight="1" outlineLevel="1">
      <c r="A38" s="67"/>
      <c r="B38" s="90" t="s">
        <v>636</v>
      </c>
      <c r="C38" s="90"/>
      <c r="D38" s="90"/>
      <c r="E38" s="90"/>
      <c r="F38" s="90"/>
      <c r="G38" s="102" t="str">
        <f>'RS3'!J37</f>
        <v/>
      </c>
      <c r="H38" s="102">
        <f>'RS3'!K37</f>
        <v>0</v>
      </c>
      <c r="I38" s="102">
        <f>'RS3'!L37</f>
        <v>2</v>
      </c>
      <c r="J38" s="102">
        <f>'RS3'!M37</f>
        <v>2</v>
      </c>
      <c r="K38" s="102">
        <f>'RS3'!N37</f>
        <v>2</v>
      </c>
      <c r="L38" s="102">
        <f>'RS3'!O37</f>
        <v>2</v>
      </c>
      <c r="M38" s="102">
        <f>'RS3'!P37</f>
        <v>2</v>
      </c>
      <c r="N38" s="102">
        <f>'RS3'!Q37</f>
        <v>2</v>
      </c>
      <c r="O38" s="102">
        <f>'RS3'!R37</f>
        <v>2</v>
      </c>
      <c r="P38" s="102">
        <f>'RS3'!S37</f>
        <v>2</v>
      </c>
      <c r="Q38" s="102">
        <f>'RS3'!T37</f>
        <v>2</v>
      </c>
      <c r="R38" s="102">
        <f>'RS3'!U37</f>
        <v>2</v>
      </c>
      <c r="AT38" s="306" t="str">
        <f t="shared" ref="AT38:BG38" si="26">AS38</f>
        <v/>
      </c>
      <c r="AU38" s="306" t="str">
        <f t="shared" si="26"/>
        <v/>
      </c>
      <c r="AV38" s="306" t="str">
        <f t="shared" si="26"/>
        <v/>
      </c>
      <c r="AW38" s="306" t="str">
        <f t="shared" si="26"/>
        <v/>
      </c>
      <c r="AX38" s="306" t="str">
        <f t="shared" si="26"/>
        <v/>
      </c>
      <c r="AY38" s="306" t="str">
        <f t="shared" si="26"/>
        <v/>
      </c>
      <c r="AZ38" s="306" t="str">
        <f t="shared" si="26"/>
        <v/>
      </c>
      <c r="BA38" s="306" t="str">
        <f t="shared" si="26"/>
        <v/>
      </c>
      <c r="BB38" s="306" t="str">
        <f t="shared" si="26"/>
        <v/>
      </c>
      <c r="BC38" s="306" t="str">
        <f t="shared" si="26"/>
        <v/>
      </c>
      <c r="BD38" s="306" t="str">
        <f t="shared" si="26"/>
        <v/>
      </c>
      <c r="BE38" s="306" t="str">
        <f t="shared" si="26"/>
        <v/>
      </c>
      <c r="BF38" s="306" t="str">
        <f t="shared" si="26"/>
        <v/>
      </c>
      <c r="BG38" s="306" t="str">
        <f t="shared" si="26"/>
        <v/>
      </c>
    </row>
    <row r="39" ht="12.75" customHeight="1" outlineLevel="1">
      <c r="A39" s="67"/>
      <c r="B39" s="90"/>
      <c r="C39" s="90"/>
      <c r="D39" s="90"/>
      <c r="E39" s="90"/>
      <c r="F39" s="90"/>
      <c r="G39" s="90"/>
      <c r="H39" s="90"/>
      <c r="I39" s="90"/>
      <c r="J39" s="90"/>
      <c r="K39" s="90"/>
      <c r="L39" s="90"/>
      <c r="M39" s="90"/>
      <c r="N39" s="90"/>
      <c r="O39" s="90"/>
      <c r="P39" s="90"/>
      <c r="Q39" s="90"/>
      <c r="R39" s="90"/>
      <c r="AT39" s="313"/>
      <c r="AU39" s="313"/>
      <c r="AV39" s="313"/>
      <c r="AW39" s="313"/>
      <c r="AX39" s="313"/>
      <c r="AY39" s="313"/>
      <c r="AZ39" s="313"/>
      <c r="BA39" s="313"/>
      <c r="BB39" s="313"/>
      <c r="BC39" s="313"/>
      <c r="BD39" s="313"/>
      <c r="BE39" s="313"/>
      <c r="BF39" s="313"/>
      <c r="BG39" s="313"/>
    </row>
    <row r="40" ht="12.75" customHeight="1" outlineLevel="1">
      <c r="A40" s="67"/>
      <c r="B40" s="90" t="s">
        <v>165</v>
      </c>
      <c r="C40" s="90"/>
      <c r="D40" s="90"/>
      <c r="E40" s="90"/>
      <c r="F40" s="90"/>
      <c r="G40" s="90"/>
      <c r="H40" s="90"/>
      <c r="I40" s="90"/>
      <c r="J40" s="90"/>
      <c r="K40" s="90"/>
      <c r="L40" s="90"/>
      <c r="M40" s="90"/>
      <c r="N40" s="90"/>
      <c r="O40" s="90"/>
      <c r="P40" s="90"/>
      <c r="Q40" s="90"/>
      <c r="R40" s="90"/>
      <c r="AT40" s="313"/>
      <c r="AU40" s="313"/>
      <c r="AV40" s="313"/>
      <c r="AW40" s="313"/>
      <c r="AX40" s="313"/>
      <c r="AY40" s="313"/>
      <c r="AZ40" s="313"/>
      <c r="BA40" s="313"/>
      <c r="BB40" s="313"/>
      <c r="BC40" s="313"/>
      <c r="BD40" s="313"/>
      <c r="BE40" s="313"/>
      <c r="BF40" s="313"/>
      <c r="BG40" s="313"/>
    </row>
    <row r="41" ht="12.75" customHeight="1" outlineLevel="1">
      <c r="A41" s="67"/>
      <c r="B41" s="90"/>
      <c r="C41" s="90" t="s">
        <v>166</v>
      </c>
      <c r="D41" s="90"/>
      <c r="E41" s="90"/>
      <c r="F41" s="90"/>
      <c r="G41" s="102" t="str">
        <f>'RS3'!J40</f>
        <v/>
      </c>
      <c r="H41" s="102">
        <f>'RS3'!K40</f>
        <v>0</v>
      </c>
      <c r="I41" s="102">
        <f>Assumptions!E39</f>
        <v>120</v>
      </c>
      <c r="J41" s="102">
        <f>Assumptions!F39</f>
        <v>120</v>
      </c>
      <c r="K41" s="102">
        <f>Assumptions!G39</f>
        <v>105</v>
      </c>
      <c r="L41" s="102">
        <f>Assumptions!H39</f>
        <v>105</v>
      </c>
      <c r="M41" s="102">
        <f>Assumptions!I39</f>
        <v>105</v>
      </c>
      <c r="N41" s="102">
        <f>Assumptions!J39</f>
        <v>105</v>
      </c>
      <c r="O41" s="102">
        <f>Assumptions!K39</f>
        <v>105</v>
      </c>
      <c r="P41" s="102">
        <f>Assumptions!L39</f>
        <v>105</v>
      </c>
      <c r="Q41" s="102">
        <f t="shared" ref="Q41:R41" si="27">P41</f>
        <v>105</v>
      </c>
      <c r="R41" s="102">
        <f t="shared" si="27"/>
        <v>105</v>
      </c>
      <c r="AT41" s="306" t="str">
        <f t="shared" ref="AT41:BG41" si="28">AS41</f>
        <v/>
      </c>
      <c r="AU41" s="306" t="str">
        <f t="shared" si="28"/>
        <v/>
      </c>
      <c r="AV41" s="306" t="str">
        <f t="shared" si="28"/>
        <v/>
      </c>
      <c r="AW41" s="306" t="str">
        <f t="shared" si="28"/>
        <v/>
      </c>
      <c r="AX41" s="306" t="str">
        <f t="shared" si="28"/>
        <v/>
      </c>
      <c r="AY41" s="306" t="str">
        <f t="shared" si="28"/>
        <v/>
      </c>
      <c r="AZ41" s="306" t="str">
        <f t="shared" si="28"/>
        <v/>
      </c>
      <c r="BA41" s="306" t="str">
        <f t="shared" si="28"/>
        <v/>
      </c>
      <c r="BB41" s="306" t="str">
        <f t="shared" si="28"/>
        <v/>
      </c>
      <c r="BC41" s="306" t="str">
        <f t="shared" si="28"/>
        <v/>
      </c>
      <c r="BD41" s="306" t="str">
        <f t="shared" si="28"/>
        <v/>
      </c>
      <c r="BE41" s="306" t="str">
        <f t="shared" si="28"/>
        <v/>
      </c>
      <c r="BF41" s="306" t="str">
        <f t="shared" si="28"/>
        <v/>
      </c>
      <c r="BG41" s="306" t="str">
        <f t="shared" si="28"/>
        <v/>
      </c>
    </row>
    <row r="42" ht="12.75" customHeight="1" outlineLevel="1">
      <c r="A42" s="67"/>
      <c r="B42" s="90"/>
      <c r="C42" s="90" t="s">
        <v>167</v>
      </c>
      <c r="D42" s="90"/>
      <c r="E42" s="90"/>
      <c r="F42" s="90"/>
      <c r="G42" s="102" t="str">
        <f>'RS3'!J41</f>
        <v/>
      </c>
      <c r="H42" s="102">
        <f>'RS3'!K41</f>
        <v>0</v>
      </c>
      <c r="I42" s="102">
        <f>Assumptions!E40</f>
        <v>112</v>
      </c>
      <c r="J42" s="102">
        <f>Assumptions!F40</f>
        <v>112</v>
      </c>
      <c r="K42" s="102">
        <f>Assumptions!G40</f>
        <v>100</v>
      </c>
      <c r="L42" s="102">
        <f>Assumptions!H40</f>
        <v>100</v>
      </c>
      <c r="M42" s="102">
        <f>Assumptions!I40</f>
        <v>100</v>
      </c>
      <c r="N42" s="102">
        <f>Assumptions!J40</f>
        <v>100</v>
      </c>
      <c r="O42" s="102">
        <f>Assumptions!K40</f>
        <v>100</v>
      </c>
      <c r="P42" s="102">
        <f>Assumptions!L40</f>
        <v>100</v>
      </c>
      <c r="Q42" s="102">
        <f t="shared" ref="Q42:R42" si="29">P42</f>
        <v>100</v>
      </c>
      <c r="R42" s="102">
        <f t="shared" si="29"/>
        <v>100</v>
      </c>
      <c r="AT42" s="306" t="str">
        <f t="shared" ref="AT42:BG42" si="30">AS42</f>
        <v/>
      </c>
      <c r="AU42" s="306" t="str">
        <f t="shared" si="30"/>
        <v/>
      </c>
      <c r="AV42" s="306" t="str">
        <f t="shared" si="30"/>
        <v/>
      </c>
      <c r="AW42" s="306" t="str">
        <f t="shared" si="30"/>
        <v/>
      </c>
      <c r="AX42" s="306" t="str">
        <f t="shared" si="30"/>
        <v/>
      </c>
      <c r="AY42" s="306" t="str">
        <f t="shared" si="30"/>
        <v/>
      </c>
      <c r="AZ42" s="306" t="str">
        <f t="shared" si="30"/>
        <v/>
      </c>
      <c r="BA42" s="306" t="str">
        <f t="shared" si="30"/>
        <v/>
      </c>
      <c r="BB42" s="306" t="str">
        <f t="shared" si="30"/>
        <v/>
      </c>
      <c r="BC42" s="306" t="str">
        <f t="shared" si="30"/>
        <v/>
      </c>
      <c r="BD42" s="306" t="str">
        <f t="shared" si="30"/>
        <v/>
      </c>
      <c r="BE42" s="306" t="str">
        <f t="shared" si="30"/>
        <v/>
      </c>
      <c r="BF42" s="306" t="str">
        <f t="shared" si="30"/>
        <v/>
      </c>
      <c r="BG42" s="306" t="str">
        <f t="shared" si="30"/>
        <v/>
      </c>
    </row>
    <row r="43" ht="12.75" customHeight="1" outlineLevel="1">
      <c r="A43" s="67"/>
      <c r="B43" s="90"/>
      <c r="C43" s="90" t="s">
        <v>168</v>
      </c>
      <c r="D43" s="90"/>
      <c r="E43" s="90"/>
      <c r="F43" s="90"/>
      <c r="G43" s="102" t="str">
        <f>'RS3'!J42</f>
        <v/>
      </c>
      <c r="H43" s="102">
        <f>'RS3'!K42</f>
        <v>0</v>
      </c>
      <c r="I43" s="102">
        <f>Assumptions!E41</f>
        <v>80</v>
      </c>
      <c r="J43" s="102">
        <f>Assumptions!F41</f>
        <v>80</v>
      </c>
      <c r="K43" s="102">
        <f>Assumptions!G41</f>
        <v>80</v>
      </c>
      <c r="L43" s="102">
        <f>Assumptions!H41</f>
        <v>80</v>
      </c>
      <c r="M43" s="102">
        <f>Assumptions!I41</f>
        <v>80</v>
      </c>
      <c r="N43" s="102">
        <f>Assumptions!J41</f>
        <v>80</v>
      </c>
      <c r="O43" s="102">
        <f>Assumptions!K41</f>
        <v>80</v>
      </c>
      <c r="P43" s="102">
        <f>Assumptions!L41</f>
        <v>80</v>
      </c>
      <c r="Q43" s="102">
        <f t="shared" ref="Q43:R43" si="31">P43</f>
        <v>80</v>
      </c>
      <c r="R43" s="102">
        <f t="shared" si="31"/>
        <v>80</v>
      </c>
      <c r="AT43" s="306" t="str">
        <f t="shared" ref="AT43:BG43" si="32">AS43</f>
        <v/>
      </c>
      <c r="AU43" s="306" t="str">
        <f t="shared" si="32"/>
        <v/>
      </c>
      <c r="AV43" s="306" t="str">
        <f t="shared" si="32"/>
        <v/>
      </c>
      <c r="AW43" s="306" t="str">
        <f t="shared" si="32"/>
        <v/>
      </c>
      <c r="AX43" s="306" t="str">
        <f t="shared" si="32"/>
        <v/>
      </c>
      <c r="AY43" s="306" t="str">
        <f t="shared" si="32"/>
        <v/>
      </c>
      <c r="AZ43" s="306" t="str">
        <f t="shared" si="32"/>
        <v/>
      </c>
      <c r="BA43" s="306" t="str">
        <f t="shared" si="32"/>
        <v/>
      </c>
      <c r="BB43" s="306" t="str">
        <f t="shared" si="32"/>
        <v/>
      </c>
      <c r="BC43" s="306" t="str">
        <f t="shared" si="32"/>
        <v/>
      </c>
      <c r="BD43" s="306" t="str">
        <f t="shared" si="32"/>
        <v/>
      </c>
      <c r="BE43" s="306" t="str">
        <f t="shared" si="32"/>
        <v/>
      </c>
      <c r="BF43" s="306" t="str">
        <f t="shared" si="32"/>
        <v/>
      </c>
      <c r="BG43" s="306" t="str">
        <f t="shared" si="32"/>
        <v/>
      </c>
    </row>
    <row r="44" ht="12.75" customHeight="1" outlineLevel="1">
      <c r="A44" s="67"/>
      <c r="B44" s="90"/>
      <c r="C44" s="90" t="s">
        <v>169</v>
      </c>
      <c r="D44" s="90"/>
      <c r="E44" s="90"/>
      <c r="F44" s="90"/>
      <c r="G44" s="102" t="str">
        <f>'RS3'!J43</f>
        <v/>
      </c>
      <c r="H44" s="102">
        <f>'RS3'!K43</f>
        <v>0</v>
      </c>
      <c r="I44" s="102">
        <f>Assumptions!E42</f>
        <v>80</v>
      </c>
      <c r="J44" s="102">
        <f>Assumptions!F42</f>
        <v>80</v>
      </c>
      <c r="K44" s="102">
        <f>Assumptions!G42</f>
        <v>80</v>
      </c>
      <c r="L44" s="102">
        <f>Assumptions!H42</f>
        <v>80</v>
      </c>
      <c r="M44" s="102">
        <f>Assumptions!I42</f>
        <v>80</v>
      </c>
      <c r="N44" s="102">
        <f>Assumptions!J42</f>
        <v>80</v>
      </c>
      <c r="O44" s="102">
        <f>Assumptions!K42</f>
        <v>80</v>
      </c>
      <c r="P44" s="102">
        <f>Assumptions!L42</f>
        <v>80</v>
      </c>
      <c r="Q44" s="102">
        <f t="shared" ref="Q44:R44" si="33">P44</f>
        <v>80</v>
      </c>
      <c r="R44" s="102">
        <f t="shared" si="33"/>
        <v>80</v>
      </c>
      <c r="AT44" s="306" t="str">
        <f t="shared" ref="AT44:BG44" si="34">AS44</f>
        <v/>
      </c>
      <c r="AU44" s="306" t="str">
        <f t="shared" si="34"/>
        <v/>
      </c>
      <c r="AV44" s="306" t="str">
        <f t="shared" si="34"/>
        <v/>
      </c>
      <c r="AW44" s="306" t="str">
        <f t="shared" si="34"/>
        <v/>
      </c>
      <c r="AX44" s="306" t="str">
        <f t="shared" si="34"/>
        <v/>
      </c>
      <c r="AY44" s="306" t="str">
        <f t="shared" si="34"/>
        <v/>
      </c>
      <c r="AZ44" s="306" t="str">
        <f t="shared" si="34"/>
        <v/>
      </c>
      <c r="BA44" s="306" t="str">
        <f t="shared" si="34"/>
        <v/>
      </c>
      <c r="BB44" s="306" t="str">
        <f t="shared" si="34"/>
        <v/>
      </c>
      <c r="BC44" s="306" t="str">
        <f t="shared" si="34"/>
        <v/>
      </c>
      <c r="BD44" s="306" t="str">
        <f t="shared" si="34"/>
        <v/>
      </c>
      <c r="BE44" s="306" t="str">
        <f t="shared" si="34"/>
        <v/>
      </c>
      <c r="BF44" s="306" t="str">
        <f t="shared" si="34"/>
        <v/>
      </c>
      <c r="BG44" s="306" t="str">
        <f t="shared" si="34"/>
        <v/>
      </c>
    </row>
    <row r="45" ht="12.75" customHeight="1" outlineLevel="1">
      <c r="A45" s="67"/>
      <c r="B45" s="90"/>
      <c r="C45" s="90" t="s">
        <v>170</v>
      </c>
      <c r="D45" s="90"/>
      <c r="E45" s="90"/>
      <c r="F45" s="90"/>
      <c r="G45" s="102" t="str">
        <f>'RS3'!J44</f>
        <v/>
      </c>
      <c r="H45" s="102">
        <f>'RS3'!K44</f>
        <v>0</v>
      </c>
      <c r="I45" s="102">
        <f>Assumptions!E43</f>
        <v>0</v>
      </c>
      <c r="J45" s="102">
        <f>Assumptions!F43</f>
        <v>72</v>
      </c>
      <c r="K45" s="102">
        <f>Assumptions!G43</f>
        <v>75</v>
      </c>
      <c r="L45" s="102">
        <f>Assumptions!H43</f>
        <v>75</v>
      </c>
      <c r="M45" s="102">
        <f>Assumptions!I43</f>
        <v>75</v>
      </c>
      <c r="N45" s="102">
        <f>Assumptions!J43</f>
        <v>75</v>
      </c>
      <c r="O45" s="102">
        <f>Assumptions!K43</f>
        <v>75</v>
      </c>
      <c r="P45" s="102">
        <f>Assumptions!L43</f>
        <v>75</v>
      </c>
      <c r="Q45" s="102">
        <f t="shared" ref="Q45:R45" si="35">P45</f>
        <v>75</v>
      </c>
      <c r="R45" s="102">
        <f t="shared" si="35"/>
        <v>75</v>
      </c>
      <c r="AT45" s="306" t="str">
        <f t="shared" ref="AT45:BG45" si="36">AS45</f>
        <v/>
      </c>
      <c r="AU45" s="306" t="str">
        <f t="shared" si="36"/>
        <v/>
      </c>
      <c r="AV45" s="306" t="str">
        <f t="shared" si="36"/>
        <v/>
      </c>
      <c r="AW45" s="306" t="str">
        <f t="shared" si="36"/>
        <v/>
      </c>
      <c r="AX45" s="306" t="str">
        <f t="shared" si="36"/>
        <v/>
      </c>
      <c r="AY45" s="306" t="str">
        <f t="shared" si="36"/>
        <v/>
      </c>
      <c r="AZ45" s="306" t="str">
        <f t="shared" si="36"/>
        <v/>
      </c>
      <c r="BA45" s="306" t="str">
        <f t="shared" si="36"/>
        <v/>
      </c>
      <c r="BB45" s="306" t="str">
        <f t="shared" si="36"/>
        <v/>
      </c>
      <c r="BC45" s="306" t="str">
        <f t="shared" si="36"/>
        <v/>
      </c>
      <c r="BD45" s="306" t="str">
        <f t="shared" si="36"/>
        <v/>
      </c>
      <c r="BE45" s="306" t="str">
        <f t="shared" si="36"/>
        <v/>
      </c>
      <c r="BF45" s="306" t="str">
        <f t="shared" si="36"/>
        <v/>
      </c>
      <c r="BG45" s="306" t="str">
        <f t="shared" si="36"/>
        <v/>
      </c>
    </row>
    <row r="46" ht="12.75" customHeight="1" outlineLevel="1">
      <c r="A46" s="67"/>
      <c r="B46" s="87"/>
      <c r="C46" s="87" t="s">
        <v>171</v>
      </c>
      <c r="D46" s="87"/>
      <c r="E46" s="87"/>
      <c r="F46" s="87"/>
      <c r="G46" s="102" t="str">
        <f>'RS3'!J45</f>
        <v/>
      </c>
      <c r="H46" s="102">
        <f>'RS3'!K45</f>
        <v>0</v>
      </c>
      <c r="I46" s="102">
        <f>Assumptions!E44</f>
        <v>0</v>
      </c>
      <c r="J46" s="102">
        <f>Assumptions!F44</f>
        <v>0</v>
      </c>
      <c r="K46" s="102">
        <f>Assumptions!G44</f>
        <v>60</v>
      </c>
      <c r="L46" s="102">
        <f>Assumptions!H44</f>
        <v>60</v>
      </c>
      <c r="M46" s="102">
        <f>Assumptions!I44</f>
        <v>60</v>
      </c>
      <c r="N46" s="102">
        <f>Assumptions!J44</f>
        <v>60</v>
      </c>
      <c r="O46" s="102">
        <f>Assumptions!K44</f>
        <v>60</v>
      </c>
      <c r="P46" s="102">
        <f>Assumptions!L44</f>
        <v>60</v>
      </c>
      <c r="Q46" s="102">
        <f t="shared" ref="Q46:R46" si="37">P46</f>
        <v>60</v>
      </c>
      <c r="R46" s="102">
        <f t="shared" si="37"/>
        <v>60</v>
      </c>
      <c r="AT46" s="306" t="str">
        <f t="shared" ref="AT46:BG46" si="38">AS46</f>
        <v/>
      </c>
      <c r="AU46" s="306" t="str">
        <f t="shared" si="38"/>
        <v/>
      </c>
      <c r="AV46" s="306" t="str">
        <f t="shared" si="38"/>
        <v/>
      </c>
      <c r="AW46" s="306" t="str">
        <f t="shared" si="38"/>
        <v/>
      </c>
      <c r="AX46" s="306" t="str">
        <f t="shared" si="38"/>
        <v/>
      </c>
      <c r="AY46" s="306" t="str">
        <f t="shared" si="38"/>
        <v/>
      </c>
      <c r="AZ46" s="306" t="str">
        <f t="shared" si="38"/>
        <v/>
      </c>
      <c r="BA46" s="306" t="str">
        <f t="shared" si="38"/>
        <v/>
      </c>
      <c r="BB46" s="306" t="str">
        <f t="shared" si="38"/>
        <v/>
      </c>
      <c r="BC46" s="306" t="str">
        <f t="shared" si="38"/>
        <v/>
      </c>
      <c r="BD46" s="306" t="str">
        <f t="shared" si="38"/>
        <v/>
      </c>
      <c r="BE46" s="306" t="str">
        <f t="shared" si="38"/>
        <v/>
      </c>
      <c r="BF46" s="306" t="str">
        <f t="shared" si="38"/>
        <v/>
      </c>
      <c r="BG46" s="306" t="str">
        <f t="shared" si="38"/>
        <v/>
      </c>
    </row>
    <row r="47" ht="12.75" customHeight="1" outlineLevel="1">
      <c r="A47" s="67"/>
      <c r="B47" s="90" t="s">
        <v>619</v>
      </c>
      <c r="C47" s="90"/>
      <c r="D47" s="90"/>
      <c r="E47" s="90"/>
      <c r="F47" s="90"/>
      <c r="G47" s="285">
        <f t="shared" ref="G47:P47" si="39">SUM(G41:G46)</f>
        <v>0</v>
      </c>
      <c r="H47" s="285">
        <f t="shared" si="39"/>
        <v>0</v>
      </c>
      <c r="I47" s="285">
        <f t="shared" si="39"/>
        <v>392</v>
      </c>
      <c r="J47" s="285">
        <f t="shared" si="39"/>
        <v>464</v>
      </c>
      <c r="K47" s="285">
        <f t="shared" si="39"/>
        <v>500</v>
      </c>
      <c r="L47" s="285">
        <f t="shared" si="39"/>
        <v>500</v>
      </c>
      <c r="M47" s="285">
        <f t="shared" si="39"/>
        <v>500</v>
      </c>
      <c r="N47" s="285">
        <f t="shared" si="39"/>
        <v>500</v>
      </c>
      <c r="O47" s="285">
        <f t="shared" si="39"/>
        <v>500</v>
      </c>
      <c r="P47" s="285">
        <f t="shared" si="39"/>
        <v>500</v>
      </c>
      <c r="Q47" s="285">
        <f t="shared" ref="Q47:R47" si="40">P47</f>
        <v>500</v>
      </c>
      <c r="R47" s="285">
        <f t="shared" si="40"/>
        <v>500</v>
      </c>
      <c r="AT47" s="351">
        <f t="shared" ref="AT47:BG47" si="41">SUM(AT41:AT46)</f>
        <v>0</v>
      </c>
      <c r="AU47" s="351">
        <f t="shared" si="41"/>
        <v>0</v>
      </c>
      <c r="AV47" s="351">
        <f t="shared" si="41"/>
        <v>0</v>
      </c>
      <c r="AW47" s="351">
        <f t="shared" si="41"/>
        <v>0</v>
      </c>
      <c r="AX47" s="351">
        <f t="shared" si="41"/>
        <v>0</v>
      </c>
      <c r="AY47" s="351">
        <f t="shared" si="41"/>
        <v>0</v>
      </c>
      <c r="AZ47" s="351">
        <f t="shared" si="41"/>
        <v>0</v>
      </c>
      <c r="BA47" s="351">
        <f t="shared" si="41"/>
        <v>0</v>
      </c>
      <c r="BB47" s="351">
        <f t="shared" si="41"/>
        <v>0</v>
      </c>
      <c r="BC47" s="351">
        <f t="shared" si="41"/>
        <v>0</v>
      </c>
      <c r="BD47" s="351">
        <f t="shared" si="41"/>
        <v>0</v>
      </c>
      <c r="BE47" s="351">
        <f t="shared" si="41"/>
        <v>0</v>
      </c>
      <c r="BF47" s="351">
        <f t="shared" si="41"/>
        <v>0</v>
      </c>
      <c r="BG47" s="351">
        <f t="shared" si="41"/>
        <v>0</v>
      </c>
    </row>
    <row r="48" ht="12.75" customHeight="1" outlineLevel="1">
      <c r="A48" s="67"/>
      <c r="B48" s="90"/>
      <c r="C48" s="90"/>
      <c r="D48" s="90"/>
      <c r="E48" s="90"/>
      <c r="F48" s="90"/>
      <c r="G48" s="90"/>
      <c r="H48" s="90"/>
      <c r="I48" s="90"/>
      <c r="J48" s="90"/>
      <c r="K48" s="90"/>
      <c r="L48" s="90"/>
      <c r="M48" s="90"/>
      <c r="N48" s="90"/>
      <c r="O48" s="90"/>
      <c r="P48" s="90"/>
      <c r="Q48" s="90"/>
      <c r="R48" s="90"/>
      <c r="AT48" s="313"/>
      <c r="AU48" s="313"/>
      <c r="AV48" s="313"/>
      <c r="AW48" s="313"/>
      <c r="AX48" s="313"/>
      <c r="AY48" s="313"/>
      <c r="AZ48" s="313"/>
      <c r="BA48" s="313"/>
      <c r="BB48" s="313"/>
      <c r="BC48" s="313"/>
      <c r="BD48" s="313"/>
      <c r="BE48" s="313"/>
      <c r="BF48" s="313"/>
      <c r="BG48" s="313"/>
    </row>
    <row r="49" ht="12.75" customHeight="1" outlineLevel="1">
      <c r="A49" s="67"/>
      <c r="B49" s="90" t="s">
        <v>637</v>
      </c>
      <c r="C49" s="90"/>
      <c r="D49" s="90"/>
      <c r="E49" s="90"/>
      <c r="F49" s="90"/>
      <c r="G49" s="102">
        <v>0.0</v>
      </c>
      <c r="H49" s="102">
        <v>0.0</v>
      </c>
      <c r="I49" s="102">
        <f>I47</f>
        <v>392</v>
      </c>
      <c r="J49" s="102">
        <f t="shared" ref="J49:R49" si="42">J47-I47</f>
        <v>72</v>
      </c>
      <c r="K49" s="102">
        <f t="shared" si="42"/>
        <v>36</v>
      </c>
      <c r="L49" s="102">
        <f t="shared" si="42"/>
        <v>0</v>
      </c>
      <c r="M49" s="102">
        <f t="shared" si="42"/>
        <v>0</v>
      </c>
      <c r="N49" s="102">
        <f t="shared" si="42"/>
        <v>0</v>
      </c>
      <c r="O49" s="102">
        <f t="shared" si="42"/>
        <v>0</v>
      </c>
      <c r="P49" s="102">
        <f t="shared" si="42"/>
        <v>0</v>
      </c>
      <c r="Q49" s="102">
        <f t="shared" si="42"/>
        <v>0</v>
      </c>
      <c r="R49" s="102">
        <f t="shared" si="42"/>
        <v>0</v>
      </c>
      <c r="AT49" s="306" t="str">
        <f t="shared" ref="AT49:BG49" si="43">AS49</f>
        <v/>
      </c>
      <c r="AU49" s="306" t="str">
        <f t="shared" si="43"/>
        <v/>
      </c>
      <c r="AV49" s="306" t="str">
        <f t="shared" si="43"/>
        <v/>
      </c>
      <c r="AW49" s="306" t="str">
        <f t="shared" si="43"/>
        <v/>
      </c>
      <c r="AX49" s="306" t="str">
        <f t="shared" si="43"/>
        <v/>
      </c>
      <c r="AY49" s="306" t="str">
        <f t="shared" si="43"/>
        <v/>
      </c>
      <c r="AZ49" s="306" t="str">
        <f t="shared" si="43"/>
        <v/>
      </c>
      <c r="BA49" s="306" t="str">
        <f t="shared" si="43"/>
        <v/>
      </c>
      <c r="BB49" s="306" t="str">
        <f t="shared" si="43"/>
        <v/>
      </c>
      <c r="BC49" s="306" t="str">
        <f t="shared" si="43"/>
        <v/>
      </c>
      <c r="BD49" s="306" t="str">
        <f t="shared" si="43"/>
        <v/>
      </c>
      <c r="BE49" s="306" t="str">
        <f t="shared" si="43"/>
        <v/>
      </c>
      <c r="BF49" s="306" t="str">
        <f t="shared" si="43"/>
        <v/>
      </c>
      <c r="BG49" s="306" t="str">
        <f t="shared" si="43"/>
        <v/>
      </c>
    </row>
    <row r="50" ht="12.75" customHeight="1" outlineLevel="1">
      <c r="A50" s="67"/>
      <c r="B50" s="90"/>
      <c r="C50" s="90"/>
      <c r="D50" s="90"/>
      <c r="E50" s="90"/>
      <c r="F50" s="90"/>
      <c r="G50" s="90"/>
      <c r="H50" s="90"/>
      <c r="I50" s="90"/>
      <c r="J50" s="90"/>
      <c r="K50" s="90"/>
      <c r="L50" s="90"/>
      <c r="M50" s="90"/>
      <c r="N50" s="90"/>
      <c r="O50" s="90"/>
      <c r="P50" s="90"/>
      <c r="Q50" s="90"/>
      <c r="R50" s="90"/>
      <c r="AT50" s="313"/>
      <c r="AU50" s="313"/>
      <c r="AV50" s="313"/>
      <c r="AW50" s="313"/>
      <c r="AX50" s="313"/>
      <c r="AY50" s="313"/>
      <c r="AZ50" s="313"/>
      <c r="BA50" s="313"/>
      <c r="BB50" s="313"/>
      <c r="BC50" s="313"/>
      <c r="BD50" s="313"/>
      <c r="BE50" s="313"/>
      <c r="BF50" s="313"/>
      <c r="BG50" s="313"/>
    </row>
    <row r="51" ht="12.75" customHeight="1" outlineLevel="1">
      <c r="A51" s="67"/>
      <c r="B51" s="90" t="s">
        <v>638</v>
      </c>
      <c r="C51" s="90"/>
      <c r="D51" s="90"/>
      <c r="E51" s="90"/>
      <c r="F51" s="90"/>
      <c r="G51" s="152" t="str">
        <f>'RS3'!J50</f>
        <v/>
      </c>
      <c r="H51" s="152">
        <f>'RS3'!K50</f>
        <v>0</v>
      </c>
      <c r="I51" s="152">
        <f>1-Assumptions!$H$35</f>
        <v>1</v>
      </c>
      <c r="J51" s="152">
        <f>1-Assumptions!$H$35</f>
        <v>1</v>
      </c>
      <c r="K51" s="152">
        <f>1-Assumptions!$H$35</f>
        <v>1</v>
      </c>
      <c r="L51" s="152">
        <f>1-Assumptions!$H$35</f>
        <v>1</v>
      </c>
      <c r="M51" s="152">
        <f>1-Assumptions!$H$35</f>
        <v>1</v>
      </c>
      <c r="N51" s="152">
        <f>1-Assumptions!$H$35</f>
        <v>1</v>
      </c>
      <c r="O51" s="152">
        <f>1-Assumptions!$H$35</f>
        <v>1</v>
      </c>
      <c r="P51" s="152">
        <f>1-Assumptions!$H$35</f>
        <v>1</v>
      </c>
      <c r="Q51" s="152">
        <f>1-Assumptions!$H$35</f>
        <v>1</v>
      </c>
      <c r="R51" s="152">
        <f>1-Assumptions!$H$35</f>
        <v>1</v>
      </c>
      <c r="AT51" s="352" t="str">
        <f t="shared" ref="AT51:BG51" si="44">AS51</f>
        <v/>
      </c>
      <c r="AU51" s="352" t="str">
        <f t="shared" si="44"/>
        <v/>
      </c>
      <c r="AV51" s="352" t="str">
        <f t="shared" si="44"/>
        <v/>
      </c>
      <c r="AW51" s="352" t="str">
        <f t="shared" si="44"/>
        <v/>
      </c>
      <c r="AX51" s="352" t="str">
        <f t="shared" si="44"/>
        <v/>
      </c>
      <c r="AY51" s="352" t="str">
        <f t="shared" si="44"/>
        <v/>
      </c>
      <c r="AZ51" s="352" t="str">
        <f t="shared" si="44"/>
        <v/>
      </c>
      <c r="BA51" s="352" t="str">
        <f t="shared" si="44"/>
        <v/>
      </c>
      <c r="BB51" s="352" t="str">
        <f t="shared" si="44"/>
        <v/>
      </c>
      <c r="BC51" s="352" t="str">
        <f t="shared" si="44"/>
        <v/>
      </c>
      <c r="BD51" s="352" t="str">
        <f t="shared" si="44"/>
        <v/>
      </c>
      <c r="BE51" s="352" t="str">
        <f t="shared" si="44"/>
        <v/>
      </c>
      <c r="BF51" s="352" t="str">
        <f t="shared" si="44"/>
        <v/>
      </c>
      <c r="BG51" s="352" t="str">
        <f t="shared" si="44"/>
        <v/>
      </c>
    </row>
    <row r="52" ht="12.75" customHeight="1" outlineLevel="1">
      <c r="A52" s="67"/>
      <c r="B52" s="90"/>
      <c r="C52" s="90"/>
      <c r="D52" s="90"/>
      <c r="E52" s="90"/>
      <c r="F52" s="90"/>
      <c r="G52" s="90"/>
      <c r="H52" s="90"/>
      <c r="I52" s="90"/>
      <c r="J52" s="90"/>
      <c r="K52" s="90"/>
      <c r="L52" s="90"/>
      <c r="M52" s="90"/>
      <c r="N52" s="90"/>
      <c r="O52" s="90"/>
      <c r="P52" s="90"/>
      <c r="Q52" s="90"/>
      <c r="R52" s="90"/>
      <c r="AT52" s="313"/>
      <c r="AU52" s="313"/>
      <c r="AV52" s="313"/>
      <c r="AW52" s="313"/>
      <c r="AX52" s="313"/>
      <c r="AY52" s="313"/>
      <c r="AZ52" s="313"/>
      <c r="BA52" s="313"/>
      <c r="BB52" s="313"/>
      <c r="BC52" s="313"/>
      <c r="BD52" s="313"/>
      <c r="BE52" s="313"/>
      <c r="BF52" s="313"/>
      <c r="BG52" s="313"/>
    </row>
    <row r="53" ht="12.75" customHeight="1" outlineLevel="1">
      <c r="A53" s="67"/>
      <c r="B53" s="90" t="s">
        <v>639</v>
      </c>
      <c r="C53" s="90"/>
      <c r="D53" s="90"/>
      <c r="E53" s="90"/>
      <c r="F53" s="90"/>
      <c r="G53" s="152" t="str">
        <f>'RS3'!J52</f>
        <v/>
      </c>
      <c r="H53" s="152">
        <f>'RS3'!K52</f>
        <v>0</v>
      </c>
      <c r="I53" s="152">
        <f>'RS3'!L52</f>
        <v>0.96</v>
      </c>
      <c r="J53" s="152">
        <f>'RS3'!M52</f>
        <v>0.96</v>
      </c>
      <c r="K53" s="152">
        <f>'RS3'!N52</f>
        <v>0.96</v>
      </c>
      <c r="L53" s="152">
        <f>'RS3'!O52</f>
        <v>0.96</v>
      </c>
      <c r="M53" s="152">
        <f>'RS3'!P52</f>
        <v>0.96</v>
      </c>
      <c r="N53" s="152">
        <f>'RS3'!Q52</f>
        <v>0.96</v>
      </c>
      <c r="O53" s="152">
        <f>'RS3'!R52</f>
        <v>0.96</v>
      </c>
      <c r="P53" s="152">
        <f>'RS3'!S52</f>
        <v>0.96</v>
      </c>
      <c r="Q53" s="152">
        <f>'RS3'!T52</f>
        <v>0.96</v>
      </c>
      <c r="R53" s="152">
        <f>'RS3'!U52</f>
        <v>0.96</v>
      </c>
      <c r="AT53" s="352" t="str">
        <f t="shared" ref="AT53:BG53" si="45">AS53</f>
        <v/>
      </c>
      <c r="AU53" s="352" t="str">
        <f t="shared" si="45"/>
        <v/>
      </c>
      <c r="AV53" s="352" t="str">
        <f t="shared" si="45"/>
        <v/>
      </c>
      <c r="AW53" s="352" t="str">
        <f t="shared" si="45"/>
        <v/>
      </c>
      <c r="AX53" s="352" t="str">
        <f t="shared" si="45"/>
        <v/>
      </c>
      <c r="AY53" s="352" t="str">
        <f t="shared" si="45"/>
        <v/>
      </c>
      <c r="AZ53" s="352" t="str">
        <f t="shared" si="45"/>
        <v/>
      </c>
      <c r="BA53" s="352" t="str">
        <f t="shared" si="45"/>
        <v/>
      </c>
      <c r="BB53" s="352" t="str">
        <f t="shared" si="45"/>
        <v/>
      </c>
      <c r="BC53" s="352" t="str">
        <f t="shared" si="45"/>
        <v/>
      </c>
      <c r="BD53" s="352" t="str">
        <f t="shared" si="45"/>
        <v/>
      </c>
      <c r="BE53" s="352" t="str">
        <f t="shared" si="45"/>
        <v/>
      </c>
      <c r="BF53" s="352" t="str">
        <f t="shared" si="45"/>
        <v/>
      </c>
      <c r="BG53" s="352" t="str">
        <f t="shared" si="45"/>
        <v/>
      </c>
    </row>
    <row r="54" ht="12.75" customHeight="1" outlineLevel="1">
      <c r="A54" s="67"/>
      <c r="B54" s="90"/>
      <c r="C54" s="90" t="s">
        <v>640</v>
      </c>
      <c r="D54" s="90"/>
      <c r="E54" s="90"/>
      <c r="F54" s="90"/>
      <c r="G54" s="102">
        <f t="shared" ref="G54:R54" si="46">G51*G53*SUM(G41:G44)</f>
        <v>0</v>
      </c>
      <c r="H54" s="102">
        <f t="shared" si="46"/>
        <v>0</v>
      </c>
      <c r="I54" s="102">
        <f t="shared" si="46"/>
        <v>376.32</v>
      </c>
      <c r="J54" s="102">
        <f t="shared" si="46"/>
        <v>376.32</v>
      </c>
      <c r="K54" s="102">
        <f t="shared" si="46"/>
        <v>350.4</v>
      </c>
      <c r="L54" s="102">
        <f t="shared" si="46"/>
        <v>350.4</v>
      </c>
      <c r="M54" s="102">
        <f t="shared" si="46"/>
        <v>350.4</v>
      </c>
      <c r="N54" s="102">
        <f t="shared" si="46"/>
        <v>350.4</v>
      </c>
      <c r="O54" s="102">
        <f t="shared" si="46"/>
        <v>350.4</v>
      </c>
      <c r="P54" s="102">
        <f t="shared" si="46"/>
        <v>350.4</v>
      </c>
      <c r="Q54" s="102">
        <f t="shared" si="46"/>
        <v>350.4</v>
      </c>
      <c r="R54" s="102">
        <f t="shared" si="46"/>
        <v>350.4</v>
      </c>
      <c r="AT54" s="306">
        <f t="shared" ref="AT54:BG54" si="47">AT51*AT53*SUM(AT41:AT44)</f>
        <v>0</v>
      </c>
      <c r="AU54" s="306">
        <f t="shared" si="47"/>
        <v>0</v>
      </c>
      <c r="AV54" s="306">
        <f t="shared" si="47"/>
        <v>0</v>
      </c>
      <c r="AW54" s="306">
        <f t="shared" si="47"/>
        <v>0</v>
      </c>
      <c r="AX54" s="306">
        <f t="shared" si="47"/>
        <v>0</v>
      </c>
      <c r="AY54" s="306">
        <f t="shared" si="47"/>
        <v>0</v>
      </c>
      <c r="AZ54" s="306">
        <f t="shared" si="47"/>
        <v>0</v>
      </c>
      <c r="BA54" s="306">
        <f t="shared" si="47"/>
        <v>0</v>
      </c>
      <c r="BB54" s="306">
        <f t="shared" si="47"/>
        <v>0</v>
      </c>
      <c r="BC54" s="306">
        <f t="shared" si="47"/>
        <v>0</v>
      </c>
      <c r="BD54" s="306">
        <f t="shared" si="47"/>
        <v>0</v>
      </c>
      <c r="BE54" s="306">
        <f t="shared" si="47"/>
        <v>0</v>
      </c>
      <c r="BF54" s="306">
        <f t="shared" si="47"/>
        <v>0</v>
      </c>
      <c r="BG54" s="306">
        <f t="shared" si="47"/>
        <v>0</v>
      </c>
    </row>
    <row r="55" ht="12.75" customHeight="1" outlineLevel="1">
      <c r="A55" s="67"/>
      <c r="B55" s="90"/>
      <c r="C55" s="90" t="s">
        <v>641</v>
      </c>
      <c r="D55" s="90"/>
      <c r="E55" s="90"/>
      <c r="F55" s="90"/>
      <c r="G55" s="102">
        <f t="shared" ref="G55:R55" si="48">G51*G53*(G45+G46)</f>
        <v>0</v>
      </c>
      <c r="H55" s="102">
        <f t="shared" si="48"/>
        <v>0</v>
      </c>
      <c r="I55" s="102">
        <f t="shared" si="48"/>
        <v>0</v>
      </c>
      <c r="J55" s="102">
        <f t="shared" si="48"/>
        <v>69.12</v>
      </c>
      <c r="K55" s="102">
        <f t="shared" si="48"/>
        <v>129.6</v>
      </c>
      <c r="L55" s="102">
        <f t="shared" si="48"/>
        <v>129.6</v>
      </c>
      <c r="M55" s="102">
        <f t="shared" si="48"/>
        <v>129.6</v>
      </c>
      <c r="N55" s="102">
        <f t="shared" si="48"/>
        <v>129.6</v>
      </c>
      <c r="O55" s="102">
        <f t="shared" si="48"/>
        <v>129.6</v>
      </c>
      <c r="P55" s="102">
        <f t="shared" si="48"/>
        <v>129.6</v>
      </c>
      <c r="Q55" s="102">
        <f t="shared" si="48"/>
        <v>129.6</v>
      </c>
      <c r="R55" s="102">
        <f t="shared" si="48"/>
        <v>129.6</v>
      </c>
      <c r="AT55" s="306">
        <f t="shared" ref="AT55:BG55" si="49">AT51*AT53*(AT45+AT46)</f>
        <v>0</v>
      </c>
      <c r="AU55" s="306">
        <f t="shared" si="49"/>
        <v>0</v>
      </c>
      <c r="AV55" s="306">
        <f t="shared" si="49"/>
        <v>0</v>
      </c>
      <c r="AW55" s="306">
        <f t="shared" si="49"/>
        <v>0</v>
      </c>
      <c r="AX55" s="306">
        <f t="shared" si="49"/>
        <v>0</v>
      </c>
      <c r="AY55" s="306">
        <f t="shared" si="49"/>
        <v>0</v>
      </c>
      <c r="AZ55" s="306">
        <f t="shared" si="49"/>
        <v>0</v>
      </c>
      <c r="BA55" s="306">
        <f t="shared" si="49"/>
        <v>0</v>
      </c>
      <c r="BB55" s="306">
        <f t="shared" si="49"/>
        <v>0</v>
      </c>
      <c r="BC55" s="306">
        <f t="shared" si="49"/>
        <v>0</v>
      </c>
      <c r="BD55" s="306">
        <f t="shared" si="49"/>
        <v>0</v>
      </c>
      <c r="BE55" s="306">
        <f t="shared" si="49"/>
        <v>0</v>
      </c>
      <c r="BF55" s="306">
        <f t="shared" si="49"/>
        <v>0</v>
      </c>
      <c r="BG55" s="306">
        <f t="shared" si="49"/>
        <v>0</v>
      </c>
    </row>
    <row r="56" ht="12.75" customHeight="1" outlineLevel="1">
      <c r="A56" s="67"/>
      <c r="B56" s="148" t="s">
        <v>538</v>
      </c>
      <c r="C56" s="148"/>
      <c r="D56" s="148"/>
      <c r="E56" s="148"/>
      <c r="F56" s="148"/>
      <c r="G56" s="285">
        <f t="shared" ref="G56:R56" si="50">G51*G53*G47</f>
        <v>0</v>
      </c>
      <c r="H56" s="285">
        <f t="shared" si="50"/>
        <v>0</v>
      </c>
      <c r="I56" s="285">
        <f t="shared" si="50"/>
        <v>376.32</v>
      </c>
      <c r="J56" s="285">
        <f t="shared" si="50"/>
        <v>445.44</v>
      </c>
      <c r="K56" s="285">
        <f t="shared" si="50"/>
        <v>480</v>
      </c>
      <c r="L56" s="285">
        <f t="shared" si="50"/>
        <v>480</v>
      </c>
      <c r="M56" s="285">
        <f t="shared" si="50"/>
        <v>480</v>
      </c>
      <c r="N56" s="285">
        <f t="shared" si="50"/>
        <v>480</v>
      </c>
      <c r="O56" s="285">
        <f t="shared" si="50"/>
        <v>480</v>
      </c>
      <c r="P56" s="285">
        <f t="shared" si="50"/>
        <v>480</v>
      </c>
      <c r="Q56" s="285">
        <f t="shared" si="50"/>
        <v>480</v>
      </c>
      <c r="R56" s="285">
        <f t="shared" si="50"/>
        <v>480</v>
      </c>
      <c r="AT56" s="351">
        <f t="shared" ref="AT56:BG56" si="51">AT51*AT53*AT47</f>
        <v>0</v>
      </c>
      <c r="AU56" s="351">
        <f t="shared" si="51"/>
        <v>0</v>
      </c>
      <c r="AV56" s="351">
        <f t="shared" si="51"/>
        <v>0</v>
      </c>
      <c r="AW56" s="351">
        <f t="shared" si="51"/>
        <v>0</v>
      </c>
      <c r="AX56" s="351">
        <f t="shared" si="51"/>
        <v>0</v>
      </c>
      <c r="AY56" s="351">
        <f t="shared" si="51"/>
        <v>0</v>
      </c>
      <c r="AZ56" s="351">
        <f t="shared" si="51"/>
        <v>0</v>
      </c>
      <c r="BA56" s="351">
        <f t="shared" si="51"/>
        <v>0</v>
      </c>
      <c r="BB56" s="351">
        <f t="shared" si="51"/>
        <v>0</v>
      </c>
      <c r="BC56" s="351">
        <f t="shared" si="51"/>
        <v>0</v>
      </c>
      <c r="BD56" s="351">
        <f t="shared" si="51"/>
        <v>0</v>
      </c>
      <c r="BE56" s="351">
        <f t="shared" si="51"/>
        <v>0</v>
      </c>
      <c r="BF56" s="351">
        <f t="shared" si="51"/>
        <v>0</v>
      </c>
      <c r="BG56" s="351">
        <f t="shared" si="51"/>
        <v>0</v>
      </c>
    </row>
    <row r="57" ht="12.75" customHeight="1" outlineLevel="1">
      <c r="A57" s="67"/>
      <c r="B57" s="195"/>
      <c r="C57" s="90"/>
      <c r="D57" s="90"/>
      <c r="E57" s="90"/>
      <c r="F57" s="90"/>
      <c r="G57" s="90"/>
      <c r="H57" s="90"/>
      <c r="I57" s="90"/>
      <c r="J57" s="90"/>
      <c r="K57" s="90"/>
      <c r="L57" s="90"/>
      <c r="M57" s="90"/>
      <c r="N57" s="90"/>
      <c r="O57" s="90"/>
      <c r="P57" s="90"/>
      <c r="Q57" s="90"/>
      <c r="R57" s="90"/>
      <c r="AT57" s="313"/>
      <c r="AU57" s="313"/>
      <c r="AV57" s="313"/>
      <c r="AW57" s="313"/>
      <c r="AX57" s="313"/>
      <c r="AY57" s="313"/>
      <c r="AZ57" s="313"/>
      <c r="BA57" s="313"/>
      <c r="BB57" s="313"/>
      <c r="BC57" s="313"/>
      <c r="BD57" s="313"/>
      <c r="BE57" s="313"/>
      <c r="BF57" s="313"/>
      <c r="BG57" s="313"/>
    </row>
    <row r="58" ht="12.75" customHeight="1" outlineLevel="1">
      <c r="A58" s="67"/>
      <c r="B58" s="90" t="s">
        <v>642</v>
      </c>
      <c r="C58" s="90"/>
      <c r="D58" s="90"/>
      <c r="E58" s="90"/>
      <c r="F58" s="90"/>
      <c r="G58" s="152" t="str">
        <f>'RSGen 1-7'!G58</f>
        <v/>
      </c>
      <c r="H58" s="152">
        <f>'RSGen 1-7'!H58</f>
        <v>0</v>
      </c>
      <c r="I58" s="152">
        <f>'RSGen 1-7'!I58</f>
        <v>0.7</v>
      </c>
      <c r="J58" s="152">
        <f>'RSGen 1-7'!J58</f>
        <v>0.7</v>
      </c>
      <c r="K58" s="152">
        <f>'RSGen 1-7'!K58</f>
        <v>0.7</v>
      </c>
      <c r="L58" s="152">
        <f>'RSGen 1-7'!L58</f>
        <v>0.7</v>
      </c>
      <c r="M58" s="152">
        <f>'RSGen 1-7'!M58</f>
        <v>0.7</v>
      </c>
      <c r="N58" s="152">
        <f>'RSGen 1-7'!N58</f>
        <v>0.7</v>
      </c>
      <c r="O58" s="152">
        <f>'RSGen 1-7'!O58</f>
        <v>0.7</v>
      </c>
      <c r="P58" s="152">
        <f>'RSGen 1-7'!P58</f>
        <v>0.7</v>
      </c>
      <c r="Q58" s="152">
        <f>'RSGen 1-7'!Q58</f>
        <v>0.7</v>
      </c>
      <c r="R58" s="152">
        <f>'RSGen 1-7'!R58</f>
        <v>0.7</v>
      </c>
      <c r="AT58" s="352" t="str">
        <f t="shared" ref="AT58:BG58" si="52">AS58</f>
        <v/>
      </c>
      <c r="AU58" s="352" t="str">
        <f t="shared" si="52"/>
        <v/>
      </c>
      <c r="AV58" s="352" t="str">
        <f t="shared" si="52"/>
        <v/>
      </c>
      <c r="AW58" s="352" t="str">
        <f t="shared" si="52"/>
        <v/>
      </c>
      <c r="AX58" s="352" t="str">
        <f t="shared" si="52"/>
        <v/>
      </c>
      <c r="AY58" s="352" t="str">
        <f t="shared" si="52"/>
        <v/>
      </c>
      <c r="AZ58" s="352" t="str">
        <f t="shared" si="52"/>
        <v/>
      </c>
      <c r="BA58" s="352" t="str">
        <f t="shared" si="52"/>
        <v/>
      </c>
      <c r="BB58" s="352" t="str">
        <f t="shared" si="52"/>
        <v/>
      </c>
      <c r="BC58" s="352" t="str">
        <f t="shared" si="52"/>
        <v/>
      </c>
      <c r="BD58" s="352" t="str">
        <f t="shared" si="52"/>
        <v/>
      </c>
      <c r="BE58" s="352" t="str">
        <f t="shared" si="52"/>
        <v/>
      </c>
      <c r="BF58" s="352" t="str">
        <f t="shared" si="52"/>
        <v/>
      </c>
      <c r="BG58" s="352" t="str">
        <f t="shared" si="52"/>
        <v/>
      </c>
    </row>
    <row r="59" ht="12.75" customHeight="1" outlineLevel="1">
      <c r="A59" s="67"/>
      <c r="B59" s="90" t="s">
        <v>643</v>
      </c>
      <c r="C59" s="90"/>
      <c r="D59" s="90"/>
      <c r="E59" s="90"/>
      <c r="F59" s="90"/>
      <c r="G59" s="102">
        <f>'RSGen 1-7'!G59</f>
        <v>0</v>
      </c>
      <c r="H59" s="102">
        <f>'RSGen 1-7'!H59</f>
        <v>0</v>
      </c>
      <c r="I59" s="102">
        <f>'RSGen 1-7'!I59</f>
        <v>274</v>
      </c>
      <c r="J59" s="102">
        <f>'RSGen 1-7'!J59</f>
        <v>325</v>
      </c>
      <c r="K59" s="102">
        <f>'RSGen 1-7'!K59</f>
        <v>350</v>
      </c>
      <c r="L59" s="102">
        <f>'RSGen 1-7'!L59</f>
        <v>350</v>
      </c>
      <c r="M59" s="102">
        <f>'RSGen 1-7'!M59</f>
        <v>350</v>
      </c>
      <c r="N59" s="102">
        <f>'RSGen 1-7'!N59</f>
        <v>350</v>
      </c>
      <c r="O59" s="102">
        <f>'RSGen 1-7'!O59</f>
        <v>350</v>
      </c>
      <c r="P59" s="102">
        <f>'RSGen 1-7'!P59</f>
        <v>350</v>
      </c>
      <c r="Q59" s="102">
        <f>'RSGen 1-7'!Q59</f>
        <v>350</v>
      </c>
      <c r="R59" s="102">
        <f>'RSGen 1-7'!R59</f>
        <v>350</v>
      </c>
      <c r="AT59" s="306">
        <f t="shared" ref="AT59:BG59" si="53">ROUND(AT51*AT58*AT47,0)</f>
        <v>0</v>
      </c>
      <c r="AU59" s="306">
        <f t="shared" si="53"/>
        <v>0</v>
      </c>
      <c r="AV59" s="306">
        <f t="shared" si="53"/>
        <v>0</v>
      </c>
      <c r="AW59" s="306">
        <f t="shared" si="53"/>
        <v>0</v>
      </c>
      <c r="AX59" s="306">
        <f t="shared" si="53"/>
        <v>0</v>
      </c>
      <c r="AY59" s="306">
        <f t="shared" si="53"/>
        <v>0</v>
      </c>
      <c r="AZ59" s="306">
        <f t="shared" si="53"/>
        <v>0</v>
      </c>
      <c r="BA59" s="306">
        <f t="shared" si="53"/>
        <v>0</v>
      </c>
      <c r="BB59" s="306">
        <f t="shared" si="53"/>
        <v>0</v>
      </c>
      <c r="BC59" s="306">
        <f t="shared" si="53"/>
        <v>0</v>
      </c>
      <c r="BD59" s="306">
        <f t="shared" si="53"/>
        <v>0</v>
      </c>
      <c r="BE59" s="306">
        <f t="shared" si="53"/>
        <v>0</v>
      </c>
      <c r="BF59" s="306">
        <f t="shared" si="53"/>
        <v>0</v>
      </c>
      <c r="BG59" s="306">
        <f t="shared" si="53"/>
        <v>0</v>
      </c>
    </row>
    <row r="60" ht="12.75" customHeight="1" outlineLevel="1">
      <c r="A60" s="67"/>
      <c r="B60" s="90" t="s">
        <v>644</v>
      </c>
      <c r="C60" s="90"/>
      <c r="D60" s="90"/>
      <c r="E60" s="90"/>
      <c r="F60" s="90"/>
      <c r="G60" s="152">
        <f>'RSGen 1-7'!G60</f>
        <v>0</v>
      </c>
      <c r="H60" s="152">
        <f>'RSGen 1-7'!H60</f>
        <v>0</v>
      </c>
      <c r="I60" s="152">
        <f>'RSGen 1-7'!I60</f>
        <v>0.06</v>
      </c>
      <c r="J60" s="152">
        <f>'RSGen 1-7'!J60</f>
        <v>0.06</v>
      </c>
      <c r="K60" s="152">
        <f>'RSGen 1-7'!K60</f>
        <v>0.06</v>
      </c>
      <c r="L60" s="152">
        <f>'RSGen 1-7'!L60</f>
        <v>0.06</v>
      </c>
      <c r="M60" s="152">
        <f>'RSGen 1-7'!M60</f>
        <v>0.06</v>
      </c>
      <c r="N60" s="152">
        <f>'RSGen 1-7'!N60</f>
        <v>0.06</v>
      </c>
      <c r="O60" s="152">
        <f>'RSGen 1-7'!O60</f>
        <v>0.06</v>
      </c>
      <c r="P60" s="152">
        <f>'RSGen 1-7'!P60</f>
        <v>0.06</v>
      </c>
      <c r="Q60" s="152">
        <f>'RSGen 1-7'!Q60</f>
        <v>0.06</v>
      </c>
      <c r="R60" s="152">
        <f>'RSGen 1-7'!R60</f>
        <v>0.06</v>
      </c>
      <c r="AT60" s="352" t="str">
        <f t="shared" ref="AT60:BG60" si="54">AS60</f>
        <v/>
      </c>
      <c r="AU60" s="352" t="str">
        <f t="shared" si="54"/>
        <v/>
      </c>
      <c r="AV60" s="352" t="str">
        <f t="shared" si="54"/>
        <v/>
      </c>
      <c r="AW60" s="352" t="str">
        <f t="shared" si="54"/>
        <v/>
      </c>
      <c r="AX60" s="352" t="str">
        <f t="shared" si="54"/>
        <v/>
      </c>
      <c r="AY60" s="352" t="str">
        <f t="shared" si="54"/>
        <v/>
      </c>
      <c r="AZ60" s="352" t="str">
        <f t="shared" si="54"/>
        <v/>
      </c>
      <c r="BA60" s="352" t="str">
        <f t="shared" si="54"/>
        <v/>
      </c>
      <c r="BB60" s="352" t="str">
        <f t="shared" si="54"/>
        <v/>
      </c>
      <c r="BC60" s="352" t="str">
        <f t="shared" si="54"/>
        <v/>
      </c>
      <c r="BD60" s="352" t="str">
        <f t="shared" si="54"/>
        <v/>
      </c>
      <c r="BE60" s="352" t="str">
        <f t="shared" si="54"/>
        <v/>
      </c>
      <c r="BF60" s="352" t="str">
        <f t="shared" si="54"/>
        <v/>
      </c>
      <c r="BG60" s="352" t="str">
        <f t="shared" si="54"/>
        <v/>
      </c>
    </row>
    <row r="61" ht="12.75" customHeight="1" outlineLevel="1">
      <c r="A61" s="67"/>
      <c r="B61" s="90" t="s">
        <v>645</v>
      </c>
      <c r="C61" s="90"/>
      <c r="D61" s="90"/>
      <c r="E61" s="90"/>
      <c r="F61" s="90"/>
      <c r="G61" s="152">
        <f>'RSGen 1-7'!G61</f>
        <v>0</v>
      </c>
      <c r="H61" s="152">
        <f>'RSGen 1-7'!H61</f>
        <v>0</v>
      </c>
      <c r="I61" s="152">
        <f>'RSGen 1-7'!I61</f>
        <v>0.8</v>
      </c>
      <c r="J61" s="152">
        <f>'RSGen 1-7'!J61</f>
        <v>0.8</v>
      </c>
      <c r="K61" s="152">
        <f>'RSGen 1-7'!K61</f>
        <v>0.8</v>
      </c>
      <c r="L61" s="152">
        <f>'RSGen 1-7'!L61</f>
        <v>0.8</v>
      </c>
      <c r="M61" s="152">
        <f>'RSGen 1-7'!M61</f>
        <v>0.8</v>
      </c>
      <c r="N61" s="152">
        <f>'RSGen 1-7'!N61</f>
        <v>0.8</v>
      </c>
      <c r="O61" s="152">
        <f>'RSGen 1-7'!O61</f>
        <v>0.8</v>
      </c>
      <c r="P61" s="152">
        <f>'RSGen 1-7'!P61</f>
        <v>0.8</v>
      </c>
      <c r="Q61" s="152">
        <f>'RSGen 1-7'!Q61</f>
        <v>0.8</v>
      </c>
      <c r="R61" s="152">
        <f>'RSGen 1-7'!R61</f>
        <v>0.8</v>
      </c>
      <c r="AT61" s="352" t="str">
        <f t="shared" ref="AT61:BG61" si="55">AS61</f>
        <v/>
      </c>
      <c r="AU61" s="352" t="str">
        <f t="shared" si="55"/>
        <v/>
      </c>
      <c r="AV61" s="352" t="str">
        <f t="shared" si="55"/>
        <v/>
      </c>
      <c r="AW61" s="352" t="str">
        <f t="shared" si="55"/>
        <v/>
      </c>
      <c r="AX61" s="352" t="str">
        <f t="shared" si="55"/>
        <v/>
      </c>
      <c r="AY61" s="352" t="str">
        <f t="shared" si="55"/>
        <v/>
      </c>
      <c r="AZ61" s="352" t="str">
        <f t="shared" si="55"/>
        <v/>
      </c>
      <c r="BA61" s="352" t="str">
        <f t="shared" si="55"/>
        <v/>
      </c>
      <c r="BB61" s="352" t="str">
        <f t="shared" si="55"/>
        <v/>
      </c>
      <c r="BC61" s="352" t="str">
        <f t="shared" si="55"/>
        <v/>
      </c>
      <c r="BD61" s="352" t="str">
        <f t="shared" si="55"/>
        <v/>
      </c>
      <c r="BE61" s="352" t="str">
        <f t="shared" si="55"/>
        <v/>
      </c>
      <c r="BF61" s="352" t="str">
        <f t="shared" si="55"/>
        <v/>
      </c>
      <c r="BG61" s="352" t="str">
        <f t="shared" si="55"/>
        <v/>
      </c>
    </row>
    <row r="62" ht="12.75" customHeight="1" outlineLevel="1">
      <c r="A62" s="67"/>
      <c r="B62" s="90" t="s">
        <v>646</v>
      </c>
      <c r="C62" s="90"/>
      <c r="D62" s="90"/>
      <c r="E62" s="90"/>
      <c r="F62" s="90"/>
      <c r="G62" s="102">
        <f>'RSGen 1-7'!G62</f>
        <v>0</v>
      </c>
      <c r="H62" s="102">
        <f>'RSGen 1-7'!H62</f>
        <v>0</v>
      </c>
      <c r="I62" s="102">
        <f>'RSGen 1-7'!I62</f>
        <v>16.44</v>
      </c>
      <c r="J62" s="102">
        <f>'RSGen 1-7'!J62</f>
        <v>19.5</v>
      </c>
      <c r="K62" s="102">
        <f>'RSGen 1-7'!K62</f>
        <v>21</v>
      </c>
      <c r="L62" s="102">
        <f>'RSGen 1-7'!L62</f>
        <v>21</v>
      </c>
      <c r="M62" s="102">
        <f>'RSGen 1-7'!M62</f>
        <v>21</v>
      </c>
      <c r="N62" s="102">
        <f>'RSGen 1-7'!N62</f>
        <v>21</v>
      </c>
      <c r="O62" s="102">
        <f>'RSGen 1-7'!O62</f>
        <v>21</v>
      </c>
      <c r="P62" s="102">
        <f>'RSGen 1-7'!P62</f>
        <v>21</v>
      </c>
      <c r="Q62" s="102">
        <f>'RSGen 1-7'!Q62</f>
        <v>21</v>
      </c>
      <c r="R62" s="102">
        <f>'RSGen 1-7'!R62</f>
        <v>21</v>
      </c>
      <c r="AT62" s="306">
        <f t="shared" ref="AT62:BG62" si="56">AT59*AT60</f>
        <v>0</v>
      </c>
      <c r="AU62" s="306">
        <f t="shared" si="56"/>
        <v>0</v>
      </c>
      <c r="AV62" s="306">
        <f t="shared" si="56"/>
        <v>0</v>
      </c>
      <c r="AW62" s="306">
        <f t="shared" si="56"/>
        <v>0</v>
      </c>
      <c r="AX62" s="306">
        <f t="shared" si="56"/>
        <v>0</v>
      </c>
      <c r="AY62" s="306">
        <f t="shared" si="56"/>
        <v>0</v>
      </c>
      <c r="AZ62" s="306">
        <f t="shared" si="56"/>
        <v>0</v>
      </c>
      <c r="BA62" s="306">
        <f t="shared" si="56"/>
        <v>0</v>
      </c>
      <c r="BB62" s="306">
        <f t="shared" si="56"/>
        <v>0</v>
      </c>
      <c r="BC62" s="306">
        <f t="shared" si="56"/>
        <v>0</v>
      </c>
      <c r="BD62" s="306">
        <f t="shared" si="56"/>
        <v>0</v>
      </c>
      <c r="BE62" s="306">
        <f t="shared" si="56"/>
        <v>0</v>
      </c>
      <c r="BF62" s="306">
        <f t="shared" si="56"/>
        <v>0</v>
      </c>
      <c r="BG62" s="306">
        <f t="shared" si="56"/>
        <v>0</v>
      </c>
    </row>
    <row r="63" ht="12.75" customHeight="1" outlineLevel="1">
      <c r="A63" s="90"/>
      <c r="B63" s="90" t="s">
        <v>647</v>
      </c>
      <c r="C63" s="90"/>
      <c r="D63" s="90"/>
      <c r="E63" s="90"/>
      <c r="F63" s="90"/>
      <c r="G63" s="102">
        <f>'RSGen 1-7'!G63</f>
        <v>0</v>
      </c>
      <c r="H63" s="102">
        <f>'RSGen 1-7'!H63</f>
        <v>0</v>
      </c>
      <c r="I63" s="102">
        <f>'RSGen 1-7'!I63</f>
        <v>15.7824</v>
      </c>
      <c r="J63" s="102">
        <f>'RSGen 1-7'!J63</f>
        <v>18.72</v>
      </c>
      <c r="K63" s="102">
        <f>'RSGen 1-7'!K63</f>
        <v>20.16</v>
      </c>
      <c r="L63" s="102">
        <f>'RSGen 1-7'!L63</f>
        <v>20.16</v>
      </c>
      <c r="M63" s="102">
        <f>'RSGen 1-7'!M63</f>
        <v>20.16</v>
      </c>
      <c r="N63" s="102">
        <f>'RSGen 1-7'!N63</f>
        <v>20.16</v>
      </c>
      <c r="O63" s="102">
        <f>'RSGen 1-7'!O63</f>
        <v>20.16</v>
      </c>
      <c r="P63" s="102">
        <f>'RSGen 1-7'!P63</f>
        <v>20.16</v>
      </c>
      <c r="Q63" s="102">
        <f>'RSGen 1-7'!Q63</f>
        <v>20.16</v>
      </c>
      <c r="R63" s="102">
        <f>'RSGen 1-7'!R63</f>
        <v>20.16</v>
      </c>
      <c r="AT63" s="306">
        <f t="shared" ref="AT63:BG63" si="57">AT62*AT53</f>
        <v>0</v>
      </c>
      <c r="AU63" s="306">
        <f t="shared" si="57"/>
        <v>0</v>
      </c>
      <c r="AV63" s="306">
        <f t="shared" si="57"/>
        <v>0</v>
      </c>
      <c r="AW63" s="306">
        <f t="shared" si="57"/>
        <v>0</v>
      </c>
      <c r="AX63" s="306">
        <f t="shared" si="57"/>
        <v>0</v>
      </c>
      <c r="AY63" s="306">
        <f t="shared" si="57"/>
        <v>0</v>
      </c>
      <c r="AZ63" s="306">
        <f t="shared" si="57"/>
        <v>0</v>
      </c>
      <c r="BA63" s="306">
        <f t="shared" si="57"/>
        <v>0</v>
      </c>
      <c r="BB63" s="306">
        <f t="shared" si="57"/>
        <v>0</v>
      </c>
      <c r="BC63" s="306">
        <f t="shared" si="57"/>
        <v>0</v>
      </c>
      <c r="BD63" s="306">
        <f t="shared" si="57"/>
        <v>0</v>
      </c>
      <c r="BE63" s="306">
        <f t="shared" si="57"/>
        <v>0</v>
      </c>
      <c r="BF63" s="306">
        <f t="shared" si="57"/>
        <v>0</v>
      </c>
      <c r="BG63" s="306">
        <f t="shared" si="57"/>
        <v>0</v>
      </c>
    </row>
    <row r="64" ht="12.75" customHeight="1" outlineLevel="1">
      <c r="A64" s="67"/>
      <c r="B64" s="90" t="s">
        <v>648</v>
      </c>
      <c r="C64" s="90"/>
      <c r="D64" s="90"/>
      <c r="E64" s="90"/>
      <c r="F64" s="90"/>
      <c r="G64" s="102">
        <f>'RSGen 1-7'!G64</f>
        <v>0</v>
      </c>
      <c r="H64" s="102">
        <f>'RSGen 1-7'!H64</f>
        <v>0</v>
      </c>
      <c r="I64" s="102">
        <f>'RSGen 1-7'!I64</f>
        <v>263.04</v>
      </c>
      <c r="J64" s="102">
        <f>'RSGen 1-7'!J64</f>
        <v>312</v>
      </c>
      <c r="K64" s="102">
        <f>'RSGen 1-7'!K64</f>
        <v>336</v>
      </c>
      <c r="L64" s="102">
        <f>'RSGen 1-7'!L64</f>
        <v>336</v>
      </c>
      <c r="M64" s="102">
        <f>'RSGen 1-7'!M64</f>
        <v>336</v>
      </c>
      <c r="N64" s="102">
        <f>'RSGen 1-7'!N64</f>
        <v>336</v>
      </c>
      <c r="O64" s="102">
        <f>'RSGen 1-7'!O64</f>
        <v>336</v>
      </c>
      <c r="P64" s="102">
        <f>'RSGen 1-7'!P64</f>
        <v>336</v>
      </c>
      <c r="Q64" s="102">
        <f>'RSGen 1-7'!Q64</f>
        <v>336</v>
      </c>
      <c r="R64" s="102">
        <f>'RSGen 1-7'!R64</f>
        <v>336</v>
      </c>
      <c r="AT64" s="306">
        <f t="shared" ref="AT64:BG64" si="58">AT59*AT53</f>
        <v>0</v>
      </c>
      <c r="AU64" s="306">
        <f t="shared" si="58"/>
        <v>0</v>
      </c>
      <c r="AV64" s="306">
        <f t="shared" si="58"/>
        <v>0</v>
      </c>
      <c r="AW64" s="306">
        <f t="shared" si="58"/>
        <v>0</v>
      </c>
      <c r="AX64" s="306">
        <f t="shared" si="58"/>
        <v>0</v>
      </c>
      <c r="AY64" s="306">
        <f t="shared" si="58"/>
        <v>0</v>
      </c>
      <c r="AZ64" s="306">
        <f t="shared" si="58"/>
        <v>0</v>
      </c>
      <c r="BA64" s="306">
        <f t="shared" si="58"/>
        <v>0</v>
      </c>
      <c r="BB64" s="306">
        <f t="shared" si="58"/>
        <v>0</v>
      </c>
      <c r="BC64" s="306">
        <f t="shared" si="58"/>
        <v>0</v>
      </c>
      <c r="BD64" s="306">
        <f t="shared" si="58"/>
        <v>0</v>
      </c>
      <c r="BE64" s="306">
        <f t="shared" si="58"/>
        <v>0</v>
      </c>
      <c r="BF64" s="306">
        <f t="shared" si="58"/>
        <v>0</v>
      </c>
      <c r="BG64" s="306">
        <f t="shared" si="58"/>
        <v>0</v>
      </c>
    </row>
    <row r="65" ht="12.75" customHeight="1" outlineLevel="1">
      <c r="A65" s="67"/>
      <c r="B65" s="90" t="s">
        <v>649</v>
      </c>
      <c r="C65" s="90"/>
      <c r="D65" s="90"/>
      <c r="E65" s="90"/>
      <c r="F65" s="90"/>
      <c r="G65" s="102">
        <f>'RSGen 1-7'!G65</f>
        <v>0</v>
      </c>
      <c r="H65" s="102">
        <f>'RSGen 1-7'!H65</f>
        <v>0</v>
      </c>
      <c r="I65" s="102">
        <f>'RSGen 1-7'!I65</f>
        <v>219.2</v>
      </c>
      <c r="J65" s="102">
        <f>'RSGen 1-7'!J65</f>
        <v>260</v>
      </c>
      <c r="K65" s="102">
        <f>'RSGen 1-7'!K65</f>
        <v>280</v>
      </c>
      <c r="L65" s="102">
        <f>'RSGen 1-7'!L65</f>
        <v>280</v>
      </c>
      <c r="M65" s="102">
        <f>'RSGen 1-7'!M65</f>
        <v>280</v>
      </c>
      <c r="N65" s="102">
        <f>'RSGen 1-7'!N65</f>
        <v>280</v>
      </c>
      <c r="O65" s="102">
        <f>'RSGen 1-7'!O65</f>
        <v>280</v>
      </c>
      <c r="P65" s="102">
        <f>'RSGen 1-7'!P65</f>
        <v>280</v>
      </c>
      <c r="Q65" s="102">
        <f>'RSGen 1-7'!Q65</f>
        <v>280</v>
      </c>
      <c r="R65" s="102">
        <f>'RSGen 1-7'!R65</f>
        <v>280</v>
      </c>
      <c r="AT65" s="306">
        <f t="shared" ref="AT65:BG65" si="59">AT59*AT61</f>
        <v>0</v>
      </c>
      <c r="AU65" s="306">
        <f t="shared" si="59"/>
        <v>0</v>
      </c>
      <c r="AV65" s="306">
        <f t="shared" si="59"/>
        <v>0</v>
      </c>
      <c r="AW65" s="306">
        <f t="shared" si="59"/>
        <v>0</v>
      </c>
      <c r="AX65" s="306">
        <f t="shared" si="59"/>
        <v>0</v>
      </c>
      <c r="AY65" s="306">
        <f t="shared" si="59"/>
        <v>0</v>
      </c>
      <c r="AZ65" s="306">
        <f t="shared" si="59"/>
        <v>0</v>
      </c>
      <c r="BA65" s="306">
        <f t="shared" si="59"/>
        <v>0</v>
      </c>
      <c r="BB65" s="306">
        <f t="shared" si="59"/>
        <v>0</v>
      </c>
      <c r="BC65" s="306">
        <f t="shared" si="59"/>
        <v>0</v>
      </c>
      <c r="BD65" s="306">
        <f t="shared" si="59"/>
        <v>0</v>
      </c>
      <c r="BE65" s="306">
        <f t="shared" si="59"/>
        <v>0</v>
      </c>
      <c r="BF65" s="306">
        <f t="shared" si="59"/>
        <v>0</v>
      </c>
      <c r="BG65" s="306">
        <f t="shared" si="59"/>
        <v>0</v>
      </c>
    </row>
    <row r="66" ht="12.75" customHeight="1" outlineLevel="1">
      <c r="A66" s="90"/>
      <c r="B66" s="90" t="s">
        <v>650</v>
      </c>
      <c r="C66" s="90"/>
      <c r="D66" s="90"/>
      <c r="E66" s="90"/>
      <c r="F66" s="90"/>
      <c r="G66" s="102">
        <f>'RSGen 1-7'!G66</f>
        <v>0</v>
      </c>
      <c r="H66" s="102">
        <f>'RSGen 1-7'!H66</f>
        <v>0</v>
      </c>
      <c r="I66" s="102">
        <f>'RSGen 1-7'!I66</f>
        <v>210.432</v>
      </c>
      <c r="J66" s="102">
        <f>'RSGen 1-7'!J66</f>
        <v>249.6</v>
      </c>
      <c r="K66" s="102">
        <f>'RSGen 1-7'!K66</f>
        <v>268.8</v>
      </c>
      <c r="L66" s="102">
        <f>'RSGen 1-7'!L66</f>
        <v>268.8</v>
      </c>
      <c r="M66" s="102">
        <f>'RSGen 1-7'!M66</f>
        <v>268.8</v>
      </c>
      <c r="N66" s="102">
        <f>'RSGen 1-7'!N66</f>
        <v>268.8</v>
      </c>
      <c r="O66" s="102">
        <f>'RSGen 1-7'!O66</f>
        <v>268.8</v>
      </c>
      <c r="P66" s="102">
        <f>'RSGen 1-7'!P66</f>
        <v>268.8</v>
      </c>
      <c r="Q66" s="102">
        <f>'RSGen 1-7'!Q66</f>
        <v>268.8</v>
      </c>
      <c r="R66" s="102">
        <f>'RSGen 1-7'!R66</f>
        <v>268.8</v>
      </c>
      <c r="AT66" s="306">
        <f t="shared" ref="AT66:BG66" si="60">AT53*AT65</f>
        <v>0</v>
      </c>
      <c r="AU66" s="306">
        <f t="shared" si="60"/>
        <v>0</v>
      </c>
      <c r="AV66" s="306">
        <f t="shared" si="60"/>
        <v>0</v>
      </c>
      <c r="AW66" s="306">
        <f t="shared" si="60"/>
        <v>0</v>
      </c>
      <c r="AX66" s="306">
        <f t="shared" si="60"/>
        <v>0</v>
      </c>
      <c r="AY66" s="306">
        <f t="shared" si="60"/>
        <v>0</v>
      </c>
      <c r="AZ66" s="306">
        <f t="shared" si="60"/>
        <v>0</v>
      </c>
      <c r="BA66" s="306">
        <f t="shared" si="60"/>
        <v>0</v>
      </c>
      <c r="BB66" s="306">
        <f t="shared" si="60"/>
        <v>0</v>
      </c>
      <c r="BC66" s="306">
        <f t="shared" si="60"/>
        <v>0</v>
      </c>
      <c r="BD66" s="306">
        <f t="shared" si="60"/>
        <v>0</v>
      </c>
      <c r="BE66" s="306">
        <f t="shared" si="60"/>
        <v>0</v>
      </c>
      <c r="BF66" s="306">
        <f t="shared" si="60"/>
        <v>0</v>
      </c>
      <c r="BG66" s="306">
        <f t="shared" si="60"/>
        <v>0</v>
      </c>
    </row>
    <row r="67" ht="12.75" customHeight="1" outlineLevel="1">
      <c r="A67" s="67"/>
      <c r="B67" s="90" t="s">
        <v>651</v>
      </c>
      <c r="C67" s="90"/>
      <c r="D67" s="90"/>
      <c r="E67" s="90"/>
      <c r="F67" s="90"/>
      <c r="G67" s="102">
        <f>'RSGen 1-7'!G67</f>
        <v>0</v>
      </c>
      <c r="H67" s="102">
        <f>'RSGen 1-7'!H67</f>
        <v>0</v>
      </c>
      <c r="I67" s="102">
        <f>'RSGen 1-7'!I67</f>
        <v>263.04</v>
      </c>
      <c r="J67" s="102">
        <f>'RSGen 1-7'!J67</f>
        <v>312</v>
      </c>
      <c r="K67" s="102">
        <f>'RSGen 1-7'!K67</f>
        <v>336</v>
      </c>
      <c r="L67" s="102">
        <f>'RSGen 1-7'!L67</f>
        <v>336</v>
      </c>
      <c r="M67" s="102">
        <f>'RSGen 1-7'!M67</f>
        <v>336</v>
      </c>
      <c r="N67" s="102">
        <f>'RSGen 1-7'!N67</f>
        <v>336</v>
      </c>
      <c r="O67" s="102">
        <f>'RSGen 1-7'!O67</f>
        <v>336</v>
      </c>
      <c r="P67" s="102">
        <f>'RSGen 1-7'!P67</f>
        <v>336</v>
      </c>
      <c r="Q67" s="102">
        <f>'RSGen 1-7'!Q67</f>
        <v>336</v>
      </c>
      <c r="R67" s="102">
        <f>'RSGen 1-7'!R67</f>
        <v>336</v>
      </c>
      <c r="AT67" s="306">
        <f t="shared" ref="AT67:BG67" si="61">AT53*AT59</f>
        <v>0</v>
      </c>
      <c r="AU67" s="306">
        <f t="shared" si="61"/>
        <v>0</v>
      </c>
      <c r="AV67" s="306">
        <f t="shared" si="61"/>
        <v>0</v>
      </c>
      <c r="AW67" s="306">
        <f t="shared" si="61"/>
        <v>0</v>
      </c>
      <c r="AX67" s="306">
        <f t="shared" si="61"/>
        <v>0</v>
      </c>
      <c r="AY67" s="306">
        <f t="shared" si="61"/>
        <v>0</v>
      </c>
      <c r="AZ67" s="306">
        <f t="shared" si="61"/>
        <v>0</v>
      </c>
      <c r="BA67" s="306">
        <f t="shared" si="61"/>
        <v>0</v>
      </c>
      <c r="BB67" s="306">
        <f t="shared" si="61"/>
        <v>0</v>
      </c>
      <c r="BC67" s="306">
        <f t="shared" si="61"/>
        <v>0</v>
      </c>
      <c r="BD67" s="306">
        <f t="shared" si="61"/>
        <v>0</v>
      </c>
      <c r="BE67" s="306">
        <f t="shared" si="61"/>
        <v>0</v>
      </c>
      <c r="BF67" s="306">
        <f t="shared" si="61"/>
        <v>0</v>
      </c>
      <c r="BG67" s="306">
        <f t="shared" si="61"/>
        <v>0</v>
      </c>
    </row>
    <row r="68" ht="12.75" customHeight="1" outlineLevel="1">
      <c r="A68" s="67"/>
      <c r="B68" s="90"/>
      <c r="C68" s="90"/>
      <c r="D68" s="90"/>
      <c r="E68" s="90"/>
      <c r="F68" s="90"/>
      <c r="G68" s="353"/>
      <c r="H68" s="353"/>
      <c r="I68" s="353"/>
      <c r="J68" s="353"/>
      <c r="K68" s="353"/>
      <c r="L68" s="353"/>
      <c r="M68" s="353"/>
      <c r="N68" s="353"/>
      <c r="O68" s="353"/>
      <c r="P68" s="353"/>
      <c r="Q68" s="353"/>
      <c r="R68" s="353"/>
      <c r="AT68" s="354"/>
      <c r="AU68" s="354"/>
      <c r="AV68" s="354"/>
      <c r="AW68" s="354"/>
      <c r="AX68" s="354"/>
      <c r="AY68" s="354"/>
      <c r="AZ68" s="354"/>
      <c r="BA68" s="354"/>
      <c r="BB68" s="354"/>
      <c r="BC68" s="354"/>
      <c r="BD68" s="354"/>
      <c r="BE68" s="354"/>
      <c r="BF68" s="354"/>
      <c r="BG68" s="354"/>
    </row>
    <row r="69" ht="12.75" customHeight="1" outlineLevel="1">
      <c r="A69" s="67"/>
      <c r="B69" s="90" t="s">
        <v>652</v>
      </c>
      <c r="C69" s="90"/>
      <c r="D69" s="90"/>
      <c r="E69" s="90"/>
      <c r="F69" s="90"/>
      <c r="G69" s="152" t="str">
        <f>'RSGen 1-7'!G69</f>
        <v/>
      </c>
      <c r="H69" s="152">
        <f>'RSGen 1-7'!H69</f>
        <v>0</v>
      </c>
      <c r="I69" s="152">
        <f>'RSGen 1-7'!I69</f>
        <v>0.5</v>
      </c>
      <c r="J69" s="152">
        <f>'RSGen 1-7'!J69</f>
        <v>0.5</v>
      </c>
      <c r="K69" s="152">
        <f>'RSGen 1-7'!K69</f>
        <v>0.5</v>
      </c>
      <c r="L69" s="152">
        <f>'RSGen 1-7'!L69</f>
        <v>0.5</v>
      </c>
      <c r="M69" s="152">
        <f>'RSGen 1-7'!M69</f>
        <v>0.5</v>
      </c>
      <c r="N69" s="152">
        <f>'RSGen 1-7'!N69</f>
        <v>0.5</v>
      </c>
      <c r="O69" s="152">
        <f>'RSGen 1-7'!O69</f>
        <v>0.5</v>
      </c>
      <c r="P69" s="152">
        <f>'RSGen 1-7'!P69</f>
        <v>0.5</v>
      </c>
      <c r="Q69" s="152">
        <f>'RSGen 1-7'!Q69</f>
        <v>0.5</v>
      </c>
      <c r="R69" s="152">
        <f>'RSGen 1-7'!R69</f>
        <v>0.5</v>
      </c>
      <c r="AT69" s="352" t="str">
        <f t="shared" ref="AT69:BG69" si="62">AS69</f>
        <v/>
      </c>
      <c r="AU69" s="352" t="str">
        <f t="shared" si="62"/>
        <v/>
      </c>
      <c r="AV69" s="352" t="str">
        <f t="shared" si="62"/>
        <v/>
      </c>
      <c r="AW69" s="352" t="str">
        <f t="shared" si="62"/>
        <v/>
      </c>
      <c r="AX69" s="352" t="str">
        <f t="shared" si="62"/>
        <v/>
      </c>
      <c r="AY69" s="352" t="str">
        <f t="shared" si="62"/>
        <v/>
      </c>
      <c r="AZ69" s="352" t="str">
        <f t="shared" si="62"/>
        <v/>
      </c>
      <c r="BA69" s="352" t="str">
        <f t="shared" si="62"/>
        <v/>
      </c>
      <c r="BB69" s="352" t="str">
        <f t="shared" si="62"/>
        <v/>
      </c>
      <c r="BC69" s="352" t="str">
        <f t="shared" si="62"/>
        <v/>
      </c>
      <c r="BD69" s="352" t="str">
        <f t="shared" si="62"/>
        <v/>
      </c>
      <c r="BE69" s="352" t="str">
        <f t="shared" si="62"/>
        <v/>
      </c>
      <c r="BF69" s="352" t="str">
        <f t="shared" si="62"/>
        <v/>
      </c>
      <c r="BG69" s="352" t="str">
        <f t="shared" si="62"/>
        <v/>
      </c>
    </row>
    <row r="70" ht="12.75" customHeight="1" outlineLevel="1">
      <c r="A70" s="67"/>
      <c r="B70" s="90" t="s">
        <v>653</v>
      </c>
      <c r="C70" s="90"/>
      <c r="D70" s="90"/>
      <c r="E70" s="90"/>
      <c r="F70" s="90"/>
      <c r="G70" s="102">
        <f>'RSGen 1-7'!G70</f>
        <v>0</v>
      </c>
      <c r="H70" s="102">
        <f>'RSGen 1-7'!H70</f>
        <v>0</v>
      </c>
      <c r="I70" s="102">
        <f>'RSGen 1-7'!I70</f>
        <v>196</v>
      </c>
      <c r="J70" s="102">
        <f>'RSGen 1-7'!J70</f>
        <v>232</v>
      </c>
      <c r="K70" s="102">
        <f>'RSGen 1-7'!K70</f>
        <v>250</v>
      </c>
      <c r="L70" s="102">
        <f>'RSGen 1-7'!L70</f>
        <v>250</v>
      </c>
      <c r="M70" s="102">
        <f>'RSGen 1-7'!M70</f>
        <v>250</v>
      </c>
      <c r="N70" s="102">
        <f>'RSGen 1-7'!N70</f>
        <v>250</v>
      </c>
      <c r="O70" s="102">
        <f>'RSGen 1-7'!O70</f>
        <v>250</v>
      </c>
      <c r="P70" s="102">
        <f>'RSGen 1-7'!P70</f>
        <v>250</v>
      </c>
      <c r="Q70" s="102">
        <f>'RSGen 1-7'!Q70</f>
        <v>250</v>
      </c>
      <c r="R70" s="102">
        <f>'RSGen 1-7'!R70</f>
        <v>250</v>
      </c>
      <c r="AT70" s="306">
        <f t="shared" ref="AT70:BG70" si="63">ROUND(AT51*AT69*AT47,0)</f>
        <v>0</v>
      </c>
      <c r="AU70" s="306">
        <f t="shared" si="63"/>
        <v>0</v>
      </c>
      <c r="AV70" s="306">
        <f t="shared" si="63"/>
        <v>0</v>
      </c>
      <c r="AW70" s="306">
        <f t="shared" si="63"/>
        <v>0</v>
      </c>
      <c r="AX70" s="306">
        <f t="shared" si="63"/>
        <v>0</v>
      </c>
      <c r="AY70" s="306">
        <f t="shared" si="63"/>
        <v>0</v>
      </c>
      <c r="AZ70" s="306">
        <f t="shared" si="63"/>
        <v>0</v>
      </c>
      <c r="BA70" s="306">
        <f t="shared" si="63"/>
        <v>0</v>
      </c>
      <c r="BB70" s="306">
        <f t="shared" si="63"/>
        <v>0</v>
      </c>
      <c r="BC70" s="306">
        <f t="shared" si="63"/>
        <v>0</v>
      </c>
      <c r="BD70" s="306">
        <f t="shared" si="63"/>
        <v>0</v>
      </c>
      <c r="BE70" s="306">
        <f t="shared" si="63"/>
        <v>0</v>
      </c>
      <c r="BF70" s="306">
        <f t="shared" si="63"/>
        <v>0</v>
      </c>
      <c r="BG70" s="306">
        <f t="shared" si="63"/>
        <v>0</v>
      </c>
    </row>
    <row r="71" ht="12.75" customHeight="1" outlineLevel="1">
      <c r="A71" s="67"/>
      <c r="B71" s="90" t="s">
        <v>654</v>
      </c>
      <c r="C71" s="90"/>
      <c r="D71" s="90"/>
      <c r="E71" s="90"/>
      <c r="F71" s="90"/>
      <c r="G71" s="102">
        <f>'RSGen 1-7'!G71</f>
        <v>0</v>
      </c>
      <c r="H71" s="102">
        <f>'RSGen 1-7'!H71</f>
        <v>0</v>
      </c>
      <c r="I71" s="102">
        <f>'RSGen 1-7'!I71</f>
        <v>188.16</v>
      </c>
      <c r="J71" s="102">
        <f>'RSGen 1-7'!J71</f>
        <v>222.72</v>
      </c>
      <c r="K71" s="102">
        <f>'RSGen 1-7'!K71</f>
        <v>240</v>
      </c>
      <c r="L71" s="102">
        <f>'RSGen 1-7'!L71</f>
        <v>240</v>
      </c>
      <c r="M71" s="102">
        <f>'RSGen 1-7'!M71</f>
        <v>240</v>
      </c>
      <c r="N71" s="102">
        <f>'RSGen 1-7'!N71</f>
        <v>240</v>
      </c>
      <c r="O71" s="102">
        <f>'RSGen 1-7'!O71</f>
        <v>240</v>
      </c>
      <c r="P71" s="102">
        <f>'RSGen 1-7'!P71</f>
        <v>240</v>
      </c>
      <c r="Q71" s="102">
        <f>'RSGen 1-7'!Q71</f>
        <v>240</v>
      </c>
      <c r="R71" s="102">
        <f>'RSGen 1-7'!R71</f>
        <v>240</v>
      </c>
      <c r="AT71" s="306">
        <f t="shared" ref="AT71:BG71" si="64">AT70*AT53</f>
        <v>0</v>
      </c>
      <c r="AU71" s="306">
        <f t="shared" si="64"/>
        <v>0</v>
      </c>
      <c r="AV71" s="306">
        <f t="shared" si="64"/>
        <v>0</v>
      </c>
      <c r="AW71" s="306">
        <f t="shared" si="64"/>
        <v>0</v>
      </c>
      <c r="AX71" s="306">
        <f t="shared" si="64"/>
        <v>0</v>
      </c>
      <c r="AY71" s="306">
        <f t="shared" si="64"/>
        <v>0</v>
      </c>
      <c r="AZ71" s="306">
        <f t="shared" si="64"/>
        <v>0</v>
      </c>
      <c r="BA71" s="306">
        <f t="shared" si="64"/>
        <v>0</v>
      </c>
      <c r="BB71" s="306">
        <f t="shared" si="64"/>
        <v>0</v>
      </c>
      <c r="BC71" s="306">
        <f t="shared" si="64"/>
        <v>0</v>
      </c>
      <c r="BD71" s="306">
        <f t="shared" si="64"/>
        <v>0</v>
      </c>
      <c r="BE71" s="306">
        <f t="shared" si="64"/>
        <v>0</v>
      </c>
      <c r="BF71" s="306">
        <f t="shared" si="64"/>
        <v>0</v>
      </c>
      <c r="BG71" s="306">
        <f t="shared" si="64"/>
        <v>0</v>
      </c>
    </row>
    <row r="72" ht="12.75" customHeight="1" outlineLevel="1">
      <c r="A72" s="67"/>
      <c r="B72" s="90"/>
      <c r="C72" s="90"/>
      <c r="D72" s="90"/>
      <c r="E72" s="90"/>
      <c r="F72" s="90"/>
      <c r="G72" s="90"/>
      <c r="H72" s="90"/>
      <c r="I72" s="90"/>
      <c r="J72" s="90"/>
      <c r="K72" s="90"/>
      <c r="L72" s="90"/>
      <c r="M72" s="90"/>
      <c r="N72" s="90"/>
      <c r="O72" s="90"/>
      <c r="P72" s="90"/>
      <c r="Q72" s="90"/>
      <c r="R72" s="90"/>
      <c r="AT72" s="313"/>
      <c r="AU72" s="313"/>
      <c r="AV72" s="313"/>
      <c r="AW72" s="313"/>
      <c r="AX72" s="313"/>
      <c r="AY72" s="313"/>
      <c r="AZ72" s="313"/>
      <c r="BA72" s="313"/>
      <c r="BB72" s="313"/>
      <c r="BC72" s="313"/>
      <c r="BD72" s="313"/>
      <c r="BE72" s="313"/>
      <c r="BF72" s="313"/>
      <c r="BG72" s="313"/>
    </row>
    <row r="73" ht="12.75" customHeight="1" outlineLevel="1">
      <c r="A73" s="67"/>
      <c r="B73" s="90" t="s">
        <v>655</v>
      </c>
      <c r="C73" s="90"/>
      <c r="D73" s="90"/>
      <c r="E73" s="90"/>
      <c r="F73" s="90"/>
      <c r="G73" s="152" t="str">
        <f>'RSGen 1-7'!G73</f>
        <v/>
      </c>
      <c r="H73" s="152">
        <f>'RSGen 1-7'!H73</f>
        <v>0</v>
      </c>
      <c r="I73" s="152">
        <f>'RSGen 1-7'!I73</f>
        <v>0.7</v>
      </c>
      <c r="J73" s="152">
        <f>'RSGen 1-7'!J73</f>
        <v>0.665</v>
      </c>
      <c r="K73" s="152">
        <f>'RSGen 1-7'!K73</f>
        <v>0.63175</v>
      </c>
      <c r="L73" s="152">
        <f>'RSGen 1-7'!L73</f>
        <v>0.6001625</v>
      </c>
      <c r="M73" s="152">
        <f>'RSGen 1-7'!M73</f>
        <v>0.570154375</v>
      </c>
      <c r="N73" s="152">
        <f>'RSGen 1-7'!N73</f>
        <v>0.5416466563</v>
      </c>
      <c r="O73" s="152">
        <f>'RSGen 1-7'!O73</f>
        <v>0.5145643234</v>
      </c>
      <c r="P73" s="152">
        <f>'RSGen 1-7'!P73</f>
        <v>0.5</v>
      </c>
      <c r="Q73" s="152">
        <f>'RSGen 1-7'!Q73</f>
        <v>0.5</v>
      </c>
      <c r="R73" s="152">
        <f>'RSGen 1-7'!R73</f>
        <v>0.5</v>
      </c>
      <c r="AT73" s="352" t="str">
        <f t="shared" ref="AT73:BG73" si="65">AS73</f>
        <v/>
      </c>
      <c r="AU73" s="352" t="str">
        <f t="shared" si="65"/>
        <v/>
      </c>
      <c r="AV73" s="352" t="str">
        <f t="shared" si="65"/>
        <v/>
      </c>
      <c r="AW73" s="352" t="str">
        <f t="shared" si="65"/>
        <v/>
      </c>
      <c r="AX73" s="352" t="str">
        <f t="shared" si="65"/>
        <v/>
      </c>
      <c r="AY73" s="352" t="str">
        <f t="shared" si="65"/>
        <v/>
      </c>
      <c r="AZ73" s="352" t="str">
        <f t="shared" si="65"/>
        <v/>
      </c>
      <c r="BA73" s="352" t="str">
        <f t="shared" si="65"/>
        <v/>
      </c>
      <c r="BB73" s="352" t="str">
        <f t="shared" si="65"/>
        <v/>
      </c>
      <c r="BC73" s="352" t="str">
        <f t="shared" si="65"/>
        <v/>
      </c>
      <c r="BD73" s="352" t="str">
        <f t="shared" si="65"/>
        <v/>
      </c>
      <c r="BE73" s="352" t="str">
        <f t="shared" si="65"/>
        <v/>
      </c>
      <c r="BF73" s="352" t="str">
        <f t="shared" si="65"/>
        <v/>
      </c>
      <c r="BG73" s="352" t="str">
        <f t="shared" si="65"/>
        <v/>
      </c>
    </row>
    <row r="74" ht="12.75" customHeight="1" outlineLevel="1">
      <c r="A74" s="67"/>
      <c r="B74" s="90" t="s">
        <v>656</v>
      </c>
      <c r="C74" s="90"/>
      <c r="D74" s="90"/>
      <c r="E74" s="90"/>
      <c r="F74" s="90"/>
      <c r="G74" s="102">
        <f>'RSGen 1-7'!G74</f>
        <v>0</v>
      </c>
      <c r="H74" s="102">
        <f>'RSGen 1-7'!H74</f>
        <v>0</v>
      </c>
      <c r="I74" s="102">
        <f>'RSGen 1-7'!I74</f>
        <v>274</v>
      </c>
      <c r="J74" s="102">
        <f>'RSGen 1-7'!J74</f>
        <v>309</v>
      </c>
      <c r="K74" s="102">
        <f>'RSGen 1-7'!K74</f>
        <v>316</v>
      </c>
      <c r="L74" s="102">
        <f>'RSGen 1-7'!L74</f>
        <v>300</v>
      </c>
      <c r="M74" s="102">
        <f>'RSGen 1-7'!M74</f>
        <v>285</v>
      </c>
      <c r="N74" s="102">
        <f>'RSGen 1-7'!N74</f>
        <v>271</v>
      </c>
      <c r="O74" s="102">
        <f>'RSGen 1-7'!O74</f>
        <v>257</v>
      </c>
      <c r="P74" s="102">
        <f>'RSGen 1-7'!P74</f>
        <v>250</v>
      </c>
      <c r="Q74" s="102">
        <f>'RSGen 1-7'!Q74</f>
        <v>250</v>
      </c>
      <c r="R74" s="102">
        <f>'RSGen 1-7'!R74</f>
        <v>250</v>
      </c>
      <c r="AT74" s="306">
        <f t="shared" ref="AT74:BG74" si="66">ROUND(AT51*AT73*AT$47,0)</f>
        <v>0</v>
      </c>
      <c r="AU74" s="306">
        <f t="shared" si="66"/>
        <v>0</v>
      </c>
      <c r="AV74" s="306">
        <f t="shared" si="66"/>
        <v>0</v>
      </c>
      <c r="AW74" s="306">
        <f t="shared" si="66"/>
        <v>0</v>
      </c>
      <c r="AX74" s="306">
        <f t="shared" si="66"/>
        <v>0</v>
      </c>
      <c r="AY74" s="306">
        <f t="shared" si="66"/>
        <v>0</v>
      </c>
      <c r="AZ74" s="306">
        <f t="shared" si="66"/>
        <v>0</v>
      </c>
      <c r="BA74" s="306">
        <f t="shared" si="66"/>
        <v>0</v>
      </c>
      <c r="BB74" s="306">
        <f t="shared" si="66"/>
        <v>0</v>
      </c>
      <c r="BC74" s="306">
        <f t="shared" si="66"/>
        <v>0</v>
      </c>
      <c r="BD74" s="306">
        <f t="shared" si="66"/>
        <v>0</v>
      </c>
      <c r="BE74" s="306">
        <f t="shared" si="66"/>
        <v>0</v>
      </c>
      <c r="BF74" s="306">
        <f t="shared" si="66"/>
        <v>0</v>
      </c>
      <c r="BG74" s="306">
        <f t="shared" si="66"/>
        <v>0</v>
      </c>
    </row>
    <row r="75" ht="12.75" customHeight="1" outlineLevel="1">
      <c r="A75" s="67"/>
      <c r="B75" s="90" t="s">
        <v>657</v>
      </c>
      <c r="C75" s="90"/>
      <c r="D75" s="90"/>
      <c r="E75" s="90"/>
      <c r="F75" s="90"/>
      <c r="G75" s="102">
        <f>'RSGen 1-7'!G75</f>
        <v>0</v>
      </c>
      <c r="H75" s="102">
        <f>'RSGen 1-7'!H75</f>
        <v>0</v>
      </c>
      <c r="I75" s="102">
        <f>'RSGen 1-7'!I75</f>
        <v>263.04</v>
      </c>
      <c r="J75" s="102">
        <f>'RSGen 1-7'!J75</f>
        <v>296.64</v>
      </c>
      <c r="K75" s="102">
        <f>'RSGen 1-7'!K75</f>
        <v>303.36</v>
      </c>
      <c r="L75" s="102">
        <f>'RSGen 1-7'!L75</f>
        <v>288</v>
      </c>
      <c r="M75" s="102">
        <f>'RSGen 1-7'!M75</f>
        <v>273.6</v>
      </c>
      <c r="N75" s="102">
        <f>'RSGen 1-7'!N75</f>
        <v>260.16</v>
      </c>
      <c r="O75" s="102">
        <f>'RSGen 1-7'!O75</f>
        <v>246.72</v>
      </c>
      <c r="P75" s="102">
        <f>'RSGen 1-7'!P75</f>
        <v>240</v>
      </c>
      <c r="Q75" s="102">
        <f>'RSGen 1-7'!Q75</f>
        <v>240</v>
      </c>
      <c r="R75" s="102">
        <f>'RSGen 1-7'!R75</f>
        <v>240</v>
      </c>
      <c r="AT75" s="306">
        <f t="shared" ref="AT75:BG75" si="67">AT74*AT$53</f>
        <v>0</v>
      </c>
      <c r="AU75" s="306">
        <f t="shared" si="67"/>
        <v>0</v>
      </c>
      <c r="AV75" s="306">
        <f t="shared" si="67"/>
        <v>0</v>
      </c>
      <c r="AW75" s="306">
        <f t="shared" si="67"/>
        <v>0</v>
      </c>
      <c r="AX75" s="306">
        <f t="shared" si="67"/>
        <v>0</v>
      </c>
      <c r="AY75" s="306">
        <f t="shared" si="67"/>
        <v>0</v>
      </c>
      <c r="AZ75" s="306">
        <f t="shared" si="67"/>
        <v>0</v>
      </c>
      <c r="BA75" s="306">
        <f t="shared" si="67"/>
        <v>0</v>
      </c>
      <c r="BB75" s="306">
        <f t="shared" si="67"/>
        <v>0</v>
      </c>
      <c r="BC75" s="306">
        <f t="shared" si="67"/>
        <v>0</v>
      </c>
      <c r="BD75" s="306">
        <f t="shared" si="67"/>
        <v>0</v>
      </c>
      <c r="BE75" s="306">
        <f t="shared" si="67"/>
        <v>0</v>
      </c>
      <c r="BF75" s="306">
        <f t="shared" si="67"/>
        <v>0</v>
      </c>
      <c r="BG75" s="306">
        <f t="shared" si="67"/>
        <v>0</v>
      </c>
    </row>
    <row r="76" ht="12.75" customHeight="1" outlineLevel="1">
      <c r="A76" s="67"/>
      <c r="B76" s="90"/>
      <c r="C76" s="90"/>
      <c r="D76" s="90"/>
      <c r="E76" s="90"/>
      <c r="F76" s="90"/>
      <c r="G76" s="90"/>
      <c r="H76" s="90"/>
      <c r="I76" s="90"/>
      <c r="J76" s="90"/>
      <c r="K76" s="90"/>
      <c r="L76" s="90"/>
      <c r="M76" s="90"/>
      <c r="N76" s="90"/>
      <c r="O76" s="90"/>
      <c r="P76" s="90"/>
      <c r="Q76" s="90"/>
      <c r="R76" s="90"/>
      <c r="AT76" s="313"/>
      <c r="AU76" s="313"/>
      <c r="AV76" s="313"/>
      <c r="AW76" s="313"/>
      <c r="AX76" s="313"/>
      <c r="AY76" s="313"/>
      <c r="AZ76" s="313"/>
      <c r="BA76" s="313"/>
      <c r="BB76" s="313"/>
      <c r="BC76" s="313"/>
      <c r="BD76" s="313"/>
      <c r="BE76" s="313"/>
      <c r="BF76" s="313"/>
      <c r="BG76" s="313"/>
    </row>
    <row r="77" ht="12.75" customHeight="1" outlineLevel="1">
      <c r="A77" s="67"/>
      <c r="B77" s="90" t="s">
        <v>658</v>
      </c>
      <c r="C77" s="90"/>
      <c r="D77" s="90"/>
      <c r="E77" s="90"/>
      <c r="F77" s="90"/>
      <c r="G77" s="102">
        <f t="shared" ref="G77:H77" si="68">ROUND(G70+E74+IF(G70+E74-E47/2&gt;0,0.5*(G70+E74-E47/2),0),0)</f>
        <v>0</v>
      </c>
      <c r="H77" s="102">
        <f t="shared" si="68"/>
        <v>0</v>
      </c>
      <c r="I77" s="102">
        <f>ROUND(I70+I74+IF(I70+I74-I47/2&gt;0,0.5*(I70+I74-I47/2),0),0)</f>
        <v>607</v>
      </c>
      <c r="J77" s="102">
        <f t="shared" ref="J77:R77" si="69">ROUND(I70+I74+IF(I70+I74-I47/2&gt;0,0.5*(I70+I74-I47/2),0),0)</f>
        <v>607</v>
      </c>
      <c r="K77" s="102">
        <f t="shared" si="69"/>
        <v>696</v>
      </c>
      <c r="L77" s="102">
        <f t="shared" si="69"/>
        <v>724</v>
      </c>
      <c r="M77" s="102">
        <f t="shared" si="69"/>
        <v>700</v>
      </c>
      <c r="N77" s="102">
        <f t="shared" si="69"/>
        <v>678</v>
      </c>
      <c r="O77" s="102">
        <f t="shared" si="69"/>
        <v>657</v>
      </c>
      <c r="P77" s="102">
        <f t="shared" si="69"/>
        <v>636</v>
      </c>
      <c r="Q77" s="102">
        <f t="shared" si="69"/>
        <v>625</v>
      </c>
      <c r="R77" s="102">
        <f t="shared" si="69"/>
        <v>625</v>
      </c>
      <c r="AT77" s="306">
        <f t="shared" ref="AT77:BG77" si="70">ROUND(AS70+AS74+IF(AS70+AS74-AS47/2&gt;0,0.5*(AS70+AS74-AS47/2),0),0)</f>
        <v>0</v>
      </c>
      <c r="AU77" s="306">
        <f t="shared" si="70"/>
        <v>0</v>
      </c>
      <c r="AV77" s="306">
        <f t="shared" si="70"/>
        <v>0</v>
      </c>
      <c r="AW77" s="306">
        <f t="shared" si="70"/>
        <v>0</v>
      </c>
      <c r="AX77" s="306">
        <f t="shared" si="70"/>
        <v>0</v>
      </c>
      <c r="AY77" s="306">
        <f t="shared" si="70"/>
        <v>0</v>
      </c>
      <c r="AZ77" s="306">
        <f t="shared" si="70"/>
        <v>0</v>
      </c>
      <c r="BA77" s="306">
        <f t="shared" si="70"/>
        <v>0</v>
      </c>
      <c r="BB77" s="306">
        <f t="shared" si="70"/>
        <v>0</v>
      </c>
      <c r="BC77" s="306">
        <f t="shared" si="70"/>
        <v>0</v>
      </c>
      <c r="BD77" s="306">
        <f t="shared" si="70"/>
        <v>0</v>
      </c>
      <c r="BE77" s="306">
        <f t="shared" si="70"/>
        <v>0</v>
      </c>
      <c r="BF77" s="306">
        <f t="shared" si="70"/>
        <v>0</v>
      </c>
      <c r="BG77" s="306">
        <f t="shared" si="70"/>
        <v>0</v>
      </c>
    </row>
    <row r="78" ht="12.75" customHeight="1" outlineLevel="1">
      <c r="A78" s="67"/>
      <c r="B78" s="90"/>
      <c r="C78" s="90"/>
      <c r="D78" s="90"/>
      <c r="E78" s="90"/>
      <c r="F78" s="90"/>
      <c r="G78" s="90"/>
      <c r="H78" s="90"/>
      <c r="I78" s="90"/>
      <c r="J78" s="90"/>
      <c r="K78" s="90"/>
      <c r="L78" s="90"/>
      <c r="M78" s="90"/>
      <c r="N78" s="90"/>
      <c r="O78" s="90"/>
      <c r="P78" s="90"/>
      <c r="Q78" s="90"/>
      <c r="R78" s="90"/>
      <c r="AT78" s="313"/>
      <c r="AU78" s="313"/>
      <c r="AV78" s="313"/>
      <c r="AW78" s="313"/>
      <c r="AX78" s="313"/>
      <c r="AY78" s="313"/>
      <c r="AZ78" s="313"/>
      <c r="BA78" s="313"/>
      <c r="BB78" s="313"/>
      <c r="BC78" s="313"/>
      <c r="BD78" s="313"/>
      <c r="BE78" s="313"/>
      <c r="BF78" s="313"/>
      <c r="BG78" s="313"/>
    </row>
    <row r="79" ht="12.75" customHeight="1" outlineLevel="1">
      <c r="A79" s="67"/>
      <c r="B79" s="90" t="s">
        <v>659</v>
      </c>
      <c r="C79" s="90"/>
      <c r="D79" s="90"/>
      <c r="E79" s="90"/>
      <c r="F79" s="90"/>
      <c r="G79" s="152" t="str">
        <f>'RS3'!J78</f>
        <v/>
      </c>
      <c r="H79" s="152">
        <f>'RS3'!K78</f>
        <v>0</v>
      </c>
      <c r="I79" s="152">
        <f>'RS3'!L78</f>
        <v>0.08</v>
      </c>
      <c r="J79" s="152">
        <f>'RS3'!M78</f>
        <v>0.08</v>
      </c>
      <c r="K79" s="152">
        <f>'RS3'!N78</f>
        <v>0.08</v>
      </c>
      <c r="L79" s="152">
        <f>'RS3'!O78</f>
        <v>0.08</v>
      </c>
      <c r="M79" s="152">
        <f>'RS3'!P78</f>
        <v>0.08</v>
      </c>
      <c r="N79" s="152">
        <f>'RS3'!Q78</f>
        <v>0.08</v>
      </c>
      <c r="O79" s="152">
        <f>'RS3'!R78</f>
        <v>0.08</v>
      </c>
      <c r="P79" s="152">
        <f>'RS3'!S78</f>
        <v>0.08</v>
      </c>
      <c r="Q79" s="152">
        <f>'RS3'!T78</f>
        <v>0.08</v>
      </c>
      <c r="R79" s="152">
        <f>'RS3'!U78</f>
        <v>0.08</v>
      </c>
      <c r="AT79" s="352" t="str">
        <f t="shared" ref="AT79:BG79" si="71">AS79</f>
        <v/>
      </c>
      <c r="AU79" s="352" t="str">
        <f t="shared" si="71"/>
        <v/>
      </c>
      <c r="AV79" s="352" t="str">
        <f t="shared" si="71"/>
        <v/>
      </c>
      <c r="AW79" s="352" t="str">
        <f t="shared" si="71"/>
        <v/>
      </c>
      <c r="AX79" s="352" t="str">
        <f t="shared" si="71"/>
        <v/>
      </c>
      <c r="AY79" s="352" t="str">
        <f t="shared" si="71"/>
        <v/>
      </c>
      <c r="AZ79" s="352" t="str">
        <f t="shared" si="71"/>
        <v/>
      </c>
      <c r="BA79" s="352" t="str">
        <f t="shared" si="71"/>
        <v/>
      </c>
      <c r="BB79" s="352" t="str">
        <f t="shared" si="71"/>
        <v/>
      </c>
      <c r="BC79" s="352" t="str">
        <f t="shared" si="71"/>
        <v/>
      </c>
      <c r="BD79" s="352" t="str">
        <f t="shared" si="71"/>
        <v/>
      </c>
      <c r="BE79" s="352" t="str">
        <f t="shared" si="71"/>
        <v/>
      </c>
      <c r="BF79" s="352" t="str">
        <f t="shared" si="71"/>
        <v/>
      </c>
      <c r="BG79" s="352" t="str">
        <f t="shared" si="71"/>
        <v/>
      </c>
    </row>
    <row r="80" ht="12.75" customHeight="1" outlineLevel="1">
      <c r="A80" s="67"/>
      <c r="B80" s="90" t="s">
        <v>660</v>
      </c>
      <c r="C80" s="90"/>
      <c r="D80" s="90"/>
      <c r="E80" s="90"/>
      <c r="F80" s="90"/>
      <c r="G80" s="102">
        <f t="shared" ref="G80:R80" si="72">ROUND(G51*G79*G$47,0)</f>
        <v>0</v>
      </c>
      <c r="H80" s="102">
        <f t="shared" si="72"/>
        <v>0</v>
      </c>
      <c r="I80" s="102">
        <f t="shared" si="72"/>
        <v>31</v>
      </c>
      <c r="J80" s="102">
        <f t="shared" si="72"/>
        <v>37</v>
      </c>
      <c r="K80" s="102">
        <f t="shared" si="72"/>
        <v>40</v>
      </c>
      <c r="L80" s="102">
        <f t="shared" si="72"/>
        <v>40</v>
      </c>
      <c r="M80" s="102">
        <f t="shared" si="72"/>
        <v>40</v>
      </c>
      <c r="N80" s="102">
        <f t="shared" si="72"/>
        <v>40</v>
      </c>
      <c r="O80" s="102">
        <f t="shared" si="72"/>
        <v>40</v>
      </c>
      <c r="P80" s="102">
        <f t="shared" si="72"/>
        <v>40</v>
      </c>
      <c r="Q80" s="102">
        <f t="shared" si="72"/>
        <v>40</v>
      </c>
      <c r="R80" s="102">
        <f t="shared" si="72"/>
        <v>40</v>
      </c>
      <c r="AT80" s="306">
        <f t="shared" ref="AT80:BG80" si="73">ROUND(AT51*AT79*AT$47,0)</f>
        <v>0</v>
      </c>
      <c r="AU80" s="306">
        <f t="shared" si="73"/>
        <v>0</v>
      </c>
      <c r="AV80" s="306">
        <f t="shared" si="73"/>
        <v>0</v>
      </c>
      <c r="AW80" s="306">
        <f t="shared" si="73"/>
        <v>0</v>
      </c>
      <c r="AX80" s="306">
        <f t="shared" si="73"/>
        <v>0</v>
      </c>
      <c r="AY80" s="306">
        <f t="shared" si="73"/>
        <v>0</v>
      </c>
      <c r="AZ80" s="306">
        <f t="shared" si="73"/>
        <v>0</v>
      </c>
      <c r="BA80" s="306">
        <f t="shared" si="73"/>
        <v>0</v>
      </c>
      <c r="BB80" s="306">
        <f t="shared" si="73"/>
        <v>0</v>
      </c>
      <c r="BC80" s="306">
        <f t="shared" si="73"/>
        <v>0</v>
      </c>
      <c r="BD80" s="306">
        <f t="shared" si="73"/>
        <v>0</v>
      </c>
      <c r="BE80" s="306">
        <f t="shared" si="73"/>
        <v>0</v>
      </c>
      <c r="BF80" s="306">
        <f t="shared" si="73"/>
        <v>0</v>
      </c>
      <c r="BG80" s="306">
        <f t="shared" si="73"/>
        <v>0</v>
      </c>
    </row>
    <row r="81" ht="12.75" customHeight="1" outlineLevel="1">
      <c r="A81" s="67"/>
      <c r="B81" s="90" t="s">
        <v>661</v>
      </c>
      <c r="C81" s="90"/>
      <c r="D81" s="90"/>
      <c r="E81" s="90"/>
      <c r="F81" s="90"/>
      <c r="G81" s="102">
        <f t="shared" ref="G81:R81" si="74">G80*G$53</f>
        <v>0</v>
      </c>
      <c r="H81" s="102">
        <f t="shared" si="74"/>
        <v>0</v>
      </c>
      <c r="I81" s="102">
        <f t="shared" si="74"/>
        <v>29.76</v>
      </c>
      <c r="J81" s="102">
        <f t="shared" si="74"/>
        <v>35.52</v>
      </c>
      <c r="K81" s="102">
        <f t="shared" si="74"/>
        <v>38.4</v>
      </c>
      <c r="L81" s="102">
        <f t="shared" si="74"/>
        <v>38.4</v>
      </c>
      <c r="M81" s="102">
        <f t="shared" si="74"/>
        <v>38.4</v>
      </c>
      <c r="N81" s="102">
        <f t="shared" si="74"/>
        <v>38.4</v>
      </c>
      <c r="O81" s="102">
        <f t="shared" si="74"/>
        <v>38.4</v>
      </c>
      <c r="P81" s="102">
        <f t="shared" si="74"/>
        <v>38.4</v>
      </c>
      <c r="Q81" s="102">
        <f t="shared" si="74"/>
        <v>38.4</v>
      </c>
      <c r="R81" s="102">
        <f t="shared" si="74"/>
        <v>38.4</v>
      </c>
      <c r="AT81" s="306">
        <f t="shared" ref="AT81:BG81" si="75">AT80*AT$53</f>
        <v>0</v>
      </c>
      <c r="AU81" s="306">
        <f t="shared" si="75"/>
        <v>0</v>
      </c>
      <c r="AV81" s="306">
        <f t="shared" si="75"/>
        <v>0</v>
      </c>
      <c r="AW81" s="306">
        <f t="shared" si="75"/>
        <v>0</v>
      </c>
      <c r="AX81" s="306">
        <f t="shared" si="75"/>
        <v>0</v>
      </c>
      <c r="AY81" s="306">
        <f t="shared" si="75"/>
        <v>0</v>
      </c>
      <c r="AZ81" s="306">
        <f t="shared" si="75"/>
        <v>0</v>
      </c>
      <c r="BA81" s="306">
        <f t="shared" si="75"/>
        <v>0</v>
      </c>
      <c r="BB81" s="306">
        <f t="shared" si="75"/>
        <v>0</v>
      </c>
      <c r="BC81" s="306">
        <f t="shared" si="75"/>
        <v>0</v>
      </c>
      <c r="BD81" s="306">
        <f t="shared" si="75"/>
        <v>0</v>
      </c>
      <c r="BE81" s="306">
        <f t="shared" si="75"/>
        <v>0</v>
      </c>
      <c r="BF81" s="306">
        <f t="shared" si="75"/>
        <v>0</v>
      </c>
      <c r="BG81" s="306">
        <f t="shared" si="75"/>
        <v>0</v>
      </c>
    </row>
    <row r="82" ht="12.75" customHeight="1" outlineLevel="1">
      <c r="A82" s="67"/>
      <c r="B82" s="90"/>
      <c r="C82" s="90"/>
      <c r="D82" s="90"/>
      <c r="E82" s="90"/>
      <c r="F82" s="90"/>
      <c r="G82" s="102"/>
      <c r="H82" s="102"/>
      <c r="I82" s="102"/>
      <c r="J82" s="102"/>
      <c r="K82" s="102"/>
      <c r="L82" s="102"/>
      <c r="M82" s="102"/>
      <c r="N82" s="102"/>
      <c r="O82" s="102"/>
      <c r="P82" s="102"/>
      <c r="Q82" s="102"/>
      <c r="R82" s="102"/>
      <c r="AT82" s="306"/>
      <c r="AU82" s="306"/>
      <c r="AV82" s="306"/>
      <c r="AW82" s="306"/>
      <c r="AX82" s="306"/>
      <c r="AY82" s="306"/>
      <c r="AZ82" s="306"/>
      <c r="BA82" s="306"/>
      <c r="BB82" s="306"/>
      <c r="BC82" s="306"/>
      <c r="BD82" s="306"/>
      <c r="BE82" s="306"/>
      <c r="BF82" s="306"/>
      <c r="BG82" s="306"/>
    </row>
    <row r="83" ht="12.75" customHeight="1" outlineLevel="1">
      <c r="A83" s="67"/>
      <c r="B83" s="90" t="s">
        <v>662</v>
      </c>
      <c r="C83" s="90"/>
      <c r="D83" s="90"/>
      <c r="E83" s="90"/>
      <c r="F83" s="90"/>
      <c r="G83" s="102">
        <f t="shared" ref="G83:R83" si="76">0.25*G56</f>
        <v>0</v>
      </c>
      <c r="H83" s="102">
        <f t="shared" si="76"/>
        <v>0</v>
      </c>
      <c r="I83" s="102">
        <f t="shared" si="76"/>
        <v>94.08</v>
      </c>
      <c r="J83" s="102">
        <f t="shared" si="76"/>
        <v>111.36</v>
      </c>
      <c r="K83" s="102">
        <f t="shared" si="76"/>
        <v>120</v>
      </c>
      <c r="L83" s="102">
        <f t="shared" si="76"/>
        <v>120</v>
      </c>
      <c r="M83" s="102">
        <f t="shared" si="76"/>
        <v>120</v>
      </c>
      <c r="N83" s="102">
        <f t="shared" si="76"/>
        <v>120</v>
      </c>
      <c r="O83" s="102">
        <f t="shared" si="76"/>
        <v>120</v>
      </c>
      <c r="P83" s="102">
        <f t="shared" si="76"/>
        <v>120</v>
      </c>
      <c r="Q83" s="102">
        <f t="shared" si="76"/>
        <v>120</v>
      </c>
      <c r="R83" s="102">
        <f t="shared" si="76"/>
        <v>120</v>
      </c>
      <c r="AT83" s="306" t="str">
        <f t="shared" ref="AT83:BG83" si="77">AS83</f>
        <v/>
      </c>
      <c r="AU83" s="306" t="str">
        <f t="shared" si="77"/>
        <v/>
      </c>
      <c r="AV83" s="306" t="str">
        <f t="shared" si="77"/>
        <v/>
      </c>
      <c r="AW83" s="306" t="str">
        <f t="shared" si="77"/>
        <v/>
      </c>
      <c r="AX83" s="306" t="str">
        <f t="shared" si="77"/>
        <v/>
      </c>
      <c r="AY83" s="306" t="str">
        <f t="shared" si="77"/>
        <v/>
      </c>
      <c r="AZ83" s="306" t="str">
        <f t="shared" si="77"/>
        <v/>
      </c>
      <c r="BA83" s="306" t="str">
        <f t="shared" si="77"/>
        <v/>
      </c>
      <c r="BB83" s="306" t="str">
        <f t="shared" si="77"/>
        <v/>
      </c>
      <c r="BC83" s="306" t="str">
        <f t="shared" si="77"/>
        <v/>
      </c>
      <c r="BD83" s="306" t="str">
        <f t="shared" si="77"/>
        <v/>
      </c>
      <c r="BE83" s="306" t="str">
        <f t="shared" si="77"/>
        <v/>
      </c>
      <c r="BF83" s="306" t="str">
        <f t="shared" si="77"/>
        <v/>
      </c>
      <c r="BG83" s="306" t="str">
        <f t="shared" si="77"/>
        <v/>
      </c>
    </row>
    <row r="84" ht="12.75" customHeight="1" outlineLevel="1">
      <c r="A84" s="67"/>
      <c r="B84" s="90" t="s">
        <v>663</v>
      </c>
      <c r="C84" s="90"/>
      <c r="D84" s="90"/>
      <c r="E84" s="90"/>
      <c r="F84" s="90"/>
      <c r="G84" s="102" t="str">
        <f>'RS3'!J83</f>
        <v/>
      </c>
      <c r="H84" s="102">
        <f>'RS3'!K83</f>
        <v>0</v>
      </c>
      <c r="I84" s="102">
        <f>'RS3'!L83</f>
        <v>360</v>
      </c>
      <c r="J84" s="102">
        <f>'RS3'!M83</f>
        <v>360</v>
      </c>
      <c r="K84" s="102">
        <f>'RS3'!N83</f>
        <v>360</v>
      </c>
      <c r="L84" s="102">
        <f>'RS3'!O83</f>
        <v>360</v>
      </c>
      <c r="M84" s="102">
        <f>'RS3'!P83</f>
        <v>360</v>
      </c>
      <c r="N84" s="102">
        <f>'RS3'!Q83</f>
        <v>360</v>
      </c>
      <c r="O84" s="102">
        <f>'RS3'!R83</f>
        <v>360</v>
      </c>
      <c r="P84" s="102">
        <f>'RS3'!S83</f>
        <v>360</v>
      </c>
      <c r="Q84" s="102">
        <f>'RS3'!T83</f>
        <v>360</v>
      </c>
      <c r="R84" s="102">
        <f>'RS3'!U83</f>
        <v>360</v>
      </c>
      <c r="AT84" s="306" t="str">
        <f t="shared" ref="AT84:BG84" si="78">AS84</f>
        <v/>
      </c>
      <c r="AU84" s="306" t="str">
        <f t="shared" si="78"/>
        <v/>
      </c>
      <c r="AV84" s="306" t="str">
        <f t="shared" si="78"/>
        <v/>
      </c>
      <c r="AW84" s="306" t="str">
        <f t="shared" si="78"/>
        <v/>
      </c>
      <c r="AX84" s="306" t="str">
        <f t="shared" si="78"/>
        <v/>
      </c>
      <c r="AY84" s="306" t="str">
        <f t="shared" si="78"/>
        <v/>
      </c>
      <c r="AZ84" s="306" t="str">
        <f t="shared" si="78"/>
        <v/>
      </c>
      <c r="BA84" s="306" t="str">
        <f t="shared" si="78"/>
        <v/>
      </c>
      <c r="BB84" s="306" t="str">
        <f t="shared" si="78"/>
        <v/>
      </c>
      <c r="BC84" s="306" t="str">
        <f t="shared" si="78"/>
        <v/>
      </c>
      <c r="BD84" s="306" t="str">
        <f t="shared" si="78"/>
        <v/>
      </c>
      <c r="BE84" s="306" t="str">
        <f t="shared" si="78"/>
        <v/>
      </c>
      <c r="BF84" s="306" t="str">
        <f t="shared" si="78"/>
        <v/>
      </c>
      <c r="BG84" s="306" t="str">
        <f t="shared" si="78"/>
        <v/>
      </c>
    </row>
    <row r="85" ht="12.75" customHeight="1" outlineLevel="1">
      <c r="A85" s="67"/>
      <c r="B85" s="90" t="s">
        <v>664</v>
      </c>
      <c r="C85" s="90"/>
      <c r="D85" s="90"/>
      <c r="E85" s="90"/>
      <c r="F85" s="90"/>
      <c r="G85" s="102">
        <f t="shared" ref="G85:R85" si="79">G84*G83</f>
        <v>0</v>
      </c>
      <c r="H85" s="102">
        <f t="shared" si="79"/>
        <v>0</v>
      </c>
      <c r="I85" s="102">
        <f t="shared" si="79"/>
        <v>33868.8</v>
      </c>
      <c r="J85" s="102">
        <f t="shared" si="79"/>
        <v>40089.6</v>
      </c>
      <c r="K85" s="102">
        <f t="shared" si="79"/>
        <v>43200</v>
      </c>
      <c r="L85" s="102">
        <f t="shared" si="79"/>
        <v>43200</v>
      </c>
      <c r="M85" s="102">
        <f t="shared" si="79"/>
        <v>43200</v>
      </c>
      <c r="N85" s="102">
        <f t="shared" si="79"/>
        <v>43200</v>
      </c>
      <c r="O85" s="102">
        <f t="shared" si="79"/>
        <v>43200</v>
      </c>
      <c r="P85" s="102">
        <f t="shared" si="79"/>
        <v>43200</v>
      </c>
      <c r="Q85" s="102">
        <f t="shared" si="79"/>
        <v>43200</v>
      </c>
      <c r="R85" s="102">
        <f t="shared" si="79"/>
        <v>43200</v>
      </c>
      <c r="AT85" s="306">
        <f t="shared" ref="AT85:BG85" si="80">AT84*AT83</f>
        <v>0</v>
      </c>
      <c r="AU85" s="306">
        <f t="shared" si="80"/>
        <v>0</v>
      </c>
      <c r="AV85" s="306">
        <f t="shared" si="80"/>
        <v>0</v>
      </c>
      <c r="AW85" s="306">
        <f t="shared" si="80"/>
        <v>0</v>
      </c>
      <c r="AX85" s="306">
        <f t="shared" si="80"/>
        <v>0</v>
      </c>
      <c r="AY85" s="306">
        <f t="shared" si="80"/>
        <v>0</v>
      </c>
      <c r="AZ85" s="306">
        <f t="shared" si="80"/>
        <v>0</v>
      </c>
      <c r="BA85" s="306">
        <f t="shared" si="80"/>
        <v>0</v>
      </c>
      <c r="BB85" s="306">
        <f t="shared" si="80"/>
        <v>0</v>
      </c>
      <c r="BC85" s="306">
        <f t="shared" si="80"/>
        <v>0</v>
      </c>
      <c r="BD85" s="306">
        <f t="shared" si="80"/>
        <v>0</v>
      </c>
      <c r="BE85" s="306">
        <f t="shared" si="80"/>
        <v>0</v>
      </c>
      <c r="BF85" s="306">
        <f t="shared" si="80"/>
        <v>0</v>
      </c>
      <c r="BG85" s="306">
        <f t="shared" si="80"/>
        <v>0</v>
      </c>
    </row>
    <row r="86" ht="12.75" customHeight="1">
      <c r="A86" s="67"/>
      <c r="B86" s="90"/>
      <c r="C86" s="90"/>
      <c r="D86" s="90"/>
      <c r="E86" s="90"/>
      <c r="F86" s="90"/>
      <c r="G86" s="102"/>
      <c r="H86" s="102"/>
      <c r="I86" s="102"/>
      <c r="J86" s="102"/>
      <c r="K86" s="102"/>
      <c r="L86" s="102"/>
      <c r="M86" s="102"/>
      <c r="N86" s="102"/>
      <c r="O86" s="102"/>
      <c r="P86" s="102"/>
      <c r="Q86" s="102"/>
      <c r="R86" s="102"/>
      <c r="AT86" s="306"/>
      <c r="AU86" s="306"/>
      <c r="AV86" s="306"/>
      <c r="AW86" s="306"/>
      <c r="AX86" s="306"/>
      <c r="AY86" s="306"/>
      <c r="AZ86" s="306"/>
      <c r="BA86" s="306"/>
      <c r="BB86" s="306"/>
      <c r="BC86" s="306"/>
      <c r="BD86" s="306"/>
      <c r="BE86" s="306"/>
      <c r="BF86" s="306"/>
      <c r="BG86" s="306"/>
    </row>
    <row r="87" ht="12.75" customHeight="1">
      <c r="A87" s="106" t="s">
        <v>665</v>
      </c>
      <c r="B87" s="253"/>
      <c r="C87" s="253"/>
      <c r="D87" s="253"/>
      <c r="E87" s="253"/>
      <c r="F87" s="253"/>
      <c r="G87" s="253"/>
      <c r="H87" s="253"/>
      <c r="I87" s="253"/>
      <c r="J87" s="253"/>
      <c r="K87" s="253"/>
      <c r="L87" s="253"/>
      <c r="M87" s="253"/>
      <c r="N87" s="253"/>
      <c r="O87" s="253"/>
      <c r="P87" s="253"/>
      <c r="Q87" s="253"/>
      <c r="R87" s="253"/>
      <c r="AT87" s="314"/>
      <c r="AU87" s="314"/>
      <c r="AV87" s="314"/>
      <c r="AW87" s="314"/>
      <c r="AX87" s="314"/>
      <c r="AY87" s="314"/>
      <c r="AZ87" s="314"/>
      <c r="BA87" s="314"/>
      <c r="BB87" s="314"/>
      <c r="BC87" s="314"/>
      <c r="BD87" s="314"/>
      <c r="BE87" s="314"/>
      <c r="BF87" s="314"/>
      <c r="BG87" s="314"/>
    </row>
    <row r="88" ht="12.75" hidden="1" customHeight="1" outlineLevel="1">
      <c r="A88" s="67"/>
      <c r="B88" s="90"/>
      <c r="C88" s="90"/>
      <c r="D88" s="90"/>
      <c r="E88" s="90"/>
      <c r="F88" s="90"/>
      <c r="G88" s="90"/>
      <c r="H88" s="90"/>
      <c r="I88" s="90"/>
      <c r="J88" s="90"/>
      <c r="K88" s="90"/>
      <c r="L88" s="90"/>
      <c r="M88" s="90"/>
      <c r="N88" s="90"/>
      <c r="O88" s="90"/>
      <c r="P88" s="90"/>
      <c r="Q88" s="90"/>
      <c r="R88" s="90"/>
      <c r="AT88" s="313"/>
      <c r="AU88" s="313"/>
      <c r="AV88" s="313"/>
      <c r="AW88" s="313"/>
      <c r="AX88" s="313"/>
      <c r="AY88" s="313"/>
      <c r="AZ88" s="313"/>
      <c r="BA88" s="313"/>
      <c r="BB88" s="313"/>
      <c r="BC88" s="313"/>
      <c r="BD88" s="313"/>
      <c r="BE88" s="313"/>
      <c r="BF88" s="313"/>
      <c r="BG88" s="313"/>
    </row>
    <row r="89" ht="12.75" hidden="1" customHeight="1" outlineLevel="1">
      <c r="A89" s="90"/>
      <c r="B89" s="67" t="s">
        <v>666</v>
      </c>
      <c r="C89" s="90"/>
      <c r="D89" s="90"/>
      <c r="E89" s="90"/>
      <c r="F89" s="90"/>
      <c r="G89" s="90"/>
      <c r="H89" s="90"/>
      <c r="I89" s="90"/>
      <c r="J89" s="90"/>
      <c r="K89" s="90"/>
      <c r="L89" s="90"/>
      <c r="M89" s="90"/>
      <c r="N89" s="90"/>
      <c r="O89" s="90"/>
      <c r="P89" s="90"/>
      <c r="Q89" s="90"/>
      <c r="R89" s="90"/>
      <c r="AT89" s="313"/>
      <c r="AU89" s="313"/>
      <c r="AV89" s="313"/>
      <c r="AW89" s="313"/>
      <c r="AX89" s="313"/>
      <c r="AY89" s="313"/>
      <c r="AZ89" s="313"/>
      <c r="BA89" s="313"/>
      <c r="BB89" s="313"/>
      <c r="BC89" s="313"/>
      <c r="BD89" s="313"/>
      <c r="BE89" s="313"/>
      <c r="BF89" s="313"/>
      <c r="BG89" s="313"/>
    </row>
    <row r="90" ht="12.75" hidden="1" customHeight="1" outlineLevel="1">
      <c r="A90" s="90"/>
      <c r="B90" s="90"/>
      <c r="C90" s="90" t="s">
        <v>573</v>
      </c>
      <c r="D90" s="90"/>
      <c r="E90" s="90"/>
      <c r="F90" s="90"/>
      <c r="G90" s="178"/>
      <c r="H90" s="178"/>
      <c r="I90" s="178"/>
      <c r="J90" s="178"/>
      <c r="K90" s="178"/>
      <c r="L90" s="178"/>
      <c r="M90" s="178"/>
      <c r="N90" s="178"/>
      <c r="O90" s="178"/>
      <c r="P90" s="178"/>
      <c r="Q90" s="178"/>
      <c r="R90" s="178"/>
      <c r="AT90" s="355">
        <v>0.01</v>
      </c>
      <c r="AU90" s="355">
        <v>0.01</v>
      </c>
      <c r="AV90" s="355">
        <v>0.01</v>
      </c>
      <c r="AW90" s="355">
        <v>0.01</v>
      </c>
      <c r="AX90" s="355">
        <v>0.01</v>
      </c>
      <c r="AY90" s="355">
        <v>0.01</v>
      </c>
      <c r="AZ90" s="355">
        <v>0.01</v>
      </c>
      <c r="BA90" s="355">
        <v>0.01</v>
      </c>
      <c r="BB90" s="355">
        <v>0.01</v>
      </c>
      <c r="BC90" s="355">
        <v>0.01</v>
      </c>
      <c r="BD90" s="355">
        <v>0.01</v>
      </c>
      <c r="BE90" s="355">
        <v>0.01</v>
      </c>
      <c r="BF90" s="355">
        <v>0.01</v>
      </c>
      <c r="BG90" s="355">
        <v>0.01</v>
      </c>
    </row>
    <row r="91" ht="12.75" hidden="1" customHeight="1" outlineLevel="1">
      <c r="A91" s="90"/>
      <c r="B91" s="90"/>
      <c r="C91" s="90" t="s">
        <v>667</v>
      </c>
      <c r="D91" s="90"/>
      <c r="E91" s="90"/>
      <c r="F91" s="90"/>
      <c r="G91" s="99"/>
      <c r="H91" s="99"/>
      <c r="I91" s="99">
        <f>'RS2'!K90</f>
        <v>4778</v>
      </c>
      <c r="J91" s="99">
        <f t="shared" ref="J91:R91" si="81">I91*(1+J$90)</f>
        <v>4778</v>
      </c>
      <c r="K91" s="99">
        <f t="shared" si="81"/>
        <v>4778</v>
      </c>
      <c r="L91" s="99">
        <f t="shared" si="81"/>
        <v>4778</v>
      </c>
      <c r="M91" s="99">
        <f t="shared" si="81"/>
        <v>4778</v>
      </c>
      <c r="N91" s="99">
        <f t="shared" si="81"/>
        <v>4778</v>
      </c>
      <c r="O91" s="99">
        <f t="shared" si="81"/>
        <v>4778</v>
      </c>
      <c r="P91" s="99">
        <f t="shared" si="81"/>
        <v>4778</v>
      </c>
      <c r="Q91" s="99">
        <f t="shared" si="81"/>
        <v>4778</v>
      </c>
      <c r="R91" s="99">
        <f t="shared" si="81"/>
        <v>4778</v>
      </c>
      <c r="AT91" s="308">
        <f t="shared" ref="AT91:BG91" si="82">AS91*(1+AT$90)</f>
        <v>0</v>
      </c>
      <c r="AU91" s="308">
        <f t="shared" si="82"/>
        <v>0</v>
      </c>
      <c r="AV91" s="308">
        <f t="shared" si="82"/>
        <v>0</v>
      </c>
      <c r="AW91" s="308">
        <f t="shared" si="82"/>
        <v>0</v>
      </c>
      <c r="AX91" s="308">
        <f t="shared" si="82"/>
        <v>0</v>
      </c>
      <c r="AY91" s="308">
        <f t="shared" si="82"/>
        <v>0</v>
      </c>
      <c r="AZ91" s="308">
        <f t="shared" si="82"/>
        <v>0</v>
      </c>
      <c r="BA91" s="308">
        <f t="shared" si="82"/>
        <v>0</v>
      </c>
      <c r="BB91" s="308">
        <f t="shared" si="82"/>
        <v>0</v>
      </c>
      <c r="BC91" s="308">
        <f t="shared" si="82"/>
        <v>0</v>
      </c>
      <c r="BD91" s="308">
        <f t="shared" si="82"/>
        <v>0</v>
      </c>
      <c r="BE91" s="308">
        <f t="shared" si="82"/>
        <v>0</v>
      </c>
      <c r="BF91" s="308">
        <f t="shared" si="82"/>
        <v>0</v>
      </c>
      <c r="BG91" s="308">
        <f t="shared" si="82"/>
        <v>0</v>
      </c>
    </row>
    <row r="92" ht="12.75" hidden="1" customHeight="1" outlineLevel="1">
      <c r="A92" s="90"/>
      <c r="B92" s="90"/>
      <c r="C92" s="90" t="s">
        <v>668</v>
      </c>
      <c r="D92" s="90"/>
      <c r="E92" s="90"/>
      <c r="F92" s="90"/>
      <c r="G92" s="99"/>
      <c r="H92" s="99"/>
      <c r="I92" s="99">
        <f>'RS2'!K91</f>
        <v>4855</v>
      </c>
      <c r="J92" s="99">
        <f t="shared" ref="J92:R92" si="83">I92*(1+J$90)</f>
        <v>4855</v>
      </c>
      <c r="K92" s="99">
        <f t="shared" si="83"/>
        <v>4855</v>
      </c>
      <c r="L92" s="99">
        <f t="shared" si="83"/>
        <v>4855</v>
      </c>
      <c r="M92" s="99">
        <f t="shared" si="83"/>
        <v>4855</v>
      </c>
      <c r="N92" s="99">
        <f t="shared" si="83"/>
        <v>4855</v>
      </c>
      <c r="O92" s="99">
        <f t="shared" si="83"/>
        <v>4855</v>
      </c>
      <c r="P92" s="99">
        <f t="shared" si="83"/>
        <v>4855</v>
      </c>
      <c r="Q92" s="99">
        <f t="shared" si="83"/>
        <v>4855</v>
      </c>
      <c r="R92" s="99">
        <f t="shared" si="83"/>
        <v>4855</v>
      </c>
      <c r="AT92" s="308">
        <f t="shared" ref="AT92:BG92" si="84">AS92*(1+AT$90)</f>
        <v>0</v>
      </c>
      <c r="AU92" s="308">
        <f t="shared" si="84"/>
        <v>0</v>
      </c>
      <c r="AV92" s="308">
        <f t="shared" si="84"/>
        <v>0</v>
      </c>
      <c r="AW92" s="308">
        <f t="shared" si="84"/>
        <v>0</v>
      </c>
      <c r="AX92" s="308">
        <f t="shared" si="84"/>
        <v>0</v>
      </c>
      <c r="AY92" s="308">
        <f t="shared" si="84"/>
        <v>0</v>
      </c>
      <c r="AZ92" s="308">
        <f t="shared" si="84"/>
        <v>0</v>
      </c>
      <c r="BA92" s="308">
        <f t="shared" si="84"/>
        <v>0</v>
      </c>
      <c r="BB92" s="308">
        <f t="shared" si="84"/>
        <v>0</v>
      </c>
      <c r="BC92" s="308">
        <f t="shared" si="84"/>
        <v>0</v>
      </c>
      <c r="BD92" s="308">
        <f t="shared" si="84"/>
        <v>0</v>
      </c>
      <c r="BE92" s="308">
        <f t="shared" si="84"/>
        <v>0</v>
      </c>
      <c r="BF92" s="308">
        <f t="shared" si="84"/>
        <v>0</v>
      </c>
      <c r="BG92" s="308">
        <f t="shared" si="84"/>
        <v>0</v>
      </c>
    </row>
    <row r="93" ht="12.75" hidden="1" customHeight="1" outlineLevel="1">
      <c r="A93" s="90"/>
      <c r="B93" s="90"/>
      <c r="C93" s="90" t="s">
        <v>669</v>
      </c>
      <c r="D93" s="90"/>
      <c r="E93" s="90"/>
      <c r="F93" s="90"/>
      <c r="G93" s="99"/>
      <c r="H93" s="99"/>
      <c r="I93" s="99">
        <f>'RS2'!K92</f>
        <v>401</v>
      </c>
      <c r="J93" s="99">
        <f t="shared" ref="J93:R93" si="85">I93*(1+J$90)</f>
        <v>401</v>
      </c>
      <c r="K93" s="99">
        <f t="shared" si="85"/>
        <v>401</v>
      </c>
      <c r="L93" s="99">
        <f t="shared" si="85"/>
        <v>401</v>
      </c>
      <c r="M93" s="99">
        <f t="shared" si="85"/>
        <v>401</v>
      </c>
      <c r="N93" s="99">
        <f t="shared" si="85"/>
        <v>401</v>
      </c>
      <c r="O93" s="99">
        <f t="shared" si="85"/>
        <v>401</v>
      </c>
      <c r="P93" s="99">
        <f t="shared" si="85"/>
        <v>401</v>
      </c>
      <c r="Q93" s="99">
        <f t="shared" si="85"/>
        <v>401</v>
      </c>
      <c r="R93" s="99">
        <f t="shared" si="85"/>
        <v>401</v>
      </c>
      <c r="AT93" s="308">
        <f t="shared" ref="AT93:BG93" si="86">AS93*(1+AT$90)</f>
        <v>0</v>
      </c>
      <c r="AU93" s="308">
        <f t="shared" si="86"/>
        <v>0</v>
      </c>
      <c r="AV93" s="308">
        <f t="shared" si="86"/>
        <v>0</v>
      </c>
      <c r="AW93" s="308">
        <f t="shared" si="86"/>
        <v>0</v>
      </c>
      <c r="AX93" s="308">
        <f t="shared" si="86"/>
        <v>0</v>
      </c>
      <c r="AY93" s="308">
        <f t="shared" si="86"/>
        <v>0</v>
      </c>
      <c r="AZ93" s="308">
        <f t="shared" si="86"/>
        <v>0</v>
      </c>
      <c r="BA93" s="308">
        <f t="shared" si="86"/>
        <v>0</v>
      </c>
      <c r="BB93" s="308">
        <f t="shared" si="86"/>
        <v>0</v>
      </c>
      <c r="BC93" s="308">
        <f t="shared" si="86"/>
        <v>0</v>
      </c>
      <c r="BD93" s="308">
        <f t="shared" si="86"/>
        <v>0</v>
      </c>
      <c r="BE93" s="308">
        <f t="shared" si="86"/>
        <v>0</v>
      </c>
      <c r="BF93" s="308">
        <f t="shared" si="86"/>
        <v>0</v>
      </c>
      <c r="BG93" s="308">
        <f t="shared" si="86"/>
        <v>0</v>
      </c>
    </row>
    <row r="94" ht="12.75" hidden="1" customHeight="1" outlineLevel="1">
      <c r="A94" s="90"/>
      <c r="B94" s="90"/>
      <c r="C94" s="90" t="s">
        <v>670</v>
      </c>
      <c r="D94" s="90"/>
      <c r="E94" s="90"/>
      <c r="F94" s="90"/>
      <c r="G94" s="99"/>
      <c r="H94" s="99"/>
      <c r="I94" s="99">
        <f>'RSGen 1-7'!I94</f>
        <v>318</v>
      </c>
      <c r="J94" s="99">
        <f>'RSGen 1-7'!J94</f>
        <v>318</v>
      </c>
      <c r="K94" s="99">
        <f>'RSGen 1-7'!K94</f>
        <v>318</v>
      </c>
      <c r="L94" s="99">
        <f>'RSGen 1-7'!L94</f>
        <v>318</v>
      </c>
      <c r="M94" s="99">
        <f>'RSGen 1-7'!M94</f>
        <v>318</v>
      </c>
      <c r="N94" s="99">
        <f>'RSGen 1-7'!N94</f>
        <v>318</v>
      </c>
      <c r="O94" s="99">
        <f>'RSGen 1-7'!O94</f>
        <v>318</v>
      </c>
      <c r="P94" s="99">
        <f>'RSGen 1-7'!P94</f>
        <v>318</v>
      </c>
      <c r="Q94" s="99">
        <f>'RSGen 1-7'!Q94</f>
        <v>318</v>
      </c>
      <c r="R94" s="99">
        <f>'RSGen 1-7'!R94</f>
        <v>318</v>
      </c>
      <c r="AT94" s="308">
        <f t="shared" ref="AT94:BG94" si="87">AS94*(1+AT$90)</f>
        <v>0</v>
      </c>
      <c r="AU94" s="308">
        <f t="shared" si="87"/>
        <v>0</v>
      </c>
      <c r="AV94" s="308">
        <f t="shared" si="87"/>
        <v>0</v>
      </c>
      <c r="AW94" s="308">
        <f t="shared" si="87"/>
        <v>0</v>
      </c>
      <c r="AX94" s="308">
        <f t="shared" si="87"/>
        <v>0</v>
      </c>
      <c r="AY94" s="308">
        <f t="shared" si="87"/>
        <v>0</v>
      </c>
      <c r="AZ94" s="308">
        <f t="shared" si="87"/>
        <v>0</v>
      </c>
      <c r="BA94" s="308">
        <f t="shared" si="87"/>
        <v>0</v>
      </c>
      <c r="BB94" s="308">
        <f t="shared" si="87"/>
        <v>0</v>
      </c>
      <c r="BC94" s="308">
        <f t="shared" si="87"/>
        <v>0</v>
      </c>
      <c r="BD94" s="308">
        <f t="shared" si="87"/>
        <v>0</v>
      </c>
      <c r="BE94" s="308">
        <f t="shared" si="87"/>
        <v>0</v>
      </c>
      <c r="BF94" s="308">
        <f t="shared" si="87"/>
        <v>0</v>
      </c>
      <c r="BG94" s="308">
        <f t="shared" si="87"/>
        <v>0</v>
      </c>
    </row>
    <row r="95" ht="12.75" hidden="1" customHeight="1" outlineLevel="1">
      <c r="A95" s="237"/>
      <c r="B95" s="237"/>
      <c r="C95" s="237" t="s">
        <v>671</v>
      </c>
      <c r="D95" s="237"/>
      <c r="E95" s="237"/>
      <c r="F95" s="237"/>
      <c r="G95" s="356"/>
      <c r="H95" s="356"/>
      <c r="I95" s="357">
        <v>0.0</v>
      </c>
      <c r="J95" s="356">
        <f t="shared" ref="J95:R95" si="88">I95</f>
        <v>0</v>
      </c>
      <c r="K95" s="356">
        <f t="shared" si="88"/>
        <v>0</v>
      </c>
      <c r="L95" s="356">
        <f t="shared" si="88"/>
        <v>0</v>
      </c>
      <c r="M95" s="356">
        <f t="shared" si="88"/>
        <v>0</v>
      </c>
      <c r="N95" s="356">
        <f t="shared" si="88"/>
        <v>0</v>
      </c>
      <c r="O95" s="356">
        <f t="shared" si="88"/>
        <v>0</v>
      </c>
      <c r="P95" s="356">
        <f t="shared" si="88"/>
        <v>0</v>
      </c>
      <c r="Q95" s="356">
        <f t="shared" si="88"/>
        <v>0</v>
      </c>
      <c r="R95" s="356">
        <f t="shared" si="88"/>
        <v>0</v>
      </c>
      <c r="AT95" s="308" t="str">
        <f t="shared" ref="AT95:BG95" si="89">AS95</f>
        <v/>
      </c>
      <c r="AU95" s="308" t="str">
        <f t="shared" si="89"/>
        <v/>
      </c>
      <c r="AV95" s="308" t="str">
        <f t="shared" si="89"/>
        <v/>
      </c>
      <c r="AW95" s="308" t="str">
        <f t="shared" si="89"/>
        <v/>
      </c>
      <c r="AX95" s="308" t="str">
        <f t="shared" si="89"/>
        <v/>
      </c>
      <c r="AY95" s="308" t="str">
        <f t="shared" si="89"/>
        <v/>
      </c>
      <c r="AZ95" s="308" t="str">
        <f t="shared" si="89"/>
        <v/>
      </c>
      <c r="BA95" s="308" t="str">
        <f t="shared" si="89"/>
        <v/>
      </c>
      <c r="BB95" s="308" t="str">
        <f t="shared" si="89"/>
        <v/>
      </c>
      <c r="BC95" s="308" t="str">
        <f t="shared" si="89"/>
        <v/>
      </c>
      <c r="BD95" s="308" t="str">
        <f t="shared" si="89"/>
        <v/>
      </c>
      <c r="BE95" s="308" t="str">
        <f t="shared" si="89"/>
        <v/>
      </c>
      <c r="BF95" s="308" t="str">
        <f t="shared" si="89"/>
        <v/>
      </c>
      <c r="BG95" s="308" t="str">
        <f t="shared" si="89"/>
        <v/>
      </c>
    </row>
    <row r="96" ht="12.75" hidden="1" customHeight="1" outlineLevel="1">
      <c r="A96" s="237"/>
      <c r="B96" s="237"/>
      <c r="C96" s="237"/>
      <c r="D96" s="237" t="s">
        <v>672</v>
      </c>
      <c r="E96" s="237"/>
      <c r="F96" s="237"/>
      <c r="G96" s="356"/>
      <c r="H96" s="356"/>
      <c r="I96" s="356">
        <f t="shared" ref="I96:R96" si="90">I95</f>
        <v>0</v>
      </c>
      <c r="J96" s="356">
        <f t="shared" si="90"/>
        <v>0</v>
      </c>
      <c r="K96" s="356">
        <f t="shared" si="90"/>
        <v>0</v>
      </c>
      <c r="L96" s="356">
        <f t="shared" si="90"/>
        <v>0</v>
      </c>
      <c r="M96" s="356">
        <f t="shared" si="90"/>
        <v>0</v>
      </c>
      <c r="N96" s="356">
        <f t="shared" si="90"/>
        <v>0</v>
      </c>
      <c r="O96" s="356">
        <f t="shared" si="90"/>
        <v>0</v>
      </c>
      <c r="P96" s="356">
        <f t="shared" si="90"/>
        <v>0</v>
      </c>
      <c r="Q96" s="356">
        <f t="shared" si="90"/>
        <v>0</v>
      </c>
      <c r="R96" s="356">
        <f t="shared" si="90"/>
        <v>0</v>
      </c>
      <c r="AT96" s="308" t="str">
        <f t="shared" ref="AT96:BG96" si="91">AT95</f>
        <v/>
      </c>
      <c r="AU96" s="308" t="str">
        <f t="shared" si="91"/>
        <v/>
      </c>
      <c r="AV96" s="308" t="str">
        <f t="shared" si="91"/>
        <v/>
      </c>
      <c r="AW96" s="308" t="str">
        <f t="shared" si="91"/>
        <v/>
      </c>
      <c r="AX96" s="308" t="str">
        <f t="shared" si="91"/>
        <v/>
      </c>
      <c r="AY96" s="308" t="str">
        <f t="shared" si="91"/>
        <v/>
      </c>
      <c r="AZ96" s="308" t="str">
        <f t="shared" si="91"/>
        <v/>
      </c>
      <c r="BA96" s="308" t="str">
        <f t="shared" si="91"/>
        <v/>
      </c>
      <c r="BB96" s="308" t="str">
        <f t="shared" si="91"/>
        <v/>
      </c>
      <c r="BC96" s="308" t="str">
        <f t="shared" si="91"/>
        <v/>
      </c>
      <c r="BD96" s="308" t="str">
        <f t="shared" si="91"/>
        <v/>
      </c>
      <c r="BE96" s="308" t="str">
        <f t="shared" si="91"/>
        <v/>
      </c>
      <c r="BF96" s="308" t="str">
        <f t="shared" si="91"/>
        <v/>
      </c>
      <c r="BG96" s="308" t="str">
        <f t="shared" si="91"/>
        <v/>
      </c>
    </row>
    <row r="97" ht="12.75" hidden="1" customHeight="1" outlineLevel="1">
      <c r="A97" s="237"/>
      <c r="B97" s="237"/>
      <c r="C97" s="237"/>
      <c r="D97" s="237" t="s">
        <v>673</v>
      </c>
      <c r="E97" s="237"/>
      <c r="F97" s="237"/>
      <c r="G97" s="356"/>
      <c r="H97" s="356"/>
      <c r="I97" s="356">
        <f t="shared" ref="I97:R97" si="92">I96</f>
        <v>0</v>
      </c>
      <c r="J97" s="356">
        <f t="shared" si="92"/>
        <v>0</v>
      </c>
      <c r="K97" s="356">
        <f t="shared" si="92"/>
        <v>0</v>
      </c>
      <c r="L97" s="356">
        <f t="shared" si="92"/>
        <v>0</v>
      </c>
      <c r="M97" s="356">
        <f t="shared" si="92"/>
        <v>0</v>
      </c>
      <c r="N97" s="356">
        <f t="shared" si="92"/>
        <v>0</v>
      </c>
      <c r="O97" s="356">
        <f t="shared" si="92"/>
        <v>0</v>
      </c>
      <c r="P97" s="356">
        <f t="shared" si="92"/>
        <v>0</v>
      </c>
      <c r="Q97" s="356">
        <f t="shared" si="92"/>
        <v>0</v>
      </c>
      <c r="R97" s="356">
        <f t="shared" si="92"/>
        <v>0</v>
      </c>
      <c r="AT97" s="308" t="str">
        <f t="shared" ref="AT97:BG97" si="93">AT96</f>
        <v/>
      </c>
      <c r="AU97" s="308" t="str">
        <f t="shared" si="93"/>
        <v/>
      </c>
      <c r="AV97" s="308" t="str">
        <f t="shared" si="93"/>
        <v/>
      </c>
      <c r="AW97" s="308" t="str">
        <f t="shared" si="93"/>
        <v/>
      </c>
      <c r="AX97" s="308" t="str">
        <f t="shared" si="93"/>
        <v/>
      </c>
      <c r="AY97" s="308" t="str">
        <f t="shared" si="93"/>
        <v/>
      </c>
      <c r="AZ97" s="308" t="str">
        <f t="shared" si="93"/>
        <v/>
      </c>
      <c r="BA97" s="308" t="str">
        <f t="shared" si="93"/>
        <v/>
      </c>
      <c r="BB97" s="308" t="str">
        <f t="shared" si="93"/>
        <v/>
      </c>
      <c r="BC97" s="308" t="str">
        <f t="shared" si="93"/>
        <v/>
      </c>
      <c r="BD97" s="308" t="str">
        <f t="shared" si="93"/>
        <v/>
      </c>
      <c r="BE97" s="308" t="str">
        <f t="shared" si="93"/>
        <v/>
      </c>
      <c r="BF97" s="308" t="str">
        <f t="shared" si="93"/>
        <v/>
      </c>
      <c r="BG97" s="308" t="str">
        <f t="shared" si="93"/>
        <v/>
      </c>
    </row>
    <row r="98" ht="12.75" hidden="1" customHeight="1" outlineLevel="1">
      <c r="A98" s="237"/>
      <c r="B98" s="237"/>
      <c r="C98" s="237"/>
      <c r="D98" s="237" t="s">
        <v>674</v>
      </c>
      <c r="E98" s="237"/>
      <c r="F98" s="237"/>
      <c r="G98" s="356"/>
      <c r="H98" s="356"/>
      <c r="I98" s="356">
        <f t="shared" ref="I98:R98" si="94">I97</f>
        <v>0</v>
      </c>
      <c r="J98" s="356">
        <f t="shared" si="94"/>
        <v>0</v>
      </c>
      <c r="K98" s="356">
        <f t="shared" si="94"/>
        <v>0</v>
      </c>
      <c r="L98" s="356">
        <f t="shared" si="94"/>
        <v>0</v>
      </c>
      <c r="M98" s="356">
        <f t="shared" si="94"/>
        <v>0</v>
      </c>
      <c r="N98" s="356">
        <f t="shared" si="94"/>
        <v>0</v>
      </c>
      <c r="O98" s="356">
        <f t="shared" si="94"/>
        <v>0</v>
      </c>
      <c r="P98" s="356">
        <f t="shared" si="94"/>
        <v>0</v>
      </c>
      <c r="Q98" s="356">
        <f t="shared" si="94"/>
        <v>0</v>
      </c>
      <c r="R98" s="356">
        <f t="shared" si="94"/>
        <v>0</v>
      </c>
      <c r="AT98" s="308" t="str">
        <f t="shared" ref="AT98:BG98" si="95">AT97</f>
        <v/>
      </c>
      <c r="AU98" s="308" t="str">
        <f t="shared" si="95"/>
        <v/>
      </c>
      <c r="AV98" s="308" t="str">
        <f t="shared" si="95"/>
        <v/>
      </c>
      <c r="AW98" s="308" t="str">
        <f t="shared" si="95"/>
        <v/>
      </c>
      <c r="AX98" s="308" t="str">
        <f t="shared" si="95"/>
        <v/>
      </c>
      <c r="AY98" s="308" t="str">
        <f t="shared" si="95"/>
        <v/>
      </c>
      <c r="AZ98" s="308" t="str">
        <f t="shared" si="95"/>
        <v/>
      </c>
      <c r="BA98" s="308" t="str">
        <f t="shared" si="95"/>
        <v/>
      </c>
      <c r="BB98" s="308" t="str">
        <f t="shared" si="95"/>
        <v/>
      </c>
      <c r="BC98" s="308" t="str">
        <f t="shared" si="95"/>
        <v/>
      </c>
      <c r="BD98" s="308" t="str">
        <f t="shared" si="95"/>
        <v/>
      </c>
      <c r="BE98" s="308" t="str">
        <f t="shared" si="95"/>
        <v/>
      </c>
      <c r="BF98" s="308" t="str">
        <f t="shared" si="95"/>
        <v/>
      </c>
      <c r="BG98" s="308" t="str">
        <f t="shared" si="95"/>
        <v/>
      </c>
    </row>
    <row r="99" ht="12.75" hidden="1" customHeight="1" outlineLevel="1">
      <c r="A99" s="237"/>
      <c r="B99" s="237"/>
      <c r="C99" s="237"/>
      <c r="D99" s="237" t="s">
        <v>675</v>
      </c>
      <c r="E99" s="237"/>
      <c r="F99" s="237"/>
      <c r="G99" s="356"/>
      <c r="H99" s="356"/>
      <c r="I99" s="356">
        <f t="shared" ref="I99:R99" si="96">I98</f>
        <v>0</v>
      </c>
      <c r="J99" s="356">
        <f t="shared" si="96"/>
        <v>0</v>
      </c>
      <c r="K99" s="356">
        <f t="shared" si="96"/>
        <v>0</v>
      </c>
      <c r="L99" s="356">
        <f t="shared" si="96"/>
        <v>0</v>
      </c>
      <c r="M99" s="356">
        <f t="shared" si="96"/>
        <v>0</v>
      </c>
      <c r="N99" s="356">
        <f t="shared" si="96"/>
        <v>0</v>
      </c>
      <c r="O99" s="356">
        <f t="shared" si="96"/>
        <v>0</v>
      </c>
      <c r="P99" s="356">
        <f t="shared" si="96"/>
        <v>0</v>
      </c>
      <c r="Q99" s="356">
        <f t="shared" si="96"/>
        <v>0</v>
      </c>
      <c r="R99" s="356">
        <f t="shared" si="96"/>
        <v>0</v>
      </c>
      <c r="AT99" s="308" t="str">
        <f t="shared" ref="AT99:BG99" si="97">AT98</f>
        <v/>
      </c>
      <c r="AU99" s="308" t="str">
        <f t="shared" si="97"/>
        <v/>
      </c>
      <c r="AV99" s="308" t="str">
        <f t="shared" si="97"/>
        <v/>
      </c>
      <c r="AW99" s="308" t="str">
        <f t="shared" si="97"/>
        <v/>
      </c>
      <c r="AX99" s="308" t="str">
        <f t="shared" si="97"/>
        <v/>
      </c>
      <c r="AY99" s="308" t="str">
        <f t="shared" si="97"/>
        <v/>
      </c>
      <c r="AZ99" s="308" t="str">
        <f t="shared" si="97"/>
        <v/>
      </c>
      <c r="BA99" s="308" t="str">
        <f t="shared" si="97"/>
        <v/>
      </c>
      <c r="BB99" s="308" t="str">
        <f t="shared" si="97"/>
        <v/>
      </c>
      <c r="BC99" s="308" t="str">
        <f t="shared" si="97"/>
        <v/>
      </c>
      <c r="BD99" s="308" t="str">
        <f t="shared" si="97"/>
        <v/>
      </c>
      <c r="BE99" s="308" t="str">
        <f t="shared" si="97"/>
        <v/>
      </c>
      <c r="BF99" s="308" t="str">
        <f t="shared" si="97"/>
        <v/>
      </c>
      <c r="BG99" s="308" t="str">
        <f t="shared" si="97"/>
        <v/>
      </c>
    </row>
    <row r="100" ht="12.75" hidden="1" customHeight="1" outlineLevel="1">
      <c r="A100" s="90"/>
      <c r="B100" s="90"/>
      <c r="C100" s="90" t="s">
        <v>676</v>
      </c>
      <c r="D100" s="90"/>
      <c r="E100" s="90"/>
      <c r="F100" s="90"/>
      <c r="G100" s="301"/>
      <c r="H100" s="301"/>
      <c r="I100" s="358">
        <v>0.0</v>
      </c>
      <c r="J100" s="301">
        <f t="shared" ref="J100:R100" si="98">I100*(1+J$90)</f>
        <v>0</v>
      </c>
      <c r="K100" s="301">
        <f t="shared" si="98"/>
        <v>0</v>
      </c>
      <c r="L100" s="301">
        <f t="shared" si="98"/>
        <v>0</v>
      </c>
      <c r="M100" s="301">
        <f t="shared" si="98"/>
        <v>0</v>
      </c>
      <c r="N100" s="301">
        <f t="shared" si="98"/>
        <v>0</v>
      </c>
      <c r="O100" s="301">
        <f t="shared" si="98"/>
        <v>0</v>
      </c>
      <c r="P100" s="301">
        <f t="shared" si="98"/>
        <v>0</v>
      </c>
      <c r="Q100" s="301">
        <f t="shared" si="98"/>
        <v>0</v>
      </c>
      <c r="R100" s="301">
        <f t="shared" si="98"/>
        <v>0</v>
      </c>
      <c r="AT100" s="359">
        <f t="shared" ref="AT100:BG100" si="99">AS100*(1+AT$90)</f>
        <v>0</v>
      </c>
      <c r="AU100" s="359">
        <f t="shared" si="99"/>
        <v>0</v>
      </c>
      <c r="AV100" s="359">
        <f t="shared" si="99"/>
        <v>0</v>
      </c>
      <c r="AW100" s="359">
        <f t="shared" si="99"/>
        <v>0</v>
      </c>
      <c r="AX100" s="359">
        <f t="shared" si="99"/>
        <v>0</v>
      </c>
      <c r="AY100" s="359">
        <f t="shared" si="99"/>
        <v>0</v>
      </c>
      <c r="AZ100" s="359">
        <f t="shared" si="99"/>
        <v>0</v>
      </c>
      <c r="BA100" s="359">
        <f t="shared" si="99"/>
        <v>0</v>
      </c>
      <c r="BB100" s="359">
        <f t="shared" si="99"/>
        <v>0</v>
      </c>
      <c r="BC100" s="359">
        <f t="shared" si="99"/>
        <v>0</v>
      </c>
      <c r="BD100" s="359">
        <f t="shared" si="99"/>
        <v>0</v>
      </c>
      <c r="BE100" s="359">
        <f t="shared" si="99"/>
        <v>0</v>
      </c>
      <c r="BF100" s="359">
        <f t="shared" si="99"/>
        <v>0</v>
      </c>
      <c r="BG100" s="359">
        <f t="shared" si="99"/>
        <v>0</v>
      </c>
    </row>
    <row r="101" ht="12.75" hidden="1" customHeight="1" outlineLevel="1">
      <c r="A101" s="90"/>
      <c r="B101" s="90"/>
      <c r="C101" s="90" t="s">
        <v>677</v>
      </c>
      <c r="D101" s="90"/>
      <c r="E101" s="90"/>
      <c r="F101" s="90"/>
      <c r="G101" s="99"/>
      <c r="H101" s="99"/>
      <c r="I101" s="99">
        <f>'RS2'!K100</f>
        <v>111</v>
      </c>
      <c r="J101" s="99">
        <f t="shared" ref="J101:R101" si="100">I101*(1+J$90)</f>
        <v>111</v>
      </c>
      <c r="K101" s="99">
        <f t="shared" si="100"/>
        <v>111</v>
      </c>
      <c r="L101" s="99">
        <f t="shared" si="100"/>
        <v>111</v>
      </c>
      <c r="M101" s="99">
        <f t="shared" si="100"/>
        <v>111</v>
      </c>
      <c r="N101" s="99">
        <f t="shared" si="100"/>
        <v>111</v>
      </c>
      <c r="O101" s="99">
        <f t="shared" si="100"/>
        <v>111</v>
      </c>
      <c r="P101" s="99">
        <f t="shared" si="100"/>
        <v>111</v>
      </c>
      <c r="Q101" s="99">
        <f t="shared" si="100"/>
        <v>111</v>
      </c>
      <c r="R101" s="99">
        <f t="shared" si="100"/>
        <v>111</v>
      </c>
      <c r="AT101" s="308">
        <f t="shared" ref="AT101:BG101" si="101">AS101*(1+AT$90)</f>
        <v>0</v>
      </c>
      <c r="AU101" s="308">
        <f t="shared" si="101"/>
        <v>0</v>
      </c>
      <c r="AV101" s="308">
        <f t="shared" si="101"/>
        <v>0</v>
      </c>
      <c r="AW101" s="308">
        <f t="shared" si="101"/>
        <v>0</v>
      </c>
      <c r="AX101" s="308">
        <f t="shared" si="101"/>
        <v>0</v>
      </c>
      <c r="AY101" s="308">
        <f t="shared" si="101"/>
        <v>0</v>
      </c>
      <c r="AZ101" s="308">
        <f t="shared" si="101"/>
        <v>0</v>
      </c>
      <c r="BA101" s="308">
        <f t="shared" si="101"/>
        <v>0</v>
      </c>
      <c r="BB101" s="308">
        <f t="shared" si="101"/>
        <v>0</v>
      </c>
      <c r="BC101" s="308">
        <f t="shared" si="101"/>
        <v>0</v>
      </c>
      <c r="BD101" s="308">
        <f t="shared" si="101"/>
        <v>0</v>
      </c>
      <c r="BE101" s="308">
        <f t="shared" si="101"/>
        <v>0</v>
      </c>
      <c r="BF101" s="308">
        <f t="shared" si="101"/>
        <v>0</v>
      </c>
      <c r="BG101" s="308">
        <f t="shared" si="101"/>
        <v>0</v>
      </c>
    </row>
    <row r="102" ht="12.75" hidden="1" customHeight="1" outlineLevel="1">
      <c r="A102" s="90"/>
      <c r="B102" s="90"/>
      <c r="C102" s="90" t="s">
        <v>678</v>
      </c>
      <c r="D102" s="90"/>
      <c r="E102" s="90"/>
      <c r="F102" s="90"/>
      <c r="G102" s="99"/>
      <c r="H102" s="99"/>
      <c r="I102" s="99">
        <f>'RS2'!K101</f>
        <v>13.3</v>
      </c>
      <c r="J102" s="99">
        <f t="shared" ref="J102:R102" si="102">I102*(1+J$90)</f>
        <v>13.3</v>
      </c>
      <c r="K102" s="99">
        <f t="shared" si="102"/>
        <v>13.3</v>
      </c>
      <c r="L102" s="99">
        <f t="shared" si="102"/>
        <v>13.3</v>
      </c>
      <c r="M102" s="99">
        <f t="shared" si="102"/>
        <v>13.3</v>
      </c>
      <c r="N102" s="99">
        <f t="shared" si="102"/>
        <v>13.3</v>
      </c>
      <c r="O102" s="99">
        <f t="shared" si="102"/>
        <v>13.3</v>
      </c>
      <c r="P102" s="99">
        <f t="shared" si="102"/>
        <v>13.3</v>
      </c>
      <c r="Q102" s="99">
        <f t="shared" si="102"/>
        <v>13.3</v>
      </c>
      <c r="R102" s="99">
        <f t="shared" si="102"/>
        <v>13.3</v>
      </c>
      <c r="AT102" s="308">
        <f t="shared" ref="AT102:BG102" si="103">AS102*(1+AT$90)</f>
        <v>0</v>
      </c>
      <c r="AU102" s="308">
        <f t="shared" si="103"/>
        <v>0</v>
      </c>
      <c r="AV102" s="308">
        <f t="shared" si="103"/>
        <v>0</v>
      </c>
      <c r="AW102" s="308">
        <f t="shared" si="103"/>
        <v>0</v>
      </c>
      <c r="AX102" s="308">
        <f t="shared" si="103"/>
        <v>0</v>
      </c>
      <c r="AY102" s="308">
        <f t="shared" si="103"/>
        <v>0</v>
      </c>
      <c r="AZ102" s="308">
        <f t="shared" si="103"/>
        <v>0</v>
      </c>
      <c r="BA102" s="308">
        <f t="shared" si="103"/>
        <v>0</v>
      </c>
      <c r="BB102" s="308">
        <f t="shared" si="103"/>
        <v>0</v>
      </c>
      <c r="BC102" s="308">
        <f t="shared" si="103"/>
        <v>0</v>
      </c>
      <c r="BD102" s="308">
        <f t="shared" si="103"/>
        <v>0</v>
      </c>
      <c r="BE102" s="308">
        <f t="shared" si="103"/>
        <v>0</v>
      </c>
      <c r="BF102" s="308">
        <f t="shared" si="103"/>
        <v>0</v>
      </c>
      <c r="BG102" s="308">
        <f t="shared" si="103"/>
        <v>0</v>
      </c>
    </row>
    <row r="103" ht="12.75" hidden="1" customHeight="1" outlineLevel="1">
      <c r="A103" s="90"/>
      <c r="B103" s="90"/>
      <c r="C103" s="90" t="s">
        <v>679</v>
      </c>
      <c r="D103" s="90"/>
      <c r="E103" s="90"/>
      <c r="F103" s="90"/>
      <c r="G103" s="99"/>
      <c r="H103" s="99"/>
      <c r="I103" s="99"/>
      <c r="J103" s="99"/>
      <c r="K103" s="99"/>
      <c r="L103" s="99"/>
      <c r="M103" s="99"/>
      <c r="N103" s="99"/>
      <c r="O103" s="99"/>
      <c r="P103" s="99"/>
      <c r="Q103" s="99"/>
      <c r="R103" s="99"/>
      <c r="AT103" s="308"/>
      <c r="AU103" s="308"/>
      <c r="AV103" s="308"/>
      <c r="AW103" s="308"/>
      <c r="AX103" s="308"/>
      <c r="AY103" s="308"/>
      <c r="AZ103" s="308"/>
      <c r="BA103" s="308"/>
      <c r="BB103" s="308"/>
      <c r="BC103" s="308"/>
      <c r="BD103" s="308"/>
      <c r="BE103" s="308"/>
      <c r="BF103" s="308"/>
      <c r="BG103" s="308"/>
    </row>
    <row r="104" ht="12.75" hidden="1" customHeight="1" outlineLevel="1">
      <c r="A104" s="237"/>
      <c r="B104" s="237"/>
      <c r="C104" s="237" t="s">
        <v>680</v>
      </c>
      <c r="D104" s="237"/>
      <c r="E104" s="237"/>
      <c r="F104" s="237"/>
      <c r="G104" s="356"/>
      <c r="H104" s="356"/>
      <c r="I104" s="356">
        <f>'RSGen 1-7'!I104</f>
        <v>600</v>
      </c>
      <c r="J104" s="356">
        <f t="shared" ref="J104:R104" si="104">I104*(1+J$90)</f>
        <v>600</v>
      </c>
      <c r="K104" s="356">
        <f t="shared" si="104"/>
        <v>600</v>
      </c>
      <c r="L104" s="356">
        <f t="shared" si="104"/>
        <v>600</v>
      </c>
      <c r="M104" s="356">
        <f t="shared" si="104"/>
        <v>600</v>
      </c>
      <c r="N104" s="356">
        <f t="shared" si="104"/>
        <v>600</v>
      </c>
      <c r="O104" s="356">
        <f t="shared" si="104"/>
        <v>600</v>
      </c>
      <c r="P104" s="356">
        <f t="shared" si="104"/>
        <v>600</v>
      </c>
      <c r="Q104" s="356">
        <f t="shared" si="104"/>
        <v>600</v>
      </c>
      <c r="R104" s="356">
        <f t="shared" si="104"/>
        <v>600</v>
      </c>
      <c r="AT104" s="308">
        <f t="shared" ref="AT104:BG104" si="105">AS104*(1+AT$90)</f>
        <v>0</v>
      </c>
      <c r="AU104" s="308">
        <f t="shared" si="105"/>
        <v>0</v>
      </c>
      <c r="AV104" s="308">
        <f t="shared" si="105"/>
        <v>0</v>
      </c>
      <c r="AW104" s="308">
        <f t="shared" si="105"/>
        <v>0</v>
      </c>
      <c r="AX104" s="308">
        <f t="shared" si="105"/>
        <v>0</v>
      </c>
      <c r="AY104" s="308">
        <f t="shared" si="105"/>
        <v>0</v>
      </c>
      <c r="AZ104" s="308">
        <f t="shared" si="105"/>
        <v>0</v>
      </c>
      <c r="BA104" s="308">
        <f t="shared" si="105"/>
        <v>0</v>
      </c>
      <c r="BB104" s="308">
        <f t="shared" si="105"/>
        <v>0</v>
      </c>
      <c r="BC104" s="308">
        <f t="shared" si="105"/>
        <v>0</v>
      </c>
      <c r="BD104" s="308">
        <f t="shared" si="105"/>
        <v>0</v>
      </c>
      <c r="BE104" s="308">
        <f t="shared" si="105"/>
        <v>0</v>
      </c>
      <c r="BF104" s="308">
        <f t="shared" si="105"/>
        <v>0</v>
      </c>
      <c r="BG104" s="308">
        <f t="shared" si="105"/>
        <v>0</v>
      </c>
    </row>
    <row r="105" ht="12.75" hidden="1" customHeight="1" outlineLevel="1">
      <c r="A105" s="90"/>
      <c r="B105" s="90"/>
      <c r="C105" s="90" t="s">
        <v>681</v>
      </c>
      <c r="D105" s="90"/>
      <c r="E105" s="90"/>
      <c r="F105" s="90"/>
      <c r="G105" s="99"/>
      <c r="H105" s="99"/>
      <c r="I105" s="99">
        <f>'RS2'!K104</f>
        <v>0</v>
      </c>
      <c r="J105" s="99">
        <f t="shared" ref="J105:R105" si="106">I105*(1+J$90)</f>
        <v>0</v>
      </c>
      <c r="K105" s="99">
        <f t="shared" si="106"/>
        <v>0</v>
      </c>
      <c r="L105" s="99">
        <f t="shared" si="106"/>
        <v>0</v>
      </c>
      <c r="M105" s="99">
        <f t="shared" si="106"/>
        <v>0</v>
      </c>
      <c r="N105" s="99">
        <f t="shared" si="106"/>
        <v>0</v>
      </c>
      <c r="O105" s="99">
        <f t="shared" si="106"/>
        <v>0</v>
      </c>
      <c r="P105" s="99">
        <f t="shared" si="106"/>
        <v>0</v>
      </c>
      <c r="Q105" s="99">
        <f t="shared" si="106"/>
        <v>0</v>
      </c>
      <c r="R105" s="99">
        <f t="shared" si="106"/>
        <v>0</v>
      </c>
      <c r="AT105" s="308">
        <f t="shared" ref="AT105:BG105" si="107">AS105*(1+AT$90)</f>
        <v>0</v>
      </c>
      <c r="AU105" s="308">
        <f t="shared" si="107"/>
        <v>0</v>
      </c>
      <c r="AV105" s="308">
        <f t="shared" si="107"/>
        <v>0</v>
      </c>
      <c r="AW105" s="308">
        <f t="shared" si="107"/>
        <v>0</v>
      </c>
      <c r="AX105" s="308">
        <f t="shared" si="107"/>
        <v>0</v>
      </c>
      <c r="AY105" s="308">
        <f t="shared" si="107"/>
        <v>0</v>
      </c>
      <c r="AZ105" s="308">
        <f t="shared" si="107"/>
        <v>0</v>
      </c>
      <c r="BA105" s="308">
        <f t="shared" si="107"/>
        <v>0</v>
      </c>
      <c r="BB105" s="308">
        <f t="shared" si="107"/>
        <v>0</v>
      </c>
      <c r="BC105" s="308">
        <f t="shared" si="107"/>
        <v>0</v>
      </c>
      <c r="BD105" s="308">
        <f t="shared" si="107"/>
        <v>0</v>
      </c>
      <c r="BE105" s="308">
        <f t="shared" si="107"/>
        <v>0</v>
      </c>
      <c r="BF105" s="308">
        <f t="shared" si="107"/>
        <v>0</v>
      </c>
      <c r="BG105" s="308">
        <f t="shared" si="107"/>
        <v>0</v>
      </c>
    </row>
    <row r="106" ht="12.75" hidden="1" customHeight="1" outlineLevel="1">
      <c r="A106" s="90"/>
      <c r="B106" s="90"/>
      <c r="C106" s="90" t="s">
        <v>682</v>
      </c>
      <c r="D106" s="90"/>
      <c r="E106" s="90"/>
      <c r="F106" s="90"/>
      <c r="G106" s="99"/>
      <c r="H106" s="99"/>
      <c r="I106" s="99">
        <f>'RS2'!K105</f>
        <v>0</v>
      </c>
      <c r="J106" s="99">
        <f t="shared" ref="J106:R106" si="108">I106*(1+J$90)</f>
        <v>0</v>
      </c>
      <c r="K106" s="99">
        <f t="shared" si="108"/>
        <v>0</v>
      </c>
      <c r="L106" s="99">
        <f t="shared" si="108"/>
        <v>0</v>
      </c>
      <c r="M106" s="99">
        <f t="shared" si="108"/>
        <v>0</v>
      </c>
      <c r="N106" s="99">
        <f t="shared" si="108"/>
        <v>0</v>
      </c>
      <c r="O106" s="99">
        <f t="shared" si="108"/>
        <v>0</v>
      </c>
      <c r="P106" s="99">
        <f t="shared" si="108"/>
        <v>0</v>
      </c>
      <c r="Q106" s="99">
        <f t="shared" si="108"/>
        <v>0</v>
      </c>
      <c r="R106" s="99">
        <f t="shared" si="108"/>
        <v>0</v>
      </c>
      <c r="AT106" s="308">
        <f t="shared" ref="AT106:BG106" si="109">AS106*(1+AT$90)</f>
        <v>0</v>
      </c>
      <c r="AU106" s="308">
        <f t="shared" si="109"/>
        <v>0</v>
      </c>
      <c r="AV106" s="308">
        <f t="shared" si="109"/>
        <v>0</v>
      </c>
      <c r="AW106" s="308">
        <f t="shared" si="109"/>
        <v>0</v>
      </c>
      <c r="AX106" s="308">
        <f t="shared" si="109"/>
        <v>0</v>
      </c>
      <c r="AY106" s="308">
        <f t="shared" si="109"/>
        <v>0</v>
      </c>
      <c r="AZ106" s="308">
        <f t="shared" si="109"/>
        <v>0</v>
      </c>
      <c r="BA106" s="308">
        <f t="shared" si="109"/>
        <v>0</v>
      </c>
      <c r="BB106" s="308">
        <f t="shared" si="109"/>
        <v>0</v>
      </c>
      <c r="BC106" s="308">
        <f t="shared" si="109"/>
        <v>0</v>
      </c>
      <c r="BD106" s="308">
        <f t="shared" si="109"/>
        <v>0</v>
      </c>
      <c r="BE106" s="308">
        <f t="shared" si="109"/>
        <v>0</v>
      </c>
      <c r="BF106" s="308">
        <f t="shared" si="109"/>
        <v>0</v>
      </c>
      <c r="BG106" s="308">
        <f t="shared" si="109"/>
        <v>0</v>
      </c>
    </row>
    <row r="107" ht="12.75" hidden="1" customHeight="1" outlineLevel="1">
      <c r="A107" s="90"/>
      <c r="B107" s="90"/>
      <c r="C107" s="90" t="s">
        <v>683</v>
      </c>
      <c r="D107" s="90"/>
      <c r="E107" s="90"/>
      <c r="F107" s="90"/>
      <c r="G107" s="99"/>
      <c r="H107" s="99"/>
      <c r="I107" s="99">
        <f>'RS2'!K106</f>
        <v>0</v>
      </c>
      <c r="J107" s="99">
        <f t="shared" ref="J107:R107" si="110">I107*(1+J$90)</f>
        <v>0</v>
      </c>
      <c r="K107" s="99">
        <f t="shared" si="110"/>
        <v>0</v>
      </c>
      <c r="L107" s="99">
        <f t="shared" si="110"/>
        <v>0</v>
      </c>
      <c r="M107" s="99">
        <f t="shared" si="110"/>
        <v>0</v>
      </c>
      <c r="N107" s="99">
        <f t="shared" si="110"/>
        <v>0</v>
      </c>
      <c r="O107" s="99">
        <f t="shared" si="110"/>
        <v>0</v>
      </c>
      <c r="P107" s="99">
        <f t="shared" si="110"/>
        <v>0</v>
      </c>
      <c r="Q107" s="99">
        <f t="shared" si="110"/>
        <v>0</v>
      </c>
      <c r="R107" s="99">
        <f t="shared" si="110"/>
        <v>0</v>
      </c>
      <c r="AT107" s="308">
        <f t="shared" ref="AT107:BG107" si="111">AS107*(1+AT$90)</f>
        <v>0</v>
      </c>
      <c r="AU107" s="308">
        <f t="shared" si="111"/>
        <v>0</v>
      </c>
      <c r="AV107" s="308">
        <f t="shared" si="111"/>
        <v>0</v>
      </c>
      <c r="AW107" s="308">
        <f t="shared" si="111"/>
        <v>0</v>
      </c>
      <c r="AX107" s="308">
        <f t="shared" si="111"/>
        <v>0</v>
      </c>
      <c r="AY107" s="308">
        <f t="shared" si="111"/>
        <v>0</v>
      </c>
      <c r="AZ107" s="308">
        <f t="shared" si="111"/>
        <v>0</v>
      </c>
      <c r="BA107" s="308">
        <f t="shared" si="111"/>
        <v>0</v>
      </c>
      <c r="BB107" s="308">
        <f t="shared" si="111"/>
        <v>0</v>
      </c>
      <c r="BC107" s="308">
        <f t="shared" si="111"/>
        <v>0</v>
      </c>
      <c r="BD107" s="308">
        <f t="shared" si="111"/>
        <v>0</v>
      </c>
      <c r="BE107" s="308">
        <f t="shared" si="111"/>
        <v>0</v>
      </c>
      <c r="BF107" s="308">
        <f t="shared" si="111"/>
        <v>0</v>
      </c>
      <c r="BG107" s="308">
        <f t="shared" si="111"/>
        <v>0</v>
      </c>
    </row>
    <row r="108" ht="12.75" hidden="1" customHeight="1" outlineLevel="1">
      <c r="A108" s="90"/>
      <c r="B108" s="90"/>
      <c r="C108" s="90" t="s">
        <v>684</v>
      </c>
      <c r="D108" s="90"/>
      <c r="E108" s="90"/>
      <c r="F108" s="90"/>
      <c r="G108" s="99"/>
      <c r="H108" s="99"/>
      <c r="I108" s="99">
        <f>'RS2'!K107</f>
        <v>0</v>
      </c>
      <c r="J108" s="99">
        <f t="shared" ref="J108:R108" si="112">I108*(1+J$90)</f>
        <v>0</v>
      </c>
      <c r="K108" s="99">
        <f t="shared" si="112"/>
        <v>0</v>
      </c>
      <c r="L108" s="99">
        <f t="shared" si="112"/>
        <v>0</v>
      </c>
      <c r="M108" s="99">
        <f t="shared" si="112"/>
        <v>0</v>
      </c>
      <c r="N108" s="99">
        <f t="shared" si="112"/>
        <v>0</v>
      </c>
      <c r="O108" s="99">
        <f t="shared" si="112"/>
        <v>0</v>
      </c>
      <c r="P108" s="99">
        <f t="shared" si="112"/>
        <v>0</v>
      </c>
      <c r="Q108" s="99">
        <f t="shared" si="112"/>
        <v>0</v>
      </c>
      <c r="R108" s="99">
        <f t="shared" si="112"/>
        <v>0</v>
      </c>
      <c r="AT108" s="308">
        <f t="shared" ref="AT108:BG108" si="113">AS108*(1+AT$90)</f>
        <v>0</v>
      </c>
      <c r="AU108" s="308">
        <f t="shared" si="113"/>
        <v>0</v>
      </c>
      <c r="AV108" s="308">
        <f t="shared" si="113"/>
        <v>0</v>
      </c>
      <c r="AW108" s="308">
        <f t="shared" si="113"/>
        <v>0</v>
      </c>
      <c r="AX108" s="308">
        <f t="shared" si="113"/>
        <v>0</v>
      </c>
      <c r="AY108" s="308">
        <f t="shared" si="113"/>
        <v>0</v>
      </c>
      <c r="AZ108" s="308">
        <f t="shared" si="113"/>
        <v>0</v>
      </c>
      <c r="BA108" s="308">
        <f t="shared" si="113"/>
        <v>0</v>
      </c>
      <c r="BB108" s="308">
        <f t="shared" si="113"/>
        <v>0</v>
      </c>
      <c r="BC108" s="308">
        <f t="shared" si="113"/>
        <v>0</v>
      </c>
      <c r="BD108" s="308">
        <f t="shared" si="113"/>
        <v>0</v>
      </c>
      <c r="BE108" s="308">
        <f t="shared" si="113"/>
        <v>0</v>
      </c>
      <c r="BF108" s="308">
        <f t="shared" si="113"/>
        <v>0</v>
      </c>
      <c r="BG108" s="308">
        <f t="shared" si="113"/>
        <v>0</v>
      </c>
    </row>
    <row r="109" ht="12.75" hidden="1" customHeight="1" outlineLevel="1">
      <c r="A109" s="90"/>
      <c r="B109" s="90"/>
      <c r="C109" s="90"/>
      <c r="D109" s="90"/>
      <c r="E109" s="90"/>
      <c r="F109" s="90"/>
      <c r="G109" s="99"/>
      <c r="H109" s="99"/>
      <c r="I109" s="99"/>
      <c r="J109" s="99"/>
      <c r="K109" s="99"/>
      <c r="L109" s="99"/>
      <c r="M109" s="99"/>
      <c r="N109" s="99"/>
      <c r="O109" s="99"/>
      <c r="P109" s="99"/>
      <c r="Q109" s="99"/>
      <c r="R109" s="99"/>
      <c r="AT109" s="308"/>
      <c r="AU109" s="308"/>
      <c r="AV109" s="308"/>
      <c r="AW109" s="308"/>
      <c r="AX109" s="308"/>
      <c r="AY109" s="308"/>
      <c r="AZ109" s="308"/>
      <c r="BA109" s="308"/>
      <c r="BB109" s="308"/>
      <c r="BC109" s="308"/>
      <c r="BD109" s="308"/>
      <c r="BE109" s="308"/>
      <c r="BF109" s="308"/>
      <c r="BG109" s="308"/>
    </row>
    <row r="110" ht="12.75" hidden="1" customHeight="1" outlineLevel="1">
      <c r="A110" s="90"/>
      <c r="B110" s="67" t="s">
        <v>685</v>
      </c>
      <c r="C110" s="90"/>
      <c r="D110" s="90"/>
      <c r="E110" s="90"/>
      <c r="F110" s="90"/>
      <c r="G110" s="99"/>
      <c r="H110" s="99"/>
      <c r="I110" s="90"/>
      <c r="J110" s="90"/>
      <c r="K110" s="90"/>
      <c r="L110" s="90"/>
      <c r="M110" s="90"/>
      <c r="N110" s="90"/>
      <c r="O110" s="90"/>
      <c r="P110" s="90"/>
      <c r="Q110" s="90"/>
      <c r="R110" s="90"/>
      <c r="AT110" s="313"/>
      <c r="AU110" s="313"/>
      <c r="AV110" s="313"/>
      <c r="AW110" s="313"/>
      <c r="AX110" s="313"/>
      <c r="AY110" s="313"/>
      <c r="AZ110" s="313"/>
      <c r="BA110" s="313"/>
      <c r="BB110" s="313"/>
      <c r="BC110" s="313"/>
      <c r="BD110" s="313"/>
      <c r="BE110" s="313"/>
      <c r="BF110" s="313"/>
      <c r="BG110" s="313"/>
    </row>
    <row r="111" ht="12.75" hidden="1" customHeight="1" outlineLevel="1">
      <c r="A111" s="90"/>
      <c r="B111" s="90"/>
      <c r="C111" s="90" t="s">
        <v>574</v>
      </c>
      <c r="D111" s="90"/>
      <c r="E111" s="90"/>
      <c r="F111" s="90"/>
      <c r="G111" s="178"/>
      <c r="H111" s="178"/>
      <c r="I111" s="178"/>
      <c r="J111" s="178"/>
      <c r="K111" s="178"/>
      <c r="L111" s="178"/>
      <c r="M111" s="178"/>
      <c r="N111" s="178"/>
      <c r="O111" s="178"/>
      <c r="P111" s="178"/>
      <c r="Q111" s="178"/>
      <c r="R111" s="178"/>
      <c r="AT111" s="355">
        <v>0.01</v>
      </c>
      <c r="AU111" s="355">
        <v>0.01</v>
      </c>
      <c r="AV111" s="355">
        <v>0.01</v>
      </c>
      <c r="AW111" s="355">
        <v>0.01</v>
      </c>
      <c r="AX111" s="355">
        <v>0.01</v>
      </c>
      <c r="AY111" s="355">
        <v>0.01</v>
      </c>
      <c r="AZ111" s="355">
        <v>0.01</v>
      </c>
      <c r="BA111" s="355">
        <v>0.01</v>
      </c>
      <c r="BB111" s="355">
        <v>0.01</v>
      </c>
      <c r="BC111" s="355">
        <v>0.01</v>
      </c>
      <c r="BD111" s="355">
        <v>0.01</v>
      </c>
      <c r="BE111" s="355">
        <v>0.01</v>
      </c>
      <c r="BF111" s="355">
        <v>0.01</v>
      </c>
      <c r="BG111" s="355">
        <v>0.01</v>
      </c>
    </row>
    <row r="112" ht="12.75" hidden="1" customHeight="1" outlineLevel="1">
      <c r="A112" s="90"/>
      <c r="B112" s="90"/>
      <c r="C112" s="90" t="s">
        <v>686</v>
      </c>
      <c r="D112" s="90"/>
      <c r="E112" s="90"/>
      <c r="F112" s="90"/>
      <c r="G112" s="99"/>
      <c r="H112" s="99"/>
      <c r="I112" s="99">
        <f>'RS2'!K111</f>
        <v>400</v>
      </c>
      <c r="J112" s="99">
        <f t="shared" ref="J112:R112" si="114">I112*(1+J$111)</f>
        <v>400</v>
      </c>
      <c r="K112" s="99">
        <f t="shared" si="114"/>
        <v>400</v>
      </c>
      <c r="L112" s="99">
        <f t="shared" si="114"/>
        <v>400</v>
      </c>
      <c r="M112" s="99">
        <f t="shared" si="114"/>
        <v>400</v>
      </c>
      <c r="N112" s="99">
        <f t="shared" si="114"/>
        <v>400</v>
      </c>
      <c r="O112" s="99">
        <f t="shared" si="114"/>
        <v>400</v>
      </c>
      <c r="P112" s="99">
        <f t="shared" si="114"/>
        <v>400</v>
      </c>
      <c r="Q112" s="99">
        <f t="shared" si="114"/>
        <v>400</v>
      </c>
      <c r="R112" s="99">
        <f t="shared" si="114"/>
        <v>400</v>
      </c>
      <c r="AT112" s="308">
        <f t="shared" ref="AT112:BG112" si="115">AS112*(1+AT$111)</f>
        <v>0</v>
      </c>
      <c r="AU112" s="308">
        <f t="shared" si="115"/>
        <v>0</v>
      </c>
      <c r="AV112" s="308">
        <f t="shared" si="115"/>
        <v>0</v>
      </c>
      <c r="AW112" s="308">
        <f t="shared" si="115"/>
        <v>0</v>
      </c>
      <c r="AX112" s="308">
        <f t="shared" si="115"/>
        <v>0</v>
      </c>
      <c r="AY112" s="308">
        <f t="shared" si="115"/>
        <v>0</v>
      </c>
      <c r="AZ112" s="308">
        <f t="shared" si="115"/>
        <v>0</v>
      </c>
      <c r="BA112" s="308">
        <f t="shared" si="115"/>
        <v>0</v>
      </c>
      <c r="BB112" s="308">
        <f t="shared" si="115"/>
        <v>0</v>
      </c>
      <c r="BC112" s="308">
        <f t="shared" si="115"/>
        <v>0</v>
      </c>
      <c r="BD112" s="308">
        <f t="shared" si="115"/>
        <v>0</v>
      </c>
      <c r="BE112" s="308">
        <f t="shared" si="115"/>
        <v>0</v>
      </c>
      <c r="BF112" s="308">
        <f t="shared" si="115"/>
        <v>0</v>
      </c>
      <c r="BG112" s="308">
        <f t="shared" si="115"/>
        <v>0</v>
      </c>
    </row>
    <row r="113" ht="12.75" hidden="1" customHeight="1" outlineLevel="1">
      <c r="A113" s="90"/>
      <c r="B113" s="90"/>
      <c r="C113" s="90" t="s">
        <v>687</v>
      </c>
      <c r="D113" s="90"/>
      <c r="E113" s="90"/>
      <c r="F113" s="90"/>
      <c r="G113" s="99"/>
      <c r="H113" s="99"/>
      <c r="I113" s="152">
        <f>'RSGen 1-7'!I113</f>
        <v>0.75</v>
      </c>
      <c r="J113" s="152">
        <f>'RSGen 1-7'!J113</f>
        <v>0.75</v>
      </c>
      <c r="K113" s="152">
        <f>'RSGen 1-7'!K113</f>
        <v>0.75</v>
      </c>
      <c r="L113" s="152">
        <f>'RSGen 1-7'!L113</f>
        <v>0.75</v>
      </c>
      <c r="M113" s="152">
        <f>'RSGen 1-7'!M113</f>
        <v>0.75</v>
      </c>
      <c r="N113" s="152">
        <f>'RSGen 1-7'!N113</f>
        <v>0.75</v>
      </c>
      <c r="O113" s="152">
        <f>'RSGen 1-7'!O113</f>
        <v>0.75</v>
      </c>
      <c r="P113" s="152">
        <f>'RSGen 1-7'!P113</f>
        <v>0.75</v>
      </c>
      <c r="Q113" s="152">
        <f>'RSGen 1-7'!Q113</f>
        <v>0.75</v>
      </c>
      <c r="R113" s="152">
        <f>'RSGen 1-7'!R113</f>
        <v>0.75</v>
      </c>
      <c r="AT113" s="308">
        <f t="shared" ref="AT113:BG113" si="116">AS113*(1+AT$111)</f>
        <v>0</v>
      </c>
      <c r="AU113" s="308">
        <f t="shared" si="116"/>
        <v>0</v>
      </c>
      <c r="AV113" s="308">
        <f t="shared" si="116"/>
        <v>0</v>
      </c>
      <c r="AW113" s="308">
        <f t="shared" si="116"/>
        <v>0</v>
      </c>
      <c r="AX113" s="308">
        <f t="shared" si="116"/>
        <v>0</v>
      </c>
      <c r="AY113" s="308">
        <f t="shared" si="116"/>
        <v>0</v>
      </c>
      <c r="AZ113" s="308">
        <f t="shared" si="116"/>
        <v>0</v>
      </c>
      <c r="BA113" s="308">
        <f t="shared" si="116"/>
        <v>0</v>
      </c>
      <c r="BB113" s="308">
        <f t="shared" si="116"/>
        <v>0</v>
      </c>
      <c r="BC113" s="308">
        <f t="shared" si="116"/>
        <v>0</v>
      </c>
      <c r="BD113" s="308">
        <f t="shared" si="116"/>
        <v>0</v>
      </c>
      <c r="BE113" s="308">
        <f t="shared" si="116"/>
        <v>0</v>
      </c>
      <c r="BF113" s="308">
        <f t="shared" si="116"/>
        <v>0</v>
      </c>
      <c r="BG113" s="308">
        <f t="shared" si="116"/>
        <v>0</v>
      </c>
    </row>
    <row r="114" ht="12.75" hidden="1" customHeight="1" outlineLevel="1">
      <c r="A114" s="90"/>
      <c r="B114" s="90"/>
      <c r="C114" s="90" t="s">
        <v>688</v>
      </c>
      <c r="D114" s="90"/>
      <c r="E114" s="90"/>
      <c r="F114" s="90"/>
      <c r="G114" s="99"/>
      <c r="H114" s="99"/>
      <c r="I114" s="99"/>
      <c r="J114" s="99"/>
      <c r="K114" s="99"/>
      <c r="L114" s="99"/>
      <c r="M114" s="99"/>
      <c r="N114" s="99"/>
      <c r="O114" s="99"/>
      <c r="P114" s="99"/>
      <c r="Q114" s="99"/>
      <c r="R114" s="99"/>
      <c r="AT114" s="308">
        <f t="shared" ref="AT114:AX114" si="117">AS114*(1+AT$111)</f>
        <v>0</v>
      </c>
      <c r="AU114" s="308">
        <f t="shared" si="117"/>
        <v>0</v>
      </c>
      <c r="AV114" s="308">
        <f t="shared" si="117"/>
        <v>0</v>
      </c>
      <c r="AW114" s="308">
        <f t="shared" si="117"/>
        <v>0</v>
      </c>
      <c r="AX114" s="308">
        <f t="shared" si="117"/>
        <v>0</v>
      </c>
      <c r="AY114" s="237" t="s">
        <v>21</v>
      </c>
      <c r="AZ114" s="308" t="str">
        <f t="shared" ref="AZ114:BG114" si="118">AY114*(1+AZ$111)</f>
        <v>#VALUE!</v>
      </c>
      <c r="BA114" s="308" t="str">
        <f t="shared" si="118"/>
        <v>#VALUE!</v>
      </c>
      <c r="BB114" s="308" t="str">
        <f t="shared" si="118"/>
        <v>#VALUE!</v>
      </c>
      <c r="BC114" s="308" t="str">
        <f t="shared" si="118"/>
        <v>#VALUE!</v>
      </c>
      <c r="BD114" s="308" t="str">
        <f t="shared" si="118"/>
        <v>#VALUE!</v>
      </c>
      <c r="BE114" s="308" t="str">
        <f t="shared" si="118"/>
        <v>#VALUE!</v>
      </c>
      <c r="BF114" s="308" t="str">
        <f t="shared" si="118"/>
        <v>#VALUE!</v>
      </c>
      <c r="BG114" s="308" t="str">
        <f t="shared" si="118"/>
        <v>#VALUE!</v>
      </c>
    </row>
    <row r="115" ht="12.75" hidden="1" customHeight="1" outlineLevel="1">
      <c r="A115" s="90"/>
      <c r="B115" s="90"/>
      <c r="C115" s="90" t="s">
        <v>689</v>
      </c>
      <c r="D115" s="90"/>
      <c r="E115" s="90"/>
      <c r="F115" s="90"/>
      <c r="G115" s="99"/>
      <c r="H115" s="99"/>
      <c r="I115" s="99">
        <f>'RSGen 1-7'!I115</f>
        <v>0</v>
      </c>
      <c r="J115" s="99">
        <f>'RSGen 1-7'!J115</f>
        <v>0</v>
      </c>
      <c r="K115" s="99">
        <f>'RSGen 1-7'!K115</f>
        <v>26.73303835</v>
      </c>
      <c r="L115" s="99">
        <f>'RSGen 1-7'!L115</f>
        <v>26.73303835</v>
      </c>
      <c r="M115" s="99">
        <f>'RSGen 1-7'!M115</f>
        <v>26.73303835</v>
      </c>
      <c r="N115" s="99">
        <f>'RSGen 1-7'!N115</f>
        <v>26.73303835</v>
      </c>
      <c r="O115" s="99">
        <f>'RSGen 1-7'!O115</f>
        <v>26.73303835</v>
      </c>
      <c r="P115" s="99">
        <f>'RSGen 1-7'!P115</f>
        <v>26.73303835</v>
      </c>
      <c r="Q115" s="99">
        <f>'RSGen 1-7'!Q115</f>
        <v>26.73303835</v>
      </c>
      <c r="R115" s="99">
        <f>'RSGen 1-7'!R115</f>
        <v>26.73303835</v>
      </c>
      <c r="AT115" s="308">
        <f t="shared" ref="AT115:AX115" si="119">AS115*(1+AT$111)</f>
        <v>0</v>
      </c>
      <c r="AU115" s="308">
        <f t="shared" si="119"/>
        <v>0</v>
      </c>
      <c r="AV115" s="308">
        <f t="shared" si="119"/>
        <v>0</v>
      </c>
      <c r="AW115" s="308">
        <f t="shared" si="119"/>
        <v>0</v>
      </c>
      <c r="AX115" s="308">
        <f t="shared" si="119"/>
        <v>0</v>
      </c>
      <c r="AY115" s="237">
        <v>80.0</v>
      </c>
      <c r="AZ115" s="308">
        <f t="shared" ref="AZ115:BG115" si="120">AY115*(1+AZ$111)</f>
        <v>80.8</v>
      </c>
      <c r="BA115" s="308">
        <f t="shared" si="120"/>
        <v>81.608</v>
      </c>
      <c r="BB115" s="308">
        <f t="shared" si="120"/>
        <v>82.42408</v>
      </c>
      <c r="BC115" s="308">
        <f t="shared" si="120"/>
        <v>83.2483208</v>
      </c>
      <c r="BD115" s="308">
        <f t="shared" si="120"/>
        <v>84.08080401</v>
      </c>
      <c r="BE115" s="308">
        <f t="shared" si="120"/>
        <v>84.92161205</v>
      </c>
      <c r="BF115" s="308">
        <f t="shared" si="120"/>
        <v>85.77082817</v>
      </c>
      <c r="BG115" s="308">
        <f t="shared" si="120"/>
        <v>86.62853645</v>
      </c>
    </row>
    <row r="116" ht="12.75" hidden="1" customHeight="1" outlineLevel="1">
      <c r="A116" s="90"/>
      <c r="B116" s="90"/>
      <c r="C116" s="90" t="s">
        <v>690</v>
      </c>
      <c r="D116" s="90"/>
      <c r="E116" s="90"/>
      <c r="F116" s="90"/>
      <c r="G116" s="99"/>
      <c r="H116" s="99"/>
      <c r="I116" s="99">
        <f>'RS2'!K115</f>
        <v>0</v>
      </c>
      <c r="J116" s="99">
        <f t="shared" ref="J116:R116" si="121">I116*(1+J$111)</f>
        <v>0</v>
      </c>
      <c r="K116" s="99">
        <f t="shared" si="121"/>
        <v>0</v>
      </c>
      <c r="L116" s="99">
        <f t="shared" si="121"/>
        <v>0</v>
      </c>
      <c r="M116" s="99">
        <f t="shared" si="121"/>
        <v>0</v>
      </c>
      <c r="N116" s="99">
        <f t="shared" si="121"/>
        <v>0</v>
      </c>
      <c r="O116" s="99">
        <f t="shared" si="121"/>
        <v>0</v>
      </c>
      <c r="P116" s="99">
        <f t="shared" si="121"/>
        <v>0</v>
      </c>
      <c r="Q116" s="99">
        <f t="shared" si="121"/>
        <v>0</v>
      </c>
      <c r="R116" s="99">
        <f t="shared" si="121"/>
        <v>0</v>
      </c>
      <c r="AT116" s="308">
        <f t="shared" ref="AT116:AX116" si="122">AS116*(1+AT$111)</f>
        <v>0</v>
      </c>
      <c r="AU116" s="308">
        <f t="shared" si="122"/>
        <v>0</v>
      </c>
      <c r="AV116" s="308">
        <f t="shared" si="122"/>
        <v>0</v>
      </c>
      <c r="AW116" s="308">
        <f t="shared" si="122"/>
        <v>0</v>
      </c>
      <c r="AX116" s="308">
        <f t="shared" si="122"/>
        <v>0</v>
      </c>
      <c r="AY116" s="237">
        <v>80.0</v>
      </c>
      <c r="AZ116" s="308">
        <f t="shared" ref="AZ116:BG116" si="123">AY116*(1+AZ$111)</f>
        <v>80.8</v>
      </c>
      <c r="BA116" s="308">
        <f t="shared" si="123"/>
        <v>81.608</v>
      </c>
      <c r="BB116" s="308">
        <f t="shared" si="123"/>
        <v>82.42408</v>
      </c>
      <c r="BC116" s="308">
        <f t="shared" si="123"/>
        <v>83.2483208</v>
      </c>
      <c r="BD116" s="308">
        <f t="shared" si="123"/>
        <v>84.08080401</v>
      </c>
      <c r="BE116" s="308">
        <f t="shared" si="123"/>
        <v>84.92161205</v>
      </c>
      <c r="BF116" s="308">
        <f t="shared" si="123"/>
        <v>85.77082817</v>
      </c>
      <c r="BG116" s="308">
        <f t="shared" si="123"/>
        <v>86.62853645</v>
      </c>
    </row>
    <row r="117" ht="12.75" hidden="1" customHeight="1" outlineLevel="1">
      <c r="A117" s="90"/>
      <c r="B117" s="90"/>
      <c r="C117" s="90" t="s">
        <v>691</v>
      </c>
      <c r="D117" s="90"/>
      <c r="E117" s="90"/>
      <c r="F117" s="90"/>
      <c r="G117" s="99"/>
      <c r="H117" s="99"/>
      <c r="I117" s="99">
        <f>'RS2'!K116</f>
        <v>0</v>
      </c>
      <c r="J117" s="99">
        <f t="shared" ref="J117:R117" si="124">I117*(1+J$111)</f>
        <v>0</v>
      </c>
      <c r="K117" s="99">
        <f t="shared" si="124"/>
        <v>0</v>
      </c>
      <c r="L117" s="99">
        <f t="shared" si="124"/>
        <v>0</v>
      </c>
      <c r="M117" s="99">
        <f t="shared" si="124"/>
        <v>0</v>
      </c>
      <c r="N117" s="99">
        <f t="shared" si="124"/>
        <v>0</v>
      </c>
      <c r="O117" s="99">
        <f t="shared" si="124"/>
        <v>0</v>
      </c>
      <c r="P117" s="99">
        <f t="shared" si="124"/>
        <v>0</v>
      </c>
      <c r="Q117" s="99">
        <f t="shared" si="124"/>
        <v>0</v>
      </c>
      <c r="R117" s="99">
        <f t="shared" si="124"/>
        <v>0</v>
      </c>
      <c r="AT117" s="308">
        <f t="shared" ref="AT117:AX117" si="125">AS117*(1+AT$111)</f>
        <v>0</v>
      </c>
      <c r="AU117" s="308">
        <f t="shared" si="125"/>
        <v>0</v>
      </c>
      <c r="AV117" s="308">
        <f t="shared" si="125"/>
        <v>0</v>
      </c>
      <c r="AW117" s="308">
        <f t="shared" si="125"/>
        <v>0</v>
      </c>
      <c r="AX117" s="308">
        <f t="shared" si="125"/>
        <v>0</v>
      </c>
      <c r="AY117" s="237">
        <v>80.0</v>
      </c>
      <c r="AZ117" s="308">
        <f t="shared" ref="AZ117:BG117" si="126">AY117*(1+AZ$111)</f>
        <v>80.8</v>
      </c>
      <c r="BA117" s="308">
        <f t="shared" si="126"/>
        <v>81.608</v>
      </c>
      <c r="BB117" s="308">
        <f t="shared" si="126"/>
        <v>82.42408</v>
      </c>
      <c r="BC117" s="308">
        <f t="shared" si="126"/>
        <v>83.2483208</v>
      </c>
      <c r="BD117" s="308">
        <f t="shared" si="126"/>
        <v>84.08080401</v>
      </c>
      <c r="BE117" s="308">
        <f t="shared" si="126"/>
        <v>84.92161205</v>
      </c>
      <c r="BF117" s="308">
        <f t="shared" si="126"/>
        <v>85.77082817</v>
      </c>
      <c r="BG117" s="308">
        <f t="shared" si="126"/>
        <v>86.62853645</v>
      </c>
    </row>
    <row r="118" ht="12.75" hidden="1" customHeight="1" outlineLevel="1">
      <c r="A118" s="90"/>
      <c r="B118" s="90"/>
      <c r="C118" s="90"/>
      <c r="D118" s="90"/>
      <c r="E118" s="90"/>
      <c r="F118" s="90"/>
      <c r="G118" s="99"/>
      <c r="H118" s="99"/>
      <c r="I118" s="90"/>
      <c r="J118" s="90"/>
      <c r="K118" s="90"/>
      <c r="L118" s="90"/>
      <c r="M118" s="90"/>
      <c r="N118" s="90"/>
      <c r="O118" s="90"/>
      <c r="P118" s="90"/>
      <c r="Q118" s="90"/>
      <c r="R118" s="90"/>
      <c r="AT118" s="313"/>
      <c r="AU118" s="313"/>
      <c r="AV118" s="313"/>
      <c r="AW118" s="313"/>
      <c r="AX118" s="313"/>
      <c r="AY118" s="237">
        <v>40.0</v>
      </c>
      <c r="AZ118" s="313"/>
      <c r="BA118" s="313"/>
      <c r="BB118" s="313"/>
      <c r="BC118" s="313"/>
      <c r="BD118" s="313"/>
      <c r="BE118" s="313"/>
      <c r="BF118" s="313"/>
      <c r="BG118" s="313"/>
    </row>
    <row r="119" ht="12.75" hidden="1" customHeight="1" outlineLevel="1">
      <c r="A119" s="90"/>
      <c r="B119" s="67" t="s">
        <v>692</v>
      </c>
      <c r="C119" s="90"/>
      <c r="D119" s="90"/>
      <c r="E119" s="90"/>
      <c r="F119" s="90"/>
      <c r="G119" s="99"/>
      <c r="H119" s="99"/>
      <c r="I119" s="90"/>
      <c r="J119" s="90"/>
      <c r="K119" s="90"/>
      <c r="L119" s="90"/>
      <c r="M119" s="90"/>
      <c r="N119" s="90"/>
      <c r="O119" s="90"/>
      <c r="P119" s="90"/>
      <c r="Q119" s="90"/>
      <c r="R119" s="90"/>
      <c r="AT119" s="313"/>
      <c r="AU119" s="313"/>
      <c r="AV119" s="313"/>
      <c r="AW119" s="313"/>
      <c r="AX119" s="313"/>
      <c r="AY119" s="313"/>
      <c r="AZ119" s="313"/>
      <c r="BA119" s="313"/>
      <c r="BB119" s="313"/>
      <c r="BC119" s="313"/>
      <c r="BD119" s="313"/>
      <c r="BE119" s="313"/>
      <c r="BF119" s="313"/>
      <c r="BG119" s="313"/>
    </row>
    <row r="120" ht="12.75" hidden="1" customHeight="1" outlineLevel="1">
      <c r="A120" s="90"/>
      <c r="B120" s="90"/>
      <c r="C120" s="90" t="s">
        <v>693</v>
      </c>
      <c r="D120" s="90"/>
      <c r="E120" s="90"/>
      <c r="F120" s="90"/>
      <c r="G120" s="99"/>
      <c r="H120" s="99"/>
      <c r="I120" s="99">
        <f>'RSGen 1-7'!I120</f>
        <v>10000</v>
      </c>
      <c r="J120" s="99">
        <f>'RSGen 1-7'!J120</f>
        <v>10000</v>
      </c>
      <c r="K120" s="99">
        <f>'RSGen 1-7'!K120</f>
        <v>5000</v>
      </c>
      <c r="L120" s="99">
        <f>'RSGen 1-7'!L120</f>
        <v>5000</v>
      </c>
      <c r="M120" s="99">
        <f>'RSGen 1-7'!M120</f>
        <v>5000</v>
      </c>
      <c r="N120" s="99">
        <f>'RSGen 1-7'!N120</f>
        <v>5000</v>
      </c>
      <c r="O120" s="99">
        <f>'RSGen 1-7'!O120</f>
        <v>5000</v>
      </c>
      <c r="P120" s="99">
        <f>'RSGen 1-7'!P120</f>
        <v>5000</v>
      </c>
      <c r="Q120" s="99">
        <f>'RSGen 1-7'!Q120</f>
        <v>5000</v>
      </c>
      <c r="R120" s="99">
        <f>'RSGen 1-7'!R120</f>
        <v>5000</v>
      </c>
      <c r="AT120" s="308" t="str">
        <f t="shared" ref="AT120:BG120" si="127">AS120</f>
        <v/>
      </c>
      <c r="AU120" s="308" t="str">
        <f t="shared" si="127"/>
        <v/>
      </c>
      <c r="AV120" s="308" t="str">
        <f t="shared" si="127"/>
        <v/>
      </c>
      <c r="AW120" s="308" t="str">
        <f t="shared" si="127"/>
        <v/>
      </c>
      <c r="AX120" s="308" t="str">
        <f t="shared" si="127"/>
        <v/>
      </c>
      <c r="AY120" s="308" t="str">
        <f t="shared" si="127"/>
        <v/>
      </c>
      <c r="AZ120" s="308" t="str">
        <f t="shared" si="127"/>
        <v/>
      </c>
      <c r="BA120" s="308" t="str">
        <f t="shared" si="127"/>
        <v/>
      </c>
      <c r="BB120" s="308" t="str">
        <f t="shared" si="127"/>
        <v/>
      </c>
      <c r="BC120" s="308" t="str">
        <f t="shared" si="127"/>
        <v/>
      </c>
      <c r="BD120" s="308" t="str">
        <f t="shared" si="127"/>
        <v/>
      </c>
      <c r="BE120" s="308" t="str">
        <f t="shared" si="127"/>
        <v/>
      </c>
      <c r="BF120" s="308" t="str">
        <f t="shared" si="127"/>
        <v/>
      </c>
      <c r="BG120" s="308" t="str">
        <f t="shared" si="127"/>
        <v/>
      </c>
    </row>
    <row r="121" ht="12.75" hidden="1" customHeight="1" outlineLevel="1">
      <c r="A121" s="90"/>
      <c r="B121" s="90"/>
      <c r="C121" s="90" t="s">
        <v>694</v>
      </c>
      <c r="D121" s="90"/>
      <c r="E121" s="90"/>
      <c r="F121" s="90"/>
      <c r="G121" s="99"/>
      <c r="H121" s="99"/>
      <c r="I121" s="99">
        <f>'RS2'!K120</f>
        <v>10000</v>
      </c>
      <c r="J121" s="99">
        <f t="shared" ref="J121:R121" si="128">I121</f>
        <v>10000</v>
      </c>
      <c r="K121" s="99">
        <f t="shared" si="128"/>
        <v>10000</v>
      </c>
      <c r="L121" s="99">
        <f t="shared" si="128"/>
        <v>10000</v>
      </c>
      <c r="M121" s="99">
        <f t="shared" si="128"/>
        <v>10000</v>
      </c>
      <c r="N121" s="99">
        <f t="shared" si="128"/>
        <v>10000</v>
      </c>
      <c r="O121" s="99">
        <f t="shared" si="128"/>
        <v>10000</v>
      </c>
      <c r="P121" s="99">
        <f t="shared" si="128"/>
        <v>10000</v>
      </c>
      <c r="Q121" s="99">
        <f t="shared" si="128"/>
        <v>10000</v>
      </c>
      <c r="R121" s="99">
        <f t="shared" si="128"/>
        <v>10000</v>
      </c>
      <c r="AT121" s="308" t="str">
        <f t="shared" ref="AT121:BG121" si="129">AS121</f>
        <v/>
      </c>
      <c r="AU121" s="308" t="str">
        <f t="shared" si="129"/>
        <v/>
      </c>
      <c r="AV121" s="308" t="str">
        <f t="shared" si="129"/>
        <v/>
      </c>
      <c r="AW121" s="308" t="str">
        <f t="shared" si="129"/>
        <v/>
      </c>
      <c r="AX121" s="308" t="str">
        <f t="shared" si="129"/>
        <v/>
      </c>
      <c r="AY121" s="308" t="str">
        <f t="shared" si="129"/>
        <v/>
      </c>
      <c r="AZ121" s="308" t="str">
        <f t="shared" si="129"/>
        <v/>
      </c>
      <c r="BA121" s="308" t="str">
        <f t="shared" si="129"/>
        <v/>
      </c>
      <c r="BB121" s="308" t="str">
        <f t="shared" si="129"/>
        <v/>
      </c>
      <c r="BC121" s="308" t="str">
        <f t="shared" si="129"/>
        <v/>
      </c>
      <c r="BD121" s="308" t="str">
        <f t="shared" si="129"/>
        <v/>
      </c>
      <c r="BE121" s="308" t="str">
        <f t="shared" si="129"/>
        <v/>
      </c>
      <c r="BF121" s="308" t="str">
        <f t="shared" si="129"/>
        <v/>
      </c>
      <c r="BG121" s="308" t="str">
        <f t="shared" si="129"/>
        <v/>
      </c>
    </row>
    <row r="122" ht="12.75" hidden="1" customHeight="1" outlineLevel="1">
      <c r="A122" s="90"/>
      <c r="B122" s="90"/>
      <c r="C122" s="90" t="s">
        <v>695</v>
      </c>
      <c r="D122" s="90"/>
      <c r="E122" s="90"/>
      <c r="F122" s="90"/>
      <c r="G122" s="99"/>
      <c r="H122" s="99"/>
      <c r="I122" s="99">
        <f>'RSGen 1-7'!I122</f>
        <v>70</v>
      </c>
      <c r="J122" s="99">
        <f>'RSGen 1-7'!J122</f>
        <v>70</v>
      </c>
      <c r="K122" s="99">
        <f>'RSGen 1-7'!K122</f>
        <v>70</v>
      </c>
      <c r="L122" s="99">
        <f>'RSGen 1-7'!L122</f>
        <v>70</v>
      </c>
      <c r="M122" s="99">
        <f>'RSGen 1-7'!M122</f>
        <v>70</v>
      </c>
      <c r="N122" s="99">
        <f>'RSGen 1-7'!N122</f>
        <v>70</v>
      </c>
      <c r="O122" s="99">
        <f>'RSGen 1-7'!O122</f>
        <v>70</v>
      </c>
      <c r="P122" s="99">
        <f>'RSGen 1-7'!P122</f>
        <v>70</v>
      </c>
      <c r="Q122" s="99">
        <f>'RSGen 1-7'!Q122</f>
        <v>70</v>
      </c>
      <c r="R122" s="99">
        <f>'RSGen 1-7'!R122</f>
        <v>70</v>
      </c>
      <c r="AT122" s="308"/>
      <c r="AU122" s="308"/>
      <c r="AV122" s="308"/>
      <c r="AW122" s="308"/>
      <c r="AX122" s="308"/>
      <c r="AY122" s="308"/>
      <c r="AZ122" s="308"/>
      <c r="BA122" s="308"/>
      <c r="BB122" s="308"/>
      <c r="BC122" s="308"/>
      <c r="BD122" s="308"/>
      <c r="BE122" s="308"/>
      <c r="BF122" s="308"/>
      <c r="BG122" s="308"/>
    </row>
    <row r="123" ht="12.75" hidden="1" customHeight="1" outlineLevel="1">
      <c r="A123" s="90"/>
      <c r="B123" s="90"/>
      <c r="C123" s="90" t="s">
        <v>696</v>
      </c>
      <c r="D123" s="90"/>
      <c r="E123" s="90"/>
      <c r="F123" s="90"/>
      <c r="G123" s="178" t="str">
        <f>'RS2'!I122</f>
        <v/>
      </c>
      <c r="H123" s="178" t="str">
        <f>'RS2'!J122</f>
        <v/>
      </c>
      <c r="I123" s="178">
        <f>'RS2'!K122</f>
        <v>0.041</v>
      </c>
      <c r="J123" s="178">
        <f t="shared" ref="J123:R123" si="130">I123</f>
        <v>0.041</v>
      </c>
      <c r="K123" s="178">
        <f t="shared" si="130"/>
        <v>0.041</v>
      </c>
      <c r="L123" s="178">
        <f t="shared" si="130"/>
        <v>0.041</v>
      </c>
      <c r="M123" s="178">
        <f t="shared" si="130"/>
        <v>0.041</v>
      </c>
      <c r="N123" s="178">
        <f t="shared" si="130"/>
        <v>0.041</v>
      </c>
      <c r="O123" s="178">
        <f t="shared" si="130"/>
        <v>0.041</v>
      </c>
      <c r="P123" s="178">
        <f t="shared" si="130"/>
        <v>0.041</v>
      </c>
      <c r="Q123" s="178">
        <f t="shared" si="130"/>
        <v>0.041</v>
      </c>
      <c r="R123" s="178">
        <f t="shared" si="130"/>
        <v>0.041</v>
      </c>
      <c r="AT123" s="355" t="str">
        <f t="shared" ref="AT123:BG123" si="131">AS123</f>
        <v/>
      </c>
      <c r="AU123" s="355" t="str">
        <f t="shared" si="131"/>
        <v/>
      </c>
      <c r="AV123" s="355" t="str">
        <f t="shared" si="131"/>
        <v/>
      </c>
      <c r="AW123" s="355" t="str">
        <f t="shared" si="131"/>
        <v/>
      </c>
      <c r="AX123" s="355" t="str">
        <f t="shared" si="131"/>
        <v/>
      </c>
      <c r="AY123" s="355" t="str">
        <f t="shared" si="131"/>
        <v/>
      </c>
      <c r="AZ123" s="355" t="str">
        <f t="shared" si="131"/>
        <v/>
      </c>
      <c r="BA123" s="355" t="str">
        <f t="shared" si="131"/>
        <v/>
      </c>
      <c r="BB123" s="355" t="str">
        <f t="shared" si="131"/>
        <v/>
      </c>
      <c r="BC123" s="355" t="str">
        <f t="shared" si="131"/>
        <v/>
      </c>
      <c r="BD123" s="355" t="str">
        <f t="shared" si="131"/>
        <v/>
      </c>
      <c r="BE123" s="355" t="str">
        <f t="shared" si="131"/>
        <v/>
      </c>
      <c r="BF123" s="355" t="str">
        <f t="shared" si="131"/>
        <v/>
      </c>
      <c r="BG123" s="355" t="str">
        <f t="shared" si="131"/>
        <v/>
      </c>
    </row>
    <row r="124" ht="12.75" customHeight="1">
      <c r="A124" s="90"/>
      <c r="B124" s="90"/>
      <c r="C124" s="90"/>
      <c r="D124" s="90"/>
      <c r="E124" s="90"/>
      <c r="F124" s="90"/>
      <c r="G124" s="90"/>
      <c r="H124" s="90"/>
      <c r="I124" s="90"/>
      <c r="J124" s="90"/>
      <c r="K124" s="90"/>
      <c r="L124" s="90"/>
      <c r="M124" s="90"/>
      <c r="N124" s="90"/>
      <c r="O124" s="90"/>
      <c r="P124" s="90"/>
      <c r="Q124" s="90"/>
      <c r="R124" s="90"/>
      <c r="AT124" s="313"/>
      <c r="AU124" s="313"/>
      <c r="AV124" s="313"/>
      <c r="AW124" s="313"/>
      <c r="AX124" s="313"/>
      <c r="AY124" s="313"/>
      <c r="AZ124" s="313"/>
      <c r="BA124" s="313"/>
      <c r="BB124" s="313"/>
      <c r="BC124" s="313"/>
      <c r="BD124" s="313"/>
      <c r="BE124" s="313"/>
      <c r="BF124" s="313"/>
      <c r="BG124" s="313"/>
    </row>
    <row r="125" ht="12.75" customHeight="1">
      <c r="A125" s="106" t="s">
        <v>697</v>
      </c>
      <c r="B125" s="253"/>
      <c r="C125" s="253"/>
      <c r="D125" s="253"/>
      <c r="E125" s="253"/>
      <c r="F125" s="253"/>
      <c r="G125" s="253"/>
      <c r="H125" s="253"/>
      <c r="I125" s="253"/>
      <c r="J125" s="253"/>
      <c r="K125" s="253"/>
      <c r="L125" s="253"/>
      <c r="M125" s="253"/>
      <c r="N125" s="253"/>
      <c r="O125" s="253"/>
      <c r="P125" s="253"/>
      <c r="Q125" s="253"/>
      <c r="R125" s="253"/>
      <c r="AT125" s="314"/>
      <c r="AU125" s="314"/>
      <c r="AV125" s="314"/>
      <c r="AW125" s="314"/>
      <c r="AX125" s="314"/>
      <c r="AY125" s="314"/>
      <c r="AZ125" s="314"/>
      <c r="BA125" s="314"/>
      <c r="BB125" s="314"/>
      <c r="BC125" s="314"/>
      <c r="BD125" s="314"/>
      <c r="BE125" s="314"/>
      <c r="BF125" s="314"/>
      <c r="BG125" s="314"/>
    </row>
    <row r="126" ht="12.75" customHeight="1" outlineLevel="1">
      <c r="A126" s="90"/>
      <c r="B126" s="90"/>
      <c r="C126" s="90"/>
      <c r="D126" s="90"/>
      <c r="E126" s="90"/>
      <c r="F126" s="90"/>
      <c r="G126" s="90"/>
      <c r="H126" s="90"/>
      <c r="I126" s="90"/>
      <c r="J126" s="90"/>
      <c r="K126" s="90"/>
      <c r="L126" s="90"/>
      <c r="M126" s="90"/>
      <c r="N126" s="90"/>
      <c r="O126" s="90"/>
      <c r="P126" s="90"/>
      <c r="Q126" s="90"/>
      <c r="R126" s="90"/>
      <c r="AT126" s="313"/>
      <c r="AU126" s="313"/>
      <c r="AV126" s="313"/>
      <c r="AW126" s="313"/>
      <c r="AX126" s="313"/>
      <c r="AY126" s="313"/>
      <c r="AZ126" s="313"/>
      <c r="BA126" s="313"/>
      <c r="BB126" s="313"/>
      <c r="BC126" s="313"/>
      <c r="BD126" s="313"/>
      <c r="BE126" s="313"/>
      <c r="BF126" s="313"/>
      <c r="BG126" s="313"/>
    </row>
    <row r="127" ht="12.75" customHeight="1" outlineLevel="1">
      <c r="A127" s="90"/>
      <c r="B127" s="67" t="s">
        <v>698</v>
      </c>
      <c r="C127" s="90"/>
      <c r="D127" s="90"/>
      <c r="E127" s="90"/>
      <c r="F127" s="90"/>
      <c r="G127" s="223"/>
      <c r="H127" s="223"/>
      <c r="I127" s="223"/>
      <c r="J127" s="223"/>
      <c r="K127" s="223"/>
      <c r="L127" s="223"/>
      <c r="M127" s="223"/>
      <c r="N127" s="223"/>
      <c r="O127" s="223"/>
      <c r="P127" s="223"/>
      <c r="Q127" s="223"/>
      <c r="R127" s="223"/>
      <c r="AT127" s="360"/>
      <c r="AU127" s="360"/>
      <c r="AV127" s="360"/>
      <c r="AW127" s="360"/>
      <c r="AX127" s="360"/>
      <c r="AY127" s="360"/>
      <c r="AZ127" s="360"/>
      <c r="BA127" s="360"/>
      <c r="BB127" s="360"/>
      <c r="BC127" s="360"/>
      <c r="BD127" s="360"/>
      <c r="BE127" s="360"/>
      <c r="BF127" s="360"/>
      <c r="BG127" s="360"/>
    </row>
    <row r="128" ht="12.75" customHeight="1" outlineLevel="1">
      <c r="A128" s="90"/>
      <c r="B128" s="90"/>
      <c r="C128" s="90"/>
      <c r="D128" s="90"/>
      <c r="E128" s="90"/>
      <c r="F128" s="90"/>
      <c r="G128" s="223"/>
      <c r="H128" s="223"/>
      <c r="I128" s="223"/>
      <c r="J128" s="223"/>
      <c r="K128" s="223"/>
      <c r="L128" s="223"/>
      <c r="M128" s="223"/>
      <c r="N128" s="223"/>
      <c r="O128" s="223"/>
      <c r="P128" s="223"/>
      <c r="Q128" s="223"/>
      <c r="R128" s="223"/>
      <c r="AT128" s="360"/>
      <c r="AU128" s="360"/>
      <c r="AV128" s="360"/>
      <c r="AW128" s="360"/>
      <c r="AX128" s="360"/>
      <c r="AY128" s="360"/>
      <c r="AZ128" s="360"/>
      <c r="BA128" s="360"/>
      <c r="BB128" s="360"/>
      <c r="BC128" s="360"/>
      <c r="BD128" s="360"/>
      <c r="BE128" s="360"/>
      <c r="BF128" s="360"/>
      <c r="BG128" s="360"/>
    </row>
    <row r="129" ht="12.75" customHeight="1" outlineLevel="1">
      <c r="A129" s="90"/>
      <c r="B129" s="90"/>
      <c r="C129" s="90" t="s">
        <v>173</v>
      </c>
      <c r="D129" s="90"/>
      <c r="E129" s="90"/>
      <c r="F129" s="90"/>
      <c r="G129" s="223"/>
      <c r="H129" s="223"/>
      <c r="I129" s="223"/>
      <c r="J129" s="223"/>
      <c r="K129" s="223"/>
      <c r="L129" s="223"/>
      <c r="M129" s="223"/>
      <c r="N129" s="223"/>
      <c r="O129" s="223"/>
      <c r="P129" s="223"/>
      <c r="Q129" s="223"/>
      <c r="R129" s="223"/>
      <c r="AT129" s="360"/>
      <c r="AU129" s="360"/>
      <c r="AV129" s="360"/>
      <c r="AW129" s="360"/>
      <c r="AX129" s="360"/>
      <c r="AY129" s="360"/>
      <c r="AZ129" s="360"/>
      <c r="BA129" s="360"/>
      <c r="BB129" s="360"/>
      <c r="BC129" s="360"/>
      <c r="BD129" s="360"/>
      <c r="BE129" s="360"/>
      <c r="BF129" s="360"/>
      <c r="BG129" s="360"/>
    </row>
    <row r="130" ht="12.75" customHeight="1" outlineLevel="1">
      <c r="A130" s="90"/>
      <c r="B130" s="90"/>
      <c r="C130" s="90"/>
      <c r="D130" s="90" t="s">
        <v>699</v>
      </c>
      <c r="E130" s="90"/>
      <c r="F130" s="90"/>
      <c r="G130" s="361"/>
      <c r="H130" s="361"/>
      <c r="I130" s="223">
        <f>Assumptions!E48</f>
        <v>3</v>
      </c>
      <c r="J130" s="223">
        <f>Assumptions!F48</f>
        <v>3</v>
      </c>
      <c r="K130" s="223">
        <f>Assumptions!G48</f>
        <v>3</v>
      </c>
      <c r="L130" s="223">
        <f>Assumptions!H48</f>
        <v>3</v>
      </c>
      <c r="M130" s="223">
        <f>Assumptions!I48</f>
        <v>3</v>
      </c>
      <c r="N130" s="223">
        <f>Assumptions!J48</f>
        <v>3</v>
      </c>
      <c r="O130" s="223">
        <f>Assumptions!K48</f>
        <v>3</v>
      </c>
      <c r="P130" s="223">
        <f>Assumptions!L48</f>
        <v>3</v>
      </c>
      <c r="Q130" s="223">
        <f t="shared" ref="Q130:R130" si="132">P130</f>
        <v>3</v>
      </c>
      <c r="R130" s="223">
        <f t="shared" si="132"/>
        <v>3</v>
      </c>
      <c r="AT130" s="360" t="str">
        <f t="shared" ref="AT130:BG130" si="133">AS130</f>
        <v/>
      </c>
      <c r="AU130" s="360" t="str">
        <f t="shared" si="133"/>
        <v/>
      </c>
      <c r="AV130" s="360" t="str">
        <f t="shared" si="133"/>
        <v/>
      </c>
      <c r="AW130" s="360" t="str">
        <f t="shared" si="133"/>
        <v/>
      </c>
      <c r="AX130" s="360" t="str">
        <f t="shared" si="133"/>
        <v/>
      </c>
      <c r="AY130" s="360" t="str">
        <f t="shared" si="133"/>
        <v/>
      </c>
      <c r="AZ130" s="360" t="str">
        <f t="shared" si="133"/>
        <v/>
      </c>
      <c r="BA130" s="360" t="str">
        <f t="shared" si="133"/>
        <v/>
      </c>
      <c r="BB130" s="360" t="str">
        <f t="shared" si="133"/>
        <v/>
      </c>
      <c r="BC130" s="360" t="str">
        <f t="shared" si="133"/>
        <v/>
      </c>
      <c r="BD130" s="360" t="str">
        <f t="shared" si="133"/>
        <v/>
      </c>
      <c r="BE130" s="360" t="str">
        <f t="shared" si="133"/>
        <v/>
      </c>
      <c r="BF130" s="360" t="str">
        <f t="shared" si="133"/>
        <v/>
      </c>
      <c r="BG130" s="360" t="str">
        <f t="shared" si="133"/>
        <v/>
      </c>
    </row>
    <row r="131" ht="12.75" customHeight="1" outlineLevel="1">
      <c r="A131" s="90"/>
      <c r="B131" s="90"/>
      <c r="C131" s="90"/>
      <c r="D131" s="64">
        <v>1.0</v>
      </c>
      <c r="E131" s="90"/>
      <c r="F131" s="90"/>
      <c r="G131" s="361"/>
      <c r="H131" s="361"/>
      <c r="I131" s="223">
        <f>Assumptions!E49</f>
        <v>3</v>
      </c>
      <c r="J131" s="223">
        <f>Assumptions!F49</f>
        <v>3</v>
      </c>
      <c r="K131" s="223">
        <f>Assumptions!G49</f>
        <v>3</v>
      </c>
      <c r="L131" s="223">
        <f>Assumptions!H49</f>
        <v>3</v>
      </c>
      <c r="M131" s="223">
        <f>Assumptions!I49</f>
        <v>3</v>
      </c>
      <c r="N131" s="223">
        <f>Assumptions!J49</f>
        <v>3</v>
      </c>
      <c r="O131" s="223">
        <f>Assumptions!K49</f>
        <v>3</v>
      </c>
      <c r="P131" s="223">
        <f>Assumptions!L49</f>
        <v>3</v>
      </c>
      <c r="Q131" s="223">
        <f t="shared" ref="Q131:R131" si="134">P131</f>
        <v>3</v>
      </c>
      <c r="R131" s="223">
        <f t="shared" si="134"/>
        <v>3</v>
      </c>
      <c r="AT131" s="360" t="str">
        <f t="shared" ref="AT131:BG131" si="135">AS131</f>
        <v/>
      </c>
      <c r="AU131" s="360" t="str">
        <f t="shared" si="135"/>
        <v/>
      </c>
      <c r="AV131" s="360" t="str">
        <f t="shared" si="135"/>
        <v/>
      </c>
      <c r="AW131" s="360" t="str">
        <f t="shared" si="135"/>
        <v/>
      </c>
      <c r="AX131" s="360" t="str">
        <f t="shared" si="135"/>
        <v/>
      </c>
      <c r="AY131" s="360" t="str">
        <f t="shared" si="135"/>
        <v/>
      </c>
      <c r="AZ131" s="360" t="str">
        <f t="shared" si="135"/>
        <v/>
      </c>
      <c r="BA131" s="360" t="str">
        <f t="shared" si="135"/>
        <v/>
      </c>
      <c r="BB131" s="360" t="str">
        <f t="shared" si="135"/>
        <v/>
      </c>
      <c r="BC131" s="360" t="str">
        <f t="shared" si="135"/>
        <v/>
      </c>
      <c r="BD131" s="360" t="str">
        <f t="shared" si="135"/>
        <v/>
      </c>
      <c r="BE131" s="360" t="str">
        <f t="shared" si="135"/>
        <v/>
      </c>
      <c r="BF131" s="360" t="str">
        <f t="shared" si="135"/>
        <v/>
      </c>
      <c r="BG131" s="360" t="str">
        <f t="shared" si="135"/>
        <v/>
      </c>
    </row>
    <row r="132" ht="12.75" customHeight="1" outlineLevel="1">
      <c r="A132" s="90"/>
      <c r="B132" s="90"/>
      <c r="C132" s="90"/>
      <c r="D132" s="64">
        <v>2.0</v>
      </c>
      <c r="E132" s="90"/>
      <c r="F132" s="90"/>
      <c r="G132" s="361"/>
      <c r="H132" s="361"/>
      <c r="I132" s="223">
        <f>Assumptions!E50</f>
        <v>3</v>
      </c>
      <c r="J132" s="223">
        <f>Assumptions!F50</f>
        <v>3</v>
      </c>
      <c r="K132" s="223">
        <f>Assumptions!G50</f>
        <v>3</v>
      </c>
      <c r="L132" s="223">
        <f>Assumptions!H50</f>
        <v>3</v>
      </c>
      <c r="M132" s="223">
        <f>Assumptions!I50</f>
        <v>3</v>
      </c>
      <c r="N132" s="223">
        <f>Assumptions!J50</f>
        <v>3</v>
      </c>
      <c r="O132" s="223">
        <f>Assumptions!K50</f>
        <v>3</v>
      </c>
      <c r="P132" s="223">
        <f>Assumptions!L50</f>
        <v>3</v>
      </c>
      <c r="Q132" s="223">
        <f t="shared" ref="Q132:R132" si="136">P132</f>
        <v>3</v>
      </c>
      <c r="R132" s="223">
        <f t="shared" si="136"/>
        <v>3</v>
      </c>
      <c r="AT132" s="360" t="str">
        <f t="shared" ref="AT132:BG132" si="137">AS132</f>
        <v/>
      </c>
      <c r="AU132" s="360" t="str">
        <f t="shared" si="137"/>
        <v/>
      </c>
      <c r="AV132" s="360" t="str">
        <f t="shared" si="137"/>
        <v/>
      </c>
      <c r="AW132" s="360" t="str">
        <f t="shared" si="137"/>
        <v/>
      </c>
      <c r="AX132" s="360" t="str">
        <f t="shared" si="137"/>
        <v/>
      </c>
      <c r="AY132" s="360" t="str">
        <f t="shared" si="137"/>
        <v/>
      </c>
      <c r="AZ132" s="360" t="str">
        <f t="shared" si="137"/>
        <v/>
      </c>
      <c r="BA132" s="360" t="str">
        <f t="shared" si="137"/>
        <v/>
      </c>
      <c r="BB132" s="360" t="str">
        <f t="shared" si="137"/>
        <v/>
      </c>
      <c r="BC132" s="360" t="str">
        <f t="shared" si="137"/>
        <v/>
      </c>
      <c r="BD132" s="360" t="str">
        <f t="shared" si="137"/>
        <v/>
      </c>
      <c r="BE132" s="360" t="str">
        <f t="shared" si="137"/>
        <v/>
      </c>
      <c r="BF132" s="360" t="str">
        <f t="shared" si="137"/>
        <v/>
      </c>
      <c r="BG132" s="360" t="str">
        <f t="shared" si="137"/>
        <v/>
      </c>
    </row>
    <row r="133" ht="12.75" customHeight="1" outlineLevel="1">
      <c r="A133" s="90"/>
      <c r="B133" s="90"/>
      <c r="C133" s="90"/>
      <c r="D133" s="64">
        <v>3.0</v>
      </c>
      <c r="E133" s="90"/>
      <c r="F133" s="90"/>
      <c r="G133" s="361"/>
      <c r="H133" s="361"/>
      <c r="I133" s="223">
        <f>Assumptions!E51</f>
        <v>3</v>
      </c>
      <c r="J133" s="223">
        <f>Assumptions!F51</f>
        <v>3</v>
      </c>
      <c r="K133" s="223">
        <f>Assumptions!G51</f>
        <v>3</v>
      </c>
      <c r="L133" s="223">
        <f>Assumptions!H51</f>
        <v>3</v>
      </c>
      <c r="M133" s="223">
        <f>Assumptions!I51</f>
        <v>3</v>
      </c>
      <c r="N133" s="223">
        <f>Assumptions!J51</f>
        <v>3</v>
      </c>
      <c r="O133" s="223">
        <f>Assumptions!K51</f>
        <v>3</v>
      </c>
      <c r="P133" s="223">
        <f>Assumptions!L51</f>
        <v>3</v>
      </c>
      <c r="Q133" s="223">
        <f t="shared" ref="Q133:R133" si="138">P133</f>
        <v>3</v>
      </c>
      <c r="R133" s="223">
        <f t="shared" si="138"/>
        <v>3</v>
      </c>
      <c r="AT133" s="360" t="str">
        <f t="shared" ref="AT133:BG133" si="139">AS133</f>
        <v/>
      </c>
      <c r="AU133" s="360" t="str">
        <f t="shared" si="139"/>
        <v/>
      </c>
      <c r="AV133" s="360" t="str">
        <f t="shared" si="139"/>
        <v/>
      </c>
      <c r="AW133" s="360" t="str">
        <f t="shared" si="139"/>
        <v/>
      </c>
      <c r="AX133" s="360" t="str">
        <f t="shared" si="139"/>
        <v/>
      </c>
      <c r="AY133" s="360" t="str">
        <f t="shared" si="139"/>
        <v/>
      </c>
      <c r="AZ133" s="360" t="str">
        <f t="shared" si="139"/>
        <v/>
      </c>
      <c r="BA133" s="360" t="str">
        <f t="shared" si="139"/>
        <v/>
      </c>
      <c r="BB133" s="360" t="str">
        <f t="shared" si="139"/>
        <v/>
      </c>
      <c r="BC133" s="360" t="str">
        <f t="shared" si="139"/>
        <v/>
      </c>
      <c r="BD133" s="360" t="str">
        <f t="shared" si="139"/>
        <v/>
      </c>
      <c r="BE133" s="360" t="str">
        <f t="shared" si="139"/>
        <v/>
      </c>
      <c r="BF133" s="360" t="str">
        <f t="shared" si="139"/>
        <v/>
      </c>
      <c r="BG133" s="360" t="str">
        <f t="shared" si="139"/>
        <v/>
      </c>
    </row>
    <row r="134" ht="12.75" customHeight="1" outlineLevel="1">
      <c r="A134" s="90"/>
      <c r="B134" s="90"/>
      <c r="C134" s="90"/>
      <c r="D134" s="64">
        <v>4.0</v>
      </c>
      <c r="E134" s="90"/>
      <c r="F134" s="90"/>
      <c r="G134" s="361"/>
      <c r="H134" s="361"/>
      <c r="I134" s="223">
        <f>Assumptions!E52</f>
        <v>0</v>
      </c>
      <c r="J134" s="223">
        <f>Assumptions!F52</f>
        <v>3</v>
      </c>
      <c r="K134" s="223">
        <f>Assumptions!G52</f>
        <v>3</v>
      </c>
      <c r="L134" s="223">
        <f>Assumptions!H52</f>
        <v>3</v>
      </c>
      <c r="M134" s="223">
        <f>Assumptions!I52</f>
        <v>3</v>
      </c>
      <c r="N134" s="223">
        <f>Assumptions!J52</f>
        <v>3</v>
      </c>
      <c r="O134" s="223">
        <f>Assumptions!K52</f>
        <v>3</v>
      </c>
      <c r="P134" s="223">
        <f>Assumptions!L52</f>
        <v>3</v>
      </c>
      <c r="Q134" s="223">
        <f t="shared" ref="Q134:R134" si="140">P134</f>
        <v>3</v>
      </c>
      <c r="R134" s="223">
        <f t="shared" si="140"/>
        <v>3</v>
      </c>
      <c r="AT134" s="360" t="str">
        <f t="shared" ref="AT134:BG134" si="141">AS134</f>
        <v/>
      </c>
      <c r="AU134" s="360" t="str">
        <f t="shared" si="141"/>
        <v/>
      </c>
      <c r="AV134" s="360" t="str">
        <f t="shared" si="141"/>
        <v/>
      </c>
      <c r="AW134" s="360" t="str">
        <f t="shared" si="141"/>
        <v/>
      </c>
      <c r="AX134" s="360" t="str">
        <f t="shared" si="141"/>
        <v/>
      </c>
      <c r="AY134" s="360" t="str">
        <f t="shared" si="141"/>
        <v/>
      </c>
      <c r="AZ134" s="360" t="str">
        <f t="shared" si="141"/>
        <v/>
      </c>
      <c r="BA134" s="360" t="str">
        <f t="shared" si="141"/>
        <v/>
      </c>
      <c r="BB134" s="360" t="str">
        <f t="shared" si="141"/>
        <v/>
      </c>
      <c r="BC134" s="360" t="str">
        <f t="shared" si="141"/>
        <v/>
      </c>
      <c r="BD134" s="360" t="str">
        <f t="shared" si="141"/>
        <v/>
      </c>
      <c r="BE134" s="360" t="str">
        <f t="shared" si="141"/>
        <v/>
      </c>
      <c r="BF134" s="360" t="str">
        <f t="shared" si="141"/>
        <v/>
      </c>
      <c r="BG134" s="360" t="str">
        <f t="shared" si="141"/>
        <v/>
      </c>
    </row>
    <row r="135" ht="12.75" customHeight="1" outlineLevel="1">
      <c r="A135" s="90"/>
      <c r="B135" s="90"/>
      <c r="C135" s="90"/>
      <c r="D135" s="64">
        <v>5.0</v>
      </c>
      <c r="E135" s="90"/>
      <c r="F135" s="90"/>
      <c r="G135" s="361"/>
      <c r="H135" s="361"/>
      <c r="I135" s="223">
        <f>Assumptions!E53</f>
        <v>0</v>
      </c>
      <c r="J135" s="223">
        <f>Assumptions!F53</f>
        <v>0</v>
      </c>
      <c r="K135" s="223">
        <f>Assumptions!G53</f>
        <v>1</v>
      </c>
      <c r="L135" s="223">
        <f>Assumptions!H53</f>
        <v>1</v>
      </c>
      <c r="M135" s="223">
        <f>Assumptions!I53</f>
        <v>1</v>
      </c>
      <c r="N135" s="223">
        <f>Assumptions!J53</f>
        <v>1</v>
      </c>
      <c r="O135" s="223">
        <f>Assumptions!K53</f>
        <v>1</v>
      </c>
      <c r="P135" s="223">
        <f>Assumptions!L53</f>
        <v>1</v>
      </c>
      <c r="Q135" s="223">
        <f t="shared" ref="Q135:R135" si="142">P135</f>
        <v>1</v>
      </c>
      <c r="R135" s="223">
        <f t="shared" si="142"/>
        <v>1</v>
      </c>
      <c r="AT135" s="360" t="str">
        <f t="shared" ref="AT135:BG135" si="143">AS135</f>
        <v/>
      </c>
      <c r="AU135" s="360" t="str">
        <f t="shared" si="143"/>
        <v/>
      </c>
      <c r="AV135" s="360" t="str">
        <f t="shared" si="143"/>
        <v/>
      </c>
      <c r="AW135" s="360" t="str">
        <f t="shared" si="143"/>
        <v/>
      </c>
      <c r="AX135" s="360" t="str">
        <f t="shared" si="143"/>
        <v/>
      </c>
      <c r="AY135" s="360" t="str">
        <f t="shared" si="143"/>
        <v/>
      </c>
      <c r="AZ135" s="360" t="str">
        <f t="shared" si="143"/>
        <v/>
      </c>
      <c r="BA135" s="360" t="str">
        <f t="shared" si="143"/>
        <v/>
      </c>
      <c r="BB135" s="360" t="str">
        <f t="shared" si="143"/>
        <v/>
      </c>
      <c r="BC135" s="360" t="str">
        <f t="shared" si="143"/>
        <v/>
      </c>
      <c r="BD135" s="360" t="str">
        <f t="shared" si="143"/>
        <v/>
      </c>
      <c r="BE135" s="360" t="str">
        <f t="shared" si="143"/>
        <v/>
      </c>
      <c r="BF135" s="360" t="str">
        <f t="shared" si="143"/>
        <v/>
      </c>
      <c r="BG135" s="360" t="str">
        <f t="shared" si="143"/>
        <v/>
      </c>
    </row>
    <row r="136" ht="12.75" customHeight="1" outlineLevel="1">
      <c r="A136" s="90"/>
      <c r="B136" s="90"/>
      <c r="C136" s="148" t="s">
        <v>173</v>
      </c>
      <c r="D136" s="362"/>
      <c r="E136" s="148"/>
      <c r="F136" s="148"/>
      <c r="G136" s="363"/>
      <c r="H136" s="363"/>
      <c r="I136" s="364">
        <f t="shared" ref="I136:R136" si="144">SUM(I130:I135)</f>
        <v>12</v>
      </c>
      <c r="J136" s="364">
        <f t="shared" si="144"/>
        <v>15</v>
      </c>
      <c r="K136" s="364">
        <f t="shared" si="144"/>
        <v>16</v>
      </c>
      <c r="L136" s="364">
        <f t="shared" si="144"/>
        <v>16</v>
      </c>
      <c r="M136" s="364">
        <f t="shared" si="144"/>
        <v>16</v>
      </c>
      <c r="N136" s="364">
        <f t="shared" si="144"/>
        <v>16</v>
      </c>
      <c r="O136" s="364">
        <f t="shared" si="144"/>
        <v>16</v>
      </c>
      <c r="P136" s="364">
        <f t="shared" si="144"/>
        <v>16</v>
      </c>
      <c r="Q136" s="364">
        <f t="shared" si="144"/>
        <v>16</v>
      </c>
      <c r="R136" s="364">
        <f t="shared" si="144"/>
        <v>16</v>
      </c>
      <c r="AT136" s="365" t="str">
        <f t="shared" ref="AT136:BG136" si="145">AS136</f>
        <v/>
      </c>
      <c r="AU136" s="365" t="str">
        <f t="shared" si="145"/>
        <v/>
      </c>
      <c r="AV136" s="365" t="str">
        <f t="shared" si="145"/>
        <v/>
      </c>
      <c r="AW136" s="365" t="str">
        <f t="shared" si="145"/>
        <v/>
      </c>
      <c r="AX136" s="365" t="str">
        <f t="shared" si="145"/>
        <v/>
      </c>
      <c r="AY136" s="365" t="str">
        <f t="shared" si="145"/>
        <v/>
      </c>
      <c r="AZ136" s="365" t="str">
        <f t="shared" si="145"/>
        <v/>
      </c>
      <c r="BA136" s="365" t="str">
        <f t="shared" si="145"/>
        <v/>
      </c>
      <c r="BB136" s="365" t="str">
        <f t="shared" si="145"/>
        <v/>
      </c>
      <c r="BC136" s="365" t="str">
        <f t="shared" si="145"/>
        <v/>
      </c>
      <c r="BD136" s="365" t="str">
        <f t="shared" si="145"/>
        <v/>
      </c>
      <c r="BE136" s="365" t="str">
        <f t="shared" si="145"/>
        <v/>
      </c>
      <c r="BF136" s="365" t="str">
        <f t="shared" si="145"/>
        <v/>
      </c>
      <c r="BG136" s="365" t="str">
        <f t="shared" si="145"/>
        <v/>
      </c>
    </row>
    <row r="137" ht="12.75" customHeight="1" outlineLevel="1">
      <c r="A137" s="90"/>
      <c r="B137" s="90"/>
      <c r="C137" s="90"/>
      <c r="D137" s="90"/>
      <c r="E137" s="90"/>
      <c r="F137" s="90"/>
      <c r="G137" s="223"/>
      <c r="H137" s="223"/>
      <c r="I137" s="223"/>
      <c r="J137" s="223"/>
      <c r="K137" s="223"/>
      <c r="L137" s="223"/>
      <c r="M137" s="223"/>
      <c r="N137" s="223"/>
      <c r="O137" s="223"/>
      <c r="P137" s="223"/>
      <c r="Q137" s="223"/>
      <c r="R137" s="223"/>
      <c r="AT137" s="360"/>
      <c r="AU137" s="360"/>
      <c r="AV137" s="360"/>
      <c r="AW137" s="360"/>
      <c r="AX137" s="360"/>
      <c r="AY137" s="360"/>
      <c r="AZ137" s="360"/>
      <c r="BA137" s="360"/>
      <c r="BB137" s="360"/>
      <c r="BC137" s="360"/>
      <c r="BD137" s="360"/>
      <c r="BE137" s="360"/>
      <c r="BF137" s="360"/>
      <c r="BG137" s="360"/>
    </row>
    <row r="138" ht="12.75" customHeight="1" outlineLevel="1">
      <c r="A138" s="90"/>
      <c r="B138" s="195"/>
      <c r="C138" s="90" t="s">
        <v>700</v>
      </c>
      <c r="D138" s="90"/>
      <c r="E138" s="90"/>
      <c r="F138" s="90"/>
      <c r="G138" s="223"/>
      <c r="H138" s="223"/>
      <c r="I138" s="223"/>
      <c r="J138" s="223"/>
      <c r="K138" s="223"/>
      <c r="L138" s="223"/>
      <c r="M138" s="223"/>
      <c r="N138" s="223"/>
      <c r="O138" s="223"/>
      <c r="P138" s="223"/>
      <c r="Q138" s="223"/>
      <c r="R138" s="223"/>
      <c r="AT138" s="360"/>
      <c r="AU138" s="360"/>
      <c r="AV138" s="360"/>
      <c r="AW138" s="360"/>
      <c r="AX138" s="360"/>
      <c r="AY138" s="360"/>
      <c r="AZ138" s="360"/>
      <c r="BA138" s="360"/>
      <c r="BB138" s="360"/>
      <c r="BC138" s="360"/>
      <c r="BD138" s="360"/>
      <c r="BE138" s="360"/>
      <c r="BF138" s="360"/>
      <c r="BG138" s="360"/>
    </row>
    <row r="139" ht="12.75" customHeight="1" outlineLevel="1">
      <c r="A139" s="90"/>
      <c r="B139" s="195"/>
      <c r="C139" s="90"/>
      <c r="D139" s="90" t="s">
        <v>701</v>
      </c>
      <c r="E139" s="90"/>
      <c r="F139" s="90"/>
      <c r="G139" s="223" t="str">
        <f>'RS3'!J138</f>
        <v/>
      </c>
      <c r="H139" s="223">
        <f>'RS3'!K138</f>
        <v>1</v>
      </c>
      <c r="I139" s="223">
        <f>'RSGen 1-7'!I139</f>
        <v>1</v>
      </c>
      <c r="J139" s="223">
        <f>'RSGen 1-7'!J139</f>
        <v>1</v>
      </c>
      <c r="K139" s="223">
        <f>'RSGen 1-7'!K139</f>
        <v>1</v>
      </c>
      <c r="L139" s="223">
        <f>'RSGen 1-7'!L139</f>
        <v>1</v>
      </c>
      <c r="M139" s="223">
        <f>'RSGen 1-7'!M139</f>
        <v>1</v>
      </c>
      <c r="N139" s="223">
        <f>'RSGen 1-7'!N139</f>
        <v>1</v>
      </c>
      <c r="O139" s="223">
        <f>'RSGen 1-7'!O139</f>
        <v>1</v>
      </c>
      <c r="P139" s="223">
        <f>'RSGen 1-7'!P139</f>
        <v>1</v>
      </c>
      <c r="Q139" s="223">
        <f>'RSGen 1-7'!Q139</f>
        <v>1</v>
      </c>
      <c r="R139" s="223">
        <f>'RSGen 1-7'!R139</f>
        <v>1</v>
      </c>
      <c r="AT139" s="360" t="str">
        <f t="shared" ref="AT139:BG139" si="146">AS139</f>
        <v/>
      </c>
      <c r="AU139" s="360" t="str">
        <f t="shared" si="146"/>
        <v/>
      </c>
      <c r="AV139" s="360" t="str">
        <f t="shared" si="146"/>
        <v/>
      </c>
      <c r="AW139" s="360" t="str">
        <f t="shared" si="146"/>
        <v/>
      </c>
      <c r="AX139" s="360" t="str">
        <f t="shared" si="146"/>
        <v/>
      </c>
      <c r="AY139" s="360" t="str">
        <f t="shared" si="146"/>
        <v/>
      </c>
      <c r="AZ139" s="360" t="str">
        <f t="shared" si="146"/>
        <v/>
      </c>
      <c r="BA139" s="360" t="str">
        <f t="shared" si="146"/>
        <v/>
      </c>
      <c r="BB139" s="360" t="str">
        <f t="shared" si="146"/>
        <v/>
      </c>
      <c r="BC139" s="360" t="str">
        <f t="shared" si="146"/>
        <v/>
      </c>
      <c r="BD139" s="360" t="str">
        <f t="shared" si="146"/>
        <v/>
      </c>
      <c r="BE139" s="360" t="str">
        <f t="shared" si="146"/>
        <v/>
      </c>
      <c r="BF139" s="360" t="str">
        <f t="shared" si="146"/>
        <v/>
      </c>
      <c r="BG139" s="360" t="str">
        <f t="shared" si="146"/>
        <v/>
      </c>
    </row>
    <row r="140" ht="12.75" customHeight="1" outlineLevel="1">
      <c r="A140" s="90"/>
      <c r="B140" s="195"/>
      <c r="C140" s="90"/>
      <c r="D140" s="90" t="s">
        <v>702</v>
      </c>
      <c r="E140" s="90"/>
      <c r="F140" s="90"/>
      <c r="G140" s="223" t="str">
        <f>'RS3'!J139</f>
        <v/>
      </c>
      <c r="H140" s="223">
        <f>'RS3'!K139</f>
        <v>0</v>
      </c>
      <c r="I140" s="223">
        <f>'RSGen 1-7'!I140</f>
        <v>1</v>
      </c>
      <c r="J140" s="223">
        <f>'RSGen 1-7'!J140</f>
        <v>1</v>
      </c>
      <c r="K140" s="223">
        <f>'RSGen 1-7'!K140</f>
        <v>1</v>
      </c>
      <c r="L140" s="223">
        <f>'RSGen 1-7'!L140</f>
        <v>1</v>
      </c>
      <c r="M140" s="223">
        <f>'RSGen 1-7'!M140</f>
        <v>1</v>
      </c>
      <c r="N140" s="223">
        <f>'RSGen 1-7'!N140</f>
        <v>1</v>
      </c>
      <c r="O140" s="223">
        <f>'RSGen 1-7'!O140</f>
        <v>1</v>
      </c>
      <c r="P140" s="223">
        <f>'RSGen 1-7'!P140</f>
        <v>1</v>
      </c>
      <c r="Q140" s="223">
        <f>'RSGen 1-7'!Q140</f>
        <v>1</v>
      </c>
      <c r="R140" s="223">
        <f>'RSGen 1-7'!R140</f>
        <v>1</v>
      </c>
      <c r="AT140" s="360" t="str">
        <f t="shared" ref="AT140:BG140" si="147">AS140</f>
        <v/>
      </c>
      <c r="AU140" s="360" t="str">
        <f t="shared" si="147"/>
        <v/>
      </c>
      <c r="AV140" s="360" t="str">
        <f t="shared" si="147"/>
        <v/>
      </c>
      <c r="AW140" s="360" t="str">
        <f t="shared" si="147"/>
        <v/>
      </c>
      <c r="AX140" s="360" t="str">
        <f t="shared" si="147"/>
        <v/>
      </c>
      <c r="AY140" s="360" t="str">
        <f t="shared" si="147"/>
        <v/>
      </c>
      <c r="AZ140" s="360" t="str">
        <f t="shared" si="147"/>
        <v/>
      </c>
      <c r="BA140" s="360" t="str">
        <f t="shared" si="147"/>
        <v/>
      </c>
      <c r="BB140" s="360" t="str">
        <f t="shared" si="147"/>
        <v/>
      </c>
      <c r="BC140" s="360" t="str">
        <f t="shared" si="147"/>
        <v/>
      </c>
      <c r="BD140" s="360" t="str">
        <f t="shared" si="147"/>
        <v/>
      </c>
      <c r="BE140" s="360" t="str">
        <f t="shared" si="147"/>
        <v/>
      </c>
      <c r="BF140" s="360" t="str">
        <f t="shared" si="147"/>
        <v/>
      </c>
      <c r="BG140" s="360" t="str">
        <f t="shared" si="147"/>
        <v/>
      </c>
    </row>
    <row r="141" ht="12.75" customHeight="1" outlineLevel="1">
      <c r="A141" s="90"/>
      <c r="B141" s="195"/>
      <c r="C141" s="87"/>
      <c r="D141" s="87" t="s">
        <v>703</v>
      </c>
      <c r="E141" s="87"/>
      <c r="F141" s="87"/>
      <c r="G141" s="223" t="str">
        <f>'RS3'!J140</f>
        <v/>
      </c>
      <c r="H141" s="223">
        <f>'RS3'!K140</f>
        <v>0</v>
      </c>
      <c r="I141" s="223">
        <f>'RSGen 1-7'!I141</f>
        <v>0</v>
      </c>
      <c r="J141" s="223">
        <f>'RSGen 1-7'!J141</f>
        <v>0</v>
      </c>
      <c r="K141" s="223">
        <f>'RSGen 1-7'!K141</f>
        <v>0</v>
      </c>
      <c r="L141" s="223">
        <f>'RSGen 1-7'!L141</f>
        <v>0</v>
      </c>
      <c r="M141" s="223">
        <f>'RSGen 1-7'!M141</f>
        <v>0</v>
      </c>
      <c r="N141" s="223">
        <f>'RSGen 1-7'!N141</f>
        <v>0</v>
      </c>
      <c r="O141" s="223">
        <f>'RSGen 1-7'!O141</f>
        <v>0</v>
      </c>
      <c r="P141" s="223">
        <f>'RSGen 1-7'!P141</f>
        <v>0</v>
      </c>
      <c r="Q141" s="223">
        <f>'RSGen 1-7'!Q141</f>
        <v>0</v>
      </c>
      <c r="R141" s="223">
        <f>'RSGen 1-7'!R141</f>
        <v>0</v>
      </c>
      <c r="AT141" s="360" t="str">
        <f t="shared" ref="AT141:BG141" si="148">AS141</f>
        <v/>
      </c>
      <c r="AU141" s="360" t="str">
        <f t="shared" si="148"/>
        <v/>
      </c>
      <c r="AV141" s="360" t="str">
        <f t="shared" si="148"/>
        <v/>
      </c>
      <c r="AW141" s="360" t="str">
        <f t="shared" si="148"/>
        <v/>
      </c>
      <c r="AX141" s="360" t="str">
        <f t="shared" si="148"/>
        <v/>
      </c>
      <c r="AY141" s="360" t="str">
        <f t="shared" si="148"/>
        <v/>
      </c>
      <c r="AZ141" s="360" t="str">
        <f t="shared" si="148"/>
        <v/>
      </c>
      <c r="BA141" s="360" t="str">
        <f t="shared" si="148"/>
        <v/>
      </c>
      <c r="BB141" s="360" t="str">
        <f t="shared" si="148"/>
        <v/>
      </c>
      <c r="BC141" s="360" t="str">
        <f t="shared" si="148"/>
        <v/>
      </c>
      <c r="BD141" s="360" t="str">
        <f t="shared" si="148"/>
        <v/>
      </c>
      <c r="BE141" s="360" t="str">
        <f t="shared" si="148"/>
        <v/>
      </c>
      <c r="BF141" s="360" t="str">
        <f t="shared" si="148"/>
        <v/>
      </c>
      <c r="BG141" s="360" t="str">
        <f t="shared" si="148"/>
        <v/>
      </c>
    </row>
    <row r="142" ht="12.75" customHeight="1" outlineLevel="1">
      <c r="A142" s="90"/>
      <c r="B142" s="195"/>
      <c r="C142" s="90" t="s">
        <v>704</v>
      </c>
      <c r="D142" s="90"/>
      <c r="E142" s="90"/>
      <c r="F142" s="90"/>
      <c r="G142" s="364">
        <f t="shared" ref="G142:R142" si="149">SUM(G139:G141)</f>
        <v>0</v>
      </c>
      <c r="H142" s="364">
        <f t="shared" si="149"/>
        <v>1</v>
      </c>
      <c r="I142" s="364">
        <f t="shared" si="149"/>
        <v>2</v>
      </c>
      <c r="J142" s="364">
        <f t="shared" si="149"/>
        <v>2</v>
      </c>
      <c r="K142" s="364">
        <f t="shared" si="149"/>
        <v>2</v>
      </c>
      <c r="L142" s="364">
        <f t="shared" si="149"/>
        <v>2</v>
      </c>
      <c r="M142" s="364">
        <f t="shared" si="149"/>
        <v>2</v>
      </c>
      <c r="N142" s="364">
        <f t="shared" si="149"/>
        <v>2</v>
      </c>
      <c r="O142" s="364">
        <f t="shared" si="149"/>
        <v>2</v>
      </c>
      <c r="P142" s="364">
        <f t="shared" si="149"/>
        <v>2</v>
      </c>
      <c r="Q142" s="364">
        <f t="shared" si="149"/>
        <v>2</v>
      </c>
      <c r="R142" s="364">
        <f t="shared" si="149"/>
        <v>2</v>
      </c>
      <c r="AT142" s="365">
        <f t="shared" ref="AT142:BG142" si="150">SUM(AT139:AT141)</f>
        <v>0</v>
      </c>
      <c r="AU142" s="365">
        <f t="shared" si="150"/>
        <v>0</v>
      </c>
      <c r="AV142" s="365">
        <f t="shared" si="150"/>
        <v>0</v>
      </c>
      <c r="AW142" s="365">
        <f t="shared" si="150"/>
        <v>0</v>
      </c>
      <c r="AX142" s="365">
        <f t="shared" si="150"/>
        <v>0</v>
      </c>
      <c r="AY142" s="365">
        <f t="shared" si="150"/>
        <v>0</v>
      </c>
      <c r="AZ142" s="365">
        <f t="shared" si="150"/>
        <v>0</v>
      </c>
      <c r="BA142" s="365">
        <f t="shared" si="150"/>
        <v>0</v>
      </c>
      <c r="BB142" s="365">
        <f t="shared" si="150"/>
        <v>0</v>
      </c>
      <c r="BC142" s="365">
        <f t="shared" si="150"/>
        <v>0</v>
      </c>
      <c r="BD142" s="365">
        <f t="shared" si="150"/>
        <v>0</v>
      </c>
      <c r="BE142" s="365">
        <f t="shared" si="150"/>
        <v>0</v>
      </c>
      <c r="BF142" s="365">
        <f t="shared" si="150"/>
        <v>0</v>
      </c>
      <c r="BG142" s="365">
        <f t="shared" si="150"/>
        <v>0</v>
      </c>
    </row>
    <row r="143" ht="12.75" customHeight="1" outlineLevel="1">
      <c r="A143" s="90"/>
      <c r="B143" s="195"/>
      <c r="C143" s="90"/>
      <c r="D143" s="90"/>
      <c r="E143" s="90"/>
      <c r="F143" s="90"/>
      <c r="G143" s="223"/>
      <c r="H143" s="223"/>
      <c r="I143" s="223"/>
      <c r="J143" s="223"/>
      <c r="K143" s="223"/>
      <c r="L143" s="223"/>
      <c r="M143" s="223"/>
      <c r="N143" s="223"/>
      <c r="O143" s="223"/>
      <c r="P143" s="223"/>
      <c r="Q143" s="223"/>
      <c r="R143" s="223"/>
      <c r="AT143" s="360"/>
      <c r="AU143" s="360"/>
      <c r="AV143" s="360"/>
      <c r="AW143" s="360"/>
      <c r="AX143" s="360"/>
      <c r="AY143" s="360"/>
      <c r="AZ143" s="360"/>
      <c r="BA143" s="360"/>
      <c r="BB143" s="360"/>
      <c r="BC143" s="360"/>
      <c r="BD143" s="360"/>
      <c r="BE143" s="360"/>
      <c r="BF143" s="360"/>
      <c r="BG143" s="360"/>
    </row>
    <row r="144" ht="12.75" customHeight="1" outlineLevel="1">
      <c r="A144" s="90"/>
      <c r="B144" s="195"/>
      <c r="C144" s="90" t="s">
        <v>705</v>
      </c>
      <c r="D144" s="90"/>
      <c r="E144" s="90"/>
      <c r="F144" s="90"/>
      <c r="G144" s="223"/>
      <c r="H144" s="223"/>
      <c r="I144" s="223"/>
      <c r="J144" s="223"/>
      <c r="K144" s="223"/>
      <c r="L144" s="223"/>
      <c r="M144" s="223"/>
      <c r="N144" s="223"/>
      <c r="O144" s="223"/>
      <c r="P144" s="223"/>
      <c r="Q144" s="223"/>
      <c r="R144" s="223"/>
      <c r="AT144" s="360"/>
      <c r="AU144" s="360"/>
      <c r="AV144" s="360"/>
      <c r="AW144" s="360"/>
      <c r="AX144" s="360"/>
      <c r="AY144" s="360"/>
      <c r="AZ144" s="360"/>
      <c r="BA144" s="360"/>
      <c r="BB144" s="360"/>
      <c r="BC144" s="360"/>
      <c r="BD144" s="360"/>
      <c r="BE144" s="360"/>
      <c r="BF144" s="360"/>
      <c r="BG144" s="360"/>
    </row>
    <row r="145" ht="12.75" customHeight="1" outlineLevel="1">
      <c r="A145" s="90"/>
      <c r="B145" s="195"/>
      <c r="C145" s="90"/>
      <c r="D145" s="90" t="s">
        <v>706</v>
      </c>
      <c r="E145" s="90"/>
      <c r="F145" s="90"/>
      <c r="G145" s="223" t="str">
        <f>'RS3'!J144</f>
        <v/>
      </c>
      <c r="H145" s="223">
        <f>'RS3'!K144</f>
        <v>0</v>
      </c>
      <c r="I145" s="223">
        <v>2.0</v>
      </c>
      <c r="J145" s="223">
        <v>4.0</v>
      </c>
      <c r="K145" s="223">
        <v>5.0</v>
      </c>
      <c r="L145" s="223">
        <v>5.0</v>
      </c>
      <c r="M145" s="223">
        <v>5.0</v>
      </c>
      <c r="N145" s="223">
        <v>5.0</v>
      </c>
      <c r="O145" s="223">
        <v>5.0</v>
      </c>
      <c r="P145" s="223">
        <v>5.0</v>
      </c>
      <c r="Q145" s="223">
        <v>5.0</v>
      </c>
      <c r="R145" s="223">
        <v>5.0</v>
      </c>
      <c r="AT145" s="360" t="str">
        <f t="shared" ref="AT145:BG145" si="151">AS145</f>
        <v/>
      </c>
      <c r="AU145" s="360" t="str">
        <f t="shared" si="151"/>
        <v/>
      </c>
      <c r="AV145" s="360" t="str">
        <f t="shared" si="151"/>
        <v/>
      </c>
      <c r="AW145" s="360" t="str">
        <f t="shared" si="151"/>
        <v/>
      </c>
      <c r="AX145" s="360" t="str">
        <f t="shared" si="151"/>
        <v/>
      </c>
      <c r="AY145" s="360" t="str">
        <f t="shared" si="151"/>
        <v/>
      </c>
      <c r="AZ145" s="360" t="str">
        <f t="shared" si="151"/>
        <v/>
      </c>
      <c r="BA145" s="360" t="str">
        <f t="shared" si="151"/>
        <v/>
      </c>
      <c r="BB145" s="360" t="str">
        <f t="shared" si="151"/>
        <v/>
      </c>
      <c r="BC145" s="360" t="str">
        <f t="shared" si="151"/>
        <v/>
      </c>
      <c r="BD145" s="360" t="str">
        <f t="shared" si="151"/>
        <v/>
      </c>
      <c r="BE145" s="360" t="str">
        <f t="shared" si="151"/>
        <v/>
      </c>
      <c r="BF145" s="360" t="str">
        <f t="shared" si="151"/>
        <v/>
      </c>
      <c r="BG145" s="360" t="str">
        <f t="shared" si="151"/>
        <v/>
      </c>
    </row>
    <row r="146" ht="12.75" customHeight="1" outlineLevel="1">
      <c r="A146" s="90"/>
      <c r="B146" s="195"/>
      <c r="C146" s="90"/>
      <c r="D146" s="90" t="s">
        <v>707</v>
      </c>
      <c r="E146" s="90"/>
      <c r="F146" s="90"/>
      <c r="G146" s="223" t="str">
        <f>'RS3'!J145</f>
        <v/>
      </c>
      <c r="H146" s="223">
        <f>'RS3'!K145</f>
        <v>0</v>
      </c>
      <c r="I146" s="366">
        <v>7.0</v>
      </c>
      <c r="J146" s="223">
        <v>5.0</v>
      </c>
      <c r="K146" s="223">
        <v>5.0</v>
      </c>
      <c r="L146" s="223">
        <v>5.0</v>
      </c>
      <c r="M146" s="223">
        <v>5.0</v>
      </c>
      <c r="N146" s="223">
        <v>5.0</v>
      </c>
      <c r="O146" s="223">
        <v>5.0</v>
      </c>
      <c r="P146" s="223">
        <v>5.0</v>
      </c>
      <c r="Q146" s="223">
        <v>5.0</v>
      </c>
      <c r="R146" s="223">
        <v>5.0</v>
      </c>
      <c r="AT146" s="360" t="str">
        <f t="shared" ref="AT146:BG146" si="152">AS146</f>
        <v/>
      </c>
      <c r="AU146" s="360" t="str">
        <f t="shared" si="152"/>
        <v/>
      </c>
      <c r="AV146" s="360" t="str">
        <f t="shared" si="152"/>
        <v/>
      </c>
      <c r="AW146" s="360" t="str">
        <f t="shared" si="152"/>
        <v/>
      </c>
      <c r="AX146" s="360" t="str">
        <f t="shared" si="152"/>
        <v/>
      </c>
      <c r="AY146" s="360" t="str">
        <f t="shared" si="152"/>
        <v/>
      </c>
      <c r="AZ146" s="360" t="str">
        <f t="shared" si="152"/>
        <v/>
      </c>
      <c r="BA146" s="360" t="str">
        <f t="shared" si="152"/>
        <v/>
      </c>
      <c r="BB146" s="360" t="str">
        <f t="shared" si="152"/>
        <v/>
      </c>
      <c r="BC146" s="360" t="str">
        <f t="shared" si="152"/>
        <v/>
      </c>
      <c r="BD146" s="360" t="str">
        <f t="shared" si="152"/>
        <v/>
      </c>
      <c r="BE146" s="360" t="str">
        <f t="shared" si="152"/>
        <v/>
      </c>
      <c r="BF146" s="360" t="str">
        <f t="shared" si="152"/>
        <v/>
      </c>
      <c r="BG146" s="360" t="str">
        <f t="shared" si="152"/>
        <v/>
      </c>
    </row>
    <row r="147" ht="12.75" customHeight="1" outlineLevel="1">
      <c r="A147" s="90"/>
      <c r="B147" s="195"/>
      <c r="C147" s="90"/>
      <c r="D147" s="90" t="s">
        <v>708</v>
      </c>
      <c r="E147" s="90"/>
      <c r="F147" s="90"/>
      <c r="G147" s="223" t="str">
        <f>'RS3'!J146</f>
        <v/>
      </c>
      <c r="H147" s="223">
        <f>'RS3'!K146</f>
        <v>0</v>
      </c>
      <c r="I147" s="223">
        <f>'RSGen 1-7'!I147</f>
        <v>0</v>
      </c>
      <c r="J147" s="223">
        <f>'RSGen 1-7'!J147</f>
        <v>0</v>
      </c>
      <c r="K147" s="223">
        <f>'RSGen 1-7'!K147</f>
        <v>0</v>
      </c>
      <c r="L147" s="223">
        <f>'RSGen 1-7'!L147</f>
        <v>0</v>
      </c>
      <c r="M147" s="223">
        <f>'RSGen 1-7'!M147</f>
        <v>0</v>
      </c>
      <c r="N147" s="223">
        <f>'RSGen 1-7'!N147</f>
        <v>0</v>
      </c>
      <c r="O147" s="223">
        <f>'RSGen 1-7'!O147</f>
        <v>0</v>
      </c>
      <c r="P147" s="223">
        <f>'RSGen 1-7'!P147</f>
        <v>0</v>
      </c>
      <c r="Q147" s="223">
        <f>'RSGen 1-7'!Q147</f>
        <v>0</v>
      </c>
      <c r="R147" s="223">
        <f>'RSGen 1-7'!R147</f>
        <v>0</v>
      </c>
      <c r="AT147" s="360" t="str">
        <f t="shared" ref="AT147:BG147" si="153">AS147</f>
        <v/>
      </c>
      <c r="AU147" s="360" t="str">
        <f t="shared" si="153"/>
        <v/>
      </c>
      <c r="AV147" s="360" t="str">
        <f t="shared" si="153"/>
        <v/>
      </c>
      <c r="AW147" s="360" t="str">
        <f t="shared" si="153"/>
        <v/>
      </c>
      <c r="AX147" s="360" t="str">
        <f t="shared" si="153"/>
        <v/>
      </c>
      <c r="AY147" s="360" t="str">
        <f t="shared" si="153"/>
        <v/>
      </c>
      <c r="AZ147" s="360" t="str">
        <f t="shared" si="153"/>
        <v/>
      </c>
      <c r="BA147" s="360" t="str">
        <f t="shared" si="153"/>
        <v/>
      </c>
      <c r="BB147" s="360" t="str">
        <f t="shared" si="153"/>
        <v/>
      </c>
      <c r="BC147" s="360" t="str">
        <f t="shared" si="153"/>
        <v/>
      </c>
      <c r="BD147" s="360" t="str">
        <f t="shared" si="153"/>
        <v/>
      </c>
      <c r="BE147" s="360" t="str">
        <f t="shared" si="153"/>
        <v/>
      </c>
      <c r="BF147" s="360" t="str">
        <f t="shared" si="153"/>
        <v/>
      </c>
      <c r="BG147" s="360" t="str">
        <f t="shared" si="153"/>
        <v/>
      </c>
    </row>
    <row r="148" ht="12.75" customHeight="1" outlineLevel="1">
      <c r="A148" s="90"/>
      <c r="B148" s="195"/>
      <c r="C148" s="148" t="s">
        <v>709</v>
      </c>
      <c r="D148" s="148"/>
      <c r="E148" s="148"/>
      <c r="F148" s="148"/>
      <c r="G148" s="364">
        <f t="shared" ref="G148:R148" si="154">SUM(G145:G147)</f>
        <v>0</v>
      </c>
      <c r="H148" s="364">
        <f t="shared" si="154"/>
        <v>0</v>
      </c>
      <c r="I148" s="364">
        <f t="shared" si="154"/>
        <v>9</v>
      </c>
      <c r="J148" s="364">
        <f t="shared" si="154"/>
        <v>9</v>
      </c>
      <c r="K148" s="364">
        <f t="shared" si="154"/>
        <v>10</v>
      </c>
      <c r="L148" s="364">
        <f t="shared" si="154"/>
        <v>10</v>
      </c>
      <c r="M148" s="364">
        <f t="shared" si="154"/>
        <v>10</v>
      </c>
      <c r="N148" s="364">
        <f t="shared" si="154"/>
        <v>10</v>
      </c>
      <c r="O148" s="364">
        <f t="shared" si="154"/>
        <v>10</v>
      </c>
      <c r="P148" s="364">
        <f t="shared" si="154"/>
        <v>10</v>
      </c>
      <c r="Q148" s="364">
        <f t="shared" si="154"/>
        <v>10</v>
      </c>
      <c r="R148" s="364">
        <f t="shared" si="154"/>
        <v>10</v>
      </c>
      <c r="AT148" s="365">
        <f t="shared" ref="AT148:BG148" si="155">SUM(AT145:AT147)</f>
        <v>0</v>
      </c>
      <c r="AU148" s="365">
        <f t="shared" si="155"/>
        <v>0</v>
      </c>
      <c r="AV148" s="365">
        <f t="shared" si="155"/>
        <v>0</v>
      </c>
      <c r="AW148" s="365">
        <f t="shared" si="155"/>
        <v>0</v>
      </c>
      <c r="AX148" s="365">
        <f t="shared" si="155"/>
        <v>0</v>
      </c>
      <c r="AY148" s="365">
        <f t="shared" si="155"/>
        <v>0</v>
      </c>
      <c r="AZ148" s="365">
        <f t="shared" si="155"/>
        <v>0</v>
      </c>
      <c r="BA148" s="365">
        <f t="shared" si="155"/>
        <v>0</v>
      </c>
      <c r="BB148" s="365">
        <f t="shared" si="155"/>
        <v>0</v>
      </c>
      <c r="BC148" s="365">
        <f t="shared" si="155"/>
        <v>0</v>
      </c>
      <c r="BD148" s="365">
        <f t="shared" si="155"/>
        <v>0</v>
      </c>
      <c r="BE148" s="365">
        <f t="shared" si="155"/>
        <v>0</v>
      </c>
      <c r="BF148" s="365">
        <f t="shared" si="155"/>
        <v>0</v>
      </c>
      <c r="BG148" s="365">
        <f t="shared" si="155"/>
        <v>0</v>
      </c>
    </row>
    <row r="149" ht="12.75" customHeight="1" outlineLevel="1">
      <c r="A149" s="90"/>
      <c r="B149" s="195"/>
      <c r="C149" s="90"/>
      <c r="D149" s="90"/>
      <c r="E149" s="90"/>
      <c r="F149" s="90"/>
      <c r="G149" s="223"/>
      <c r="H149" s="223"/>
      <c r="I149" s="223"/>
      <c r="J149" s="223"/>
      <c r="K149" s="223"/>
      <c r="L149" s="223"/>
      <c r="M149" s="223"/>
      <c r="N149" s="223"/>
      <c r="O149" s="223"/>
      <c r="P149" s="223"/>
      <c r="Q149" s="223"/>
      <c r="R149" s="223"/>
      <c r="AT149" s="360"/>
      <c r="AU149" s="360"/>
      <c r="AV149" s="360"/>
      <c r="AW149" s="360"/>
      <c r="AX149" s="360"/>
      <c r="AY149" s="360"/>
      <c r="AZ149" s="360"/>
      <c r="BA149" s="360"/>
      <c r="BB149" s="360"/>
      <c r="BC149" s="360"/>
      <c r="BD149" s="360"/>
      <c r="BE149" s="360"/>
      <c r="BF149" s="360"/>
      <c r="BG149" s="360"/>
    </row>
    <row r="150" ht="12.75" customHeight="1" outlineLevel="1">
      <c r="A150" s="90"/>
      <c r="B150" s="195"/>
      <c r="C150" s="90" t="s">
        <v>710</v>
      </c>
      <c r="D150" s="90"/>
      <c r="E150" s="90"/>
      <c r="F150" s="90"/>
      <c r="G150" s="223"/>
      <c r="H150" s="223"/>
      <c r="I150" s="223"/>
      <c r="J150" s="223"/>
      <c r="K150" s="223"/>
      <c r="L150" s="223"/>
      <c r="M150" s="223"/>
      <c r="N150" s="223"/>
      <c r="O150" s="223"/>
      <c r="P150" s="223"/>
      <c r="Q150" s="223"/>
      <c r="R150" s="223"/>
      <c r="AT150" s="360"/>
      <c r="AU150" s="360"/>
      <c r="AV150" s="360"/>
      <c r="AW150" s="360"/>
      <c r="AX150" s="360"/>
      <c r="AY150" s="360"/>
      <c r="AZ150" s="360"/>
      <c r="BA150" s="360"/>
      <c r="BB150" s="360"/>
      <c r="BC150" s="360"/>
      <c r="BD150" s="360"/>
      <c r="BE150" s="360"/>
      <c r="BF150" s="360"/>
      <c r="BG150" s="360"/>
    </row>
    <row r="151" ht="12.75" customHeight="1" outlineLevel="1">
      <c r="A151" s="90"/>
      <c r="B151" s="195"/>
      <c r="C151" s="90"/>
      <c r="D151" s="90" t="s">
        <v>711</v>
      </c>
      <c r="E151" s="90"/>
      <c r="F151" s="90"/>
      <c r="G151" s="223" t="str">
        <f>'RS3'!J150</f>
        <v/>
      </c>
      <c r="H151" s="223">
        <f>'RSGen 1-7'!H151</f>
        <v>0.5</v>
      </c>
      <c r="I151" s="223">
        <f>'RSGen 1-7'!I151</f>
        <v>1</v>
      </c>
      <c r="J151" s="223">
        <f>'RSGen 1-7'!J151</f>
        <v>1</v>
      </c>
      <c r="K151" s="223">
        <f>'RSGen 1-7'!K151</f>
        <v>1</v>
      </c>
      <c r="L151" s="223">
        <f>'RSGen 1-7'!L151</f>
        <v>1</v>
      </c>
      <c r="M151" s="223">
        <f>'RSGen 1-7'!M151</f>
        <v>1</v>
      </c>
      <c r="N151" s="223">
        <f>'RSGen 1-7'!N151</f>
        <v>1</v>
      </c>
      <c r="O151" s="223">
        <f>'RSGen 1-7'!O151</f>
        <v>1</v>
      </c>
      <c r="P151" s="223">
        <f>'RSGen 1-7'!P151</f>
        <v>1</v>
      </c>
      <c r="Q151" s="223">
        <f>'RSGen 1-7'!Q151</f>
        <v>1</v>
      </c>
      <c r="R151" s="223">
        <f>'RSGen 1-7'!R151</f>
        <v>1</v>
      </c>
      <c r="AT151" s="360" t="str">
        <f t="shared" ref="AT151:BG151" si="156">AS151</f>
        <v/>
      </c>
      <c r="AU151" s="360" t="str">
        <f t="shared" si="156"/>
        <v/>
      </c>
      <c r="AV151" s="360" t="str">
        <f t="shared" si="156"/>
        <v/>
      </c>
      <c r="AW151" s="360" t="str">
        <f t="shared" si="156"/>
        <v/>
      </c>
      <c r="AX151" s="360" t="str">
        <f t="shared" si="156"/>
        <v/>
      </c>
      <c r="AY151" s="360" t="str">
        <f t="shared" si="156"/>
        <v/>
      </c>
      <c r="AZ151" s="360" t="str">
        <f t="shared" si="156"/>
        <v/>
      </c>
      <c r="BA151" s="360" t="str">
        <f t="shared" si="156"/>
        <v/>
      </c>
      <c r="BB151" s="360" t="str">
        <f t="shared" si="156"/>
        <v/>
      </c>
      <c r="BC151" s="360" t="str">
        <f t="shared" si="156"/>
        <v/>
      </c>
      <c r="BD151" s="360" t="str">
        <f t="shared" si="156"/>
        <v/>
      </c>
      <c r="BE151" s="360" t="str">
        <f t="shared" si="156"/>
        <v/>
      </c>
      <c r="BF151" s="360" t="str">
        <f t="shared" si="156"/>
        <v/>
      </c>
      <c r="BG151" s="360" t="str">
        <f t="shared" si="156"/>
        <v/>
      </c>
    </row>
    <row r="152" ht="12.75" customHeight="1" outlineLevel="1">
      <c r="A152" s="90"/>
      <c r="B152" s="195"/>
      <c r="C152" s="90"/>
      <c r="D152" s="90" t="s">
        <v>712</v>
      </c>
      <c r="E152" s="90"/>
      <c r="F152" s="90"/>
      <c r="G152" s="223" t="str">
        <f>'RS3'!J151</f>
        <v/>
      </c>
      <c r="H152" s="223">
        <f>'RSGen 1-7'!H152</f>
        <v>0</v>
      </c>
      <c r="I152" s="223">
        <f>'RSGen 1-7'!I152</f>
        <v>2</v>
      </c>
      <c r="J152" s="223">
        <f>'RSGen 1-7'!J152</f>
        <v>2</v>
      </c>
      <c r="K152" s="223">
        <f>'RSGen 1-7'!K152</f>
        <v>2</v>
      </c>
      <c r="L152" s="223">
        <f>'RSGen 1-7'!L152</f>
        <v>2</v>
      </c>
      <c r="M152" s="223">
        <f>'RSGen 1-7'!M152</f>
        <v>2</v>
      </c>
      <c r="N152" s="223">
        <f>'RSGen 1-7'!N152</f>
        <v>2</v>
      </c>
      <c r="O152" s="223">
        <f>'RSGen 1-7'!O152</f>
        <v>2</v>
      </c>
      <c r="P152" s="223">
        <f>'RSGen 1-7'!P152</f>
        <v>2</v>
      </c>
      <c r="Q152" s="223">
        <f>'RSGen 1-7'!Q152</f>
        <v>2</v>
      </c>
      <c r="R152" s="223">
        <f>'RSGen 1-7'!R152</f>
        <v>2</v>
      </c>
      <c r="AT152" s="360" t="str">
        <f t="shared" ref="AT152:BG152" si="157">AS152</f>
        <v/>
      </c>
      <c r="AU152" s="360" t="str">
        <f t="shared" si="157"/>
        <v/>
      </c>
      <c r="AV152" s="360" t="str">
        <f t="shared" si="157"/>
        <v/>
      </c>
      <c r="AW152" s="360" t="str">
        <f t="shared" si="157"/>
        <v/>
      </c>
      <c r="AX152" s="360" t="str">
        <f t="shared" si="157"/>
        <v/>
      </c>
      <c r="AY152" s="360" t="str">
        <f t="shared" si="157"/>
        <v/>
      </c>
      <c r="AZ152" s="360" t="str">
        <f t="shared" si="157"/>
        <v/>
      </c>
      <c r="BA152" s="360" t="str">
        <f t="shared" si="157"/>
        <v/>
      </c>
      <c r="BB152" s="360" t="str">
        <f t="shared" si="157"/>
        <v/>
      </c>
      <c r="BC152" s="360" t="str">
        <f t="shared" si="157"/>
        <v/>
      </c>
      <c r="BD152" s="360" t="str">
        <f t="shared" si="157"/>
        <v/>
      </c>
      <c r="BE152" s="360" t="str">
        <f t="shared" si="157"/>
        <v/>
      </c>
      <c r="BF152" s="360" t="str">
        <f t="shared" si="157"/>
        <v/>
      </c>
      <c r="BG152" s="360" t="str">
        <f t="shared" si="157"/>
        <v/>
      </c>
    </row>
    <row r="153" ht="12.75" customHeight="1" outlineLevel="1">
      <c r="A153" s="90"/>
      <c r="B153" s="195"/>
      <c r="C153" s="90"/>
      <c r="D153" s="90" t="s">
        <v>713</v>
      </c>
      <c r="E153" s="90"/>
      <c r="F153" s="90"/>
      <c r="G153" s="223" t="str">
        <f>'RS3'!J152</f>
        <v/>
      </c>
      <c r="H153" s="223" t="str">
        <f>'RSGen 1-7'!H153</f>
        <v/>
      </c>
      <c r="I153" s="223">
        <f>'RSGen 1-7'!I153</f>
        <v>1.5</v>
      </c>
      <c r="J153" s="223">
        <f>'RSGen 1-7'!J153</f>
        <v>1.5</v>
      </c>
      <c r="K153" s="223">
        <f>'RSGen 1-7'!K153</f>
        <v>1.5</v>
      </c>
      <c r="L153" s="223">
        <f>'RSGen 1-7'!L153</f>
        <v>1.5</v>
      </c>
      <c r="M153" s="223">
        <f>'RSGen 1-7'!M153</f>
        <v>1.5</v>
      </c>
      <c r="N153" s="223">
        <f>'RSGen 1-7'!N153</f>
        <v>1.5</v>
      </c>
      <c r="O153" s="223">
        <f>'RSGen 1-7'!O153</f>
        <v>1.5</v>
      </c>
      <c r="P153" s="223">
        <f>'RSGen 1-7'!P153</f>
        <v>1.5</v>
      </c>
      <c r="Q153" s="223">
        <f>'RSGen 1-7'!Q153</f>
        <v>1.5</v>
      </c>
      <c r="R153" s="223">
        <f>'RSGen 1-7'!R153</f>
        <v>1.5</v>
      </c>
      <c r="AT153" s="360" t="str">
        <f t="shared" ref="AT153:BG153" si="158">AS153</f>
        <v/>
      </c>
      <c r="AU153" s="360" t="str">
        <f t="shared" si="158"/>
        <v/>
      </c>
      <c r="AV153" s="360" t="str">
        <f t="shared" si="158"/>
        <v/>
      </c>
      <c r="AW153" s="360" t="str">
        <f t="shared" si="158"/>
        <v/>
      </c>
      <c r="AX153" s="360" t="str">
        <f t="shared" si="158"/>
        <v/>
      </c>
      <c r="AY153" s="360" t="str">
        <f t="shared" si="158"/>
        <v/>
      </c>
      <c r="AZ153" s="360" t="str">
        <f t="shared" si="158"/>
        <v/>
      </c>
      <c r="BA153" s="360" t="str">
        <f t="shared" si="158"/>
        <v/>
      </c>
      <c r="BB153" s="360" t="str">
        <f t="shared" si="158"/>
        <v/>
      </c>
      <c r="BC153" s="360" t="str">
        <f t="shared" si="158"/>
        <v/>
      </c>
      <c r="BD153" s="360" t="str">
        <f t="shared" si="158"/>
        <v/>
      </c>
      <c r="BE153" s="360" t="str">
        <f t="shared" si="158"/>
        <v/>
      </c>
      <c r="BF153" s="360" t="str">
        <f t="shared" si="158"/>
        <v/>
      </c>
      <c r="BG153" s="360" t="str">
        <f t="shared" si="158"/>
        <v/>
      </c>
    </row>
    <row r="154" ht="12.75" customHeight="1" outlineLevel="1">
      <c r="A154" s="90"/>
      <c r="B154" s="195"/>
      <c r="C154" s="87"/>
      <c r="D154" s="87" t="s">
        <v>714</v>
      </c>
      <c r="E154" s="87"/>
      <c r="F154" s="87"/>
      <c r="G154" s="223" t="str">
        <f>'RS3'!J153</f>
        <v/>
      </c>
      <c r="H154" s="223" t="str">
        <f>'RSGen 1-7'!H154</f>
        <v/>
      </c>
      <c r="I154" s="223">
        <f>'RSGen 1-7'!I154</f>
        <v>2.75</v>
      </c>
      <c r="J154" s="223">
        <f>'RSGen 1-7'!J154</f>
        <v>2.75</v>
      </c>
      <c r="K154" s="223">
        <f>'RSGen 1-7'!K154</f>
        <v>2.75</v>
      </c>
      <c r="L154" s="223">
        <f>'RSGen 1-7'!L154</f>
        <v>2.75</v>
      </c>
      <c r="M154" s="223">
        <f>'RSGen 1-7'!M154</f>
        <v>2.75</v>
      </c>
      <c r="N154" s="223">
        <f>'RSGen 1-7'!N154</f>
        <v>2.75</v>
      </c>
      <c r="O154" s="223">
        <f>'RSGen 1-7'!O154</f>
        <v>2.75</v>
      </c>
      <c r="P154" s="223">
        <f>'RSGen 1-7'!P154</f>
        <v>2.75</v>
      </c>
      <c r="Q154" s="223">
        <f>'RSGen 1-7'!Q154</f>
        <v>2.75</v>
      </c>
      <c r="R154" s="223">
        <f>'RSGen 1-7'!R154</f>
        <v>2.75</v>
      </c>
      <c r="AT154" s="360" t="str">
        <f t="shared" ref="AT154:BG154" si="159">AS154</f>
        <v/>
      </c>
      <c r="AU154" s="360" t="str">
        <f t="shared" si="159"/>
        <v/>
      </c>
      <c r="AV154" s="360" t="str">
        <f t="shared" si="159"/>
        <v/>
      </c>
      <c r="AW154" s="360" t="str">
        <f t="shared" si="159"/>
        <v/>
      </c>
      <c r="AX154" s="360" t="str">
        <f t="shared" si="159"/>
        <v/>
      </c>
      <c r="AY154" s="360" t="str">
        <f t="shared" si="159"/>
        <v/>
      </c>
      <c r="AZ154" s="360" t="str">
        <f t="shared" si="159"/>
        <v/>
      </c>
      <c r="BA154" s="360" t="str">
        <f t="shared" si="159"/>
        <v/>
      </c>
      <c r="BB154" s="360" t="str">
        <f t="shared" si="159"/>
        <v/>
      </c>
      <c r="BC154" s="360" t="str">
        <f t="shared" si="159"/>
        <v/>
      </c>
      <c r="BD154" s="360" t="str">
        <f t="shared" si="159"/>
        <v/>
      </c>
      <c r="BE154" s="360" t="str">
        <f t="shared" si="159"/>
        <v/>
      </c>
      <c r="BF154" s="360" t="str">
        <f t="shared" si="159"/>
        <v/>
      </c>
      <c r="BG154" s="360" t="str">
        <f t="shared" si="159"/>
        <v/>
      </c>
    </row>
    <row r="155" ht="12.75" customHeight="1" outlineLevel="1">
      <c r="A155" s="90"/>
      <c r="B155" s="195"/>
      <c r="C155" s="90" t="s">
        <v>715</v>
      </c>
      <c r="D155" s="90"/>
      <c r="E155" s="90"/>
      <c r="F155" s="90"/>
      <c r="G155" s="364">
        <f t="shared" ref="G155:R155" si="160">SUM(G150:G154)</f>
        <v>0</v>
      </c>
      <c r="H155" s="364">
        <f t="shared" si="160"/>
        <v>0.5</v>
      </c>
      <c r="I155" s="364">
        <f t="shared" si="160"/>
        <v>7.25</v>
      </c>
      <c r="J155" s="364">
        <f t="shared" si="160"/>
        <v>7.25</v>
      </c>
      <c r="K155" s="364">
        <f t="shared" si="160"/>
        <v>7.25</v>
      </c>
      <c r="L155" s="364">
        <f t="shared" si="160"/>
        <v>7.25</v>
      </c>
      <c r="M155" s="364">
        <f t="shared" si="160"/>
        <v>7.25</v>
      </c>
      <c r="N155" s="364">
        <f t="shared" si="160"/>
        <v>7.25</v>
      </c>
      <c r="O155" s="364">
        <f t="shared" si="160"/>
        <v>7.25</v>
      </c>
      <c r="P155" s="364">
        <f t="shared" si="160"/>
        <v>7.25</v>
      </c>
      <c r="Q155" s="364">
        <f t="shared" si="160"/>
        <v>7.25</v>
      </c>
      <c r="R155" s="364">
        <f t="shared" si="160"/>
        <v>7.25</v>
      </c>
      <c r="AT155" s="365">
        <f t="shared" ref="AT155:BG155" si="161">SUM(AT150:AT154)</f>
        <v>0</v>
      </c>
      <c r="AU155" s="365">
        <f t="shared" si="161"/>
        <v>0</v>
      </c>
      <c r="AV155" s="365">
        <f t="shared" si="161"/>
        <v>0</v>
      </c>
      <c r="AW155" s="365">
        <f t="shared" si="161"/>
        <v>0</v>
      </c>
      <c r="AX155" s="365">
        <f t="shared" si="161"/>
        <v>0</v>
      </c>
      <c r="AY155" s="365">
        <f t="shared" si="161"/>
        <v>0</v>
      </c>
      <c r="AZ155" s="365">
        <f t="shared" si="161"/>
        <v>0</v>
      </c>
      <c r="BA155" s="365">
        <f t="shared" si="161"/>
        <v>0</v>
      </c>
      <c r="BB155" s="365">
        <f t="shared" si="161"/>
        <v>0</v>
      </c>
      <c r="BC155" s="365">
        <f t="shared" si="161"/>
        <v>0</v>
      </c>
      <c r="BD155" s="365">
        <f t="shared" si="161"/>
        <v>0</v>
      </c>
      <c r="BE155" s="365">
        <f t="shared" si="161"/>
        <v>0</v>
      </c>
      <c r="BF155" s="365">
        <f t="shared" si="161"/>
        <v>0</v>
      </c>
      <c r="BG155" s="365">
        <f t="shared" si="161"/>
        <v>0</v>
      </c>
    </row>
    <row r="156" ht="12.75" customHeight="1" outlineLevel="1">
      <c r="A156" s="90"/>
      <c r="B156" s="195"/>
      <c r="C156" s="90"/>
      <c r="D156" s="90"/>
      <c r="E156" s="90"/>
      <c r="F156" s="90"/>
      <c r="G156" s="223"/>
      <c r="H156" s="223"/>
      <c r="I156" s="223"/>
      <c r="J156" s="223"/>
      <c r="K156" s="223"/>
      <c r="L156" s="223"/>
      <c r="M156" s="223"/>
      <c r="N156" s="223"/>
      <c r="O156" s="223"/>
      <c r="P156" s="223"/>
      <c r="Q156" s="223"/>
      <c r="R156" s="223"/>
      <c r="AT156" s="360"/>
      <c r="AU156" s="360"/>
      <c r="AV156" s="360"/>
      <c r="AW156" s="360"/>
      <c r="AX156" s="360"/>
      <c r="AY156" s="360"/>
      <c r="AZ156" s="360"/>
      <c r="BA156" s="360"/>
      <c r="BB156" s="360"/>
      <c r="BC156" s="360"/>
      <c r="BD156" s="360"/>
      <c r="BE156" s="360"/>
      <c r="BF156" s="360"/>
      <c r="BG156" s="360"/>
    </row>
    <row r="157" ht="12.75" customHeight="1" outlineLevel="1">
      <c r="A157" s="90"/>
      <c r="B157" s="195"/>
      <c r="C157" s="90" t="s">
        <v>716</v>
      </c>
      <c r="D157" s="90"/>
      <c r="E157" s="90"/>
      <c r="F157" s="90"/>
      <c r="G157" s="223">
        <f t="shared" ref="G157:R157" si="162">G142+G148</f>
        <v>0</v>
      </c>
      <c r="H157" s="223">
        <f t="shared" si="162"/>
        <v>1</v>
      </c>
      <c r="I157" s="223">
        <f t="shared" si="162"/>
        <v>11</v>
      </c>
      <c r="J157" s="223">
        <f t="shared" si="162"/>
        <v>11</v>
      </c>
      <c r="K157" s="223">
        <f t="shared" si="162"/>
        <v>12</v>
      </c>
      <c r="L157" s="223">
        <f t="shared" si="162"/>
        <v>12</v>
      </c>
      <c r="M157" s="223">
        <f t="shared" si="162"/>
        <v>12</v>
      </c>
      <c r="N157" s="223">
        <f t="shared" si="162"/>
        <v>12</v>
      </c>
      <c r="O157" s="223">
        <f t="shared" si="162"/>
        <v>12</v>
      </c>
      <c r="P157" s="223">
        <f t="shared" si="162"/>
        <v>12</v>
      </c>
      <c r="Q157" s="223">
        <f t="shared" si="162"/>
        <v>12</v>
      </c>
      <c r="R157" s="223">
        <f t="shared" si="162"/>
        <v>12</v>
      </c>
      <c r="AT157" s="360">
        <f t="shared" ref="AT157:BG157" si="163">AT142+AT148</f>
        <v>0</v>
      </c>
      <c r="AU157" s="360">
        <f t="shared" si="163"/>
        <v>0</v>
      </c>
      <c r="AV157" s="360">
        <f t="shared" si="163"/>
        <v>0</v>
      </c>
      <c r="AW157" s="360">
        <f t="shared" si="163"/>
        <v>0</v>
      </c>
      <c r="AX157" s="360">
        <f t="shared" si="163"/>
        <v>0</v>
      </c>
      <c r="AY157" s="360">
        <f t="shared" si="163"/>
        <v>0</v>
      </c>
      <c r="AZ157" s="360">
        <f t="shared" si="163"/>
        <v>0</v>
      </c>
      <c r="BA157" s="360">
        <f t="shared" si="163"/>
        <v>0</v>
      </c>
      <c r="BB157" s="360">
        <f t="shared" si="163"/>
        <v>0</v>
      </c>
      <c r="BC157" s="360">
        <f t="shared" si="163"/>
        <v>0</v>
      </c>
      <c r="BD157" s="360">
        <f t="shared" si="163"/>
        <v>0</v>
      </c>
      <c r="BE157" s="360">
        <f t="shared" si="163"/>
        <v>0</v>
      </c>
      <c r="BF157" s="360">
        <f t="shared" si="163"/>
        <v>0</v>
      </c>
      <c r="BG157" s="360">
        <f t="shared" si="163"/>
        <v>0</v>
      </c>
    </row>
    <row r="158" ht="12.75" customHeight="1" outlineLevel="1">
      <c r="A158" s="90"/>
      <c r="B158" s="195"/>
      <c r="C158" s="87" t="s">
        <v>717</v>
      </c>
      <c r="D158" s="87"/>
      <c r="E158" s="87"/>
      <c r="F158" s="87"/>
      <c r="G158" s="367">
        <f t="shared" ref="G158:R158" si="164">G155</f>
        <v>0</v>
      </c>
      <c r="H158" s="367">
        <f t="shared" si="164"/>
        <v>0.5</v>
      </c>
      <c r="I158" s="367">
        <f t="shared" si="164"/>
        <v>7.25</v>
      </c>
      <c r="J158" s="367">
        <f t="shared" si="164"/>
        <v>7.25</v>
      </c>
      <c r="K158" s="367">
        <f t="shared" si="164"/>
        <v>7.25</v>
      </c>
      <c r="L158" s="367">
        <f t="shared" si="164"/>
        <v>7.25</v>
      </c>
      <c r="M158" s="367">
        <f t="shared" si="164"/>
        <v>7.25</v>
      </c>
      <c r="N158" s="367">
        <f t="shared" si="164"/>
        <v>7.25</v>
      </c>
      <c r="O158" s="367">
        <f t="shared" si="164"/>
        <v>7.25</v>
      </c>
      <c r="P158" s="367">
        <f t="shared" si="164"/>
        <v>7.25</v>
      </c>
      <c r="Q158" s="367">
        <f t="shared" si="164"/>
        <v>7.25</v>
      </c>
      <c r="R158" s="367">
        <f t="shared" si="164"/>
        <v>7.25</v>
      </c>
      <c r="AT158" s="368">
        <f t="shared" ref="AT158:BG158" si="165">AT155</f>
        <v>0</v>
      </c>
      <c r="AU158" s="368">
        <f t="shared" si="165"/>
        <v>0</v>
      </c>
      <c r="AV158" s="368">
        <f t="shared" si="165"/>
        <v>0</v>
      </c>
      <c r="AW158" s="368">
        <f t="shared" si="165"/>
        <v>0</v>
      </c>
      <c r="AX158" s="368">
        <f t="shared" si="165"/>
        <v>0</v>
      </c>
      <c r="AY158" s="368">
        <f t="shared" si="165"/>
        <v>0</v>
      </c>
      <c r="AZ158" s="368">
        <f t="shared" si="165"/>
        <v>0</v>
      </c>
      <c r="BA158" s="368">
        <f t="shared" si="165"/>
        <v>0</v>
      </c>
      <c r="BB158" s="368">
        <f t="shared" si="165"/>
        <v>0</v>
      </c>
      <c r="BC158" s="368">
        <f t="shared" si="165"/>
        <v>0</v>
      </c>
      <c r="BD158" s="368">
        <f t="shared" si="165"/>
        <v>0</v>
      </c>
      <c r="BE158" s="368">
        <f t="shared" si="165"/>
        <v>0</v>
      </c>
      <c r="BF158" s="368">
        <f t="shared" si="165"/>
        <v>0</v>
      </c>
      <c r="BG158" s="368">
        <f t="shared" si="165"/>
        <v>0</v>
      </c>
    </row>
    <row r="159" ht="12.75" customHeight="1" outlineLevel="1">
      <c r="A159" s="90"/>
      <c r="B159" s="195"/>
      <c r="C159" s="90" t="s">
        <v>718</v>
      </c>
      <c r="D159" s="67"/>
      <c r="E159" s="67"/>
      <c r="F159" s="67"/>
      <c r="G159" s="223">
        <f t="shared" ref="G159:R159" si="166">G157+G158</f>
        <v>0</v>
      </c>
      <c r="H159" s="223">
        <f t="shared" si="166"/>
        <v>1.5</v>
      </c>
      <c r="I159" s="223">
        <f t="shared" si="166"/>
        <v>18.25</v>
      </c>
      <c r="J159" s="223">
        <f t="shared" si="166"/>
        <v>18.25</v>
      </c>
      <c r="K159" s="223">
        <f t="shared" si="166"/>
        <v>19.25</v>
      </c>
      <c r="L159" s="223">
        <f t="shared" si="166"/>
        <v>19.25</v>
      </c>
      <c r="M159" s="223">
        <f t="shared" si="166"/>
        <v>19.25</v>
      </c>
      <c r="N159" s="223">
        <f t="shared" si="166"/>
        <v>19.25</v>
      </c>
      <c r="O159" s="223">
        <f t="shared" si="166"/>
        <v>19.25</v>
      </c>
      <c r="P159" s="223">
        <f t="shared" si="166"/>
        <v>19.25</v>
      </c>
      <c r="Q159" s="223">
        <f t="shared" si="166"/>
        <v>19.25</v>
      </c>
      <c r="R159" s="223">
        <f t="shared" si="166"/>
        <v>19.25</v>
      </c>
      <c r="AT159" s="360">
        <f t="shared" ref="AT159:BG159" si="167">AT157+AT158</f>
        <v>0</v>
      </c>
      <c r="AU159" s="360">
        <f t="shared" si="167"/>
        <v>0</v>
      </c>
      <c r="AV159" s="360">
        <f t="shared" si="167"/>
        <v>0</v>
      </c>
      <c r="AW159" s="360">
        <f t="shared" si="167"/>
        <v>0</v>
      </c>
      <c r="AX159" s="360">
        <f t="shared" si="167"/>
        <v>0</v>
      </c>
      <c r="AY159" s="360">
        <f t="shared" si="167"/>
        <v>0</v>
      </c>
      <c r="AZ159" s="360">
        <f t="shared" si="167"/>
        <v>0</v>
      </c>
      <c r="BA159" s="360">
        <f t="shared" si="167"/>
        <v>0</v>
      </c>
      <c r="BB159" s="360">
        <f t="shared" si="167"/>
        <v>0</v>
      </c>
      <c r="BC159" s="360">
        <f t="shared" si="167"/>
        <v>0</v>
      </c>
      <c r="BD159" s="360">
        <f t="shared" si="167"/>
        <v>0</v>
      </c>
      <c r="BE159" s="360">
        <f t="shared" si="167"/>
        <v>0</v>
      </c>
      <c r="BF159" s="360">
        <f t="shared" si="167"/>
        <v>0</v>
      </c>
      <c r="BG159" s="360">
        <f t="shared" si="167"/>
        <v>0</v>
      </c>
    </row>
    <row r="160" ht="12.75" customHeight="1" outlineLevel="1">
      <c r="A160" s="90"/>
      <c r="B160" s="195"/>
      <c r="C160" s="90" t="s">
        <v>719</v>
      </c>
      <c r="D160" s="67"/>
      <c r="E160" s="67"/>
      <c r="F160" s="67"/>
      <c r="G160" s="223">
        <f t="shared" ref="G160:H160" si="168">G159-E159</f>
        <v>0</v>
      </c>
      <c r="H160" s="223">
        <f t="shared" si="168"/>
        <v>1.5</v>
      </c>
      <c r="I160" s="223">
        <f t="shared" ref="I160:R160" si="169">I159-H159</f>
        <v>16.75</v>
      </c>
      <c r="J160" s="223">
        <f t="shared" si="169"/>
        <v>0</v>
      </c>
      <c r="K160" s="223">
        <f t="shared" si="169"/>
        <v>1</v>
      </c>
      <c r="L160" s="223">
        <f t="shared" si="169"/>
        <v>0</v>
      </c>
      <c r="M160" s="223">
        <f t="shared" si="169"/>
        <v>0</v>
      </c>
      <c r="N160" s="223">
        <f t="shared" si="169"/>
        <v>0</v>
      </c>
      <c r="O160" s="223">
        <f t="shared" si="169"/>
        <v>0</v>
      </c>
      <c r="P160" s="223">
        <f t="shared" si="169"/>
        <v>0</v>
      </c>
      <c r="Q160" s="223">
        <f t="shared" si="169"/>
        <v>0</v>
      </c>
      <c r="R160" s="223">
        <f t="shared" si="169"/>
        <v>0</v>
      </c>
      <c r="AT160" s="360">
        <f t="shared" ref="AT160:BG160" si="170">AT159-AS159</f>
        <v>0</v>
      </c>
      <c r="AU160" s="360">
        <f t="shared" si="170"/>
        <v>0</v>
      </c>
      <c r="AV160" s="360">
        <f t="shared" si="170"/>
        <v>0</v>
      </c>
      <c r="AW160" s="360">
        <f t="shared" si="170"/>
        <v>0</v>
      </c>
      <c r="AX160" s="360">
        <f t="shared" si="170"/>
        <v>0</v>
      </c>
      <c r="AY160" s="360">
        <f t="shared" si="170"/>
        <v>0</v>
      </c>
      <c r="AZ160" s="360">
        <f t="shared" si="170"/>
        <v>0</v>
      </c>
      <c r="BA160" s="360">
        <f t="shared" si="170"/>
        <v>0</v>
      </c>
      <c r="BB160" s="360">
        <f t="shared" si="170"/>
        <v>0</v>
      </c>
      <c r="BC160" s="360">
        <f t="shared" si="170"/>
        <v>0</v>
      </c>
      <c r="BD160" s="360">
        <f t="shared" si="170"/>
        <v>0</v>
      </c>
      <c r="BE160" s="360">
        <f t="shared" si="170"/>
        <v>0</v>
      </c>
      <c r="BF160" s="360">
        <f t="shared" si="170"/>
        <v>0</v>
      </c>
      <c r="BG160" s="360">
        <f t="shared" si="170"/>
        <v>0</v>
      </c>
    </row>
    <row r="161" ht="12.75" customHeight="1" outlineLevel="1">
      <c r="A161" s="90"/>
      <c r="B161" s="195"/>
      <c r="C161" s="90"/>
      <c r="D161" s="67"/>
      <c r="E161" s="67"/>
      <c r="F161" s="67"/>
      <c r="G161" s="369"/>
      <c r="H161" s="369"/>
      <c r="I161" s="369"/>
      <c r="J161" s="369"/>
      <c r="K161" s="369"/>
      <c r="L161" s="369"/>
      <c r="M161" s="369"/>
      <c r="N161" s="369"/>
      <c r="O161" s="369"/>
      <c r="P161" s="369"/>
      <c r="Q161" s="369"/>
      <c r="R161" s="369"/>
      <c r="AT161" s="370"/>
      <c r="AU161" s="370"/>
      <c r="AV161" s="370"/>
      <c r="AW161" s="370"/>
      <c r="AX161" s="370"/>
      <c r="AY161" s="370"/>
      <c r="AZ161" s="370"/>
      <c r="BA161" s="370"/>
      <c r="BB161" s="370"/>
      <c r="BC161" s="370"/>
      <c r="BD161" s="370"/>
      <c r="BE161" s="370"/>
      <c r="BF161" s="370"/>
      <c r="BG161" s="370"/>
    </row>
    <row r="162" ht="12.75" customHeight="1" outlineLevel="1">
      <c r="A162" s="90"/>
      <c r="B162" s="67" t="s">
        <v>278</v>
      </c>
      <c r="C162" s="90"/>
      <c r="D162" s="90"/>
      <c r="E162" s="90"/>
      <c r="F162" s="90"/>
      <c r="G162" s="90"/>
      <c r="H162" s="90"/>
      <c r="I162" s="90"/>
      <c r="J162" s="90"/>
      <c r="K162" s="90"/>
      <c r="L162" s="90"/>
      <c r="M162" s="90"/>
      <c r="N162" s="90"/>
      <c r="O162" s="90"/>
      <c r="P162" s="90"/>
      <c r="Q162" s="90"/>
      <c r="R162" s="90"/>
      <c r="AT162" s="313"/>
      <c r="AU162" s="313"/>
      <c r="AV162" s="313"/>
      <c r="AW162" s="313"/>
      <c r="AX162" s="313"/>
      <c r="AY162" s="313"/>
      <c r="AZ162" s="313"/>
      <c r="BA162" s="313"/>
      <c r="BB162" s="313"/>
      <c r="BC162" s="313"/>
      <c r="BD162" s="313"/>
      <c r="BE162" s="313"/>
      <c r="BF162" s="313"/>
      <c r="BG162" s="313"/>
    </row>
    <row r="163" ht="12.75" customHeight="1" outlineLevel="1">
      <c r="A163" s="90"/>
      <c r="B163" s="90"/>
      <c r="C163" s="90" t="s">
        <v>720</v>
      </c>
      <c r="D163" s="90"/>
      <c r="E163" s="90"/>
      <c r="F163" s="90"/>
      <c r="G163" s="178">
        <v>0.0</v>
      </c>
      <c r="H163" s="178"/>
      <c r="I163" s="178"/>
      <c r="J163" s="178"/>
      <c r="K163" s="178"/>
      <c r="L163" s="178"/>
      <c r="M163" s="178"/>
      <c r="N163" s="178"/>
      <c r="O163" s="178"/>
      <c r="P163" s="178"/>
      <c r="Q163" s="178"/>
      <c r="R163" s="178"/>
      <c r="AT163" s="355" t="str">
        <f t="shared" ref="AT163:BG163" si="171">AS163</f>
        <v/>
      </c>
      <c r="AU163" s="355" t="str">
        <f t="shared" si="171"/>
        <v/>
      </c>
      <c r="AV163" s="355" t="str">
        <f t="shared" si="171"/>
        <v/>
      </c>
      <c r="AW163" s="355" t="str">
        <f t="shared" si="171"/>
        <v/>
      </c>
      <c r="AX163" s="355" t="str">
        <f t="shared" si="171"/>
        <v/>
      </c>
      <c r="AY163" s="355" t="str">
        <f t="shared" si="171"/>
        <v/>
      </c>
      <c r="AZ163" s="355" t="str">
        <f t="shared" si="171"/>
        <v/>
      </c>
      <c r="BA163" s="355" t="str">
        <f t="shared" si="171"/>
        <v/>
      </c>
      <c r="BB163" s="355" t="str">
        <f t="shared" si="171"/>
        <v/>
      </c>
      <c r="BC163" s="355" t="str">
        <f t="shared" si="171"/>
        <v/>
      </c>
      <c r="BD163" s="355" t="str">
        <f t="shared" si="171"/>
        <v/>
      </c>
      <c r="BE163" s="355" t="str">
        <f t="shared" si="171"/>
        <v/>
      </c>
      <c r="BF163" s="355" t="str">
        <f t="shared" si="171"/>
        <v/>
      </c>
      <c r="BG163" s="355" t="str">
        <f t="shared" si="171"/>
        <v/>
      </c>
    </row>
    <row r="164" ht="12.75" customHeight="1" outlineLevel="1">
      <c r="A164" s="90"/>
      <c r="B164" s="90"/>
      <c r="C164" s="90"/>
      <c r="D164" s="90"/>
      <c r="E164" s="90"/>
      <c r="F164" s="90"/>
      <c r="G164" s="90"/>
      <c r="H164" s="90"/>
      <c r="I164" s="99"/>
      <c r="J164" s="99"/>
      <c r="K164" s="99"/>
      <c r="L164" s="99"/>
      <c r="M164" s="99"/>
      <c r="N164" s="90"/>
      <c r="O164" s="90"/>
      <c r="P164" s="90"/>
      <c r="Q164" s="90"/>
      <c r="R164" s="90"/>
      <c r="AT164" s="313"/>
      <c r="AU164" s="313"/>
      <c r="AV164" s="313"/>
      <c r="AW164" s="313"/>
      <c r="AX164" s="313"/>
      <c r="AY164" s="313"/>
      <c r="AZ164" s="313"/>
      <c r="BA164" s="313"/>
      <c r="BB164" s="313"/>
      <c r="BC164" s="313"/>
      <c r="BD164" s="313"/>
      <c r="BE164" s="313"/>
      <c r="BF164" s="313"/>
      <c r="BG164" s="313"/>
    </row>
    <row r="165" ht="12.75" customHeight="1" outlineLevel="1">
      <c r="A165" s="90"/>
      <c r="B165" s="371"/>
      <c r="C165" s="90" t="s">
        <v>701</v>
      </c>
      <c r="D165" s="90"/>
      <c r="E165" s="90"/>
      <c r="F165" s="90"/>
      <c r="G165" s="99">
        <f>'RSGen 1-7'!G165</f>
        <v>0</v>
      </c>
      <c r="H165" s="99">
        <f>'RSGen 1-7'!H165</f>
        <v>70833.33333</v>
      </c>
      <c r="I165" s="99">
        <f>'RSGen 1-7'!I165</f>
        <v>83333.33333</v>
      </c>
      <c r="J165" s="99">
        <f>'RSGen 1-7'!J165</f>
        <v>100000</v>
      </c>
      <c r="K165" s="99">
        <f>'RSGen 1-7'!K165</f>
        <v>100000</v>
      </c>
      <c r="L165" s="99">
        <f>'RSGen 1-7'!L165</f>
        <v>100000</v>
      </c>
      <c r="M165" s="99">
        <f>'RSGen 1-7'!M165</f>
        <v>100000</v>
      </c>
      <c r="N165" s="99">
        <f>'RSGen 1-7'!N165</f>
        <v>100000</v>
      </c>
      <c r="O165" s="99">
        <f>'RSGen 1-7'!O165</f>
        <v>100000</v>
      </c>
      <c r="P165" s="99">
        <f>'RSGen 1-7'!P165</f>
        <v>100000</v>
      </c>
      <c r="Q165" s="99">
        <f>'RSGen 1-7'!Q165</f>
        <v>100000</v>
      </c>
      <c r="R165" s="99">
        <f>'RSGen 1-7'!R165</f>
        <v>100000</v>
      </c>
      <c r="AT165" s="308">
        <f t="shared" ref="AT165:BG165" si="172">AS165*(1+AT$163)</f>
        <v>0</v>
      </c>
      <c r="AU165" s="308">
        <f t="shared" si="172"/>
        <v>0</v>
      </c>
      <c r="AV165" s="308">
        <f t="shared" si="172"/>
        <v>0</v>
      </c>
      <c r="AW165" s="308">
        <f t="shared" si="172"/>
        <v>0</v>
      </c>
      <c r="AX165" s="308">
        <f t="shared" si="172"/>
        <v>0</v>
      </c>
      <c r="AY165" s="308">
        <f t="shared" si="172"/>
        <v>0</v>
      </c>
      <c r="AZ165" s="308">
        <f t="shared" si="172"/>
        <v>0</v>
      </c>
      <c r="BA165" s="308">
        <f t="shared" si="172"/>
        <v>0</v>
      </c>
      <c r="BB165" s="308">
        <f t="shared" si="172"/>
        <v>0</v>
      </c>
      <c r="BC165" s="308">
        <f t="shared" si="172"/>
        <v>0</v>
      </c>
      <c r="BD165" s="308">
        <f t="shared" si="172"/>
        <v>0</v>
      </c>
      <c r="BE165" s="308">
        <f t="shared" si="172"/>
        <v>0</v>
      </c>
      <c r="BF165" s="308">
        <f t="shared" si="172"/>
        <v>0</v>
      </c>
      <c r="BG165" s="308">
        <f t="shared" si="172"/>
        <v>0</v>
      </c>
    </row>
    <row r="166" ht="12.75" customHeight="1" outlineLevel="1">
      <c r="A166" s="90"/>
      <c r="B166" s="195"/>
      <c r="C166" s="90" t="s">
        <v>721</v>
      </c>
      <c r="D166" s="90"/>
      <c r="E166" s="90"/>
      <c r="F166" s="90"/>
      <c r="G166" s="99">
        <f>'RSGen 1-7'!G166</f>
        <v>0</v>
      </c>
      <c r="H166" s="99">
        <f>'RSGen 1-7'!H166</f>
        <v>0</v>
      </c>
      <c r="I166" s="99">
        <f>'RSGen 1-7'!I166</f>
        <v>0</v>
      </c>
      <c r="J166" s="99">
        <f>'RSGen 1-7'!J166</f>
        <v>0</v>
      </c>
      <c r="K166" s="99">
        <f>'RSGen 1-7'!K166</f>
        <v>0</v>
      </c>
      <c r="L166" s="99">
        <f>'RSGen 1-7'!L166</f>
        <v>0</v>
      </c>
      <c r="M166" s="99">
        <f>'RSGen 1-7'!M166</f>
        <v>0</v>
      </c>
      <c r="N166" s="99">
        <f>'RSGen 1-7'!N166</f>
        <v>0</v>
      </c>
      <c r="O166" s="99">
        <f>'RSGen 1-7'!O166</f>
        <v>0</v>
      </c>
      <c r="P166" s="99">
        <f>'RSGen 1-7'!P166</f>
        <v>0</v>
      </c>
      <c r="Q166" s="99">
        <f>'RSGen 1-7'!Q166</f>
        <v>0</v>
      </c>
      <c r="R166" s="99">
        <f>'RSGen 1-7'!R166</f>
        <v>0</v>
      </c>
      <c r="AT166" s="308">
        <f t="shared" ref="AT166:BG166" si="173">AS166*(1+AT$163)</f>
        <v>0</v>
      </c>
      <c r="AU166" s="308">
        <f t="shared" si="173"/>
        <v>0</v>
      </c>
      <c r="AV166" s="308">
        <f t="shared" si="173"/>
        <v>0</v>
      </c>
      <c r="AW166" s="308">
        <f t="shared" si="173"/>
        <v>0</v>
      </c>
      <c r="AX166" s="308">
        <f t="shared" si="173"/>
        <v>0</v>
      </c>
      <c r="AY166" s="308">
        <f t="shared" si="173"/>
        <v>0</v>
      </c>
      <c r="AZ166" s="308">
        <f t="shared" si="173"/>
        <v>0</v>
      </c>
      <c r="BA166" s="308">
        <f t="shared" si="173"/>
        <v>0</v>
      </c>
      <c r="BB166" s="308">
        <f t="shared" si="173"/>
        <v>0</v>
      </c>
      <c r="BC166" s="308">
        <f t="shared" si="173"/>
        <v>0</v>
      </c>
      <c r="BD166" s="308">
        <f t="shared" si="173"/>
        <v>0</v>
      </c>
      <c r="BE166" s="308">
        <f t="shared" si="173"/>
        <v>0</v>
      </c>
      <c r="BF166" s="308">
        <f t="shared" si="173"/>
        <v>0</v>
      </c>
      <c r="BG166" s="308">
        <f t="shared" si="173"/>
        <v>0</v>
      </c>
    </row>
    <row r="167" ht="12.75" customHeight="1" outlineLevel="1">
      <c r="A167" s="90"/>
      <c r="B167" s="195"/>
      <c r="C167" s="90" t="s">
        <v>703</v>
      </c>
      <c r="D167" s="90"/>
      <c r="E167" s="90"/>
      <c r="F167" s="90"/>
      <c r="G167" s="99">
        <f>'RSGen 1-7'!G167</f>
        <v>0</v>
      </c>
      <c r="H167" s="99">
        <f>'RSGen 1-7'!H167</f>
        <v>0</v>
      </c>
      <c r="I167" s="99">
        <f>'RSGen 1-7'!I167</f>
        <v>0</v>
      </c>
      <c r="J167" s="99">
        <f>'RSGen 1-7'!J167</f>
        <v>0</v>
      </c>
      <c r="K167" s="99">
        <f>'RSGen 1-7'!K167</f>
        <v>0</v>
      </c>
      <c r="L167" s="99">
        <f>'RSGen 1-7'!L167</f>
        <v>0</v>
      </c>
      <c r="M167" s="99">
        <f>'RSGen 1-7'!M167</f>
        <v>0</v>
      </c>
      <c r="N167" s="99">
        <f>'RSGen 1-7'!N167</f>
        <v>0</v>
      </c>
      <c r="O167" s="99">
        <f>'RSGen 1-7'!O167</f>
        <v>0</v>
      </c>
      <c r="P167" s="99">
        <f>'RSGen 1-7'!P167</f>
        <v>0</v>
      </c>
      <c r="Q167" s="99">
        <f>'RSGen 1-7'!Q167</f>
        <v>0</v>
      </c>
      <c r="R167" s="99">
        <f>'RSGen 1-7'!R167</f>
        <v>0</v>
      </c>
      <c r="AT167" s="308">
        <f t="shared" ref="AT167:BG167" si="174">AS167*(1+AT$163)</f>
        <v>0</v>
      </c>
      <c r="AU167" s="308">
        <f t="shared" si="174"/>
        <v>0</v>
      </c>
      <c r="AV167" s="308">
        <f t="shared" si="174"/>
        <v>0</v>
      </c>
      <c r="AW167" s="308">
        <f t="shared" si="174"/>
        <v>0</v>
      </c>
      <c r="AX167" s="308">
        <f t="shared" si="174"/>
        <v>0</v>
      </c>
      <c r="AY167" s="308">
        <f t="shared" si="174"/>
        <v>0</v>
      </c>
      <c r="AZ167" s="308">
        <f t="shared" si="174"/>
        <v>0</v>
      </c>
      <c r="BA167" s="308">
        <f t="shared" si="174"/>
        <v>0</v>
      </c>
      <c r="BB167" s="308">
        <f t="shared" si="174"/>
        <v>0</v>
      </c>
      <c r="BC167" s="308">
        <f t="shared" si="174"/>
        <v>0</v>
      </c>
      <c r="BD167" s="308">
        <f t="shared" si="174"/>
        <v>0</v>
      </c>
      <c r="BE167" s="308">
        <f t="shared" si="174"/>
        <v>0</v>
      </c>
      <c r="BF167" s="308">
        <f t="shared" si="174"/>
        <v>0</v>
      </c>
      <c r="BG167" s="308">
        <f t="shared" si="174"/>
        <v>0</v>
      </c>
    </row>
    <row r="168" ht="12.75" customHeight="1" outlineLevel="1">
      <c r="A168" s="90"/>
      <c r="B168" s="195"/>
      <c r="C168" s="90" t="s">
        <v>722</v>
      </c>
      <c r="D168" s="90"/>
      <c r="E168" s="90"/>
      <c r="F168" s="90"/>
      <c r="G168" s="99">
        <f>'RSGen 1-7'!G168</f>
        <v>0</v>
      </c>
      <c r="H168" s="99">
        <f>'RSGen 1-7'!H168</f>
        <v>0</v>
      </c>
      <c r="I168" s="99">
        <f>'RSGen 1-7'!I168</f>
        <v>47000</v>
      </c>
      <c r="J168" s="99">
        <f>'RSGen 1-7'!J168</f>
        <v>48250</v>
      </c>
      <c r="K168" s="99">
        <f>'RSGen 1-7'!K168</f>
        <v>48250</v>
      </c>
      <c r="L168" s="99">
        <f>'RSGen 1-7'!L168</f>
        <v>48250</v>
      </c>
      <c r="M168" s="99">
        <f>'RSGen 1-7'!M168</f>
        <v>48250</v>
      </c>
      <c r="N168" s="99">
        <f>'RSGen 1-7'!N168</f>
        <v>48250</v>
      </c>
      <c r="O168" s="99">
        <f>'RSGen 1-7'!O168</f>
        <v>48250</v>
      </c>
      <c r="P168" s="99">
        <f>'RSGen 1-7'!P168</f>
        <v>48250</v>
      </c>
      <c r="Q168" s="99">
        <f>'RSGen 1-7'!Q168</f>
        <v>48250</v>
      </c>
      <c r="R168" s="99">
        <f>'RSGen 1-7'!R168</f>
        <v>48250</v>
      </c>
      <c r="AT168" s="308">
        <f t="shared" ref="AT168:BG168" si="175">AS168*(1+AT$163)</f>
        <v>0</v>
      </c>
      <c r="AU168" s="308">
        <f t="shared" si="175"/>
        <v>0</v>
      </c>
      <c r="AV168" s="308">
        <f t="shared" si="175"/>
        <v>0</v>
      </c>
      <c r="AW168" s="308">
        <f t="shared" si="175"/>
        <v>0</v>
      </c>
      <c r="AX168" s="308">
        <f t="shared" si="175"/>
        <v>0</v>
      </c>
      <c r="AY168" s="308">
        <f t="shared" si="175"/>
        <v>0</v>
      </c>
      <c r="AZ168" s="308">
        <f t="shared" si="175"/>
        <v>0</v>
      </c>
      <c r="BA168" s="308">
        <f t="shared" si="175"/>
        <v>0</v>
      </c>
      <c r="BB168" s="308">
        <f t="shared" si="175"/>
        <v>0</v>
      </c>
      <c r="BC168" s="308">
        <f t="shared" si="175"/>
        <v>0</v>
      </c>
      <c r="BD168" s="308">
        <f t="shared" si="175"/>
        <v>0</v>
      </c>
      <c r="BE168" s="308">
        <f t="shared" si="175"/>
        <v>0</v>
      </c>
      <c r="BF168" s="308">
        <f t="shared" si="175"/>
        <v>0</v>
      </c>
      <c r="BG168" s="308">
        <f t="shared" si="175"/>
        <v>0</v>
      </c>
    </row>
    <row r="169" ht="12.75" customHeight="1" outlineLevel="1">
      <c r="A169" s="90"/>
      <c r="B169" s="195"/>
      <c r="C169" s="90" t="s">
        <v>707</v>
      </c>
      <c r="D169" s="90"/>
      <c r="E169" s="90"/>
      <c r="F169" s="90"/>
      <c r="G169" s="99">
        <f>'RSGen 1-7'!G169</f>
        <v>0</v>
      </c>
      <c r="H169" s="99">
        <f>'RSGen 1-7'!H169</f>
        <v>0</v>
      </c>
      <c r="I169" s="99">
        <f>'RSGen 1-7'!I169</f>
        <v>58000</v>
      </c>
      <c r="J169" s="99">
        <f>'RSGen 1-7'!J169</f>
        <v>58000</v>
      </c>
      <c r="K169" s="99">
        <f>'RSGen 1-7'!K169</f>
        <v>58000</v>
      </c>
      <c r="L169" s="99">
        <f>'RSGen 1-7'!L169</f>
        <v>58000</v>
      </c>
      <c r="M169" s="99">
        <f>'RSGen 1-7'!M169</f>
        <v>58000</v>
      </c>
      <c r="N169" s="99">
        <f>'RSGen 1-7'!N169</f>
        <v>58000</v>
      </c>
      <c r="O169" s="99">
        <f>'RSGen 1-7'!O169</f>
        <v>58000</v>
      </c>
      <c r="P169" s="99">
        <f>'RSGen 1-7'!P169</f>
        <v>58000</v>
      </c>
      <c r="Q169" s="99">
        <f>'RSGen 1-7'!Q169</f>
        <v>58000</v>
      </c>
      <c r="R169" s="99">
        <f>'RSGen 1-7'!R169</f>
        <v>58000</v>
      </c>
      <c r="AT169" s="308">
        <f t="shared" ref="AT169:BG169" si="176">AS169*(1+AT$163)</f>
        <v>0</v>
      </c>
      <c r="AU169" s="308">
        <f t="shared" si="176"/>
        <v>0</v>
      </c>
      <c r="AV169" s="308">
        <f t="shared" si="176"/>
        <v>0</v>
      </c>
      <c r="AW169" s="308">
        <f t="shared" si="176"/>
        <v>0</v>
      </c>
      <c r="AX169" s="308">
        <f t="shared" si="176"/>
        <v>0</v>
      </c>
      <c r="AY169" s="308">
        <f t="shared" si="176"/>
        <v>0</v>
      </c>
      <c r="AZ169" s="308">
        <f t="shared" si="176"/>
        <v>0</v>
      </c>
      <c r="BA169" s="308">
        <f t="shared" si="176"/>
        <v>0</v>
      </c>
      <c r="BB169" s="308">
        <f t="shared" si="176"/>
        <v>0</v>
      </c>
      <c r="BC169" s="308">
        <f t="shared" si="176"/>
        <v>0</v>
      </c>
      <c r="BD169" s="308">
        <f t="shared" si="176"/>
        <v>0</v>
      </c>
      <c r="BE169" s="308">
        <f t="shared" si="176"/>
        <v>0</v>
      </c>
      <c r="BF169" s="308">
        <f t="shared" si="176"/>
        <v>0</v>
      </c>
      <c r="BG169" s="308">
        <f t="shared" si="176"/>
        <v>0</v>
      </c>
    </row>
    <row r="170" ht="12.75" customHeight="1" outlineLevel="1">
      <c r="A170" s="90"/>
      <c r="B170" s="195"/>
      <c r="C170" s="90" t="s">
        <v>702</v>
      </c>
      <c r="D170" s="90"/>
      <c r="E170" s="90"/>
      <c r="F170" s="90"/>
      <c r="G170" s="99">
        <f>'RSGen 1-7'!G170</f>
        <v>0</v>
      </c>
      <c r="H170" s="99">
        <f>'RSGen 1-7'!H170</f>
        <v>0</v>
      </c>
      <c r="I170" s="99">
        <f>'RSGen 1-7'!I170</f>
        <v>67000</v>
      </c>
      <c r="J170" s="99">
        <f>'RSGen 1-7'!J170</f>
        <v>83333.33333</v>
      </c>
      <c r="K170" s="99">
        <f>'RSGen 1-7'!K170</f>
        <v>83333.33333</v>
      </c>
      <c r="L170" s="99">
        <f>'RSGen 1-7'!L170</f>
        <v>83333.33333</v>
      </c>
      <c r="M170" s="99">
        <f>'RSGen 1-7'!M170</f>
        <v>83333.33333</v>
      </c>
      <c r="N170" s="99">
        <f>'RSGen 1-7'!N170</f>
        <v>83333.33333</v>
      </c>
      <c r="O170" s="99">
        <f>'RSGen 1-7'!O170</f>
        <v>83333.33333</v>
      </c>
      <c r="P170" s="99">
        <f>'RSGen 1-7'!P170</f>
        <v>83333.33333</v>
      </c>
      <c r="Q170" s="99">
        <f>'RSGen 1-7'!Q170</f>
        <v>83333.33333</v>
      </c>
      <c r="R170" s="99">
        <f>'RSGen 1-7'!R170</f>
        <v>83333.33333</v>
      </c>
      <c r="AT170" s="308">
        <f t="shared" ref="AT170:BG170" si="177">AS170*(1+AT$163)</f>
        <v>0</v>
      </c>
      <c r="AU170" s="308">
        <f t="shared" si="177"/>
        <v>0</v>
      </c>
      <c r="AV170" s="308">
        <f t="shared" si="177"/>
        <v>0</v>
      </c>
      <c r="AW170" s="308">
        <f t="shared" si="177"/>
        <v>0</v>
      </c>
      <c r="AX170" s="308">
        <f t="shared" si="177"/>
        <v>0</v>
      </c>
      <c r="AY170" s="308">
        <f t="shared" si="177"/>
        <v>0</v>
      </c>
      <c r="AZ170" s="308">
        <f t="shared" si="177"/>
        <v>0</v>
      </c>
      <c r="BA170" s="308">
        <f t="shared" si="177"/>
        <v>0</v>
      </c>
      <c r="BB170" s="308">
        <f t="shared" si="177"/>
        <v>0</v>
      </c>
      <c r="BC170" s="308">
        <f t="shared" si="177"/>
        <v>0</v>
      </c>
      <c r="BD170" s="308">
        <f t="shared" si="177"/>
        <v>0</v>
      </c>
      <c r="BE170" s="308">
        <f t="shared" si="177"/>
        <v>0</v>
      </c>
      <c r="BF170" s="308">
        <f t="shared" si="177"/>
        <v>0</v>
      </c>
      <c r="BG170" s="308">
        <f t="shared" si="177"/>
        <v>0</v>
      </c>
    </row>
    <row r="171" ht="12.75" customHeight="1" outlineLevel="1">
      <c r="A171" s="90"/>
      <c r="B171" s="195"/>
      <c r="C171" s="90" t="s">
        <v>723</v>
      </c>
      <c r="D171" s="90"/>
      <c r="E171" s="90"/>
      <c r="F171" s="90"/>
      <c r="G171" s="99" t="str">
        <f>'RSGen 1-7'!G171</f>
        <v/>
      </c>
      <c r="H171" s="99" t="str">
        <f>'RSGen 1-7'!H171</f>
        <v/>
      </c>
      <c r="I171" s="99" t="str">
        <f>'RSGen 1-7'!I171</f>
        <v/>
      </c>
      <c r="J171" s="99" t="str">
        <f>'RSGen 1-7'!J171</f>
        <v/>
      </c>
      <c r="K171" s="99" t="str">
        <f>'RSGen 1-7'!K171</f>
        <v/>
      </c>
      <c r="L171" s="99" t="str">
        <f>'RSGen 1-7'!L171</f>
        <v/>
      </c>
      <c r="M171" s="99" t="str">
        <f>'RSGen 1-7'!M171</f>
        <v/>
      </c>
      <c r="N171" s="99" t="str">
        <f>'RSGen 1-7'!N171</f>
        <v/>
      </c>
      <c r="O171" s="99" t="str">
        <f>'RSGen 1-7'!O171</f>
        <v/>
      </c>
      <c r="P171" s="99" t="str">
        <f>'RSGen 1-7'!P171</f>
        <v/>
      </c>
      <c r="Q171" s="99" t="str">
        <f>'RSGen 1-7'!Q171</f>
        <v/>
      </c>
      <c r="R171" s="99" t="str">
        <f>'RSGen 1-7'!R171</f>
        <v/>
      </c>
      <c r="AT171" s="308">
        <f t="shared" ref="AT171:BG171" si="178">AS171*(1+AT$163)</f>
        <v>0</v>
      </c>
      <c r="AU171" s="308">
        <f t="shared" si="178"/>
        <v>0</v>
      </c>
      <c r="AV171" s="308">
        <f t="shared" si="178"/>
        <v>0</v>
      </c>
      <c r="AW171" s="308">
        <f t="shared" si="178"/>
        <v>0</v>
      </c>
      <c r="AX171" s="308">
        <f t="shared" si="178"/>
        <v>0</v>
      </c>
      <c r="AY171" s="308">
        <f t="shared" si="178"/>
        <v>0</v>
      </c>
      <c r="AZ171" s="308">
        <f t="shared" si="178"/>
        <v>0</v>
      </c>
      <c r="BA171" s="308">
        <f t="shared" si="178"/>
        <v>0</v>
      </c>
      <c r="BB171" s="308">
        <f t="shared" si="178"/>
        <v>0</v>
      </c>
      <c r="BC171" s="308">
        <f t="shared" si="178"/>
        <v>0</v>
      </c>
      <c r="BD171" s="308">
        <f t="shared" si="178"/>
        <v>0</v>
      </c>
      <c r="BE171" s="308">
        <f t="shared" si="178"/>
        <v>0</v>
      </c>
      <c r="BF171" s="308">
        <f t="shared" si="178"/>
        <v>0</v>
      </c>
      <c r="BG171" s="308">
        <f t="shared" si="178"/>
        <v>0</v>
      </c>
    </row>
    <row r="172" ht="12.75" customHeight="1" outlineLevel="1">
      <c r="A172" s="90"/>
      <c r="B172" s="195"/>
      <c r="C172" s="90" t="s">
        <v>711</v>
      </c>
      <c r="D172" s="90"/>
      <c r="E172" s="90"/>
      <c r="F172" s="90"/>
      <c r="G172" s="99">
        <f>'RSGen 1-7'!G172</f>
        <v>0</v>
      </c>
      <c r="H172" s="99">
        <f>'RSGen 1-7'!H172</f>
        <v>48000</v>
      </c>
      <c r="I172" s="99">
        <f>'RSGen 1-7'!I172</f>
        <v>48000</v>
      </c>
      <c r="J172" s="99">
        <f>'RSGen 1-7'!J172</f>
        <v>48000</v>
      </c>
      <c r="K172" s="99">
        <f>'RSGen 1-7'!K172</f>
        <v>48000</v>
      </c>
      <c r="L172" s="99">
        <f>'RSGen 1-7'!L172</f>
        <v>48000</v>
      </c>
      <c r="M172" s="99">
        <f>'RSGen 1-7'!M172</f>
        <v>48000</v>
      </c>
      <c r="N172" s="99">
        <f>'RSGen 1-7'!N172</f>
        <v>48000</v>
      </c>
      <c r="O172" s="99">
        <f>'RSGen 1-7'!O172</f>
        <v>48000</v>
      </c>
      <c r="P172" s="99">
        <f>'RSGen 1-7'!P172</f>
        <v>48000</v>
      </c>
      <c r="Q172" s="99">
        <f>'RSGen 1-7'!Q172</f>
        <v>48000</v>
      </c>
      <c r="R172" s="99">
        <f>'RSGen 1-7'!R172</f>
        <v>48000</v>
      </c>
      <c r="AT172" s="308">
        <f t="shared" ref="AT172:BG172" si="179">AS172*(1+AT$163)</f>
        <v>0</v>
      </c>
      <c r="AU172" s="308">
        <f t="shared" si="179"/>
        <v>0</v>
      </c>
      <c r="AV172" s="308">
        <f t="shared" si="179"/>
        <v>0</v>
      </c>
      <c r="AW172" s="308">
        <f t="shared" si="179"/>
        <v>0</v>
      </c>
      <c r="AX172" s="308">
        <f t="shared" si="179"/>
        <v>0</v>
      </c>
      <c r="AY172" s="308">
        <f t="shared" si="179"/>
        <v>0</v>
      </c>
      <c r="AZ172" s="308">
        <f t="shared" si="179"/>
        <v>0</v>
      </c>
      <c r="BA172" s="308">
        <f t="shared" si="179"/>
        <v>0</v>
      </c>
      <c r="BB172" s="308">
        <f t="shared" si="179"/>
        <v>0</v>
      </c>
      <c r="BC172" s="308">
        <f t="shared" si="179"/>
        <v>0</v>
      </c>
      <c r="BD172" s="308">
        <f t="shared" si="179"/>
        <v>0</v>
      </c>
      <c r="BE172" s="308">
        <f t="shared" si="179"/>
        <v>0</v>
      </c>
      <c r="BF172" s="308">
        <f t="shared" si="179"/>
        <v>0</v>
      </c>
      <c r="BG172" s="308">
        <f t="shared" si="179"/>
        <v>0</v>
      </c>
    </row>
    <row r="173" ht="12.75" customHeight="1" outlineLevel="1">
      <c r="A173" s="90"/>
      <c r="B173" s="195"/>
      <c r="C173" s="90" t="s">
        <v>724</v>
      </c>
      <c r="D173" s="90"/>
      <c r="E173" s="90"/>
      <c r="F173" s="90"/>
      <c r="G173" s="99">
        <f>'RSGen 1-7'!G173</f>
        <v>0</v>
      </c>
      <c r="H173" s="99">
        <f>'RSGen 1-7'!H173</f>
        <v>0</v>
      </c>
      <c r="I173" s="99">
        <f>'RSGen 1-7'!I173</f>
        <v>25000</v>
      </c>
      <c r="J173" s="99">
        <f>'RSGen 1-7'!J173</f>
        <v>25000</v>
      </c>
      <c r="K173" s="99">
        <f>'RSGen 1-7'!K173</f>
        <v>25000</v>
      </c>
      <c r="L173" s="99">
        <f>'RSGen 1-7'!L173</f>
        <v>25000</v>
      </c>
      <c r="M173" s="99">
        <f>'RSGen 1-7'!M173</f>
        <v>25000</v>
      </c>
      <c r="N173" s="99">
        <f>'RSGen 1-7'!N173</f>
        <v>25000</v>
      </c>
      <c r="O173" s="99">
        <f>'RSGen 1-7'!O173</f>
        <v>25000</v>
      </c>
      <c r="P173" s="99">
        <f>'RSGen 1-7'!P173</f>
        <v>25000</v>
      </c>
      <c r="Q173" s="99">
        <f>'RSGen 1-7'!Q173</f>
        <v>25000</v>
      </c>
      <c r="R173" s="99">
        <f>'RSGen 1-7'!R173</f>
        <v>25000</v>
      </c>
      <c r="AT173" s="308">
        <f t="shared" ref="AT173:BG173" si="180">AS173*(1+AT$163)</f>
        <v>0</v>
      </c>
      <c r="AU173" s="308">
        <f t="shared" si="180"/>
        <v>0</v>
      </c>
      <c r="AV173" s="308">
        <f t="shared" si="180"/>
        <v>0</v>
      </c>
      <c r="AW173" s="308">
        <f t="shared" si="180"/>
        <v>0</v>
      </c>
      <c r="AX173" s="308">
        <f t="shared" si="180"/>
        <v>0</v>
      </c>
      <c r="AY173" s="308">
        <f t="shared" si="180"/>
        <v>0</v>
      </c>
      <c r="AZ173" s="308">
        <f t="shared" si="180"/>
        <v>0</v>
      </c>
      <c r="BA173" s="308">
        <f t="shared" si="180"/>
        <v>0</v>
      </c>
      <c r="BB173" s="308">
        <f t="shared" si="180"/>
        <v>0</v>
      </c>
      <c r="BC173" s="308">
        <f t="shared" si="180"/>
        <v>0</v>
      </c>
      <c r="BD173" s="308">
        <f t="shared" si="180"/>
        <v>0</v>
      </c>
      <c r="BE173" s="308">
        <f t="shared" si="180"/>
        <v>0</v>
      </c>
      <c r="BF173" s="308">
        <f t="shared" si="180"/>
        <v>0</v>
      </c>
      <c r="BG173" s="308">
        <f t="shared" si="180"/>
        <v>0</v>
      </c>
    </row>
    <row r="174" ht="12.75" customHeight="1" outlineLevel="1">
      <c r="A174" s="90"/>
      <c r="B174" s="195"/>
      <c r="C174" s="90" t="s">
        <v>713</v>
      </c>
      <c r="D174" s="90"/>
      <c r="E174" s="90"/>
      <c r="F174" s="90"/>
      <c r="G174" s="99">
        <f>'RSGen 1-7'!G174</f>
        <v>0</v>
      </c>
      <c r="H174" s="99">
        <f>'RSGen 1-7'!H174</f>
        <v>0</v>
      </c>
      <c r="I174" s="99">
        <f>'RSGen 1-7'!I174</f>
        <v>14400</v>
      </c>
      <c r="J174" s="99">
        <f>'RSGen 1-7'!J174</f>
        <v>14400</v>
      </c>
      <c r="K174" s="99">
        <f>'RSGen 1-7'!K174</f>
        <v>14400</v>
      </c>
      <c r="L174" s="99">
        <f>'RSGen 1-7'!L174</f>
        <v>14400</v>
      </c>
      <c r="M174" s="99">
        <f>'RSGen 1-7'!M174</f>
        <v>14400</v>
      </c>
      <c r="N174" s="99">
        <f>'RSGen 1-7'!N174</f>
        <v>14400</v>
      </c>
      <c r="O174" s="99">
        <f>'RSGen 1-7'!O174</f>
        <v>14400</v>
      </c>
      <c r="P174" s="99">
        <f>'RSGen 1-7'!P174</f>
        <v>14400</v>
      </c>
      <c r="Q174" s="99">
        <f>'RSGen 1-7'!Q174</f>
        <v>14400</v>
      </c>
      <c r="R174" s="99">
        <f>'RSGen 1-7'!R174</f>
        <v>14400</v>
      </c>
      <c r="AT174" s="308">
        <f t="shared" ref="AT174:BG174" si="181">AS174*(1+AT$163)</f>
        <v>0</v>
      </c>
      <c r="AU174" s="308">
        <f t="shared" si="181"/>
        <v>0</v>
      </c>
      <c r="AV174" s="308">
        <f t="shared" si="181"/>
        <v>0</v>
      </c>
      <c r="AW174" s="308">
        <f t="shared" si="181"/>
        <v>0</v>
      </c>
      <c r="AX174" s="308">
        <f t="shared" si="181"/>
        <v>0</v>
      </c>
      <c r="AY174" s="308">
        <f t="shared" si="181"/>
        <v>0</v>
      </c>
      <c r="AZ174" s="308">
        <f t="shared" si="181"/>
        <v>0</v>
      </c>
      <c r="BA174" s="308">
        <f t="shared" si="181"/>
        <v>0</v>
      </c>
      <c r="BB174" s="308">
        <f t="shared" si="181"/>
        <v>0</v>
      </c>
      <c r="BC174" s="308">
        <f t="shared" si="181"/>
        <v>0</v>
      </c>
      <c r="BD174" s="308">
        <f t="shared" si="181"/>
        <v>0</v>
      </c>
      <c r="BE174" s="308">
        <f t="shared" si="181"/>
        <v>0</v>
      </c>
      <c r="BF174" s="308">
        <f t="shared" si="181"/>
        <v>0</v>
      </c>
      <c r="BG174" s="308">
        <f t="shared" si="181"/>
        <v>0</v>
      </c>
    </row>
    <row r="175" ht="12.75" customHeight="1" outlineLevel="1">
      <c r="A175" s="90"/>
      <c r="B175" s="195"/>
      <c r="C175" s="90" t="s">
        <v>714</v>
      </c>
      <c r="D175" s="90"/>
      <c r="E175" s="90"/>
      <c r="F175" s="90"/>
      <c r="G175" s="99">
        <f>'RSGen 1-7'!G175</f>
        <v>0</v>
      </c>
      <c r="H175" s="99">
        <f>'RSGen 1-7'!H175</f>
        <v>0</v>
      </c>
      <c r="I175" s="99">
        <f>'RSGen 1-7'!I175</f>
        <v>14400</v>
      </c>
      <c r="J175" s="99">
        <f>'RSGen 1-7'!J175</f>
        <v>14400</v>
      </c>
      <c r="K175" s="99">
        <f>'RSGen 1-7'!K175</f>
        <v>14400</v>
      </c>
      <c r="L175" s="99">
        <f>'RSGen 1-7'!L175</f>
        <v>14400</v>
      </c>
      <c r="M175" s="99">
        <f>'RSGen 1-7'!M175</f>
        <v>14400</v>
      </c>
      <c r="N175" s="99">
        <f>'RSGen 1-7'!N175</f>
        <v>14400</v>
      </c>
      <c r="O175" s="99">
        <f>'RSGen 1-7'!O175</f>
        <v>14400</v>
      </c>
      <c r="P175" s="99">
        <f>'RSGen 1-7'!P175</f>
        <v>14400</v>
      </c>
      <c r="Q175" s="99">
        <f>'RSGen 1-7'!Q175</f>
        <v>14400</v>
      </c>
      <c r="R175" s="99">
        <f>'RSGen 1-7'!R175</f>
        <v>14400</v>
      </c>
      <c r="AT175" s="308">
        <f t="shared" ref="AT175:BG175" si="182">AS175*(1+AT$163)</f>
        <v>0</v>
      </c>
      <c r="AU175" s="308">
        <f t="shared" si="182"/>
        <v>0</v>
      </c>
      <c r="AV175" s="308">
        <f t="shared" si="182"/>
        <v>0</v>
      </c>
      <c r="AW175" s="308">
        <f t="shared" si="182"/>
        <v>0</v>
      </c>
      <c r="AX175" s="308">
        <f t="shared" si="182"/>
        <v>0</v>
      </c>
      <c r="AY175" s="308">
        <f t="shared" si="182"/>
        <v>0</v>
      </c>
      <c r="AZ175" s="308">
        <f t="shared" si="182"/>
        <v>0</v>
      </c>
      <c r="BA175" s="308">
        <f t="shared" si="182"/>
        <v>0</v>
      </c>
      <c r="BB175" s="308">
        <f t="shared" si="182"/>
        <v>0</v>
      </c>
      <c r="BC175" s="308">
        <f t="shared" si="182"/>
        <v>0</v>
      </c>
      <c r="BD175" s="308">
        <f t="shared" si="182"/>
        <v>0</v>
      </c>
      <c r="BE175" s="308">
        <f t="shared" si="182"/>
        <v>0</v>
      </c>
      <c r="BF175" s="308">
        <f t="shared" si="182"/>
        <v>0</v>
      </c>
      <c r="BG175" s="308">
        <f t="shared" si="182"/>
        <v>0</v>
      </c>
    </row>
    <row r="176" ht="12.75" customHeight="1" outlineLevel="1">
      <c r="A176" s="90"/>
      <c r="B176" s="195"/>
      <c r="C176" s="90"/>
      <c r="D176" s="90"/>
      <c r="E176" s="90"/>
      <c r="F176" s="90"/>
      <c r="G176" s="99"/>
      <c r="H176" s="99"/>
      <c r="I176" s="99"/>
      <c r="J176" s="99"/>
      <c r="K176" s="99"/>
      <c r="L176" s="99"/>
      <c r="M176" s="99"/>
      <c r="N176" s="99"/>
      <c r="O176" s="99"/>
      <c r="P176" s="99"/>
      <c r="Q176" s="99"/>
      <c r="R176" s="99"/>
      <c r="AT176" s="308"/>
      <c r="AU176" s="308"/>
      <c r="AV176" s="308"/>
      <c r="AW176" s="308"/>
      <c r="AX176" s="308"/>
      <c r="AY176" s="308"/>
      <c r="AZ176" s="308"/>
      <c r="BA176" s="308"/>
      <c r="BB176" s="308"/>
      <c r="BC176" s="308"/>
      <c r="BD176" s="308"/>
      <c r="BE176" s="308"/>
      <c r="BF176" s="308"/>
      <c r="BG176" s="308"/>
    </row>
    <row r="177" ht="12.75" customHeight="1" outlineLevel="1">
      <c r="A177" s="90"/>
      <c r="B177" s="67" t="s">
        <v>725</v>
      </c>
      <c r="C177" s="90"/>
      <c r="D177" s="90"/>
      <c r="E177" s="90"/>
      <c r="F177" s="90"/>
      <c r="G177" s="99"/>
      <c r="H177" s="99"/>
      <c r="I177" s="99"/>
      <c r="J177" s="99"/>
      <c r="K177" s="99"/>
      <c r="L177" s="99"/>
      <c r="M177" s="99"/>
      <c r="N177" s="99"/>
      <c r="O177" s="99"/>
      <c r="P177" s="99"/>
      <c r="Q177" s="99"/>
      <c r="R177" s="99"/>
      <c r="AT177" s="308"/>
      <c r="AU177" s="308"/>
      <c r="AV177" s="308"/>
      <c r="AW177" s="308"/>
      <c r="AX177" s="308"/>
      <c r="AY177" s="308"/>
      <c r="AZ177" s="308"/>
      <c r="BA177" s="308"/>
      <c r="BB177" s="308"/>
      <c r="BC177" s="308"/>
      <c r="BD177" s="308"/>
      <c r="BE177" s="308"/>
      <c r="BF177" s="308"/>
      <c r="BG177" s="308"/>
    </row>
    <row r="178" ht="12.75" customHeight="1" outlineLevel="1">
      <c r="A178" s="90"/>
      <c r="B178" s="195"/>
      <c r="C178" s="90" t="s">
        <v>726</v>
      </c>
      <c r="D178" s="90"/>
      <c r="E178" s="90"/>
      <c r="F178" s="90"/>
      <c r="G178" s="152" t="str">
        <f>'RS3'!J177</f>
        <v/>
      </c>
      <c r="H178" s="152">
        <f>'RS3'!K177</f>
        <v>0.1</v>
      </c>
      <c r="I178" s="152">
        <f>'RS3'!L177</f>
        <v>0.1</v>
      </c>
      <c r="J178" s="152">
        <f>'RS3'!M177</f>
        <v>0.1</v>
      </c>
      <c r="K178" s="152">
        <f>'RS3'!N177</f>
        <v>0.1</v>
      </c>
      <c r="L178" s="152">
        <f>'RS3'!O177</f>
        <v>0.1</v>
      </c>
      <c r="M178" s="152">
        <f>'RS3'!P177</f>
        <v>0.1</v>
      </c>
      <c r="N178" s="152">
        <f>'RS3'!Q177</f>
        <v>0.1</v>
      </c>
      <c r="O178" s="152">
        <f>'RS3'!R177</f>
        <v>0.1</v>
      </c>
      <c r="P178" s="152">
        <f>'RS3'!S177</f>
        <v>0.1</v>
      </c>
      <c r="Q178" s="152">
        <f>'RS3'!T177</f>
        <v>0.1</v>
      </c>
      <c r="R178" s="152">
        <f>'RS3'!U177</f>
        <v>0.1</v>
      </c>
      <c r="AT178" s="352" t="str">
        <f t="shared" ref="AT178:BG178" si="183">AS178</f>
        <v/>
      </c>
      <c r="AU178" s="352" t="str">
        <f t="shared" si="183"/>
        <v/>
      </c>
      <c r="AV178" s="352" t="str">
        <f t="shared" si="183"/>
        <v/>
      </c>
      <c r="AW178" s="352" t="str">
        <f t="shared" si="183"/>
        <v/>
      </c>
      <c r="AX178" s="352" t="str">
        <f t="shared" si="183"/>
        <v/>
      </c>
      <c r="AY178" s="352" t="str">
        <f t="shared" si="183"/>
        <v/>
      </c>
      <c r="AZ178" s="352" t="str">
        <f t="shared" si="183"/>
        <v/>
      </c>
      <c r="BA178" s="352" t="str">
        <f t="shared" si="183"/>
        <v/>
      </c>
      <c r="BB178" s="352" t="str">
        <f t="shared" si="183"/>
        <v/>
      </c>
      <c r="BC178" s="352" t="str">
        <f t="shared" si="183"/>
        <v/>
      </c>
      <c r="BD178" s="352" t="str">
        <f t="shared" si="183"/>
        <v/>
      </c>
      <c r="BE178" s="352" t="str">
        <f t="shared" si="183"/>
        <v/>
      </c>
      <c r="BF178" s="352" t="str">
        <f t="shared" si="183"/>
        <v/>
      </c>
      <c r="BG178" s="352" t="str">
        <f t="shared" si="183"/>
        <v/>
      </c>
    </row>
    <row r="179" ht="12.75" customHeight="1" outlineLevel="1">
      <c r="A179" s="90"/>
      <c r="B179" s="195"/>
      <c r="C179" s="90" t="s">
        <v>727</v>
      </c>
      <c r="D179" s="90"/>
      <c r="E179" s="90"/>
      <c r="F179" s="90"/>
      <c r="G179" s="152" t="str">
        <f>'RS3'!J178</f>
        <v/>
      </c>
      <c r="H179" s="152">
        <v>1.0</v>
      </c>
      <c r="I179" s="152">
        <v>1.0</v>
      </c>
      <c r="J179" s="152">
        <v>1.0</v>
      </c>
      <c r="K179" s="152">
        <v>1.0</v>
      </c>
      <c r="L179" s="152">
        <v>1.0</v>
      </c>
      <c r="M179" s="152">
        <v>1.0</v>
      </c>
      <c r="N179" s="152">
        <v>1.0</v>
      </c>
      <c r="O179" s="152">
        <v>1.0</v>
      </c>
      <c r="P179" s="152">
        <v>1.0</v>
      </c>
      <c r="Q179" s="152">
        <v>1.0</v>
      </c>
      <c r="R179" s="152">
        <v>1.0</v>
      </c>
      <c r="AT179" s="352" t="str">
        <f t="shared" ref="AT179:BG179" si="184">AS179</f>
        <v/>
      </c>
      <c r="AU179" s="352" t="str">
        <f t="shared" si="184"/>
        <v/>
      </c>
      <c r="AV179" s="352" t="str">
        <f t="shared" si="184"/>
        <v/>
      </c>
      <c r="AW179" s="352" t="str">
        <f t="shared" si="184"/>
        <v/>
      </c>
      <c r="AX179" s="352" t="str">
        <f t="shared" si="184"/>
        <v/>
      </c>
      <c r="AY179" s="352" t="str">
        <f t="shared" si="184"/>
        <v/>
      </c>
      <c r="AZ179" s="352" t="str">
        <f t="shared" si="184"/>
        <v/>
      </c>
      <c r="BA179" s="352" t="str">
        <f t="shared" si="184"/>
        <v/>
      </c>
      <c r="BB179" s="352" t="str">
        <f t="shared" si="184"/>
        <v/>
      </c>
      <c r="BC179" s="352" t="str">
        <f t="shared" si="184"/>
        <v/>
      </c>
      <c r="BD179" s="352" t="str">
        <f t="shared" si="184"/>
        <v/>
      </c>
      <c r="BE179" s="352" t="str">
        <f t="shared" si="184"/>
        <v/>
      </c>
      <c r="BF179" s="352" t="str">
        <f t="shared" si="184"/>
        <v/>
      </c>
      <c r="BG179" s="352" t="str">
        <f t="shared" si="184"/>
        <v/>
      </c>
    </row>
    <row r="180" ht="12.75" customHeight="1" outlineLevel="1">
      <c r="A180" s="353"/>
      <c r="B180" s="372"/>
      <c r="C180" s="353" t="s">
        <v>728</v>
      </c>
      <c r="D180" s="353"/>
      <c r="E180" s="353"/>
      <c r="F180" s="353"/>
      <c r="G180" s="99" t="str">
        <f>'RS3'!J179</f>
        <v/>
      </c>
      <c r="H180" s="99">
        <f t="shared" ref="H180:R180" si="185">(H170+H165)*0.1</f>
        <v>7083.333333</v>
      </c>
      <c r="I180" s="99">
        <f t="shared" si="185"/>
        <v>15033.33333</v>
      </c>
      <c r="J180" s="99">
        <f t="shared" si="185"/>
        <v>18333.33333</v>
      </c>
      <c r="K180" s="99">
        <f t="shared" si="185"/>
        <v>18333.33333</v>
      </c>
      <c r="L180" s="99">
        <f t="shared" si="185"/>
        <v>18333.33333</v>
      </c>
      <c r="M180" s="99">
        <f t="shared" si="185"/>
        <v>18333.33333</v>
      </c>
      <c r="N180" s="99">
        <f t="shared" si="185"/>
        <v>18333.33333</v>
      </c>
      <c r="O180" s="99">
        <f t="shared" si="185"/>
        <v>18333.33333</v>
      </c>
      <c r="P180" s="99">
        <f t="shared" si="185"/>
        <v>18333.33333</v>
      </c>
      <c r="Q180" s="99">
        <f t="shared" si="185"/>
        <v>18333.33333</v>
      </c>
      <c r="R180" s="99">
        <f t="shared" si="185"/>
        <v>18333.33333</v>
      </c>
      <c r="AT180" s="308" t="str">
        <f t="shared" ref="AT180:BG180" si="186">AS180</f>
        <v/>
      </c>
      <c r="AU180" s="308" t="str">
        <f t="shared" si="186"/>
        <v/>
      </c>
      <c r="AV180" s="308" t="str">
        <f t="shared" si="186"/>
        <v/>
      </c>
      <c r="AW180" s="308" t="str">
        <f t="shared" si="186"/>
        <v/>
      </c>
      <c r="AX180" s="308" t="str">
        <f t="shared" si="186"/>
        <v/>
      </c>
      <c r="AY180" s="308" t="str">
        <f t="shared" si="186"/>
        <v/>
      </c>
      <c r="AZ180" s="308" t="str">
        <f t="shared" si="186"/>
        <v/>
      </c>
      <c r="BA180" s="308" t="str">
        <f t="shared" si="186"/>
        <v/>
      </c>
      <c r="BB180" s="308" t="str">
        <f t="shared" si="186"/>
        <v/>
      </c>
      <c r="BC180" s="308" t="str">
        <f t="shared" si="186"/>
        <v/>
      </c>
      <c r="BD180" s="308" t="str">
        <f t="shared" si="186"/>
        <v/>
      </c>
      <c r="BE180" s="308" t="str">
        <f t="shared" si="186"/>
        <v/>
      </c>
      <c r="BF180" s="308" t="str">
        <f t="shared" si="186"/>
        <v/>
      </c>
      <c r="BG180" s="308" t="str">
        <f t="shared" si="186"/>
        <v/>
      </c>
    </row>
    <row r="181" ht="12.75" customHeight="1" outlineLevel="1">
      <c r="A181" s="353"/>
      <c r="B181" s="372"/>
      <c r="C181" s="353"/>
      <c r="D181" s="353"/>
      <c r="E181" s="353"/>
      <c r="F181" s="353"/>
      <c r="G181" s="99"/>
      <c r="H181" s="99"/>
      <c r="I181" s="99"/>
      <c r="J181" s="99"/>
      <c r="K181" s="99"/>
      <c r="L181" s="99"/>
      <c r="M181" s="99"/>
      <c r="N181" s="99"/>
      <c r="O181" s="99"/>
      <c r="P181" s="99"/>
      <c r="Q181" s="99"/>
      <c r="R181" s="99"/>
      <c r="AT181" s="308"/>
      <c r="AU181" s="308"/>
      <c r="AV181" s="308"/>
      <c r="AW181" s="308"/>
      <c r="AX181" s="308"/>
      <c r="AY181" s="308"/>
      <c r="AZ181" s="308"/>
      <c r="BA181" s="308"/>
      <c r="BB181" s="308"/>
      <c r="BC181" s="308"/>
      <c r="BD181" s="308"/>
      <c r="BE181" s="308"/>
      <c r="BF181" s="308"/>
      <c r="BG181" s="308"/>
    </row>
    <row r="182" ht="12.75" customHeight="1" outlineLevel="1">
      <c r="A182" s="90"/>
      <c r="B182" s="67" t="s">
        <v>133</v>
      </c>
      <c r="C182" s="67"/>
      <c r="D182" s="67"/>
      <c r="E182" s="67"/>
      <c r="F182" s="67"/>
      <c r="G182" s="90"/>
      <c r="H182" s="90"/>
      <c r="I182" s="90"/>
      <c r="J182" s="90"/>
      <c r="K182" s="90"/>
      <c r="L182" s="90"/>
      <c r="M182" s="90"/>
      <c r="N182" s="90"/>
      <c r="O182" s="90"/>
      <c r="P182" s="90"/>
      <c r="Q182" s="90"/>
      <c r="R182" s="90"/>
      <c r="AT182" s="313"/>
      <c r="AU182" s="313"/>
      <c r="AV182" s="313"/>
      <c r="AW182" s="313"/>
      <c r="AX182" s="313"/>
      <c r="AY182" s="313"/>
      <c r="AZ182" s="313"/>
      <c r="BA182" s="313"/>
      <c r="BB182" s="313"/>
      <c r="BC182" s="313"/>
      <c r="BD182" s="313"/>
      <c r="BE182" s="313"/>
      <c r="BF182" s="313"/>
      <c r="BG182" s="313"/>
    </row>
    <row r="183" ht="12.75" customHeight="1" outlineLevel="1">
      <c r="A183" s="90"/>
      <c r="B183" s="90"/>
      <c r="C183" s="90" t="s">
        <v>577</v>
      </c>
      <c r="D183" s="90"/>
      <c r="E183" s="90"/>
      <c r="F183" s="90"/>
      <c r="G183" s="152">
        <v>0.0</v>
      </c>
      <c r="H183" s="152"/>
      <c r="I183" s="152"/>
      <c r="J183" s="152"/>
      <c r="K183" s="152"/>
      <c r="L183" s="152"/>
      <c r="M183" s="152"/>
      <c r="N183" s="152"/>
      <c r="O183" s="152"/>
      <c r="P183" s="152"/>
      <c r="Q183" s="152"/>
      <c r="R183" s="152"/>
      <c r="AT183" s="352" t="str">
        <f t="shared" ref="AT183:BG183" si="187">AS183</f>
        <v/>
      </c>
      <c r="AU183" s="352" t="str">
        <f t="shared" si="187"/>
        <v/>
      </c>
      <c r="AV183" s="352" t="str">
        <f t="shared" si="187"/>
        <v/>
      </c>
      <c r="AW183" s="352" t="str">
        <f t="shared" si="187"/>
        <v/>
      </c>
      <c r="AX183" s="352" t="str">
        <f t="shared" si="187"/>
        <v/>
      </c>
      <c r="AY183" s="352" t="str">
        <f t="shared" si="187"/>
        <v/>
      </c>
      <c r="AZ183" s="352" t="str">
        <f t="shared" si="187"/>
        <v/>
      </c>
      <c r="BA183" s="352" t="str">
        <f t="shared" si="187"/>
        <v/>
      </c>
      <c r="BB183" s="352" t="str">
        <f t="shared" si="187"/>
        <v/>
      </c>
      <c r="BC183" s="352" t="str">
        <f t="shared" si="187"/>
        <v/>
      </c>
      <c r="BD183" s="352" t="str">
        <f t="shared" si="187"/>
        <v/>
      </c>
      <c r="BE183" s="352" t="str">
        <f t="shared" si="187"/>
        <v/>
      </c>
      <c r="BF183" s="352" t="str">
        <f t="shared" si="187"/>
        <v/>
      </c>
      <c r="BG183" s="352" t="str">
        <f t="shared" si="187"/>
        <v/>
      </c>
    </row>
    <row r="184" ht="12.75" customHeight="1" outlineLevel="1">
      <c r="A184" s="90"/>
      <c r="B184" s="195"/>
      <c r="C184" s="90" t="s">
        <v>729</v>
      </c>
      <c r="D184" s="90"/>
      <c r="E184" s="90"/>
      <c r="F184" s="90"/>
      <c r="G184" s="99" t="str">
        <f>'RS3'!J183</f>
        <v/>
      </c>
      <c r="H184" s="99">
        <f t="shared" ref="H184:R184" si="188">600*12</f>
        <v>7200</v>
      </c>
      <c r="I184" s="99">
        <f t="shared" si="188"/>
        <v>7200</v>
      </c>
      <c r="J184" s="99">
        <f t="shared" si="188"/>
        <v>7200</v>
      </c>
      <c r="K184" s="99">
        <f t="shared" si="188"/>
        <v>7200</v>
      </c>
      <c r="L184" s="99">
        <f t="shared" si="188"/>
        <v>7200</v>
      </c>
      <c r="M184" s="99">
        <f t="shared" si="188"/>
        <v>7200</v>
      </c>
      <c r="N184" s="99">
        <f t="shared" si="188"/>
        <v>7200</v>
      </c>
      <c r="O184" s="99">
        <f t="shared" si="188"/>
        <v>7200</v>
      </c>
      <c r="P184" s="99">
        <f t="shared" si="188"/>
        <v>7200</v>
      </c>
      <c r="Q184" s="99">
        <f t="shared" si="188"/>
        <v>7200</v>
      </c>
      <c r="R184" s="99">
        <f t="shared" si="188"/>
        <v>7200</v>
      </c>
      <c r="AT184" s="308" t="str">
        <f t="shared" ref="AT184:BG184" si="189">AS184</f>
        <v/>
      </c>
      <c r="AU184" s="308" t="str">
        <f t="shared" si="189"/>
        <v/>
      </c>
      <c r="AV184" s="308" t="str">
        <f t="shared" si="189"/>
        <v/>
      </c>
      <c r="AW184" s="308" t="str">
        <f t="shared" si="189"/>
        <v/>
      </c>
      <c r="AX184" s="308" t="str">
        <f t="shared" si="189"/>
        <v/>
      </c>
      <c r="AY184" s="308" t="str">
        <f t="shared" si="189"/>
        <v/>
      </c>
      <c r="AZ184" s="308" t="str">
        <f t="shared" si="189"/>
        <v/>
      </c>
      <c r="BA184" s="308" t="str">
        <f t="shared" si="189"/>
        <v/>
      </c>
      <c r="BB184" s="308" t="str">
        <f t="shared" si="189"/>
        <v/>
      </c>
      <c r="BC184" s="308" t="str">
        <f t="shared" si="189"/>
        <v/>
      </c>
      <c r="BD184" s="308" t="str">
        <f t="shared" si="189"/>
        <v/>
      </c>
      <c r="BE184" s="308" t="str">
        <f t="shared" si="189"/>
        <v/>
      </c>
      <c r="BF184" s="308" t="str">
        <f t="shared" si="189"/>
        <v/>
      </c>
      <c r="BG184" s="308" t="str">
        <f t="shared" si="189"/>
        <v/>
      </c>
    </row>
    <row r="185" ht="12.75" customHeight="1" outlineLevel="1">
      <c r="A185" s="90"/>
      <c r="B185" s="195"/>
      <c r="C185" s="90" t="s">
        <v>730</v>
      </c>
      <c r="D185" s="90"/>
      <c r="E185" s="90"/>
      <c r="F185" s="90"/>
      <c r="G185" s="102">
        <f>ROUNDDOWN(G159,0)</f>
        <v>0</v>
      </c>
      <c r="H185" s="373">
        <f t="shared" ref="H185:R185" si="190">H142+H148+H151+H152</f>
        <v>1.5</v>
      </c>
      <c r="I185" s="102">
        <f t="shared" si="190"/>
        <v>14</v>
      </c>
      <c r="J185" s="102">
        <f t="shared" si="190"/>
        <v>14</v>
      </c>
      <c r="K185" s="102">
        <f t="shared" si="190"/>
        <v>15</v>
      </c>
      <c r="L185" s="102">
        <f t="shared" si="190"/>
        <v>15</v>
      </c>
      <c r="M185" s="102">
        <f t="shared" si="190"/>
        <v>15</v>
      </c>
      <c r="N185" s="102">
        <f t="shared" si="190"/>
        <v>15</v>
      </c>
      <c r="O185" s="102">
        <f t="shared" si="190"/>
        <v>15</v>
      </c>
      <c r="P185" s="102">
        <f t="shared" si="190"/>
        <v>15</v>
      </c>
      <c r="Q185" s="102">
        <f t="shared" si="190"/>
        <v>15</v>
      </c>
      <c r="R185" s="102">
        <f t="shared" si="190"/>
        <v>15</v>
      </c>
      <c r="AT185" s="306" t="str">
        <f t="shared" ref="AT185:BG185" si="191">AS185</f>
        <v/>
      </c>
      <c r="AU185" s="306" t="str">
        <f t="shared" si="191"/>
        <v/>
      </c>
      <c r="AV185" s="306" t="str">
        <f t="shared" si="191"/>
        <v/>
      </c>
      <c r="AW185" s="306" t="str">
        <f t="shared" si="191"/>
        <v/>
      </c>
      <c r="AX185" s="306" t="str">
        <f t="shared" si="191"/>
        <v/>
      </c>
      <c r="AY185" s="306" t="str">
        <f t="shared" si="191"/>
        <v/>
      </c>
      <c r="AZ185" s="306" t="str">
        <f t="shared" si="191"/>
        <v/>
      </c>
      <c r="BA185" s="306" t="str">
        <f t="shared" si="191"/>
        <v/>
      </c>
      <c r="BB185" s="306" t="str">
        <f t="shared" si="191"/>
        <v/>
      </c>
      <c r="BC185" s="306" t="str">
        <f t="shared" si="191"/>
        <v/>
      </c>
      <c r="BD185" s="306" t="str">
        <f t="shared" si="191"/>
        <v/>
      </c>
      <c r="BE185" s="306" t="str">
        <f t="shared" si="191"/>
        <v/>
      </c>
      <c r="BF185" s="306" t="str">
        <f t="shared" si="191"/>
        <v/>
      </c>
      <c r="BG185" s="306" t="str">
        <f t="shared" si="191"/>
        <v/>
      </c>
    </row>
    <row r="186" ht="12.75" customHeight="1" outlineLevel="1">
      <c r="A186" s="90"/>
      <c r="B186" s="195"/>
      <c r="C186" s="90" t="s">
        <v>731</v>
      </c>
      <c r="D186" s="90"/>
      <c r="E186" s="90"/>
      <c r="F186" s="90"/>
      <c r="G186" s="89" t="str">
        <f>'RSGen 1-7'!G186</f>
        <v/>
      </c>
      <c r="H186" s="89">
        <f>'RSGen 1-7'!H186</f>
        <v>0.016</v>
      </c>
      <c r="I186" s="89">
        <f>'RSGen 1-7'!I186</f>
        <v>0.016</v>
      </c>
      <c r="J186" s="89">
        <f>'RSGen 1-7'!J186</f>
        <v>0.016</v>
      </c>
      <c r="K186" s="89">
        <f>'RSGen 1-7'!K186</f>
        <v>0.016</v>
      </c>
      <c r="L186" s="89">
        <f>'RSGen 1-7'!L186</f>
        <v>0.016</v>
      </c>
      <c r="M186" s="89">
        <f>'RSGen 1-7'!M186</f>
        <v>0.016</v>
      </c>
      <c r="N186" s="89">
        <f>'RSGen 1-7'!N186</f>
        <v>0.016</v>
      </c>
      <c r="O186" s="89">
        <f>'RSGen 1-7'!O186</f>
        <v>0.016</v>
      </c>
      <c r="P186" s="89">
        <f>'RSGen 1-7'!P186</f>
        <v>0.016</v>
      </c>
      <c r="Q186" s="89">
        <f>'RSGen 1-7'!Q186</f>
        <v>0.016</v>
      </c>
      <c r="R186" s="89">
        <f>'RSGen 1-7'!R186</f>
        <v>0.016</v>
      </c>
      <c r="AT186" s="305" t="str">
        <f t="shared" ref="AT186:BG186" si="192">AS186</f>
        <v/>
      </c>
      <c r="AU186" s="305" t="str">
        <f t="shared" si="192"/>
        <v/>
      </c>
      <c r="AV186" s="305" t="str">
        <f t="shared" si="192"/>
        <v/>
      </c>
      <c r="AW186" s="305" t="str">
        <f t="shared" si="192"/>
        <v/>
      </c>
      <c r="AX186" s="305" t="str">
        <f t="shared" si="192"/>
        <v/>
      </c>
      <c r="AY186" s="305" t="str">
        <f t="shared" si="192"/>
        <v/>
      </c>
      <c r="AZ186" s="305" t="str">
        <f t="shared" si="192"/>
        <v/>
      </c>
      <c r="BA186" s="305" t="str">
        <f t="shared" si="192"/>
        <v/>
      </c>
      <c r="BB186" s="305" t="str">
        <f t="shared" si="192"/>
        <v/>
      </c>
      <c r="BC186" s="305" t="str">
        <f t="shared" si="192"/>
        <v/>
      </c>
      <c r="BD186" s="305" t="str">
        <f t="shared" si="192"/>
        <v/>
      </c>
      <c r="BE186" s="305" t="str">
        <f t="shared" si="192"/>
        <v/>
      </c>
      <c r="BF186" s="305" t="str">
        <f t="shared" si="192"/>
        <v/>
      </c>
      <c r="BG186" s="305" t="str">
        <f t="shared" si="192"/>
        <v/>
      </c>
    </row>
    <row r="187" ht="12.75" customHeight="1" outlineLevel="1">
      <c r="A187" s="90"/>
      <c r="B187" s="195"/>
      <c r="C187" s="90" t="s">
        <v>732</v>
      </c>
      <c r="D187" s="90"/>
      <c r="E187" s="90"/>
      <c r="F187" s="90"/>
      <c r="G187" s="89">
        <f>'RSGen 1-7'!G187</f>
        <v>0</v>
      </c>
      <c r="H187" s="89">
        <f>'RSGen 1-7'!H187</f>
        <v>0.011</v>
      </c>
      <c r="I187" s="89">
        <f>'RSGen 1-7'!I187</f>
        <v>0.011</v>
      </c>
      <c r="J187" s="89">
        <f>'RSGen 1-7'!J187</f>
        <v>0.011</v>
      </c>
      <c r="K187" s="89">
        <f>'RSGen 1-7'!K187</f>
        <v>0.011</v>
      </c>
      <c r="L187" s="89">
        <f>'RSGen 1-7'!L187</f>
        <v>0.011</v>
      </c>
      <c r="M187" s="89">
        <f>'RSGen 1-7'!M187</f>
        <v>0.011</v>
      </c>
      <c r="N187" s="89">
        <f>'RSGen 1-7'!N187</f>
        <v>0.011</v>
      </c>
      <c r="O187" s="89">
        <f>'RSGen 1-7'!O187</f>
        <v>0.011</v>
      </c>
      <c r="P187" s="89">
        <f>'RSGen 1-7'!P187</f>
        <v>0.011</v>
      </c>
      <c r="Q187" s="89">
        <f>'RSGen 1-7'!Q187</f>
        <v>0.011</v>
      </c>
      <c r="R187" s="89">
        <f>'RSGen 1-7'!R187</f>
        <v>0.011</v>
      </c>
      <c r="AT187" s="305" t="str">
        <f t="shared" ref="AT187:BG187" si="193">AS187</f>
        <v/>
      </c>
      <c r="AU187" s="305" t="str">
        <f t="shared" si="193"/>
        <v/>
      </c>
      <c r="AV187" s="305" t="str">
        <f t="shared" si="193"/>
        <v/>
      </c>
      <c r="AW187" s="305" t="str">
        <f t="shared" si="193"/>
        <v/>
      </c>
      <c r="AX187" s="305" t="str">
        <f t="shared" si="193"/>
        <v/>
      </c>
      <c r="AY187" s="305" t="str">
        <f t="shared" si="193"/>
        <v/>
      </c>
      <c r="AZ187" s="305" t="str">
        <f t="shared" si="193"/>
        <v/>
      </c>
      <c r="BA187" s="305" t="str">
        <f t="shared" si="193"/>
        <v/>
      </c>
      <c r="BB187" s="305" t="str">
        <f t="shared" si="193"/>
        <v/>
      </c>
      <c r="BC187" s="305" t="str">
        <f t="shared" si="193"/>
        <v/>
      </c>
      <c r="BD187" s="305" t="str">
        <f t="shared" si="193"/>
        <v/>
      </c>
      <c r="BE187" s="305" t="str">
        <f t="shared" si="193"/>
        <v/>
      </c>
      <c r="BF187" s="305" t="str">
        <f t="shared" si="193"/>
        <v/>
      </c>
      <c r="BG187" s="305" t="str">
        <f t="shared" si="193"/>
        <v/>
      </c>
    </row>
    <row r="188" ht="12.75" customHeight="1" outlineLevel="1">
      <c r="A188" s="90"/>
      <c r="B188" s="195"/>
      <c r="C188" s="90" t="s">
        <v>733</v>
      </c>
      <c r="D188" s="90"/>
      <c r="E188" s="90"/>
      <c r="F188" s="90"/>
      <c r="G188" s="89">
        <f>'RSGen 1-7'!G188</f>
        <v>0</v>
      </c>
      <c r="H188" s="89">
        <f>'RSGen 1-7'!H188</f>
        <v>0.0145</v>
      </c>
      <c r="I188" s="89">
        <f>'RSGen 1-7'!I188</f>
        <v>0.0145</v>
      </c>
      <c r="J188" s="89">
        <f>'RSGen 1-7'!J188</f>
        <v>0.0145</v>
      </c>
      <c r="K188" s="89">
        <f>'RSGen 1-7'!K188</f>
        <v>0.0145</v>
      </c>
      <c r="L188" s="89">
        <f>'RSGen 1-7'!L188</f>
        <v>0.0145</v>
      </c>
      <c r="M188" s="89">
        <f>'RSGen 1-7'!M188</f>
        <v>0.0145</v>
      </c>
      <c r="N188" s="89">
        <f>'RSGen 1-7'!N188</f>
        <v>0.0145</v>
      </c>
      <c r="O188" s="89">
        <f>'RSGen 1-7'!O188</f>
        <v>0.0145</v>
      </c>
      <c r="P188" s="89">
        <f>'RSGen 1-7'!P188</f>
        <v>0.0145</v>
      </c>
      <c r="Q188" s="89">
        <f>'RSGen 1-7'!Q188</f>
        <v>0.0145</v>
      </c>
      <c r="R188" s="89">
        <f>'RSGen 1-7'!R188</f>
        <v>0.0145</v>
      </c>
      <c r="AT188" s="305" t="str">
        <f t="shared" ref="AT188:BG188" si="194">AS188</f>
        <v/>
      </c>
      <c r="AU188" s="305" t="str">
        <f t="shared" si="194"/>
        <v/>
      </c>
      <c r="AV188" s="305" t="str">
        <f t="shared" si="194"/>
        <v/>
      </c>
      <c r="AW188" s="305" t="str">
        <f t="shared" si="194"/>
        <v/>
      </c>
      <c r="AX188" s="305" t="str">
        <f t="shared" si="194"/>
        <v/>
      </c>
      <c r="AY188" s="305" t="str">
        <f t="shared" si="194"/>
        <v/>
      </c>
      <c r="AZ188" s="305" t="str">
        <f t="shared" si="194"/>
        <v/>
      </c>
      <c r="BA188" s="305" t="str">
        <f t="shared" si="194"/>
        <v/>
      </c>
      <c r="BB188" s="305" t="str">
        <f t="shared" si="194"/>
        <v/>
      </c>
      <c r="BC188" s="305" t="str">
        <f t="shared" si="194"/>
        <v/>
      </c>
      <c r="BD188" s="305" t="str">
        <f t="shared" si="194"/>
        <v/>
      </c>
      <c r="BE188" s="305" t="str">
        <f t="shared" si="194"/>
        <v/>
      </c>
      <c r="BF188" s="305" t="str">
        <f t="shared" si="194"/>
        <v/>
      </c>
      <c r="BG188" s="305" t="str">
        <f t="shared" si="194"/>
        <v/>
      </c>
    </row>
    <row r="189" ht="12.75" customHeight="1" outlineLevel="1">
      <c r="A189" s="230"/>
      <c r="B189" s="374"/>
      <c r="C189" s="90" t="s">
        <v>734</v>
      </c>
      <c r="D189" s="230"/>
      <c r="E189" s="230"/>
      <c r="F189" s="230"/>
      <c r="G189" s="89">
        <f>'RSGen 1-7'!G189</f>
        <v>0</v>
      </c>
      <c r="H189" s="89">
        <f>'RSGen 1-7'!H189</f>
        <v>0.0825</v>
      </c>
      <c r="I189" s="89">
        <f>'RSGen 1-7'!I189</f>
        <v>0.0825</v>
      </c>
      <c r="J189" s="89">
        <f>'RSGen 1-7'!J189</f>
        <v>0.0825</v>
      </c>
      <c r="K189" s="89">
        <f>'RSGen 1-7'!K189</f>
        <v>0.0825</v>
      </c>
      <c r="L189" s="89">
        <f>'RSGen 1-7'!L189</f>
        <v>0.0825</v>
      </c>
      <c r="M189" s="89">
        <f>'RSGen 1-7'!M189</f>
        <v>0.0825</v>
      </c>
      <c r="N189" s="89">
        <f>'RSGen 1-7'!N189</f>
        <v>0.0825</v>
      </c>
      <c r="O189" s="89">
        <f>'RSGen 1-7'!O189</f>
        <v>0.0825</v>
      </c>
      <c r="P189" s="89">
        <f>'RSGen 1-7'!P189</f>
        <v>0.0825</v>
      </c>
      <c r="Q189" s="89">
        <f>'RSGen 1-7'!Q189</f>
        <v>0.0825</v>
      </c>
      <c r="R189" s="89">
        <f>'RSGen 1-7'!R189</f>
        <v>0.0825</v>
      </c>
      <c r="AT189" s="305" t="str">
        <f t="shared" ref="AT189:BG189" si="195">AS189</f>
        <v/>
      </c>
      <c r="AU189" s="305" t="str">
        <f t="shared" si="195"/>
        <v/>
      </c>
      <c r="AV189" s="305" t="str">
        <f t="shared" si="195"/>
        <v/>
      </c>
      <c r="AW189" s="305" t="str">
        <f t="shared" si="195"/>
        <v/>
      </c>
      <c r="AX189" s="305" t="str">
        <f t="shared" si="195"/>
        <v/>
      </c>
      <c r="AY189" s="305" t="str">
        <f t="shared" si="195"/>
        <v/>
      </c>
      <c r="AZ189" s="305" t="str">
        <f t="shared" si="195"/>
        <v/>
      </c>
      <c r="BA189" s="305" t="str">
        <f t="shared" si="195"/>
        <v/>
      </c>
      <c r="BB189" s="305" t="str">
        <f t="shared" si="195"/>
        <v/>
      </c>
      <c r="BC189" s="305" t="str">
        <f t="shared" si="195"/>
        <v/>
      </c>
      <c r="BD189" s="305" t="str">
        <f t="shared" si="195"/>
        <v/>
      </c>
      <c r="BE189" s="305" t="str">
        <f t="shared" si="195"/>
        <v/>
      </c>
      <c r="BF189" s="305" t="str">
        <f t="shared" si="195"/>
        <v/>
      </c>
      <c r="BG189" s="305" t="str">
        <f t="shared" si="195"/>
        <v/>
      </c>
    </row>
    <row r="190" ht="12.75" customHeight="1" outlineLevel="1">
      <c r="A190" s="90"/>
      <c r="B190" s="195"/>
      <c r="C190" s="90" t="s">
        <v>735</v>
      </c>
      <c r="D190" s="90"/>
      <c r="E190" s="90"/>
      <c r="F190" s="90"/>
      <c r="G190" s="89">
        <f>'RSGen 1-7'!G190</f>
        <v>0</v>
      </c>
      <c r="H190" s="89">
        <f>'RSGen 1-7'!H190</f>
        <v>0.102</v>
      </c>
      <c r="I190" s="89">
        <f>'RSGen 1-7'!I190</f>
        <v>0.102</v>
      </c>
      <c r="J190" s="89">
        <f>'RSGen 1-7'!J190</f>
        <v>0.102</v>
      </c>
      <c r="K190" s="89">
        <f>'RSGen 1-7'!K190</f>
        <v>0.102</v>
      </c>
      <c r="L190" s="89">
        <f>'RSGen 1-7'!L190</f>
        <v>0.102</v>
      </c>
      <c r="M190" s="89">
        <f>'RSGen 1-7'!M190</f>
        <v>0.102</v>
      </c>
      <c r="N190" s="89">
        <f>'RSGen 1-7'!N190</f>
        <v>0.102</v>
      </c>
      <c r="O190" s="89">
        <f>'RSGen 1-7'!O190</f>
        <v>0.102</v>
      </c>
      <c r="P190" s="89">
        <f>'RSGen 1-7'!P190</f>
        <v>0.102</v>
      </c>
      <c r="Q190" s="89">
        <f>'RSGen 1-7'!Q190</f>
        <v>0.102</v>
      </c>
      <c r="R190" s="89">
        <f>'RSGen 1-7'!R190</f>
        <v>0.102</v>
      </c>
      <c r="AT190" s="305" t="str">
        <f t="shared" ref="AT190:BG190" si="196">AS190</f>
        <v/>
      </c>
      <c r="AU190" s="305" t="str">
        <f t="shared" si="196"/>
        <v/>
      </c>
      <c r="AV190" s="305" t="str">
        <f t="shared" si="196"/>
        <v/>
      </c>
      <c r="AW190" s="305" t="str">
        <f t="shared" si="196"/>
        <v/>
      </c>
      <c r="AX190" s="305" t="str">
        <f t="shared" si="196"/>
        <v/>
      </c>
      <c r="AY190" s="305" t="str">
        <f t="shared" si="196"/>
        <v/>
      </c>
      <c r="AZ190" s="305" t="str">
        <f t="shared" si="196"/>
        <v/>
      </c>
      <c r="BA190" s="305" t="str">
        <f t="shared" si="196"/>
        <v/>
      </c>
      <c r="BB190" s="305" t="str">
        <f t="shared" si="196"/>
        <v/>
      </c>
      <c r="BC190" s="305" t="str">
        <f t="shared" si="196"/>
        <v/>
      </c>
      <c r="BD190" s="305" t="str">
        <f t="shared" si="196"/>
        <v/>
      </c>
      <c r="BE190" s="305" t="str">
        <f t="shared" si="196"/>
        <v/>
      </c>
      <c r="BF190" s="305" t="str">
        <f t="shared" si="196"/>
        <v/>
      </c>
      <c r="BG190" s="305" t="str">
        <f t="shared" si="196"/>
        <v/>
      </c>
    </row>
    <row r="191" ht="12.75" customHeight="1" outlineLevel="1">
      <c r="A191" s="90"/>
      <c r="B191" s="90"/>
      <c r="C191" s="90" t="s">
        <v>736</v>
      </c>
      <c r="D191" s="90"/>
      <c r="E191" s="90"/>
      <c r="F191" s="90"/>
      <c r="G191" s="89">
        <f>'RSGen 1-7'!G191</f>
        <v>0</v>
      </c>
      <c r="H191" s="89">
        <f>'RSGen 1-7'!H191</f>
        <v>0.005</v>
      </c>
      <c r="I191" s="89">
        <f>'RSGen 1-7'!I191</f>
        <v>0.005</v>
      </c>
      <c r="J191" s="89">
        <f>'RSGen 1-7'!J191</f>
        <v>0.005</v>
      </c>
      <c r="K191" s="89">
        <f>'RSGen 1-7'!K191</f>
        <v>0.005</v>
      </c>
      <c r="L191" s="89">
        <f>'RSGen 1-7'!L191</f>
        <v>0.005</v>
      </c>
      <c r="M191" s="89">
        <f>'RSGen 1-7'!M191</f>
        <v>0.005</v>
      </c>
      <c r="N191" s="89">
        <f>'RSGen 1-7'!N191</f>
        <v>0.005</v>
      </c>
      <c r="O191" s="89">
        <f>'RSGen 1-7'!O191</f>
        <v>0.005</v>
      </c>
      <c r="P191" s="89">
        <f>'RSGen 1-7'!P191</f>
        <v>0.005</v>
      </c>
      <c r="Q191" s="89">
        <f>'RSGen 1-7'!Q191</f>
        <v>0.005</v>
      </c>
      <c r="R191" s="89">
        <f>'RSGen 1-7'!R191</f>
        <v>0.005</v>
      </c>
      <c r="AT191" s="305" t="str">
        <f t="shared" ref="AT191:BG191" si="197">AS191</f>
        <v/>
      </c>
      <c r="AU191" s="305" t="str">
        <f t="shared" si="197"/>
        <v/>
      </c>
      <c r="AV191" s="305" t="str">
        <f t="shared" si="197"/>
        <v/>
      </c>
      <c r="AW191" s="305" t="str">
        <f t="shared" si="197"/>
        <v/>
      </c>
      <c r="AX191" s="305" t="str">
        <f t="shared" si="197"/>
        <v/>
      </c>
      <c r="AY191" s="305" t="str">
        <f t="shared" si="197"/>
        <v/>
      </c>
      <c r="AZ191" s="305" t="str">
        <f t="shared" si="197"/>
        <v/>
      </c>
      <c r="BA191" s="305" t="str">
        <f t="shared" si="197"/>
        <v/>
      </c>
      <c r="BB191" s="305" t="str">
        <f t="shared" si="197"/>
        <v/>
      </c>
      <c r="BC191" s="305" t="str">
        <f t="shared" si="197"/>
        <v/>
      </c>
      <c r="BD191" s="305" t="str">
        <f t="shared" si="197"/>
        <v/>
      </c>
      <c r="BE191" s="305" t="str">
        <f t="shared" si="197"/>
        <v/>
      </c>
      <c r="BF191" s="305" t="str">
        <f t="shared" si="197"/>
        <v/>
      </c>
      <c r="BG191" s="305" t="str">
        <f t="shared" si="197"/>
        <v/>
      </c>
    </row>
    <row r="192" ht="12.75" customHeight="1" outlineLevel="1">
      <c r="A192" s="90"/>
      <c r="B192" s="90"/>
      <c r="C192" s="90" t="s">
        <v>737</v>
      </c>
      <c r="D192" s="90"/>
      <c r="E192" s="90"/>
      <c r="F192" s="90"/>
      <c r="G192" s="89">
        <f>'RSGen 1-7'!G192</f>
        <v>0</v>
      </c>
      <c r="H192" s="89">
        <f>'RSGen 1-7'!H192</f>
        <v>0.005</v>
      </c>
      <c r="I192" s="89">
        <f>'RSGen 1-7'!I192</f>
        <v>0.005</v>
      </c>
      <c r="J192" s="89">
        <f>'RSGen 1-7'!J192</f>
        <v>0.005</v>
      </c>
      <c r="K192" s="89">
        <f>'RSGen 1-7'!K192</f>
        <v>0.005</v>
      </c>
      <c r="L192" s="89">
        <f>'RSGen 1-7'!L192</f>
        <v>0.005</v>
      </c>
      <c r="M192" s="89">
        <f>'RSGen 1-7'!M192</f>
        <v>0.005</v>
      </c>
      <c r="N192" s="89">
        <f>'RSGen 1-7'!N192</f>
        <v>0.005</v>
      </c>
      <c r="O192" s="89">
        <f>'RSGen 1-7'!O192</f>
        <v>0.005</v>
      </c>
      <c r="P192" s="89">
        <f>'RSGen 1-7'!P192</f>
        <v>0.005</v>
      </c>
      <c r="Q192" s="89">
        <f>'RSGen 1-7'!Q192</f>
        <v>0.005</v>
      </c>
      <c r="R192" s="89">
        <f>'RSGen 1-7'!R192</f>
        <v>0.005</v>
      </c>
      <c r="AT192" s="305" t="str">
        <f t="shared" ref="AT192:BG192" si="198">AS192</f>
        <v/>
      </c>
      <c r="AU192" s="305" t="str">
        <f t="shared" si="198"/>
        <v/>
      </c>
      <c r="AV192" s="305" t="str">
        <f t="shared" si="198"/>
        <v/>
      </c>
      <c r="AW192" s="305" t="str">
        <f t="shared" si="198"/>
        <v/>
      </c>
      <c r="AX192" s="305" t="str">
        <f t="shared" si="198"/>
        <v/>
      </c>
      <c r="AY192" s="305" t="str">
        <f t="shared" si="198"/>
        <v/>
      </c>
      <c r="AZ192" s="305" t="str">
        <f t="shared" si="198"/>
        <v/>
      </c>
      <c r="BA192" s="305" t="str">
        <f t="shared" si="198"/>
        <v/>
      </c>
      <c r="BB192" s="305" t="str">
        <f t="shared" si="198"/>
        <v/>
      </c>
      <c r="BC192" s="305" t="str">
        <f t="shared" si="198"/>
        <v/>
      </c>
      <c r="BD192" s="305" t="str">
        <f t="shared" si="198"/>
        <v/>
      </c>
      <c r="BE192" s="305" t="str">
        <f t="shared" si="198"/>
        <v/>
      </c>
      <c r="BF192" s="305" t="str">
        <f t="shared" si="198"/>
        <v/>
      </c>
      <c r="BG192" s="305" t="str">
        <f t="shared" si="198"/>
        <v/>
      </c>
    </row>
    <row r="193" ht="12.75" customHeight="1">
      <c r="A193" s="90"/>
      <c r="B193" s="90"/>
      <c r="C193" s="90"/>
      <c r="D193" s="90"/>
      <c r="E193" s="90"/>
      <c r="F193" s="90"/>
      <c r="G193" s="90"/>
      <c r="H193" s="90"/>
      <c r="I193" s="90"/>
      <c r="J193" s="90"/>
      <c r="K193" s="90"/>
      <c r="L193" s="90"/>
      <c r="M193" s="90"/>
      <c r="N193" s="90"/>
      <c r="O193" s="90"/>
      <c r="P193" s="90"/>
      <c r="Q193" s="90"/>
      <c r="R193" s="90"/>
      <c r="AT193" s="313"/>
      <c r="AU193" s="313"/>
      <c r="AV193" s="313"/>
      <c r="AW193" s="313"/>
      <c r="AX193" s="313"/>
      <c r="AY193" s="313"/>
      <c r="AZ193" s="313"/>
      <c r="BA193" s="313"/>
      <c r="BB193" s="313"/>
      <c r="BC193" s="313"/>
      <c r="BD193" s="313"/>
      <c r="BE193" s="313"/>
      <c r="BF193" s="313"/>
      <c r="BG193" s="313"/>
    </row>
    <row r="194" ht="12.75" customHeight="1">
      <c r="A194" s="106" t="s">
        <v>738</v>
      </c>
      <c r="B194" s="253"/>
      <c r="C194" s="253"/>
      <c r="D194" s="253"/>
      <c r="E194" s="253"/>
      <c r="F194" s="253"/>
      <c r="G194" s="253"/>
      <c r="H194" s="253"/>
      <c r="I194" s="253"/>
      <c r="J194" s="253"/>
      <c r="K194" s="253"/>
      <c r="L194" s="253"/>
      <c r="M194" s="253"/>
      <c r="N194" s="253"/>
      <c r="O194" s="253"/>
      <c r="P194" s="253"/>
      <c r="Q194" s="253"/>
      <c r="R194" s="253"/>
      <c r="AT194" s="314"/>
      <c r="AU194" s="314"/>
      <c r="AV194" s="314"/>
      <c r="AW194" s="314"/>
      <c r="AX194" s="314"/>
      <c r="AY194" s="314"/>
      <c r="AZ194" s="314"/>
      <c r="BA194" s="314"/>
      <c r="BB194" s="314"/>
      <c r="BC194" s="314"/>
      <c r="BD194" s="314"/>
      <c r="BE194" s="314"/>
      <c r="BF194" s="314"/>
      <c r="BG194" s="314"/>
    </row>
    <row r="195" ht="12.75" customHeight="1" outlineLevel="1">
      <c r="A195" s="67"/>
      <c r="B195" s="90"/>
      <c r="C195" s="90"/>
      <c r="D195" s="90"/>
      <c r="E195" s="90"/>
      <c r="F195" s="90"/>
      <c r="G195" s="90"/>
      <c r="H195" s="90"/>
      <c r="I195" s="90"/>
      <c r="J195" s="90"/>
      <c r="K195" s="90"/>
      <c r="L195" s="90"/>
      <c r="M195" s="90"/>
      <c r="N195" s="90"/>
      <c r="O195" s="90"/>
      <c r="P195" s="90"/>
      <c r="Q195" s="90"/>
      <c r="R195" s="90"/>
      <c r="AT195" s="313"/>
      <c r="AU195" s="313"/>
      <c r="AV195" s="313"/>
      <c r="AW195" s="313"/>
      <c r="AX195" s="313"/>
      <c r="AY195" s="313"/>
      <c r="AZ195" s="313"/>
      <c r="BA195" s="313"/>
      <c r="BB195" s="313"/>
      <c r="BC195" s="313"/>
      <c r="BD195" s="313"/>
      <c r="BE195" s="313"/>
      <c r="BF195" s="313"/>
      <c r="BG195" s="313"/>
    </row>
    <row r="196" ht="12.75" customHeight="1" outlineLevel="1">
      <c r="A196" s="90"/>
      <c r="B196" s="90" t="s">
        <v>739</v>
      </c>
      <c r="C196" s="90"/>
      <c r="D196" s="90"/>
      <c r="E196" s="90"/>
      <c r="F196" s="90"/>
      <c r="G196" s="178">
        <v>0.0</v>
      </c>
      <c r="H196" s="178"/>
      <c r="I196" s="178"/>
      <c r="J196" s="178"/>
      <c r="K196" s="178"/>
      <c r="L196" s="178"/>
      <c r="M196" s="178"/>
      <c r="N196" s="178"/>
      <c r="O196" s="178"/>
      <c r="P196" s="178"/>
      <c r="Q196" s="178"/>
      <c r="R196" s="178"/>
      <c r="AT196" s="355" t="str">
        <f t="shared" ref="AT196:BG196" si="199">AS196</f>
        <v/>
      </c>
      <c r="AU196" s="355" t="str">
        <f t="shared" si="199"/>
        <v/>
      </c>
      <c r="AV196" s="355" t="str">
        <f t="shared" si="199"/>
        <v/>
      </c>
      <c r="AW196" s="355" t="str">
        <f t="shared" si="199"/>
        <v/>
      </c>
      <c r="AX196" s="355" t="str">
        <f t="shared" si="199"/>
        <v/>
      </c>
      <c r="AY196" s="355" t="str">
        <f t="shared" si="199"/>
        <v/>
      </c>
      <c r="AZ196" s="355" t="str">
        <f t="shared" si="199"/>
        <v/>
      </c>
      <c r="BA196" s="355" t="str">
        <f t="shared" si="199"/>
        <v/>
      </c>
      <c r="BB196" s="355" t="str">
        <f t="shared" si="199"/>
        <v/>
      </c>
      <c r="BC196" s="355" t="str">
        <f t="shared" si="199"/>
        <v/>
      </c>
      <c r="BD196" s="355" t="str">
        <f t="shared" si="199"/>
        <v/>
      </c>
      <c r="BE196" s="355" t="str">
        <f t="shared" si="199"/>
        <v/>
      </c>
      <c r="BF196" s="355" t="str">
        <f t="shared" si="199"/>
        <v/>
      </c>
      <c r="BG196" s="355" t="str">
        <f t="shared" si="199"/>
        <v/>
      </c>
    </row>
    <row r="197" ht="12.75" customHeight="1" outlineLevel="1">
      <c r="A197" s="90"/>
      <c r="B197" s="90"/>
      <c r="C197" s="90"/>
      <c r="D197" s="90"/>
      <c r="E197" s="90"/>
      <c r="F197" s="90"/>
      <c r="G197" s="90"/>
      <c r="H197" s="90"/>
      <c r="I197" s="90"/>
      <c r="J197" s="90"/>
      <c r="K197" s="90"/>
      <c r="L197" s="90"/>
      <c r="M197" s="90"/>
      <c r="N197" s="90"/>
      <c r="O197" s="90"/>
      <c r="P197" s="90"/>
      <c r="Q197" s="90"/>
      <c r="R197" s="90"/>
      <c r="AT197" s="313"/>
      <c r="AU197" s="313"/>
      <c r="AV197" s="313"/>
      <c r="AW197" s="313"/>
      <c r="AX197" s="313"/>
      <c r="AY197" s="313"/>
      <c r="AZ197" s="313"/>
      <c r="BA197" s="313"/>
      <c r="BB197" s="313"/>
      <c r="BC197" s="313"/>
      <c r="BD197" s="313"/>
      <c r="BE197" s="313"/>
      <c r="BF197" s="313"/>
      <c r="BG197" s="313"/>
    </row>
    <row r="198" ht="12.75" customHeight="1" outlineLevel="1">
      <c r="A198" s="90"/>
      <c r="B198" s="67" t="s">
        <v>550</v>
      </c>
      <c r="C198" s="90"/>
      <c r="D198" s="90"/>
      <c r="E198" s="90"/>
      <c r="F198" s="90"/>
      <c r="G198" s="90"/>
      <c r="H198" s="90"/>
      <c r="I198" s="90"/>
      <c r="J198" s="90"/>
      <c r="K198" s="90"/>
      <c r="L198" s="90"/>
      <c r="M198" s="90"/>
      <c r="N198" s="90"/>
      <c r="O198" s="90"/>
      <c r="P198" s="90"/>
      <c r="Q198" s="90"/>
      <c r="R198" s="90"/>
      <c r="AT198" s="313"/>
      <c r="AU198" s="313"/>
      <c r="AV198" s="313"/>
      <c r="AW198" s="313"/>
      <c r="AX198" s="313"/>
      <c r="AY198" s="313"/>
      <c r="AZ198" s="313"/>
      <c r="BA198" s="313"/>
      <c r="BB198" s="313"/>
      <c r="BC198" s="313"/>
      <c r="BD198" s="313"/>
      <c r="BE198" s="313"/>
      <c r="BF198" s="313"/>
      <c r="BG198" s="313"/>
    </row>
    <row r="199" ht="12.75" customHeight="1" outlineLevel="1">
      <c r="A199" s="90"/>
      <c r="B199" s="90"/>
      <c r="C199" s="90" t="s">
        <v>740</v>
      </c>
      <c r="D199" s="90"/>
      <c r="E199" s="90"/>
      <c r="F199" s="90"/>
      <c r="G199" s="99">
        <f>'RSGen 1-7'!G199</f>
        <v>0</v>
      </c>
      <c r="H199" s="99">
        <f>'RSGen 1-7'!H199</f>
        <v>0</v>
      </c>
      <c r="I199" s="99">
        <f>'RSGen 1-7'!I199</f>
        <v>65</v>
      </c>
      <c r="J199" s="99">
        <f>'RSGen 1-7'!J199</f>
        <v>65</v>
      </c>
      <c r="K199" s="99">
        <f>'RSGen 1-7'!K199</f>
        <v>65</v>
      </c>
      <c r="L199" s="99">
        <f>'RSGen 1-7'!L199</f>
        <v>65</v>
      </c>
      <c r="M199" s="99">
        <f>'RSGen 1-7'!M199</f>
        <v>65</v>
      </c>
      <c r="N199" s="99">
        <f>'RSGen 1-7'!N199</f>
        <v>65</v>
      </c>
      <c r="O199" s="99">
        <f>'RSGen 1-7'!O199</f>
        <v>65</v>
      </c>
      <c r="P199" s="99">
        <f>'RSGen 1-7'!P199</f>
        <v>65</v>
      </c>
      <c r="Q199" s="99">
        <f>'RSGen 1-7'!Q199</f>
        <v>65</v>
      </c>
      <c r="R199" s="99">
        <f>'RSGen 1-7'!R199</f>
        <v>65</v>
      </c>
      <c r="AT199" s="308" t="str">
        <f t="shared" ref="AT199:BG199" si="200">AS199</f>
        <v/>
      </c>
      <c r="AU199" s="308" t="str">
        <f t="shared" si="200"/>
        <v/>
      </c>
      <c r="AV199" s="308" t="str">
        <f t="shared" si="200"/>
        <v/>
      </c>
      <c r="AW199" s="308" t="str">
        <f t="shared" si="200"/>
        <v/>
      </c>
      <c r="AX199" s="308" t="str">
        <f t="shared" si="200"/>
        <v/>
      </c>
      <c r="AY199" s="308" t="str">
        <f t="shared" si="200"/>
        <v/>
      </c>
      <c r="AZ199" s="308" t="str">
        <f t="shared" si="200"/>
        <v/>
      </c>
      <c r="BA199" s="308" t="str">
        <f t="shared" si="200"/>
        <v/>
      </c>
      <c r="BB199" s="308" t="str">
        <f t="shared" si="200"/>
        <v/>
      </c>
      <c r="BC199" s="308" t="str">
        <f t="shared" si="200"/>
        <v/>
      </c>
      <c r="BD199" s="308" t="str">
        <f t="shared" si="200"/>
        <v/>
      </c>
      <c r="BE199" s="308" t="str">
        <f t="shared" si="200"/>
        <v/>
      </c>
      <c r="BF199" s="308" t="str">
        <f t="shared" si="200"/>
        <v/>
      </c>
      <c r="BG199" s="308" t="str">
        <f t="shared" si="200"/>
        <v/>
      </c>
    </row>
    <row r="200" ht="12.75" customHeight="1" outlineLevel="1">
      <c r="A200" s="90"/>
      <c r="B200" s="90"/>
      <c r="C200" s="90" t="s">
        <v>741</v>
      </c>
      <c r="D200" s="90"/>
      <c r="E200" s="90"/>
      <c r="F200" s="90"/>
      <c r="G200" s="99">
        <f>'RSGen 1-7'!G200</f>
        <v>25</v>
      </c>
      <c r="H200" s="99">
        <f>'RSGen 1-7'!H200</f>
        <v>25</v>
      </c>
      <c r="I200" s="99">
        <f>'RSGen 1-7'!I200</f>
        <v>25</v>
      </c>
      <c r="J200" s="99">
        <f>'RSGen 1-7'!J200</f>
        <v>25</v>
      </c>
      <c r="K200" s="99">
        <f>'RSGen 1-7'!K200</f>
        <v>25</v>
      </c>
      <c r="L200" s="99">
        <f>'RSGen 1-7'!L200</f>
        <v>25</v>
      </c>
      <c r="M200" s="99">
        <f>'RSGen 1-7'!M200</f>
        <v>25</v>
      </c>
      <c r="N200" s="99">
        <f>'RSGen 1-7'!N200</f>
        <v>25</v>
      </c>
      <c r="O200" s="99">
        <f>'RSGen 1-7'!O200</f>
        <v>25</v>
      </c>
      <c r="P200" s="99">
        <f>'RSGen 1-7'!P200</f>
        <v>25</v>
      </c>
      <c r="Q200" s="99">
        <f>'RSGen 1-7'!Q200</f>
        <v>25</v>
      </c>
      <c r="R200" s="99">
        <f>'RSGen 1-7'!R200</f>
        <v>25</v>
      </c>
      <c r="AT200" s="308"/>
      <c r="AU200" s="308"/>
      <c r="AV200" s="308"/>
      <c r="AW200" s="308"/>
      <c r="AX200" s="308"/>
      <c r="AY200" s="308"/>
      <c r="AZ200" s="308"/>
      <c r="BA200" s="308"/>
      <c r="BB200" s="308"/>
      <c r="BC200" s="308"/>
      <c r="BD200" s="308"/>
      <c r="BE200" s="308"/>
      <c r="BF200" s="308"/>
      <c r="BG200" s="308"/>
    </row>
    <row r="201" ht="12.75" customHeight="1" outlineLevel="1">
      <c r="A201" s="90"/>
      <c r="B201" s="90"/>
      <c r="C201" s="90" t="s">
        <v>742</v>
      </c>
      <c r="D201" s="90"/>
      <c r="E201" s="90"/>
      <c r="F201" s="90"/>
      <c r="G201" s="99">
        <f>'RSGen 1-7'!G201</f>
        <v>0</v>
      </c>
      <c r="H201" s="99">
        <f>'RSGen 1-7'!H201</f>
        <v>0</v>
      </c>
      <c r="I201" s="99">
        <f>'RSGen 1-7'!I201</f>
        <v>1000</v>
      </c>
      <c r="J201" s="99">
        <f>'RSGen 1-7'!J201</f>
        <v>1000</v>
      </c>
      <c r="K201" s="99">
        <f>'RSGen 1-7'!K201</f>
        <v>1000</v>
      </c>
      <c r="L201" s="99">
        <f>'RSGen 1-7'!L201</f>
        <v>1000</v>
      </c>
      <c r="M201" s="99">
        <f>'RSGen 1-7'!M201</f>
        <v>1000</v>
      </c>
      <c r="N201" s="99">
        <f>'RSGen 1-7'!N201</f>
        <v>1000</v>
      </c>
      <c r="O201" s="99">
        <f>'RSGen 1-7'!O201</f>
        <v>1000</v>
      </c>
      <c r="P201" s="99">
        <f>'RSGen 1-7'!P201</f>
        <v>1000</v>
      </c>
      <c r="Q201" s="99">
        <f>'RSGen 1-7'!Q201</f>
        <v>1000</v>
      </c>
      <c r="R201" s="99">
        <f>'RSGen 1-7'!R201</f>
        <v>1000</v>
      </c>
      <c r="AT201" s="308" t="str">
        <f t="shared" ref="AT201:BG201" si="201">AS201</f>
        <v/>
      </c>
      <c r="AU201" s="308" t="str">
        <f t="shared" si="201"/>
        <v/>
      </c>
      <c r="AV201" s="308" t="str">
        <f t="shared" si="201"/>
        <v/>
      </c>
      <c r="AW201" s="308" t="str">
        <f t="shared" si="201"/>
        <v/>
      </c>
      <c r="AX201" s="308" t="str">
        <f t="shared" si="201"/>
        <v/>
      </c>
      <c r="AY201" s="308" t="str">
        <f t="shared" si="201"/>
        <v/>
      </c>
      <c r="AZ201" s="308" t="str">
        <f t="shared" si="201"/>
        <v/>
      </c>
      <c r="BA201" s="308" t="str">
        <f t="shared" si="201"/>
        <v/>
      </c>
      <c r="BB201" s="308" t="str">
        <f t="shared" si="201"/>
        <v/>
      </c>
      <c r="BC201" s="308" t="str">
        <f t="shared" si="201"/>
        <v/>
      </c>
      <c r="BD201" s="308" t="str">
        <f t="shared" si="201"/>
        <v/>
      </c>
      <c r="BE201" s="308" t="str">
        <f t="shared" si="201"/>
        <v/>
      </c>
      <c r="BF201" s="308" t="str">
        <f t="shared" si="201"/>
        <v/>
      </c>
      <c r="BG201" s="308" t="str">
        <f t="shared" si="201"/>
        <v/>
      </c>
    </row>
    <row r="202" ht="12.75" customHeight="1" outlineLevel="1">
      <c r="A202" s="90"/>
      <c r="B202" s="90"/>
      <c r="C202" s="90" t="s">
        <v>743</v>
      </c>
      <c r="D202" s="90"/>
      <c r="E202" s="90"/>
      <c r="F202" s="90"/>
      <c r="G202" s="99" t="str">
        <f>'RSGen 1-7'!G202</f>
        <v/>
      </c>
      <c r="H202" s="99" t="str">
        <f>'RSGen 1-7'!H202</f>
        <v/>
      </c>
      <c r="I202" s="99" t="str">
        <f>'RSGen 1-7'!I202</f>
        <v/>
      </c>
      <c r="J202" s="99" t="str">
        <f>'RSGen 1-7'!J202</f>
        <v/>
      </c>
      <c r="K202" s="99" t="str">
        <f>'RSGen 1-7'!K202</f>
        <v/>
      </c>
      <c r="L202" s="99" t="str">
        <f>'RSGen 1-7'!L202</f>
        <v/>
      </c>
      <c r="M202" s="99" t="str">
        <f>'RSGen 1-7'!M202</f>
        <v/>
      </c>
      <c r="N202" s="99" t="str">
        <f>'RSGen 1-7'!N202</f>
        <v/>
      </c>
      <c r="O202" s="99" t="str">
        <f>'RSGen 1-7'!O202</f>
        <v/>
      </c>
      <c r="P202" s="99" t="str">
        <f>'RSGen 1-7'!P202</f>
        <v/>
      </c>
      <c r="Q202" s="99" t="str">
        <f>'RSGen 1-7'!Q202</f>
        <v/>
      </c>
      <c r="R202" s="99" t="str">
        <f>'RSGen 1-7'!R202</f>
        <v/>
      </c>
      <c r="AT202" s="308"/>
      <c r="AU202" s="308"/>
      <c r="AV202" s="308"/>
      <c r="AW202" s="308"/>
      <c r="AX202" s="308"/>
      <c r="AY202" s="308"/>
      <c r="AZ202" s="308"/>
      <c r="BA202" s="308"/>
      <c r="BB202" s="308"/>
      <c r="BC202" s="308"/>
      <c r="BD202" s="308"/>
      <c r="BE202" s="308"/>
      <c r="BF202" s="308"/>
      <c r="BG202" s="308"/>
    </row>
    <row r="203" ht="12.75" customHeight="1" outlineLevel="1">
      <c r="A203" s="90"/>
      <c r="B203" s="90"/>
      <c r="C203" s="90" t="s">
        <v>744</v>
      </c>
      <c r="D203" s="90"/>
      <c r="E203" s="90"/>
      <c r="F203" s="90"/>
      <c r="G203" s="99">
        <f>'RSGen 1-7'!G203</f>
        <v>125</v>
      </c>
      <c r="H203" s="99">
        <f>'RSGen 1-7'!H203</f>
        <v>125</v>
      </c>
      <c r="I203" s="99">
        <f>'RSGen 1-7'!I203</f>
        <v>150</v>
      </c>
      <c r="J203" s="99">
        <f>'RSGen 1-7'!J203</f>
        <v>150</v>
      </c>
      <c r="K203" s="99">
        <f>'RSGen 1-7'!K203</f>
        <v>150</v>
      </c>
      <c r="L203" s="99">
        <f>'RSGen 1-7'!L203</f>
        <v>150</v>
      </c>
      <c r="M203" s="99">
        <f>'RSGen 1-7'!M203</f>
        <v>150</v>
      </c>
      <c r="N203" s="99">
        <f>'RSGen 1-7'!N203</f>
        <v>150</v>
      </c>
      <c r="O203" s="99">
        <f>'RSGen 1-7'!O203</f>
        <v>150</v>
      </c>
      <c r="P203" s="99">
        <f>'RSGen 1-7'!P203</f>
        <v>150</v>
      </c>
      <c r="Q203" s="99">
        <f>'RSGen 1-7'!Q203</f>
        <v>150</v>
      </c>
      <c r="R203" s="99">
        <f>'RSGen 1-7'!R203</f>
        <v>150</v>
      </c>
      <c r="AT203" s="308"/>
      <c r="AU203" s="308"/>
      <c r="AV203" s="308"/>
      <c r="AW203" s="308"/>
      <c r="AX203" s="308"/>
      <c r="AY203" s="308"/>
      <c r="AZ203" s="308"/>
      <c r="BA203" s="308"/>
      <c r="BB203" s="308"/>
      <c r="BC203" s="308"/>
      <c r="BD203" s="308"/>
      <c r="BE203" s="308"/>
      <c r="BF203" s="308"/>
      <c r="BG203" s="308"/>
    </row>
    <row r="204" ht="12.75" customHeight="1" outlineLevel="1">
      <c r="A204" s="90"/>
      <c r="B204" s="90"/>
      <c r="C204" s="90" t="s">
        <v>745</v>
      </c>
      <c r="D204" s="90"/>
      <c r="E204" s="90"/>
      <c r="F204" s="90"/>
      <c r="G204" s="99">
        <f>'RSGen 1-7'!G204</f>
        <v>0</v>
      </c>
      <c r="H204" s="99">
        <f>'RSGen 1-7'!H204</f>
        <v>0</v>
      </c>
      <c r="I204" s="99">
        <f>'RSGen 1-7'!I204</f>
        <v>50000</v>
      </c>
      <c r="J204" s="99">
        <f>'RSGen 1-7'!J204</f>
        <v>5000</v>
      </c>
      <c r="K204" s="99">
        <f>'RSGen 1-7'!K204</f>
        <v>5000</v>
      </c>
      <c r="L204" s="99">
        <f>'RSGen 1-7'!L204</f>
        <v>0</v>
      </c>
      <c r="M204" s="99">
        <f>'RSGen 1-7'!M204</f>
        <v>0</v>
      </c>
      <c r="N204" s="99">
        <f>'RSGen 1-7'!N204</f>
        <v>0</v>
      </c>
      <c r="O204" s="99">
        <f>'RSGen 1-7'!O204</f>
        <v>0</v>
      </c>
      <c r="P204" s="99">
        <f>'RSGen 1-7'!P204</f>
        <v>0</v>
      </c>
      <c r="Q204" s="99">
        <f>'RSGen 1-7'!Q204</f>
        <v>0</v>
      </c>
      <c r="R204" s="99">
        <f>'RSGen 1-7'!R204</f>
        <v>0</v>
      </c>
      <c r="AT204" s="308" t="str">
        <f t="shared" ref="AT204:BG204" si="202">AS204</f>
        <v/>
      </c>
      <c r="AU204" s="308" t="str">
        <f t="shared" si="202"/>
        <v/>
      </c>
      <c r="AV204" s="308" t="str">
        <f t="shared" si="202"/>
        <v/>
      </c>
      <c r="AW204" s="308" t="str">
        <f t="shared" si="202"/>
        <v/>
      </c>
      <c r="AX204" s="308" t="str">
        <f t="shared" si="202"/>
        <v/>
      </c>
      <c r="AY204" s="308" t="str">
        <f t="shared" si="202"/>
        <v/>
      </c>
      <c r="AZ204" s="308" t="str">
        <f t="shared" si="202"/>
        <v/>
      </c>
      <c r="BA204" s="308" t="str">
        <f t="shared" si="202"/>
        <v/>
      </c>
      <c r="BB204" s="308" t="str">
        <f t="shared" si="202"/>
        <v/>
      </c>
      <c r="BC204" s="308" t="str">
        <f t="shared" si="202"/>
        <v/>
      </c>
      <c r="BD204" s="308" t="str">
        <f t="shared" si="202"/>
        <v/>
      </c>
      <c r="BE204" s="308" t="str">
        <f t="shared" si="202"/>
        <v/>
      </c>
      <c r="BF204" s="308" t="str">
        <f t="shared" si="202"/>
        <v/>
      </c>
      <c r="BG204" s="308" t="str">
        <f t="shared" si="202"/>
        <v/>
      </c>
    </row>
    <row r="205" ht="12.75" customHeight="1" outlineLevel="1">
      <c r="A205" s="90"/>
      <c r="B205" s="90"/>
      <c r="C205" s="90" t="s">
        <v>746</v>
      </c>
      <c r="D205" s="90"/>
      <c r="E205" s="90"/>
      <c r="F205" s="90"/>
      <c r="G205" s="99">
        <f>'RSGen 1-7'!G205</f>
        <v>0</v>
      </c>
      <c r="H205" s="99">
        <f>'RSGen 1-7'!H205</f>
        <v>0</v>
      </c>
      <c r="I205" s="99">
        <f>'RSGen 1-7'!I205</f>
        <v>15000</v>
      </c>
      <c r="J205" s="99">
        <f>'RSGen 1-7'!J205</f>
        <v>15000</v>
      </c>
      <c r="K205" s="99">
        <f>'RSGen 1-7'!K205</f>
        <v>15000</v>
      </c>
      <c r="L205" s="99">
        <f>'RSGen 1-7'!L205</f>
        <v>15000</v>
      </c>
      <c r="M205" s="99">
        <f>'RSGen 1-7'!M205</f>
        <v>15000</v>
      </c>
      <c r="N205" s="99">
        <f>'RSGen 1-7'!N205</f>
        <v>15000</v>
      </c>
      <c r="O205" s="99">
        <f>'RSGen 1-7'!O205</f>
        <v>15000</v>
      </c>
      <c r="P205" s="99">
        <f>'RSGen 1-7'!P205</f>
        <v>15000</v>
      </c>
      <c r="Q205" s="99">
        <f>'RSGen 1-7'!Q205</f>
        <v>15000</v>
      </c>
      <c r="R205" s="99">
        <f>'RSGen 1-7'!R205</f>
        <v>15000</v>
      </c>
      <c r="AT205" s="308"/>
      <c r="AU205" s="308"/>
      <c r="AV205" s="308"/>
      <c r="AW205" s="308"/>
      <c r="AX205" s="308"/>
      <c r="AY205" s="308"/>
      <c r="AZ205" s="308"/>
      <c r="BA205" s="308"/>
      <c r="BB205" s="308"/>
      <c r="BC205" s="308"/>
      <c r="BD205" s="308"/>
      <c r="BE205" s="308"/>
      <c r="BF205" s="308"/>
      <c r="BG205" s="308"/>
    </row>
    <row r="206" ht="12.75" customHeight="1" outlineLevel="1">
      <c r="A206" s="90"/>
      <c r="B206" s="90"/>
      <c r="C206" s="90" t="s">
        <v>747</v>
      </c>
      <c r="D206" s="90"/>
      <c r="E206" s="90"/>
      <c r="F206" s="90"/>
      <c r="G206" s="99" t="str">
        <f>'RSGen 1-7'!G206</f>
        <v/>
      </c>
      <c r="H206" s="99" t="str">
        <f>'RSGen 1-7'!H206</f>
        <v/>
      </c>
      <c r="I206" s="99">
        <f>'RSGen 1-7'!I206</f>
        <v>100</v>
      </c>
      <c r="J206" s="99">
        <f>'RSGen 1-7'!J206</f>
        <v>100</v>
      </c>
      <c r="K206" s="99">
        <f>'RSGen 1-7'!K206</f>
        <v>100</v>
      </c>
      <c r="L206" s="99">
        <f>'RSGen 1-7'!L206</f>
        <v>100</v>
      </c>
      <c r="M206" s="99">
        <f>'RSGen 1-7'!M206</f>
        <v>100</v>
      </c>
      <c r="N206" s="99">
        <f>'RSGen 1-7'!N206</f>
        <v>100</v>
      </c>
      <c r="O206" s="99">
        <f>'RSGen 1-7'!O206</f>
        <v>100</v>
      </c>
      <c r="P206" s="99">
        <f>'RSGen 1-7'!P206</f>
        <v>100</v>
      </c>
      <c r="Q206" s="99">
        <f>'RSGen 1-7'!Q206</f>
        <v>100</v>
      </c>
      <c r="R206" s="99">
        <f>'RSGen 1-7'!R206</f>
        <v>100</v>
      </c>
      <c r="AT206" s="308"/>
      <c r="AU206" s="308"/>
      <c r="AV206" s="308"/>
      <c r="AW206" s="308"/>
      <c r="AX206" s="308"/>
      <c r="AY206" s="308"/>
      <c r="AZ206" s="308"/>
      <c r="BA206" s="308"/>
      <c r="BB206" s="308"/>
      <c r="BC206" s="308"/>
      <c r="BD206" s="308"/>
      <c r="BE206" s="308"/>
      <c r="BF206" s="308"/>
      <c r="BG206" s="308"/>
    </row>
    <row r="207" ht="12.75" customHeight="1" outlineLevel="1">
      <c r="A207" s="90"/>
      <c r="B207" s="90"/>
      <c r="C207" s="90" t="s">
        <v>748</v>
      </c>
      <c r="D207" s="90"/>
      <c r="E207" s="90"/>
      <c r="F207" s="90"/>
      <c r="G207" s="99">
        <f>'RSGen 1-7'!G207</f>
        <v>0</v>
      </c>
      <c r="H207" s="99">
        <f>'RSGen 1-7'!H207</f>
        <v>0</v>
      </c>
      <c r="I207" s="99">
        <f>'RSGen 1-7'!I207</f>
        <v>110000</v>
      </c>
      <c r="J207" s="99">
        <f>'RSGen 1-7'!J207</f>
        <v>10000</v>
      </c>
      <c r="K207" s="99">
        <f>'RSGen 1-7'!K207</f>
        <v>10000</v>
      </c>
      <c r="L207" s="99">
        <f>'RSGen 1-7'!L207</f>
        <v>10000</v>
      </c>
      <c r="M207" s="99">
        <f>'RSGen 1-7'!M207</f>
        <v>10000</v>
      </c>
      <c r="N207" s="99">
        <f>'RSGen 1-7'!N207</f>
        <v>10000</v>
      </c>
      <c r="O207" s="99">
        <f>'RSGen 1-7'!O207</f>
        <v>10000</v>
      </c>
      <c r="P207" s="99">
        <f>'RSGen 1-7'!P207</f>
        <v>10000</v>
      </c>
      <c r="Q207" s="99">
        <f>'RSGen 1-7'!Q207</f>
        <v>10000</v>
      </c>
      <c r="R207" s="99">
        <f>'RSGen 1-7'!R207</f>
        <v>10000</v>
      </c>
      <c r="AT207" s="308" t="str">
        <f t="shared" ref="AT207:BG207" si="203">AS207</f>
        <v/>
      </c>
      <c r="AU207" s="308" t="str">
        <f t="shared" si="203"/>
        <v/>
      </c>
      <c r="AV207" s="308" t="str">
        <f t="shared" si="203"/>
        <v/>
      </c>
      <c r="AW207" s="308" t="str">
        <f t="shared" si="203"/>
        <v/>
      </c>
      <c r="AX207" s="308" t="str">
        <f t="shared" si="203"/>
        <v/>
      </c>
      <c r="AY207" s="308" t="str">
        <f t="shared" si="203"/>
        <v/>
      </c>
      <c r="AZ207" s="308" t="str">
        <f t="shared" si="203"/>
        <v/>
      </c>
      <c r="BA207" s="308" t="str">
        <f t="shared" si="203"/>
        <v/>
      </c>
      <c r="BB207" s="308" t="str">
        <f t="shared" si="203"/>
        <v/>
      </c>
      <c r="BC207" s="308" t="str">
        <f t="shared" si="203"/>
        <v/>
      </c>
      <c r="BD207" s="308" t="str">
        <f t="shared" si="203"/>
        <v/>
      </c>
      <c r="BE207" s="308" t="str">
        <f t="shared" si="203"/>
        <v/>
      </c>
      <c r="BF207" s="308" t="str">
        <f t="shared" si="203"/>
        <v/>
      </c>
      <c r="BG207" s="308" t="str">
        <f t="shared" si="203"/>
        <v/>
      </c>
    </row>
    <row r="208" ht="12.75" customHeight="1" outlineLevel="1">
      <c r="A208" s="90"/>
      <c r="B208" s="90"/>
      <c r="C208" s="90" t="s">
        <v>749</v>
      </c>
      <c r="D208" s="90"/>
      <c r="E208" s="90"/>
      <c r="F208" s="90"/>
      <c r="G208" s="99">
        <f>'RSGen 1-7'!G208</f>
        <v>750</v>
      </c>
      <c r="H208" s="99">
        <f>'RSGen 1-7'!H208</f>
        <v>750</v>
      </c>
      <c r="I208" s="99">
        <f>'RSGen 1-7'!I208</f>
        <v>750</v>
      </c>
      <c r="J208" s="99">
        <f>'RSGen 1-7'!J208</f>
        <v>750</v>
      </c>
      <c r="K208" s="99">
        <f>'RSGen 1-7'!K208</f>
        <v>750</v>
      </c>
      <c r="L208" s="99">
        <f>'RSGen 1-7'!L208</f>
        <v>750</v>
      </c>
      <c r="M208" s="99">
        <f>'RSGen 1-7'!M208</f>
        <v>750</v>
      </c>
      <c r="N208" s="99">
        <f>'RSGen 1-7'!N208</f>
        <v>750</v>
      </c>
      <c r="O208" s="99">
        <f>'RSGen 1-7'!O208</f>
        <v>750</v>
      </c>
      <c r="P208" s="99">
        <f>'RSGen 1-7'!P208</f>
        <v>750</v>
      </c>
      <c r="Q208" s="99">
        <f>'RSGen 1-7'!Q208</f>
        <v>750</v>
      </c>
      <c r="R208" s="99">
        <f>'RSGen 1-7'!R208</f>
        <v>750</v>
      </c>
      <c r="AT208" s="308" t="str">
        <f t="shared" ref="AT208:BG208" si="204">AS208</f>
        <v/>
      </c>
      <c r="AU208" s="308" t="str">
        <f t="shared" si="204"/>
        <v/>
      </c>
      <c r="AV208" s="308" t="str">
        <f t="shared" si="204"/>
        <v/>
      </c>
      <c r="AW208" s="308" t="str">
        <f t="shared" si="204"/>
        <v/>
      </c>
      <c r="AX208" s="308" t="str">
        <f t="shared" si="204"/>
        <v/>
      </c>
      <c r="AY208" s="308" t="str">
        <f t="shared" si="204"/>
        <v/>
      </c>
      <c r="AZ208" s="308" t="str">
        <f t="shared" si="204"/>
        <v/>
      </c>
      <c r="BA208" s="308" t="str">
        <f t="shared" si="204"/>
        <v/>
      </c>
      <c r="BB208" s="308" t="str">
        <f t="shared" si="204"/>
        <v/>
      </c>
      <c r="BC208" s="308" t="str">
        <f t="shared" si="204"/>
        <v/>
      </c>
      <c r="BD208" s="308" t="str">
        <f t="shared" si="204"/>
        <v/>
      </c>
      <c r="BE208" s="308" t="str">
        <f t="shared" si="204"/>
        <v/>
      </c>
      <c r="BF208" s="308" t="str">
        <f t="shared" si="204"/>
        <v/>
      </c>
      <c r="BG208" s="308" t="str">
        <f t="shared" si="204"/>
        <v/>
      </c>
    </row>
    <row r="209" ht="12.75" customHeight="1" outlineLevel="1">
      <c r="A209" s="90"/>
      <c r="B209" s="90"/>
      <c r="C209" s="90" t="s">
        <v>750</v>
      </c>
      <c r="D209" s="90"/>
      <c r="E209" s="90"/>
      <c r="F209" s="90"/>
      <c r="G209" s="99">
        <f>'RSGen 1-7'!G209</f>
        <v>0</v>
      </c>
      <c r="H209" s="99">
        <f>'RSGen 1-7'!H209</f>
        <v>0</v>
      </c>
      <c r="I209" s="99">
        <f>'RSGen 1-7'!I209</f>
        <v>440</v>
      </c>
      <c r="J209" s="99">
        <f>'RSGen 1-7'!J209</f>
        <v>440</v>
      </c>
      <c r="K209" s="99">
        <f>'RSGen 1-7'!K209</f>
        <v>440</v>
      </c>
      <c r="L209" s="99">
        <f>'RSGen 1-7'!L209</f>
        <v>440</v>
      </c>
      <c r="M209" s="99">
        <f>'RSGen 1-7'!M209</f>
        <v>440</v>
      </c>
      <c r="N209" s="99">
        <f>'RSGen 1-7'!N209</f>
        <v>440</v>
      </c>
      <c r="O209" s="99">
        <f>'RSGen 1-7'!O209</f>
        <v>440</v>
      </c>
      <c r="P209" s="99">
        <f>'RSGen 1-7'!P209</f>
        <v>440</v>
      </c>
      <c r="Q209" s="99">
        <f>'RSGen 1-7'!Q209</f>
        <v>440</v>
      </c>
      <c r="R209" s="99">
        <f>'RSGen 1-7'!R209</f>
        <v>440</v>
      </c>
      <c r="AT209" s="308" t="str">
        <f t="shared" ref="AT209:BG209" si="205">AS209</f>
        <v/>
      </c>
      <c r="AU209" s="308" t="str">
        <f t="shared" si="205"/>
        <v/>
      </c>
      <c r="AV209" s="308" t="str">
        <f t="shared" si="205"/>
        <v/>
      </c>
      <c r="AW209" s="308" t="str">
        <f t="shared" si="205"/>
        <v/>
      </c>
      <c r="AX209" s="308" t="str">
        <f t="shared" si="205"/>
        <v/>
      </c>
      <c r="AY209" s="308" t="str">
        <f t="shared" si="205"/>
        <v/>
      </c>
      <c r="AZ209" s="308" t="str">
        <f t="shared" si="205"/>
        <v/>
      </c>
      <c r="BA209" s="308" t="str">
        <f t="shared" si="205"/>
        <v/>
      </c>
      <c r="BB209" s="308" t="str">
        <f t="shared" si="205"/>
        <v/>
      </c>
      <c r="BC209" s="308" t="str">
        <f t="shared" si="205"/>
        <v/>
      </c>
      <c r="BD209" s="308" t="str">
        <f t="shared" si="205"/>
        <v/>
      </c>
      <c r="BE209" s="308" t="str">
        <f t="shared" si="205"/>
        <v/>
      </c>
      <c r="BF209" s="308" t="str">
        <f t="shared" si="205"/>
        <v/>
      </c>
      <c r="BG209" s="308" t="str">
        <f t="shared" si="205"/>
        <v/>
      </c>
    </row>
    <row r="210" ht="12.75" customHeight="1" outlineLevel="1">
      <c r="A210" s="90"/>
      <c r="B210" s="90"/>
      <c r="C210" s="90"/>
      <c r="D210" s="90"/>
      <c r="E210" s="90"/>
      <c r="F210" s="90"/>
      <c r="G210" s="90"/>
      <c r="H210" s="90"/>
      <c r="I210" s="90"/>
      <c r="J210" s="90"/>
      <c r="K210" s="90"/>
      <c r="L210" s="90"/>
      <c r="M210" s="90"/>
      <c r="N210" s="90"/>
      <c r="O210" s="90"/>
      <c r="P210" s="90"/>
      <c r="Q210" s="90"/>
      <c r="R210" s="90"/>
      <c r="AT210" s="313"/>
      <c r="AU210" s="313"/>
      <c r="AV210" s="313"/>
      <c r="AW210" s="313"/>
      <c r="AX210" s="313"/>
      <c r="AY210" s="313"/>
      <c r="AZ210" s="313"/>
      <c r="BA210" s="313"/>
      <c r="BB210" s="313"/>
      <c r="BC210" s="313"/>
      <c r="BD210" s="313"/>
      <c r="BE210" s="313"/>
      <c r="BF210" s="313"/>
      <c r="BG210" s="313"/>
    </row>
    <row r="211" ht="12.75" customHeight="1" outlineLevel="1">
      <c r="A211" s="90"/>
      <c r="B211" s="67" t="s">
        <v>626</v>
      </c>
      <c r="C211" s="90"/>
      <c r="D211" s="90"/>
      <c r="E211" s="90"/>
      <c r="F211" s="90"/>
      <c r="G211" s="99"/>
      <c r="H211" s="99"/>
      <c r="I211" s="99"/>
      <c r="J211" s="99"/>
      <c r="K211" s="99"/>
      <c r="L211" s="99"/>
      <c r="M211" s="99"/>
      <c r="N211" s="99"/>
      <c r="O211" s="99"/>
      <c r="P211" s="99"/>
      <c r="Q211" s="99"/>
      <c r="R211" s="99"/>
      <c r="AT211" s="308"/>
      <c r="AU211" s="308"/>
      <c r="AV211" s="308"/>
      <c r="AW211" s="308"/>
      <c r="AX211" s="308"/>
      <c r="AY211" s="308"/>
      <c r="AZ211" s="308"/>
      <c r="BA211" s="308"/>
      <c r="BB211" s="308"/>
      <c r="BC211" s="308"/>
      <c r="BD211" s="308"/>
      <c r="BE211" s="308"/>
      <c r="BF211" s="308"/>
      <c r="BG211" s="308"/>
    </row>
    <row r="212" ht="12.75" customHeight="1" outlineLevel="1">
      <c r="A212" s="90"/>
      <c r="B212" s="90"/>
      <c r="C212" s="90" t="s">
        <v>751</v>
      </c>
      <c r="D212" s="90"/>
      <c r="E212" s="90"/>
      <c r="F212" s="90"/>
      <c r="G212" s="99" t="str">
        <f>'RSGen 1-7'!G212</f>
        <v/>
      </c>
      <c r="H212" s="99">
        <f>'RSGen 1-7'!H212</f>
        <v>0</v>
      </c>
      <c r="I212" s="99">
        <f>'RSGen 1-7'!I212</f>
        <v>3500</v>
      </c>
      <c r="J212" s="99">
        <f>'RSGen 1-7'!J212</f>
        <v>3500</v>
      </c>
      <c r="K212" s="99">
        <f>'RSGen 1-7'!K212</f>
        <v>3500</v>
      </c>
      <c r="L212" s="99">
        <f>'RSGen 1-7'!L212</f>
        <v>3500</v>
      </c>
      <c r="M212" s="99">
        <f>'RSGen 1-7'!M212</f>
        <v>3500</v>
      </c>
      <c r="N212" s="99">
        <f>'RSGen 1-7'!N212</f>
        <v>3500</v>
      </c>
      <c r="O212" s="99">
        <f>'RSGen 1-7'!O212</f>
        <v>3500</v>
      </c>
      <c r="P212" s="99">
        <f>'RSGen 1-7'!P212</f>
        <v>3500</v>
      </c>
      <c r="Q212" s="99">
        <f>'RSGen 1-7'!Q212</f>
        <v>3500</v>
      </c>
      <c r="R212" s="99">
        <f>'RSGen 1-7'!R212</f>
        <v>3500</v>
      </c>
      <c r="AT212" s="308" t="str">
        <f t="shared" ref="AT212:BG212" si="206">AS212</f>
        <v/>
      </c>
      <c r="AU212" s="308" t="str">
        <f t="shared" si="206"/>
        <v/>
      </c>
      <c r="AV212" s="308" t="str">
        <f t="shared" si="206"/>
        <v/>
      </c>
      <c r="AW212" s="308" t="str">
        <f t="shared" si="206"/>
        <v/>
      </c>
      <c r="AX212" s="308" t="str">
        <f t="shared" si="206"/>
        <v/>
      </c>
      <c r="AY212" s="308" t="str">
        <f t="shared" si="206"/>
        <v/>
      </c>
      <c r="AZ212" s="308" t="str">
        <f t="shared" si="206"/>
        <v/>
      </c>
      <c r="BA212" s="308" t="str">
        <f t="shared" si="206"/>
        <v/>
      </c>
      <c r="BB212" s="308" t="str">
        <f t="shared" si="206"/>
        <v/>
      </c>
      <c r="BC212" s="308" t="str">
        <f t="shared" si="206"/>
        <v/>
      </c>
      <c r="BD212" s="308" t="str">
        <f t="shared" si="206"/>
        <v/>
      </c>
      <c r="BE212" s="308" t="str">
        <f t="shared" si="206"/>
        <v/>
      </c>
      <c r="BF212" s="308" t="str">
        <f t="shared" si="206"/>
        <v/>
      </c>
      <c r="BG212" s="308" t="str">
        <f t="shared" si="206"/>
        <v/>
      </c>
    </row>
    <row r="213" ht="12.75" customHeight="1" outlineLevel="1">
      <c r="A213" s="90"/>
      <c r="B213" s="90"/>
      <c r="C213" s="90" t="s">
        <v>752</v>
      </c>
      <c r="D213" s="90"/>
      <c r="E213" s="90"/>
      <c r="F213" s="90"/>
      <c r="G213" s="99" t="str">
        <f>'RSGen 1-7'!G213</f>
        <v/>
      </c>
      <c r="H213" s="99">
        <f>'RSGen 1-7'!H213</f>
        <v>700</v>
      </c>
      <c r="I213" s="99">
        <f>'RSGen 1-7'!I213</f>
        <v>700</v>
      </c>
      <c r="J213" s="99">
        <f>'RSGen 1-7'!J213</f>
        <v>700</v>
      </c>
      <c r="K213" s="99">
        <f>'RSGen 1-7'!K213</f>
        <v>700</v>
      </c>
      <c r="L213" s="99">
        <f>'RSGen 1-7'!L213</f>
        <v>700</v>
      </c>
      <c r="M213" s="99">
        <f>'RSGen 1-7'!M213</f>
        <v>700</v>
      </c>
      <c r="N213" s="99">
        <f>'RSGen 1-7'!N213</f>
        <v>700</v>
      </c>
      <c r="O213" s="99">
        <f>'RSGen 1-7'!O213</f>
        <v>700</v>
      </c>
      <c r="P213" s="99">
        <f>'RSGen 1-7'!P213</f>
        <v>700</v>
      </c>
      <c r="Q213" s="99">
        <f>'RSGen 1-7'!Q213</f>
        <v>700</v>
      </c>
      <c r="R213" s="99">
        <f>'RSGen 1-7'!R213</f>
        <v>700</v>
      </c>
      <c r="AT213" s="308" t="str">
        <f t="shared" ref="AT213:BG213" si="207">AS213</f>
        <v/>
      </c>
      <c r="AU213" s="308" t="str">
        <f t="shared" si="207"/>
        <v/>
      </c>
      <c r="AV213" s="308" t="str">
        <f t="shared" si="207"/>
        <v/>
      </c>
      <c r="AW213" s="308" t="str">
        <f t="shared" si="207"/>
        <v/>
      </c>
      <c r="AX213" s="308" t="str">
        <f t="shared" si="207"/>
        <v/>
      </c>
      <c r="AY213" s="308" t="str">
        <f t="shared" si="207"/>
        <v/>
      </c>
      <c r="AZ213" s="308" t="str">
        <f t="shared" si="207"/>
        <v/>
      </c>
      <c r="BA213" s="308" t="str">
        <f t="shared" si="207"/>
        <v/>
      </c>
      <c r="BB213" s="308" t="str">
        <f t="shared" si="207"/>
        <v/>
      </c>
      <c r="BC213" s="308" t="str">
        <f t="shared" si="207"/>
        <v/>
      </c>
      <c r="BD213" s="308" t="str">
        <f t="shared" si="207"/>
        <v/>
      </c>
      <c r="BE213" s="308" t="str">
        <f t="shared" si="207"/>
        <v/>
      </c>
      <c r="BF213" s="308" t="str">
        <f t="shared" si="207"/>
        <v/>
      </c>
      <c r="BG213" s="308" t="str">
        <f t="shared" si="207"/>
        <v/>
      </c>
    </row>
    <row r="214" ht="12.75" customHeight="1" outlineLevel="1">
      <c r="A214" s="90"/>
      <c r="B214" s="90"/>
      <c r="C214" s="90" t="s">
        <v>753</v>
      </c>
      <c r="D214" s="90"/>
      <c r="E214" s="90"/>
      <c r="F214" s="90"/>
      <c r="G214" s="99" t="str">
        <f>'RSGen 1-7'!G214</f>
        <v/>
      </c>
      <c r="H214" s="99" t="str">
        <f>'RSGen 1-7'!H214</f>
        <v/>
      </c>
      <c r="I214" s="99" t="str">
        <f>'RSGen 1-7'!I214</f>
        <v/>
      </c>
      <c r="J214" s="99" t="str">
        <f>'RSGen 1-7'!J214</f>
        <v/>
      </c>
      <c r="K214" s="99" t="str">
        <f>'RSGen 1-7'!K214</f>
        <v/>
      </c>
      <c r="L214" s="99" t="str">
        <f>'RSGen 1-7'!L214</f>
        <v/>
      </c>
      <c r="M214" s="99" t="str">
        <f>'RSGen 1-7'!M214</f>
        <v/>
      </c>
      <c r="N214" s="99" t="str">
        <f>'RSGen 1-7'!N214</f>
        <v/>
      </c>
      <c r="O214" s="99" t="str">
        <f>'RSGen 1-7'!O214</f>
        <v/>
      </c>
      <c r="P214" s="99" t="str">
        <f>'RSGen 1-7'!P214</f>
        <v/>
      </c>
      <c r="Q214" s="99" t="str">
        <f>'RSGen 1-7'!Q214</f>
        <v/>
      </c>
      <c r="R214" s="99" t="str">
        <f>'RSGen 1-7'!R214</f>
        <v/>
      </c>
      <c r="AT214" s="308" t="str">
        <f t="shared" ref="AT214:BG214" si="208">AS214</f>
        <v/>
      </c>
      <c r="AU214" s="308" t="str">
        <f t="shared" si="208"/>
        <v/>
      </c>
      <c r="AV214" s="308" t="str">
        <f t="shared" si="208"/>
        <v/>
      </c>
      <c r="AW214" s="308" t="str">
        <f t="shared" si="208"/>
        <v/>
      </c>
      <c r="AX214" s="308" t="str">
        <f t="shared" si="208"/>
        <v/>
      </c>
      <c r="AY214" s="308" t="str">
        <f t="shared" si="208"/>
        <v/>
      </c>
      <c r="AZ214" s="308" t="str">
        <f t="shared" si="208"/>
        <v/>
      </c>
      <c r="BA214" s="308" t="str">
        <f t="shared" si="208"/>
        <v/>
      </c>
      <c r="BB214" s="308" t="str">
        <f t="shared" si="208"/>
        <v/>
      </c>
      <c r="BC214" s="308" t="str">
        <f t="shared" si="208"/>
        <v/>
      </c>
      <c r="BD214" s="308" t="str">
        <f t="shared" si="208"/>
        <v/>
      </c>
      <c r="BE214" s="308" t="str">
        <f t="shared" si="208"/>
        <v/>
      </c>
      <c r="BF214" s="308" t="str">
        <f t="shared" si="208"/>
        <v/>
      </c>
      <c r="BG214" s="308" t="str">
        <f t="shared" si="208"/>
        <v/>
      </c>
    </row>
    <row r="215" ht="12.75" customHeight="1" outlineLevel="1">
      <c r="A215" s="90"/>
      <c r="B215" s="90"/>
      <c r="C215" s="90" t="s">
        <v>754</v>
      </c>
      <c r="D215" s="90"/>
      <c r="E215" s="90"/>
      <c r="F215" s="90"/>
      <c r="G215" s="99" t="str">
        <f>'RSGen 1-7'!G215</f>
        <v/>
      </c>
      <c r="H215" s="99">
        <f>'RSGen 1-7'!H215</f>
        <v>0</v>
      </c>
      <c r="I215" s="99">
        <f>'RSGen 1-7'!I215</f>
        <v>25000</v>
      </c>
      <c r="J215" s="99">
        <f>'RSGen 1-7'!J215</f>
        <v>25000</v>
      </c>
      <c r="K215" s="99">
        <f>'RSGen 1-7'!K215</f>
        <v>25000</v>
      </c>
      <c r="L215" s="99">
        <f>'RSGen 1-7'!L215</f>
        <v>25000</v>
      </c>
      <c r="M215" s="99">
        <f>'RSGen 1-7'!M215</f>
        <v>25000</v>
      </c>
      <c r="N215" s="99">
        <f>'RSGen 1-7'!N215</f>
        <v>25000</v>
      </c>
      <c r="O215" s="99">
        <f>'RSGen 1-7'!O215</f>
        <v>25000</v>
      </c>
      <c r="P215" s="99">
        <f>'RSGen 1-7'!P215</f>
        <v>25000</v>
      </c>
      <c r="Q215" s="99">
        <f>'RSGen 1-7'!Q215</f>
        <v>25000</v>
      </c>
      <c r="R215" s="99">
        <f>'RSGen 1-7'!R215</f>
        <v>25000</v>
      </c>
      <c r="AT215" s="308" t="str">
        <f t="shared" ref="AT215:BG215" si="209">AS215</f>
        <v/>
      </c>
      <c r="AU215" s="308" t="str">
        <f t="shared" si="209"/>
        <v/>
      </c>
      <c r="AV215" s="308" t="str">
        <f t="shared" si="209"/>
        <v/>
      </c>
      <c r="AW215" s="308" t="str">
        <f t="shared" si="209"/>
        <v/>
      </c>
      <c r="AX215" s="308" t="str">
        <f t="shared" si="209"/>
        <v/>
      </c>
      <c r="AY215" s="308" t="str">
        <f t="shared" si="209"/>
        <v/>
      </c>
      <c r="AZ215" s="308" t="str">
        <f t="shared" si="209"/>
        <v/>
      </c>
      <c r="BA215" s="308" t="str">
        <f t="shared" si="209"/>
        <v/>
      </c>
      <c r="BB215" s="308" t="str">
        <f t="shared" si="209"/>
        <v/>
      </c>
      <c r="BC215" s="308" t="str">
        <f t="shared" si="209"/>
        <v/>
      </c>
      <c r="BD215" s="308" t="str">
        <f t="shared" si="209"/>
        <v/>
      </c>
      <c r="BE215" s="308" t="str">
        <f t="shared" si="209"/>
        <v/>
      </c>
      <c r="BF215" s="308" t="str">
        <f t="shared" si="209"/>
        <v/>
      </c>
      <c r="BG215" s="308" t="str">
        <f t="shared" si="209"/>
        <v/>
      </c>
    </row>
    <row r="216" ht="12.75" customHeight="1" outlineLevel="1">
      <c r="A216" s="90"/>
      <c r="B216" s="90"/>
      <c r="C216" s="90" t="s">
        <v>755</v>
      </c>
      <c r="D216" s="90"/>
      <c r="E216" s="90"/>
      <c r="F216" s="90"/>
      <c r="G216" s="99" t="str">
        <f>'RSGen 1-7'!G216</f>
        <v/>
      </c>
      <c r="H216" s="99">
        <f>'RSGen 1-7'!H216</f>
        <v>0</v>
      </c>
      <c r="I216" s="99">
        <f>'RSGen 1-7'!I216</f>
        <v>55000</v>
      </c>
      <c r="J216" s="99">
        <f>'RSGen 1-7'!J216</f>
        <v>65000</v>
      </c>
      <c r="K216" s="99">
        <f>'RSGen 1-7'!K216</f>
        <v>65000</v>
      </c>
      <c r="L216" s="99">
        <f>'RSGen 1-7'!L216</f>
        <v>65000</v>
      </c>
      <c r="M216" s="99">
        <f>'RSGen 1-7'!M216</f>
        <v>65000</v>
      </c>
      <c r="N216" s="99">
        <f>'RSGen 1-7'!N216</f>
        <v>65000</v>
      </c>
      <c r="O216" s="99">
        <f>'RSGen 1-7'!O216</f>
        <v>65000</v>
      </c>
      <c r="P216" s="99">
        <f>'RSGen 1-7'!P216</f>
        <v>65000</v>
      </c>
      <c r="Q216" s="99">
        <f>'RSGen 1-7'!Q216</f>
        <v>65000</v>
      </c>
      <c r="R216" s="99">
        <f>'RSGen 1-7'!R216</f>
        <v>65000</v>
      </c>
      <c r="AT216" s="308" t="str">
        <f t="shared" ref="AT216:BG216" si="210">AS216</f>
        <v/>
      </c>
      <c r="AU216" s="308" t="str">
        <f t="shared" si="210"/>
        <v/>
      </c>
      <c r="AV216" s="308" t="str">
        <f t="shared" si="210"/>
        <v/>
      </c>
      <c r="AW216" s="308" t="str">
        <f t="shared" si="210"/>
        <v/>
      </c>
      <c r="AX216" s="308" t="str">
        <f t="shared" si="210"/>
        <v/>
      </c>
      <c r="AY216" s="308" t="str">
        <f t="shared" si="210"/>
        <v/>
      </c>
      <c r="AZ216" s="308" t="str">
        <f t="shared" si="210"/>
        <v/>
      </c>
      <c r="BA216" s="308" t="str">
        <f t="shared" si="210"/>
        <v/>
      </c>
      <c r="BB216" s="308" t="str">
        <f t="shared" si="210"/>
        <v/>
      </c>
      <c r="BC216" s="308" t="str">
        <f t="shared" si="210"/>
        <v/>
      </c>
      <c r="BD216" s="308" t="str">
        <f t="shared" si="210"/>
        <v/>
      </c>
      <c r="BE216" s="308" t="str">
        <f t="shared" si="210"/>
        <v/>
      </c>
      <c r="BF216" s="308" t="str">
        <f t="shared" si="210"/>
        <v/>
      </c>
      <c r="BG216" s="308" t="str">
        <f t="shared" si="210"/>
        <v/>
      </c>
    </row>
    <row r="217" ht="12.75" customHeight="1" outlineLevel="1">
      <c r="A217" s="90"/>
      <c r="B217" s="90"/>
      <c r="C217" s="90" t="s">
        <v>756</v>
      </c>
      <c r="D217" s="90"/>
      <c r="E217" s="90"/>
      <c r="F217" s="90"/>
      <c r="G217" s="99"/>
      <c r="H217" s="99">
        <f t="shared" ref="H217:R217" si="211">200*10</f>
        <v>2000</v>
      </c>
      <c r="I217" s="99">
        <f t="shared" si="211"/>
        <v>2000</v>
      </c>
      <c r="J217" s="99">
        <f t="shared" si="211"/>
        <v>2000</v>
      </c>
      <c r="K217" s="99">
        <f t="shared" si="211"/>
        <v>2000</v>
      </c>
      <c r="L217" s="99">
        <f t="shared" si="211"/>
        <v>2000</v>
      </c>
      <c r="M217" s="99">
        <f t="shared" si="211"/>
        <v>2000</v>
      </c>
      <c r="N217" s="99">
        <f t="shared" si="211"/>
        <v>2000</v>
      </c>
      <c r="O217" s="99">
        <f t="shared" si="211"/>
        <v>2000</v>
      </c>
      <c r="P217" s="99">
        <f t="shared" si="211"/>
        <v>2000</v>
      </c>
      <c r="Q217" s="99">
        <f t="shared" si="211"/>
        <v>2000</v>
      </c>
      <c r="R217" s="99">
        <f t="shared" si="211"/>
        <v>2000</v>
      </c>
      <c r="AT217" s="308"/>
      <c r="AU217" s="308"/>
      <c r="AV217" s="308"/>
      <c r="AW217" s="308"/>
      <c r="AX217" s="308"/>
      <c r="AY217" s="308"/>
      <c r="AZ217" s="308"/>
      <c r="BA217" s="308"/>
      <c r="BB217" s="308"/>
      <c r="BC217" s="308"/>
      <c r="BD217" s="308"/>
      <c r="BE217" s="308"/>
      <c r="BF217" s="308"/>
      <c r="BG217" s="308"/>
    </row>
    <row r="218" ht="12.75" customHeight="1" outlineLevel="1">
      <c r="A218" s="90"/>
      <c r="B218" s="90"/>
      <c r="C218" s="90" t="s">
        <v>757</v>
      </c>
      <c r="D218" s="90"/>
      <c r="E218" s="90"/>
      <c r="F218" s="90"/>
      <c r="G218" s="99"/>
      <c r="H218" s="99"/>
      <c r="I218" s="99"/>
      <c r="J218" s="99"/>
      <c r="K218" s="99"/>
      <c r="L218" s="99"/>
      <c r="M218" s="99"/>
      <c r="N218" s="99"/>
      <c r="O218" s="99"/>
      <c r="P218" s="99"/>
      <c r="Q218" s="99"/>
      <c r="R218" s="99"/>
      <c r="AT218" s="308"/>
      <c r="AU218" s="308"/>
      <c r="AV218" s="308"/>
      <c r="AW218" s="308"/>
      <c r="AX218" s="308"/>
      <c r="AY218" s="308"/>
      <c r="AZ218" s="308"/>
      <c r="BA218" s="308"/>
      <c r="BB218" s="308"/>
      <c r="BC218" s="308"/>
      <c r="BD218" s="308"/>
      <c r="BE218" s="308"/>
      <c r="BF218" s="308"/>
      <c r="BG218" s="308"/>
    </row>
    <row r="219" ht="12.75" customHeight="1" outlineLevel="1">
      <c r="A219" s="90"/>
      <c r="B219" s="90"/>
      <c r="C219" s="90"/>
      <c r="D219" s="90" t="s">
        <v>339</v>
      </c>
      <c r="E219" s="90"/>
      <c r="F219" s="90"/>
      <c r="G219" s="99" t="str">
        <f>'RSGen 1-7'!G219</f>
        <v/>
      </c>
      <c r="H219" s="99">
        <f>'RSGen 1-7'!H219</f>
        <v>3280</v>
      </c>
      <c r="I219" s="99">
        <f>'RSGen 1-7'!I219</f>
        <v>3280</v>
      </c>
      <c r="J219" s="99">
        <f>'RSGen 1-7'!J219</f>
        <v>600</v>
      </c>
      <c r="K219" s="99">
        <f>'RSGen 1-7'!K219</f>
        <v>600</v>
      </c>
      <c r="L219" s="99">
        <f>'RSGen 1-7'!L219</f>
        <v>600</v>
      </c>
      <c r="M219" s="99">
        <f>'RSGen 1-7'!M219</f>
        <v>600</v>
      </c>
      <c r="N219" s="99">
        <f>'RSGen 1-7'!N219</f>
        <v>600</v>
      </c>
      <c r="O219" s="99">
        <f>'RSGen 1-7'!O219</f>
        <v>600</v>
      </c>
      <c r="P219" s="99">
        <f>'RSGen 1-7'!P219</f>
        <v>600</v>
      </c>
      <c r="Q219" s="99">
        <f>'RSGen 1-7'!Q219</f>
        <v>600</v>
      </c>
      <c r="R219" s="99">
        <f>'RSGen 1-7'!R219</f>
        <v>600</v>
      </c>
      <c r="AT219" s="308" t="str">
        <f t="shared" ref="AT219:BG219" si="212">AS219</f>
        <v/>
      </c>
      <c r="AU219" s="308" t="str">
        <f t="shared" si="212"/>
        <v/>
      </c>
      <c r="AV219" s="308" t="str">
        <f t="shared" si="212"/>
        <v/>
      </c>
      <c r="AW219" s="308" t="str">
        <f t="shared" si="212"/>
        <v/>
      </c>
      <c r="AX219" s="308" t="str">
        <f t="shared" si="212"/>
        <v/>
      </c>
      <c r="AY219" s="308" t="str">
        <f t="shared" si="212"/>
        <v/>
      </c>
      <c r="AZ219" s="308" t="str">
        <f t="shared" si="212"/>
        <v/>
      </c>
      <c r="BA219" s="308" t="str">
        <f t="shared" si="212"/>
        <v/>
      </c>
      <c r="BB219" s="308" t="str">
        <f t="shared" si="212"/>
        <v/>
      </c>
      <c r="BC219" s="308" t="str">
        <f t="shared" si="212"/>
        <v/>
      </c>
      <c r="BD219" s="308" t="str">
        <f t="shared" si="212"/>
        <v/>
      </c>
      <c r="BE219" s="308" t="str">
        <f t="shared" si="212"/>
        <v/>
      </c>
      <c r="BF219" s="308" t="str">
        <f t="shared" si="212"/>
        <v/>
      </c>
      <c r="BG219" s="308" t="str">
        <f t="shared" si="212"/>
        <v/>
      </c>
    </row>
    <row r="220" ht="12.75" customHeight="1" outlineLevel="1">
      <c r="A220" s="90"/>
      <c r="B220" s="90"/>
      <c r="C220" s="90"/>
      <c r="D220" s="90" t="s">
        <v>758</v>
      </c>
      <c r="E220" s="90"/>
      <c r="F220" s="90"/>
      <c r="G220" s="99" t="str">
        <f>'RSGen 1-7'!G220</f>
        <v/>
      </c>
      <c r="H220" s="99">
        <f>'RSGen 1-7'!H220</f>
        <v>0</v>
      </c>
      <c r="I220" s="99">
        <f>'RSGen 1-7'!I220</f>
        <v>20000</v>
      </c>
      <c r="J220" s="99">
        <f>'RSGen 1-7'!J220</f>
        <v>30000</v>
      </c>
      <c r="K220" s="99">
        <f>'RSGen 1-7'!K220</f>
        <v>30000</v>
      </c>
      <c r="L220" s="99">
        <f>'RSGen 1-7'!L220</f>
        <v>30000</v>
      </c>
      <c r="M220" s="99">
        <f>'RSGen 1-7'!M220</f>
        <v>30000</v>
      </c>
      <c r="N220" s="99">
        <f>'RSGen 1-7'!N220</f>
        <v>30000</v>
      </c>
      <c r="O220" s="99">
        <f>'RSGen 1-7'!O220</f>
        <v>30000</v>
      </c>
      <c r="P220" s="93">
        <f>'RSGen 1-7'!P220</f>
        <v>30000</v>
      </c>
      <c r="Q220" s="93">
        <f>'RSGen 1-7'!Q220</f>
        <v>30000</v>
      </c>
      <c r="R220" s="93">
        <f>'RSGen 1-7'!R220</f>
        <v>30000</v>
      </c>
      <c r="S220" s="93"/>
      <c r="T220" s="93"/>
      <c r="U220" s="93"/>
      <c r="V220" s="93"/>
      <c r="W220" s="93"/>
      <c r="X220" s="93"/>
      <c r="Y220" s="93"/>
      <c r="Z220" s="93"/>
      <c r="AA220" s="93"/>
      <c r="AB220" s="93"/>
      <c r="AC220" s="93"/>
      <c r="AD220" s="93"/>
      <c r="AE220" s="93"/>
      <c r="AF220" s="93"/>
      <c r="AG220" s="93"/>
      <c r="AH220" s="93"/>
      <c r="AI220" s="93"/>
      <c r="AJ220" s="93"/>
      <c r="AK220" s="93"/>
      <c r="AL220" s="93"/>
      <c r="AM220" s="93"/>
      <c r="AN220" s="93"/>
      <c r="AO220" s="93"/>
      <c r="AP220" s="93"/>
      <c r="AQ220" s="93"/>
      <c r="AR220" s="93"/>
      <c r="AS220" s="93"/>
      <c r="AT220" s="315" t="str">
        <f t="shared" ref="AT220:BG220" si="213">AS220</f>
        <v/>
      </c>
      <c r="AU220" s="315" t="str">
        <f t="shared" si="213"/>
        <v/>
      </c>
      <c r="AV220" s="315" t="str">
        <f t="shared" si="213"/>
        <v/>
      </c>
      <c r="AW220" s="315" t="str">
        <f t="shared" si="213"/>
        <v/>
      </c>
      <c r="AX220" s="315" t="str">
        <f t="shared" si="213"/>
        <v/>
      </c>
      <c r="AY220" s="315" t="str">
        <f t="shared" si="213"/>
        <v/>
      </c>
      <c r="AZ220" s="308" t="str">
        <f t="shared" si="213"/>
        <v/>
      </c>
      <c r="BA220" s="308" t="str">
        <f t="shared" si="213"/>
        <v/>
      </c>
      <c r="BB220" s="308" t="str">
        <f t="shared" si="213"/>
        <v/>
      </c>
      <c r="BC220" s="308" t="str">
        <f t="shared" si="213"/>
        <v/>
      </c>
      <c r="BD220" s="308" t="str">
        <f t="shared" si="213"/>
        <v/>
      </c>
      <c r="BE220" s="308" t="str">
        <f t="shared" si="213"/>
        <v/>
      </c>
      <c r="BF220" s="308" t="str">
        <f t="shared" si="213"/>
        <v/>
      </c>
      <c r="BG220" s="308" t="str">
        <f t="shared" si="213"/>
        <v/>
      </c>
    </row>
    <row r="221" ht="12.75" customHeight="1" outlineLevel="1">
      <c r="A221" s="90"/>
      <c r="B221" s="90"/>
      <c r="C221" s="90"/>
      <c r="D221" s="90" t="s">
        <v>376</v>
      </c>
      <c r="E221" s="90"/>
      <c r="F221" s="90"/>
      <c r="G221" s="99" t="str">
        <f>'RSGen 1-7'!G221</f>
        <v/>
      </c>
      <c r="H221" s="99">
        <f>'RSGen 1-7'!H221</f>
        <v>0</v>
      </c>
      <c r="I221" s="99">
        <f>'RSGen 1-7'!I221</f>
        <v>8000</v>
      </c>
      <c r="J221" s="99">
        <f>'RSGen 1-7'!J221</f>
        <v>8000</v>
      </c>
      <c r="K221" s="99">
        <f>'RSGen 1-7'!K221</f>
        <v>8000</v>
      </c>
      <c r="L221" s="99">
        <f>'RSGen 1-7'!L221</f>
        <v>8000</v>
      </c>
      <c r="M221" s="99">
        <f>'RSGen 1-7'!M221</f>
        <v>8000</v>
      </c>
      <c r="N221" s="99">
        <f>'RSGen 1-7'!N221</f>
        <v>8000</v>
      </c>
      <c r="O221" s="99">
        <f>'RSGen 1-7'!O221</f>
        <v>8000</v>
      </c>
      <c r="P221" s="93">
        <f>'RSGen 1-7'!P221</f>
        <v>8000</v>
      </c>
      <c r="Q221" s="93">
        <f>'RSGen 1-7'!Q221</f>
        <v>8000</v>
      </c>
      <c r="R221" s="93">
        <f>'RSGen 1-7'!R221</f>
        <v>8000</v>
      </c>
      <c r="S221" s="93"/>
      <c r="T221" s="93"/>
      <c r="U221" s="93"/>
      <c r="V221" s="93"/>
      <c r="W221" s="93"/>
      <c r="X221" s="93"/>
      <c r="Y221" s="93"/>
      <c r="Z221" s="93"/>
      <c r="AA221" s="93"/>
      <c r="AB221" s="93"/>
      <c r="AC221" s="93"/>
      <c r="AD221" s="93"/>
      <c r="AE221" s="93"/>
      <c r="AF221" s="93"/>
      <c r="AG221" s="93"/>
      <c r="AH221" s="93"/>
      <c r="AI221" s="93"/>
      <c r="AJ221" s="93"/>
      <c r="AK221" s="93"/>
      <c r="AL221" s="93"/>
      <c r="AM221" s="93"/>
      <c r="AN221" s="93"/>
      <c r="AO221" s="93"/>
      <c r="AP221" s="93"/>
      <c r="AQ221" s="93"/>
      <c r="AR221" s="93"/>
      <c r="AS221" s="93"/>
      <c r="AT221" s="315" t="str">
        <f t="shared" ref="AT221:BG221" si="214">AS221</f>
        <v/>
      </c>
      <c r="AU221" s="315" t="str">
        <f t="shared" si="214"/>
        <v/>
      </c>
      <c r="AV221" s="315" t="str">
        <f t="shared" si="214"/>
        <v/>
      </c>
      <c r="AW221" s="315" t="str">
        <f t="shared" si="214"/>
        <v/>
      </c>
      <c r="AX221" s="315" t="str">
        <f t="shared" si="214"/>
        <v/>
      </c>
      <c r="AY221" s="315" t="str">
        <f t="shared" si="214"/>
        <v/>
      </c>
      <c r="AZ221" s="308" t="str">
        <f t="shared" si="214"/>
        <v/>
      </c>
      <c r="BA221" s="308" t="str">
        <f t="shared" si="214"/>
        <v/>
      </c>
      <c r="BB221" s="308" t="str">
        <f t="shared" si="214"/>
        <v/>
      </c>
      <c r="BC221" s="308" t="str">
        <f t="shared" si="214"/>
        <v/>
      </c>
      <c r="BD221" s="308" t="str">
        <f t="shared" si="214"/>
        <v/>
      </c>
      <c r="BE221" s="308" t="str">
        <f t="shared" si="214"/>
        <v/>
      </c>
      <c r="BF221" s="308" t="str">
        <f t="shared" si="214"/>
        <v/>
      </c>
      <c r="BG221" s="308" t="str">
        <f t="shared" si="214"/>
        <v/>
      </c>
    </row>
    <row r="222" ht="12.75" customHeight="1" outlineLevel="1">
      <c r="A222" s="90"/>
      <c r="B222" s="90"/>
      <c r="C222" s="90"/>
      <c r="D222" s="90" t="s">
        <v>759</v>
      </c>
      <c r="E222" s="90"/>
      <c r="F222" s="90"/>
      <c r="G222" s="99" t="str">
        <f>'RSGen 1-7'!G222</f>
        <v/>
      </c>
      <c r="H222" s="99">
        <f>'RSGen 1-7'!H222</f>
        <v>2500</v>
      </c>
      <c r="I222" s="99">
        <f>'RSGen 1-7'!I222</f>
        <v>1000</v>
      </c>
      <c r="J222" s="99">
        <f>'RSGen 1-7'!J222</f>
        <v>1000</v>
      </c>
      <c r="K222" s="99">
        <f>'RSGen 1-7'!K222</f>
        <v>1000</v>
      </c>
      <c r="L222" s="99">
        <f>'RSGen 1-7'!L222</f>
        <v>1000</v>
      </c>
      <c r="M222" s="99">
        <f>'RSGen 1-7'!M222</f>
        <v>1000</v>
      </c>
      <c r="N222" s="99">
        <f>'RSGen 1-7'!N222</f>
        <v>1000</v>
      </c>
      <c r="O222" s="99">
        <f>'RSGen 1-7'!O222</f>
        <v>1000</v>
      </c>
      <c r="P222" s="93">
        <f>'RSGen 1-7'!P222</f>
        <v>1000</v>
      </c>
      <c r="Q222" s="93">
        <f>'RSGen 1-7'!Q222</f>
        <v>1000</v>
      </c>
      <c r="R222" s="93">
        <f>'RSGen 1-7'!R222</f>
        <v>1000</v>
      </c>
      <c r="S222" s="93"/>
      <c r="T222" s="93"/>
      <c r="U222" s="93"/>
      <c r="V222" s="93"/>
      <c r="W222" s="93"/>
      <c r="X222" s="93"/>
      <c r="Y222" s="93"/>
      <c r="Z222" s="93"/>
      <c r="AA222" s="93"/>
      <c r="AB222" s="93"/>
      <c r="AC222" s="93"/>
      <c r="AD222" s="93"/>
      <c r="AE222" s="93"/>
      <c r="AF222" s="93"/>
      <c r="AG222" s="93"/>
      <c r="AH222" s="93"/>
      <c r="AI222" s="93"/>
      <c r="AJ222" s="93"/>
      <c r="AK222" s="93"/>
      <c r="AL222" s="93"/>
      <c r="AM222" s="93"/>
      <c r="AN222" s="93"/>
      <c r="AO222" s="93"/>
      <c r="AP222" s="93"/>
      <c r="AQ222" s="93"/>
      <c r="AR222" s="93"/>
      <c r="AS222" s="93"/>
      <c r="AT222" s="315" t="str">
        <f t="shared" ref="AT222:BG222" si="215">AS222</f>
        <v/>
      </c>
      <c r="AU222" s="315" t="str">
        <f t="shared" si="215"/>
        <v/>
      </c>
      <c r="AV222" s="315" t="str">
        <f t="shared" si="215"/>
        <v/>
      </c>
      <c r="AW222" s="315" t="str">
        <f t="shared" si="215"/>
        <v/>
      </c>
      <c r="AX222" s="315" t="str">
        <f t="shared" si="215"/>
        <v/>
      </c>
      <c r="AY222" s="315" t="str">
        <f t="shared" si="215"/>
        <v/>
      </c>
      <c r="AZ222" s="308" t="str">
        <f t="shared" si="215"/>
        <v/>
      </c>
      <c r="BA222" s="308" t="str">
        <f t="shared" si="215"/>
        <v/>
      </c>
      <c r="BB222" s="308" t="str">
        <f t="shared" si="215"/>
        <v/>
      </c>
      <c r="BC222" s="308" t="str">
        <f t="shared" si="215"/>
        <v/>
      </c>
      <c r="BD222" s="308" t="str">
        <f t="shared" si="215"/>
        <v/>
      </c>
      <c r="BE222" s="308" t="str">
        <f t="shared" si="215"/>
        <v/>
      </c>
      <c r="BF222" s="308" t="str">
        <f t="shared" si="215"/>
        <v/>
      </c>
      <c r="BG222" s="308" t="str">
        <f t="shared" si="215"/>
        <v/>
      </c>
    </row>
    <row r="223" ht="12.75" customHeight="1" outlineLevel="1">
      <c r="A223" s="90"/>
      <c r="B223" s="90"/>
      <c r="C223" s="90"/>
      <c r="D223" s="90" t="s">
        <v>760</v>
      </c>
      <c r="E223" s="90"/>
      <c r="F223" s="90"/>
      <c r="G223" s="99" t="str">
        <f>'RSGen 1-7'!G223</f>
        <v/>
      </c>
      <c r="H223" s="99">
        <f>'RSGen 1-7'!H223</f>
        <v>0</v>
      </c>
      <c r="I223" s="99">
        <f>'RSGen 1-7'!I223</f>
        <v>5000</v>
      </c>
      <c r="J223" s="99">
        <f>'RSGen 1-7'!J223</f>
        <v>5000</v>
      </c>
      <c r="K223" s="99">
        <f>'RSGen 1-7'!K223</f>
        <v>5000</v>
      </c>
      <c r="L223" s="99">
        <f>'RSGen 1-7'!L223</f>
        <v>5000</v>
      </c>
      <c r="M223" s="99">
        <f>'RSGen 1-7'!M223</f>
        <v>5000</v>
      </c>
      <c r="N223" s="99">
        <f>'RSGen 1-7'!N223</f>
        <v>5000</v>
      </c>
      <c r="O223" s="99">
        <f>'RSGen 1-7'!O223</f>
        <v>5000</v>
      </c>
      <c r="P223" s="93">
        <f>'RSGen 1-7'!P223</f>
        <v>5000</v>
      </c>
      <c r="Q223" s="93">
        <f>'RSGen 1-7'!Q223</f>
        <v>5000</v>
      </c>
      <c r="R223" s="93">
        <f>'RSGen 1-7'!R223</f>
        <v>5000</v>
      </c>
      <c r="S223" s="93"/>
      <c r="T223" s="93"/>
      <c r="U223" s="93"/>
      <c r="V223" s="93"/>
      <c r="W223" s="93"/>
      <c r="X223" s="93"/>
      <c r="Y223" s="93"/>
      <c r="Z223" s="93"/>
      <c r="AA223" s="93"/>
      <c r="AB223" s="93"/>
      <c r="AC223" s="93"/>
      <c r="AD223" s="93"/>
      <c r="AE223" s="93"/>
      <c r="AF223" s="93"/>
      <c r="AG223" s="93"/>
      <c r="AH223" s="93"/>
      <c r="AI223" s="93"/>
      <c r="AJ223" s="93"/>
      <c r="AK223" s="93"/>
      <c r="AL223" s="93"/>
      <c r="AM223" s="93"/>
      <c r="AN223" s="93"/>
      <c r="AO223" s="93"/>
      <c r="AP223" s="93"/>
      <c r="AQ223" s="93"/>
      <c r="AR223" s="93"/>
      <c r="AS223" s="93"/>
      <c r="AT223" s="315" t="str">
        <f t="shared" ref="AT223:BG223" si="216">AS223</f>
        <v/>
      </c>
      <c r="AU223" s="315" t="str">
        <f t="shared" si="216"/>
        <v/>
      </c>
      <c r="AV223" s="315" t="str">
        <f t="shared" si="216"/>
        <v/>
      </c>
      <c r="AW223" s="315" t="str">
        <f t="shared" si="216"/>
        <v/>
      </c>
      <c r="AX223" s="315" t="str">
        <f t="shared" si="216"/>
        <v/>
      </c>
      <c r="AY223" s="315" t="str">
        <f t="shared" si="216"/>
        <v/>
      </c>
      <c r="AZ223" s="308" t="str">
        <f t="shared" si="216"/>
        <v/>
      </c>
      <c r="BA223" s="308" t="str">
        <f t="shared" si="216"/>
        <v/>
      </c>
      <c r="BB223" s="308" t="str">
        <f t="shared" si="216"/>
        <v/>
      </c>
      <c r="BC223" s="308" t="str">
        <f t="shared" si="216"/>
        <v/>
      </c>
      <c r="BD223" s="308" t="str">
        <f t="shared" si="216"/>
        <v/>
      </c>
      <c r="BE223" s="308" t="str">
        <f t="shared" si="216"/>
        <v/>
      </c>
      <c r="BF223" s="308" t="str">
        <f t="shared" si="216"/>
        <v/>
      </c>
      <c r="BG223" s="308" t="str">
        <f t="shared" si="216"/>
        <v/>
      </c>
    </row>
    <row r="224" ht="12.75" customHeight="1" outlineLevel="1">
      <c r="A224" s="90"/>
      <c r="B224" s="90"/>
      <c r="C224" s="90"/>
      <c r="D224" s="90" t="s">
        <v>761</v>
      </c>
      <c r="E224" s="90"/>
      <c r="F224" s="90"/>
      <c r="G224" s="99" t="str">
        <f>'RSGen 1-7'!G224</f>
        <v/>
      </c>
      <c r="H224" s="99">
        <f>'RSGen 1-7'!H224</f>
        <v>2000</v>
      </c>
      <c r="I224" s="99" t="str">
        <f>'RSGen 1-7'!I224</f>
        <v/>
      </c>
      <c r="J224" s="99" t="str">
        <f>'RSGen 1-7'!J224</f>
        <v/>
      </c>
      <c r="K224" s="99" t="str">
        <f>'RSGen 1-7'!K224</f>
        <v/>
      </c>
      <c r="L224" s="99" t="str">
        <f>'RSGen 1-7'!L224</f>
        <v/>
      </c>
      <c r="M224" s="99" t="str">
        <f>'RSGen 1-7'!M224</f>
        <v/>
      </c>
      <c r="N224" s="99" t="str">
        <f>'RSGen 1-7'!N224</f>
        <v/>
      </c>
      <c r="O224" s="99" t="str">
        <f>'RSGen 1-7'!O224</f>
        <v/>
      </c>
      <c r="P224" s="93" t="str">
        <f>'RSGen 1-7'!P224</f>
        <v/>
      </c>
      <c r="Q224" s="93" t="str">
        <f>'RSGen 1-7'!Q224</f>
        <v/>
      </c>
      <c r="R224" s="93" t="str">
        <f>'RSGen 1-7'!R224</f>
        <v/>
      </c>
      <c r="S224" s="93"/>
      <c r="T224" s="93"/>
      <c r="U224" s="93"/>
      <c r="V224" s="93"/>
      <c r="W224" s="93"/>
      <c r="X224" s="93"/>
      <c r="Y224" s="93"/>
      <c r="Z224" s="93"/>
      <c r="AA224" s="93"/>
      <c r="AB224" s="93"/>
      <c r="AC224" s="93"/>
      <c r="AD224" s="93"/>
      <c r="AE224" s="93"/>
      <c r="AF224" s="93"/>
      <c r="AG224" s="93"/>
      <c r="AH224" s="93"/>
      <c r="AI224" s="93"/>
      <c r="AJ224" s="93"/>
      <c r="AK224" s="93"/>
      <c r="AL224" s="93"/>
      <c r="AM224" s="93"/>
      <c r="AN224" s="93"/>
      <c r="AO224" s="93"/>
      <c r="AP224" s="93"/>
      <c r="AQ224" s="93"/>
      <c r="AR224" s="93"/>
      <c r="AS224" s="93"/>
      <c r="AT224" s="315" t="str">
        <f t="shared" ref="AT224:BG224" si="217">AS224</f>
        <v/>
      </c>
      <c r="AU224" s="315" t="str">
        <f t="shared" si="217"/>
        <v/>
      </c>
      <c r="AV224" s="315" t="str">
        <f t="shared" si="217"/>
        <v/>
      </c>
      <c r="AW224" s="315" t="str">
        <f t="shared" si="217"/>
        <v/>
      </c>
      <c r="AX224" s="315" t="str">
        <f t="shared" si="217"/>
        <v/>
      </c>
      <c r="AY224" s="315" t="str">
        <f t="shared" si="217"/>
        <v/>
      </c>
      <c r="AZ224" s="308" t="str">
        <f t="shared" si="217"/>
        <v/>
      </c>
      <c r="BA224" s="308" t="str">
        <f t="shared" si="217"/>
        <v/>
      </c>
      <c r="BB224" s="308" t="str">
        <f t="shared" si="217"/>
        <v/>
      </c>
      <c r="BC224" s="308" t="str">
        <f t="shared" si="217"/>
        <v/>
      </c>
      <c r="BD224" s="308" t="str">
        <f t="shared" si="217"/>
        <v/>
      </c>
      <c r="BE224" s="308" t="str">
        <f t="shared" si="217"/>
        <v/>
      </c>
      <c r="BF224" s="308" t="str">
        <f t="shared" si="217"/>
        <v/>
      </c>
      <c r="BG224" s="308" t="str">
        <f t="shared" si="217"/>
        <v/>
      </c>
    </row>
    <row r="225" ht="12.75" customHeight="1" outlineLevel="1">
      <c r="A225" s="90"/>
      <c r="B225" s="90"/>
      <c r="C225" s="90"/>
      <c r="D225" s="90" t="s">
        <v>762</v>
      </c>
      <c r="E225" s="90"/>
      <c r="F225" s="90"/>
      <c r="G225" s="99" t="str">
        <f>'RSGen 1-7'!G225</f>
        <v/>
      </c>
      <c r="H225" s="99">
        <f>'RSGen 1-7'!H225</f>
        <v>0</v>
      </c>
      <c r="I225" s="99">
        <f>'RSGen 1-7'!I225</f>
        <v>6000</v>
      </c>
      <c r="J225" s="99">
        <f>'RSGen 1-7'!J225</f>
        <v>6000</v>
      </c>
      <c r="K225" s="99">
        <f>'RSGen 1-7'!K225</f>
        <v>6000</v>
      </c>
      <c r="L225" s="99">
        <f>'RSGen 1-7'!L225</f>
        <v>6000</v>
      </c>
      <c r="M225" s="99">
        <f>'RSGen 1-7'!M225</f>
        <v>6000</v>
      </c>
      <c r="N225" s="99">
        <f>'RSGen 1-7'!N225</f>
        <v>6000</v>
      </c>
      <c r="O225" s="99">
        <f>'RSGen 1-7'!O225</f>
        <v>6000</v>
      </c>
      <c r="P225" s="93">
        <f>'RSGen 1-7'!P225</f>
        <v>6000</v>
      </c>
      <c r="Q225" s="93">
        <f>'RSGen 1-7'!Q225</f>
        <v>6000</v>
      </c>
      <c r="R225" s="93">
        <f>'RSGen 1-7'!R225</f>
        <v>6000</v>
      </c>
      <c r="S225" s="93"/>
      <c r="T225" s="93"/>
      <c r="U225" s="93"/>
      <c r="V225" s="93"/>
      <c r="W225" s="93"/>
      <c r="X225" s="93"/>
      <c r="Y225" s="93"/>
      <c r="Z225" s="93"/>
      <c r="AA225" s="93"/>
      <c r="AB225" s="93"/>
      <c r="AC225" s="93"/>
      <c r="AD225" s="93"/>
      <c r="AE225" s="93"/>
      <c r="AF225" s="93"/>
      <c r="AG225" s="93"/>
      <c r="AH225" s="93"/>
      <c r="AI225" s="93"/>
      <c r="AJ225" s="93"/>
      <c r="AK225" s="93"/>
      <c r="AL225" s="93"/>
      <c r="AM225" s="93"/>
      <c r="AN225" s="93"/>
      <c r="AO225" s="93"/>
      <c r="AP225" s="93"/>
      <c r="AQ225" s="93"/>
      <c r="AR225" s="93"/>
      <c r="AS225" s="93"/>
      <c r="AT225" s="315" t="str">
        <f t="shared" ref="AT225:BG225" si="218">AS225</f>
        <v/>
      </c>
      <c r="AU225" s="315" t="str">
        <f t="shared" si="218"/>
        <v/>
      </c>
      <c r="AV225" s="315" t="str">
        <f t="shared" si="218"/>
        <v/>
      </c>
      <c r="AW225" s="315" t="str">
        <f t="shared" si="218"/>
        <v/>
      </c>
      <c r="AX225" s="315" t="str">
        <f t="shared" si="218"/>
        <v/>
      </c>
      <c r="AY225" s="315" t="str">
        <f t="shared" si="218"/>
        <v/>
      </c>
      <c r="AZ225" s="308" t="str">
        <f t="shared" si="218"/>
        <v/>
      </c>
      <c r="BA225" s="308" t="str">
        <f t="shared" si="218"/>
        <v/>
      </c>
      <c r="BB225" s="308" t="str">
        <f t="shared" si="218"/>
        <v/>
      </c>
      <c r="BC225" s="308" t="str">
        <f t="shared" si="218"/>
        <v/>
      </c>
      <c r="BD225" s="308" t="str">
        <f t="shared" si="218"/>
        <v/>
      </c>
      <c r="BE225" s="308" t="str">
        <f t="shared" si="218"/>
        <v/>
      </c>
      <c r="BF225" s="308" t="str">
        <f t="shared" si="218"/>
        <v/>
      </c>
      <c r="BG225" s="308" t="str">
        <f t="shared" si="218"/>
        <v/>
      </c>
    </row>
    <row r="226" ht="12.75" customHeight="1" outlineLevel="1">
      <c r="A226" s="90"/>
      <c r="B226" s="90"/>
      <c r="C226" s="90"/>
      <c r="D226" s="90" t="s">
        <v>763</v>
      </c>
      <c r="E226" s="90"/>
      <c r="F226" s="90"/>
      <c r="G226" s="99" t="str">
        <f>'RSGen 1-7'!G226</f>
        <v/>
      </c>
      <c r="H226" s="99" t="str">
        <f>'RSGen 1-7'!H226</f>
        <v/>
      </c>
      <c r="I226" s="99" t="str">
        <f>'RSGen 1-7'!I226</f>
        <v/>
      </c>
      <c r="J226" s="99" t="str">
        <f>'RSGen 1-7'!J226</f>
        <v/>
      </c>
      <c r="K226" s="99" t="str">
        <f>'RSGen 1-7'!K226</f>
        <v/>
      </c>
      <c r="L226" s="99" t="str">
        <f>'RSGen 1-7'!L226</f>
        <v/>
      </c>
      <c r="M226" s="99" t="str">
        <f>'RSGen 1-7'!M226</f>
        <v/>
      </c>
      <c r="N226" s="99" t="str">
        <f>'RSGen 1-7'!N226</f>
        <v/>
      </c>
      <c r="O226" s="99" t="str">
        <f>'RSGen 1-7'!O226</f>
        <v/>
      </c>
      <c r="P226" s="93" t="str">
        <f>'RSGen 1-7'!P226</f>
        <v/>
      </c>
      <c r="Q226" s="93" t="str">
        <f>'RSGen 1-7'!Q226</f>
        <v/>
      </c>
      <c r="R226" s="93" t="str">
        <f>'RSGen 1-7'!R226</f>
        <v/>
      </c>
      <c r="S226" s="93"/>
      <c r="T226" s="93"/>
      <c r="U226" s="93"/>
      <c r="V226" s="93"/>
      <c r="W226" s="93"/>
      <c r="X226" s="93"/>
      <c r="Y226" s="93"/>
      <c r="Z226" s="93"/>
      <c r="AA226" s="93"/>
      <c r="AB226" s="93"/>
      <c r="AC226" s="93"/>
      <c r="AD226" s="93"/>
      <c r="AE226" s="93"/>
      <c r="AF226" s="93"/>
      <c r="AG226" s="93"/>
      <c r="AH226" s="93"/>
      <c r="AI226" s="93"/>
      <c r="AJ226" s="93"/>
      <c r="AK226" s="93"/>
      <c r="AL226" s="93"/>
      <c r="AM226" s="93"/>
      <c r="AN226" s="93"/>
      <c r="AO226" s="93"/>
      <c r="AP226" s="93"/>
      <c r="AQ226" s="93"/>
      <c r="AR226" s="93"/>
      <c r="AS226" s="93"/>
      <c r="AT226" s="315" t="str">
        <f t="shared" ref="AT226:BG226" si="219">AS226</f>
        <v/>
      </c>
      <c r="AU226" s="315" t="str">
        <f t="shared" si="219"/>
        <v/>
      </c>
      <c r="AV226" s="315" t="str">
        <f t="shared" si="219"/>
        <v/>
      </c>
      <c r="AW226" s="315" t="str">
        <f t="shared" si="219"/>
        <v/>
      </c>
      <c r="AX226" s="315" t="str">
        <f t="shared" si="219"/>
        <v/>
      </c>
      <c r="AY226" s="315" t="str">
        <f t="shared" si="219"/>
        <v/>
      </c>
      <c r="AZ226" s="308" t="str">
        <f t="shared" si="219"/>
        <v/>
      </c>
      <c r="BA226" s="308" t="str">
        <f t="shared" si="219"/>
        <v/>
      </c>
      <c r="BB226" s="308" t="str">
        <f t="shared" si="219"/>
        <v/>
      </c>
      <c r="BC226" s="308" t="str">
        <f t="shared" si="219"/>
        <v/>
      </c>
      <c r="BD226" s="308" t="str">
        <f t="shared" si="219"/>
        <v/>
      </c>
      <c r="BE226" s="308" t="str">
        <f t="shared" si="219"/>
        <v/>
      </c>
      <c r="BF226" s="308" t="str">
        <f t="shared" si="219"/>
        <v/>
      </c>
      <c r="BG226" s="308" t="str">
        <f t="shared" si="219"/>
        <v/>
      </c>
    </row>
    <row r="227" ht="12.75" customHeight="1" outlineLevel="1">
      <c r="A227" s="90"/>
      <c r="B227" s="90"/>
      <c r="C227" s="90"/>
      <c r="D227" s="90" t="s">
        <v>764</v>
      </c>
      <c r="E227" s="90"/>
      <c r="F227" s="90"/>
      <c r="G227" s="99" t="str">
        <f>'RSGen 1-7'!G227</f>
        <v/>
      </c>
      <c r="H227" s="99">
        <f>'RSGen 1-7'!H227</f>
        <v>0</v>
      </c>
      <c r="I227" s="99">
        <f>'RSGen 1-7'!I227</f>
        <v>300</v>
      </c>
      <c r="J227" s="99">
        <f>'RSGen 1-7'!J227</f>
        <v>300</v>
      </c>
      <c r="K227" s="99">
        <f>'RSGen 1-7'!K227</f>
        <v>300</v>
      </c>
      <c r="L227" s="99">
        <f>'RSGen 1-7'!L227</f>
        <v>300</v>
      </c>
      <c r="M227" s="99">
        <f>'RSGen 1-7'!M227</f>
        <v>300</v>
      </c>
      <c r="N227" s="99">
        <f>'RSGen 1-7'!N227</f>
        <v>300</v>
      </c>
      <c r="O227" s="99">
        <f>'RSGen 1-7'!O227</f>
        <v>300</v>
      </c>
      <c r="P227" s="93">
        <f>'RSGen 1-7'!P227</f>
        <v>300</v>
      </c>
      <c r="Q227" s="93">
        <f>'RSGen 1-7'!Q227</f>
        <v>300</v>
      </c>
      <c r="R227" s="93">
        <f>'RSGen 1-7'!R227</f>
        <v>300</v>
      </c>
      <c r="S227" s="93"/>
      <c r="T227" s="93"/>
      <c r="U227" s="93"/>
      <c r="V227" s="93"/>
      <c r="W227" s="93"/>
      <c r="X227" s="93"/>
      <c r="Y227" s="93"/>
      <c r="Z227" s="93"/>
      <c r="AA227" s="93"/>
      <c r="AB227" s="93"/>
      <c r="AC227" s="93"/>
      <c r="AD227" s="93"/>
      <c r="AE227" s="93"/>
      <c r="AF227" s="93"/>
      <c r="AG227" s="93"/>
      <c r="AH227" s="93"/>
      <c r="AI227" s="93"/>
      <c r="AJ227" s="93"/>
      <c r="AK227" s="93"/>
      <c r="AL227" s="93"/>
      <c r="AM227" s="93"/>
      <c r="AN227" s="93"/>
      <c r="AO227" s="93"/>
      <c r="AP227" s="93"/>
      <c r="AQ227" s="93"/>
      <c r="AR227" s="93"/>
      <c r="AS227" s="93"/>
      <c r="AT227" s="315" t="str">
        <f t="shared" ref="AT227:BG227" si="220">AS227</f>
        <v/>
      </c>
      <c r="AU227" s="315" t="str">
        <f t="shared" si="220"/>
        <v/>
      </c>
      <c r="AV227" s="315" t="str">
        <f t="shared" si="220"/>
        <v/>
      </c>
      <c r="AW227" s="315" t="str">
        <f t="shared" si="220"/>
        <v/>
      </c>
      <c r="AX227" s="315" t="str">
        <f t="shared" si="220"/>
        <v/>
      </c>
      <c r="AY227" s="315" t="str">
        <f t="shared" si="220"/>
        <v/>
      </c>
      <c r="AZ227" s="308" t="str">
        <f t="shared" si="220"/>
        <v/>
      </c>
      <c r="BA227" s="308" t="str">
        <f t="shared" si="220"/>
        <v/>
      </c>
      <c r="BB227" s="308" t="str">
        <f t="shared" si="220"/>
        <v/>
      </c>
      <c r="BC227" s="308" t="str">
        <f t="shared" si="220"/>
        <v/>
      </c>
      <c r="BD227" s="308" t="str">
        <f t="shared" si="220"/>
        <v/>
      </c>
      <c r="BE227" s="308" t="str">
        <f t="shared" si="220"/>
        <v/>
      </c>
      <c r="BF227" s="308" t="str">
        <f t="shared" si="220"/>
        <v/>
      </c>
      <c r="BG227" s="308" t="str">
        <f t="shared" si="220"/>
        <v/>
      </c>
    </row>
    <row r="228" ht="12.75" customHeight="1" outlineLevel="1">
      <c r="A228" s="90"/>
      <c r="B228" s="90"/>
      <c r="C228" s="90"/>
      <c r="D228" s="90" t="s">
        <v>765</v>
      </c>
      <c r="E228" s="90"/>
      <c r="F228" s="90"/>
      <c r="G228" s="99" t="str">
        <f>'RSGen 1-7'!G228</f>
        <v/>
      </c>
      <c r="H228" s="99">
        <f>'RSGen 1-7'!H228</f>
        <v>0</v>
      </c>
      <c r="I228" s="99">
        <f>'RSGen 1-7'!I228</f>
        <v>1500</v>
      </c>
      <c r="J228" s="99">
        <f>'RSGen 1-7'!J228</f>
        <v>1500</v>
      </c>
      <c r="K228" s="99">
        <f>'RSGen 1-7'!K228</f>
        <v>1500</v>
      </c>
      <c r="L228" s="99">
        <f>'RSGen 1-7'!L228</f>
        <v>1500</v>
      </c>
      <c r="M228" s="99">
        <f>'RSGen 1-7'!M228</f>
        <v>1500</v>
      </c>
      <c r="N228" s="99">
        <f>'RSGen 1-7'!N228</f>
        <v>1500</v>
      </c>
      <c r="O228" s="99">
        <f>'RSGen 1-7'!O228</f>
        <v>1500</v>
      </c>
      <c r="P228" s="93">
        <f>'RSGen 1-7'!P228</f>
        <v>1500</v>
      </c>
      <c r="Q228" s="93">
        <f>'RSGen 1-7'!Q228</f>
        <v>1500</v>
      </c>
      <c r="R228" s="93">
        <f>'RSGen 1-7'!R228</f>
        <v>1500</v>
      </c>
      <c r="S228" s="93"/>
      <c r="T228" s="93"/>
      <c r="U228" s="93"/>
      <c r="V228" s="93"/>
      <c r="W228" s="93"/>
      <c r="X228" s="93"/>
      <c r="Y228" s="93"/>
      <c r="Z228" s="93"/>
      <c r="AA228" s="93"/>
      <c r="AB228" s="93"/>
      <c r="AC228" s="93"/>
      <c r="AD228" s="93"/>
      <c r="AE228" s="93"/>
      <c r="AF228" s="93"/>
      <c r="AG228" s="93"/>
      <c r="AH228" s="93"/>
      <c r="AI228" s="93"/>
      <c r="AJ228" s="93"/>
      <c r="AK228" s="93"/>
      <c r="AL228" s="93"/>
      <c r="AM228" s="93"/>
      <c r="AN228" s="93"/>
      <c r="AO228" s="93"/>
      <c r="AP228" s="93"/>
      <c r="AQ228" s="93"/>
      <c r="AR228" s="93"/>
      <c r="AS228" s="93"/>
      <c r="AT228" s="315" t="str">
        <f t="shared" ref="AT228:BG228" si="221">AS228</f>
        <v/>
      </c>
      <c r="AU228" s="315" t="str">
        <f t="shared" si="221"/>
        <v/>
      </c>
      <c r="AV228" s="315" t="str">
        <f t="shared" si="221"/>
        <v/>
      </c>
      <c r="AW228" s="315" t="str">
        <f t="shared" si="221"/>
        <v/>
      </c>
      <c r="AX228" s="315" t="str">
        <f t="shared" si="221"/>
        <v/>
      </c>
      <c r="AY228" s="315" t="str">
        <f t="shared" si="221"/>
        <v/>
      </c>
      <c r="AZ228" s="308" t="str">
        <f t="shared" si="221"/>
        <v/>
      </c>
      <c r="BA228" s="308" t="str">
        <f t="shared" si="221"/>
        <v/>
      </c>
      <c r="BB228" s="308" t="str">
        <f t="shared" si="221"/>
        <v/>
      </c>
      <c r="BC228" s="308" t="str">
        <f t="shared" si="221"/>
        <v/>
      </c>
      <c r="BD228" s="308" t="str">
        <f t="shared" si="221"/>
        <v/>
      </c>
      <c r="BE228" s="308" t="str">
        <f t="shared" si="221"/>
        <v/>
      </c>
      <c r="BF228" s="308" t="str">
        <f t="shared" si="221"/>
        <v/>
      </c>
      <c r="BG228" s="308" t="str">
        <f t="shared" si="221"/>
        <v/>
      </c>
    </row>
    <row r="229" ht="12.75" customHeight="1" outlineLevel="1">
      <c r="A229" s="90"/>
      <c r="B229" s="90"/>
      <c r="C229" s="90"/>
      <c r="D229" s="90" t="s">
        <v>766</v>
      </c>
      <c r="E229" s="90"/>
      <c r="F229" s="90"/>
      <c r="G229" s="99" t="str">
        <f>'RSGen 1-7'!G229</f>
        <v/>
      </c>
      <c r="H229" s="99">
        <f>'RSGen 1-7'!H229</f>
        <v>0</v>
      </c>
      <c r="I229" s="99">
        <f>'RSGen 1-7'!I229</f>
        <v>0</v>
      </c>
      <c r="J229" s="99">
        <f>'RSGen 1-7'!J229</f>
        <v>0</v>
      </c>
      <c r="K229" s="99">
        <f>'RSGen 1-7'!K229</f>
        <v>0</v>
      </c>
      <c r="L229" s="99">
        <f>'RSGen 1-7'!L229</f>
        <v>0</v>
      </c>
      <c r="M229" s="99">
        <f>'RSGen 1-7'!M229</f>
        <v>0</v>
      </c>
      <c r="N229" s="99">
        <f>'RSGen 1-7'!N229</f>
        <v>0</v>
      </c>
      <c r="O229" s="99">
        <f>'RSGen 1-7'!O229</f>
        <v>0</v>
      </c>
      <c r="P229" s="93">
        <f>'RSGen 1-7'!P229</f>
        <v>0</v>
      </c>
      <c r="Q229" s="93">
        <f>'RSGen 1-7'!Q229</f>
        <v>0</v>
      </c>
      <c r="R229" s="93">
        <f>'RSGen 1-7'!R229</f>
        <v>0</v>
      </c>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315" t="str">
        <f t="shared" ref="AT229:BG229" si="222">AS229</f>
        <v/>
      </c>
      <c r="AU229" s="315" t="str">
        <f t="shared" si="222"/>
        <v/>
      </c>
      <c r="AV229" s="315" t="str">
        <f t="shared" si="222"/>
        <v/>
      </c>
      <c r="AW229" s="315" t="str">
        <f t="shared" si="222"/>
        <v/>
      </c>
      <c r="AX229" s="315" t="str">
        <f t="shared" si="222"/>
        <v/>
      </c>
      <c r="AY229" s="315" t="str">
        <f t="shared" si="222"/>
        <v/>
      </c>
      <c r="AZ229" s="308" t="str">
        <f t="shared" si="222"/>
        <v/>
      </c>
      <c r="BA229" s="308" t="str">
        <f t="shared" si="222"/>
        <v/>
      </c>
      <c r="BB229" s="308" t="str">
        <f t="shared" si="222"/>
        <v/>
      </c>
      <c r="BC229" s="308" t="str">
        <f t="shared" si="222"/>
        <v/>
      </c>
      <c r="BD229" s="308" t="str">
        <f t="shared" si="222"/>
        <v/>
      </c>
      <c r="BE229" s="308" t="str">
        <f t="shared" si="222"/>
        <v/>
      </c>
      <c r="BF229" s="308" t="str">
        <f t="shared" si="222"/>
        <v/>
      </c>
      <c r="BG229" s="308" t="str">
        <f t="shared" si="222"/>
        <v/>
      </c>
    </row>
    <row r="230" ht="12.75" customHeight="1" outlineLevel="1">
      <c r="A230" s="90"/>
      <c r="B230" s="90"/>
      <c r="C230" s="90" t="s">
        <v>767</v>
      </c>
      <c r="D230" s="90"/>
      <c r="E230" s="90"/>
      <c r="F230" s="90"/>
      <c r="G230" s="99"/>
      <c r="H230" s="99"/>
      <c r="I230" s="99"/>
      <c r="J230" s="99"/>
      <c r="K230" s="99"/>
      <c r="L230" s="99"/>
      <c r="M230" s="99"/>
      <c r="N230" s="99"/>
      <c r="O230" s="99"/>
      <c r="P230" s="99"/>
      <c r="Q230" s="99"/>
      <c r="R230" s="99"/>
      <c r="AT230" s="308"/>
      <c r="AU230" s="308"/>
      <c r="AV230" s="308"/>
      <c r="AW230" s="308"/>
      <c r="AX230" s="308"/>
      <c r="AY230" s="308"/>
      <c r="AZ230" s="308"/>
      <c r="BA230" s="308"/>
      <c r="BB230" s="308"/>
      <c r="BC230" s="308"/>
      <c r="BD230" s="308"/>
      <c r="BE230" s="308"/>
      <c r="BF230" s="308"/>
      <c r="BG230" s="308"/>
    </row>
    <row r="231" ht="12.75" customHeight="1" outlineLevel="1">
      <c r="A231" s="90"/>
      <c r="B231" s="90"/>
      <c r="C231" s="90"/>
      <c r="D231" s="90" t="s">
        <v>768</v>
      </c>
      <c r="E231" s="90"/>
      <c r="F231" s="90"/>
      <c r="G231" s="99" t="str">
        <f>'RS3'!J230</f>
        <v/>
      </c>
      <c r="H231" s="99">
        <f>'RS3'!K230</f>
        <v>3</v>
      </c>
      <c r="I231" s="99">
        <v>3.825</v>
      </c>
      <c r="J231" s="99">
        <v>3.825</v>
      </c>
      <c r="K231" s="99">
        <v>3.825</v>
      </c>
      <c r="L231" s="99">
        <v>3.825</v>
      </c>
      <c r="M231" s="99">
        <v>3.825</v>
      </c>
      <c r="N231" s="99">
        <v>3.825</v>
      </c>
      <c r="O231" s="99">
        <v>3.825</v>
      </c>
      <c r="P231" s="99">
        <v>3.825</v>
      </c>
      <c r="Q231" s="99">
        <v>3.825</v>
      </c>
      <c r="R231" s="99">
        <v>3.825</v>
      </c>
      <c r="AT231" s="308" t="str">
        <f t="shared" ref="AT231:BG231" si="223">AS231</f>
        <v/>
      </c>
      <c r="AU231" s="308" t="str">
        <f t="shared" si="223"/>
        <v/>
      </c>
      <c r="AV231" s="308" t="str">
        <f t="shared" si="223"/>
        <v/>
      </c>
      <c r="AW231" s="308" t="str">
        <f t="shared" si="223"/>
        <v/>
      </c>
      <c r="AX231" s="308" t="str">
        <f t="shared" si="223"/>
        <v/>
      </c>
      <c r="AY231" s="308" t="str">
        <f t="shared" si="223"/>
        <v/>
      </c>
      <c r="AZ231" s="308" t="str">
        <f t="shared" si="223"/>
        <v/>
      </c>
      <c r="BA231" s="308" t="str">
        <f t="shared" si="223"/>
        <v/>
      </c>
      <c r="BB231" s="308" t="str">
        <f t="shared" si="223"/>
        <v/>
      </c>
      <c r="BC231" s="308" t="str">
        <f t="shared" si="223"/>
        <v/>
      </c>
      <c r="BD231" s="308" t="str">
        <f t="shared" si="223"/>
        <v/>
      </c>
      <c r="BE231" s="308" t="str">
        <f t="shared" si="223"/>
        <v/>
      </c>
      <c r="BF231" s="308" t="str">
        <f t="shared" si="223"/>
        <v/>
      </c>
      <c r="BG231" s="308" t="str">
        <f t="shared" si="223"/>
        <v/>
      </c>
    </row>
    <row r="232" ht="12.75" customHeight="1" outlineLevel="1">
      <c r="A232" s="90"/>
      <c r="B232" s="90"/>
      <c r="C232" s="90"/>
      <c r="D232" s="90" t="s">
        <v>769</v>
      </c>
      <c r="E232" s="90"/>
      <c r="F232" s="90"/>
      <c r="G232" s="99" t="str">
        <f>'RS3'!J231</f>
        <v/>
      </c>
      <c r="H232" s="99">
        <f>'RS3'!K231</f>
        <v>0</v>
      </c>
      <c r="I232" s="99">
        <f>'RS3'!$L$231</f>
        <v>52</v>
      </c>
      <c r="J232" s="99">
        <f t="shared" ref="J232:R232" si="224">I232</f>
        <v>52</v>
      </c>
      <c r="K232" s="99">
        <f t="shared" si="224"/>
        <v>52</v>
      </c>
      <c r="L232" s="99">
        <f t="shared" si="224"/>
        <v>52</v>
      </c>
      <c r="M232" s="99">
        <f t="shared" si="224"/>
        <v>52</v>
      </c>
      <c r="N232" s="99">
        <f t="shared" si="224"/>
        <v>52</v>
      </c>
      <c r="O232" s="99">
        <f t="shared" si="224"/>
        <v>52</v>
      </c>
      <c r="P232" s="99">
        <f t="shared" si="224"/>
        <v>52</v>
      </c>
      <c r="Q232" s="99">
        <f t="shared" si="224"/>
        <v>52</v>
      </c>
      <c r="R232" s="99">
        <f t="shared" si="224"/>
        <v>52</v>
      </c>
      <c r="AT232" s="308" t="str">
        <f t="shared" ref="AT232:BG232" si="225">AS232</f>
        <v/>
      </c>
      <c r="AU232" s="308" t="str">
        <f t="shared" si="225"/>
        <v/>
      </c>
      <c r="AV232" s="308" t="str">
        <f t="shared" si="225"/>
        <v/>
      </c>
      <c r="AW232" s="308" t="str">
        <f t="shared" si="225"/>
        <v/>
      </c>
      <c r="AX232" s="308" t="str">
        <f t="shared" si="225"/>
        <v/>
      </c>
      <c r="AY232" s="308" t="str">
        <f t="shared" si="225"/>
        <v/>
      </c>
      <c r="AZ232" s="308" t="str">
        <f t="shared" si="225"/>
        <v/>
      </c>
      <c r="BA232" s="308" t="str">
        <f t="shared" si="225"/>
        <v/>
      </c>
      <c r="BB232" s="308" t="str">
        <f t="shared" si="225"/>
        <v/>
      </c>
      <c r="BC232" s="308" t="str">
        <f t="shared" si="225"/>
        <v/>
      </c>
      <c r="BD232" s="308" t="str">
        <f t="shared" si="225"/>
        <v/>
      </c>
      <c r="BE232" s="308" t="str">
        <f t="shared" si="225"/>
        <v/>
      </c>
      <c r="BF232" s="308" t="str">
        <f t="shared" si="225"/>
        <v/>
      </c>
      <c r="BG232" s="308" t="str">
        <f t="shared" si="225"/>
        <v/>
      </c>
    </row>
    <row r="233" ht="12.75" customHeight="1" outlineLevel="1">
      <c r="A233" s="90"/>
      <c r="B233" s="90"/>
      <c r="C233" s="90"/>
      <c r="D233" s="90" t="s">
        <v>770</v>
      </c>
      <c r="E233" s="90"/>
      <c r="F233" s="90"/>
      <c r="G233" s="99" t="str">
        <f>'RS3'!J232</f>
        <v/>
      </c>
      <c r="H233" s="99">
        <f>'RS3'!K232</f>
        <v>0</v>
      </c>
      <c r="I233" s="99">
        <v>9.5625</v>
      </c>
      <c r="J233" s="99">
        <v>9.5625</v>
      </c>
      <c r="K233" s="99">
        <v>9.5625</v>
      </c>
      <c r="L233" s="99">
        <v>9.5625</v>
      </c>
      <c r="M233" s="99">
        <v>9.5625</v>
      </c>
      <c r="N233" s="99">
        <v>9.5625</v>
      </c>
      <c r="O233" s="99">
        <v>9.5625</v>
      </c>
      <c r="P233" s="99">
        <v>9.5625</v>
      </c>
      <c r="Q233" s="99">
        <v>9.5625</v>
      </c>
      <c r="R233" s="99">
        <v>9.5625</v>
      </c>
      <c r="AT233" s="308" t="str">
        <f t="shared" ref="AT233:BG233" si="226">AS233</f>
        <v/>
      </c>
      <c r="AU233" s="308" t="str">
        <f t="shared" si="226"/>
        <v/>
      </c>
      <c r="AV233" s="308" t="str">
        <f t="shared" si="226"/>
        <v/>
      </c>
      <c r="AW233" s="308" t="str">
        <f t="shared" si="226"/>
        <v/>
      </c>
      <c r="AX233" s="308" t="str">
        <f t="shared" si="226"/>
        <v/>
      </c>
      <c r="AY233" s="308" t="str">
        <f t="shared" si="226"/>
        <v/>
      </c>
      <c r="AZ233" s="308" t="str">
        <f t="shared" si="226"/>
        <v/>
      </c>
      <c r="BA233" s="308" t="str">
        <f t="shared" si="226"/>
        <v/>
      </c>
      <c r="BB233" s="308" t="str">
        <f t="shared" si="226"/>
        <v/>
      </c>
      <c r="BC233" s="308" t="str">
        <f t="shared" si="226"/>
        <v/>
      </c>
      <c r="BD233" s="308" t="str">
        <f t="shared" si="226"/>
        <v/>
      </c>
      <c r="BE233" s="308" t="str">
        <f t="shared" si="226"/>
        <v/>
      </c>
      <c r="BF233" s="308" t="str">
        <f t="shared" si="226"/>
        <v/>
      </c>
      <c r="BG233" s="308" t="str">
        <f t="shared" si="226"/>
        <v/>
      </c>
    </row>
    <row r="234" ht="12.75" customHeight="1" outlineLevel="1">
      <c r="A234" s="90"/>
      <c r="B234" s="90"/>
      <c r="C234" s="90"/>
      <c r="D234" s="90" t="s">
        <v>771</v>
      </c>
      <c r="E234" s="90"/>
      <c r="F234" s="90"/>
      <c r="G234" s="99" t="str">
        <f>'RS3'!J233</f>
        <v/>
      </c>
      <c r="H234" s="99">
        <f>'RS3'!K233</f>
        <v>0</v>
      </c>
      <c r="I234" s="99">
        <v>3.1875</v>
      </c>
      <c r="J234" s="99">
        <v>3.1875</v>
      </c>
      <c r="K234" s="99">
        <v>3.1875</v>
      </c>
      <c r="L234" s="99">
        <v>3.1875</v>
      </c>
      <c r="M234" s="99">
        <v>3.1875</v>
      </c>
      <c r="N234" s="99">
        <v>3.1875</v>
      </c>
      <c r="O234" s="99">
        <v>3.1875</v>
      </c>
      <c r="P234" s="99">
        <v>3.1875</v>
      </c>
      <c r="Q234" s="99">
        <v>3.1875</v>
      </c>
      <c r="R234" s="99">
        <v>3.1875</v>
      </c>
      <c r="AT234" s="308" t="str">
        <f t="shared" ref="AT234:BG234" si="227">AS234</f>
        <v/>
      </c>
      <c r="AU234" s="308" t="str">
        <f t="shared" si="227"/>
        <v/>
      </c>
      <c r="AV234" s="308" t="str">
        <f t="shared" si="227"/>
        <v/>
      </c>
      <c r="AW234" s="308" t="str">
        <f t="shared" si="227"/>
        <v/>
      </c>
      <c r="AX234" s="308" t="str">
        <f t="shared" si="227"/>
        <v/>
      </c>
      <c r="AY234" s="308" t="str">
        <f t="shared" si="227"/>
        <v/>
      </c>
      <c r="AZ234" s="308" t="str">
        <f t="shared" si="227"/>
        <v/>
      </c>
      <c r="BA234" s="308" t="str">
        <f t="shared" si="227"/>
        <v/>
      </c>
      <c r="BB234" s="308" t="str">
        <f t="shared" si="227"/>
        <v/>
      </c>
      <c r="BC234" s="308" t="str">
        <f t="shared" si="227"/>
        <v/>
      </c>
      <c r="BD234" s="308" t="str">
        <f t="shared" si="227"/>
        <v/>
      </c>
      <c r="BE234" s="308" t="str">
        <f t="shared" si="227"/>
        <v/>
      </c>
      <c r="BF234" s="308" t="str">
        <f t="shared" si="227"/>
        <v/>
      </c>
      <c r="BG234" s="308" t="str">
        <f t="shared" si="227"/>
        <v/>
      </c>
    </row>
    <row r="235" ht="12.75" customHeight="1" outlineLevel="1">
      <c r="A235" s="90"/>
      <c r="B235" s="90"/>
      <c r="C235" s="90"/>
      <c r="D235" s="90" t="s">
        <v>772</v>
      </c>
      <c r="E235" s="90"/>
      <c r="F235" s="90"/>
      <c r="G235" s="99" t="str">
        <f>'RS3'!J234</f>
        <v/>
      </c>
      <c r="H235" s="99">
        <f>'RS3'!K234</f>
        <v>9.375</v>
      </c>
      <c r="I235" s="99">
        <v>9.5625</v>
      </c>
      <c r="J235" s="99">
        <v>9.5625</v>
      </c>
      <c r="K235" s="99">
        <v>9.5625</v>
      </c>
      <c r="L235" s="99">
        <v>9.5625</v>
      </c>
      <c r="M235" s="99">
        <v>9.5625</v>
      </c>
      <c r="N235" s="99">
        <v>9.5625</v>
      </c>
      <c r="O235" s="99">
        <v>9.5625</v>
      </c>
      <c r="P235" s="99">
        <v>9.5625</v>
      </c>
      <c r="Q235" s="99">
        <v>9.5625</v>
      </c>
      <c r="R235" s="99">
        <v>9.5625</v>
      </c>
      <c r="AT235" s="308" t="str">
        <f t="shared" ref="AT235:BG235" si="228">AS235</f>
        <v/>
      </c>
      <c r="AU235" s="308" t="str">
        <f t="shared" si="228"/>
        <v/>
      </c>
      <c r="AV235" s="308" t="str">
        <f t="shared" si="228"/>
        <v/>
      </c>
      <c r="AW235" s="308" t="str">
        <f t="shared" si="228"/>
        <v/>
      </c>
      <c r="AX235" s="308" t="str">
        <f t="shared" si="228"/>
        <v/>
      </c>
      <c r="AY235" s="308" t="str">
        <f t="shared" si="228"/>
        <v/>
      </c>
      <c r="AZ235" s="308" t="str">
        <f t="shared" si="228"/>
        <v/>
      </c>
      <c r="BA235" s="308" t="str">
        <f t="shared" si="228"/>
        <v/>
      </c>
      <c r="BB235" s="308" t="str">
        <f t="shared" si="228"/>
        <v/>
      </c>
      <c r="BC235" s="308" t="str">
        <f t="shared" si="228"/>
        <v/>
      </c>
      <c r="BD235" s="308" t="str">
        <f t="shared" si="228"/>
        <v/>
      </c>
      <c r="BE235" s="308" t="str">
        <f t="shared" si="228"/>
        <v/>
      </c>
      <c r="BF235" s="308" t="str">
        <f t="shared" si="228"/>
        <v/>
      </c>
      <c r="BG235" s="308" t="str">
        <f t="shared" si="228"/>
        <v/>
      </c>
    </row>
    <row r="236" ht="12.75" customHeight="1" outlineLevel="1">
      <c r="A236" s="90"/>
      <c r="B236" s="90"/>
      <c r="C236" s="90"/>
      <c r="D236" s="90" t="s">
        <v>773</v>
      </c>
      <c r="E236" s="90"/>
      <c r="F236" s="90"/>
      <c r="G236" s="99" t="str">
        <f>'RS3'!J235</f>
        <v/>
      </c>
      <c r="H236" s="99">
        <f>'RS3'!K235</f>
        <v>0</v>
      </c>
      <c r="I236" s="99">
        <v>5.0</v>
      </c>
      <c r="J236" s="99">
        <v>5.0</v>
      </c>
      <c r="K236" s="99">
        <v>5.0</v>
      </c>
      <c r="L236" s="99">
        <v>5.0</v>
      </c>
      <c r="M236" s="99">
        <v>5.0</v>
      </c>
      <c r="N236" s="99">
        <v>5.0</v>
      </c>
      <c r="O236" s="99">
        <v>5.0</v>
      </c>
      <c r="P236" s="99">
        <v>5.0</v>
      </c>
      <c r="Q236" s="99">
        <v>5.0</v>
      </c>
      <c r="R236" s="99">
        <v>5.0</v>
      </c>
      <c r="AT236" s="308" t="str">
        <f t="shared" ref="AT236:BG236" si="229">AS236</f>
        <v/>
      </c>
      <c r="AU236" s="308" t="str">
        <f t="shared" si="229"/>
        <v/>
      </c>
      <c r="AV236" s="308" t="str">
        <f t="shared" si="229"/>
        <v/>
      </c>
      <c r="AW236" s="308" t="str">
        <f t="shared" si="229"/>
        <v/>
      </c>
      <c r="AX236" s="308" t="str">
        <f t="shared" si="229"/>
        <v/>
      </c>
      <c r="AY236" s="308" t="str">
        <f t="shared" si="229"/>
        <v/>
      </c>
      <c r="AZ236" s="308" t="str">
        <f t="shared" si="229"/>
        <v/>
      </c>
      <c r="BA236" s="308" t="str">
        <f t="shared" si="229"/>
        <v/>
      </c>
      <c r="BB236" s="308" t="str">
        <f t="shared" si="229"/>
        <v/>
      </c>
      <c r="BC236" s="308" t="str">
        <f t="shared" si="229"/>
        <v/>
      </c>
      <c r="BD236" s="308" t="str">
        <f t="shared" si="229"/>
        <v/>
      </c>
      <c r="BE236" s="308" t="str">
        <f t="shared" si="229"/>
        <v/>
      </c>
      <c r="BF236" s="308" t="str">
        <f t="shared" si="229"/>
        <v/>
      </c>
      <c r="BG236" s="308" t="str">
        <f t="shared" si="229"/>
        <v/>
      </c>
    </row>
    <row r="237" ht="12.75" customHeight="1" outlineLevel="1">
      <c r="A237" s="90"/>
      <c r="B237" s="90"/>
      <c r="C237" s="90"/>
      <c r="D237" s="90" t="s">
        <v>774</v>
      </c>
      <c r="E237" s="90"/>
      <c r="F237" s="90"/>
      <c r="G237" s="99"/>
      <c r="H237" s="99"/>
      <c r="I237" s="99"/>
      <c r="J237" s="99"/>
      <c r="K237" s="99"/>
      <c r="L237" s="99"/>
      <c r="M237" s="99"/>
      <c r="N237" s="99"/>
      <c r="O237" s="99"/>
      <c r="P237" s="99"/>
      <c r="Q237" s="99"/>
      <c r="R237" s="99"/>
      <c r="AT237" s="308" t="str">
        <f t="shared" ref="AT237:BG237" si="230">AS237</f>
        <v/>
      </c>
      <c r="AU237" s="308" t="str">
        <f t="shared" si="230"/>
        <v/>
      </c>
      <c r="AV237" s="308" t="str">
        <f t="shared" si="230"/>
        <v/>
      </c>
      <c r="AW237" s="308" t="str">
        <f t="shared" si="230"/>
        <v/>
      </c>
      <c r="AX237" s="308" t="str">
        <f t="shared" si="230"/>
        <v/>
      </c>
      <c r="AY237" s="308" t="str">
        <f t="shared" si="230"/>
        <v/>
      </c>
      <c r="AZ237" s="308" t="str">
        <f t="shared" si="230"/>
        <v/>
      </c>
      <c r="BA237" s="308" t="str">
        <f t="shared" si="230"/>
        <v/>
      </c>
      <c r="BB237" s="308" t="str">
        <f t="shared" si="230"/>
        <v/>
      </c>
      <c r="BC237" s="308" t="str">
        <f t="shared" si="230"/>
        <v/>
      </c>
      <c r="BD237" s="308" t="str">
        <f t="shared" si="230"/>
        <v/>
      </c>
      <c r="BE237" s="308" t="str">
        <f t="shared" si="230"/>
        <v/>
      </c>
      <c r="BF237" s="308" t="str">
        <f t="shared" si="230"/>
        <v/>
      </c>
      <c r="BG237" s="308" t="str">
        <f t="shared" si="230"/>
        <v/>
      </c>
    </row>
    <row r="238" ht="12.75" customHeight="1" outlineLevel="1">
      <c r="A238" s="90"/>
      <c r="B238" s="90"/>
      <c r="C238" s="90"/>
      <c r="D238" s="90"/>
      <c r="E238" s="90"/>
      <c r="F238" s="90"/>
      <c r="G238" s="99"/>
      <c r="H238" s="99"/>
      <c r="I238" s="99"/>
      <c r="J238" s="99"/>
      <c r="K238" s="99"/>
      <c r="L238" s="99"/>
      <c r="M238" s="99"/>
      <c r="N238" s="99"/>
      <c r="O238" s="99"/>
      <c r="P238" s="99"/>
      <c r="Q238" s="99"/>
      <c r="R238" s="99"/>
      <c r="AT238" s="308"/>
      <c r="AU238" s="308"/>
      <c r="AV238" s="308"/>
      <c r="AW238" s="308"/>
      <c r="AX238" s="308"/>
      <c r="AY238" s="308"/>
      <c r="AZ238" s="308"/>
      <c r="BA238" s="308"/>
      <c r="BB238" s="308"/>
      <c r="BC238" s="308"/>
      <c r="BD238" s="308"/>
      <c r="BE238" s="308"/>
      <c r="BF238" s="308"/>
      <c r="BG238" s="308"/>
    </row>
    <row r="239" ht="12.75" customHeight="1" outlineLevel="1">
      <c r="A239" s="90"/>
      <c r="B239" s="67" t="s">
        <v>775</v>
      </c>
      <c r="C239" s="90"/>
      <c r="D239" s="90"/>
      <c r="E239" s="90"/>
      <c r="F239" s="90"/>
      <c r="G239" s="99" t="str">
        <f>'RS3'!J238</f>
        <v/>
      </c>
      <c r="H239" s="99">
        <f>'RS3'!K238</f>
        <v>0</v>
      </c>
      <c r="I239" s="99">
        <f>'RS3'!L238</f>
        <v>0</v>
      </c>
      <c r="J239" s="99">
        <f>'RS3'!M238</f>
        <v>0</v>
      </c>
      <c r="K239" s="99">
        <f>'RS3'!N238</f>
        <v>0</v>
      </c>
      <c r="L239" s="99">
        <f>'RS3'!O238</f>
        <v>0</v>
      </c>
      <c r="M239" s="99">
        <f>'RS3'!P238</f>
        <v>0</v>
      </c>
      <c r="N239" s="99">
        <f>'RS3'!Q238</f>
        <v>0</v>
      </c>
      <c r="O239" s="99">
        <f>'RS3'!R238</f>
        <v>0</v>
      </c>
      <c r="P239" s="99">
        <f>'RS3'!S238</f>
        <v>0</v>
      </c>
      <c r="Q239" s="99">
        <f>'RS3'!T238</f>
        <v>0</v>
      </c>
      <c r="R239" s="99">
        <f>'RS3'!U238</f>
        <v>0</v>
      </c>
      <c r="AT239" s="308" t="str">
        <f t="shared" ref="AT239:BG239" si="231">AS239</f>
        <v/>
      </c>
      <c r="AU239" s="308" t="str">
        <f t="shared" si="231"/>
        <v/>
      </c>
      <c r="AV239" s="308" t="str">
        <f t="shared" si="231"/>
        <v/>
      </c>
      <c r="AW239" s="308" t="str">
        <f t="shared" si="231"/>
        <v/>
      </c>
      <c r="AX239" s="308" t="str">
        <f t="shared" si="231"/>
        <v/>
      </c>
      <c r="AY239" s="308" t="str">
        <f t="shared" si="231"/>
        <v/>
      </c>
      <c r="AZ239" s="308" t="str">
        <f t="shared" si="231"/>
        <v/>
      </c>
      <c r="BA239" s="308" t="str">
        <f t="shared" si="231"/>
        <v/>
      </c>
      <c r="BB239" s="308" t="str">
        <f t="shared" si="231"/>
        <v/>
      </c>
      <c r="BC239" s="308" t="str">
        <f t="shared" si="231"/>
        <v/>
      </c>
      <c r="BD239" s="308" t="str">
        <f t="shared" si="231"/>
        <v/>
      </c>
      <c r="BE239" s="308" t="str">
        <f t="shared" si="231"/>
        <v/>
      </c>
      <c r="BF239" s="308" t="str">
        <f t="shared" si="231"/>
        <v/>
      </c>
      <c r="BG239" s="308" t="str">
        <f t="shared" si="231"/>
        <v/>
      </c>
    </row>
    <row r="240" ht="12.75" customHeight="1" outlineLevel="1">
      <c r="A240" s="90"/>
      <c r="B240" s="90"/>
      <c r="C240" s="90"/>
      <c r="D240" s="90"/>
      <c r="E240" s="90"/>
      <c r="F240" s="90"/>
      <c r="G240" s="99"/>
      <c r="H240" s="99"/>
      <c r="I240" s="99"/>
      <c r="J240" s="99"/>
      <c r="K240" s="99"/>
      <c r="L240" s="99"/>
      <c r="M240" s="99"/>
      <c r="N240" s="99"/>
      <c r="O240" s="99"/>
      <c r="P240" s="99"/>
      <c r="Q240" s="99"/>
      <c r="R240" s="99"/>
      <c r="AT240" s="308"/>
      <c r="AU240" s="308"/>
      <c r="AV240" s="308"/>
      <c r="AW240" s="308"/>
      <c r="AX240" s="308"/>
      <c r="AY240" s="308"/>
      <c r="AZ240" s="308"/>
      <c r="BA240" s="308"/>
      <c r="BB240" s="308"/>
      <c r="BC240" s="308"/>
      <c r="BD240" s="308"/>
      <c r="BE240" s="308"/>
      <c r="BF240" s="308"/>
      <c r="BG240" s="308"/>
    </row>
    <row r="241" ht="12.75" customHeight="1" outlineLevel="1">
      <c r="A241" s="90"/>
      <c r="B241" s="67" t="s">
        <v>555</v>
      </c>
      <c r="C241" s="90"/>
      <c r="D241" s="90"/>
      <c r="E241" s="90"/>
      <c r="F241" s="90"/>
      <c r="G241" s="90"/>
      <c r="H241" s="90"/>
      <c r="I241" s="90"/>
      <c r="J241" s="90"/>
      <c r="K241" s="90"/>
      <c r="L241" s="90"/>
      <c r="M241" s="90"/>
      <c r="N241" s="90"/>
      <c r="O241" s="90"/>
      <c r="P241" s="90"/>
      <c r="Q241" s="90"/>
      <c r="R241" s="90"/>
      <c r="AT241" s="313"/>
      <c r="AU241" s="313"/>
      <c r="AV241" s="313"/>
      <c r="AW241" s="313"/>
      <c r="AX241" s="313"/>
      <c r="AY241" s="313"/>
      <c r="AZ241" s="313"/>
      <c r="BA241" s="313"/>
      <c r="BB241" s="313"/>
      <c r="BC241" s="313"/>
      <c r="BD241" s="313"/>
      <c r="BE241" s="313"/>
      <c r="BF241" s="313"/>
      <c r="BG241" s="313"/>
    </row>
    <row r="242" ht="12.75" customHeight="1" outlineLevel="1">
      <c r="A242" s="90"/>
      <c r="B242" s="67"/>
      <c r="C242" s="90" t="s">
        <v>776</v>
      </c>
      <c r="D242" s="90"/>
      <c r="E242" s="90"/>
      <c r="F242" s="90"/>
      <c r="G242" s="90"/>
      <c r="H242" s="90"/>
      <c r="I242" s="90"/>
      <c r="J242" s="90"/>
      <c r="K242" s="90"/>
      <c r="L242" s="90"/>
      <c r="M242" s="90"/>
      <c r="N242" s="90"/>
      <c r="O242" s="90"/>
      <c r="P242" s="90"/>
      <c r="Q242" s="90"/>
      <c r="R242" s="90"/>
      <c r="AT242" s="313"/>
      <c r="AU242" s="313"/>
      <c r="AV242" s="313"/>
      <c r="AW242" s="313"/>
      <c r="AX242" s="313"/>
      <c r="AY242" s="313"/>
      <c r="AZ242" s="313"/>
      <c r="BA242" s="313"/>
      <c r="BB242" s="313"/>
      <c r="BC242" s="313"/>
      <c r="BD242" s="313"/>
      <c r="BE242" s="313"/>
      <c r="BF242" s="313"/>
      <c r="BG242" s="313"/>
    </row>
    <row r="243" ht="12.75" customHeight="1" outlineLevel="1">
      <c r="A243" s="90"/>
      <c r="B243" s="90"/>
      <c r="C243" s="90"/>
      <c r="D243" s="90" t="s">
        <v>182</v>
      </c>
      <c r="E243" s="90"/>
      <c r="F243" s="90"/>
      <c r="G243" s="302">
        <f>Assumptions!D68</f>
        <v>0.2</v>
      </c>
      <c r="H243" s="302">
        <f>Assumptions!E68</f>
        <v>0.12</v>
      </c>
      <c r="I243" s="302">
        <f>Assumptions!F68</f>
        <v>0.11</v>
      </c>
      <c r="J243" s="302">
        <f>Assumptions!G68</f>
        <v>0.11</v>
      </c>
      <c r="K243" s="302">
        <f>Assumptions!H68</f>
        <v>0.11</v>
      </c>
      <c r="L243" s="302">
        <f>Assumptions!I68</f>
        <v>0.12</v>
      </c>
      <c r="M243" s="302">
        <f>Assumptions!J68</f>
        <v>0.12</v>
      </c>
      <c r="N243" s="185">
        <f>Assumptions!K68</f>
        <v>0.12</v>
      </c>
      <c r="O243" s="185">
        <f>Assumptions!L68</f>
        <v>0.12</v>
      </c>
      <c r="P243" s="185">
        <f>Assumptions!M68</f>
        <v>0.12</v>
      </c>
      <c r="Q243" s="185">
        <f t="shared" ref="Q243:R243" si="232">P243</f>
        <v>0.12</v>
      </c>
      <c r="R243" s="185">
        <f t="shared" si="232"/>
        <v>0.12</v>
      </c>
      <c r="AT243" s="185" t="str">
        <f t="shared" ref="AT243:BG243" si="233">AS243</f>
        <v/>
      </c>
      <c r="AU243" s="185" t="str">
        <f t="shared" si="233"/>
        <v/>
      </c>
      <c r="AV243" s="185" t="str">
        <f t="shared" si="233"/>
        <v/>
      </c>
      <c r="AW243" s="185" t="str">
        <f t="shared" si="233"/>
        <v/>
      </c>
      <c r="AX243" s="185" t="str">
        <f t="shared" si="233"/>
        <v/>
      </c>
      <c r="AY243" s="185" t="str">
        <f t="shared" si="233"/>
        <v/>
      </c>
      <c r="AZ243" s="185" t="str">
        <f t="shared" si="233"/>
        <v/>
      </c>
      <c r="BA243" s="185" t="str">
        <f t="shared" si="233"/>
        <v/>
      </c>
      <c r="BB243" s="185" t="str">
        <f t="shared" si="233"/>
        <v/>
      </c>
      <c r="BC243" s="185" t="str">
        <f t="shared" si="233"/>
        <v/>
      </c>
      <c r="BD243" s="185" t="str">
        <f t="shared" si="233"/>
        <v/>
      </c>
      <c r="BE243" s="185" t="str">
        <f t="shared" si="233"/>
        <v/>
      </c>
      <c r="BF243" s="185" t="str">
        <f t="shared" si="233"/>
        <v/>
      </c>
      <c r="BG243" s="185" t="str">
        <f t="shared" si="233"/>
        <v/>
      </c>
    </row>
    <row r="244" ht="12.75" customHeight="1" outlineLevel="1">
      <c r="A244" s="90"/>
      <c r="B244" s="90"/>
      <c r="C244" s="90"/>
      <c r="D244" s="90" t="s">
        <v>183</v>
      </c>
      <c r="E244" s="90"/>
      <c r="F244" s="90"/>
      <c r="G244" s="302">
        <f>Assumptions!D69</f>
        <v>0</v>
      </c>
      <c r="H244" s="302">
        <f>Assumptions!E69</f>
        <v>0</v>
      </c>
      <c r="I244" s="302">
        <f>Assumptions!F69</f>
        <v>0.2</v>
      </c>
      <c r="J244" s="302">
        <f>Assumptions!G69</f>
        <v>0.2</v>
      </c>
      <c r="K244" s="302">
        <f>Assumptions!H69</f>
        <v>0.2</v>
      </c>
      <c r="L244" s="302">
        <f>Assumptions!I69</f>
        <v>0.2</v>
      </c>
      <c r="M244" s="302">
        <f>Assumptions!J69</f>
        <v>0.2</v>
      </c>
      <c r="N244" s="185">
        <f>Assumptions!K69</f>
        <v>0.2</v>
      </c>
      <c r="O244" s="185">
        <f>Assumptions!L69</f>
        <v>0.2</v>
      </c>
      <c r="P244" s="185">
        <f>Assumptions!M69</f>
        <v>0.2</v>
      </c>
      <c r="Q244" s="185">
        <f t="shared" ref="Q244:R244" si="234">P244</f>
        <v>0.2</v>
      </c>
      <c r="R244" s="185">
        <f t="shared" si="234"/>
        <v>0.2</v>
      </c>
      <c r="AT244" s="302">
        <v>0.2</v>
      </c>
      <c r="AU244" s="302">
        <v>0.2</v>
      </c>
      <c r="AV244" s="302">
        <v>0.2</v>
      </c>
      <c r="AW244" s="302">
        <v>0.2</v>
      </c>
      <c r="AX244" s="302">
        <v>0.2</v>
      </c>
      <c r="AY244" s="302">
        <v>0.2</v>
      </c>
      <c r="AZ244" s="302">
        <v>0.2</v>
      </c>
      <c r="BA244" s="302">
        <v>0.2</v>
      </c>
      <c r="BB244" s="302">
        <v>0.2</v>
      </c>
      <c r="BC244" s="302">
        <v>0.2</v>
      </c>
      <c r="BD244" s="302">
        <v>0.2</v>
      </c>
      <c r="BE244" s="302">
        <v>0.2</v>
      </c>
      <c r="BF244" s="302">
        <v>0.2</v>
      </c>
      <c r="BG244" s="302">
        <v>0.2</v>
      </c>
    </row>
    <row r="245" ht="12.75" customHeight="1" outlineLevel="1">
      <c r="A245" s="90"/>
      <c r="B245" s="90"/>
      <c r="C245" s="90"/>
      <c r="D245" s="90" t="s">
        <v>184</v>
      </c>
      <c r="E245" s="90"/>
      <c r="F245" s="90"/>
      <c r="G245" s="302">
        <f>Assumptions!D70</f>
        <v>0.05</v>
      </c>
      <c r="H245" s="302">
        <f>Assumptions!E70</f>
        <v>0.03</v>
      </c>
      <c r="I245" s="302">
        <f>Assumptions!F70</f>
        <v>0.04</v>
      </c>
      <c r="J245" s="302">
        <f>Assumptions!G70</f>
        <v>0.04</v>
      </c>
      <c r="K245" s="302">
        <f>Assumptions!H70</f>
        <v>0.04</v>
      </c>
      <c r="L245" s="302">
        <f>Assumptions!I70</f>
        <v>0.03</v>
      </c>
      <c r="M245" s="302">
        <f>Assumptions!J70</f>
        <v>0.03</v>
      </c>
      <c r="N245" s="185">
        <f>Assumptions!K70</f>
        <v>0.03</v>
      </c>
      <c r="O245" s="185">
        <f>Assumptions!L70</f>
        <v>0.03</v>
      </c>
      <c r="P245" s="185">
        <f>Assumptions!M70</f>
        <v>0.03</v>
      </c>
      <c r="Q245" s="185">
        <f t="shared" ref="Q245:R245" si="235">P245</f>
        <v>0.03</v>
      </c>
      <c r="R245" s="185">
        <f t="shared" si="235"/>
        <v>0.03</v>
      </c>
      <c r="AT245" s="185" t="str">
        <f t="shared" ref="AT245:BG245" si="236">AS245</f>
        <v/>
      </c>
      <c r="AU245" s="185" t="str">
        <f t="shared" si="236"/>
        <v/>
      </c>
      <c r="AV245" s="185" t="str">
        <f t="shared" si="236"/>
        <v/>
      </c>
      <c r="AW245" s="185" t="str">
        <f t="shared" si="236"/>
        <v/>
      </c>
      <c r="AX245" s="185" t="str">
        <f t="shared" si="236"/>
        <v/>
      </c>
      <c r="AY245" s="185" t="str">
        <f t="shared" si="236"/>
        <v/>
      </c>
      <c r="AZ245" s="185" t="str">
        <f t="shared" si="236"/>
        <v/>
      </c>
      <c r="BA245" s="185" t="str">
        <f t="shared" si="236"/>
        <v/>
      </c>
      <c r="BB245" s="185" t="str">
        <f t="shared" si="236"/>
        <v/>
      </c>
      <c r="BC245" s="185" t="str">
        <f t="shared" si="236"/>
        <v/>
      </c>
      <c r="BD245" s="185" t="str">
        <f t="shared" si="236"/>
        <v/>
      </c>
      <c r="BE245" s="185" t="str">
        <f t="shared" si="236"/>
        <v/>
      </c>
      <c r="BF245" s="185" t="str">
        <f t="shared" si="236"/>
        <v/>
      </c>
      <c r="BG245" s="185" t="str">
        <f t="shared" si="236"/>
        <v/>
      </c>
    </row>
    <row r="246" ht="12.75" customHeight="1" outlineLevel="1">
      <c r="A246" s="90"/>
      <c r="B246" s="90"/>
      <c r="C246" s="148" t="s">
        <v>777</v>
      </c>
      <c r="D246" s="148"/>
      <c r="E246" s="148"/>
      <c r="F246" s="148"/>
      <c r="G246" s="375">
        <f t="shared" ref="G246:R246" si="237">SUM(G243:G245)</f>
        <v>0.25</v>
      </c>
      <c r="H246" s="375">
        <f t="shared" si="237"/>
        <v>0.15</v>
      </c>
      <c r="I246" s="375">
        <f t="shared" si="237"/>
        <v>0.35</v>
      </c>
      <c r="J246" s="375">
        <f t="shared" si="237"/>
        <v>0.35</v>
      </c>
      <c r="K246" s="375">
        <f t="shared" si="237"/>
        <v>0.35</v>
      </c>
      <c r="L246" s="375">
        <f t="shared" si="237"/>
        <v>0.35</v>
      </c>
      <c r="M246" s="375">
        <f t="shared" si="237"/>
        <v>0.35</v>
      </c>
      <c r="N246" s="375">
        <f t="shared" si="237"/>
        <v>0.35</v>
      </c>
      <c r="O246" s="375">
        <f t="shared" si="237"/>
        <v>0.35</v>
      </c>
      <c r="P246" s="375">
        <f t="shared" si="237"/>
        <v>0.35</v>
      </c>
      <c r="Q246" s="375">
        <f t="shared" si="237"/>
        <v>0.35</v>
      </c>
      <c r="R246" s="375">
        <f t="shared" si="237"/>
        <v>0.35</v>
      </c>
      <c r="AT246" s="376">
        <f t="shared" ref="AT246:BG246" si="238">SUM(AT243:AT245)</f>
        <v>0.2</v>
      </c>
      <c r="AU246" s="376">
        <f t="shared" si="238"/>
        <v>0.2</v>
      </c>
      <c r="AV246" s="376">
        <f t="shared" si="238"/>
        <v>0.2</v>
      </c>
      <c r="AW246" s="376">
        <f t="shared" si="238"/>
        <v>0.2</v>
      </c>
      <c r="AX246" s="376">
        <f t="shared" si="238"/>
        <v>0.2</v>
      </c>
      <c r="AY246" s="376">
        <f t="shared" si="238"/>
        <v>0.2</v>
      </c>
      <c r="AZ246" s="376">
        <f t="shared" si="238"/>
        <v>0.2</v>
      </c>
      <c r="BA246" s="376">
        <f t="shared" si="238"/>
        <v>0.2</v>
      </c>
      <c r="BB246" s="376">
        <f t="shared" si="238"/>
        <v>0.2</v>
      </c>
      <c r="BC246" s="376">
        <f t="shared" si="238"/>
        <v>0.2</v>
      </c>
      <c r="BD246" s="376">
        <f t="shared" si="238"/>
        <v>0.2</v>
      </c>
      <c r="BE246" s="376">
        <f t="shared" si="238"/>
        <v>0.2</v>
      </c>
      <c r="BF246" s="376">
        <f t="shared" si="238"/>
        <v>0.2</v>
      </c>
      <c r="BG246" s="376">
        <f t="shared" si="238"/>
        <v>0.2</v>
      </c>
    </row>
    <row r="247" ht="12.75" customHeight="1" outlineLevel="1">
      <c r="A247" s="90"/>
      <c r="B247" s="90"/>
      <c r="C247" s="90"/>
      <c r="D247" s="90"/>
      <c r="E247" s="90"/>
      <c r="F247" s="90"/>
      <c r="G247" s="152"/>
      <c r="H247" s="152"/>
      <c r="I247" s="152"/>
      <c r="J247" s="152"/>
      <c r="K247" s="152"/>
      <c r="L247" s="152"/>
      <c r="M247" s="152"/>
      <c r="N247" s="152"/>
      <c r="O247" s="152"/>
      <c r="P247" s="152"/>
      <c r="Q247" s="152"/>
      <c r="R247" s="152"/>
      <c r="AT247" s="352"/>
      <c r="AU247" s="352"/>
      <c r="AV247" s="352"/>
      <c r="AW247" s="352"/>
      <c r="AX247" s="352"/>
      <c r="AY247" s="352"/>
      <c r="AZ247" s="352"/>
      <c r="BA247" s="352"/>
      <c r="BB247" s="352"/>
      <c r="BC247" s="352"/>
      <c r="BD247" s="352"/>
      <c r="BE247" s="352"/>
      <c r="BF247" s="352"/>
      <c r="BG247" s="352"/>
    </row>
    <row r="248" ht="12.75" customHeight="1" outlineLevel="1">
      <c r="A248" s="90"/>
      <c r="B248" s="90"/>
      <c r="C248" s="90" t="s">
        <v>778</v>
      </c>
      <c r="D248" s="90"/>
      <c r="E248" s="90"/>
      <c r="F248" s="90"/>
      <c r="G248" s="152">
        <f>'RSGen 1-7'!G248</f>
        <v>0</v>
      </c>
      <c r="H248" s="152">
        <f>'RSGen 1-7'!H248</f>
        <v>0</v>
      </c>
      <c r="I248" s="152">
        <f>'RSGen 1-7'!I248</f>
        <v>0</v>
      </c>
      <c r="J248" s="152">
        <f>'RSGen 1-7'!J248</f>
        <v>0</v>
      </c>
      <c r="K248" s="152">
        <f>'RSGen 1-7'!K248</f>
        <v>0</v>
      </c>
      <c r="L248" s="152">
        <f>'RSGen 1-7'!L248</f>
        <v>0</v>
      </c>
      <c r="M248" s="152" t="str">
        <f>'RS3'!P247</f>
        <v/>
      </c>
      <c r="N248" s="152" t="str">
        <f>'RS3'!Q247</f>
        <v/>
      </c>
      <c r="O248" s="152" t="str">
        <f>'RS3'!R247</f>
        <v/>
      </c>
      <c r="P248" s="152" t="str">
        <f>'RS3'!S247</f>
        <v/>
      </c>
      <c r="Q248" s="152" t="str">
        <f>'RS3'!T247</f>
        <v/>
      </c>
      <c r="R248" s="152" t="str">
        <f>'RS3'!U247</f>
        <v/>
      </c>
      <c r="AT248" s="352">
        <f>'RS2'!AV246</f>
        <v>0</v>
      </c>
      <c r="AU248" s="352" t="str">
        <f>'RS2'!AW246</f>
        <v/>
      </c>
      <c r="AV248" s="352" t="str">
        <f>'RS2'!AX246</f>
        <v/>
      </c>
      <c r="AW248" s="352" t="str">
        <f>'RS2'!AY246</f>
        <v/>
      </c>
      <c r="AX248" s="352" t="str">
        <f>'RS2'!AZ246</f>
        <v/>
      </c>
      <c r="AY248" s="352" t="str">
        <f>'RS2'!BA246</f>
        <v/>
      </c>
      <c r="AZ248" s="352" t="str">
        <f>'RS2'!BB246</f>
        <v/>
      </c>
      <c r="BA248" s="352" t="str">
        <f>'RS2'!BC246</f>
        <v/>
      </c>
      <c r="BB248" s="352" t="str">
        <f>'RS2'!BD246</f>
        <v/>
      </c>
      <c r="BC248" s="352" t="str">
        <f>'RS2'!BE246</f>
        <v/>
      </c>
      <c r="BD248" s="352" t="str">
        <f>'RS2'!BF246</f>
        <v/>
      </c>
      <c r="BE248" s="352" t="str">
        <f>'RS2'!BG246</f>
        <v/>
      </c>
      <c r="BF248" s="352" t="str">
        <f>'RS2'!BH246</f>
        <v/>
      </c>
      <c r="BG248" s="352" t="str">
        <f>'RS2'!BI246</f>
        <v/>
      </c>
    </row>
    <row r="249" ht="12.75" customHeight="1" outlineLevel="1">
      <c r="A249" s="90"/>
      <c r="B249" s="90"/>
      <c r="C249" s="90" t="s">
        <v>779</v>
      </c>
      <c r="D249" s="90"/>
      <c r="E249" s="90"/>
      <c r="F249" s="90"/>
      <c r="G249" s="152">
        <f>'RSGen 1-7'!G249</f>
        <v>0</v>
      </c>
      <c r="H249" s="152">
        <f>'RSGen 1-7'!H249</f>
        <v>0.01</v>
      </c>
      <c r="I249" s="152">
        <f>'RSGen 1-7'!I249</f>
        <v>0.01</v>
      </c>
      <c r="J249" s="152">
        <f>'RSGen 1-7'!J249</f>
        <v>0.01</v>
      </c>
      <c r="K249" s="152">
        <f>'RSGen 1-7'!K249</f>
        <v>0.01</v>
      </c>
      <c r="L249" s="152">
        <f>'RSGen 1-7'!L249</f>
        <v>0.01</v>
      </c>
      <c r="M249" s="152">
        <f>'RS3'!P248</f>
        <v>0.01</v>
      </c>
      <c r="N249" s="152">
        <f>'RS3'!Q248</f>
        <v>0.01</v>
      </c>
      <c r="O249" s="152">
        <f>'RS3'!R248</f>
        <v>0.01</v>
      </c>
      <c r="P249" s="152">
        <f>'RS3'!S248</f>
        <v>0.01</v>
      </c>
      <c r="Q249" s="152">
        <f>'RS3'!T248</f>
        <v>0.01</v>
      </c>
      <c r="R249" s="152">
        <f>'RS3'!U248</f>
        <v>0.01</v>
      </c>
      <c r="AT249" s="352">
        <f>'RS2'!AV247</f>
        <v>0.01</v>
      </c>
      <c r="AU249" s="352" t="str">
        <f>'RS2'!AW247</f>
        <v/>
      </c>
      <c r="AV249" s="352" t="str">
        <f>'RS2'!AX247</f>
        <v/>
      </c>
      <c r="AW249" s="352" t="str">
        <f>'RS2'!AY247</f>
        <v/>
      </c>
      <c r="AX249" s="352" t="str">
        <f>'RS2'!AZ247</f>
        <v/>
      </c>
      <c r="AY249" s="352" t="str">
        <f>'RS2'!BA247</f>
        <v/>
      </c>
      <c r="AZ249" s="352" t="str">
        <f>'RS2'!BB247</f>
        <v/>
      </c>
      <c r="BA249" s="352" t="str">
        <f>'RS2'!BC247</f>
        <v/>
      </c>
      <c r="BB249" s="352" t="str">
        <f>'RS2'!BD247</f>
        <v/>
      </c>
      <c r="BC249" s="352" t="str">
        <f>'RS2'!BE247</f>
        <v/>
      </c>
      <c r="BD249" s="352" t="str">
        <f>'RS2'!BF247</f>
        <v/>
      </c>
      <c r="BE249" s="352" t="str">
        <f>'RS2'!BG247</f>
        <v/>
      </c>
      <c r="BF249" s="352" t="str">
        <f>'RS2'!BH247</f>
        <v/>
      </c>
      <c r="BG249" s="352" t="str">
        <f>'RS2'!BI247</f>
        <v/>
      </c>
    </row>
    <row r="250" ht="12.75" customHeight="1" outlineLevel="1">
      <c r="A250" s="90"/>
      <c r="B250" s="90"/>
      <c r="C250" s="90" t="s">
        <v>780</v>
      </c>
      <c r="D250" s="90"/>
      <c r="E250" s="90"/>
      <c r="F250" s="90"/>
      <c r="G250" s="152">
        <f>'RSGen 1-7'!G250</f>
        <v>0</v>
      </c>
      <c r="H250" s="152">
        <f>'RSGen 1-7'!H250</f>
        <v>0.04</v>
      </c>
      <c r="I250" s="152">
        <f>'RSGen 1-7'!I250</f>
        <v>0.04</v>
      </c>
      <c r="J250" s="152">
        <f>'RSGen 1-7'!J250</f>
        <v>0.04</v>
      </c>
      <c r="K250" s="152">
        <f>'RSGen 1-7'!K250</f>
        <v>0.04</v>
      </c>
      <c r="L250" s="152">
        <f>'RSGen 1-7'!L250</f>
        <v>0.04</v>
      </c>
      <c r="M250" s="152">
        <f>'RS3'!P249</f>
        <v>0.04</v>
      </c>
      <c r="N250" s="152">
        <f>'RS3'!Q249</f>
        <v>0.04</v>
      </c>
      <c r="O250" s="152">
        <f>'RS3'!R249</f>
        <v>0.04</v>
      </c>
      <c r="P250" s="152">
        <f>'RS3'!S249</f>
        <v>0.04</v>
      </c>
      <c r="Q250" s="152">
        <f>'RS3'!T249</f>
        <v>0.04</v>
      </c>
      <c r="R250" s="152">
        <f>'RS3'!U249</f>
        <v>0.04</v>
      </c>
      <c r="AT250" s="352">
        <f>'RS2'!AV248</f>
        <v>0.04</v>
      </c>
      <c r="AU250" s="352" t="str">
        <f>'RS2'!AW248</f>
        <v/>
      </c>
      <c r="AV250" s="352" t="str">
        <f>'RS2'!AX248</f>
        <v/>
      </c>
      <c r="AW250" s="352" t="str">
        <f>'RS2'!AY248</f>
        <v/>
      </c>
      <c r="AX250" s="352" t="str">
        <f>'RS2'!AZ248</f>
        <v/>
      </c>
      <c r="AY250" s="352" t="str">
        <f>'RS2'!BA248</f>
        <v/>
      </c>
      <c r="AZ250" s="352" t="str">
        <f>'RS2'!BB248</f>
        <v/>
      </c>
      <c r="BA250" s="352" t="str">
        <f>'RS2'!BC248</f>
        <v/>
      </c>
      <c r="BB250" s="352" t="str">
        <f>'RS2'!BD248</f>
        <v/>
      </c>
      <c r="BC250" s="352" t="str">
        <f>'RS2'!BE248</f>
        <v/>
      </c>
      <c r="BD250" s="352" t="str">
        <f>'RS2'!BF248</f>
        <v/>
      </c>
      <c r="BE250" s="352" t="str">
        <f>'RS2'!BG248</f>
        <v/>
      </c>
      <c r="BF250" s="352" t="str">
        <f>'RS2'!BH248</f>
        <v/>
      </c>
      <c r="BG250" s="352" t="str">
        <f>'RS2'!BI248</f>
        <v/>
      </c>
    </row>
    <row r="251" ht="12.75" customHeight="1" outlineLevel="1">
      <c r="A251" s="90"/>
      <c r="B251" s="90"/>
      <c r="C251" s="90"/>
      <c r="D251" s="90" t="s">
        <v>781</v>
      </c>
      <c r="E251" s="90"/>
      <c r="F251" s="90"/>
      <c r="G251" s="99" t="str">
        <f>'RS3'!J250</f>
        <v/>
      </c>
      <c r="H251" s="99">
        <v>250000.0</v>
      </c>
      <c r="I251" s="99">
        <f>'RS3'!L250</f>
        <v>0</v>
      </c>
      <c r="J251" s="99" t="str">
        <f>'RS3'!M250</f>
        <v/>
      </c>
      <c r="K251" s="99" t="str">
        <f>'RS3'!N250</f>
        <v/>
      </c>
      <c r="L251" s="99" t="str">
        <f>'RS3'!O250</f>
        <v/>
      </c>
      <c r="M251" s="99" t="str">
        <f>'RS3'!P250</f>
        <v/>
      </c>
      <c r="N251" s="99" t="str">
        <f>'RS3'!Q250</f>
        <v/>
      </c>
      <c r="O251" s="99" t="str">
        <f>'RS3'!R250</f>
        <v/>
      </c>
      <c r="P251" s="99" t="str">
        <f>'RS3'!S250</f>
        <v/>
      </c>
      <c r="Q251" s="99" t="str">
        <f>'RS3'!T250</f>
        <v/>
      </c>
      <c r="R251" s="99" t="str">
        <f>'RS3'!U250</f>
        <v/>
      </c>
      <c r="AT251" s="308" t="str">
        <f t="shared" ref="AT251:BG251" si="239">AS251</f>
        <v/>
      </c>
      <c r="AU251" s="308" t="str">
        <f t="shared" si="239"/>
        <v/>
      </c>
      <c r="AV251" s="308" t="str">
        <f t="shared" si="239"/>
        <v/>
      </c>
      <c r="AW251" s="308" t="str">
        <f t="shared" si="239"/>
        <v/>
      </c>
      <c r="AX251" s="308" t="str">
        <f t="shared" si="239"/>
        <v/>
      </c>
      <c r="AY251" s="308" t="str">
        <f t="shared" si="239"/>
        <v/>
      </c>
      <c r="AZ251" s="308" t="str">
        <f t="shared" si="239"/>
        <v/>
      </c>
      <c r="BA251" s="308" t="str">
        <f t="shared" si="239"/>
        <v/>
      </c>
      <c r="BB251" s="308" t="str">
        <f t="shared" si="239"/>
        <v/>
      </c>
      <c r="BC251" s="308" t="str">
        <f t="shared" si="239"/>
        <v/>
      </c>
      <c r="BD251" s="308" t="str">
        <f t="shared" si="239"/>
        <v/>
      </c>
      <c r="BE251" s="308" t="str">
        <f t="shared" si="239"/>
        <v/>
      </c>
      <c r="BF251" s="308" t="str">
        <f t="shared" si="239"/>
        <v/>
      </c>
      <c r="BG251" s="308" t="str">
        <f t="shared" si="239"/>
        <v/>
      </c>
    </row>
    <row r="252" ht="12.75" customHeight="1" outlineLevel="1">
      <c r="A252" s="90"/>
      <c r="B252" s="90"/>
      <c r="C252" s="90" t="s">
        <v>782</v>
      </c>
      <c r="D252" s="90"/>
      <c r="E252" s="90"/>
      <c r="F252" s="90"/>
      <c r="G252" s="152">
        <f>'RSGen 1-7'!G252</f>
        <v>0</v>
      </c>
      <c r="H252" s="152">
        <f>'RSGen 1-7'!H252</f>
        <v>0.04</v>
      </c>
      <c r="I252" s="152">
        <f>'RSGen 1-7'!I252</f>
        <v>0.04</v>
      </c>
      <c r="J252" s="152">
        <f>'RSGen 1-7'!J252</f>
        <v>0.04</v>
      </c>
      <c r="K252" s="152">
        <f>'RSGen 1-7'!K252</f>
        <v>0.04</v>
      </c>
      <c r="L252" s="152">
        <f>'RSGen 1-7'!L252</f>
        <v>0.04</v>
      </c>
      <c r="M252" s="152">
        <f>'RSGen 1-7'!M252</f>
        <v>0.04</v>
      </c>
      <c r="N252" s="152">
        <f>'RSGen 1-7'!N252</f>
        <v>0.04</v>
      </c>
      <c r="O252" s="152">
        <f>'RSGen 1-7'!O252</f>
        <v>0.04</v>
      </c>
      <c r="P252" s="152">
        <f>'RSGen 1-7'!P252</f>
        <v>0.04</v>
      </c>
      <c r="Q252" s="152">
        <f>'RSGen 1-7'!Q252</f>
        <v>0.04</v>
      </c>
      <c r="R252" s="152">
        <f>'RSGen 1-7'!R252</f>
        <v>0.04</v>
      </c>
      <c r="AT252" s="352">
        <f>'RS2'!AV250</f>
        <v>0.04</v>
      </c>
      <c r="AU252" s="352" t="str">
        <f>'RS2'!AW250</f>
        <v/>
      </c>
      <c r="AV252" s="352" t="str">
        <f>'RS2'!AX250</f>
        <v/>
      </c>
      <c r="AW252" s="352" t="str">
        <f>'RS2'!AY250</f>
        <v/>
      </c>
      <c r="AX252" s="352" t="str">
        <f>'RS2'!AZ250</f>
        <v/>
      </c>
      <c r="AY252" s="352" t="str">
        <f>'RS2'!BA250</f>
        <v/>
      </c>
      <c r="AZ252" s="352" t="str">
        <f>'RS2'!BB250</f>
        <v/>
      </c>
      <c r="BA252" s="352" t="str">
        <f>'RS2'!BC250</f>
        <v/>
      </c>
      <c r="BB252" s="352" t="str">
        <f>'RS2'!BD250</f>
        <v/>
      </c>
      <c r="BC252" s="352" t="str">
        <f>'RS2'!BE250</f>
        <v/>
      </c>
      <c r="BD252" s="352" t="str">
        <f>'RS2'!BF250</f>
        <v/>
      </c>
      <c r="BE252" s="352" t="str">
        <f>'RS2'!BG250</f>
        <v/>
      </c>
      <c r="BF252" s="352" t="str">
        <f>'RS2'!BH250</f>
        <v/>
      </c>
      <c r="BG252" s="352" t="str">
        <f>'RS2'!BI250</f>
        <v/>
      </c>
    </row>
    <row r="253" ht="12.75" customHeight="1" outlineLevel="1">
      <c r="A253" s="90"/>
      <c r="B253" s="90"/>
      <c r="C253" s="90" t="s">
        <v>783</v>
      </c>
      <c r="D253" s="90"/>
      <c r="E253" s="90"/>
      <c r="F253" s="90"/>
      <c r="G253" s="152">
        <f>'RSGen 1-7'!G253</f>
        <v>0</v>
      </c>
      <c r="H253" s="152">
        <f>'RSGen 1-7'!H253</f>
        <v>0.05</v>
      </c>
      <c r="I253" s="152">
        <f>'RSGen 1-7'!I253</f>
        <v>0.04</v>
      </c>
      <c r="J253" s="152">
        <f>'RSGen 1-7'!J253</f>
        <v>0.04</v>
      </c>
      <c r="K253" s="152">
        <f>'RSGen 1-7'!K253</f>
        <v>0.04</v>
      </c>
      <c r="L253" s="152">
        <f>'RSGen 1-7'!L253</f>
        <v>0.04</v>
      </c>
      <c r="M253" s="152">
        <f>'RSGen 1-7'!M253</f>
        <v>0.04</v>
      </c>
      <c r="N253" s="152">
        <f>'RSGen 1-7'!N253</f>
        <v>0.04</v>
      </c>
      <c r="O253" s="152">
        <f>'RSGen 1-7'!O253</f>
        <v>0.04</v>
      </c>
      <c r="P253" s="152">
        <f>'RSGen 1-7'!P253</f>
        <v>0.04</v>
      </c>
      <c r="Q253" s="152">
        <f>'RSGen 1-7'!Q253</f>
        <v>0.04</v>
      </c>
      <c r="R253" s="152">
        <f>'RSGen 1-7'!R253</f>
        <v>0.04</v>
      </c>
      <c r="AT253" s="352">
        <f>'RS2'!AV251</f>
        <v>0.04</v>
      </c>
      <c r="AU253" s="352" t="str">
        <f>'RS2'!AW251</f>
        <v/>
      </c>
      <c r="AV253" s="352" t="str">
        <f>'RS2'!AX251</f>
        <v/>
      </c>
      <c r="AW253" s="352" t="str">
        <f>'RS2'!AY251</f>
        <v/>
      </c>
      <c r="AX253" s="352" t="str">
        <f>'RS2'!AZ251</f>
        <v/>
      </c>
      <c r="AY253" s="352" t="str">
        <f>'RS2'!BA251</f>
        <v/>
      </c>
      <c r="AZ253" s="352" t="str">
        <f>'RS2'!BB251</f>
        <v/>
      </c>
      <c r="BA253" s="352" t="str">
        <f>'RS2'!BC251</f>
        <v/>
      </c>
      <c r="BB253" s="352" t="str">
        <f>'RS2'!BD251</f>
        <v/>
      </c>
      <c r="BC253" s="352" t="str">
        <f>'RS2'!BE251</f>
        <v/>
      </c>
      <c r="BD253" s="352" t="str">
        <f>'RS2'!BF251</f>
        <v/>
      </c>
      <c r="BE253" s="352" t="str">
        <f>'RS2'!BG251</f>
        <v/>
      </c>
      <c r="BF253" s="352" t="str">
        <f>'RS2'!BH251</f>
        <v/>
      </c>
      <c r="BG253" s="352" t="str">
        <f>'RS2'!BI251</f>
        <v/>
      </c>
    </row>
    <row r="254" ht="12.75" customHeight="1" outlineLevel="1">
      <c r="A254" s="90"/>
      <c r="B254" s="90"/>
      <c r="C254" s="90" t="s">
        <v>784</v>
      </c>
      <c r="D254" s="90"/>
      <c r="E254" s="90"/>
      <c r="F254" s="90"/>
      <c r="G254" s="152">
        <f>'RSGen 1-7'!G254</f>
        <v>0</v>
      </c>
      <c r="H254" s="152">
        <f>'RSGen 1-7'!H254</f>
        <v>0.01</v>
      </c>
      <c r="I254" s="152">
        <f>'RSGen 1-7'!I254</f>
        <v>0.01</v>
      </c>
      <c r="J254" s="152">
        <f>'RSGen 1-7'!J254</f>
        <v>0.01</v>
      </c>
      <c r="K254" s="152">
        <f>'RSGen 1-7'!K254</f>
        <v>0.01</v>
      </c>
      <c r="L254" s="152">
        <f>'RSGen 1-7'!L254</f>
        <v>0.01</v>
      </c>
      <c r="M254" s="152">
        <f>'RSGen 1-7'!M254</f>
        <v>0.01</v>
      </c>
      <c r="N254" s="152">
        <f>'RSGen 1-7'!N254</f>
        <v>0.01</v>
      </c>
      <c r="O254" s="152">
        <f>'RSGen 1-7'!O254</f>
        <v>0.01</v>
      </c>
      <c r="P254" s="152">
        <f>'RSGen 1-7'!P254</f>
        <v>0.01</v>
      </c>
      <c r="Q254" s="152">
        <f>'RSGen 1-7'!Q254</f>
        <v>0.01</v>
      </c>
      <c r="R254" s="152">
        <f>'RSGen 1-7'!R254</f>
        <v>0.01</v>
      </c>
      <c r="AT254" s="352">
        <f>'RS2'!AV252</f>
        <v>0.01</v>
      </c>
      <c r="AU254" s="352" t="str">
        <f>'RS2'!AW252</f>
        <v/>
      </c>
      <c r="AV254" s="352" t="str">
        <f>'RS2'!AX252</f>
        <v/>
      </c>
      <c r="AW254" s="352" t="str">
        <f>'RS2'!AY252</f>
        <v/>
      </c>
      <c r="AX254" s="352" t="str">
        <f>'RS2'!AZ252</f>
        <v/>
      </c>
      <c r="AY254" s="352" t="str">
        <f>'RS2'!BA252</f>
        <v/>
      </c>
      <c r="AZ254" s="352" t="str">
        <f>'RS2'!BB252</f>
        <v/>
      </c>
      <c r="BA254" s="352" t="str">
        <f>'RS2'!BC252</f>
        <v/>
      </c>
      <c r="BB254" s="352" t="str">
        <f>'RS2'!BD252</f>
        <v/>
      </c>
      <c r="BC254" s="352" t="str">
        <f>'RS2'!BE252</f>
        <v/>
      </c>
      <c r="BD254" s="352" t="str">
        <f>'RS2'!BF252</f>
        <v/>
      </c>
      <c r="BE254" s="352" t="str">
        <f>'RS2'!BG252</f>
        <v/>
      </c>
      <c r="BF254" s="352" t="str">
        <f>'RS2'!BH252</f>
        <v/>
      </c>
      <c r="BG254" s="352" t="str">
        <f>'RS2'!BI252</f>
        <v/>
      </c>
    </row>
    <row r="255" ht="12.75" customHeight="1" outlineLevel="1">
      <c r="A255" s="90"/>
      <c r="B255" s="90"/>
      <c r="C255" s="90"/>
      <c r="D255" s="90"/>
      <c r="E255" s="90"/>
      <c r="F255" s="90"/>
      <c r="G255" s="152"/>
      <c r="H255" s="152"/>
      <c r="I255" s="152"/>
      <c r="J255" s="152"/>
      <c r="K255" s="152"/>
      <c r="L255" s="152"/>
      <c r="M255" s="152"/>
      <c r="N255" s="152"/>
      <c r="O255" s="152"/>
      <c r="P255" s="152"/>
      <c r="Q255" s="152"/>
      <c r="R255" s="152"/>
      <c r="AT255" s="352"/>
      <c r="AU255" s="352"/>
      <c r="AV255" s="352"/>
      <c r="AW255" s="352"/>
      <c r="AX255" s="352"/>
      <c r="AY255" s="352"/>
      <c r="AZ255" s="352"/>
      <c r="BA255" s="352"/>
      <c r="BB255" s="352"/>
      <c r="BC255" s="352"/>
      <c r="BD255" s="352"/>
      <c r="BE255" s="352"/>
      <c r="BF255" s="352"/>
      <c r="BG255" s="352"/>
    </row>
    <row r="256" ht="12.75" customHeight="1">
      <c r="A256" s="90"/>
      <c r="B256" s="90"/>
      <c r="C256" s="90"/>
      <c r="D256" s="90"/>
      <c r="E256" s="90"/>
      <c r="F256" s="90"/>
      <c r="G256" s="90"/>
      <c r="H256" s="90"/>
      <c r="I256" s="90"/>
      <c r="J256" s="90"/>
      <c r="K256" s="90"/>
      <c r="L256" s="90"/>
      <c r="M256" s="90"/>
      <c r="N256" s="90"/>
      <c r="O256" s="90"/>
      <c r="P256" s="90"/>
      <c r="Q256" s="90"/>
      <c r="R256" s="90"/>
      <c r="AT256" s="313"/>
      <c r="AU256" s="313"/>
      <c r="AV256" s="313"/>
      <c r="AW256" s="313"/>
      <c r="AX256" s="313"/>
      <c r="AY256" s="313"/>
      <c r="AZ256" s="313"/>
      <c r="BA256" s="313"/>
      <c r="BB256" s="313"/>
      <c r="BC256" s="313"/>
      <c r="BD256" s="313"/>
      <c r="BE256" s="313"/>
      <c r="BF256" s="313"/>
      <c r="BG256" s="313"/>
    </row>
    <row r="257" ht="12.75" customHeight="1">
      <c r="A257" s="106" t="s">
        <v>539</v>
      </c>
      <c r="B257" s="253"/>
      <c r="C257" s="253"/>
      <c r="D257" s="253"/>
      <c r="E257" s="253"/>
      <c r="F257" s="253"/>
      <c r="G257" s="253"/>
      <c r="H257" s="253"/>
      <c r="I257" s="253"/>
      <c r="J257" s="253"/>
      <c r="K257" s="253"/>
      <c r="L257" s="253"/>
      <c r="M257" s="253"/>
      <c r="N257" s="253"/>
      <c r="O257" s="253"/>
      <c r="P257" s="253"/>
      <c r="Q257" s="253"/>
      <c r="R257" s="253"/>
      <c r="AT257" s="314"/>
      <c r="AU257" s="314"/>
      <c r="AV257" s="314"/>
      <c r="AW257" s="314"/>
      <c r="AX257" s="314"/>
      <c r="AY257" s="314"/>
      <c r="AZ257" s="314"/>
      <c r="BA257" s="314"/>
      <c r="BB257" s="314"/>
      <c r="BC257" s="314"/>
      <c r="BD257" s="314"/>
      <c r="BE257" s="314"/>
      <c r="BF257" s="314"/>
      <c r="BG257" s="314"/>
    </row>
    <row r="258" ht="12.75" customHeight="1" outlineLevel="1">
      <c r="A258" s="67"/>
      <c r="B258" s="90"/>
      <c r="C258" s="90"/>
      <c r="D258" s="90"/>
      <c r="E258" s="90"/>
      <c r="F258" s="90"/>
      <c r="G258" s="90"/>
      <c r="H258" s="90"/>
      <c r="I258" s="90"/>
      <c r="J258" s="90"/>
      <c r="K258" s="90"/>
      <c r="L258" s="90"/>
      <c r="M258" s="90"/>
      <c r="N258" s="90"/>
      <c r="O258" s="90"/>
      <c r="P258" s="90"/>
      <c r="Q258" s="90"/>
      <c r="R258" s="90"/>
      <c r="AT258" s="313"/>
      <c r="AU258" s="313"/>
      <c r="AV258" s="313"/>
      <c r="AW258" s="313"/>
      <c r="AX258" s="313"/>
      <c r="AY258" s="313"/>
      <c r="AZ258" s="313"/>
      <c r="BA258" s="313"/>
      <c r="BB258" s="313"/>
      <c r="BC258" s="313"/>
      <c r="BD258" s="313"/>
      <c r="BE258" s="313"/>
      <c r="BF258" s="313"/>
      <c r="BG258" s="313"/>
    </row>
    <row r="259" ht="12.75" customHeight="1" outlineLevel="1">
      <c r="A259" s="67" t="s">
        <v>275</v>
      </c>
      <c r="B259" s="90"/>
      <c r="C259" s="90"/>
      <c r="D259" s="90"/>
      <c r="E259" s="90"/>
      <c r="F259" s="90"/>
      <c r="G259" s="90"/>
      <c r="H259" s="90"/>
      <c r="I259" s="90"/>
      <c r="J259" s="90"/>
      <c r="K259" s="90"/>
      <c r="L259" s="90"/>
      <c r="M259" s="90"/>
      <c r="N259" s="90"/>
      <c r="O259" s="90"/>
      <c r="P259" s="90"/>
      <c r="Q259" s="90"/>
      <c r="R259" s="90"/>
      <c r="AT259" s="313"/>
      <c r="AU259" s="313"/>
      <c r="AV259" s="313"/>
      <c r="AW259" s="313"/>
      <c r="AX259" s="313"/>
      <c r="AY259" s="313"/>
      <c r="AZ259" s="313"/>
      <c r="BA259" s="313"/>
      <c r="BB259" s="313"/>
      <c r="BC259" s="313"/>
      <c r="BD259" s="313"/>
      <c r="BE259" s="313"/>
      <c r="BF259" s="313"/>
      <c r="BG259" s="313"/>
    </row>
    <row r="260" ht="12.75" customHeight="1" outlineLevel="1">
      <c r="A260" s="90"/>
      <c r="B260" s="67" t="s">
        <v>544</v>
      </c>
      <c r="C260" s="90"/>
      <c r="D260" s="90"/>
      <c r="E260" s="90"/>
      <c r="F260" s="90"/>
      <c r="G260" s="152"/>
      <c r="H260" s="152"/>
      <c r="I260" s="152"/>
      <c r="J260" s="152"/>
      <c r="K260" s="90"/>
      <c r="L260" s="90"/>
      <c r="M260" s="90"/>
      <c r="N260" s="90"/>
      <c r="O260" s="90"/>
      <c r="P260" s="90"/>
      <c r="Q260" s="90"/>
      <c r="R260" s="90"/>
      <c r="AT260" s="313"/>
      <c r="AU260" s="313"/>
      <c r="AV260" s="313"/>
      <c r="AW260" s="313"/>
      <c r="AX260" s="313"/>
      <c r="AY260" s="313"/>
      <c r="AZ260" s="313"/>
      <c r="BA260" s="313"/>
      <c r="BB260" s="313"/>
      <c r="BC260" s="313"/>
      <c r="BD260" s="313"/>
      <c r="BE260" s="313"/>
      <c r="BF260" s="313"/>
      <c r="BG260" s="313"/>
    </row>
    <row r="261" ht="12.75" customHeight="1" outlineLevel="1">
      <c r="A261" s="90"/>
      <c r="B261" s="90"/>
      <c r="C261" s="90" t="s">
        <v>785</v>
      </c>
      <c r="D261" s="90"/>
      <c r="E261" s="90"/>
      <c r="F261" s="90"/>
      <c r="G261" s="99">
        <f t="shared" ref="G261:R261" si="240">G91*G54+G92*G55</f>
        <v>0</v>
      </c>
      <c r="H261" s="99">
        <f t="shared" si="240"/>
        <v>0</v>
      </c>
      <c r="I261" s="99">
        <f t="shared" si="240"/>
        <v>1798056.96</v>
      </c>
      <c r="J261" s="99">
        <f t="shared" si="240"/>
        <v>2133634.56</v>
      </c>
      <c r="K261" s="99">
        <f t="shared" si="240"/>
        <v>2303419.2</v>
      </c>
      <c r="L261" s="99">
        <f t="shared" si="240"/>
        <v>2303419.2</v>
      </c>
      <c r="M261" s="99">
        <f t="shared" si="240"/>
        <v>2303419.2</v>
      </c>
      <c r="N261" s="99">
        <f t="shared" si="240"/>
        <v>2303419.2</v>
      </c>
      <c r="O261" s="99">
        <f t="shared" si="240"/>
        <v>2303419.2</v>
      </c>
      <c r="P261" s="99">
        <f t="shared" si="240"/>
        <v>2303419.2</v>
      </c>
      <c r="Q261" s="99">
        <f t="shared" si="240"/>
        <v>2303419.2</v>
      </c>
      <c r="R261" s="99">
        <f t="shared" si="240"/>
        <v>2303419.2</v>
      </c>
      <c r="AT261" s="308">
        <f t="shared" ref="AT261:BG261" si="241">AT91*AT54+AT92*AT55</f>
        <v>0</v>
      </c>
      <c r="AU261" s="308">
        <f t="shared" si="241"/>
        <v>0</v>
      </c>
      <c r="AV261" s="308">
        <f t="shared" si="241"/>
        <v>0</v>
      </c>
      <c r="AW261" s="308">
        <f t="shared" si="241"/>
        <v>0</v>
      </c>
      <c r="AX261" s="308">
        <f t="shared" si="241"/>
        <v>0</v>
      </c>
      <c r="AY261" s="308">
        <f t="shared" si="241"/>
        <v>0</v>
      </c>
      <c r="AZ261" s="308">
        <f t="shared" si="241"/>
        <v>0</v>
      </c>
      <c r="BA261" s="308">
        <f t="shared" si="241"/>
        <v>0</v>
      </c>
      <c r="BB261" s="308">
        <f t="shared" si="241"/>
        <v>0</v>
      </c>
      <c r="BC261" s="308">
        <f t="shared" si="241"/>
        <v>0</v>
      </c>
      <c r="BD261" s="308">
        <f t="shared" si="241"/>
        <v>0</v>
      </c>
      <c r="BE261" s="308">
        <f t="shared" si="241"/>
        <v>0</v>
      </c>
      <c r="BF261" s="308">
        <f t="shared" si="241"/>
        <v>0</v>
      </c>
      <c r="BG261" s="308">
        <f t="shared" si="241"/>
        <v>0</v>
      </c>
    </row>
    <row r="262" ht="12.75" customHeight="1" outlineLevel="1">
      <c r="A262" s="90"/>
      <c r="B262" s="90"/>
      <c r="C262" s="90" t="s">
        <v>669</v>
      </c>
      <c r="D262" s="90"/>
      <c r="E262" s="90"/>
      <c r="F262" s="90"/>
      <c r="G262" s="99">
        <f t="shared" ref="G262:R262" si="242">G93*G56</f>
        <v>0</v>
      </c>
      <c r="H262" s="99">
        <f t="shared" si="242"/>
        <v>0</v>
      </c>
      <c r="I262" s="99">
        <f t="shared" si="242"/>
        <v>150904.32</v>
      </c>
      <c r="J262" s="99">
        <f t="shared" si="242"/>
        <v>178621.44</v>
      </c>
      <c r="K262" s="99">
        <f t="shared" si="242"/>
        <v>192480</v>
      </c>
      <c r="L262" s="99">
        <f t="shared" si="242"/>
        <v>192480</v>
      </c>
      <c r="M262" s="99">
        <f t="shared" si="242"/>
        <v>192480</v>
      </c>
      <c r="N262" s="99">
        <f t="shared" si="242"/>
        <v>192480</v>
      </c>
      <c r="O262" s="99">
        <f t="shared" si="242"/>
        <v>192480</v>
      </c>
      <c r="P262" s="99">
        <f t="shared" si="242"/>
        <v>192480</v>
      </c>
      <c r="Q262" s="99">
        <f t="shared" si="242"/>
        <v>192480</v>
      </c>
      <c r="R262" s="99">
        <f t="shared" si="242"/>
        <v>192480</v>
      </c>
      <c r="AT262" s="308">
        <f t="shared" ref="AT262:BG262" si="243">AT93*AT56</f>
        <v>0</v>
      </c>
      <c r="AU262" s="308">
        <f t="shared" si="243"/>
        <v>0</v>
      </c>
      <c r="AV262" s="308">
        <f t="shared" si="243"/>
        <v>0</v>
      </c>
      <c r="AW262" s="308">
        <f t="shared" si="243"/>
        <v>0</v>
      </c>
      <c r="AX262" s="308">
        <f t="shared" si="243"/>
        <v>0</v>
      </c>
      <c r="AY262" s="308">
        <f t="shared" si="243"/>
        <v>0</v>
      </c>
      <c r="AZ262" s="308">
        <f t="shared" si="243"/>
        <v>0</v>
      </c>
      <c r="BA262" s="308">
        <f t="shared" si="243"/>
        <v>0</v>
      </c>
      <c r="BB262" s="308">
        <f t="shared" si="243"/>
        <v>0</v>
      </c>
      <c r="BC262" s="308">
        <f t="shared" si="243"/>
        <v>0</v>
      </c>
      <c r="BD262" s="308">
        <f t="shared" si="243"/>
        <v>0</v>
      </c>
      <c r="BE262" s="308">
        <f t="shared" si="243"/>
        <v>0</v>
      </c>
      <c r="BF262" s="308">
        <f t="shared" si="243"/>
        <v>0</v>
      </c>
      <c r="BG262" s="308">
        <f t="shared" si="243"/>
        <v>0</v>
      </c>
    </row>
    <row r="263" ht="12.75" customHeight="1" outlineLevel="1">
      <c r="A263" s="90"/>
      <c r="B263" s="90"/>
      <c r="C263" s="90" t="s">
        <v>670</v>
      </c>
      <c r="D263" s="90"/>
      <c r="E263" s="90"/>
      <c r="F263" s="90"/>
      <c r="G263" s="99">
        <f t="shared" ref="G263:R263" si="244">G77*G94</f>
        <v>0</v>
      </c>
      <c r="H263" s="99">
        <f t="shared" si="244"/>
        <v>0</v>
      </c>
      <c r="I263" s="99">
        <f t="shared" si="244"/>
        <v>193026</v>
      </c>
      <c r="J263" s="99">
        <f t="shared" si="244"/>
        <v>193026</v>
      </c>
      <c r="K263" s="99">
        <f t="shared" si="244"/>
        <v>221328</v>
      </c>
      <c r="L263" s="99">
        <f t="shared" si="244"/>
        <v>230232</v>
      </c>
      <c r="M263" s="99">
        <f t="shared" si="244"/>
        <v>222600</v>
      </c>
      <c r="N263" s="99">
        <f t="shared" si="244"/>
        <v>215604</v>
      </c>
      <c r="O263" s="99">
        <f t="shared" si="244"/>
        <v>208926</v>
      </c>
      <c r="P263" s="99">
        <f t="shared" si="244"/>
        <v>202248</v>
      </c>
      <c r="Q263" s="99">
        <f t="shared" si="244"/>
        <v>198750</v>
      </c>
      <c r="R263" s="99">
        <f t="shared" si="244"/>
        <v>198750</v>
      </c>
      <c r="AT263" s="308">
        <f t="shared" ref="AT263:BG263" si="245">AT77*AT94</f>
        <v>0</v>
      </c>
      <c r="AU263" s="308">
        <f t="shared" si="245"/>
        <v>0</v>
      </c>
      <c r="AV263" s="308">
        <f t="shared" si="245"/>
        <v>0</v>
      </c>
      <c r="AW263" s="308">
        <f t="shared" si="245"/>
        <v>0</v>
      </c>
      <c r="AX263" s="308">
        <f t="shared" si="245"/>
        <v>0</v>
      </c>
      <c r="AY263" s="308">
        <f t="shared" si="245"/>
        <v>0</v>
      </c>
      <c r="AZ263" s="308">
        <f t="shared" si="245"/>
        <v>0</v>
      </c>
      <c r="BA263" s="308">
        <f t="shared" si="245"/>
        <v>0</v>
      </c>
      <c r="BB263" s="308">
        <f t="shared" si="245"/>
        <v>0</v>
      </c>
      <c r="BC263" s="308">
        <f t="shared" si="245"/>
        <v>0</v>
      </c>
      <c r="BD263" s="308">
        <f t="shared" si="245"/>
        <v>0</v>
      </c>
      <c r="BE263" s="308">
        <f t="shared" si="245"/>
        <v>0</v>
      </c>
      <c r="BF263" s="308">
        <f t="shared" si="245"/>
        <v>0</v>
      </c>
      <c r="BG263" s="308">
        <f t="shared" si="245"/>
        <v>0</v>
      </c>
    </row>
    <row r="264" ht="12.75" customHeight="1" outlineLevel="1">
      <c r="A264" s="90"/>
      <c r="B264" s="90"/>
      <c r="C264" s="90" t="s">
        <v>671</v>
      </c>
      <c r="D264" s="90"/>
      <c r="E264" s="90"/>
      <c r="F264" s="90"/>
      <c r="G264" s="99">
        <f t="shared" ref="G264:H264" si="246">G95*G54</f>
        <v>0</v>
      </c>
      <c r="H264" s="99">
        <f t="shared" si="246"/>
        <v>0</v>
      </c>
      <c r="I264" s="99">
        <f t="shared" ref="I264:K264" si="247">MIN(I41,$AY$115)*I96+MIN(I42,$AY$116)*I97+MIN(I43,$AY$117)*I98+MIN(I44,$AY$118)*I99</f>
        <v>0</v>
      </c>
      <c r="J264" s="99">
        <f t="shared" si="247"/>
        <v>0</v>
      </c>
      <c r="K264" s="99">
        <f t="shared" si="247"/>
        <v>0</v>
      </c>
      <c r="L264" s="99">
        <f t="shared" ref="L264:R264" si="248">L95*L54</f>
        <v>0</v>
      </c>
      <c r="M264" s="99">
        <f t="shared" si="248"/>
        <v>0</v>
      </c>
      <c r="N264" s="99">
        <f t="shared" si="248"/>
        <v>0</v>
      </c>
      <c r="O264" s="99">
        <f t="shared" si="248"/>
        <v>0</v>
      </c>
      <c r="P264" s="99">
        <f t="shared" si="248"/>
        <v>0</v>
      </c>
      <c r="Q264" s="99">
        <f t="shared" si="248"/>
        <v>0</v>
      </c>
      <c r="R264" s="99">
        <f t="shared" si="248"/>
        <v>0</v>
      </c>
      <c r="AT264" s="308">
        <f t="shared" ref="AT264:BG264" si="249">AT95*AT54</f>
        <v>0</v>
      </c>
      <c r="AU264" s="308">
        <f t="shared" si="249"/>
        <v>0</v>
      </c>
      <c r="AV264" s="308">
        <f t="shared" si="249"/>
        <v>0</v>
      </c>
      <c r="AW264" s="308">
        <f t="shared" si="249"/>
        <v>0</v>
      </c>
      <c r="AX264" s="308">
        <f t="shared" si="249"/>
        <v>0</v>
      </c>
      <c r="AY264" s="308">
        <f t="shared" si="249"/>
        <v>0</v>
      </c>
      <c r="AZ264" s="308">
        <f t="shared" si="249"/>
        <v>0</v>
      </c>
      <c r="BA264" s="308">
        <f t="shared" si="249"/>
        <v>0</v>
      </c>
      <c r="BB264" s="308">
        <f t="shared" si="249"/>
        <v>0</v>
      </c>
      <c r="BC264" s="308">
        <f t="shared" si="249"/>
        <v>0</v>
      </c>
      <c r="BD264" s="308">
        <f t="shared" si="249"/>
        <v>0</v>
      </c>
      <c r="BE264" s="308">
        <f t="shared" si="249"/>
        <v>0</v>
      </c>
      <c r="BF264" s="308">
        <f t="shared" si="249"/>
        <v>0</v>
      </c>
      <c r="BG264" s="308">
        <f t="shared" si="249"/>
        <v>0</v>
      </c>
    </row>
    <row r="265" ht="12.75" customHeight="1" outlineLevel="1">
      <c r="A265" s="90"/>
      <c r="B265" s="90"/>
      <c r="C265" s="90" t="s">
        <v>676</v>
      </c>
      <c r="D265" s="90"/>
      <c r="E265" s="90"/>
      <c r="F265" s="90"/>
      <c r="G265" s="99">
        <f t="shared" ref="G265:R265" si="250">G85*G100</f>
        <v>0</v>
      </c>
      <c r="H265" s="99">
        <f t="shared" si="250"/>
        <v>0</v>
      </c>
      <c r="I265" s="99">
        <f t="shared" si="250"/>
        <v>0</v>
      </c>
      <c r="J265" s="99">
        <f t="shared" si="250"/>
        <v>0</v>
      </c>
      <c r="K265" s="99">
        <f t="shared" si="250"/>
        <v>0</v>
      </c>
      <c r="L265" s="99">
        <f t="shared" si="250"/>
        <v>0</v>
      </c>
      <c r="M265" s="99">
        <f t="shared" si="250"/>
        <v>0</v>
      </c>
      <c r="N265" s="99">
        <f t="shared" si="250"/>
        <v>0</v>
      </c>
      <c r="O265" s="99">
        <f t="shared" si="250"/>
        <v>0</v>
      </c>
      <c r="P265" s="99">
        <f t="shared" si="250"/>
        <v>0</v>
      </c>
      <c r="Q265" s="99">
        <f t="shared" si="250"/>
        <v>0</v>
      </c>
      <c r="R265" s="99">
        <f t="shared" si="250"/>
        <v>0</v>
      </c>
      <c r="AT265" s="308">
        <f t="shared" ref="AT265:BG265" si="251">AT85*AT100</f>
        <v>0</v>
      </c>
      <c r="AU265" s="308">
        <f t="shared" si="251"/>
        <v>0</v>
      </c>
      <c r="AV265" s="308">
        <f t="shared" si="251"/>
        <v>0</v>
      </c>
      <c r="AW265" s="308">
        <f t="shared" si="251"/>
        <v>0</v>
      </c>
      <c r="AX265" s="308">
        <f t="shared" si="251"/>
        <v>0</v>
      </c>
      <c r="AY265" s="308">
        <f t="shared" si="251"/>
        <v>0</v>
      </c>
      <c r="AZ265" s="308">
        <f t="shared" si="251"/>
        <v>0</v>
      </c>
      <c r="BA265" s="308">
        <f t="shared" si="251"/>
        <v>0</v>
      </c>
      <c r="BB265" s="308">
        <f t="shared" si="251"/>
        <v>0</v>
      </c>
      <c r="BC265" s="308">
        <f t="shared" si="251"/>
        <v>0</v>
      </c>
      <c r="BD265" s="308">
        <f t="shared" si="251"/>
        <v>0</v>
      </c>
      <c r="BE265" s="308">
        <f t="shared" si="251"/>
        <v>0</v>
      </c>
      <c r="BF265" s="308">
        <f t="shared" si="251"/>
        <v>0</v>
      </c>
      <c r="BG265" s="308">
        <f t="shared" si="251"/>
        <v>0</v>
      </c>
    </row>
    <row r="266" ht="12.75" customHeight="1" outlineLevel="1">
      <c r="A266" s="90"/>
      <c r="B266" s="90"/>
      <c r="C266" s="90" t="s">
        <v>786</v>
      </c>
      <c r="D266" s="90"/>
      <c r="E266" s="90"/>
      <c r="F266" s="90"/>
      <c r="G266" s="99">
        <f t="shared" ref="G266:H266" si="252">(G101+G102)*E56</f>
        <v>0</v>
      </c>
      <c r="H266" s="99">
        <f t="shared" si="252"/>
        <v>0</v>
      </c>
      <c r="I266" s="99">
        <f t="shared" ref="I266:R266" si="253">(I101+I102)*I56</f>
        <v>46776.576</v>
      </c>
      <c r="J266" s="99">
        <f t="shared" si="253"/>
        <v>55368.192</v>
      </c>
      <c r="K266" s="99">
        <f t="shared" si="253"/>
        <v>59664</v>
      </c>
      <c r="L266" s="99">
        <f t="shared" si="253"/>
        <v>59664</v>
      </c>
      <c r="M266" s="99">
        <f t="shared" si="253"/>
        <v>59664</v>
      </c>
      <c r="N266" s="99">
        <f t="shared" si="253"/>
        <v>59664</v>
      </c>
      <c r="O266" s="99">
        <f t="shared" si="253"/>
        <v>59664</v>
      </c>
      <c r="P266" s="99">
        <f t="shared" si="253"/>
        <v>59664</v>
      </c>
      <c r="Q266" s="99">
        <f t="shared" si="253"/>
        <v>59664</v>
      </c>
      <c r="R266" s="99">
        <f t="shared" si="253"/>
        <v>59664</v>
      </c>
      <c r="AT266" s="308">
        <f t="shared" ref="AT266:BG266" si="254">(AT101+AT102)*AT56</f>
        <v>0</v>
      </c>
      <c r="AU266" s="308">
        <f t="shared" si="254"/>
        <v>0</v>
      </c>
      <c r="AV266" s="308">
        <f t="shared" si="254"/>
        <v>0</v>
      </c>
      <c r="AW266" s="308">
        <f t="shared" si="254"/>
        <v>0</v>
      </c>
      <c r="AX266" s="308">
        <f t="shared" si="254"/>
        <v>0</v>
      </c>
      <c r="AY266" s="308">
        <f t="shared" si="254"/>
        <v>0</v>
      </c>
      <c r="AZ266" s="308">
        <f t="shared" si="254"/>
        <v>0</v>
      </c>
      <c r="BA266" s="308">
        <f t="shared" si="254"/>
        <v>0</v>
      </c>
      <c r="BB266" s="308">
        <f t="shared" si="254"/>
        <v>0</v>
      </c>
      <c r="BC266" s="308">
        <f t="shared" si="254"/>
        <v>0</v>
      </c>
      <c r="BD266" s="308">
        <f t="shared" si="254"/>
        <v>0</v>
      </c>
      <c r="BE266" s="308">
        <f t="shared" si="254"/>
        <v>0</v>
      </c>
      <c r="BF266" s="308">
        <f t="shared" si="254"/>
        <v>0</v>
      </c>
      <c r="BG266" s="308">
        <f t="shared" si="254"/>
        <v>0</v>
      </c>
    </row>
    <row r="267" ht="12.75" customHeight="1" outlineLevel="1">
      <c r="A267" s="90"/>
      <c r="B267" s="90"/>
      <c r="C267" s="90" t="s">
        <v>787</v>
      </c>
      <c r="D267" s="90"/>
      <c r="E267" s="90"/>
      <c r="F267" s="90"/>
      <c r="G267" s="99"/>
      <c r="H267" s="99"/>
      <c r="I267" s="99"/>
      <c r="J267" s="99"/>
      <c r="K267" s="99"/>
      <c r="L267" s="99"/>
      <c r="M267" s="99"/>
      <c r="N267" s="99"/>
      <c r="O267" s="99"/>
      <c r="P267" s="99"/>
      <c r="Q267" s="99"/>
      <c r="R267" s="99"/>
      <c r="AT267" s="308"/>
      <c r="AU267" s="308"/>
      <c r="AV267" s="308"/>
      <c r="AW267" s="308"/>
      <c r="AX267" s="308"/>
      <c r="AY267" s="308"/>
      <c r="AZ267" s="308"/>
      <c r="BA267" s="308"/>
      <c r="BB267" s="308"/>
      <c r="BC267" s="308"/>
      <c r="BD267" s="308"/>
      <c r="BE267" s="308"/>
      <c r="BF267" s="308"/>
      <c r="BG267" s="308"/>
    </row>
    <row r="268" ht="12.75" customHeight="1" outlineLevel="1">
      <c r="A268" s="90"/>
      <c r="B268" s="90"/>
      <c r="C268" s="90" t="s">
        <v>680</v>
      </c>
      <c r="D268" s="90"/>
      <c r="E268" s="90"/>
      <c r="F268" s="90"/>
      <c r="G268" s="99">
        <v>0.0</v>
      </c>
      <c r="H268" s="99">
        <v>0.0</v>
      </c>
      <c r="I268" s="99">
        <f>MIN(I104*I56,0.75*(650000))</f>
        <v>225792</v>
      </c>
      <c r="J268" s="99">
        <f t="shared" ref="J268:R268" si="255">MIN(J104*J56,0.75*(I379))</f>
        <v>267264</v>
      </c>
      <c r="K268" s="99">
        <f t="shared" si="255"/>
        <v>288000</v>
      </c>
      <c r="L268" s="99">
        <f t="shared" si="255"/>
        <v>288000</v>
      </c>
      <c r="M268" s="99">
        <f t="shared" si="255"/>
        <v>288000</v>
      </c>
      <c r="N268" s="99">
        <f t="shared" si="255"/>
        <v>288000</v>
      </c>
      <c r="O268" s="99">
        <f t="shared" si="255"/>
        <v>288000</v>
      </c>
      <c r="P268" s="99">
        <f t="shared" si="255"/>
        <v>288000</v>
      </c>
      <c r="Q268" s="99">
        <f t="shared" si="255"/>
        <v>288000</v>
      </c>
      <c r="R268" s="99">
        <f t="shared" si="255"/>
        <v>288000</v>
      </c>
      <c r="AT268" s="308">
        <f t="shared" ref="AT268:BG268" si="256">MIN(AT104*AT56,0.75*(AS379))</f>
        <v>0</v>
      </c>
      <c r="AU268" s="308" t="str">
        <f t="shared" si="256"/>
        <v>#REF!</v>
      </c>
      <c r="AV268" s="308" t="str">
        <f t="shared" si="256"/>
        <v>#REF!</v>
      </c>
      <c r="AW268" s="308" t="str">
        <f t="shared" si="256"/>
        <v>#REF!</v>
      </c>
      <c r="AX268" s="308" t="str">
        <f t="shared" si="256"/>
        <v>#REF!</v>
      </c>
      <c r="AY268" s="308" t="str">
        <f t="shared" si="256"/>
        <v>#REF!</v>
      </c>
      <c r="AZ268" s="308" t="str">
        <f t="shared" si="256"/>
        <v>#REF!</v>
      </c>
      <c r="BA268" s="308" t="str">
        <f t="shared" si="256"/>
        <v>#REF!</v>
      </c>
      <c r="BB268" s="308" t="str">
        <f t="shared" si="256"/>
        <v>#REF!</v>
      </c>
      <c r="BC268" s="308" t="str">
        <f t="shared" si="256"/>
        <v>#REF!</v>
      </c>
      <c r="BD268" s="308" t="str">
        <f t="shared" si="256"/>
        <v>#REF!</v>
      </c>
      <c r="BE268" s="308" t="str">
        <f t="shared" si="256"/>
        <v>#REF!</v>
      </c>
      <c r="BF268" s="308" t="str">
        <f t="shared" si="256"/>
        <v>#REF!</v>
      </c>
      <c r="BG268" s="308" t="str">
        <f t="shared" si="256"/>
        <v>#REF!</v>
      </c>
    </row>
    <row r="269" ht="12.75" customHeight="1" outlineLevel="1">
      <c r="A269" s="90"/>
      <c r="B269" s="90"/>
      <c r="C269" s="90" t="s">
        <v>681</v>
      </c>
      <c r="D269" s="90"/>
      <c r="E269" s="90"/>
      <c r="F269" s="90"/>
      <c r="G269" s="99">
        <f t="shared" ref="G269:R269" si="257">G105*G$56</f>
        <v>0</v>
      </c>
      <c r="H269" s="99">
        <f t="shared" si="257"/>
        <v>0</v>
      </c>
      <c r="I269" s="99">
        <f t="shared" si="257"/>
        <v>0</v>
      </c>
      <c r="J269" s="99">
        <f t="shared" si="257"/>
        <v>0</v>
      </c>
      <c r="K269" s="99">
        <f t="shared" si="257"/>
        <v>0</v>
      </c>
      <c r="L269" s="99">
        <f t="shared" si="257"/>
        <v>0</v>
      </c>
      <c r="M269" s="99">
        <f t="shared" si="257"/>
        <v>0</v>
      </c>
      <c r="N269" s="99">
        <f t="shared" si="257"/>
        <v>0</v>
      </c>
      <c r="O269" s="99">
        <f t="shared" si="257"/>
        <v>0</v>
      </c>
      <c r="P269" s="99">
        <f t="shared" si="257"/>
        <v>0</v>
      </c>
      <c r="Q269" s="99">
        <f t="shared" si="257"/>
        <v>0</v>
      </c>
      <c r="R269" s="99">
        <f t="shared" si="257"/>
        <v>0</v>
      </c>
      <c r="AT269" s="308">
        <f t="shared" ref="AT269:BG269" si="258">AT105*AT$56</f>
        <v>0</v>
      </c>
      <c r="AU269" s="308">
        <f t="shared" si="258"/>
        <v>0</v>
      </c>
      <c r="AV269" s="308">
        <f t="shared" si="258"/>
        <v>0</v>
      </c>
      <c r="AW269" s="308">
        <f t="shared" si="258"/>
        <v>0</v>
      </c>
      <c r="AX269" s="308">
        <f t="shared" si="258"/>
        <v>0</v>
      </c>
      <c r="AY269" s="308">
        <f t="shared" si="258"/>
        <v>0</v>
      </c>
      <c r="AZ269" s="308">
        <f t="shared" si="258"/>
        <v>0</v>
      </c>
      <c r="BA269" s="308">
        <f t="shared" si="258"/>
        <v>0</v>
      </c>
      <c r="BB269" s="308">
        <f t="shared" si="258"/>
        <v>0</v>
      </c>
      <c r="BC269" s="308">
        <f t="shared" si="258"/>
        <v>0</v>
      </c>
      <c r="BD269" s="308">
        <f t="shared" si="258"/>
        <v>0</v>
      </c>
      <c r="BE269" s="308">
        <f t="shared" si="258"/>
        <v>0</v>
      </c>
      <c r="BF269" s="308">
        <f t="shared" si="258"/>
        <v>0</v>
      </c>
      <c r="BG269" s="308">
        <f t="shared" si="258"/>
        <v>0</v>
      </c>
    </row>
    <row r="270" ht="12.75" customHeight="1" outlineLevel="1">
      <c r="A270" s="90"/>
      <c r="B270" s="90"/>
      <c r="C270" s="90" t="s">
        <v>682</v>
      </c>
      <c r="D270" s="90"/>
      <c r="E270" s="90"/>
      <c r="F270" s="90"/>
      <c r="G270" s="99">
        <f t="shared" ref="G270:R270" si="259">G106*G$56</f>
        <v>0</v>
      </c>
      <c r="H270" s="99">
        <f t="shared" si="259"/>
        <v>0</v>
      </c>
      <c r="I270" s="99">
        <f t="shared" si="259"/>
        <v>0</v>
      </c>
      <c r="J270" s="99">
        <f t="shared" si="259"/>
        <v>0</v>
      </c>
      <c r="K270" s="99">
        <f t="shared" si="259"/>
        <v>0</v>
      </c>
      <c r="L270" s="99">
        <f t="shared" si="259"/>
        <v>0</v>
      </c>
      <c r="M270" s="99">
        <f t="shared" si="259"/>
        <v>0</v>
      </c>
      <c r="N270" s="99">
        <f t="shared" si="259"/>
        <v>0</v>
      </c>
      <c r="O270" s="99">
        <f t="shared" si="259"/>
        <v>0</v>
      </c>
      <c r="P270" s="99">
        <f t="shared" si="259"/>
        <v>0</v>
      </c>
      <c r="Q270" s="99">
        <f t="shared" si="259"/>
        <v>0</v>
      </c>
      <c r="R270" s="99">
        <f t="shared" si="259"/>
        <v>0</v>
      </c>
      <c r="AT270" s="308">
        <f t="shared" ref="AT270:BG270" si="260">AT106*AT$56</f>
        <v>0</v>
      </c>
      <c r="AU270" s="308">
        <f t="shared" si="260"/>
        <v>0</v>
      </c>
      <c r="AV270" s="308">
        <f t="shared" si="260"/>
        <v>0</v>
      </c>
      <c r="AW270" s="308">
        <f t="shared" si="260"/>
        <v>0</v>
      </c>
      <c r="AX270" s="308">
        <f t="shared" si="260"/>
        <v>0</v>
      </c>
      <c r="AY270" s="308">
        <f t="shared" si="260"/>
        <v>0</v>
      </c>
      <c r="AZ270" s="308">
        <f t="shared" si="260"/>
        <v>0</v>
      </c>
      <c r="BA270" s="308">
        <f t="shared" si="260"/>
        <v>0</v>
      </c>
      <c r="BB270" s="308">
        <f t="shared" si="260"/>
        <v>0</v>
      </c>
      <c r="BC270" s="308">
        <f t="shared" si="260"/>
        <v>0</v>
      </c>
      <c r="BD270" s="308">
        <f t="shared" si="260"/>
        <v>0</v>
      </c>
      <c r="BE270" s="308">
        <f t="shared" si="260"/>
        <v>0</v>
      </c>
      <c r="BF270" s="308">
        <f t="shared" si="260"/>
        <v>0</v>
      </c>
      <c r="BG270" s="308">
        <f t="shared" si="260"/>
        <v>0</v>
      </c>
    </row>
    <row r="271" ht="12.75" customHeight="1" outlineLevel="1">
      <c r="A271" s="90"/>
      <c r="B271" s="90"/>
      <c r="C271" s="90" t="s">
        <v>683</v>
      </c>
      <c r="D271" s="90"/>
      <c r="E271" s="90"/>
      <c r="F271" s="90"/>
      <c r="G271" s="99">
        <f t="shared" ref="G271:R271" si="261">G107*G$56</f>
        <v>0</v>
      </c>
      <c r="H271" s="99">
        <f t="shared" si="261"/>
        <v>0</v>
      </c>
      <c r="I271" s="99">
        <f t="shared" si="261"/>
        <v>0</v>
      </c>
      <c r="J271" s="99">
        <f t="shared" si="261"/>
        <v>0</v>
      </c>
      <c r="K271" s="99">
        <f t="shared" si="261"/>
        <v>0</v>
      </c>
      <c r="L271" s="99">
        <f t="shared" si="261"/>
        <v>0</v>
      </c>
      <c r="M271" s="99">
        <f t="shared" si="261"/>
        <v>0</v>
      </c>
      <c r="N271" s="99">
        <f t="shared" si="261"/>
        <v>0</v>
      </c>
      <c r="O271" s="99">
        <f t="shared" si="261"/>
        <v>0</v>
      </c>
      <c r="P271" s="99">
        <f t="shared" si="261"/>
        <v>0</v>
      </c>
      <c r="Q271" s="99">
        <f t="shared" si="261"/>
        <v>0</v>
      </c>
      <c r="R271" s="99">
        <f t="shared" si="261"/>
        <v>0</v>
      </c>
      <c r="AT271" s="308">
        <f t="shared" ref="AT271:BG271" si="262">AT107*AT$56</f>
        <v>0</v>
      </c>
      <c r="AU271" s="308">
        <f t="shared" si="262"/>
        <v>0</v>
      </c>
      <c r="AV271" s="308">
        <f t="shared" si="262"/>
        <v>0</v>
      </c>
      <c r="AW271" s="308">
        <f t="shared" si="262"/>
        <v>0</v>
      </c>
      <c r="AX271" s="308">
        <f t="shared" si="262"/>
        <v>0</v>
      </c>
      <c r="AY271" s="308">
        <f t="shared" si="262"/>
        <v>0</v>
      </c>
      <c r="AZ271" s="308">
        <f t="shared" si="262"/>
        <v>0</v>
      </c>
      <c r="BA271" s="308">
        <f t="shared" si="262"/>
        <v>0</v>
      </c>
      <c r="BB271" s="308">
        <f t="shared" si="262"/>
        <v>0</v>
      </c>
      <c r="BC271" s="308">
        <f t="shared" si="262"/>
        <v>0</v>
      </c>
      <c r="BD271" s="308">
        <f t="shared" si="262"/>
        <v>0</v>
      </c>
      <c r="BE271" s="308">
        <f t="shared" si="262"/>
        <v>0</v>
      </c>
      <c r="BF271" s="308">
        <f t="shared" si="262"/>
        <v>0</v>
      </c>
      <c r="BG271" s="308">
        <f t="shared" si="262"/>
        <v>0</v>
      </c>
    </row>
    <row r="272" ht="12.75" customHeight="1" outlineLevel="1">
      <c r="A272" s="90"/>
      <c r="B272" s="87"/>
      <c r="C272" s="87" t="s">
        <v>684</v>
      </c>
      <c r="D272" s="87"/>
      <c r="E272" s="87"/>
      <c r="F272" s="87"/>
      <c r="G272" s="125">
        <f t="shared" ref="G272:R272" si="263">G108*G$56</f>
        <v>0</v>
      </c>
      <c r="H272" s="125">
        <f t="shared" si="263"/>
        <v>0</v>
      </c>
      <c r="I272" s="125">
        <f t="shared" si="263"/>
        <v>0</v>
      </c>
      <c r="J272" s="125">
        <f t="shared" si="263"/>
        <v>0</v>
      </c>
      <c r="K272" s="125">
        <f t="shared" si="263"/>
        <v>0</v>
      </c>
      <c r="L272" s="125">
        <f t="shared" si="263"/>
        <v>0</v>
      </c>
      <c r="M272" s="125">
        <f t="shared" si="263"/>
        <v>0</v>
      </c>
      <c r="N272" s="125">
        <f t="shared" si="263"/>
        <v>0</v>
      </c>
      <c r="O272" s="125">
        <f t="shared" si="263"/>
        <v>0</v>
      </c>
      <c r="P272" s="125">
        <f t="shared" si="263"/>
        <v>0</v>
      </c>
      <c r="Q272" s="125">
        <f t="shared" si="263"/>
        <v>0</v>
      </c>
      <c r="R272" s="125">
        <f t="shared" si="263"/>
        <v>0</v>
      </c>
      <c r="AT272" s="377">
        <f t="shared" ref="AT272:BG272" si="264">AT108*AT$56</f>
        <v>0</v>
      </c>
      <c r="AU272" s="377">
        <f t="shared" si="264"/>
        <v>0</v>
      </c>
      <c r="AV272" s="377">
        <f t="shared" si="264"/>
        <v>0</v>
      </c>
      <c r="AW272" s="377">
        <f t="shared" si="264"/>
        <v>0</v>
      </c>
      <c r="AX272" s="377">
        <f t="shared" si="264"/>
        <v>0</v>
      </c>
      <c r="AY272" s="377">
        <f t="shared" si="264"/>
        <v>0</v>
      </c>
      <c r="AZ272" s="377">
        <f t="shared" si="264"/>
        <v>0</v>
      </c>
      <c r="BA272" s="377">
        <f t="shared" si="264"/>
        <v>0</v>
      </c>
      <c r="BB272" s="377">
        <f t="shared" si="264"/>
        <v>0</v>
      </c>
      <c r="BC272" s="377">
        <f t="shared" si="264"/>
        <v>0</v>
      </c>
      <c r="BD272" s="377">
        <f t="shared" si="264"/>
        <v>0</v>
      </c>
      <c r="BE272" s="377">
        <f t="shared" si="264"/>
        <v>0</v>
      </c>
      <c r="BF272" s="377">
        <f t="shared" si="264"/>
        <v>0</v>
      </c>
      <c r="BG272" s="377">
        <f t="shared" si="264"/>
        <v>0</v>
      </c>
    </row>
    <row r="273" ht="12.75" customHeight="1" outlineLevel="1">
      <c r="A273" s="90"/>
      <c r="B273" s="67" t="s">
        <v>590</v>
      </c>
      <c r="C273" s="90"/>
      <c r="D273" s="90"/>
      <c r="E273" s="90"/>
      <c r="F273" s="90"/>
      <c r="G273" s="79">
        <f t="shared" ref="G273:R273" si="265">SUM(G261:G272)</f>
        <v>0</v>
      </c>
      <c r="H273" s="79">
        <f t="shared" si="265"/>
        <v>0</v>
      </c>
      <c r="I273" s="79">
        <f t="shared" si="265"/>
        <v>2414555.856</v>
      </c>
      <c r="J273" s="79">
        <f t="shared" si="265"/>
        <v>2827914.192</v>
      </c>
      <c r="K273" s="79">
        <f t="shared" si="265"/>
        <v>3064891.2</v>
      </c>
      <c r="L273" s="79">
        <f t="shared" si="265"/>
        <v>3073795.2</v>
      </c>
      <c r="M273" s="79">
        <f t="shared" si="265"/>
        <v>3066163.2</v>
      </c>
      <c r="N273" s="79">
        <f t="shared" si="265"/>
        <v>3059167.2</v>
      </c>
      <c r="O273" s="79">
        <f t="shared" si="265"/>
        <v>3052489.2</v>
      </c>
      <c r="P273" s="79">
        <f t="shared" si="265"/>
        <v>3045811.2</v>
      </c>
      <c r="Q273" s="79">
        <f t="shared" si="265"/>
        <v>3042313.2</v>
      </c>
      <c r="R273" s="79">
        <f t="shared" si="265"/>
        <v>3042313.2</v>
      </c>
      <c r="AT273" s="378">
        <f t="shared" ref="AT273:BG273" si="266">SUM(AT261:AT272)</f>
        <v>0</v>
      </c>
      <c r="AU273" s="378" t="str">
        <f t="shared" si="266"/>
        <v>#REF!</v>
      </c>
      <c r="AV273" s="378" t="str">
        <f t="shared" si="266"/>
        <v>#REF!</v>
      </c>
      <c r="AW273" s="378" t="str">
        <f t="shared" si="266"/>
        <v>#REF!</v>
      </c>
      <c r="AX273" s="378" t="str">
        <f t="shared" si="266"/>
        <v>#REF!</v>
      </c>
      <c r="AY273" s="378" t="str">
        <f t="shared" si="266"/>
        <v>#REF!</v>
      </c>
      <c r="AZ273" s="378" t="str">
        <f t="shared" si="266"/>
        <v>#REF!</v>
      </c>
      <c r="BA273" s="378" t="str">
        <f t="shared" si="266"/>
        <v>#REF!</v>
      </c>
      <c r="BB273" s="378" t="str">
        <f t="shared" si="266"/>
        <v>#REF!</v>
      </c>
      <c r="BC273" s="378" t="str">
        <f t="shared" si="266"/>
        <v>#REF!</v>
      </c>
      <c r="BD273" s="378" t="str">
        <f t="shared" si="266"/>
        <v>#REF!</v>
      </c>
      <c r="BE273" s="378" t="str">
        <f t="shared" si="266"/>
        <v>#REF!</v>
      </c>
      <c r="BF273" s="378" t="str">
        <f t="shared" si="266"/>
        <v>#REF!</v>
      </c>
      <c r="BG273" s="378" t="str">
        <f t="shared" si="266"/>
        <v>#REF!</v>
      </c>
    </row>
    <row r="274" ht="12.75" customHeight="1" outlineLevel="1">
      <c r="A274" s="90"/>
      <c r="B274" s="67"/>
      <c r="C274" s="90"/>
      <c r="D274" s="90"/>
      <c r="E274" s="90"/>
      <c r="F274" s="90"/>
      <c r="G274" s="79"/>
      <c r="H274" s="79"/>
      <c r="I274" s="79"/>
      <c r="J274" s="79"/>
      <c r="K274" s="79"/>
      <c r="L274" s="79"/>
      <c r="M274" s="79"/>
      <c r="N274" s="79"/>
      <c r="O274" s="79"/>
      <c r="P274" s="79"/>
      <c r="Q274" s="79"/>
      <c r="R274" s="79"/>
      <c r="AT274" s="378"/>
      <c r="AU274" s="378"/>
      <c r="AV274" s="378"/>
      <c r="AW274" s="378"/>
      <c r="AX274" s="378"/>
      <c r="AY274" s="378"/>
      <c r="AZ274" s="378"/>
      <c r="BA274" s="378"/>
      <c r="BB274" s="378"/>
      <c r="BC274" s="378"/>
      <c r="BD274" s="378"/>
      <c r="BE274" s="378"/>
      <c r="BF274" s="378"/>
      <c r="BG274" s="378"/>
    </row>
    <row r="275" ht="12.75" customHeight="1" outlineLevel="1">
      <c r="A275" s="90"/>
      <c r="B275" s="67" t="s">
        <v>545</v>
      </c>
      <c r="C275" s="90"/>
      <c r="D275" s="90"/>
      <c r="E275" s="90"/>
      <c r="F275" s="90"/>
      <c r="G275" s="90"/>
      <c r="H275" s="90"/>
      <c r="I275" s="90"/>
      <c r="J275" s="90"/>
      <c r="K275" s="90"/>
      <c r="L275" s="90"/>
      <c r="M275" s="90"/>
      <c r="N275" s="90"/>
      <c r="O275" s="90"/>
      <c r="P275" s="90"/>
      <c r="Q275" s="90"/>
      <c r="R275" s="90"/>
      <c r="AT275" s="313"/>
      <c r="AU275" s="313"/>
      <c r="AV275" s="313"/>
      <c r="AW275" s="313"/>
      <c r="AX275" s="313"/>
      <c r="AY275" s="313"/>
      <c r="AZ275" s="313"/>
      <c r="BA275" s="313"/>
      <c r="BB275" s="313"/>
      <c r="BC275" s="313"/>
      <c r="BD275" s="313"/>
      <c r="BE275" s="313"/>
      <c r="BF275" s="313"/>
      <c r="BG275" s="313"/>
    </row>
    <row r="276" ht="12.75" customHeight="1" outlineLevel="1">
      <c r="A276" s="90"/>
      <c r="B276" s="90"/>
      <c r="C276" s="90" t="s">
        <v>788</v>
      </c>
      <c r="D276" s="90"/>
      <c r="E276" s="90"/>
      <c r="F276" s="90"/>
      <c r="G276" s="99">
        <f t="shared" ref="G276:R276" si="267">G112*G64</f>
        <v>0</v>
      </c>
      <c r="H276" s="99">
        <f t="shared" si="267"/>
        <v>0</v>
      </c>
      <c r="I276" s="99">
        <f t="shared" si="267"/>
        <v>105216</v>
      </c>
      <c r="J276" s="99">
        <f t="shared" si="267"/>
        <v>124800</v>
      </c>
      <c r="K276" s="99">
        <f t="shared" si="267"/>
        <v>134400</v>
      </c>
      <c r="L276" s="99">
        <f t="shared" si="267"/>
        <v>134400</v>
      </c>
      <c r="M276" s="99">
        <f t="shared" si="267"/>
        <v>134400</v>
      </c>
      <c r="N276" s="99">
        <f t="shared" si="267"/>
        <v>134400</v>
      </c>
      <c r="O276" s="99">
        <f t="shared" si="267"/>
        <v>134400</v>
      </c>
      <c r="P276" s="99">
        <f t="shared" si="267"/>
        <v>134400</v>
      </c>
      <c r="Q276" s="99">
        <f t="shared" si="267"/>
        <v>134400</v>
      </c>
      <c r="R276" s="99">
        <f t="shared" si="267"/>
        <v>134400</v>
      </c>
      <c r="AT276" s="308">
        <f t="shared" ref="AT276:BG276" si="268">AT112*AT64</f>
        <v>0</v>
      </c>
      <c r="AU276" s="308">
        <f t="shared" si="268"/>
        <v>0</v>
      </c>
      <c r="AV276" s="308">
        <f t="shared" si="268"/>
        <v>0</v>
      </c>
      <c r="AW276" s="308">
        <f t="shared" si="268"/>
        <v>0</v>
      </c>
      <c r="AX276" s="308">
        <f t="shared" si="268"/>
        <v>0</v>
      </c>
      <c r="AY276" s="308">
        <f t="shared" si="268"/>
        <v>0</v>
      </c>
      <c r="AZ276" s="308">
        <f t="shared" si="268"/>
        <v>0</v>
      </c>
      <c r="BA276" s="308">
        <f t="shared" si="268"/>
        <v>0</v>
      </c>
      <c r="BB276" s="308">
        <f t="shared" si="268"/>
        <v>0</v>
      </c>
      <c r="BC276" s="308">
        <f t="shared" si="268"/>
        <v>0</v>
      </c>
      <c r="BD276" s="308">
        <f t="shared" si="268"/>
        <v>0</v>
      </c>
      <c r="BE276" s="308">
        <f t="shared" si="268"/>
        <v>0</v>
      </c>
      <c r="BF276" s="308">
        <f t="shared" si="268"/>
        <v>0</v>
      </c>
      <c r="BG276" s="308">
        <f t="shared" si="268"/>
        <v>0</v>
      </c>
    </row>
    <row r="277" ht="12.75" customHeight="1" outlineLevel="1">
      <c r="A277" s="90"/>
      <c r="B277" s="90"/>
      <c r="C277" s="90" t="s">
        <v>789</v>
      </c>
      <c r="D277" s="90"/>
      <c r="E277" s="90"/>
      <c r="F277" s="90"/>
      <c r="G277" s="99">
        <f t="shared" ref="G277:H277" si="269">G113*G66</f>
        <v>0</v>
      </c>
      <c r="H277" s="99">
        <f t="shared" si="269"/>
        <v>0</v>
      </c>
      <c r="I277" s="99">
        <f t="shared" ref="I277:R277" si="270">I113*I338</f>
        <v>124185.6</v>
      </c>
      <c r="J277" s="99">
        <f t="shared" si="270"/>
        <v>146995.2</v>
      </c>
      <c r="K277" s="99">
        <f t="shared" si="270"/>
        <v>158400</v>
      </c>
      <c r="L277" s="99">
        <f t="shared" si="270"/>
        <v>158400</v>
      </c>
      <c r="M277" s="99">
        <f t="shared" si="270"/>
        <v>158400</v>
      </c>
      <c r="N277" s="99">
        <f t="shared" si="270"/>
        <v>158400</v>
      </c>
      <c r="O277" s="99">
        <f t="shared" si="270"/>
        <v>158400</v>
      </c>
      <c r="P277" s="99">
        <f t="shared" si="270"/>
        <v>158400</v>
      </c>
      <c r="Q277" s="99">
        <f t="shared" si="270"/>
        <v>158400</v>
      </c>
      <c r="R277" s="99">
        <f t="shared" si="270"/>
        <v>158400</v>
      </c>
      <c r="AT277" s="308">
        <f t="shared" ref="AT277:BG277" si="271">AT113*AT66</f>
        <v>0</v>
      </c>
      <c r="AU277" s="308">
        <f t="shared" si="271"/>
        <v>0</v>
      </c>
      <c r="AV277" s="308">
        <f t="shared" si="271"/>
        <v>0</v>
      </c>
      <c r="AW277" s="308">
        <f t="shared" si="271"/>
        <v>0</v>
      </c>
      <c r="AX277" s="308">
        <f t="shared" si="271"/>
        <v>0</v>
      </c>
      <c r="AY277" s="308">
        <f t="shared" si="271"/>
        <v>0</v>
      </c>
      <c r="AZ277" s="308">
        <f t="shared" si="271"/>
        <v>0</v>
      </c>
      <c r="BA277" s="308">
        <f t="shared" si="271"/>
        <v>0</v>
      </c>
      <c r="BB277" s="308">
        <f t="shared" si="271"/>
        <v>0</v>
      </c>
      <c r="BC277" s="308">
        <f t="shared" si="271"/>
        <v>0</v>
      </c>
      <c r="BD277" s="308">
        <f t="shared" si="271"/>
        <v>0</v>
      </c>
      <c r="BE277" s="308">
        <f t="shared" si="271"/>
        <v>0</v>
      </c>
      <c r="BF277" s="308">
        <f t="shared" si="271"/>
        <v>0</v>
      </c>
      <c r="BG277" s="308">
        <f t="shared" si="271"/>
        <v>0</v>
      </c>
    </row>
    <row r="278" ht="12.75" customHeight="1" outlineLevel="1">
      <c r="A278" s="90"/>
      <c r="B278" s="90"/>
      <c r="C278" s="90" t="s">
        <v>790</v>
      </c>
      <c r="D278" s="90"/>
      <c r="E278" s="90"/>
      <c r="F278" s="90"/>
      <c r="G278" s="99">
        <v>0.0</v>
      </c>
      <c r="H278" s="99">
        <v>0.0</v>
      </c>
      <c r="I278" s="99">
        <v>8000.0</v>
      </c>
      <c r="J278" s="99">
        <v>8000.0</v>
      </c>
      <c r="K278" s="99">
        <v>8000.0</v>
      </c>
      <c r="L278" s="99">
        <v>8000.0</v>
      </c>
      <c r="M278" s="99">
        <v>8000.0</v>
      </c>
      <c r="N278" s="99">
        <v>8000.0</v>
      </c>
      <c r="O278" s="99">
        <v>8000.0</v>
      </c>
      <c r="P278" s="99">
        <v>8000.0</v>
      </c>
      <c r="Q278" s="99">
        <v>8000.0</v>
      </c>
      <c r="R278" s="99">
        <v>8000.0</v>
      </c>
      <c r="AT278" s="308"/>
      <c r="AU278" s="308"/>
      <c r="AV278" s="308"/>
      <c r="AW278" s="308"/>
      <c r="AX278" s="308"/>
      <c r="AY278" s="308"/>
      <c r="AZ278" s="308"/>
      <c r="BA278" s="308"/>
      <c r="BB278" s="308"/>
      <c r="BC278" s="308"/>
      <c r="BD278" s="308"/>
      <c r="BE278" s="308"/>
      <c r="BF278" s="308"/>
      <c r="BG278" s="308"/>
    </row>
    <row r="279" ht="12.75" customHeight="1" outlineLevel="1">
      <c r="A279" s="90"/>
      <c r="B279" s="90"/>
      <c r="C279" s="90" t="s">
        <v>689</v>
      </c>
      <c r="D279" s="90"/>
      <c r="E279" s="90"/>
      <c r="F279" s="90"/>
      <c r="G279" s="99">
        <f t="shared" ref="G279:R279" si="272">G115*G$56</f>
        <v>0</v>
      </c>
      <c r="H279" s="99">
        <f t="shared" si="272"/>
        <v>0</v>
      </c>
      <c r="I279" s="99">
        <f t="shared" si="272"/>
        <v>0</v>
      </c>
      <c r="J279" s="99">
        <f t="shared" si="272"/>
        <v>0</v>
      </c>
      <c r="K279" s="99">
        <f t="shared" si="272"/>
        <v>12831.85841</v>
      </c>
      <c r="L279" s="99">
        <f t="shared" si="272"/>
        <v>12831.85841</v>
      </c>
      <c r="M279" s="99">
        <f t="shared" si="272"/>
        <v>12831.85841</v>
      </c>
      <c r="N279" s="99">
        <f t="shared" si="272"/>
        <v>12831.85841</v>
      </c>
      <c r="O279" s="99">
        <f t="shared" si="272"/>
        <v>12831.85841</v>
      </c>
      <c r="P279" s="99">
        <f t="shared" si="272"/>
        <v>12831.85841</v>
      </c>
      <c r="Q279" s="99">
        <f t="shared" si="272"/>
        <v>12831.85841</v>
      </c>
      <c r="R279" s="99">
        <f t="shared" si="272"/>
        <v>12831.85841</v>
      </c>
      <c r="AT279" s="308">
        <f t="shared" ref="AT279:BG279" si="273">AT115*AT$56</f>
        <v>0</v>
      </c>
      <c r="AU279" s="308">
        <f t="shared" si="273"/>
        <v>0</v>
      </c>
      <c r="AV279" s="308">
        <f t="shared" si="273"/>
        <v>0</v>
      </c>
      <c r="AW279" s="308">
        <f t="shared" si="273"/>
        <v>0</v>
      </c>
      <c r="AX279" s="308">
        <f t="shared" si="273"/>
        <v>0</v>
      </c>
      <c r="AY279" s="308">
        <f t="shared" si="273"/>
        <v>0</v>
      </c>
      <c r="AZ279" s="308">
        <f t="shared" si="273"/>
        <v>0</v>
      </c>
      <c r="BA279" s="308">
        <f t="shared" si="273"/>
        <v>0</v>
      </c>
      <c r="BB279" s="308">
        <f t="shared" si="273"/>
        <v>0</v>
      </c>
      <c r="BC279" s="308">
        <f t="shared" si="273"/>
        <v>0</v>
      </c>
      <c r="BD279" s="308">
        <f t="shared" si="273"/>
        <v>0</v>
      </c>
      <c r="BE279" s="308">
        <f t="shared" si="273"/>
        <v>0</v>
      </c>
      <c r="BF279" s="308">
        <f t="shared" si="273"/>
        <v>0</v>
      </c>
      <c r="BG279" s="308">
        <f t="shared" si="273"/>
        <v>0</v>
      </c>
    </row>
    <row r="280" ht="12.75" customHeight="1" outlineLevel="1">
      <c r="A280" s="90"/>
      <c r="B280" s="90"/>
      <c r="C280" s="90" t="s">
        <v>690</v>
      </c>
      <c r="D280" s="90"/>
      <c r="E280" s="90"/>
      <c r="F280" s="90"/>
      <c r="G280" s="99">
        <f t="shared" ref="G280:R280" si="274">G116*G$56</f>
        <v>0</v>
      </c>
      <c r="H280" s="99">
        <f t="shared" si="274"/>
        <v>0</v>
      </c>
      <c r="I280" s="99">
        <f t="shared" si="274"/>
        <v>0</v>
      </c>
      <c r="J280" s="99">
        <f t="shared" si="274"/>
        <v>0</v>
      </c>
      <c r="K280" s="99">
        <f t="shared" si="274"/>
        <v>0</v>
      </c>
      <c r="L280" s="99">
        <f t="shared" si="274"/>
        <v>0</v>
      </c>
      <c r="M280" s="99">
        <f t="shared" si="274"/>
        <v>0</v>
      </c>
      <c r="N280" s="99">
        <f t="shared" si="274"/>
        <v>0</v>
      </c>
      <c r="O280" s="99">
        <f t="shared" si="274"/>
        <v>0</v>
      </c>
      <c r="P280" s="99">
        <f t="shared" si="274"/>
        <v>0</v>
      </c>
      <c r="Q280" s="99">
        <f t="shared" si="274"/>
        <v>0</v>
      </c>
      <c r="R280" s="99">
        <f t="shared" si="274"/>
        <v>0</v>
      </c>
      <c r="AT280" s="308">
        <f t="shared" ref="AT280:BG280" si="275">AT116*AT$56</f>
        <v>0</v>
      </c>
      <c r="AU280" s="308">
        <f t="shared" si="275"/>
        <v>0</v>
      </c>
      <c r="AV280" s="308">
        <f t="shared" si="275"/>
        <v>0</v>
      </c>
      <c r="AW280" s="308">
        <f t="shared" si="275"/>
        <v>0</v>
      </c>
      <c r="AX280" s="308">
        <f t="shared" si="275"/>
        <v>0</v>
      </c>
      <c r="AY280" s="308">
        <f t="shared" si="275"/>
        <v>0</v>
      </c>
      <c r="AZ280" s="308">
        <f t="shared" si="275"/>
        <v>0</v>
      </c>
      <c r="BA280" s="308">
        <f t="shared" si="275"/>
        <v>0</v>
      </c>
      <c r="BB280" s="308">
        <f t="shared" si="275"/>
        <v>0</v>
      </c>
      <c r="BC280" s="308">
        <f t="shared" si="275"/>
        <v>0</v>
      </c>
      <c r="BD280" s="308">
        <f t="shared" si="275"/>
        <v>0</v>
      </c>
      <c r="BE280" s="308">
        <f t="shared" si="275"/>
        <v>0</v>
      </c>
      <c r="BF280" s="308">
        <f t="shared" si="275"/>
        <v>0</v>
      </c>
      <c r="BG280" s="308">
        <f t="shared" si="275"/>
        <v>0</v>
      </c>
    </row>
    <row r="281" ht="12.75" customHeight="1" outlineLevel="1">
      <c r="A281" s="90"/>
      <c r="B281" s="87"/>
      <c r="C281" s="87" t="s">
        <v>791</v>
      </c>
      <c r="D281" s="87"/>
      <c r="E281" s="87"/>
      <c r="F281" s="87"/>
      <c r="G281" s="125">
        <f>G117*G$56</f>
        <v>0</v>
      </c>
      <c r="H281" s="125">
        <v>200000.0</v>
      </c>
      <c r="I281" s="125">
        <f>450000-H281</f>
        <v>250000</v>
      </c>
      <c r="J281" s="125">
        <v>150000.0</v>
      </c>
      <c r="K281" s="125">
        <f t="shared" ref="K281:R281" si="276">K117*K$56</f>
        <v>0</v>
      </c>
      <c r="L281" s="125">
        <f t="shared" si="276"/>
        <v>0</v>
      </c>
      <c r="M281" s="125">
        <f t="shared" si="276"/>
        <v>0</v>
      </c>
      <c r="N281" s="125">
        <f t="shared" si="276"/>
        <v>0</v>
      </c>
      <c r="O281" s="125">
        <f t="shared" si="276"/>
        <v>0</v>
      </c>
      <c r="P281" s="125">
        <f t="shared" si="276"/>
        <v>0</v>
      </c>
      <c r="Q281" s="125">
        <f t="shared" si="276"/>
        <v>0</v>
      </c>
      <c r="R281" s="125">
        <f t="shared" si="276"/>
        <v>0</v>
      </c>
      <c r="AT281" s="377">
        <f t="shared" ref="AT281:BG281" si="277">AT117*AT$56</f>
        <v>0</v>
      </c>
      <c r="AU281" s="377">
        <f t="shared" si="277"/>
        <v>0</v>
      </c>
      <c r="AV281" s="377">
        <f t="shared" si="277"/>
        <v>0</v>
      </c>
      <c r="AW281" s="377">
        <f t="shared" si="277"/>
        <v>0</v>
      </c>
      <c r="AX281" s="377">
        <f t="shared" si="277"/>
        <v>0</v>
      </c>
      <c r="AY281" s="377">
        <f t="shared" si="277"/>
        <v>0</v>
      </c>
      <c r="AZ281" s="377">
        <f t="shared" si="277"/>
        <v>0</v>
      </c>
      <c r="BA281" s="377">
        <f t="shared" si="277"/>
        <v>0</v>
      </c>
      <c r="BB281" s="377">
        <f t="shared" si="277"/>
        <v>0</v>
      </c>
      <c r="BC281" s="377">
        <f t="shared" si="277"/>
        <v>0</v>
      </c>
      <c r="BD281" s="377">
        <f t="shared" si="277"/>
        <v>0</v>
      </c>
      <c r="BE281" s="377">
        <f t="shared" si="277"/>
        <v>0</v>
      </c>
      <c r="BF281" s="377">
        <f t="shared" si="277"/>
        <v>0</v>
      </c>
      <c r="BG281" s="377">
        <f t="shared" si="277"/>
        <v>0</v>
      </c>
    </row>
    <row r="282" ht="12.75" customHeight="1" outlineLevel="1">
      <c r="A282" s="90"/>
      <c r="B282" s="67" t="s">
        <v>792</v>
      </c>
      <c r="C282" s="90"/>
      <c r="D282" s="90"/>
      <c r="E282" s="90"/>
      <c r="F282" s="90"/>
      <c r="G282" s="79">
        <f t="shared" ref="G282:R282" si="278">SUM(G276:G281)</f>
        <v>0</v>
      </c>
      <c r="H282" s="79">
        <f t="shared" si="278"/>
        <v>200000</v>
      </c>
      <c r="I282" s="79">
        <f t="shared" si="278"/>
        <v>487401.6</v>
      </c>
      <c r="J282" s="79">
        <f t="shared" si="278"/>
        <v>429795.2</v>
      </c>
      <c r="K282" s="79">
        <f t="shared" si="278"/>
        <v>313631.8584</v>
      </c>
      <c r="L282" s="79">
        <f t="shared" si="278"/>
        <v>313631.8584</v>
      </c>
      <c r="M282" s="79">
        <f t="shared" si="278"/>
        <v>313631.8584</v>
      </c>
      <c r="N282" s="79">
        <f t="shared" si="278"/>
        <v>313631.8584</v>
      </c>
      <c r="O282" s="79">
        <f t="shared" si="278"/>
        <v>313631.8584</v>
      </c>
      <c r="P282" s="79">
        <f t="shared" si="278"/>
        <v>313631.8584</v>
      </c>
      <c r="Q282" s="79">
        <f t="shared" si="278"/>
        <v>313631.8584</v>
      </c>
      <c r="R282" s="79">
        <f t="shared" si="278"/>
        <v>313631.8584</v>
      </c>
      <c r="AT282" s="378">
        <f t="shared" ref="AT282:BG282" si="279">SUM(AT276:AT281)</f>
        <v>0</v>
      </c>
      <c r="AU282" s="378">
        <f t="shared" si="279"/>
        <v>0</v>
      </c>
      <c r="AV282" s="378">
        <f t="shared" si="279"/>
        <v>0</v>
      </c>
      <c r="AW282" s="378">
        <f t="shared" si="279"/>
        <v>0</v>
      </c>
      <c r="AX282" s="378">
        <f t="shared" si="279"/>
        <v>0</v>
      </c>
      <c r="AY282" s="378">
        <f t="shared" si="279"/>
        <v>0</v>
      </c>
      <c r="AZ282" s="378">
        <f t="shared" si="279"/>
        <v>0</v>
      </c>
      <c r="BA282" s="378">
        <f t="shared" si="279"/>
        <v>0</v>
      </c>
      <c r="BB282" s="378">
        <f t="shared" si="279"/>
        <v>0</v>
      </c>
      <c r="BC282" s="378">
        <f t="shared" si="279"/>
        <v>0</v>
      </c>
      <c r="BD282" s="378">
        <f t="shared" si="279"/>
        <v>0</v>
      </c>
      <c r="BE282" s="378">
        <f t="shared" si="279"/>
        <v>0</v>
      </c>
      <c r="BF282" s="378">
        <f t="shared" si="279"/>
        <v>0</v>
      </c>
      <c r="BG282" s="378">
        <f t="shared" si="279"/>
        <v>0</v>
      </c>
    </row>
    <row r="283" ht="12.75" customHeight="1" outlineLevel="1">
      <c r="A283" s="90"/>
      <c r="B283" s="67"/>
      <c r="C283" s="90"/>
      <c r="D283" s="90"/>
      <c r="E283" s="90"/>
      <c r="F283" s="90"/>
      <c r="G283" s="79"/>
      <c r="H283" s="79"/>
      <c r="I283" s="79"/>
      <c r="J283" s="79"/>
      <c r="K283" s="79"/>
      <c r="L283" s="79"/>
      <c r="M283" s="79"/>
      <c r="N283" s="79"/>
      <c r="O283" s="79"/>
      <c r="P283" s="79"/>
      <c r="Q283" s="79"/>
      <c r="R283" s="79"/>
      <c r="AT283" s="378"/>
      <c r="AU283" s="378"/>
      <c r="AV283" s="378"/>
      <c r="AW283" s="378"/>
      <c r="AX283" s="378"/>
      <c r="AY283" s="378"/>
      <c r="AZ283" s="378"/>
      <c r="BA283" s="378"/>
      <c r="BB283" s="378"/>
      <c r="BC283" s="378"/>
      <c r="BD283" s="378"/>
      <c r="BE283" s="378"/>
      <c r="BF283" s="378"/>
      <c r="BG283" s="378"/>
    </row>
    <row r="284" ht="12.75" customHeight="1" outlineLevel="1">
      <c r="A284" s="90"/>
      <c r="B284" s="67" t="s">
        <v>793</v>
      </c>
      <c r="C284" s="90"/>
      <c r="D284" s="90"/>
      <c r="E284" s="90"/>
      <c r="F284" s="90"/>
      <c r="G284" s="90"/>
      <c r="H284" s="90"/>
      <c r="I284" s="90"/>
      <c r="J284" s="90"/>
      <c r="K284" s="90"/>
      <c r="L284" s="90"/>
      <c r="M284" s="90"/>
      <c r="N284" s="90"/>
      <c r="O284" s="90"/>
      <c r="P284" s="90"/>
      <c r="Q284" s="90"/>
      <c r="R284" s="90"/>
      <c r="AT284" s="313"/>
      <c r="AU284" s="313"/>
      <c r="AV284" s="313"/>
      <c r="AW284" s="313"/>
      <c r="AX284" s="313"/>
      <c r="AY284" s="313"/>
      <c r="AZ284" s="313"/>
      <c r="BA284" s="313"/>
      <c r="BB284" s="313"/>
      <c r="BC284" s="313"/>
      <c r="BD284" s="313"/>
      <c r="BE284" s="313"/>
      <c r="BF284" s="313"/>
      <c r="BG284" s="313"/>
    </row>
    <row r="285" ht="12.75" customHeight="1" outlineLevel="1">
      <c r="A285" s="90"/>
      <c r="B285" s="90"/>
      <c r="C285" s="90" t="s">
        <v>791</v>
      </c>
      <c r="D285" s="90"/>
      <c r="E285" s="90"/>
      <c r="F285" s="90"/>
      <c r="G285" s="99">
        <v>0.0</v>
      </c>
      <c r="H285" s="99">
        <v>0.0</v>
      </c>
      <c r="I285" s="99">
        <v>0.0</v>
      </c>
      <c r="J285" s="99">
        <v>0.0</v>
      </c>
      <c r="K285" s="99">
        <v>0.0</v>
      </c>
      <c r="L285" s="99">
        <v>0.0</v>
      </c>
      <c r="M285" s="99">
        <v>0.0</v>
      </c>
      <c r="N285" s="99">
        <v>0.0</v>
      </c>
      <c r="O285" s="99">
        <v>0.0</v>
      </c>
      <c r="P285" s="99">
        <v>0.0</v>
      </c>
      <c r="Q285" s="99">
        <v>0.0</v>
      </c>
      <c r="R285" s="99">
        <v>0.0</v>
      </c>
      <c r="AT285" s="308">
        <v>0.0</v>
      </c>
      <c r="AU285" s="308">
        <v>0.0</v>
      </c>
      <c r="AV285" s="308">
        <v>0.0</v>
      </c>
      <c r="AW285" s="308">
        <v>0.0</v>
      </c>
      <c r="AX285" s="308">
        <v>0.0</v>
      </c>
      <c r="AY285" s="308">
        <v>0.0</v>
      </c>
      <c r="AZ285" s="308">
        <v>0.0</v>
      </c>
      <c r="BA285" s="308">
        <v>0.0</v>
      </c>
      <c r="BB285" s="308">
        <v>0.0</v>
      </c>
      <c r="BC285" s="308">
        <v>0.0</v>
      </c>
      <c r="BD285" s="308">
        <v>0.0</v>
      </c>
      <c r="BE285" s="308">
        <v>0.0</v>
      </c>
      <c r="BF285" s="308">
        <v>0.0</v>
      </c>
      <c r="BG285" s="308">
        <v>0.0</v>
      </c>
    </row>
    <row r="286" ht="12.75" customHeight="1" outlineLevel="1">
      <c r="A286" s="90"/>
      <c r="B286" s="90"/>
      <c r="C286" s="90" t="s">
        <v>794</v>
      </c>
      <c r="D286" s="90"/>
      <c r="E286" s="90"/>
      <c r="F286" s="90"/>
      <c r="G286" s="99">
        <v>0.0</v>
      </c>
      <c r="H286" s="99">
        <v>0.0</v>
      </c>
      <c r="I286" s="99">
        <v>250000.0</v>
      </c>
      <c r="J286" s="99">
        <v>0.0</v>
      </c>
      <c r="K286" s="99">
        <v>0.0</v>
      </c>
      <c r="L286" s="99">
        <v>0.0</v>
      </c>
      <c r="M286" s="99">
        <v>0.0</v>
      </c>
      <c r="N286" s="99">
        <v>0.0</v>
      </c>
      <c r="O286" s="99">
        <v>0.0</v>
      </c>
      <c r="P286" s="99">
        <v>0.0</v>
      </c>
      <c r="Q286" s="99">
        <v>0.0</v>
      </c>
      <c r="R286" s="99">
        <v>0.0</v>
      </c>
      <c r="AT286" s="308">
        <v>0.0</v>
      </c>
      <c r="AU286" s="308">
        <v>0.0</v>
      </c>
      <c r="AV286" s="308">
        <v>0.0</v>
      </c>
      <c r="AW286" s="308">
        <v>0.0</v>
      </c>
      <c r="AX286" s="308">
        <v>0.0</v>
      </c>
      <c r="AY286" s="308">
        <v>0.0</v>
      </c>
      <c r="AZ286" s="308">
        <v>0.0</v>
      </c>
      <c r="BA286" s="308">
        <v>0.0</v>
      </c>
      <c r="BB286" s="308">
        <v>0.0</v>
      </c>
      <c r="BC286" s="308">
        <v>0.0</v>
      </c>
      <c r="BD286" s="308">
        <v>0.0</v>
      </c>
      <c r="BE286" s="308">
        <v>0.0</v>
      </c>
      <c r="BF286" s="308">
        <v>0.0</v>
      </c>
      <c r="BG286" s="308">
        <v>0.0</v>
      </c>
    </row>
    <row r="287" ht="12.75" customHeight="1" outlineLevel="1">
      <c r="A287" s="90"/>
      <c r="B287" s="90"/>
      <c r="C287" s="90" t="s">
        <v>795</v>
      </c>
      <c r="D287" s="90"/>
      <c r="E287" s="90"/>
      <c r="F287" s="90"/>
      <c r="G287" s="99">
        <v>0.0</v>
      </c>
      <c r="H287" s="99">
        <v>0.0</v>
      </c>
      <c r="I287" s="99">
        <v>0.0</v>
      </c>
      <c r="J287" s="99">
        <v>0.0</v>
      </c>
      <c r="K287" s="99">
        <v>0.0</v>
      </c>
      <c r="L287" s="99">
        <v>0.0</v>
      </c>
      <c r="M287" s="99">
        <v>0.0</v>
      </c>
      <c r="N287" s="99">
        <v>0.0</v>
      </c>
      <c r="O287" s="99">
        <v>0.0</v>
      </c>
      <c r="P287" s="99">
        <v>0.0</v>
      </c>
      <c r="Q287" s="99">
        <v>0.0</v>
      </c>
      <c r="R287" s="99">
        <v>0.0</v>
      </c>
      <c r="AT287" s="308">
        <v>0.0</v>
      </c>
      <c r="AU287" s="308">
        <v>0.0</v>
      </c>
      <c r="AV287" s="308">
        <v>0.0</v>
      </c>
      <c r="AW287" s="308">
        <v>0.0</v>
      </c>
      <c r="AX287" s="308">
        <v>0.0</v>
      </c>
      <c r="AY287" s="308">
        <v>0.0</v>
      </c>
      <c r="AZ287" s="308">
        <v>0.0</v>
      </c>
      <c r="BA287" s="308">
        <v>0.0</v>
      </c>
      <c r="BB287" s="308">
        <v>0.0</v>
      </c>
      <c r="BC287" s="308">
        <v>0.0</v>
      </c>
      <c r="BD287" s="308">
        <v>0.0</v>
      </c>
      <c r="BE287" s="308">
        <v>0.0</v>
      </c>
      <c r="BF287" s="308">
        <v>0.0</v>
      </c>
      <c r="BG287" s="308">
        <v>0.0</v>
      </c>
    </row>
    <row r="288" ht="12.75" customHeight="1" outlineLevel="1">
      <c r="A288" s="90"/>
      <c r="B288" s="87"/>
      <c r="C288" s="87" t="s">
        <v>796</v>
      </c>
      <c r="D288" s="87"/>
      <c r="E288" s="87"/>
      <c r="F288" s="87"/>
      <c r="G288" s="99">
        <v>0.0</v>
      </c>
      <c r="H288" s="99">
        <v>0.0</v>
      </c>
      <c r="I288" s="99">
        <v>0.0</v>
      </c>
      <c r="J288" s="99">
        <v>0.0</v>
      </c>
      <c r="K288" s="99">
        <v>0.0</v>
      </c>
      <c r="L288" s="125">
        <v>0.0</v>
      </c>
      <c r="M288" s="125">
        <v>0.0</v>
      </c>
      <c r="N288" s="125">
        <v>0.0</v>
      </c>
      <c r="O288" s="125">
        <v>0.0</v>
      </c>
      <c r="P288" s="125">
        <v>0.0</v>
      </c>
      <c r="Q288" s="125">
        <v>0.0</v>
      </c>
      <c r="R288" s="125">
        <v>0.0</v>
      </c>
      <c r="AT288" s="377">
        <v>0.0</v>
      </c>
      <c r="AU288" s="377">
        <v>0.0</v>
      </c>
      <c r="AV288" s="377">
        <v>0.0</v>
      </c>
      <c r="AW288" s="377">
        <v>0.0</v>
      </c>
      <c r="AX288" s="377">
        <v>0.0</v>
      </c>
      <c r="AY288" s="377">
        <v>0.0</v>
      </c>
      <c r="AZ288" s="377">
        <v>0.0</v>
      </c>
      <c r="BA288" s="377">
        <v>0.0</v>
      </c>
      <c r="BB288" s="377">
        <v>0.0</v>
      </c>
      <c r="BC288" s="377">
        <v>0.0</v>
      </c>
      <c r="BD288" s="377">
        <v>0.0</v>
      </c>
      <c r="BE288" s="377">
        <v>0.0</v>
      </c>
      <c r="BF288" s="377">
        <v>0.0</v>
      </c>
      <c r="BG288" s="377">
        <v>0.0</v>
      </c>
    </row>
    <row r="289" ht="12.75" customHeight="1" outlineLevel="1">
      <c r="A289" s="90"/>
      <c r="B289" s="67" t="s">
        <v>797</v>
      </c>
      <c r="C289" s="90"/>
      <c r="D289" s="90"/>
      <c r="E289" s="90"/>
      <c r="F289" s="90"/>
      <c r="G289" s="379">
        <f t="shared" ref="G289:R289" si="280">SUM(G285:G288)</f>
        <v>0</v>
      </c>
      <c r="H289" s="379">
        <f t="shared" si="280"/>
        <v>0</v>
      </c>
      <c r="I289" s="379">
        <f t="shared" si="280"/>
        <v>250000</v>
      </c>
      <c r="J289" s="379">
        <f t="shared" si="280"/>
        <v>0</v>
      </c>
      <c r="K289" s="379">
        <f t="shared" si="280"/>
        <v>0</v>
      </c>
      <c r="L289" s="79">
        <f t="shared" si="280"/>
        <v>0</v>
      </c>
      <c r="M289" s="79">
        <f t="shared" si="280"/>
        <v>0</v>
      </c>
      <c r="N289" s="79">
        <f t="shared" si="280"/>
        <v>0</v>
      </c>
      <c r="O289" s="79">
        <f t="shared" si="280"/>
        <v>0</v>
      </c>
      <c r="P289" s="79">
        <f t="shared" si="280"/>
        <v>0</v>
      </c>
      <c r="Q289" s="79">
        <f t="shared" si="280"/>
        <v>0</v>
      </c>
      <c r="R289" s="79">
        <f t="shared" si="280"/>
        <v>0</v>
      </c>
      <c r="AT289" s="378">
        <f t="shared" ref="AT289:BG289" si="281">SUM(AT285:AT288)</f>
        <v>0</v>
      </c>
      <c r="AU289" s="378">
        <f t="shared" si="281"/>
        <v>0</v>
      </c>
      <c r="AV289" s="378">
        <f t="shared" si="281"/>
        <v>0</v>
      </c>
      <c r="AW289" s="378">
        <f t="shared" si="281"/>
        <v>0</v>
      </c>
      <c r="AX289" s="378">
        <f t="shared" si="281"/>
        <v>0</v>
      </c>
      <c r="AY289" s="378">
        <f t="shared" si="281"/>
        <v>0</v>
      </c>
      <c r="AZ289" s="378">
        <f t="shared" si="281"/>
        <v>0</v>
      </c>
      <c r="BA289" s="378">
        <f t="shared" si="281"/>
        <v>0</v>
      </c>
      <c r="BB289" s="378">
        <f t="shared" si="281"/>
        <v>0</v>
      </c>
      <c r="BC289" s="378">
        <f t="shared" si="281"/>
        <v>0</v>
      </c>
      <c r="BD289" s="378">
        <f t="shared" si="281"/>
        <v>0</v>
      </c>
      <c r="BE289" s="378">
        <f t="shared" si="281"/>
        <v>0</v>
      </c>
      <c r="BF289" s="378">
        <f t="shared" si="281"/>
        <v>0</v>
      </c>
      <c r="BG289" s="378">
        <f t="shared" si="281"/>
        <v>0</v>
      </c>
    </row>
    <row r="290" ht="12.75" customHeight="1" outlineLevel="1">
      <c r="A290" s="90"/>
      <c r="B290" s="67"/>
      <c r="C290" s="90"/>
      <c r="D290" s="90"/>
      <c r="E290" s="90"/>
      <c r="F290" s="90"/>
      <c r="G290" s="79"/>
      <c r="H290" s="79"/>
      <c r="I290" s="79"/>
      <c r="J290" s="79"/>
      <c r="K290" s="79"/>
      <c r="L290" s="79"/>
      <c r="M290" s="79"/>
      <c r="N290" s="79"/>
      <c r="O290" s="79"/>
      <c r="P290" s="79"/>
      <c r="Q290" s="79"/>
      <c r="R290" s="79"/>
      <c r="AT290" s="378"/>
      <c r="AU290" s="378"/>
      <c r="AV290" s="378"/>
      <c r="AW290" s="378"/>
      <c r="AX290" s="378"/>
      <c r="AY290" s="378"/>
      <c r="AZ290" s="378"/>
      <c r="BA290" s="378"/>
      <c r="BB290" s="378"/>
      <c r="BC290" s="378"/>
      <c r="BD290" s="378"/>
      <c r="BE290" s="378"/>
      <c r="BF290" s="378"/>
      <c r="BG290" s="378"/>
    </row>
    <row r="291" ht="12.75" customHeight="1" outlineLevel="1">
      <c r="A291" s="90"/>
      <c r="B291" s="67" t="s">
        <v>509</v>
      </c>
      <c r="C291" s="90"/>
      <c r="D291" s="90"/>
      <c r="E291" s="90"/>
      <c r="F291" s="90"/>
      <c r="G291" s="304"/>
      <c r="H291" s="304"/>
      <c r="I291" s="304"/>
      <c r="J291" s="304"/>
      <c r="K291" s="304"/>
      <c r="L291" s="304"/>
      <c r="M291" s="304"/>
      <c r="N291" s="304"/>
      <c r="O291" s="79"/>
      <c r="P291" s="79"/>
      <c r="Q291" s="79"/>
      <c r="R291" s="79"/>
      <c r="AT291" s="378"/>
      <c r="AU291" s="378"/>
      <c r="AV291" s="378"/>
      <c r="AW291" s="378"/>
      <c r="AX291" s="378"/>
      <c r="AY291" s="378"/>
      <c r="AZ291" s="378"/>
      <c r="BA291" s="378"/>
      <c r="BB291" s="378"/>
      <c r="BC291" s="378"/>
      <c r="BD291" s="378"/>
      <c r="BE291" s="378"/>
      <c r="BF291" s="378"/>
      <c r="BG291" s="378"/>
    </row>
    <row r="292" ht="12.75" customHeight="1" outlineLevel="1">
      <c r="A292" s="90"/>
      <c r="B292" s="67"/>
      <c r="C292" s="90" t="s">
        <v>695</v>
      </c>
      <c r="D292" s="90"/>
      <c r="E292" s="90"/>
      <c r="F292" s="90"/>
      <c r="G292" s="99">
        <v>0.0</v>
      </c>
      <c r="H292" s="99">
        <v>0.0</v>
      </c>
      <c r="I292" s="99">
        <f t="shared" ref="I292:R292" si="282">I122*I47</f>
        <v>27440</v>
      </c>
      <c r="J292" s="99">
        <f t="shared" si="282"/>
        <v>32480</v>
      </c>
      <c r="K292" s="99">
        <f t="shared" si="282"/>
        <v>35000</v>
      </c>
      <c r="L292" s="99">
        <f t="shared" si="282"/>
        <v>35000</v>
      </c>
      <c r="M292" s="99">
        <f t="shared" si="282"/>
        <v>35000</v>
      </c>
      <c r="N292" s="99">
        <f t="shared" si="282"/>
        <v>35000</v>
      </c>
      <c r="O292" s="99">
        <f t="shared" si="282"/>
        <v>35000</v>
      </c>
      <c r="P292" s="99">
        <f t="shared" si="282"/>
        <v>35000</v>
      </c>
      <c r="Q292" s="99">
        <f t="shared" si="282"/>
        <v>35000</v>
      </c>
      <c r="R292" s="99">
        <f t="shared" si="282"/>
        <v>35000</v>
      </c>
      <c r="AT292" s="308">
        <v>0.0</v>
      </c>
      <c r="AU292" s="308">
        <v>0.0</v>
      </c>
      <c r="AV292" s="308">
        <v>0.0</v>
      </c>
      <c r="AW292" s="308">
        <v>0.0</v>
      </c>
      <c r="AX292" s="308">
        <v>0.0</v>
      </c>
      <c r="AY292" s="308">
        <v>0.0</v>
      </c>
      <c r="AZ292" s="308">
        <v>0.0</v>
      </c>
      <c r="BA292" s="308">
        <v>0.0</v>
      </c>
      <c r="BB292" s="308">
        <v>0.0</v>
      </c>
      <c r="BC292" s="308">
        <v>0.0</v>
      </c>
      <c r="BD292" s="308">
        <v>0.0</v>
      </c>
      <c r="BE292" s="308">
        <v>0.0</v>
      </c>
      <c r="BF292" s="308">
        <v>0.0</v>
      </c>
      <c r="BG292" s="308">
        <v>0.0</v>
      </c>
    </row>
    <row r="293" ht="12.75" customHeight="1" outlineLevel="1">
      <c r="A293" s="90"/>
      <c r="B293" s="67"/>
      <c r="C293" s="90" t="s">
        <v>798</v>
      </c>
      <c r="D293" s="90"/>
      <c r="E293" s="90"/>
      <c r="F293" s="90"/>
      <c r="G293" s="99">
        <f t="shared" ref="G293:H293" si="283">G122+G123+((G48-G68)*G121)</f>
        <v>0</v>
      </c>
      <c r="H293" s="99">
        <f t="shared" si="283"/>
        <v>0</v>
      </c>
      <c r="I293" s="99">
        <f t="shared" ref="I293:R293" si="284">I338-I277-I120</f>
        <v>31395.2</v>
      </c>
      <c r="J293" s="99">
        <f t="shared" si="284"/>
        <v>38998.4</v>
      </c>
      <c r="K293" s="99">
        <f t="shared" si="284"/>
        <v>47800</v>
      </c>
      <c r="L293" s="99">
        <f t="shared" si="284"/>
        <v>47800</v>
      </c>
      <c r="M293" s="99">
        <f t="shared" si="284"/>
        <v>47800</v>
      </c>
      <c r="N293" s="99">
        <f t="shared" si="284"/>
        <v>47800</v>
      </c>
      <c r="O293" s="99">
        <f t="shared" si="284"/>
        <v>47800</v>
      </c>
      <c r="P293" s="99">
        <f t="shared" si="284"/>
        <v>47800</v>
      </c>
      <c r="Q293" s="99">
        <f t="shared" si="284"/>
        <v>47800</v>
      </c>
      <c r="R293" s="99">
        <f t="shared" si="284"/>
        <v>47800</v>
      </c>
      <c r="AT293" s="308">
        <f t="shared" ref="AT293:BG293" si="285">AT121+AT122+((AT47-AT67)*AT120)</f>
        <v>0</v>
      </c>
      <c r="AU293" s="308">
        <f t="shared" si="285"/>
        <v>0</v>
      </c>
      <c r="AV293" s="308">
        <f t="shared" si="285"/>
        <v>0</v>
      </c>
      <c r="AW293" s="308">
        <f t="shared" si="285"/>
        <v>0</v>
      </c>
      <c r="AX293" s="308">
        <f t="shared" si="285"/>
        <v>0</v>
      </c>
      <c r="AY293" s="308">
        <f t="shared" si="285"/>
        <v>0</v>
      </c>
      <c r="AZ293" s="308">
        <f t="shared" si="285"/>
        <v>0</v>
      </c>
      <c r="BA293" s="308">
        <f t="shared" si="285"/>
        <v>0</v>
      </c>
      <c r="BB293" s="308">
        <f t="shared" si="285"/>
        <v>0</v>
      </c>
      <c r="BC293" s="308">
        <f t="shared" si="285"/>
        <v>0</v>
      </c>
      <c r="BD293" s="308">
        <f t="shared" si="285"/>
        <v>0</v>
      </c>
      <c r="BE293" s="308">
        <f t="shared" si="285"/>
        <v>0</v>
      </c>
      <c r="BF293" s="308">
        <f t="shared" si="285"/>
        <v>0</v>
      </c>
      <c r="BG293" s="308">
        <f t="shared" si="285"/>
        <v>0</v>
      </c>
    </row>
    <row r="294" ht="12.75" customHeight="1" outlineLevel="1">
      <c r="A294" s="90"/>
      <c r="B294" s="134" t="s">
        <v>799</v>
      </c>
      <c r="C294" s="148"/>
      <c r="D294" s="148"/>
      <c r="E294" s="148"/>
      <c r="F294" s="148"/>
      <c r="G294" s="379">
        <f t="shared" ref="G294:R294" si="286">SUM(G292:G293)</f>
        <v>0</v>
      </c>
      <c r="H294" s="379">
        <f t="shared" si="286"/>
        <v>0</v>
      </c>
      <c r="I294" s="379">
        <f t="shared" si="286"/>
        <v>58835.2</v>
      </c>
      <c r="J294" s="379">
        <f t="shared" si="286"/>
        <v>71478.4</v>
      </c>
      <c r="K294" s="379">
        <f t="shared" si="286"/>
        <v>82800</v>
      </c>
      <c r="L294" s="379">
        <f t="shared" si="286"/>
        <v>82800</v>
      </c>
      <c r="M294" s="379">
        <f t="shared" si="286"/>
        <v>82800</v>
      </c>
      <c r="N294" s="379">
        <f t="shared" si="286"/>
        <v>82800</v>
      </c>
      <c r="O294" s="379">
        <f t="shared" si="286"/>
        <v>82800</v>
      </c>
      <c r="P294" s="379">
        <f t="shared" si="286"/>
        <v>82800</v>
      </c>
      <c r="Q294" s="379">
        <f t="shared" si="286"/>
        <v>82800</v>
      </c>
      <c r="R294" s="379">
        <f t="shared" si="286"/>
        <v>82800</v>
      </c>
      <c r="AT294" s="380">
        <f t="shared" ref="AT294:BG294" si="287">SUM(AT292:AT293)</f>
        <v>0</v>
      </c>
      <c r="AU294" s="380">
        <f t="shared" si="287"/>
        <v>0</v>
      </c>
      <c r="AV294" s="380">
        <f t="shared" si="287"/>
        <v>0</v>
      </c>
      <c r="AW294" s="380">
        <f t="shared" si="287"/>
        <v>0</v>
      </c>
      <c r="AX294" s="380">
        <f t="shared" si="287"/>
        <v>0</v>
      </c>
      <c r="AY294" s="380">
        <f t="shared" si="287"/>
        <v>0</v>
      </c>
      <c r="AZ294" s="380">
        <f t="shared" si="287"/>
        <v>0</v>
      </c>
      <c r="BA294" s="380">
        <f t="shared" si="287"/>
        <v>0</v>
      </c>
      <c r="BB294" s="380">
        <f t="shared" si="287"/>
        <v>0</v>
      </c>
      <c r="BC294" s="380">
        <f t="shared" si="287"/>
        <v>0</v>
      </c>
      <c r="BD294" s="380">
        <f t="shared" si="287"/>
        <v>0</v>
      </c>
      <c r="BE294" s="380">
        <f t="shared" si="287"/>
        <v>0</v>
      </c>
      <c r="BF294" s="380">
        <f t="shared" si="287"/>
        <v>0</v>
      </c>
      <c r="BG294" s="380">
        <f t="shared" si="287"/>
        <v>0</v>
      </c>
    </row>
    <row r="295" ht="12.75" customHeight="1" outlineLevel="1">
      <c r="A295" s="90"/>
      <c r="B295" s="90"/>
      <c r="C295" s="90"/>
      <c r="D295" s="90"/>
      <c r="E295" s="90"/>
      <c r="F295" s="90"/>
      <c r="G295" s="90"/>
      <c r="H295" s="90"/>
      <c r="I295" s="90"/>
      <c r="J295" s="90"/>
      <c r="K295" s="90"/>
      <c r="L295" s="90"/>
      <c r="M295" s="90"/>
      <c r="N295" s="90"/>
      <c r="O295" s="90"/>
      <c r="P295" s="90"/>
      <c r="Q295" s="90"/>
      <c r="R295" s="90"/>
      <c r="AT295" s="313"/>
      <c r="AU295" s="313"/>
      <c r="AV295" s="313"/>
      <c r="AW295" s="313"/>
      <c r="AX295" s="313"/>
      <c r="AY295" s="313"/>
      <c r="AZ295" s="313"/>
      <c r="BA295" s="313"/>
      <c r="BB295" s="313"/>
      <c r="BC295" s="313"/>
      <c r="BD295" s="313"/>
      <c r="BE295" s="313"/>
      <c r="BF295" s="313"/>
      <c r="BG295" s="313"/>
    </row>
    <row r="296" ht="12.75" customHeight="1" outlineLevel="1">
      <c r="A296" s="109" t="s">
        <v>800</v>
      </c>
      <c r="B296" s="109"/>
      <c r="C296" s="109"/>
      <c r="D296" s="143"/>
      <c r="E296" s="143"/>
      <c r="F296" s="143"/>
      <c r="G296" s="293">
        <f t="shared" ref="G296:R296" si="288">G289+G282+G273+G294</f>
        <v>0</v>
      </c>
      <c r="H296" s="293">
        <f t="shared" si="288"/>
        <v>200000</v>
      </c>
      <c r="I296" s="293">
        <f t="shared" si="288"/>
        <v>3210792.656</v>
      </c>
      <c r="J296" s="293">
        <f t="shared" si="288"/>
        <v>3329187.792</v>
      </c>
      <c r="K296" s="293">
        <f t="shared" si="288"/>
        <v>3461323.058</v>
      </c>
      <c r="L296" s="293">
        <f t="shared" si="288"/>
        <v>3470227.058</v>
      </c>
      <c r="M296" s="293">
        <f t="shared" si="288"/>
        <v>3462595.058</v>
      </c>
      <c r="N296" s="293">
        <f t="shared" si="288"/>
        <v>3455599.058</v>
      </c>
      <c r="O296" s="293">
        <f t="shared" si="288"/>
        <v>3448921.058</v>
      </c>
      <c r="P296" s="293">
        <f t="shared" si="288"/>
        <v>3442243.058</v>
      </c>
      <c r="Q296" s="293">
        <f t="shared" si="288"/>
        <v>3438745.058</v>
      </c>
      <c r="R296" s="293">
        <f t="shared" si="288"/>
        <v>3438745.058</v>
      </c>
      <c r="AT296" s="381">
        <f t="shared" ref="AT296:BG296" si="289">AT289+AT282+AT273+AT294</f>
        <v>0</v>
      </c>
      <c r="AU296" s="381" t="str">
        <f t="shared" si="289"/>
        <v>#REF!</v>
      </c>
      <c r="AV296" s="381" t="str">
        <f t="shared" si="289"/>
        <v>#REF!</v>
      </c>
      <c r="AW296" s="381" t="str">
        <f t="shared" si="289"/>
        <v>#REF!</v>
      </c>
      <c r="AX296" s="381" t="str">
        <f t="shared" si="289"/>
        <v>#REF!</v>
      </c>
      <c r="AY296" s="381" t="str">
        <f t="shared" si="289"/>
        <v>#REF!</v>
      </c>
      <c r="AZ296" s="381" t="str">
        <f t="shared" si="289"/>
        <v>#REF!</v>
      </c>
      <c r="BA296" s="381" t="str">
        <f t="shared" si="289"/>
        <v>#REF!</v>
      </c>
      <c r="BB296" s="381" t="str">
        <f t="shared" si="289"/>
        <v>#REF!</v>
      </c>
      <c r="BC296" s="381" t="str">
        <f t="shared" si="289"/>
        <v>#REF!</v>
      </c>
      <c r="BD296" s="381" t="str">
        <f t="shared" si="289"/>
        <v>#REF!</v>
      </c>
      <c r="BE296" s="381" t="str">
        <f t="shared" si="289"/>
        <v>#REF!</v>
      </c>
      <c r="BF296" s="381" t="str">
        <f t="shared" si="289"/>
        <v>#REF!</v>
      </c>
      <c r="BG296" s="381" t="str">
        <f t="shared" si="289"/>
        <v>#REF!</v>
      </c>
    </row>
    <row r="297" ht="12.75" customHeight="1" outlineLevel="1">
      <c r="A297" s="67"/>
      <c r="B297" s="67"/>
      <c r="C297" s="67"/>
      <c r="D297" s="90"/>
      <c r="E297" s="90"/>
      <c r="F297" s="90"/>
      <c r="G297" s="79"/>
      <c r="H297" s="79"/>
      <c r="I297" s="79"/>
      <c r="J297" s="79"/>
      <c r="K297" s="79"/>
      <c r="L297" s="79"/>
      <c r="M297" s="79"/>
      <c r="N297" s="79"/>
      <c r="O297" s="79"/>
      <c r="P297" s="79"/>
      <c r="Q297" s="79"/>
      <c r="R297" s="79"/>
      <c r="AT297" s="378"/>
      <c r="AU297" s="378"/>
      <c r="AV297" s="378"/>
      <c r="AW297" s="378"/>
      <c r="AX297" s="378"/>
      <c r="AY297" s="378"/>
      <c r="AZ297" s="378"/>
      <c r="BA297" s="378"/>
      <c r="BB297" s="378"/>
      <c r="BC297" s="378"/>
      <c r="BD297" s="378"/>
      <c r="BE297" s="378"/>
      <c r="BF297" s="378"/>
      <c r="BG297" s="378"/>
    </row>
    <row r="298" ht="12.75" customHeight="1" outlineLevel="1">
      <c r="A298" s="67" t="s">
        <v>304</v>
      </c>
      <c r="B298" s="90"/>
      <c r="C298" s="90"/>
      <c r="D298" s="90"/>
      <c r="E298" s="90"/>
      <c r="F298" s="90"/>
      <c r="G298" s="90"/>
      <c r="H298" s="90"/>
      <c r="I298" s="90"/>
      <c r="J298" s="90"/>
      <c r="K298" s="99"/>
      <c r="L298" s="90"/>
      <c r="M298" s="90"/>
      <c r="N298" s="90"/>
      <c r="O298" s="90"/>
      <c r="P298" s="90"/>
      <c r="Q298" s="90"/>
      <c r="R298" s="90"/>
      <c r="AT298" s="313"/>
      <c r="AU298" s="313"/>
      <c r="AV298" s="313"/>
      <c r="AW298" s="313"/>
      <c r="AX298" s="313"/>
      <c r="AY298" s="313"/>
      <c r="AZ298" s="313"/>
      <c r="BA298" s="313"/>
      <c r="BB298" s="313"/>
      <c r="BC298" s="313"/>
      <c r="BD298" s="313"/>
      <c r="BE298" s="313"/>
      <c r="BF298" s="313"/>
      <c r="BG298" s="313"/>
    </row>
    <row r="299" ht="12.75" customHeight="1" outlineLevel="1">
      <c r="A299" s="90"/>
      <c r="B299" s="67" t="s">
        <v>278</v>
      </c>
      <c r="C299" s="90"/>
      <c r="D299" s="90"/>
      <c r="E299" s="90"/>
      <c r="F299" s="90"/>
      <c r="G299" s="90"/>
      <c r="H299" s="90"/>
      <c r="I299" s="90"/>
      <c r="J299" s="90"/>
      <c r="K299" s="90"/>
      <c r="L299" s="90"/>
      <c r="M299" s="90"/>
      <c r="N299" s="90"/>
      <c r="O299" s="90"/>
      <c r="P299" s="90"/>
      <c r="Q299" s="90"/>
      <c r="R299" s="90"/>
      <c r="AT299" s="313"/>
      <c r="AU299" s="313"/>
      <c r="AV299" s="313"/>
      <c r="AW299" s="313"/>
      <c r="AX299" s="313"/>
      <c r="AY299" s="313"/>
      <c r="AZ299" s="313"/>
      <c r="BA299" s="313"/>
      <c r="BB299" s="313"/>
      <c r="BC299" s="313"/>
      <c r="BD299" s="313"/>
      <c r="BE299" s="313"/>
      <c r="BF299" s="313"/>
      <c r="BG299" s="313"/>
    </row>
    <row r="300" ht="12.75" customHeight="1" outlineLevel="1">
      <c r="A300" s="90"/>
      <c r="B300" s="67"/>
      <c r="C300" s="90" t="s">
        <v>801</v>
      </c>
      <c r="D300" s="90"/>
      <c r="E300" s="90"/>
      <c r="F300" s="90"/>
      <c r="G300" s="90"/>
      <c r="H300" s="90"/>
      <c r="I300" s="90"/>
      <c r="J300" s="90"/>
      <c r="K300" s="90"/>
      <c r="L300" s="90"/>
      <c r="M300" s="90"/>
      <c r="N300" s="90"/>
      <c r="O300" s="90"/>
      <c r="P300" s="90"/>
      <c r="Q300" s="90"/>
      <c r="R300" s="90"/>
      <c r="AT300" s="313"/>
      <c r="AU300" s="313"/>
      <c r="AV300" s="313"/>
      <c r="AW300" s="313"/>
      <c r="AX300" s="313"/>
      <c r="AY300" s="313"/>
      <c r="AZ300" s="313"/>
      <c r="BA300" s="313"/>
      <c r="BB300" s="313"/>
      <c r="BC300" s="313"/>
      <c r="BD300" s="313"/>
      <c r="BE300" s="313"/>
      <c r="BF300" s="313"/>
      <c r="BG300" s="313"/>
    </row>
    <row r="301" ht="12.75" customHeight="1" outlineLevel="1">
      <c r="A301" s="90"/>
      <c r="B301" s="67"/>
      <c r="C301" s="90"/>
      <c r="D301" s="90" t="s">
        <v>701</v>
      </c>
      <c r="E301" s="90"/>
      <c r="F301" s="90"/>
      <c r="G301" s="99">
        <f t="shared" ref="G301:R301" si="290">G139*G165</f>
        <v>0</v>
      </c>
      <c r="H301" s="99">
        <f t="shared" si="290"/>
        <v>70833.33333</v>
      </c>
      <c r="I301" s="99">
        <f t="shared" si="290"/>
        <v>83333.33333</v>
      </c>
      <c r="J301" s="99">
        <f t="shared" si="290"/>
        <v>100000</v>
      </c>
      <c r="K301" s="99">
        <f t="shared" si="290"/>
        <v>100000</v>
      </c>
      <c r="L301" s="99">
        <f t="shared" si="290"/>
        <v>100000</v>
      </c>
      <c r="M301" s="99">
        <f t="shared" si="290"/>
        <v>100000</v>
      </c>
      <c r="N301" s="99">
        <f t="shared" si="290"/>
        <v>100000</v>
      </c>
      <c r="O301" s="99">
        <f t="shared" si="290"/>
        <v>100000</v>
      </c>
      <c r="P301" s="99">
        <f t="shared" si="290"/>
        <v>100000</v>
      </c>
      <c r="Q301" s="99">
        <f t="shared" si="290"/>
        <v>100000</v>
      </c>
      <c r="R301" s="99">
        <f t="shared" si="290"/>
        <v>100000</v>
      </c>
      <c r="AT301" s="308">
        <f t="shared" ref="AT301:BG301" si="291">AT139*AT165</f>
        <v>0</v>
      </c>
      <c r="AU301" s="308">
        <f t="shared" si="291"/>
        <v>0</v>
      </c>
      <c r="AV301" s="308">
        <f t="shared" si="291"/>
        <v>0</v>
      </c>
      <c r="AW301" s="308">
        <f t="shared" si="291"/>
        <v>0</v>
      </c>
      <c r="AX301" s="308">
        <f t="shared" si="291"/>
        <v>0</v>
      </c>
      <c r="AY301" s="308">
        <f t="shared" si="291"/>
        <v>0</v>
      </c>
      <c r="AZ301" s="308">
        <f t="shared" si="291"/>
        <v>0</v>
      </c>
      <c r="BA301" s="308">
        <f t="shared" si="291"/>
        <v>0</v>
      </c>
      <c r="BB301" s="308">
        <f t="shared" si="291"/>
        <v>0</v>
      </c>
      <c r="BC301" s="308">
        <f t="shared" si="291"/>
        <v>0</v>
      </c>
      <c r="BD301" s="308">
        <f t="shared" si="291"/>
        <v>0</v>
      </c>
      <c r="BE301" s="308">
        <f t="shared" si="291"/>
        <v>0</v>
      </c>
      <c r="BF301" s="308">
        <f t="shared" si="291"/>
        <v>0</v>
      </c>
      <c r="BG301" s="308">
        <f t="shared" si="291"/>
        <v>0</v>
      </c>
    </row>
    <row r="302" ht="12.75" customHeight="1" outlineLevel="1">
      <c r="A302" s="90"/>
      <c r="B302" s="67"/>
      <c r="C302" s="90"/>
      <c r="D302" s="90" t="s">
        <v>721</v>
      </c>
      <c r="E302" s="90"/>
      <c r="F302" s="90"/>
      <c r="G302" s="99">
        <f t="shared" ref="G302:R302" si="292">G140*G166</f>
        <v>0</v>
      </c>
      <c r="H302" s="99">
        <f t="shared" si="292"/>
        <v>0</v>
      </c>
      <c r="I302" s="99">
        <f t="shared" si="292"/>
        <v>0</v>
      </c>
      <c r="J302" s="99">
        <f t="shared" si="292"/>
        <v>0</v>
      </c>
      <c r="K302" s="99">
        <f t="shared" si="292"/>
        <v>0</v>
      </c>
      <c r="L302" s="99">
        <f t="shared" si="292"/>
        <v>0</v>
      </c>
      <c r="M302" s="99">
        <f t="shared" si="292"/>
        <v>0</v>
      </c>
      <c r="N302" s="99">
        <f t="shared" si="292"/>
        <v>0</v>
      </c>
      <c r="O302" s="99">
        <f t="shared" si="292"/>
        <v>0</v>
      </c>
      <c r="P302" s="99">
        <f t="shared" si="292"/>
        <v>0</v>
      </c>
      <c r="Q302" s="99">
        <f t="shared" si="292"/>
        <v>0</v>
      </c>
      <c r="R302" s="99">
        <f t="shared" si="292"/>
        <v>0</v>
      </c>
      <c r="AT302" s="308">
        <f t="shared" ref="AT302:BG302" si="293">AT140*AT166</f>
        <v>0</v>
      </c>
      <c r="AU302" s="308">
        <f t="shared" si="293"/>
        <v>0</v>
      </c>
      <c r="AV302" s="308">
        <f t="shared" si="293"/>
        <v>0</v>
      </c>
      <c r="AW302" s="308">
        <f t="shared" si="293"/>
        <v>0</v>
      </c>
      <c r="AX302" s="308">
        <f t="shared" si="293"/>
        <v>0</v>
      </c>
      <c r="AY302" s="308">
        <f t="shared" si="293"/>
        <v>0</v>
      </c>
      <c r="AZ302" s="308">
        <f t="shared" si="293"/>
        <v>0</v>
      </c>
      <c r="BA302" s="308">
        <f t="shared" si="293"/>
        <v>0</v>
      </c>
      <c r="BB302" s="308">
        <f t="shared" si="293"/>
        <v>0</v>
      </c>
      <c r="BC302" s="308">
        <f t="shared" si="293"/>
        <v>0</v>
      </c>
      <c r="BD302" s="308">
        <f t="shared" si="293"/>
        <v>0</v>
      </c>
      <c r="BE302" s="308">
        <f t="shared" si="293"/>
        <v>0</v>
      </c>
      <c r="BF302" s="308">
        <f t="shared" si="293"/>
        <v>0</v>
      </c>
      <c r="BG302" s="308">
        <f t="shared" si="293"/>
        <v>0</v>
      </c>
    </row>
    <row r="303" ht="12.75" customHeight="1" outlineLevel="1">
      <c r="A303" s="90"/>
      <c r="B303" s="67"/>
      <c r="C303" s="90"/>
      <c r="D303" s="90" t="s">
        <v>802</v>
      </c>
      <c r="E303" s="90"/>
      <c r="F303" s="90"/>
      <c r="G303" s="99">
        <f t="shared" ref="G303:R303" si="294">G141*G167</f>
        <v>0</v>
      </c>
      <c r="H303" s="99">
        <f t="shared" si="294"/>
        <v>0</v>
      </c>
      <c r="I303" s="99">
        <f t="shared" si="294"/>
        <v>0</v>
      </c>
      <c r="J303" s="99">
        <f t="shared" si="294"/>
        <v>0</v>
      </c>
      <c r="K303" s="99">
        <f t="shared" si="294"/>
        <v>0</v>
      </c>
      <c r="L303" s="99">
        <f t="shared" si="294"/>
        <v>0</v>
      </c>
      <c r="M303" s="99">
        <f t="shared" si="294"/>
        <v>0</v>
      </c>
      <c r="N303" s="99">
        <f t="shared" si="294"/>
        <v>0</v>
      </c>
      <c r="O303" s="99">
        <f t="shared" si="294"/>
        <v>0</v>
      </c>
      <c r="P303" s="99">
        <f t="shared" si="294"/>
        <v>0</v>
      </c>
      <c r="Q303" s="99">
        <f t="shared" si="294"/>
        <v>0</v>
      </c>
      <c r="R303" s="99">
        <f t="shared" si="294"/>
        <v>0</v>
      </c>
      <c r="AT303" s="308">
        <f t="shared" ref="AT303:BG303" si="295">AT141*AT167</f>
        <v>0</v>
      </c>
      <c r="AU303" s="308">
        <f t="shared" si="295"/>
        <v>0</v>
      </c>
      <c r="AV303" s="308">
        <f t="shared" si="295"/>
        <v>0</v>
      </c>
      <c r="AW303" s="308">
        <f t="shared" si="295"/>
        <v>0</v>
      </c>
      <c r="AX303" s="308">
        <f t="shared" si="295"/>
        <v>0</v>
      </c>
      <c r="AY303" s="308">
        <f t="shared" si="295"/>
        <v>0</v>
      </c>
      <c r="AZ303" s="308">
        <f t="shared" si="295"/>
        <v>0</v>
      </c>
      <c r="BA303" s="308">
        <f t="shared" si="295"/>
        <v>0</v>
      </c>
      <c r="BB303" s="308">
        <f t="shared" si="295"/>
        <v>0</v>
      </c>
      <c r="BC303" s="308">
        <f t="shared" si="295"/>
        <v>0</v>
      </c>
      <c r="BD303" s="308">
        <f t="shared" si="295"/>
        <v>0</v>
      </c>
      <c r="BE303" s="308">
        <f t="shared" si="295"/>
        <v>0</v>
      </c>
      <c r="BF303" s="308">
        <f t="shared" si="295"/>
        <v>0</v>
      </c>
      <c r="BG303" s="308">
        <f t="shared" si="295"/>
        <v>0</v>
      </c>
    </row>
    <row r="304" ht="12.75" customHeight="1" outlineLevel="1">
      <c r="A304" s="90"/>
      <c r="B304" s="67"/>
      <c r="C304" s="90"/>
      <c r="D304" s="90" t="s">
        <v>722</v>
      </c>
      <c r="E304" s="90"/>
      <c r="F304" s="90"/>
      <c r="G304" s="99">
        <f t="shared" ref="G304:R304" si="296">G145*G168</f>
        <v>0</v>
      </c>
      <c r="H304" s="99">
        <f t="shared" si="296"/>
        <v>0</v>
      </c>
      <c r="I304" s="99">
        <f t="shared" si="296"/>
        <v>94000</v>
      </c>
      <c r="J304" s="99">
        <f t="shared" si="296"/>
        <v>193000</v>
      </c>
      <c r="K304" s="99">
        <f t="shared" si="296"/>
        <v>241250</v>
      </c>
      <c r="L304" s="99">
        <f t="shared" si="296"/>
        <v>241250</v>
      </c>
      <c r="M304" s="99">
        <f t="shared" si="296"/>
        <v>241250</v>
      </c>
      <c r="N304" s="99">
        <f t="shared" si="296"/>
        <v>241250</v>
      </c>
      <c r="O304" s="99">
        <f t="shared" si="296"/>
        <v>241250</v>
      </c>
      <c r="P304" s="99">
        <f t="shared" si="296"/>
        <v>241250</v>
      </c>
      <c r="Q304" s="99">
        <f t="shared" si="296"/>
        <v>241250</v>
      </c>
      <c r="R304" s="99">
        <f t="shared" si="296"/>
        <v>241250</v>
      </c>
      <c r="AT304" s="308">
        <f t="shared" ref="AT304:BG304" si="297">AT145*AT168</f>
        <v>0</v>
      </c>
      <c r="AU304" s="308">
        <f t="shared" si="297"/>
        <v>0</v>
      </c>
      <c r="AV304" s="308">
        <f t="shared" si="297"/>
        <v>0</v>
      </c>
      <c r="AW304" s="308">
        <f t="shared" si="297"/>
        <v>0</v>
      </c>
      <c r="AX304" s="308">
        <f t="shared" si="297"/>
        <v>0</v>
      </c>
      <c r="AY304" s="308">
        <f t="shared" si="297"/>
        <v>0</v>
      </c>
      <c r="AZ304" s="308">
        <f t="shared" si="297"/>
        <v>0</v>
      </c>
      <c r="BA304" s="308">
        <f t="shared" si="297"/>
        <v>0</v>
      </c>
      <c r="BB304" s="308">
        <f t="shared" si="297"/>
        <v>0</v>
      </c>
      <c r="BC304" s="308">
        <f t="shared" si="297"/>
        <v>0</v>
      </c>
      <c r="BD304" s="308">
        <f t="shared" si="297"/>
        <v>0</v>
      </c>
      <c r="BE304" s="308">
        <f t="shared" si="297"/>
        <v>0</v>
      </c>
      <c r="BF304" s="308">
        <f t="shared" si="297"/>
        <v>0</v>
      </c>
      <c r="BG304" s="308">
        <f t="shared" si="297"/>
        <v>0</v>
      </c>
    </row>
    <row r="305" ht="12.75" customHeight="1" outlineLevel="1">
      <c r="A305" s="90"/>
      <c r="B305" s="67"/>
      <c r="C305" s="90"/>
      <c r="D305" s="90" t="s">
        <v>707</v>
      </c>
      <c r="E305" s="90"/>
      <c r="F305" s="90"/>
      <c r="G305" s="99">
        <f t="shared" ref="G305:R305" si="298">G146*G169</f>
        <v>0</v>
      </c>
      <c r="H305" s="99">
        <f t="shared" si="298"/>
        <v>0</v>
      </c>
      <c r="I305" s="99">
        <f t="shared" si="298"/>
        <v>406000</v>
      </c>
      <c r="J305" s="99">
        <f t="shared" si="298"/>
        <v>290000</v>
      </c>
      <c r="K305" s="99">
        <f t="shared" si="298"/>
        <v>290000</v>
      </c>
      <c r="L305" s="99">
        <f t="shared" si="298"/>
        <v>290000</v>
      </c>
      <c r="M305" s="99">
        <f t="shared" si="298"/>
        <v>290000</v>
      </c>
      <c r="N305" s="99">
        <f t="shared" si="298"/>
        <v>290000</v>
      </c>
      <c r="O305" s="99">
        <f t="shared" si="298"/>
        <v>290000</v>
      </c>
      <c r="P305" s="99">
        <f t="shared" si="298"/>
        <v>290000</v>
      </c>
      <c r="Q305" s="99">
        <f t="shared" si="298"/>
        <v>290000</v>
      </c>
      <c r="R305" s="99">
        <f t="shared" si="298"/>
        <v>290000</v>
      </c>
      <c r="AT305" s="308">
        <f t="shared" ref="AT305:BG305" si="299">AT146*AT169</f>
        <v>0</v>
      </c>
      <c r="AU305" s="308">
        <f t="shared" si="299"/>
        <v>0</v>
      </c>
      <c r="AV305" s="308">
        <f t="shared" si="299"/>
        <v>0</v>
      </c>
      <c r="AW305" s="308">
        <f t="shared" si="299"/>
        <v>0</v>
      </c>
      <c r="AX305" s="308">
        <f t="shared" si="299"/>
        <v>0</v>
      </c>
      <c r="AY305" s="308">
        <f t="shared" si="299"/>
        <v>0</v>
      </c>
      <c r="AZ305" s="308">
        <f t="shared" si="299"/>
        <v>0</v>
      </c>
      <c r="BA305" s="308">
        <f t="shared" si="299"/>
        <v>0</v>
      </c>
      <c r="BB305" s="308">
        <f t="shared" si="299"/>
        <v>0</v>
      </c>
      <c r="BC305" s="308">
        <f t="shared" si="299"/>
        <v>0</v>
      </c>
      <c r="BD305" s="308">
        <f t="shared" si="299"/>
        <v>0</v>
      </c>
      <c r="BE305" s="308">
        <f t="shared" si="299"/>
        <v>0</v>
      </c>
      <c r="BF305" s="308">
        <f t="shared" si="299"/>
        <v>0</v>
      </c>
      <c r="BG305" s="308">
        <f t="shared" si="299"/>
        <v>0</v>
      </c>
    </row>
    <row r="306" ht="12.75" customHeight="1" outlineLevel="1">
      <c r="A306" s="90"/>
      <c r="B306" s="67"/>
      <c r="C306" s="90"/>
      <c r="D306" s="90" t="s">
        <v>702</v>
      </c>
      <c r="E306" s="90"/>
      <c r="F306" s="90"/>
      <c r="G306" s="99">
        <f t="shared" ref="G306:R306" si="300">G140*G170</f>
        <v>0</v>
      </c>
      <c r="H306" s="99">
        <f t="shared" si="300"/>
        <v>0</v>
      </c>
      <c r="I306" s="99">
        <f t="shared" si="300"/>
        <v>67000</v>
      </c>
      <c r="J306" s="99">
        <f t="shared" si="300"/>
        <v>83333.33333</v>
      </c>
      <c r="K306" s="99">
        <f t="shared" si="300"/>
        <v>83333.33333</v>
      </c>
      <c r="L306" s="99">
        <f t="shared" si="300"/>
        <v>83333.33333</v>
      </c>
      <c r="M306" s="99">
        <f t="shared" si="300"/>
        <v>83333.33333</v>
      </c>
      <c r="N306" s="99">
        <f t="shared" si="300"/>
        <v>83333.33333</v>
      </c>
      <c r="O306" s="99">
        <f t="shared" si="300"/>
        <v>83333.33333</v>
      </c>
      <c r="P306" s="99">
        <f t="shared" si="300"/>
        <v>83333.33333</v>
      </c>
      <c r="Q306" s="99">
        <f t="shared" si="300"/>
        <v>83333.33333</v>
      </c>
      <c r="R306" s="99">
        <f t="shared" si="300"/>
        <v>83333.33333</v>
      </c>
      <c r="AT306" s="308">
        <f t="shared" ref="AT306:BG306" si="301">AT140*AT170</f>
        <v>0</v>
      </c>
      <c r="AU306" s="308">
        <f t="shared" si="301"/>
        <v>0</v>
      </c>
      <c r="AV306" s="308">
        <f t="shared" si="301"/>
        <v>0</v>
      </c>
      <c r="AW306" s="308">
        <f t="shared" si="301"/>
        <v>0</v>
      </c>
      <c r="AX306" s="308">
        <f t="shared" si="301"/>
        <v>0</v>
      </c>
      <c r="AY306" s="308">
        <f t="shared" si="301"/>
        <v>0</v>
      </c>
      <c r="AZ306" s="308">
        <f t="shared" si="301"/>
        <v>0</v>
      </c>
      <c r="BA306" s="308">
        <f t="shared" si="301"/>
        <v>0</v>
      </c>
      <c r="BB306" s="308">
        <f t="shared" si="301"/>
        <v>0</v>
      </c>
      <c r="BC306" s="308">
        <f t="shared" si="301"/>
        <v>0</v>
      </c>
      <c r="BD306" s="308">
        <f t="shared" si="301"/>
        <v>0</v>
      </c>
      <c r="BE306" s="308">
        <f t="shared" si="301"/>
        <v>0</v>
      </c>
      <c r="BF306" s="308">
        <f t="shared" si="301"/>
        <v>0</v>
      </c>
      <c r="BG306" s="308">
        <f t="shared" si="301"/>
        <v>0</v>
      </c>
    </row>
    <row r="307" ht="12.75" customHeight="1" outlineLevel="1">
      <c r="A307" s="90"/>
      <c r="B307" s="67"/>
      <c r="C307" s="87"/>
      <c r="D307" s="87" t="s">
        <v>803</v>
      </c>
      <c r="E307" s="87"/>
      <c r="F307" s="87"/>
      <c r="G307" s="125">
        <f t="shared" ref="G307:R307" si="302">10*G171*G148</f>
        <v>0</v>
      </c>
      <c r="H307" s="125">
        <f t="shared" si="302"/>
        <v>0</v>
      </c>
      <c r="I307" s="125">
        <f t="shared" si="302"/>
        <v>0</v>
      </c>
      <c r="J307" s="125">
        <f t="shared" si="302"/>
        <v>0</v>
      </c>
      <c r="K307" s="125">
        <f t="shared" si="302"/>
        <v>0</v>
      </c>
      <c r="L307" s="125">
        <f t="shared" si="302"/>
        <v>0</v>
      </c>
      <c r="M307" s="125">
        <f t="shared" si="302"/>
        <v>0</v>
      </c>
      <c r="N307" s="125">
        <f t="shared" si="302"/>
        <v>0</v>
      </c>
      <c r="O307" s="125">
        <f t="shared" si="302"/>
        <v>0</v>
      </c>
      <c r="P307" s="125">
        <f t="shared" si="302"/>
        <v>0</v>
      </c>
      <c r="Q307" s="125">
        <f t="shared" si="302"/>
        <v>0</v>
      </c>
      <c r="R307" s="125">
        <f t="shared" si="302"/>
        <v>0</v>
      </c>
      <c r="AT307" s="377">
        <f t="shared" ref="AT307:BG307" si="303">10*AT171*AT148</f>
        <v>0</v>
      </c>
      <c r="AU307" s="377">
        <f t="shared" si="303"/>
        <v>0</v>
      </c>
      <c r="AV307" s="377">
        <f t="shared" si="303"/>
        <v>0</v>
      </c>
      <c r="AW307" s="377">
        <f t="shared" si="303"/>
        <v>0</v>
      </c>
      <c r="AX307" s="377">
        <f t="shared" si="303"/>
        <v>0</v>
      </c>
      <c r="AY307" s="377">
        <f t="shared" si="303"/>
        <v>0</v>
      </c>
      <c r="AZ307" s="377">
        <f t="shared" si="303"/>
        <v>0</v>
      </c>
      <c r="BA307" s="377">
        <f t="shared" si="303"/>
        <v>0</v>
      </c>
      <c r="BB307" s="377">
        <f t="shared" si="303"/>
        <v>0</v>
      </c>
      <c r="BC307" s="377">
        <f t="shared" si="303"/>
        <v>0</v>
      </c>
      <c r="BD307" s="377">
        <f t="shared" si="303"/>
        <v>0</v>
      </c>
      <c r="BE307" s="377">
        <f t="shared" si="303"/>
        <v>0</v>
      </c>
      <c r="BF307" s="377">
        <f t="shared" si="303"/>
        <v>0</v>
      </c>
      <c r="BG307" s="377">
        <f t="shared" si="303"/>
        <v>0</v>
      </c>
    </row>
    <row r="308" ht="12.75" customHeight="1" outlineLevel="1">
      <c r="A308" s="90"/>
      <c r="B308" s="67"/>
      <c r="C308" s="90" t="s">
        <v>804</v>
      </c>
      <c r="D308" s="90"/>
      <c r="E308" s="90"/>
      <c r="F308" s="90"/>
      <c r="G308" s="99">
        <f t="shared" ref="G308:R308" si="304">SUM(G301:G307)</f>
        <v>0</v>
      </c>
      <c r="H308" s="99">
        <f t="shared" si="304"/>
        <v>70833.33333</v>
      </c>
      <c r="I308" s="99">
        <f t="shared" si="304"/>
        <v>650333.3333</v>
      </c>
      <c r="J308" s="99">
        <f t="shared" si="304"/>
        <v>666333.3333</v>
      </c>
      <c r="K308" s="99">
        <f t="shared" si="304"/>
        <v>714583.3333</v>
      </c>
      <c r="L308" s="99">
        <f t="shared" si="304"/>
        <v>714583.3333</v>
      </c>
      <c r="M308" s="99">
        <f t="shared" si="304"/>
        <v>714583.3333</v>
      </c>
      <c r="N308" s="99">
        <f t="shared" si="304"/>
        <v>714583.3333</v>
      </c>
      <c r="O308" s="99">
        <f t="shared" si="304"/>
        <v>714583.3333</v>
      </c>
      <c r="P308" s="99">
        <f t="shared" si="304"/>
        <v>714583.3333</v>
      </c>
      <c r="Q308" s="99">
        <f t="shared" si="304"/>
        <v>714583.3333</v>
      </c>
      <c r="R308" s="99">
        <f t="shared" si="304"/>
        <v>714583.3333</v>
      </c>
      <c r="AT308" s="308">
        <f t="shared" ref="AT308:BG308" si="305">SUM(AT301:AT307)</f>
        <v>0</v>
      </c>
      <c r="AU308" s="308">
        <f t="shared" si="305"/>
        <v>0</v>
      </c>
      <c r="AV308" s="308">
        <f t="shared" si="305"/>
        <v>0</v>
      </c>
      <c r="AW308" s="308">
        <f t="shared" si="305"/>
        <v>0</v>
      </c>
      <c r="AX308" s="308">
        <f t="shared" si="305"/>
        <v>0</v>
      </c>
      <c r="AY308" s="308">
        <f t="shared" si="305"/>
        <v>0</v>
      </c>
      <c r="AZ308" s="308">
        <f t="shared" si="305"/>
        <v>0</v>
      </c>
      <c r="BA308" s="308">
        <f t="shared" si="305"/>
        <v>0</v>
      </c>
      <c r="BB308" s="308">
        <f t="shared" si="305"/>
        <v>0</v>
      </c>
      <c r="BC308" s="308">
        <f t="shared" si="305"/>
        <v>0</v>
      </c>
      <c r="BD308" s="308">
        <f t="shared" si="305"/>
        <v>0</v>
      </c>
      <c r="BE308" s="308">
        <f t="shared" si="305"/>
        <v>0</v>
      </c>
      <c r="BF308" s="308">
        <f t="shared" si="305"/>
        <v>0</v>
      </c>
      <c r="BG308" s="308">
        <f t="shared" si="305"/>
        <v>0</v>
      </c>
    </row>
    <row r="309" ht="12.75" customHeight="1" outlineLevel="1">
      <c r="A309" s="90"/>
      <c r="B309" s="67"/>
      <c r="C309" s="90"/>
      <c r="D309" s="90"/>
      <c r="E309" s="90"/>
      <c r="F309" s="90"/>
      <c r="G309" s="99"/>
      <c r="H309" s="99"/>
      <c r="I309" s="99"/>
      <c r="J309" s="99"/>
      <c r="K309" s="99"/>
      <c r="L309" s="99"/>
      <c r="M309" s="99"/>
      <c r="N309" s="99"/>
      <c r="O309" s="99"/>
      <c r="P309" s="99"/>
      <c r="Q309" s="99"/>
      <c r="R309" s="99"/>
      <c r="AT309" s="308"/>
      <c r="AU309" s="308"/>
      <c r="AV309" s="308"/>
      <c r="AW309" s="308"/>
      <c r="AX309" s="308"/>
      <c r="AY309" s="308"/>
      <c r="AZ309" s="308"/>
      <c r="BA309" s="308"/>
      <c r="BB309" s="308"/>
      <c r="BC309" s="308"/>
      <c r="BD309" s="308"/>
      <c r="BE309" s="308"/>
      <c r="BF309" s="308"/>
      <c r="BG309" s="308"/>
    </row>
    <row r="310" ht="12.75" customHeight="1" outlineLevel="1">
      <c r="A310" s="90"/>
      <c r="B310" s="67"/>
      <c r="C310" s="90" t="s">
        <v>805</v>
      </c>
      <c r="D310" s="90"/>
      <c r="E310" s="90"/>
      <c r="F310" s="90"/>
      <c r="G310" s="99"/>
      <c r="H310" s="99"/>
      <c r="I310" s="99"/>
      <c r="J310" s="99"/>
      <c r="K310" s="99"/>
      <c r="L310" s="99"/>
      <c r="M310" s="99"/>
      <c r="N310" s="99"/>
      <c r="O310" s="99"/>
      <c r="P310" s="99"/>
      <c r="Q310" s="99"/>
      <c r="R310" s="99"/>
      <c r="AT310" s="308"/>
      <c r="AU310" s="308"/>
      <c r="AV310" s="308"/>
      <c r="AW310" s="308"/>
      <c r="AX310" s="308"/>
      <c r="AY310" s="308"/>
      <c r="AZ310" s="308"/>
      <c r="BA310" s="308"/>
      <c r="BB310" s="308"/>
      <c r="BC310" s="308"/>
      <c r="BD310" s="308"/>
      <c r="BE310" s="308"/>
      <c r="BF310" s="308"/>
      <c r="BG310" s="308"/>
    </row>
    <row r="311" ht="12.75" customHeight="1" outlineLevel="1">
      <c r="A311" s="90"/>
      <c r="B311" s="90"/>
      <c r="C311" s="90"/>
      <c r="D311" s="90" t="s">
        <v>711</v>
      </c>
      <c r="E311" s="90"/>
      <c r="F311" s="90"/>
      <c r="G311" s="99">
        <f t="shared" ref="G311:R311" si="306">G151*G172</f>
        <v>0</v>
      </c>
      <c r="H311" s="99">
        <f t="shared" si="306"/>
        <v>24000</v>
      </c>
      <c r="I311" s="99">
        <f t="shared" si="306"/>
        <v>48000</v>
      </c>
      <c r="J311" s="99">
        <f t="shared" si="306"/>
        <v>48000</v>
      </c>
      <c r="K311" s="99">
        <f t="shared" si="306"/>
        <v>48000</v>
      </c>
      <c r="L311" s="99">
        <f t="shared" si="306"/>
        <v>48000</v>
      </c>
      <c r="M311" s="99">
        <f t="shared" si="306"/>
        <v>48000</v>
      </c>
      <c r="N311" s="99">
        <f t="shared" si="306"/>
        <v>48000</v>
      </c>
      <c r="O311" s="99">
        <f t="shared" si="306"/>
        <v>48000</v>
      </c>
      <c r="P311" s="99">
        <f t="shared" si="306"/>
        <v>48000</v>
      </c>
      <c r="Q311" s="99">
        <f t="shared" si="306"/>
        <v>48000</v>
      </c>
      <c r="R311" s="99">
        <f t="shared" si="306"/>
        <v>48000</v>
      </c>
      <c r="AT311" s="308">
        <f t="shared" ref="AT311:BG311" si="307">AT151*AT172</f>
        <v>0</v>
      </c>
      <c r="AU311" s="308">
        <f t="shared" si="307"/>
        <v>0</v>
      </c>
      <c r="AV311" s="308">
        <f t="shared" si="307"/>
        <v>0</v>
      </c>
      <c r="AW311" s="308">
        <f t="shared" si="307"/>
        <v>0</v>
      </c>
      <c r="AX311" s="308">
        <f t="shared" si="307"/>
        <v>0</v>
      </c>
      <c r="AY311" s="308">
        <f t="shared" si="307"/>
        <v>0</v>
      </c>
      <c r="AZ311" s="308">
        <f t="shared" si="307"/>
        <v>0</v>
      </c>
      <c r="BA311" s="308">
        <f t="shared" si="307"/>
        <v>0</v>
      </c>
      <c r="BB311" s="308">
        <f t="shared" si="307"/>
        <v>0</v>
      </c>
      <c r="BC311" s="308">
        <f t="shared" si="307"/>
        <v>0</v>
      </c>
      <c r="BD311" s="308">
        <f t="shared" si="307"/>
        <v>0</v>
      </c>
      <c r="BE311" s="308">
        <f t="shared" si="307"/>
        <v>0</v>
      </c>
      <c r="BF311" s="308">
        <f t="shared" si="307"/>
        <v>0</v>
      </c>
      <c r="BG311" s="308">
        <f t="shared" si="307"/>
        <v>0</v>
      </c>
    </row>
    <row r="312" ht="12.75" customHeight="1" outlineLevel="1">
      <c r="A312" s="90"/>
      <c r="B312" s="90"/>
      <c r="C312" s="90"/>
      <c r="D312" s="90" t="s">
        <v>712</v>
      </c>
      <c r="E312" s="90"/>
      <c r="F312" s="90"/>
      <c r="G312" s="99">
        <f t="shared" ref="G312:R312" si="308">G152*G173</f>
        <v>0</v>
      </c>
      <c r="H312" s="99">
        <f t="shared" si="308"/>
        <v>0</v>
      </c>
      <c r="I312" s="99">
        <f t="shared" si="308"/>
        <v>50000</v>
      </c>
      <c r="J312" s="99">
        <f t="shared" si="308"/>
        <v>50000</v>
      </c>
      <c r="K312" s="99">
        <f t="shared" si="308"/>
        <v>50000</v>
      </c>
      <c r="L312" s="99">
        <f t="shared" si="308"/>
        <v>50000</v>
      </c>
      <c r="M312" s="99">
        <f t="shared" si="308"/>
        <v>50000</v>
      </c>
      <c r="N312" s="99">
        <f t="shared" si="308"/>
        <v>50000</v>
      </c>
      <c r="O312" s="99">
        <f t="shared" si="308"/>
        <v>50000</v>
      </c>
      <c r="P312" s="99">
        <f t="shared" si="308"/>
        <v>50000</v>
      </c>
      <c r="Q312" s="99">
        <f t="shared" si="308"/>
        <v>50000</v>
      </c>
      <c r="R312" s="99">
        <f t="shared" si="308"/>
        <v>50000</v>
      </c>
      <c r="AT312" s="308">
        <f t="shared" ref="AT312:BG312" si="309">AT152*AT173</f>
        <v>0</v>
      </c>
      <c r="AU312" s="308">
        <f t="shared" si="309"/>
        <v>0</v>
      </c>
      <c r="AV312" s="308">
        <f t="shared" si="309"/>
        <v>0</v>
      </c>
      <c r="AW312" s="308">
        <f t="shared" si="309"/>
        <v>0</v>
      </c>
      <c r="AX312" s="308">
        <f t="shared" si="309"/>
        <v>0</v>
      </c>
      <c r="AY312" s="308">
        <f t="shared" si="309"/>
        <v>0</v>
      </c>
      <c r="AZ312" s="308">
        <f t="shared" si="309"/>
        <v>0</v>
      </c>
      <c r="BA312" s="308">
        <f t="shared" si="309"/>
        <v>0</v>
      </c>
      <c r="BB312" s="308">
        <f t="shared" si="309"/>
        <v>0</v>
      </c>
      <c r="BC312" s="308">
        <f t="shared" si="309"/>
        <v>0</v>
      </c>
      <c r="BD312" s="308">
        <f t="shared" si="309"/>
        <v>0</v>
      </c>
      <c r="BE312" s="308">
        <f t="shared" si="309"/>
        <v>0</v>
      </c>
      <c r="BF312" s="308">
        <f t="shared" si="309"/>
        <v>0</v>
      </c>
      <c r="BG312" s="308">
        <f t="shared" si="309"/>
        <v>0</v>
      </c>
    </row>
    <row r="313" ht="12.75" customHeight="1" outlineLevel="1">
      <c r="A313" s="90"/>
      <c r="B313" s="67"/>
      <c r="C313" s="90"/>
      <c r="D313" s="90" t="s">
        <v>713</v>
      </c>
      <c r="E313" s="90"/>
      <c r="F313" s="90"/>
      <c r="G313" s="99">
        <f t="shared" ref="G313:R313" si="310">G153*G174</f>
        <v>0</v>
      </c>
      <c r="H313" s="99">
        <f t="shared" si="310"/>
        <v>0</v>
      </c>
      <c r="I313" s="99">
        <f t="shared" si="310"/>
        <v>21600</v>
      </c>
      <c r="J313" s="99">
        <f t="shared" si="310"/>
        <v>21600</v>
      </c>
      <c r="K313" s="99">
        <f t="shared" si="310"/>
        <v>21600</v>
      </c>
      <c r="L313" s="99">
        <f t="shared" si="310"/>
        <v>21600</v>
      </c>
      <c r="M313" s="99">
        <f t="shared" si="310"/>
        <v>21600</v>
      </c>
      <c r="N313" s="99">
        <f t="shared" si="310"/>
        <v>21600</v>
      </c>
      <c r="O313" s="99">
        <f t="shared" si="310"/>
        <v>21600</v>
      </c>
      <c r="P313" s="99">
        <f t="shared" si="310"/>
        <v>21600</v>
      </c>
      <c r="Q313" s="99">
        <f t="shared" si="310"/>
        <v>21600</v>
      </c>
      <c r="R313" s="99">
        <f t="shared" si="310"/>
        <v>21600</v>
      </c>
      <c r="AT313" s="308" t="str">
        <f>'RS3'!AW313</f>
        <v/>
      </c>
      <c r="AU313" s="308" t="str">
        <f>'RS3'!AX313</f>
        <v/>
      </c>
      <c r="AV313" s="308" t="str">
        <f>'RS3'!AY313</f>
        <v/>
      </c>
      <c r="AW313" s="308" t="str">
        <f>'RS3'!AZ313</f>
        <v/>
      </c>
      <c r="AX313" s="308" t="str">
        <f>'RS3'!BA313</f>
        <v/>
      </c>
      <c r="AY313" s="308" t="str">
        <f>'RS3'!BB313</f>
        <v/>
      </c>
      <c r="AZ313" s="308" t="str">
        <f>'RS3'!BC313</f>
        <v/>
      </c>
      <c r="BA313" s="308" t="str">
        <f>'RS3'!BD313</f>
        <v/>
      </c>
      <c r="BB313" s="308" t="str">
        <f>'RS3'!BE313</f>
        <v/>
      </c>
      <c r="BC313" s="308" t="str">
        <f>'RS3'!BF313</f>
        <v/>
      </c>
      <c r="BD313" s="308" t="str">
        <f>'RS3'!BG313</f>
        <v/>
      </c>
      <c r="BE313" s="308" t="str">
        <f>'RS3'!BH313</f>
        <v/>
      </c>
      <c r="BF313" s="308" t="str">
        <f>'RS3'!BI313</f>
        <v/>
      </c>
      <c r="BG313" s="308" t="str">
        <f>'RS3'!BJ313</f>
        <v/>
      </c>
    </row>
    <row r="314" ht="12.75" customHeight="1" outlineLevel="1">
      <c r="A314" s="90"/>
      <c r="B314" s="67"/>
      <c r="C314" s="87"/>
      <c r="D314" s="87" t="s">
        <v>714</v>
      </c>
      <c r="E314" s="87"/>
      <c r="F314" s="87"/>
      <c r="G314" s="125">
        <f t="shared" ref="G314:R314" si="311">G154*G175</f>
        <v>0</v>
      </c>
      <c r="H314" s="125">
        <f t="shared" si="311"/>
        <v>0</v>
      </c>
      <c r="I314" s="125">
        <f t="shared" si="311"/>
        <v>39600</v>
      </c>
      <c r="J314" s="125">
        <f t="shared" si="311"/>
        <v>39600</v>
      </c>
      <c r="K314" s="125">
        <f t="shared" si="311"/>
        <v>39600</v>
      </c>
      <c r="L314" s="125">
        <f t="shared" si="311"/>
        <v>39600</v>
      </c>
      <c r="M314" s="125">
        <f t="shared" si="311"/>
        <v>39600</v>
      </c>
      <c r="N314" s="125">
        <f t="shared" si="311"/>
        <v>39600</v>
      </c>
      <c r="O314" s="125">
        <f t="shared" si="311"/>
        <v>39600</v>
      </c>
      <c r="P314" s="125">
        <f t="shared" si="311"/>
        <v>39600</v>
      </c>
      <c r="Q314" s="125">
        <f t="shared" si="311"/>
        <v>39600</v>
      </c>
      <c r="R314" s="125">
        <f t="shared" si="311"/>
        <v>39600</v>
      </c>
      <c r="AT314" s="377">
        <f t="shared" ref="AT314:BG314" si="312">AT154*AT175</f>
        <v>0</v>
      </c>
      <c r="AU314" s="377">
        <f t="shared" si="312"/>
        <v>0</v>
      </c>
      <c r="AV314" s="377">
        <f t="shared" si="312"/>
        <v>0</v>
      </c>
      <c r="AW314" s="377">
        <f t="shared" si="312"/>
        <v>0</v>
      </c>
      <c r="AX314" s="377">
        <f t="shared" si="312"/>
        <v>0</v>
      </c>
      <c r="AY314" s="377">
        <f t="shared" si="312"/>
        <v>0</v>
      </c>
      <c r="AZ314" s="377">
        <f t="shared" si="312"/>
        <v>0</v>
      </c>
      <c r="BA314" s="377">
        <f t="shared" si="312"/>
        <v>0</v>
      </c>
      <c r="BB314" s="377">
        <f t="shared" si="312"/>
        <v>0</v>
      </c>
      <c r="BC314" s="377">
        <f t="shared" si="312"/>
        <v>0</v>
      </c>
      <c r="BD314" s="377">
        <f t="shared" si="312"/>
        <v>0</v>
      </c>
      <c r="BE314" s="377">
        <f t="shared" si="312"/>
        <v>0</v>
      </c>
      <c r="BF314" s="377">
        <f t="shared" si="312"/>
        <v>0</v>
      </c>
      <c r="BG314" s="377">
        <f t="shared" si="312"/>
        <v>0</v>
      </c>
    </row>
    <row r="315" ht="12.75" customHeight="1" outlineLevel="1">
      <c r="A315" s="90"/>
      <c r="B315" s="67"/>
      <c r="C315" s="90" t="s">
        <v>806</v>
      </c>
      <c r="D315" s="90"/>
      <c r="E315" s="90"/>
      <c r="F315" s="90"/>
      <c r="G315" s="99">
        <f t="shared" ref="G315:R315" si="313">SUM(G311:G314)</f>
        <v>0</v>
      </c>
      <c r="H315" s="99">
        <f t="shared" si="313"/>
        <v>24000</v>
      </c>
      <c r="I315" s="99">
        <f t="shared" si="313"/>
        <v>159200</v>
      </c>
      <c r="J315" s="99">
        <f t="shared" si="313"/>
        <v>159200</v>
      </c>
      <c r="K315" s="99">
        <f t="shared" si="313"/>
        <v>159200</v>
      </c>
      <c r="L315" s="99">
        <f t="shared" si="313"/>
        <v>159200</v>
      </c>
      <c r="M315" s="99">
        <f t="shared" si="313"/>
        <v>159200</v>
      </c>
      <c r="N315" s="99">
        <f t="shared" si="313"/>
        <v>159200</v>
      </c>
      <c r="O315" s="99">
        <f t="shared" si="313"/>
        <v>159200</v>
      </c>
      <c r="P315" s="99">
        <f t="shared" si="313"/>
        <v>159200</v>
      </c>
      <c r="Q315" s="99">
        <f t="shared" si="313"/>
        <v>159200</v>
      </c>
      <c r="R315" s="99">
        <f t="shared" si="313"/>
        <v>159200</v>
      </c>
      <c r="AT315" s="308">
        <f t="shared" ref="AT315:BG315" si="314">SUM(AT311:AT314)</f>
        <v>0</v>
      </c>
      <c r="AU315" s="308">
        <f t="shared" si="314"/>
        <v>0</v>
      </c>
      <c r="AV315" s="308">
        <f t="shared" si="314"/>
        <v>0</v>
      </c>
      <c r="AW315" s="308">
        <f t="shared" si="314"/>
        <v>0</v>
      </c>
      <c r="AX315" s="308">
        <f t="shared" si="314"/>
        <v>0</v>
      </c>
      <c r="AY315" s="308">
        <f t="shared" si="314"/>
        <v>0</v>
      </c>
      <c r="AZ315" s="308">
        <f t="shared" si="314"/>
        <v>0</v>
      </c>
      <c r="BA315" s="308">
        <f t="shared" si="314"/>
        <v>0</v>
      </c>
      <c r="BB315" s="308">
        <f t="shared" si="314"/>
        <v>0</v>
      </c>
      <c r="BC315" s="308">
        <f t="shared" si="314"/>
        <v>0</v>
      </c>
      <c r="BD315" s="308">
        <f t="shared" si="314"/>
        <v>0</v>
      </c>
      <c r="BE315" s="308">
        <f t="shared" si="314"/>
        <v>0</v>
      </c>
      <c r="BF315" s="308">
        <f t="shared" si="314"/>
        <v>0</v>
      </c>
      <c r="BG315" s="308">
        <f t="shared" si="314"/>
        <v>0</v>
      </c>
    </row>
    <row r="316" ht="12.75" customHeight="1" outlineLevel="1">
      <c r="A316" s="90"/>
      <c r="B316" s="67"/>
      <c r="C316" s="90"/>
      <c r="D316" s="90"/>
      <c r="E316" s="90"/>
      <c r="F316" s="90"/>
      <c r="G316" s="99"/>
      <c r="H316" s="99"/>
      <c r="I316" s="99"/>
      <c r="J316" s="99"/>
      <c r="K316" s="99"/>
      <c r="L316" s="99"/>
      <c r="M316" s="99"/>
      <c r="N316" s="99"/>
      <c r="O316" s="99"/>
      <c r="P316" s="99"/>
      <c r="Q316" s="99"/>
      <c r="R316" s="99"/>
      <c r="AT316" s="308"/>
      <c r="AU316" s="308"/>
      <c r="AV316" s="308"/>
      <c r="AW316" s="308"/>
      <c r="AX316" s="308"/>
      <c r="AY316" s="308"/>
      <c r="AZ316" s="308"/>
      <c r="BA316" s="308"/>
      <c r="BB316" s="308"/>
      <c r="BC316" s="308"/>
      <c r="BD316" s="308"/>
      <c r="BE316" s="308"/>
      <c r="BF316" s="308"/>
      <c r="BG316" s="308"/>
    </row>
    <row r="317" ht="12.75" customHeight="1" outlineLevel="1">
      <c r="A317" s="90"/>
      <c r="B317" s="67"/>
      <c r="C317" s="90" t="s">
        <v>807</v>
      </c>
      <c r="D317" s="90"/>
      <c r="E317" s="90"/>
      <c r="F317" s="90"/>
      <c r="G317" s="99">
        <f>SUM(G308+G315)*G178*G179+G180</f>
        <v>0</v>
      </c>
      <c r="H317" s="99">
        <f t="shared" ref="H317:R317" si="315">SUM(H308+H311)*H178*H179+H180</f>
        <v>16566.66667</v>
      </c>
      <c r="I317" s="99">
        <f t="shared" si="315"/>
        <v>84866.66667</v>
      </c>
      <c r="J317" s="99">
        <f t="shared" si="315"/>
        <v>89766.66667</v>
      </c>
      <c r="K317" s="99">
        <f t="shared" si="315"/>
        <v>94591.66667</v>
      </c>
      <c r="L317" s="99">
        <f t="shared" si="315"/>
        <v>94591.66667</v>
      </c>
      <c r="M317" s="99">
        <f t="shared" si="315"/>
        <v>94591.66667</v>
      </c>
      <c r="N317" s="99">
        <f t="shared" si="315"/>
        <v>94591.66667</v>
      </c>
      <c r="O317" s="99">
        <f t="shared" si="315"/>
        <v>94591.66667</v>
      </c>
      <c r="P317" s="99">
        <f t="shared" si="315"/>
        <v>94591.66667</v>
      </c>
      <c r="Q317" s="99">
        <f t="shared" si="315"/>
        <v>94591.66667</v>
      </c>
      <c r="R317" s="99">
        <f t="shared" si="315"/>
        <v>94591.66667</v>
      </c>
      <c r="AT317" s="308">
        <f t="shared" ref="AT317:BG317" si="316">SUM(AT308+AT315)*AT178*AT179+AT180</f>
        <v>0</v>
      </c>
      <c r="AU317" s="308">
        <f t="shared" si="316"/>
        <v>0</v>
      </c>
      <c r="AV317" s="308">
        <f t="shared" si="316"/>
        <v>0</v>
      </c>
      <c r="AW317" s="308">
        <f t="shared" si="316"/>
        <v>0</v>
      </c>
      <c r="AX317" s="308">
        <f t="shared" si="316"/>
        <v>0</v>
      </c>
      <c r="AY317" s="308">
        <f t="shared" si="316"/>
        <v>0</v>
      </c>
      <c r="AZ317" s="308">
        <f t="shared" si="316"/>
        <v>0</v>
      </c>
      <c r="BA317" s="308">
        <f t="shared" si="316"/>
        <v>0</v>
      </c>
      <c r="BB317" s="308">
        <f t="shared" si="316"/>
        <v>0</v>
      </c>
      <c r="BC317" s="308">
        <f t="shared" si="316"/>
        <v>0</v>
      </c>
      <c r="BD317" s="308">
        <f t="shared" si="316"/>
        <v>0</v>
      </c>
      <c r="BE317" s="308">
        <f t="shared" si="316"/>
        <v>0</v>
      </c>
      <c r="BF317" s="308">
        <f t="shared" si="316"/>
        <v>0</v>
      </c>
      <c r="BG317" s="308">
        <f t="shared" si="316"/>
        <v>0</v>
      </c>
    </row>
    <row r="318" ht="12.75" customHeight="1" outlineLevel="1">
      <c r="A318" s="90"/>
      <c r="B318" s="87"/>
      <c r="C318" s="87"/>
      <c r="D318" s="87"/>
      <c r="E318" s="87"/>
      <c r="F318" s="87"/>
      <c r="G318" s="125"/>
      <c r="H318" s="125"/>
      <c r="I318" s="125"/>
      <c r="J318" s="125"/>
      <c r="K318" s="125"/>
      <c r="L318" s="125"/>
      <c r="M318" s="125"/>
      <c r="N318" s="125"/>
      <c r="O318" s="125"/>
      <c r="P318" s="125"/>
      <c r="Q318" s="125"/>
      <c r="R318" s="125"/>
      <c r="AT318" s="377"/>
      <c r="AU318" s="377"/>
      <c r="AV318" s="377"/>
      <c r="AW318" s="377"/>
      <c r="AX318" s="377"/>
      <c r="AY318" s="377"/>
      <c r="AZ318" s="377"/>
      <c r="BA318" s="377"/>
      <c r="BB318" s="377"/>
      <c r="BC318" s="377"/>
      <c r="BD318" s="377"/>
      <c r="BE318" s="377"/>
      <c r="BF318" s="377"/>
      <c r="BG318" s="377"/>
    </row>
    <row r="319" ht="12.75" customHeight="1" outlineLevel="1">
      <c r="A319" s="90"/>
      <c r="B319" s="67" t="s">
        <v>312</v>
      </c>
      <c r="C319" s="90"/>
      <c r="D319" s="90"/>
      <c r="E319" s="90"/>
      <c r="F319" s="90"/>
      <c r="G319" s="79">
        <f t="shared" ref="G319:R319" si="317">G315+G308+G317</f>
        <v>0</v>
      </c>
      <c r="H319" s="79">
        <f t="shared" si="317"/>
        <v>111400</v>
      </c>
      <c r="I319" s="79">
        <f t="shared" si="317"/>
        <v>894400</v>
      </c>
      <c r="J319" s="79">
        <f t="shared" si="317"/>
        <v>915300</v>
      </c>
      <c r="K319" s="79">
        <f t="shared" si="317"/>
        <v>968375</v>
      </c>
      <c r="L319" s="79">
        <f t="shared" si="317"/>
        <v>968375</v>
      </c>
      <c r="M319" s="79">
        <f t="shared" si="317"/>
        <v>968375</v>
      </c>
      <c r="N319" s="79">
        <f t="shared" si="317"/>
        <v>968375</v>
      </c>
      <c r="O319" s="79">
        <f t="shared" si="317"/>
        <v>968375</v>
      </c>
      <c r="P319" s="79">
        <f t="shared" si="317"/>
        <v>968375</v>
      </c>
      <c r="Q319" s="79">
        <f t="shared" si="317"/>
        <v>968375</v>
      </c>
      <c r="R319" s="79">
        <f t="shared" si="317"/>
        <v>968375</v>
      </c>
      <c r="AT319" s="378">
        <f t="shared" ref="AT319:BG319" si="318">AT315+AT308+AT317</f>
        <v>0</v>
      </c>
      <c r="AU319" s="378">
        <f t="shared" si="318"/>
        <v>0</v>
      </c>
      <c r="AV319" s="378">
        <f t="shared" si="318"/>
        <v>0</v>
      </c>
      <c r="AW319" s="378">
        <f t="shared" si="318"/>
        <v>0</v>
      </c>
      <c r="AX319" s="378">
        <f t="shared" si="318"/>
        <v>0</v>
      </c>
      <c r="AY319" s="378">
        <f t="shared" si="318"/>
        <v>0</v>
      </c>
      <c r="AZ319" s="378">
        <f t="shared" si="318"/>
        <v>0</v>
      </c>
      <c r="BA319" s="378">
        <f t="shared" si="318"/>
        <v>0</v>
      </c>
      <c r="BB319" s="378">
        <f t="shared" si="318"/>
        <v>0</v>
      </c>
      <c r="BC319" s="378">
        <f t="shared" si="318"/>
        <v>0</v>
      </c>
      <c r="BD319" s="378">
        <f t="shared" si="318"/>
        <v>0</v>
      </c>
      <c r="BE319" s="378">
        <f t="shared" si="318"/>
        <v>0</v>
      </c>
      <c r="BF319" s="378">
        <f t="shared" si="318"/>
        <v>0</v>
      </c>
      <c r="BG319" s="378">
        <f t="shared" si="318"/>
        <v>0</v>
      </c>
    </row>
    <row r="320" ht="12.75" customHeight="1" outlineLevel="1">
      <c r="A320" s="90"/>
      <c r="B320" s="90"/>
      <c r="C320" s="90"/>
      <c r="D320" s="90"/>
      <c r="E320" s="90"/>
      <c r="F320" s="90"/>
      <c r="G320" s="91"/>
      <c r="H320" s="91"/>
      <c r="I320" s="91"/>
      <c r="J320" s="91"/>
      <c r="K320" s="91"/>
      <c r="L320" s="91"/>
      <c r="M320" s="91"/>
      <c r="N320" s="91"/>
      <c r="O320" s="91"/>
      <c r="P320" s="91"/>
      <c r="Q320" s="91"/>
      <c r="R320" s="91"/>
      <c r="AT320" s="382"/>
      <c r="AU320" s="382"/>
      <c r="AV320" s="382"/>
      <c r="AW320" s="382"/>
      <c r="AX320" s="382"/>
      <c r="AY320" s="382"/>
      <c r="AZ320" s="382"/>
      <c r="BA320" s="382"/>
      <c r="BB320" s="382"/>
      <c r="BC320" s="382"/>
      <c r="BD320" s="382"/>
      <c r="BE320" s="382"/>
      <c r="BF320" s="382"/>
      <c r="BG320" s="382"/>
    </row>
    <row r="321" ht="12.75" customHeight="1" outlineLevel="1">
      <c r="A321" s="90"/>
      <c r="B321" s="67" t="s">
        <v>808</v>
      </c>
      <c r="C321" s="90"/>
      <c r="D321" s="90"/>
      <c r="E321" s="90"/>
      <c r="F321" s="90"/>
      <c r="G321" s="90"/>
      <c r="H321" s="90"/>
      <c r="I321" s="90"/>
      <c r="J321" s="383"/>
      <c r="K321" s="90"/>
      <c r="L321" s="90"/>
      <c r="M321" s="90"/>
      <c r="N321" s="90"/>
      <c r="O321" s="90"/>
      <c r="P321" s="90"/>
      <c r="Q321" s="90"/>
      <c r="R321" s="90"/>
      <c r="AT321" s="313"/>
      <c r="AU321" s="313"/>
      <c r="AV321" s="313"/>
      <c r="AW321" s="313"/>
      <c r="AX321" s="313"/>
      <c r="AY321" s="313"/>
      <c r="AZ321" s="313"/>
      <c r="BA321" s="313"/>
      <c r="BB321" s="313"/>
      <c r="BC321" s="313"/>
      <c r="BD321" s="313"/>
      <c r="BE321" s="313"/>
      <c r="BF321" s="313"/>
      <c r="BG321" s="313"/>
    </row>
    <row r="322" ht="12.75" customHeight="1" outlineLevel="1">
      <c r="A322" s="90"/>
      <c r="B322" s="90"/>
      <c r="C322" s="90" t="s">
        <v>809</v>
      </c>
      <c r="D322" s="90"/>
      <c r="E322" s="90"/>
      <c r="F322" s="90"/>
      <c r="G322" s="99">
        <f t="shared" ref="G322:R322" si="319">G184*G185</f>
        <v>0</v>
      </c>
      <c r="H322" s="99">
        <f t="shared" si="319"/>
        <v>10800</v>
      </c>
      <c r="I322" s="99">
        <f t="shared" si="319"/>
        <v>100800</v>
      </c>
      <c r="J322" s="99">
        <f t="shared" si="319"/>
        <v>100800</v>
      </c>
      <c r="K322" s="99">
        <f t="shared" si="319"/>
        <v>108000</v>
      </c>
      <c r="L322" s="99">
        <f t="shared" si="319"/>
        <v>108000</v>
      </c>
      <c r="M322" s="99">
        <f t="shared" si="319"/>
        <v>108000</v>
      </c>
      <c r="N322" s="99">
        <f t="shared" si="319"/>
        <v>108000</v>
      </c>
      <c r="O322" s="99">
        <f t="shared" si="319"/>
        <v>108000</v>
      </c>
      <c r="P322" s="99">
        <f t="shared" si="319"/>
        <v>108000</v>
      </c>
      <c r="Q322" s="99">
        <f t="shared" si="319"/>
        <v>108000</v>
      </c>
      <c r="R322" s="99">
        <f t="shared" si="319"/>
        <v>108000</v>
      </c>
      <c r="AT322" s="308">
        <f t="shared" ref="AT322:BG322" si="320">AT184*AT185</f>
        <v>0</v>
      </c>
      <c r="AU322" s="308">
        <f t="shared" si="320"/>
        <v>0</v>
      </c>
      <c r="AV322" s="308">
        <f t="shared" si="320"/>
        <v>0</v>
      </c>
      <c r="AW322" s="308">
        <f t="shared" si="320"/>
        <v>0</v>
      </c>
      <c r="AX322" s="308">
        <f t="shared" si="320"/>
        <v>0</v>
      </c>
      <c r="AY322" s="308">
        <f t="shared" si="320"/>
        <v>0</v>
      </c>
      <c r="AZ322" s="308">
        <f t="shared" si="320"/>
        <v>0</v>
      </c>
      <c r="BA322" s="308">
        <f t="shared" si="320"/>
        <v>0</v>
      </c>
      <c r="BB322" s="308">
        <f t="shared" si="320"/>
        <v>0</v>
      </c>
      <c r="BC322" s="308">
        <f t="shared" si="320"/>
        <v>0</v>
      </c>
      <c r="BD322" s="308">
        <f t="shared" si="320"/>
        <v>0</v>
      </c>
      <c r="BE322" s="308">
        <f t="shared" si="320"/>
        <v>0</v>
      </c>
      <c r="BF322" s="308">
        <f t="shared" si="320"/>
        <v>0</v>
      </c>
      <c r="BG322" s="308">
        <f t="shared" si="320"/>
        <v>0</v>
      </c>
    </row>
    <row r="323" ht="12.75" customHeight="1" outlineLevel="1">
      <c r="A323" s="90"/>
      <c r="B323" s="90"/>
      <c r="C323" s="90" t="s">
        <v>731</v>
      </c>
      <c r="D323" s="90"/>
      <c r="E323" s="90"/>
      <c r="F323" s="90"/>
      <c r="G323" s="99">
        <f t="shared" ref="G323:G325" si="323">G186*G$319</f>
        <v>0</v>
      </c>
      <c r="H323" s="99">
        <f t="shared" ref="H323:R323" si="321">H$319*H186</f>
        <v>1782.4</v>
      </c>
      <c r="I323" s="99">
        <f t="shared" si="321"/>
        <v>14310.4</v>
      </c>
      <c r="J323" s="99">
        <f t="shared" si="321"/>
        <v>14644.8</v>
      </c>
      <c r="K323" s="99">
        <f t="shared" si="321"/>
        <v>15494</v>
      </c>
      <c r="L323" s="99">
        <f t="shared" si="321"/>
        <v>15494</v>
      </c>
      <c r="M323" s="99">
        <f t="shared" si="321"/>
        <v>15494</v>
      </c>
      <c r="N323" s="99">
        <f t="shared" si="321"/>
        <v>15494</v>
      </c>
      <c r="O323" s="99">
        <f t="shared" si="321"/>
        <v>15494</v>
      </c>
      <c r="P323" s="99">
        <f t="shared" si="321"/>
        <v>15494</v>
      </c>
      <c r="Q323" s="99">
        <f t="shared" si="321"/>
        <v>15494</v>
      </c>
      <c r="R323" s="99">
        <f t="shared" si="321"/>
        <v>15494</v>
      </c>
      <c r="AT323" s="308">
        <f t="shared" ref="AT323:BG323" si="322">0.016*AT319</f>
        <v>0</v>
      </c>
      <c r="AU323" s="308">
        <f t="shared" si="322"/>
        <v>0</v>
      </c>
      <c r="AV323" s="308">
        <f t="shared" si="322"/>
        <v>0</v>
      </c>
      <c r="AW323" s="308">
        <f t="shared" si="322"/>
        <v>0</v>
      </c>
      <c r="AX323" s="308">
        <f t="shared" si="322"/>
        <v>0</v>
      </c>
      <c r="AY323" s="308">
        <f t="shared" si="322"/>
        <v>0</v>
      </c>
      <c r="AZ323" s="308">
        <f t="shared" si="322"/>
        <v>0</v>
      </c>
      <c r="BA323" s="308">
        <f t="shared" si="322"/>
        <v>0</v>
      </c>
      <c r="BB323" s="308">
        <f t="shared" si="322"/>
        <v>0</v>
      </c>
      <c r="BC323" s="308">
        <f t="shared" si="322"/>
        <v>0</v>
      </c>
      <c r="BD323" s="308">
        <f t="shared" si="322"/>
        <v>0</v>
      </c>
      <c r="BE323" s="308">
        <f t="shared" si="322"/>
        <v>0</v>
      </c>
      <c r="BF323" s="308">
        <f t="shared" si="322"/>
        <v>0</v>
      </c>
      <c r="BG323" s="308">
        <f t="shared" si="322"/>
        <v>0</v>
      </c>
    </row>
    <row r="324" ht="12.75" customHeight="1" outlineLevel="1">
      <c r="A324" s="90"/>
      <c r="B324" s="90"/>
      <c r="C324" s="90" t="s">
        <v>810</v>
      </c>
      <c r="D324" s="90"/>
      <c r="E324" s="90"/>
      <c r="F324" s="90"/>
      <c r="G324" s="99">
        <f t="shared" si="323"/>
        <v>0</v>
      </c>
      <c r="H324" s="99">
        <f t="shared" ref="H324:R324" si="324">H319*H187</f>
        <v>1225.4</v>
      </c>
      <c r="I324" s="99">
        <f t="shared" si="324"/>
        <v>9838.4</v>
      </c>
      <c r="J324" s="99">
        <f t="shared" si="324"/>
        <v>10068.3</v>
      </c>
      <c r="K324" s="99">
        <f t="shared" si="324"/>
        <v>10652.125</v>
      </c>
      <c r="L324" s="99">
        <f t="shared" si="324"/>
        <v>10652.125</v>
      </c>
      <c r="M324" s="99">
        <f t="shared" si="324"/>
        <v>10652.125</v>
      </c>
      <c r="N324" s="99">
        <f t="shared" si="324"/>
        <v>10652.125</v>
      </c>
      <c r="O324" s="99">
        <f t="shared" si="324"/>
        <v>10652.125</v>
      </c>
      <c r="P324" s="99">
        <f t="shared" si="324"/>
        <v>10652.125</v>
      </c>
      <c r="Q324" s="99">
        <f t="shared" si="324"/>
        <v>10652.125</v>
      </c>
      <c r="R324" s="99">
        <f t="shared" si="324"/>
        <v>10652.125</v>
      </c>
      <c r="AT324" s="308">
        <f t="shared" ref="AT324:BG324" si="325">500*AT159</f>
        <v>0</v>
      </c>
      <c r="AU324" s="308">
        <f t="shared" si="325"/>
        <v>0</v>
      </c>
      <c r="AV324" s="308">
        <f t="shared" si="325"/>
        <v>0</v>
      </c>
      <c r="AW324" s="308">
        <f t="shared" si="325"/>
        <v>0</v>
      </c>
      <c r="AX324" s="308">
        <f t="shared" si="325"/>
        <v>0</v>
      </c>
      <c r="AY324" s="308">
        <f t="shared" si="325"/>
        <v>0</v>
      </c>
      <c r="AZ324" s="308">
        <f t="shared" si="325"/>
        <v>0</v>
      </c>
      <c r="BA324" s="308">
        <f t="shared" si="325"/>
        <v>0</v>
      </c>
      <c r="BB324" s="308">
        <f t="shared" si="325"/>
        <v>0</v>
      </c>
      <c r="BC324" s="308">
        <f t="shared" si="325"/>
        <v>0</v>
      </c>
      <c r="BD324" s="308">
        <f t="shared" si="325"/>
        <v>0</v>
      </c>
      <c r="BE324" s="308">
        <f t="shared" si="325"/>
        <v>0</v>
      </c>
      <c r="BF324" s="308">
        <f t="shared" si="325"/>
        <v>0</v>
      </c>
      <c r="BG324" s="308">
        <f t="shared" si="325"/>
        <v>0</v>
      </c>
    </row>
    <row r="325" ht="12.75" customHeight="1" outlineLevel="1">
      <c r="A325" s="90"/>
      <c r="B325" s="90"/>
      <c r="C325" s="90" t="s">
        <v>733</v>
      </c>
      <c r="D325" s="90"/>
      <c r="E325" s="90"/>
      <c r="F325" s="90"/>
      <c r="G325" s="99">
        <f t="shared" si="323"/>
        <v>0</v>
      </c>
      <c r="H325" s="99">
        <f t="shared" ref="H325:R325" si="326">0.0745*(H315+H317*H315/(H315+H308))+0.0165*(H308+H317*H308/(H308+H315))</f>
        <v>3473.27188</v>
      </c>
      <c r="I325" s="99">
        <f t="shared" si="326"/>
        <v>24959.19578</v>
      </c>
      <c r="J325" s="99">
        <f t="shared" si="326"/>
        <v>25340.09122</v>
      </c>
      <c r="K325" s="99">
        <f t="shared" si="326"/>
        <v>26211.37353</v>
      </c>
      <c r="L325" s="99">
        <f t="shared" si="326"/>
        <v>26211.37353</v>
      </c>
      <c r="M325" s="99">
        <f t="shared" si="326"/>
        <v>26211.37353</v>
      </c>
      <c r="N325" s="99">
        <f t="shared" si="326"/>
        <v>26211.37353</v>
      </c>
      <c r="O325" s="99">
        <f t="shared" si="326"/>
        <v>26211.37353</v>
      </c>
      <c r="P325" s="99">
        <f t="shared" si="326"/>
        <v>26211.37353</v>
      </c>
      <c r="Q325" s="99">
        <f t="shared" si="326"/>
        <v>26211.37353</v>
      </c>
      <c r="R325" s="99">
        <f t="shared" si="326"/>
        <v>26211.37353</v>
      </c>
      <c r="AT325" s="308" t="str">
        <f t="shared" ref="AT325:BG325" si="327">0.0745*(AT315+AT317*AT315/(AT315+AT308))+0.0165*(AT308+AT317*AT308/(AT308+AT315))</f>
        <v>#DIV/0!</v>
      </c>
      <c r="AU325" s="308" t="str">
        <f t="shared" si="327"/>
        <v>#DIV/0!</v>
      </c>
      <c r="AV325" s="308" t="str">
        <f t="shared" si="327"/>
        <v>#DIV/0!</v>
      </c>
      <c r="AW325" s="308" t="str">
        <f t="shared" si="327"/>
        <v>#DIV/0!</v>
      </c>
      <c r="AX325" s="308" t="str">
        <f t="shared" si="327"/>
        <v>#DIV/0!</v>
      </c>
      <c r="AY325" s="308" t="str">
        <f t="shared" si="327"/>
        <v>#DIV/0!</v>
      </c>
      <c r="AZ325" s="308" t="str">
        <f t="shared" si="327"/>
        <v>#DIV/0!</v>
      </c>
      <c r="BA325" s="308" t="str">
        <f t="shared" si="327"/>
        <v>#DIV/0!</v>
      </c>
      <c r="BB325" s="308" t="str">
        <f t="shared" si="327"/>
        <v>#DIV/0!</v>
      </c>
      <c r="BC325" s="308" t="str">
        <f t="shared" si="327"/>
        <v>#DIV/0!</v>
      </c>
      <c r="BD325" s="308" t="str">
        <f t="shared" si="327"/>
        <v>#DIV/0!</v>
      </c>
      <c r="BE325" s="308" t="str">
        <f t="shared" si="327"/>
        <v>#DIV/0!</v>
      </c>
      <c r="BF325" s="308" t="str">
        <f t="shared" si="327"/>
        <v>#DIV/0!</v>
      </c>
      <c r="BG325" s="308" t="str">
        <f t="shared" si="327"/>
        <v>#DIV/0!</v>
      </c>
    </row>
    <row r="326" ht="12.75" customHeight="1" outlineLevel="1">
      <c r="A326" s="90"/>
      <c r="B326" s="90"/>
      <c r="C326" s="90" t="s">
        <v>734</v>
      </c>
      <c r="D326" s="90"/>
      <c r="E326" s="90"/>
      <c r="F326" s="90"/>
      <c r="G326" s="99">
        <f>G308*G189</f>
        <v>0</v>
      </c>
      <c r="H326" s="99">
        <f t="shared" ref="H326:R326" si="328">(H308-H307)*H189</f>
        <v>5843.75</v>
      </c>
      <c r="I326" s="99">
        <f t="shared" si="328"/>
        <v>53652.5</v>
      </c>
      <c r="J326" s="99">
        <f t="shared" si="328"/>
        <v>54972.5</v>
      </c>
      <c r="K326" s="99">
        <f t="shared" si="328"/>
        <v>58953.125</v>
      </c>
      <c r="L326" s="99">
        <f t="shared" si="328"/>
        <v>58953.125</v>
      </c>
      <c r="M326" s="99">
        <f t="shared" si="328"/>
        <v>58953.125</v>
      </c>
      <c r="N326" s="99">
        <f t="shared" si="328"/>
        <v>58953.125</v>
      </c>
      <c r="O326" s="99">
        <f t="shared" si="328"/>
        <v>58953.125</v>
      </c>
      <c r="P326" s="99">
        <f t="shared" si="328"/>
        <v>58953.125</v>
      </c>
      <c r="Q326" s="99">
        <f t="shared" si="328"/>
        <v>58953.125</v>
      </c>
      <c r="R326" s="99">
        <f t="shared" si="328"/>
        <v>58953.125</v>
      </c>
      <c r="AT326" s="308">
        <f t="shared" ref="AT326:BG326" si="329">AT308*AT189</f>
        <v>0</v>
      </c>
      <c r="AU326" s="308">
        <f t="shared" si="329"/>
        <v>0</v>
      </c>
      <c r="AV326" s="308">
        <f t="shared" si="329"/>
        <v>0</v>
      </c>
      <c r="AW326" s="308">
        <f t="shared" si="329"/>
        <v>0</v>
      </c>
      <c r="AX326" s="308">
        <f t="shared" si="329"/>
        <v>0</v>
      </c>
      <c r="AY326" s="308">
        <f t="shared" si="329"/>
        <v>0</v>
      </c>
      <c r="AZ326" s="308">
        <f t="shared" si="329"/>
        <v>0</v>
      </c>
      <c r="BA326" s="308">
        <f t="shared" si="329"/>
        <v>0</v>
      </c>
      <c r="BB326" s="308">
        <f t="shared" si="329"/>
        <v>0</v>
      </c>
      <c r="BC326" s="308">
        <f t="shared" si="329"/>
        <v>0</v>
      </c>
      <c r="BD326" s="308">
        <f t="shared" si="329"/>
        <v>0</v>
      </c>
      <c r="BE326" s="308">
        <f t="shared" si="329"/>
        <v>0</v>
      </c>
      <c r="BF326" s="308">
        <f t="shared" si="329"/>
        <v>0</v>
      </c>
      <c r="BG326" s="308">
        <f t="shared" si="329"/>
        <v>0</v>
      </c>
    </row>
    <row r="327" ht="12.75" customHeight="1" outlineLevel="1">
      <c r="A327" s="90"/>
      <c r="B327" s="90"/>
      <c r="C327" s="90" t="s">
        <v>735</v>
      </c>
      <c r="D327" s="90"/>
      <c r="E327" s="90"/>
      <c r="F327" s="90"/>
      <c r="G327" s="99">
        <f>G315*G190</f>
        <v>0</v>
      </c>
      <c r="H327" s="99">
        <f t="shared" ref="H327:R327" si="330">0.03*H315+0.03*H317*H315/(H315+H308)</f>
        <v>845.7785589</v>
      </c>
      <c r="I327" s="99">
        <f t="shared" si="330"/>
        <v>5276.687474</v>
      </c>
      <c r="J327" s="99">
        <f t="shared" si="330"/>
        <v>5295.331664</v>
      </c>
      <c r="K327" s="99">
        <f t="shared" si="330"/>
        <v>5293.027257</v>
      </c>
      <c r="L327" s="99">
        <f t="shared" si="330"/>
        <v>5293.027257</v>
      </c>
      <c r="M327" s="99">
        <f t="shared" si="330"/>
        <v>5293.027257</v>
      </c>
      <c r="N327" s="99">
        <f t="shared" si="330"/>
        <v>5293.027257</v>
      </c>
      <c r="O327" s="99">
        <f t="shared" si="330"/>
        <v>5293.027257</v>
      </c>
      <c r="P327" s="99">
        <f t="shared" si="330"/>
        <v>5293.027257</v>
      </c>
      <c r="Q327" s="99">
        <f t="shared" si="330"/>
        <v>5293.027257</v>
      </c>
      <c r="R327" s="99">
        <f t="shared" si="330"/>
        <v>5293.027257</v>
      </c>
      <c r="AT327" s="308" t="str">
        <f t="shared" ref="AT327:BG327" si="331">0.03*AT315+0.03*AT317*AT315/(AT315+AT308)</f>
        <v>#DIV/0!</v>
      </c>
      <c r="AU327" s="308" t="str">
        <f t="shared" si="331"/>
        <v>#DIV/0!</v>
      </c>
      <c r="AV327" s="308" t="str">
        <f t="shared" si="331"/>
        <v>#DIV/0!</v>
      </c>
      <c r="AW327" s="308" t="str">
        <f t="shared" si="331"/>
        <v>#DIV/0!</v>
      </c>
      <c r="AX327" s="308" t="str">
        <f t="shared" si="331"/>
        <v>#DIV/0!</v>
      </c>
      <c r="AY327" s="308" t="str">
        <f t="shared" si="331"/>
        <v>#DIV/0!</v>
      </c>
      <c r="AZ327" s="308" t="str">
        <f t="shared" si="331"/>
        <v>#DIV/0!</v>
      </c>
      <c r="BA327" s="308" t="str">
        <f t="shared" si="331"/>
        <v>#DIV/0!</v>
      </c>
      <c r="BB327" s="308" t="str">
        <f t="shared" si="331"/>
        <v>#DIV/0!</v>
      </c>
      <c r="BC327" s="308" t="str">
        <f t="shared" si="331"/>
        <v>#DIV/0!</v>
      </c>
      <c r="BD327" s="308" t="str">
        <f t="shared" si="331"/>
        <v>#DIV/0!</v>
      </c>
      <c r="BE327" s="308" t="str">
        <f t="shared" si="331"/>
        <v>#DIV/0!</v>
      </c>
      <c r="BF327" s="308" t="str">
        <f t="shared" si="331"/>
        <v>#DIV/0!</v>
      </c>
      <c r="BG327" s="308" t="str">
        <f t="shared" si="331"/>
        <v>#DIV/0!</v>
      </c>
    </row>
    <row r="328" ht="12.75" customHeight="1" outlineLevel="1">
      <c r="A328" s="90"/>
      <c r="B328" s="90"/>
      <c r="C328" s="90" t="s">
        <v>736</v>
      </c>
      <c r="D328" s="90"/>
      <c r="E328" s="90"/>
      <c r="F328" s="90"/>
      <c r="G328" s="99">
        <f t="shared" ref="G328:G329" si="332">G191*G$319</f>
        <v>0</v>
      </c>
      <c r="H328" s="99"/>
      <c r="I328" s="99"/>
      <c r="J328" s="99"/>
      <c r="K328" s="99"/>
      <c r="L328" s="99"/>
      <c r="M328" s="99"/>
      <c r="N328" s="99"/>
      <c r="O328" s="99"/>
      <c r="P328" s="99"/>
      <c r="Q328" s="99"/>
      <c r="R328" s="99"/>
      <c r="AT328" s="308"/>
      <c r="AU328" s="308"/>
      <c r="AV328" s="308"/>
      <c r="AW328" s="308"/>
      <c r="AX328" s="308"/>
      <c r="AY328" s="308"/>
      <c r="AZ328" s="308"/>
      <c r="BA328" s="308"/>
      <c r="BB328" s="308"/>
      <c r="BC328" s="308"/>
      <c r="BD328" s="308"/>
      <c r="BE328" s="308"/>
      <c r="BF328" s="308"/>
      <c r="BG328" s="308"/>
    </row>
    <row r="329" ht="12.75" customHeight="1" outlineLevel="1">
      <c r="A329" s="90"/>
      <c r="B329" s="87"/>
      <c r="C329" s="87" t="s">
        <v>737</v>
      </c>
      <c r="D329" s="87"/>
      <c r="E329" s="87"/>
      <c r="F329" s="87"/>
      <c r="G329" s="125">
        <f t="shared" si="332"/>
        <v>0</v>
      </c>
      <c r="H329" s="125"/>
      <c r="I329" s="125"/>
      <c r="J329" s="125"/>
      <c r="K329" s="125"/>
      <c r="L329" s="125"/>
      <c r="M329" s="125"/>
      <c r="N329" s="125"/>
      <c r="O329" s="125"/>
      <c r="P329" s="125"/>
      <c r="Q329" s="125"/>
      <c r="R329" s="125"/>
      <c r="AT329" s="377"/>
      <c r="AU329" s="377"/>
      <c r="AV329" s="377"/>
      <c r="AW329" s="377"/>
      <c r="AX329" s="377"/>
      <c r="AY329" s="377"/>
      <c r="AZ329" s="377"/>
      <c r="BA329" s="377"/>
      <c r="BB329" s="377"/>
      <c r="BC329" s="377"/>
      <c r="BD329" s="377"/>
      <c r="BE329" s="377"/>
      <c r="BF329" s="377"/>
      <c r="BG329" s="377"/>
    </row>
    <row r="330" ht="12.75" customHeight="1" outlineLevel="1">
      <c r="A330" s="90"/>
      <c r="B330" s="67" t="s">
        <v>313</v>
      </c>
      <c r="C330" s="90"/>
      <c r="D330" s="90"/>
      <c r="E330" s="90"/>
      <c r="F330" s="90"/>
      <c r="G330" s="79">
        <f t="shared" ref="G330:R330" si="333">SUM(G322:G329)</f>
        <v>0</v>
      </c>
      <c r="H330" s="79">
        <f t="shared" si="333"/>
        <v>23970.60044</v>
      </c>
      <c r="I330" s="79">
        <f t="shared" si="333"/>
        <v>208837.1833</v>
      </c>
      <c r="J330" s="79">
        <f t="shared" si="333"/>
        <v>211121.0229</v>
      </c>
      <c r="K330" s="79">
        <f t="shared" si="333"/>
        <v>224603.6508</v>
      </c>
      <c r="L330" s="79">
        <f t="shared" si="333"/>
        <v>224603.6508</v>
      </c>
      <c r="M330" s="79">
        <f t="shared" si="333"/>
        <v>224603.6508</v>
      </c>
      <c r="N330" s="79">
        <f t="shared" si="333"/>
        <v>224603.6508</v>
      </c>
      <c r="O330" s="79">
        <f t="shared" si="333"/>
        <v>224603.6508</v>
      </c>
      <c r="P330" s="79">
        <f t="shared" si="333"/>
        <v>224603.6508</v>
      </c>
      <c r="Q330" s="79">
        <f t="shared" si="333"/>
        <v>224603.6508</v>
      </c>
      <c r="R330" s="79">
        <f t="shared" si="333"/>
        <v>224603.6508</v>
      </c>
      <c r="AT330" s="378" t="str">
        <f t="shared" ref="AT330:BG330" si="334">SUM(AT322:AT329)</f>
        <v>#DIV/0!</v>
      </c>
      <c r="AU330" s="378" t="str">
        <f t="shared" si="334"/>
        <v>#DIV/0!</v>
      </c>
      <c r="AV330" s="378" t="str">
        <f t="shared" si="334"/>
        <v>#DIV/0!</v>
      </c>
      <c r="AW330" s="378" t="str">
        <f t="shared" si="334"/>
        <v>#DIV/0!</v>
      </c>
      <c r="AX330" s="378" t="str">
        <f t="shared" si="334"/>
        <v>#DIV/0!</v>
      </c>
      <c r="AY330" s="378" t="str">
        <f t="shared" si="334"/>
        <v>#DIV/0!</v>
      </c>
      <c r="AZ330" s="378" t="str">
        <f t="shared" si="334"/>
        <v>#DIV/0!</v>
      </c>
      <c r="BA330" s="378" t="str">
        <f t="shared" si="334"/>
        <v>#DIV/0!</v>
      </c>
      <c r="BB330" s="378" t="str">
        <f t="shared" si="334"/>
        <v>#DIV/0!</v>
      </c>
      <c r="BC330" s="378" t="str">
        <f t="shared" si="334"/>
        <v>#DIV/0!</v>
      </c>
      <c r="BD330" s="378" t="str">
        <f t="shared" si="334"/>
        <v>#DIV/0!</v>
      </c>
      <c r="BE330" s="378" t="str">
        <f t="shared" si="334"/>
        <v>#DIV/0!</v>
      </c>
      <c r="BF330" s="378" t="str">
        <f t="shared" si="334"/>
        <v>#DIV/0!</v>
      </c>
      <c r="BG330" s="378" t="str">
        <f t="shared" si="334"/>
        <v>#DIV/0!</v>
      </c>
    </row>
    <row r="331" ht="12.75" customHeight="1" outlineLevel="1">
      <c r="A331" s="90"/>
      <c r="B331" s="90"/>
      <c r="C331" s="90"/>
      <c r="D331" s="90"/>
      <c r="E331" s="90"/>
      <c r="F331" s="90"/>
      <c r="G331" s="90"/>
      <c r="H331" s="90"/>
      <c r="I331" s="90"/>
      <c r="J331" s="90"/>
      <c r="K331" s="90"/>
      <c r="L331" s="90"/>
      <c r="M331" s="90"/>
      <c r="N331" s="90"/>
      <c r="O331" s="90"/>
      <c r="P331" s="90"/>
      <c r="Q331" s="90"/>
      <c r="R331" s="90"/>
      <c r="AT331" s="313"/>
      <c r="AU331" s="313"/>
      <c r="AV331" s="313"/>
      <c r="AW331" s="313"/>
      <c r="AX331" s="313"/>
      <c r="AY331" s="313"/>
      <c r="AZ331" s="313"/>
      <c r="BA331" s="313"/>
      <c r="BB331" s="313"/>
      <c r="BC331" s="313"/>
      <c r="BD331" s="313"/>
      <c r="BE331" s="313"/>
      <c r="BF331" s="313"/>
      <c r="BG331" s="313"/>
    </row>
    <row r="332" ht="12.75" customHeight="1" outlineLevel="1">
      <c r="A332" s="90"/>
      <c r="B332" s="67" t="s">
        <v>811</v>
      </c>
      <c r="C332" s="90"/>
      <c r="D332" s="90"/>
      <c r="E332" s="90"/>
      <c r="F332" s="90"/>
      <c r="G332" s="90"/>
      <c r="H332" s="90"/>
      <c r="I332" s="90"/>
      <c r="J332" s="90"/>
      <c r="K332" s="90"/>
      <c r="L332" s="90"/>
      <c r="M332" s="90"/>
      <c r="N332" s="90"/>
      <c r="O332" s="90"/>
      <c r="P332" s="90"/>
      <c r="Q332" s="90"/>
      <c r="R332" s="90"/>
      <c r="AT332" s="313"/>
      <c r="AU332" s="313"/>
      <c r="AV332" s="313"/>
      <c r="AW332" s="313"/>
      <c r="AX332" s="313"/>
      <c r="AY332" s="313"/>
      <c r="AZ332" s="313"/>
      <c r="BA332" s="313"/>
      <c r="BB332" s="313"/>
      <c r="BC332" s="313"/>
      <c r="BD332" s="313"/>
      <c r="BE332" s="313"/>
      <c r="BF332" s="313"/>
      <c r="BG332" s="313"/>
    </row>
    <row r="333" ht="12.75" customHeight="1" outlineLevel="1">
      <c r="A333" s="90"/>
      <c r="B333" s="90"/>
      <c r="C333" s="90" t="s">
        <v>812</v>
      </c>
      <c r="D333" s="90"/>
      <c r="E333" s="90"/>
      <c r="F333" s="90"/>
      <c r="G333" s="99">
        <v>0.0</v>
      </c>
      <c r="H333" s="99">
        <v>2000.0</v>
      </c>
      <c r="I333" s="99">
        <f t="shared" ref="I333:R333" si="335">I199*I47+I200*I49</f>
        <v>35280</v>
      </c>
      <c r="J333" s="99">
        <f t="shared" si="335"/>
        <v>31960</v>
      </c>
      <c r="K333" s="99">
        <f t="shared" si="335"/>
        <v>33400</v>
      </c>
      <c r="L333" s="99">
        <f t="shared" si="335"/>
        <v>32500</v>
      </c>
      <c r="M333" s="99">
        <f t="shared" si="335"/>
        <v>32500</v>
      </c>
      <c r="N333" s="99">
        <f t="shared" si="335"/>
        <v>32500</v>
      </c>
      <c r="O333" s="99">
        <f t="shared" si="335"/>
        <v>32500</v>
      </c>
      <c r="P333" s="99">
        <f t="shared" si="335"/>
        <v>32500</v>
      </c>
      <c r="Q333" s="99">
        <f t="shared" si="335"/>
        <v>32500</v>
      </c>
      <c r="R333" s="99">
        <f t="shared" si="335"/>
        <v>32500</v>
      </c>
      <c r="AT333" s="308"/>
      <c r="AU333" s="308"/>
      <c r="AV333" s="308"/>
      <c r="AW333" s="308"/>
      <c r="AX333" s="308"/>
      <c r="AY333" s="308"/>
      <c r="AZ333" s="308"/>
      <c r="BA333" s="308"/>
      <c r="BB333" s="308"/>
      <c r="BC333" s="308"/>
      <c r="BD333" s="308"/>
      <c r="BE333" s="308"/>
      <c r="BF333" s="308"/>
      <c r="BG333" s="308"/>
    </row>
    <row r="334" ht="12.75" customHeight="1" outlineLevel="1">
      <c r="A334" s="90"/>
      <c r="B334" s="90"/>
      <c r="C334" s="90" t="s">
        <v>813</v>
      </c>
      <c r="D334" s="90"/>
      <c r="E334" s="90"/>
      <c r="F334" s="90"/>
      <c r="G334" s="99">
        <f t="shared" ref="G334:R334" si="336">G148*G201</f>
        <v>0</v>
      </c>
      <c r="H334" s="99">
        <f t="shared" si="336"/>
        <v>0</v>
      </c>
      <c r="I334" s="99">
        <f t="shared" si="336"/>
        <v>9000</v>
      </c>
      <c r="J334" s="99">
        <f t="shared" si="336"/>
        <v>9000</v>
      </c>
      <c r="K334" s="99">
        <f t="shared" si="336"/>
        <v>10000</v>
      </c>
      <c r="L334" s="99">
        <f t="shared" si="336"/>
        <v>10000</v>
      </c>
      <c r="M334" s="99">
        <f t="shared" si="336"/>
        <v>10000</v>
      </c>
      <c r="N334" s="99">
        <f t="shared" si="336"/>
        <v>10000</v>
      </c>
      <c r="O334" s="99">
        <f t="shared" si="336"/>
        <v>10000</v>
      </c>
      <c r="P334" s="99">
        <f t="shared" si="336"/>
        <v>10000</v>
      </c>
      <c r="Q334" s="99">
        <f t="shared" si="336"/>
        <v>10000</v>
      </c>
      <c r="R334" s="99">
        <f t="shared" si="336"/>
        <v>10000</v>
      </c>
      <c r="AT334" s="308"/>
      <c r="AU334" s="308"/>
      <c r="AV334" s="308"/>
      <c r="AW334" s="308"/>
      <c r="AX334" s="308"/>
      <c r="AY334" s="308"/>
      <c r="AZ334" s="308"/>
      <c r="BA334" s="308"/>
      <c r="BB334" s="308"/>
      <c r="BC334" s="308"/>
      <c r="BD334" s="308"/>
      <c r="BE334" s="308"/>
      <c r="BF334" s="308"/>
      <c r="BG334" s="308"/>
    </row>
    <row r="335" ht="12.75" customHeight="1" outlineLevel="1">
      <c r="A335" s="90"/>
      <c r="B335" s="90"/>
      <c r="C335" s="90" t="s">
        <v>814</v>
      </c>
      <c r="D335" s="90"/>
      <c r="E335" s="90"/>
      <c r="F335" s="90"/>
      <c r="G335" s="99">
        <f t="shared" ref="G335:R335" si="337">G205+(G202+G203)*G49+G204</f>
        <v>0</v>
      </c>
      <c r="H335" s="99">
        <f t="shared" si="337"/>
        <v>0</v>
      </c>
      <c r="I335" s="99">
        <f t="shared" si="337"/>
        <v>123800</v>
      </c>
      <c r="J335" s="99">
        <f t="shared" si="337"/>
        <v>30800</v>
      </c>
      <c r="K335" s="99">
        <f t="shared" si="337"/>
        <v>25400</v>
      </c>
      <c r="L335" s="99">
        <f t="shared" si="337"/>
        <v>15000</v>
      </c>
      <c r="M335" s="99">
        <f t="shared" si="337"/>
        <v>15000</v>
      </c>
      <c r="N335" s="99">
        <f t="shared" si="337"/>
        <v>15000</v>
      </c>
      <c r="O335" s="99">
        <f t="shared" si="337"/>
        <v>15000</v>
      </c>
      <c r="P335" s="99">
        <f t="shared" si="337"/>
        <v>15000</v>
      </c>
      <c r="Q335" s="99">
        <f t="shared" si="337"/>
        <v>15000</v>
      </c>
      <c r="R335" s="99">
        <f t="shared" si="337"/>
        <v>15000</v>
      </c>
      <c r="AT335" s="308"/>
      <c r="AU335" s="308" t="str">
        <f>'RS3'!AX336</f>
        <v/>
      </c>
      <c r="AV335" s="308" t="str">
        <f>'RS3'!AY336</f>
        <v/>
      </c>
      <c r="AW335" s="308" t="str">
        <f>'RS3'!AZ336</f>
        <v/>
      </c>
      <c r="AX335" s="308" t="str">
        <f>'RS3'!BA336</f>
        <v/>
      </c>
      <c r="AY335" s="308" t="str">
        <f>'RS3'!BB336</f>
        <v/>
      </c>
      <c r="AZ335" s="308" t="str">
        <f>'RS3'!BC336</f>
        <v/>
      </c>
      <c r="BA335" s="308" t="str">
        <f>'RS3'!BD336</f>
        <v/>
      </c>
      <c r="BB335" s="308" t="str">
        <f>'RS3'!BE336</f>
        <v/>
      </c>
      <c r="BC335" s="308" t="str">
        <f>'RS3'!BF336</f>
        <v/>
      </c>
      <c r="BD335" s="308" t="str">
        <f>'RS3'!BG336</f>
        <v/>
      </c>
      <c r="BE335" s="308" t="str">
        <f>'RS3'!BH336</f>
        <v/>
      </c>
      <c r="BF335" s="308" t="str">
        <f>'RS3'!BI336</f>
        <v/>
      </c>
      <c r="BG335" s="308" t="str">
        <f>'RS3'!BJ336</f>
        <v/>
      </c>
    </row>
    <row r="336" ht="12.75" customHeight="1" outlineLevel="1">
      <c r="A336" s="90"/>
      <c r="B336" s="90"/>
      <c r="C336" s="90" t="s">
        <v>815</v>
      </c>
      <c r="D336" s="90"/>
      <c r="E336" s="90"/>
      <c r="F336" s="90"/>
      <c r="G336" s="99">
        <f t="shared" ref="G336:H336" si="338">G47*G206</f>
        <v>0</v>
      </c>
      <c r="H336" s="99">
        <f t="shared" si="338"/>
        <v>0</v>
      </c>
      <c r="I336" s="99">
        <f t="shared" ref="I336:R336" si="339">I47*I206+10000</f>
        <v>49200</v>
      </c>
      <c r="J336" s="99">
        <f t="shared" si="339"/>
        <v>56400</v>
      </c>
      <c r="K336" s="99">
        <f t="shared" si="339"/>
        <v>60000</v>
      </c>
      <c r="L336" s="99">
        <f t="shared" si="339"/>
        <v>60000</v>
      </c>
      <c r="M336" s="99">
        <f t="shared" si="339"/>
        <v>60000</v>
      </c>
      <c r="N336" s="99">
        <f t="shared" si="339"/>
        <v>60000</v>
      </c>
      <c r="O336" s="99">
        <f t="shared" si="339"/>
        <v>60000</v>
      </c>
      <c r="P336" s="99">
        <f t="shared" si="339"/>
        <v>60000</v>
      </c>
      <c r="Q336" s="99">
        <f t="shared" si="339"/>
        <v>60000</v>
      </c>
      <c r="R336" s="99">
        <f t="shared" si="339"/>
        <v>60000</v>
      </c>
      <c r="AT336" s="308"/>
      <c r="AU336" s="308"/>
      <c r="AV336" s="308"/>
      <c r="AW336" s="308"/>
      <c r="AX336" s="308"/>
      <c r="AY336" s="308"/>
      <c r="AZ336" s="308"/>
      <c r="BA336" s="308"/>
      <c r="BB336" s="308"/>
      <c r="BC336" s="308"/>
      <c r="BD336" s="308"/>
      <c r="BE336" s="308"/>
      <c r="BF336" s="308"/>
      <c r="BG336" s="308"/>
    </row>
    <row r="337" ht="12.75" customHeight="1" outlineLevel="1">
      <c r="A337" s="90"/>
      <c r="B337" s="90"/>
      <c r="C337" s="90" t="s">
        <v>816</v>
      </c>
      <c r="D337" s="90"/>
      <c r="E337" s="90"/>
      <c r="F337" s="90"/>
      <c r="G337" s="99">
        <v>0.0</v>
      </c>
      <c r="H337" s="99">
        <f>H207+H208+H160*800</f>
        <v>1950</v>
      </c>
      <c r="I337" s="99">
        <f t="shared" ref="I337:R337" si="340">I207+I208*I160</f>
        <v>122562.5</v>
      </c>
      <c r="J337" s="99">
        <f t="shared" si="340"/>
        <v>10000</v>
      </c>
      <c r="K337" s="99">
        <f t="shared" si="340"/>
        <v>10750</v>
      </c>
      <c r="L337" s="99">
        <f t="shared" si="340"/>
        <v>10000</v>
      </c>
      <c r="M337" s="99">
        <f t="shared" si="340"/>
        <v>10000</v>
      </c>
      <c r="N337" s="99">
        <f t="shared" si="340"/>
        <v>10000</v>
      </c>
      <c r="O337" s="99">
        <f t="shared" si="340"/>
        <v>10000</v>
      </c>
      <c r="P337" s="99">
        <f t="shared" si="340"/>
        <v>10000</v>
      </c>
      <c r="Q337" s="99">
        <f t="shared" si="340"/>
        <v>10000</v>
      </c>
      <c r="R337" s="99">
        <f t="shared" si="340"/>
        <v>10000</v>
      </c>
      <c r="AT337" s="308"/>
      <c r="AU337" s="308" t="str">
        <f>'RS3'!AX337</f>
        <v/>
      </c>
      <c r="AV337" s="308" t="str">
        <f>'RS3'!AY337</f>
        <v/>
      </c>
      <c r="AW337" s="308" t="str">
        <f>'RS3'!AZ337</f>
        <v/>
      </c>
      <c r="AX337" s="308" t="str">
        <f>'RS3'!BA337</f>
        <v/>
      </c>
      <c r="AY337" s="308" t="str">
        <f>'RS3'!BB337</f>
        <v/>
      </c>
      <c r="AZ337" s="308" t="str">
        <f>'RS3'!BC337</f>
        <v/>
      </c>
      <c r="BA337" s="308" t="str">
        <f>'RS3'!BD337</f>
        <v/>
      </c>
      <c r="BB337" s="308" t="str">
        <f>'RS3'!BE337</f>
        <v/>
      </c>
      <c r="BC337" s="308" t="str">
        <f>'RS3'!BF337</f>
        <v/>
      </c>
      <c r="BD337" s="308" t="str">
        <f>'RS3'!BG337</f>
        <v/>
      </c>
      <c r="BE337" s="308" t="str">
        <f>'RS3'!BH337</f>
        <v/>
      </c>
      <c r="BF337" s="308" t="str">
        <f>'RS3'!BI337</f>
        <v/>
      </c>
      <c r="BG337" s="308" t="str">
        <f>'RS3'!BJ337</f>
        <v/>
      </c>
    </row>
    <row r="338" ht="12.75" customHeight="1" outlineLevel="1">
      <c r="A338" s="90"/>
      <c r="B338" s="87"/>
      <c r="C338" s="87" t="s">
        <v>817</v>
      </c>
      <c r="D338" s="87"/>
      <c r="E338" s="87"/>
      <c r="F338" s="87"/>
      <c r="G338" s="125">
        <f t="shared" ref="G338:H338" si="341">G196*G57</f>
        <v>0</v>
      </c>
      <c r="H338" s="125">
        <f t="shared" si="341"/>
        <v>0</v>
      </c>
      <c r="I338" s="125">
        <f t="shared" ref="I338:R338" si="342">I209*I56</f>
        <v>165580.8</v>
      </c>
      <c r="J338" s="125">
        <f t="shared" si="342"/>
        <v>195993.6</v>
      </c>
      <c r="K338" s="125">
        <f t="shared" si="342"/>
        <v>211200</v>
      </c>
      <c r="L338" s="125">
        <f t="shared" si="342"/>
        <v>211200</v>
      </c>
      <c r="M338" s="125">
        <f t="shared" si="342"/>
        <v>211200</v>
      </c>
      <c r="N338" s="125">
        <f t="shared" si="342"/>
        <v>211200</v>
      </c>
      <c r="O338" s="125">
        <f t="shared" si="342"/>
        <v>211200</v>
      </c>
      <c r="P338" s="125">
        <f t="shared" si="342"/>
        <v>211200</v>
      </c>
      <c r="Q338" s="125">
        <f t="shared" si="342"/>
        <v>211200</v>
      </c>
      <c r="R338" s="125">
        <f t="shared" si="342"/>
        <v>211200</v>
      </c>
      <c r="AT338" s="377"/>
      <c r="AU338" s="377" t="str">
        <f>'RS3'!AX339</f>
        <v/>
      </c>
      <c r="AV338" s="377" t="str">
        <f>'RS3'!AY339</f>
        <v/>
      </c>
      <c r="AW338" s="377" t="str">
        <f>'RS3'!AZ339</f>
        <v/>
      </c>
      <c r="AX338" s="377" t="str">
        <f>'RS3'!BA339</f>
        <v/>
      </c>
      <c r="AY338" s="377" t="str">
        <f>'RS3'!BB339</f>
        <v/>
      </c>
      <c r="AZ338" s="377" t="str">
        <f>'RS3'!BC339</f>
        <v/>
      </c>
      <c r="BA338" s="377" t="str">
        <f>'RS3'!BD339</f>
        <v/>
      </c>
      <c r="BB338" s="377" t="str">
        <f>'RS3'!BE339</f>
        <v/>
      </c>
      <c r="BC338" s="377" t="str">
        <f>'RS3'!BF339</f>
        <v/>
      </c>
      <c r="BD338" s="377" t="str">
        <f>'RS3'!BG339</f>
        <v/>
      </c>
      <c r="BE338" s="377" t="str">
        <f>'RS3'!BH339</f>
        <v/>
      </c>
      <c r="BF338" s="377" t="str">
        <f>'RS3'!BI339</f>
        <v/>
      </c>
      <c r="BG338" s="377" t="str">
        <f>'RS3'!BJ339</f>
        <v/>
      </c>
    </row>
    <row r="339" ht="12.75" customHeight="1" outlineLevel="1">
      <c r="A339" s="90"/>
      <c r="B339" s="67" t="s">
        <v>818</v>
      </c>
      <c r="C339" s="90"/>
      <c r="D339" s="90"/>
      <c r="E339" s="90"/>
      <c r="F339" s="90"/>
      <c r="G339" s="79">
        <f t="shared" ref="G339:R339" si="343">SUM(G333:G338)</f>
        <v>0</v>
      </c>
      <c r="H339" s="79">
        <f t="shared" si="343"/>
        <v>3950</v>
      </c>
      <c r="I339" s="79">
        <f t="shared" si="343"/>
        <v>505423.3</v>
      </c>
      <c r="J339" s="79">
        <f t="shared" si="343"/>
        <v>334153.6</v>
      </c>
      <c r="K339" s="79">
        <f t="shared" si="343"/>
        <v>350750</v>
      </c>
      <c r="L339" s="79">
        <f t="shared" si="343"/>
        <v>338700</v>
      </c>
      <c r="M339" s="79">
        <f t="shared" si="343"/>
        <v>338700</v>
      </c>
      <c r="N339" s="79">
        <f t="shared" si="343"/>
        <v>338700</v>
      </c>
      <c r="O339" s="79">
        <f t="shared" si="343"/>
        <v>338700</v>
      </c>
      <c r="P339" s="79">
        <f t="shared" si="343"/>
        <v>338700</v>
      </c>
      <c r="Q339" s="79">
        <f t="shared" si="343"/>
        <v>338700</v>
      </c>
      <c r="R339" s="79">
        <f t="shared" si="343"/>
        <v>338700</v>
      </c>
      <c r="AT339" s="378">
        <f t="shared" ref="AT339:BG339" si="344">SUM(AT333:AT338)</f>
        <v>0</v>
      </c>
      <c r="AU339" s="378">
        <f t="shared" si="344"/>
        <v>0</v>
      </c>
      <c r="AV339" s="378">
        <f t="shared" si="344"/>
        <v>0</v>
      </c>
      <c r="AW339" s="378">
        <f t="shared" si="344"/>
        <v>0</v>
      </c>
      <c r="AX339" s="378">
        <f t="shared" si="344"/>
        <v>0</v>
      </c>
      <c r="AY339" s="378">
        <f t="shared" si="344"/>
        <v>0</v>
      </c>
      <c r="AZ339" s="378">
        <f t="shared" si="344"/>
        <v>0</v>
      </c>
      <c r="BA339" s="378">
        <f t="shared" si="344"/>
        <v>0</v>
      </c>
      <c r="BB339" s="378">
        <f t="shared" si="344"/>
        <v>0</v>
      </c>
      <c r="BC339" s="378">
        <f t="shared" si="344"/>
        <v>0</v>
      </c>
      <c r="BD339" s="378">
        <f t="shared" si="344"/>
        <v>0</v>
      </c>
      <c r="BE339" s="378">
        <f t="shared" si="344"/>
        <v>0</v>
      </c>
      <c r="BF339" s="378">
        <f t="shared" si="344"/>
        <v>0</v>
      </c>
      <c r="BG339" s="378">
        <f t="shared" si="344"/>
        <v>0</v>
      </c>
    </row>
    <row r="340" ht="12.75" customHeight="1" outlineLevel="1">
      <c r="A340" s="90"/>
      <c r="B340" s="90"/>
      <c r="C340" s="90"/>
      <c r="D340" s="90"/>
      <c r="E340" s="90"/>
      <c r="F340" s="90"/>
      <c r="G340" s="99"/>
      <c r="H340" s="99"/>
      <c r="I340" s="99"/>
      <c r="J340" s="99"/>
      <c r="K340" s="99"/>
      <c r="L340" s="99"/>
      <c r="M340" s="99"/>
      <c r="N340" s="99"/>
      <c r="O340" s="152"/>
      <c r="P340" s="152"/>
      <c r="Q340" s="152"/>
      <c r="R340" s="152"/>
      <c r="AT340" s="352"/>
      <c r="AU340" s="352"/>
      <c r="AV340" s="352"/>
      <c r="AW340" s="352"/>
      <c r="AX340" s="352"/>
      <c r="AY340" s="352"/>
      <c r="AZ340" s="352"/>
      <c r="BA340" s="352"/>
      <c r="BB340" s="352"/>
      <c r="BC340" s="352"/>
      <c r="BD340" s="352"/>
      <c r="BE340" s="352"/>
      <c r="BF340" s="352"/>
      <c r="BG340" s="352"/>
    </row>
    <row r="341" ht="12.75" customHeight="1" outlineLevel="1">
      <c r="A341" s="90"/>
      <c r="B341" s="67" t="s">
        <v>626</v>
      </c>
      <c r="C341" s="90"/>
      <c r="D341" s="90"/>
      <c r="E341" s="90"/>
      <c r="F341" s="90"/>
      <c r="G341" s="99"/>
      <c r="H341" s="99"/>
      <c r="I341" s="99"/>
      <c r="J341" s="99"/>
      <c r="K341" s="99"/>
      <c r="L341" s="99"/>
      <c r="M341" s="99"/>
      <c r="N341" s="99"/>
      <c r="O341" s="99"/>
      <c r="P341" s="99"/>
      <c r="Q341" s="99"/>
      <c r="R341" s="99"/>
      <c r="AT341" s="308"/>
      <c r="AU341" s="308"/>
      <c r="AV341" s="308"/>
      <c r="AW341" s="308"/>
      <c r="AX341" s="308"/>
      <c r="AY341" s="308"/>
      <c r="AZ341" s="308"/>
      <c r="BA341" s="308"/>
      <c r="BB341" s="308"/>
      <c r="BC341" s="308"/>
      <c r="BD341" s="308"/>
      <c r="BE341" s="308"/>
      <c r="BF341" s="308"/>
      <c r="BG341" s="308"/>
    </row>
    <row r="342" ht="12.75" customHeight="1" outlineLevel="1">
      <c r="A342" s="90"/>
      <c r="B342" s="67"/>
      <c r="C342" s="90" t="s">
        <v>819</v>
      </c>
      <c r="D342" s="90"/>
      <c r="E342" s="90"/>
      <c r="F342" s="90"/>
      <c r="G342" s="99" t="str">
        <f t="shared" ref="G342:H342" si="345">G212</f>
        <v/>
      </c>
      <c r="H342" s="99">
        <f t="shared" si="345"/>
        <v>0</v>
      </c>
      <c r="I342" s="99">
        <f t="shared" ref="I342:R342" si="346">I212*I145</f>
        <v>7000</v>
      </c>
      <c r="J342" s="99">
        <f t="shared" si="346"/>
        <v>14000</v>
      </c>
      <c r="K342" s="99">
        <f t="shared" si="346"/>
        <v>17500</v>
      </c>
      <c r="L342" s="99">
        <f t="shared" si="346"/>
        <v>17500</v>
      </c>
      <c r="M342" s="99">
        <f t="shared" si="346"/>
        <v>17500</v>
      </c>
      <c r="N342" s="99">
        <f t="shared" si="346"/>
        <v>17500</v>
      </c>
      <c r="O342" s="99">
        <f t="shared" si="346"/>
        <v>17500</v>
      </c>
      <c r="P342" s="99">
        <f t="shared" si="346"/>
        <v>17500</v>
      </c>
      <c r="Q342" s="99">
        <f t="shared" si="346"/>
        <v>17500</v>
      </c>
      <c r="R342" s="99">
        <f t="shared" si="346"/>
        <v>17500</v>
      </c>
      <c r="AT342" s="308" t="str">
        <f>'RS3'!AW342</f>
        <v/>
      </c>
      <c r="AU342" s="308" t="str">
        <f>'RS3'!AX342</f>
        <v/>
      </c>
      <c r="AV342" s="308" t="str">
        <f>'RS3'!AY342</f>
        <v/>
      </c>
      <c r="AW342" s="308" t="str">
        <f>'RS3'!AZ342</f>
        <v/>
      </c>
      <c r="AX342" s="308" t="str">
        <f>'RS3'!BA342</f>
        <v/>
      </c>
      <c r="AY342" s="308" t="str">
        <f>'RS3'!BB342</f>
        <v/>
      </c>
      <c r="AZ342" s="308" t="str">
        <f>'RS3'!BC342</f>
        <v/>
      </c>
      <c r="BA342" s="308" t="str">
        <f>'RS3'!BD342</f>
        <v/>
      </c>
      <c r="BB342" s="308" t="str">
        <f>'RS3'!BE342</f>
        <v/>
      </c>
      <c r="BC342" s="308" t="str">
        <f>'RS3'!BF342</f>
        <v/>
      </c>
      <c r="BD342" s="308" t="str">
        <f>'RS3'!BG342</f>
        <v/>
      </c>
      <c r="BE342" s="308" t="str">
        <f>'RS3'!BH342</f>
        <v/>
      </c>
      <c r="BF342" s="308" t="str">
        <f>'RS3'!BI342</f>
        <v/>
      </c>
      <c r="BG342" s="308" t="str">
        <f>'RS3'!BJ342</f>
        <v/>
      </c>
    </row>
    <row r="343" ht="12.75" customHeight="1" outlineLevel="1">
      <c r="A343" s="90"/>
      <c r="B343" s="90"/>
      <c r="C343" s="90" t="s">
        <v>820</v>
      </c>
      <c r="D343" s="90"/>
      <c r="E343" s="90"/>
      <c r="F343" s="90"/>
      <c r="G343" s="99">
        <f t="shared" ref="G343:R343" si="347">G213*G148</f>
        <v>0</v>
      </c>
      <c r="H343" s="99">
        <f t="shared" si="347"/>
        <v>0</v>
      </c>
      <c r="I343" s="99">
        <f t="shared" si="347"/>
        <v>6300</v>
      </c>
      <c r="J343" s="99">
        <f t="shared" si="347"/>
        <v>6300</v>
      </c>
      <c r="K343" s="99">
        <f t="shared" si="347"/>
        <v>7000</v>
      </c>
      <c r="L343" s="99">
        <f t="shared" si="347"/>
        <v>7000</v>
      </c>
      <c r="M343" s="99">
        <f t="shared" si="347"/>
        <v>7000</v>
      </c>
      <c r="N343" s="99">
        <f t="shared" si="347"/>
        <v>7000</v>
      </c>
      <c r="O343" s="99">
        <f t="shared" si="347"/>
        <v>7000</v>
      </c>
      <c r="P343" s="99">
        <f t="shared" si="347"/>
        <v>7000</v>
      </c>
      <c r="Q343" s="99">
        <f t="shared" si="347"/>
        <v>7000</v>
      </c>
      <c r="R343" s="99">
        <f t="shared" si="347"/>
        <v>7000</v>
      </c>
      <c r="AT343" s="308" t="str">
        <f>'RS3'!AW343</f>
        <v/>
      </c>
      <c r="AU343" s="308" t="str">
        <f>'RS3'!AX343</f>
        <v/>
      </c>
      <c r="AV343" s="308" t="str">
        <f>'RS3'!AY343</f>
        <v/>
      </c>
      <c r="AW343" s="308" t="str">
        <f>'RS3'!AZ343</f>
        <v/>
      </c>
      <c r="AX343" s="308" t="str">
        <f>'RS3'!BA343</f>
        <v/>
      </c>
      <c r="AY343" s="308" t="str">
        <f>'RS3'!BB343</f>
        <v/>
      </c>
      <c r="AZ343" s="308" t="str">
        <f>'RS3'!BC343</f>
        <v/>
      </c>
      <c r="BA343" s="308" t="str">
        <f>'RS3'!BD343</f>
        <v/>
      </c>
      <c r="BB343" s="308" t="str">
        <f>'RS3'!BE343</f>
        <v/>
      </c>
      <c r="BC343" s="308" t="str">
        <f>'RS3'!BF343</f>
        <v/>
      </c>
      <c r="BD343" s="308" t="str">
        <f>'RS3'!BG343</f>
        <v/>
      </c>
      <c r="BE343" s="308" t="str">
        <f>'RS3'!BH343</f>
        <v/>
      </c>
      <c r="BF343" s="308" t="str">
        <f>'RS3'!BI343</f>
        <v/>
      </c>
      <c r="BG343" s="308" t="str">
        <f>'RS3'!BJ343</f>
        <v/>
      </c>
    </row>
    <row r="344" ht="12.75" customHeight="1" outlineLevel="1">
      <c r="A344" s="90"/>
      <c r="B344" s="90"/>
      <c r="C344" s="90" t="s">
        <v>821</v>
      </c>
      <c r="D344" s="90"/>
      <c r="E344" s="90"/>
      <c r="F344" s="90"/>
      <c r="G344" s="99">
        <f t="shared" ref="G344:R344" si="348">G214*G47</f>
        <v>0</v>
      </c>
      <c r="H344" s="99">
        <f t="shared" si="348"/>
        <v>0</v>
      </c>
      <c r="I344" s="99">
        <f t="shared" si="348"/>
        <v>0</v>
      </c>
      <c r="J344" s="99">
        <f t="shared" si="348"/>
        <v>0</v>
      </c>
      <c r="K344" s="99">
        <f t="shared" si="348"/>
        <v>0</v>
      </c>
      <c r="L344" s="99">
        <f t="shared" si="348"/>
        <v>0</v>
      </c>
      <c r="M344" s="99">
        <f t="shared" si="348"/>
        <v>0</v>
      </c>
      <c r="N344" s="99">
        <f t="shared" si="348"/>
        <v>0</v>
      </c>
      <c r="O344" s="99">
        <f t="shared" si="348"/>
        <v>0</v>
      </c>
      <c r="P344" s="99">
        <f t="shared" si="348"/>
        <v>0</v>
      </c>
      <c r="Q344" s="99">
        <f t="shared" si="348"/>
        <v>0</v>
      </c>
      <c r="R344" s="99">
        <f t="shared" si="348"/>
        <v>0</v>
      </c>
      <c r="AT344" s="308" t="str">
        <f>'RS3'!AW344</f>
        <v/>
      </c>
      <c r="AU344" s="308" t="str">
        <f>'RS3'!AX344</f>
        <v/>
      </c>
      <c r="AV344" s="308" t="str">
        <f>'RS3'!AY344</f>
        <v/>
      </c>
      <c r="AW344" s="308" t="str">
        <f>'RS3'!AZ344</f>
        <v/>
      </c>
      <c r="AX344" s="308" t="str">
        <f>'RS3'!BA344</f>
        <v/>
      </c>
      <c r="AY344" s="308" t="str">
        <f>'RS3'!BB344</f>
        <v/>
      </c>
      <c r="AZ344" s="308" t="str">
        <f>'RS3'!BC344</f>
        <v/>
      </c>
      <c r="BA344" s="308" t="str">
        <f>'RS3'!BD344</f>
        <v/>
      </c>
      <c r="BB344" s="308" t="str">
        <f>'RS3'!BE344</f>
        <v/>
      </c>
      <c r="BC344" s="308" t="str">
        <f>'RS3'!BF344</f>
        <v/>
      </c>
      <c r="BD344" s="308" t="str">
        <f>'RS3'!BG344</f>
        <v/>
      </c>
      <c r="BE344" s="308" t="str">
        <f>'RS3'!BH344</f>
        <v/>
      </c>
      <c r="BF344" s="308" t="str">
        <f>'RS3'!BI344</f>
        <v/>
      </c>
      <c r="BG344" s="308" t="str">
        <f>'RS3'!BJ344</f>
        <v/>
      </c>
    </row>
    <row r="345" ht="12.75" customHeight="1" outlineLevel="1">
      <c r="A345" s="90"/>
      <c r="B345" s="90"/>
      <c r="C345" s="90" t="s">
        <v>754</v>
      </c>
      <c r="D345" s="90"/>
      <c r="E345" s="90"/>
      <c r="F345" s="90"/>
      <c r="G345" s="99" t="str">
        <f t="shared" ref="G345:R345" si="349">G215</f>
        <v/>
      </c>
      <c r="H345" s="99">
        <f t="shared" si="349"/>
        <v>0</v>
      </c>
      <c r="I345" s="99">
        <f t="shared" si="349"/>
        <v>25000</v>
      </c>
      <c r="J345" s="99">
        <f t="shared" si="349"/>
        <v>25000</v>
      </c>
      <c r="K345" s="99">
        <f t="shared" si="349"/>
        <v>25000</v>
      </c>
      <c r="L345" s="99">
        <f t="shared" si="349"/>
        <v>25000</v>
      </c>
      <c r="M345" s="99">
        <f t="shared" si="349"/>
        <v>25000</v>
      </c>
      <c r="N345" s="99">
        <f t="shared" si="349"/>
        <v>25000</v>
      </c>
      <c r="O345" s="99">
        <f t="shared" si="349"/>
        <v>25000</v>
      </c>
      <c r="P345" s="99">
        <f t="shared" si="349"/>
        <v>25000</v>
      </c>
      <c r="Q345" s="99">
        <f t="shared" si="349"/>
        <v>25000</v>
      </c>
      <c r="R345" s="99">
        <f t="shared" si="349"/>
        <v>25000</v>
      </c>
      <c r="AT345" s="308" t="str">
        <f>'RS3'!AW345</f>
        <v/>
      </c>
      <c r="AU345" s="308" t="str">
        <f>'RS3'!AX345</f>
        <v/>
      </c>
      <c r="AV345" s="308" t="str">
        <f>'RS3'!AY345</f>
        <v/>
      </c>
      <c r="AW345" s="308" t="str">
        <f>'RS3'!AZ345</f>
        <v/>
      </c>
      <c r="AX345" s="308" t="str">
        <f>'RS3'!BA345</f>
        <v/>
      </c>
      <c r="AY345" s="308" t="str">
        <f>'RS3'!BB345</f>
        <v/>
      </c>
      <c r="AZ345" s="308" t="str">
        <f>'RS3'!BC345</f>
        <v/>
      </c>
      <c r="BA345" s="308" t="str">
        <f>'RS3'!BD345</f>
        <v/>
      </c>
      <c r="BB345" s="308" t="str">
        <f>'RS3'!BE345</f>
        <v/>
      </c>
      <c r="BC345" s="308" t="str">
        <f>'RS3'!BF345</f>
        <v/>
      </c>
      <c r="BD345" s="308" t="str">
        <f>'RS3'!BG345</f>
        <v/>
      </c>
      <c r="BE345" s="308" t="str">
        <f>'RS3'!BH345</f>
        <v/>
      </c>
      <c r="BF345" s="308" t="str">
        <f>'RS3'!BI345</f>
        <v/>
      </c>
      <c r="BG345" s="308" t="str">
        <f>'RS3'!BJ345</f>
        <v/>
      </c>
    </row>
    <row r="346" ht="12.75" customHeight="1" outlineLevel="1">
      <c r="A346" s="90"/>
      <c r="B346" s="90"/>
      <c r="C346" s="90" t="s">
        <v>755</v>
      </c>
      <c r="D346" s="90"/>
      <c r="E346" s="90"/>
      <c r="F346" s="90"/>
      <c r="G346" s="99" t="str">
        <f t="shared" ref="G346:R346" si="350">G216</f>
        <v/>
      </c>
      <c r="H346" s="99">
        <f t="shared" si="350"/>
        <v>0</v>
      </c>
      <c r="I346" s="99">
        <f t="shared" si="350"/>
        <v>55000</v>
      </c>
      <c r="J346" s="99">
        <f t="shared" si="350"/>
        <v>65000</v>
      </c>
      <c r="K346" s="99">
        <f t="shared" si="350"/>
        <v>65000</v>
      </c>
      <c r="L346" s="99">
        <f t="shared" si="350"/>
        <v>65000</v>
      </c>
      <c r="M346" s="99">
        <f t="shared" si="350"/>
        <v>65000</v>
      </c>
      <c r="N346" s="99">
        <f t="shared" si="350"/>
        <v>65000</v>
      </c>
      <c r="O346" s="99">
        <f t="shared" si="350"/>
        <v>65000</v>
      </c>
      <c r="P346" s="99">
        <f t="shared" si="350"/>
        <v>65000</v>
      </c>
      <c r="Q346" s="99">
        <f t="shared" si="350"/>
        <v>65000</v>
      </c>
      <c r="R346" s="99">
        <f t="shared" si="350"/>
        <v>65000</v>
      </c>
      <c r="AT346" s="308" t="str">
        <f>'RS3'!AW346</f>
        <v/>
      </c>
      <c r="AU346" s="308" t="str">
        <f>'RS3'!AX346</f>
        <v/>
      </c>
      <c r="AV346" s="308" t="str">
        <f>'RS3'!AY346</f>
        <v/>
      </c>
      <c r="AW346" s="308" t="str">
        <f>'RS3'!AZ346</f>
        <v/>
      </c>
      <c r="AX346" s="308" t="str">
        <f>'RS3'!BA346</f>
        <v/>
      </c>
      <c r="AY346" s="308" t="str">
        <f>'RS3'!BB346</f>
        <v/>
      </c>
      <c r="AZ346" s="308" t="str">
        <f>'RS3'!BC346</f>
        <v/>
      </c>
      <c r="BA346" s="308" t="str">
        <f>'RS3'!BD346</f>
        <v/>
      </c>
      <c r="BB346" s="308" t="str">
        <f>'RS3'!BE346</f>
        <v/>
      </c>
      <c r="BC346" s="308" t="str">
        <f>'RS3'!BF346</f>
        <v/>
      </c>
      <c r="BD346" s="308" t="str">
        <f>'RS3'!BG346</f>
        <v/>
      </c>
      <c r="BE346" s="308" t="str">
        <f>'RS3'!BH346</f>
        <v/>
      </c>
      <c r="BF346" s="308" t="str">
        <f>'RS3'!BI346</f>
        <v/>
      </c>
      <c r="BG346" s="308" t="str">
        <f>'RS3'!BJ346</f>
        <v/>
      </c>
    </row>
    <row r="347" ht="12.75" customHeight="1" outlineLevel="1">
      <c r="A347" s="90"/>
      <c r="B347" s="90"/>
      <c r="C347" s="90" t="s">
        <v>822</v>
      </c>
      <c r="D347" s="90"/>
      <c r="E347" s="90"/>
      <c r="F347" s="90"/>
      <c r="G347" s="99">
        <f t="shared" ref="G347:R347" si="351">G217*G148</f>
        <v>0</v>
      </c>
      <c r="H347" s="99">
        <f t="shared" si="351"/>
        <v>0</v>
      </c>
      <c r="I347" s="99">
        <f t="shared" si="351"/>
        <v>18000</v>
      </c>
      <c r="J347" s="99">
        <f t="shared" si="351"/>
        <v>18000</v>
      </c>
      <c r="K347" s="99">
        <f t="shared" si="351"/>
        <v>20000</v>
      </c>
      <c r="L347" s="99">
        <f t="shared" si="351"/>
        <v>20000</v>
      </c>
      <c r="M347" s="99">
        <f t="shared" si="351"/>
        <v>20000</v>
      </c>
      <c r="N347" s="99">
        <f t="shared" si="351"/>
        <v>20000</v>
      </c>
      <c r="O347" s="99">
        <f t="shared" si="351"/>
        <v>20000</v>
      </c>
      <c r="P347" s="99">
        <f t="shared" si="351"/>
        <v>20000</v>
      </c>
      <c r="Q347" s="99">
        <f t="shared" si="351"/>
        <v>20000</v>
      </c>
      <c r="R347" s="99">
        <f t="shared" si="351"/>
        <v>20000</v>
      </c>
      <c r="AT347" s="308" t="str">
        <f t="shared" ref="AT347:BG347" si="352">#REF!</f>
        <v>#REF!</v>
      </c>
      <c r="AU347" s="308" t="str">
        <f t="shared" si="352"/>
        <v>#REF!</v>
      </c>
      <c r="AV347" s="308" t="str">
        <f t="shared" si="352"/>
        <v>#REF!</v>
      </c>
      <c r="AW347" s="308" t="str">
        <f t="shared" si="352"/>
        <v>#REF!</v>
      </c>
      <c r="AX347" s="308" t="str">
        <f t="shared" si="352"/>
        <v>#REF!</v>
      </c>
      <c r="AY347" s="308" t="str">
        <f t="shared" si="352"/>
        <v>#REF!</v>
      </c>
      <c r="AZ347" s="308" t="str">
        <f t="shared" si="352"/>
        <v>#REF!</v>
      </c>
      <c r="BA347" s="308" t="str">
        <f t="shared" si="352"/>
        <v>#REF!</v>
      </c>
      <c r="BB347" s="308" t="str">
        <f t="shared" si="352"/>
        <v>#REF!</v>
      </c>
      <c r="BC347" s="308" t="str">
        <f t="shared" si="352"/>
        <v>#REF!</v>
      </c>
      <c r="BD347" s="308" t="str">
        <f t="shared" si="352"/>
        <v>#REF!</v>
      </c>
      <c r="BE347" s="308" t="str">
        <f t="shared" si="352"/>
        <v>#REF!</v>
      </c>
      <c r="BF347" s="308" t="str">
        <f t="shared" si="352"/>
        <v>#REF!</v>
      </c>
      <c r="BG347" s="308" t="str">
        <f t="shared" si="352"/>
        <v>#REF!</v>
      </c>
    </row>
    <row r="348" ht="12.75" customHeight="1" outlineLevel="1">
      <c r="A348" s="90"/>
      <c r="B348" s="90"/>
      <c r="C348" s="90" t="s">
        <v>332</v>
      </c>
      <c r="D348" s="90"/>
      <c r="E348" s="90"/>
      <c r="F348" s="90"/>
      <c r="G348" s="99">
        <v>0.0</v>
      </c>
      <c r="H348" s="99">
        <v>0.0</v>
      </c>
      <c r="I348" s="99">
        <v>20000.0</v>
      </c>
      <c r="J348" s="99">
        <v>20000.0</v>
      </c>
      <c r="K348" s="99">
        <v>20000.0</v>
      </c>
      <c r="L348" s="99">
        <v>20000.0</v>
      </c>
      <c r="M348" s="99">
        <v>20000.0</v>
      </c>
      <c r="N348" s="99">
        <v>20000.0</v>
      </c>
      <c r="O348" s="99">
        <v>20000.0</v>
      </c>
      <c r="P348" s="99">
        <v>20000.0</v>
      </c>
      <c r="Q348" s="99">
        <v>20000.0</v>
      </c>
      <c r="R348" s="99">
        <v>20000.0</v>
      </c>
      <c r="AT348" s="308" t="str">
        <f>'RS3'!AW348</f>
        <v/>
      </c>
      <c r="AU348" s="308" t="str">
        <f>'RS3'!AX348</f>
        <v/>
      </c>
      <c r="AV348" s="308" t="str">
        <f>'RS3'!AY348</f>
        <v/>
      </c>
      <c r="AW348" s="308" t="str">
        <f>'RS3'!AZ348</f>
        <v/>
      </c>
      <c r="AX348" s="308" t="str">
        <f>'RS3'!BA348</f>
        <v/>
      </c>
      <c r="AY348" s="308" t="str">
        <f>'RS3'!BB348</f>
        <v/>
      </c>
      <c r="AZ348" s="308" t="str">
        <f>'RS3'!BC348</f>
        <v/>
      </c>
      <c r="BA348" s="308" t="str">
        <f>'RS3'!BD348</f>
        <v/>
      </c>
      <c r="BB348" s="308" t="str">
        <f>'RS3'!BE348</f>
        <v/>
      </c>
      <c r="BC348" s="308" t="str">
        <f>'RS3'!BF348</f>
        <v/>
      </c>
      <c r="BD348" s="308" t="str">
        <f>'RS3'!BG348</f>
        <v/>
      </c>
      <c r="BE348" s="308" t="str">
        <f>'RS3'!BH348</f>
        <v/>
      </c>
      <c r="BF348" s="308" t="str">
        <f>'RS3'!BI348</f>
        <v/>
      </c>
      <c r="BG348" s="308" t="str">
        <f>'RS3'!BJ348</f>
        <v/>
      </c>
    </row>
    <row r="349" ht="12.75" customHeight="1" outlineLevel="1">
      <c r="A349" s="90"/>
      <c r="B349" s="90"/>
      <c r="C349" s="90" t="s">
        <v>823</v>
      </c>
      <c r="D349" s="90"/>
      <c r="E349" s="90"/>
      <c r="F349" s="90"/>
      <c r="G349" s="99"/>
      <c r="H349" s="99"/>
      <c r="I349" s="99"/>
      <c r="J349" s="99"/>
      <c r="K349" s="99"/>
      <c r="L349" s="99"/>
      <c r="M349" s="99"/>
      <c r="N349" s="99"/>
      <c r="O349" s="99"/>
      <c r="P349" s="99"/>
      <c r="Q349" s="99"/>
      <c r="R349" s="99"/>
      <c r="AT349" s="308"/>
      <c r="AU349" s="308"/>
      <c r="AV349" s="308"/>
      <c r="AW349" s="308"/>
      <c r="AX349" s="308"/>
      <c r="AY349" s="308"/>
      <c r="AZ349" s="308"/>
      <c r="BA349" s="308"/>
      <c r="BB349" s="308"/>
      <c r="BC349" s="308"/>
      <c r="BD349" s="308"/>
      <c r="BE349" s="308"/>
      <c r="BF349" s="308"/>
      <c r="BG349" s="308"/>
    </row>
    <row r="350" ht="12.75" customHeight="1" outlineLevel="1">
      <c r="A350" s="90"/>
      <c r="B350" s="90"/>
      <c r="C350" s="90"/>
      <c r="D350" s="90" t="s">
        <v>339</v>
      </c>
      <c r="E350" s="90"/>
      <c r="F350" s="90"/>
      <c r="G350" s="99" t="str">
        <f t="shared" ref="G350:R350" si="353">G219</f>
        <v/>
      </c>
      <c r="H350" s="99">
        <f t="shared" si="353"/>
        <v>3280</v>
      </c>
      <c r="I350" s="99">
        <f t="shared" si="353"/>
        <v>3280</v>
      </c>
      <c r="J350" s="99">
        <f t="shared" si="353"/>
        <v>600</v>
      </c>
      <c r="K350" s="99">
        <f t="shared" si="353"/>
        <v>600</v>
      </c>
      <c r="L350" s="99">
        <f t="shared" si="353"/>
        <v>600</v>
      </c>
      <c r="M350" s="99">
        <f t="shared" si="353"/>
        <v>600</v>
      </c>
      <c r="N350" s="99">
        <f t="shared" si="353"/>
        <v>600</v>
      </c>
      <c r="O350" s="99">
        <f t="shared" si="353"/>
        <v>600</v>
      </c>
      <c r="P350" s="99">
        <f t="shared" si="353"/>
        <v>600</v>
      </c>
      <c r="Q350" s="99">
        <f t="shared" si="353"/>
        <v>600</v>
      </c>
      <c r="R350" s="99">
        <f t="shared" si="353"/>
        <v>600</v>
      </c>
      <c r="AT350" s="308" t="str">
        <f>'RS3'!AW350</f>
        <v/>
      </c>
      <c r="AU350" s="308" t="str">
        <f>'RS3'!AX350</f>
        <v/>
      </c>
      <c r="AV350" s="308" t="str">
        <f>'RS3'!AY350</f>
        <v/>
      </c>
      <c r="AW350" s="308" t="str">
        <f>'RS3'!AZ350</f>
        <v/>
      </c>
      <c r="AX350" s="308" t="str">
        <f>'RS3'!BA350</f>
        <v/>
      </c>
      <c r="AY350" s="308" t="str">
        <f>'RS3'!BB350</f>
        <v/>
      </c>
      <c r="AZ350" s="308" t="str">
        <f>'RS3'!BC350</f>
        <v/>
      </c>
      <c r="BA350" s="308" t="str">
        <f>'RS3'!BD350</f>
        <v/>
      </c>
      <c r="BB350" s="308" t="str">
        <f>'RS3'!BE350</f>
        <v/>
      </c>
      <c r="BC350" s="308" t="str">
        <f>'RS3'!BF350</f>
        <v/>
      </c>
      <c r="BD350" s="308" t="str">
        <f>'RS3'!BG350</f>
        <v/>
      </c>
      <c r="BE350" s="308" t="str">
        <f>'RS3'!BH350</f>
        <v/>
      </c>
      <c r="BF350" s="308" t="str">
        <f>'RS3'!BI350</f>
        <v/>
      </c>
      <c r="BG350" s="308" t="str">
        <f>'RS3'!BJ350</f>
        <v/>
      </c>
    </row>
    <row r="351" ht="12.75" customHeight="1" outlineLevel="1">
      <c r="A351" s="90"/>
      <c r="B351" s="90"/>
      <c r="C351" s="90"/>
      <c r="D351" s="90" t="s">
        <v>824</v>
      </c>
      <c r="E351" s="90"/>
      <c r="F351" s="90"/>
      <c r="G351" s="99" t="str">
        <f t="shared" ref="G351:R351" si="354">G220</f>
        <v/>
      </c>
      <c r="H351" s="99">
        <f t="shared" si="354"/>
        <v>0</v>
      </c>
      <c r="I351" s="99">
        <f t="shared" si="354"/>
        <v>20000</v>
      </c>
      <c r="J351" s="99">
        <f t="shared" si="354"/>
        <v>30000</v>
      </c>
      <c r="K351" s="99">
        <f t="shared" si="354"/>
        <v>30000</v>
      </c>
      <c r="L351" s="99">
        <f t="shared" si="354"/>
        <v>30000</v>
      </c>
      <c r="M351" s="99">
        <f t="shared" si="354"/>
        <v>30000</v>
      </c>
      <c r="N351" s="99">
        <f t="shared" si="354"/>
        <v>30000</v>
      </c>
      <c r="O351" s="99">
        <f t="shared" si="354"/>
        <v>30000</v>
      </c>
      <c r="P351" s="99">
        <f t="shared" si="354"/>
        <v>30000</v>
      </c>
      <c r="Q351" s="99">
        <f t="shared" si="354"/>
        <v>30000</v>
      </c>
      <c r="R351" s="99">
        <f t="shared" si="354"/>
        <v>30000</v>
      </c>
      <c r="AT351" s="308" t="str">
        <f>'RS3'!AW351</f>
        <v/>
      </c>
      <c r="AU351" s="308" t="str">
        <f>'RS3'!AX351</f>
        <v/>
      </c>
      <c r="AV351" s="308" t="str">
        <f>'RS3'!AY351</f>
        <v/>
      </c>
      <c r="AW351" s="308" t="str">
        <f>'RS3'!AZ351</f>
        <v/>
      </c>
      <c r="AX351" s="308" t="str">
        <f>'RS3'!BA351</f>
        <v/>
      </c>
      <c r="AY351" s="308" t="str">
        <f>'RS3'!BB351</f>
        <v/>
      </c>
      <c r="AZ351" s="308" t="str">
        <f>'RS3'!BC351</f>
        <v/>
      </c>
      <c r="BA351" s="308" t="str">
        <f>'RS3'!BD351</f>
        <v/>
      </c>
      <c r="BB351" s="308" t="str">
        <f>'RS3'!BE351</f>
        <v/>
      </c>
      <c r="BC351" s="308" t="str">
        <f>'RS3'!BF351</f>
        <v/>
      </c>
      <c r="BD351" s="308" t="str">
        <f>'RS3'!BG351</f>
        <v/>
      </c>
      <c r="BE351" s="308" t="str">
        <f>'RS3'!BH351</f>
        <v/>
      </c>
      <c r="BF351" s="308" t="str">
        <f>'RS3'!BI351</f>
        <v/>
      </c>
      <c r="BG351" s="308" t="str">
        <f>'RS3'!BJ351</f>
        <v/>
      </c>
    </row>
    <row r="352" ht="12.75" customHeight="1" outlineLevel="1">
      <c r="A352" s="90"/>
      <c r="B352" s="90"/>
      <c r="C352" s="90"/>
      <c r="D352" s="90" t="s">
        <v>376</v>
      </c>
      <c r="E352" s="90"/>
      <c r="F352" s="90"/>
      <c r="G352" s="99" t="str">
        <f t="shared" ref="G352:R352" si="355">G221</f>
        <v/>
      </c>
      <c r="H352" s="99">
        <f t="shared" si="355"/>
        <v>0</v>
      </c>
      <c r="I352" s="99">
        <f t="shared" si="355"/>
        <v>8000</v>
      </c>
      <c r="J352" s="99">
        <f t="shared" si="355"/>
        <v>8000</v>
      </c>
      <c r="K352" s="99">
        <f t="shared" si="355"/>
        <v>8000</v>
      </c>
      <c r="L352" s="99">
        <f t="shared" si="355"/>
        <v>8000</v>
      </c>
      <c r="M352" s="99">
        <f t="shared" si="355"/>
        <v>8000</v>
      </c>
      <c r="N352" s="99">
        <f t="shared" si="355"/>
        <v>8000</v>
      </c>
      <c r="O352" s="99">
        <f t="shared" si="355"/>
        <v>8000</v>
      </c>
      <c r="P352" s="99">
        <f t="shared" si="355"/>
        <v>8000</v>
      </c>
      <c r="Q352" s="99">
        <f t="shared" si="355"/>
        <v>8000</v>
      </c>
      <c r="R352" s="99">
        <f t="shared" si="355"/>
        <v>8000</v>
      </c>
      <c r="AT352" s="308" t="str">
        <f>'RS3'!AW352</f>
        <v/>
      </c>
      <c r="AU352" s="308" t="str">
        <f>'RS3'!AX352</f>
        <v/>
      </c>
      <c r="AV352" s="308" t="str">
        <f>'RS3'!AY352</f>
        <v/>
      </c>
      <c r="AW352" s="308" t="str">
        <f>'RS3'!AZ352</f>
        <v/>
      </c>
      <c r="AX352" s="308" t="str">
        <f>'RS3'!BA352</f>
        <v/>
      </c>
      <c r="AY352" s="308" t="str">
        <f>'RS3'!BB352</f>
        <v/>
      </c>
      <c r="AZ352" s="308" t="str">
        <f>'RS3'!BC352</f>
        <v/>
      </c>
      <c r="BA352" s="308" t="str">
        <f>'RS3'!BD352</f>
        <v/>
      </c>
      <c r="BB352" s="308" t="str">
        <f>'RS3'!BE352</f>
        <v/>
      </c>
      <c r="BC352" s="308" t="str">
        <f>'RS3'!BF352</f>
        <v/>
      </c>
      <c r="BD352" s="308" t="str">
        <f>'RS3'!BG352</f>
        <v/>
      </c>
      <c r="BE352" s="308" t="str">
        <f>'RS3'!BH352</f>
        <v/>
      </c>
      <c r="BF352" s="308" t="str">
        <f>'RS3'!BI352</f>
        <v/>
      </c>
      <c r="BG352" s="308" t="str">
        <f>'RS3'!BJ352</f>
        <v/>
      </c>
    </row>
    <row r="353" ht="12.75" customHeight="1" outlineLevel="1">
      <c r="A353" s="90"/>
      <c r="B353" s="90"/>
      <c r="C353" s="90"/>
      <c r="D353" s="90" t="s">
        <v>759</v>
      </c>
      <c r="E353" s="90"/>
      <c r="F353" s="90"/>
      <c r="G353" s="99" t="str">
        <f t="shared" ref="G353:R353" si="356">G222</f>
        <v/>
      </c>
      <c r="H353" s="99">
        <f t="shared" si="356"/>
        <v>2500</v>
      </c>
      <c r="I353" s="99">
        <f t="shared" si="356"/>
        <v>1000</v>
      </c>
      <c r="J353" s="99">
        <f t="shared" si="356"/>
        <v>1000</v>
      </c>
      <c r="K353" s="99">
        <f t="shared" si="356"/>
        <v>1000</v>
      </c>
      <c r="L353" s="99">
        <f t="shared" si="356"/>
        <v>1000</v>
      </c>
      <c r="M353" s="99">
        <f t="shared" si="356"/>
        <v>1000</v>
      </c>
      <c r="N353" s="99">
        <f t="shared" si="356"/>
        <v>1000</v>
      </c>
      <c r="O353" s="99">
        <f t="shared" si="356"/>
        <v>1000</v>
      </c>
      <c r="P353" s="99">
        <f t="shared" si="356"/>
        <v>1000</v>
      </c>
      <c r="Q353" s="99">
        <f t="shared" si="356"/>
        <v>1000</v>
      </c>
      <c r="R353" s="99">
        <f t="shared" si="356"/>
        <v>1000</v>
      </c>
      <c r="AT353" s="308" t="str">
        <f>'RS3'!AW353</f>
        <v/>
      </c>
      <c r="AU353" s="308" t="str">
        <f>'RS3'!AX353</f>
        <v/>
      </c>
      <c r="AV353" s="308" t="str">
        <f>'RS3'!AY353</f>
        <v/>
      </c>
      <c r="AW353" s="308" t="str">
        <f>'RS3'!AZ353</f>
        <v/>
      </c>
      <c r="AX353" s="308" t="str">
        <f>'RS3'!BA353</f>
        <v/>
      </c>
      <c r="AY353" s="308" t="str">
        <f>'RS3'!BB353</f>
        <v/>
      </c>
      <c r="AZ353" s="308" t="str">
        <f>'RS3'!BC353</f>
        <v/>
      </c>
      <c r="BA353" s="308" t="str">
        <f>'RS3'!BD353</f>
        <v/>
      </c>
      <c r="BB353" s="308" t="str">
        <f>'RS3'!BE353</f>
        <v/>
      </c>
      <c r="BC353" s="308" t="str">
        <f>'RS3'!BF353</f>
        <v/>
      </c>
      <c r="BD353" s="308" t="str">
        <f>'RS3'!BG353</f>
        <v/>
      </c>
      <c r="BE353" s="308" t="str">
        <f>'RS3'!BH353</f>
        <v/>
      </c>
      <c r="BF353" s="308" t="str">
        <f>'RS3'!BI353</f>
        <v/>
      </c>
      <c r="BG353" s="308" t="str">
        <f>'RS3'!BJ353</f>
        <v/>
      </c>
    </row>
    <row r="354" ht="12.75" customHeight="1" outlineLevel="1">
      <c r="A354" s="90"/>
      <c r="B354" s="90"/>
      <c r="C354" s="90"/>
      <c r="D354" s="90" t="s">
        <v>760</v>
      </c>
      <c r="E354" s="90"/>
      <c r="F354" s="90"/>
      <c r="G354" s="99" t="str">
        <f t="shared" ref="G354:R354" si="357">G223</f>
        <v/>
      </c>
      <c r="H354" s="99">
        <f t="shared" si="357"/>
        <v>0</v>
      </c>
      <c r="I354" s="99">
        <f t="shared" si="357"/>
        <v>5000</v>
      </c>
      <c r="J354" s="99">
        <f t="shared" si="357"/>
        <v>5000</v>
      </c>
      <c r="K354" s="99">
        <f t="shared" si="357"/>
        <v>5000</v>
      </c>
      <c r="L354" s="99">
        <f t="shared" si="357"/>
        <v>5000</v>
      </c>
      <c r="M354" s="99">
        <f t="shared" si="357"/>
        <v>5000</v>
      </c>
      <c r="N354" s="99">
        <f t="shared" si="357"/>
        <v>5000</v>
      </c>
      <c r="O354" s="99">
        <f t="shared" si="357"/>
        <v>5000</v>
      </c>
      <c r="P354" s="99">
        <f t="shared" si="357"/>
        <v>5000</v>
      </c>
      <c r="Q354" s="99">
        <f t="shared" si="357"/>
        <v>5000</v>
      </c>
      <c r="R354" s="99">
        <f t="shared" si="357"/>
        <v>5000</v>
      </c>
      <c r="AT354" s="308" t="str">
        <f>'RS3'!AW354</f>
        <v/>
      </c>
      <c r="AU354" s="308" t="str">
        <f>'RS3'!AX354</f>
        <v/>
      </c>
      <c r="AV354" s="308" t="str">
        <f>'RS3'!AY354</f>
        <v/>
      </c>
      <c r="AW354" s="308" t="str">
        <f>'RS3'!AZ354</f>
        <v/>
      </c>
      <c r="AX354" s="308" t="str">
        <f>'RS3'!BA354</f>
        <v/>
      </c>
      <c r="AY354" s="308" t="str">
        <f>'RS3'!BB354</f>
        <v/>
      </c>
      <c r="AZ354" s="308" t="str">
        <f>'RS3'!BC354</f>
        <v/>
      </c>
      <c r="BA354" s="308" t="str">
        <f>'RS3'!BD354</f>
        <v/>
      </c>
      <c r="BB354" s="308" t="str">
        <f>'RS3'!BE354</f>
        <v/>
      </c>
      <c r="BC354" s="308" t="str">
        <f>'RS3'!BF354</f>
        <v/>
      </c>
      <c r="BD354" s="308" t="str">
        <f>'RS3'!BG354</f>
        <v/>
      </c>
      <c r="BE354" s="308" t="str">
        <f>'RS3'!BH354</f>
        <v/>
      </c>
      <c r="BF354" s="308" t="str">
        <f>'RS3'!BI354</f>
        <v/>
      </c>
      <c r="BG354" s="308" t="str">
        <f>'RS3'!BJ354</f>
        <v/>
      </c>
    </row>
    <row r="355" ht="12.75" customHeight="1" outlineLevel="1">
      <c r="A355" s="90"/>
      <c r="B355" s="90"/>
      <c r="C355" s="90"/>
      <c r="D355" s="90" t="s">
        <v>761</v>
      </c>
      <c r="E355" s="90"/>
      <c r="F355" s="90"/>
      <c r="G355" s="99" t="str">
        <f t="shared" ref="G355:R355" si="358">G224</f>
        <v/>
      </c>
      <c r="H355" s="99">
        <f t="shared" si="358"/>
        <v>2000</v>
      </c>
      <c r="I355" s="99" t="str">
        <f t="shared" si="358"/>
        <v/>
      </c>
      <c r="J355" s="99" t="str">
        <f t="shared" si="358"/>
        <v/>
      </c>
      <c r="K355" s="99" t="str">
        <f t="shared" si="358"/>
        <v/>
      </c>
      <c r="L355" s="99" t="str">
        <f t="shared" si="358"/>
        <v/>
      </c>
      <c r="M355" s="99" t="str">
        <f t="shared" si="358"/>
        <v/>
      </c>
      <c r="N355" s="99" t="str">
        <f t="shared" si="358"/>
        <v/>
      </c>
      <c r="O355" s="99" t="str">
        <f t="shared" si="358"/>
        <v/>
      </c>
      <c r="P355" s="99" t="str">
        <f t="shared" si="358"/>
        <v/>
      </c>
      <c r="Q355" s="99" t="str">
        <f t="shared" si="358"/>
        <v/>
      </c>
      <c r="R355" s="99" t="str">
        <f t="shared" si="358"/>
        <v/>
      </c>
      <c r="AT355" s="308" t="str">
        <f>'RS3'!AW355</f>
        <v/>
      </c>
      <c r="AU355" s="308" t="str">
        <f>'RS3'!AX355</f>
        <v/>
      </c>
      <c r="AV355" s="308" t="str">
        <f>'RS3'!AY355</f>
        <v/>
      </c>
      <c r="AW355" s="308" t="str">
        <f>'RS3'!AZ355</f>
        <v/>
      </c>
      <c r="AX355" s="308" t="str">
        <f>'RS3'!BA355</f>
        <v/>
      </c>
      <c r="AY355" s="308" t="str">
        <f>'RS3'!BB355</f>
        <v/>
      </c>
      <c r="AZ355" s="308" t="str">
        <f>'RS3'!BC355</f>
        <v/>
      </c>
      <c r="BA355" s="308" t="str">
        <f>'RS3'!BD355</f>
        <v/>
      </c>
      <c r="BB355" s="308" t="str">
        <f>'RS3'!BE355</f>
        <v/>
      </c>
      <c r="BC355" s="308" t="str">
        <f>'RS3'!BF355</f>
        <v/>
      </c>
      <c r="BD355" s="308" t="str">
        <f>'RS3'!BG355</f>
        <v/>
      </c>
      <c r="BE355" s="308" t="str">
        <f>'RS3'!BH355</f>
        <v/>
      </c>
      <c r="BF355" s="308" t="str">
        <f>'RS3'!BI355</f>
        <v/>
      </c>
      <c r="BG355" s="308" t="str">
        <f>'RS3'!BJ355</f>
        <v/>
      </c>
    </row>
    <row r="356" ht="12.75" customHeight="1" outlineLevel="1">
      <c r="A356" s="90"/>
      <c r="B356" s="90"/>
      <c r="C356" s="90"/>
      <c r="D356" s="90" t="s">
        <v>825</v>
      </c>
      <c r="E356" s="90"/>
      <c r="F356" s="90"/>
      <c r="G356" s="99" t="str">
        <f t="shared" ref="G356:R356" si="359">G225</f>
        <v/>
      </c>
      <c r="H356" s="99">
        <f t="shared" si="359"/>
        <v>0</v>
      </c>
      <c r="I356" s="99">
        <f t="shared" si="359"/>
        <v>6000</v>
      </c>
      <c r="J356" s="99">
        <f t="shared" si="359"/>
        <v>6000</v>
      </c>
      <c r="K356" s="99">
        <f t="shared" si="359"/>
        <v>6000</v>
      </c>
      <c r="L356" s="99">
        <f t="shared" si="359"/>
        <v>6000</v>
      </c>
      <c r="M356" s="99">
        <f t="shared" si="359"/>
        <v>6000</v>
      </c>
      <c r="N356" s="99">
        <f t="shared" si="359"/>
        <v>6000</v>
      </c>
      <c r="O356" s="99">
        <f t="shared" si="359"/>
        <v>6000</v>
      </c>
      <c r="P356" s="99">
        <f t="shared" si="359"/>
        <v>6000</v>
      </c>
      <c r="Q356" s="99">
        <f t="shared" si="359"/>
        <v>6000</v>
      </c>
      <c r="R356" s="99">
        <f t="shared" si="359"/>
        <v>6000</v>
      </c>
      <c r="AT356" s="308" t="str">
        <f>'RS3'!AW356</f>
        <v/>
      </c>
      <c r="AU356" s="308" t="str">
        <f>'RS3'!AX356</f>
        <v/>
      </c>
      <c r="AV356" s="308" t="str">
        <f>'RS3'!AY356</f>
        <v/>
      </c>
      <c r="AW356" s="308" t="str">
        <f>'RS3'!AZ356</f>
        <v/>
      </c>
      <c r="AX356" s="308" t="str">
        <f>'RS3'!BA356</f>
        <v/>
      </c>
      <c r="AY356" s="308" t="str">
        <f>'RS3'!BB356</f>
        <v/>
      </c>
      <c r="AZ356" s="308" t="str">
        <f>'RS3'!BC356</f>
        <v/>
      </c>
      <c r="BA356" s="308" t="str">
        <f>'RS3'!BD356</f>
        <v/>
      </c>
      <c r="BB356" s="308" t="str">
        <f>'RS3'!BE356</f>
        <v/>
      </c>
      <c r="BC356" s="308" t="str">
        <f>'RS3'!BF356</f>
        <v/>
      </c>
      <c r="BD356" s="308" t="str">
        <f>'RS3'!BG356</f>
        <v/>
      </c>
      <c r="BE356" s="308" t="str">
        <f>'RS3'!BH356</f>
        <v/>
      </c>
      <c r="BF356" s="308" t="str">
        <f>'RS3'!BI356</f>
        <v/>
      </c>
      <c r="BG356" s="308" t="str">
        <f>'RS3'!BJ356</f>
        <v/>
      </c>
    </row>
    <row r="357" ht="12.75" customHeight="1" outlineLevel="1">
      <c r="A357" s="90"/>
      <c r="B357" s="90"/>
      <c r="C357" s="90"/>
      <c r="D357" s="90" t="s">
        <v>763</v>
      </c>
      <c r="E357" s="90"/>
      <c r="F357" s="90"/>
      <c r="G357" s="99" t="str">
        <f t="shared" ref="G357:R357" si="360">G226</f>
        <v/>
      </c>
      <c r="H357" s="99" t="str">
        <f t="shared" si="360"/>
        <v/>
      </c>
      <c r="I357" s="99" t="str">
        <f t="shared" si="360"/>
        <v/>
      </c>
      <c r="J357" s="99" t="str">
        <f t="shared" si="360"/>
        <v/>
      </c>
      <c r="K357" s="99" t="str">
        <f t="shared" si="360"/>
        <v/>
      </c>
      <c r="L357" s="99" t="str">
        <f t="shared" si="360"/>
        <v/>
      </c>
      <c r="M357" s="99" t="str">
        <f t="shared" si="360"/>
        <v/>
      </c>
      <c r="N357" s="99" t="str">
        <f t="shared" si="360"/>
        <v/>
      </c>
      <c r="O357" s="99" t="str">
        <f t="shared" si="360"/>
        <v/>
      </c>
      <c r="P357" s="99" t="str">
        <f t="shared" si="360"/>
        <v/>
      </c>
      <c r="Q357" s="99" t="str">
        <f t="shared" si="360"/>
        <v/>
      </c>
      <c r="R357" s="99" t="str">
        <f t="shared" si="360"/>
        <v/>
      </c>
      <c r="AT357" s="308" t="str">
        <f>'RS3'!AW357</f>
        <v/>
      </c>
      <c r="AU357" s="308" t="str">
        <f>'RS3'!AX357</f>
        <v/>
      </c>
      <c r="AV357" s="308" t="str">
        <f>'RS3'!AY357</f>
        <v/>
      </c>
      <c r="AW357" s="308" t="str">
        <f>'RS3'!AZ357</f>
        <v/>
      </c>
      <c r="AX357" s="308" t="str">
        <f>'RS3'!BA357</f>
        <v/>
      </c>
      <c r="AY357" s="308" t="str">
        <f>'RS3'!BB357</f>
        <v/>
      </c>
      <c r="AZ357" s="308" t="str">
        <f>'RS3'!BC357</f>
        <v/>
      </c>
      <c r="BA357" s="308" t="str">
        <f>'RS3'!BD357</f>
        <v/>
      </c>
      <c r="BB357" s="308" t="str">
        <f>'RS3'!BE357</f>
        <v/>
      </c>
      <c r="BC357" s="308" t="str">
        <f>'RS3'!BF357</f>
        <v/>
      </c>
      <c r="BD357" s="308" t="str">
        <f>'RS3'!BG357</f>
        <v/>
      </c>
      <c r="BE357" s="308" t="str">
        <f>'RS3'!BH357</f>
        <v/>
      </c>
      <c r="BF357" s="308" t="str">
        <f>'RS3'!BI357</f>
        <v/>
      </c>
      <c r="BG357" s="308" t="str">
        <f>'RS3'!BJ357</f>
        <v/>
      </c>
    </row>
    <row r="358" ht="12.75" customHeight="1" outlineLevel="1">
      <c r="A358" s="90"/>
      <c r="B358" s="90"/>
      <c r="C358" s="90"/>
      <c r="D358" s="90" t="s">
        <v>826</v>
      </c>
      <c r="E358" s="90"/>
      <c r="F358" s="90"/>
      <c r="G358" s="99">
        <v>0.0</v>
      </c>
      <c r="H358" s="99">
        <v>0.0</v>
      </c>
      <c r="I358" s="99">
        <f t="shared" ref="I358:R358" si="361">I227</f>
        <v>300</v>
      </c>
      <c r="J358" s="99">
        <f t="shared" si="361"/>
        <v>300</v>
      </c>
      <c r="K358" s="99">
        <f t="shared" si="361"/>
        <v>300</v>
      </c>
      <c r="L358" s="99">
        <f t="shared" si="361"/>
        <v>300</v>
      </c>
      <c r="M358" s="99">
        <f t="shared" si="361"/>
        <v>300</v>
      </c>
      <c r="N358" s="99">
        <f t="shared" si="361"/>
        <v>300</v>
      </c>
      <c r="O358" s="99">
        <f t="shared" si="361"/>
        <v>300</v>
      </c>
      <c r="P358" s="99">
        <f t="shared" si="361"/>
        <v>300</v>
      </c>
      <c r="Q358" s="99">
        <f t="shared" si="361"/>
        <v>300</v>
      </c>
      <c r="R358" s="99">
        <f t="shared" si="361"/>
        <v>300</v>
      </c>
      <c r="AT358" s="308" t="str">
        <f>'RS3'!AW358</f>
        <v/>
      </c>
      <c r="AU358" s="308" t="str">
        <f>'RS3'!AX358</f>
        <v/>
      </c>
      <c r="AV358" s="308" t="str">
        <f>'RS3'!AY358</f>
        <v/>
      </c>
      <c r="AW358" s="308" t="str">
        <f>'RS3'!AZ358</f>
        <v/>
      </c>
      <c r="AX358" s="308" t="str">
        <f>'RS3'!BA358</f>
        <v/>
      </c>
      <c r="AY358" s="308" t="str">
        <f>'RS3'!BB358</f>
        <v/>
      </c>
      <c r="AZ358" s="308" t="str">
        <f>'RS3'!BC358</f>
        <v/>
      </c>
      <c r="BA358" s="308" t="str">
        <f>'RS3'!BD358</f>
        <v/>
      </c>
      <c r="BB358" s="308" t="str">
        <f>'RS3'!BE358</f>
        <v/>
      </c>
      <c r="BC358" s="308" t="str">
        <f>'RS3'!BF358</f>
        <v/>
      </c>
      <c r="BD358" s="308" t="str">
        <f>'RS3'!BG358</f>
        <v/>
      </c>
      <c r="BE358" s="308" t="str">
        <f>'RS3'!BH358</f>
        <v/>
      </c>
      <c r="BF358" s="308" t="str">
        <f>'RS3'!BI358</f>
        <v/>
      </c>
      <c r="BG358" s="308" t="str">
        <f>'RS3'!BJ358</f>
        <v/>
      </c>
    </row>
    <row r="359" ht="12.75" customHeight="1" outlineLevel="1">
      <c r="A359" s="90"/>
      <c r="B359" s="90"/>
      <c r="C359" s="90"/>
      <c r="D359" s="90" t="s">
        <v>355</v>
      </c>
      <c r="E359" s="90"/>
      <c r="F359" s="90"/>
      <c r="G359" s="99" t="str">
        <f t="shared" ref="G359:H359" si="362">G227</f>
        <v/>
      </c>
      <c r="H359" s="99">
        <f t="shared" si="362"/>
        <v>0</v>
      </c>
      <c r="I359" s="99">
        <f t="shared" ref="I359:R359" si="363">I228</f>
        <v>1500</v>
      </c>
      <c r="J359" s="99">
        <f t="shared" si="363"/>
        <v>1500</v>
      </c>
      <c r="K359" s="99">
        <f t="shared" si="363"/>
        <v>1500</v>
      </c>
      <c r="L359" s="99">
        <f t="shared" si="363"/>
        <v>1500</v>
      </c>
      <c r="M359" s="99">
        <f t="shared" si="363"/>
        <v>1500</v>
      </c>
      <c r="N359" s="99">
        <f t="shared" si="363"/>
        <v>1500</v>
      </c>
      <c r="O359" s="99">
        <f t="shared" si="363"/>
        <v>1500</v>
      </c>
      <c r="P359" s="99">
        <f t="shared" si="363"/>
        <v>1500</v>
      </c>
      <c r="Q359" s="99">
        <f t="shared" si="363"/>
        <v>1500</v>
      </c>
      <c r="R359" s="99">
        <f t="shared" si="363"/>
        <v>1500</v>
      </c>
      <c r="AT359" s="308" t="str">
        <f>'RS3'!AW359</f>
        <v/>
      </c>
      <c r="AU359" s="308" t="str">
        <f>'RS3'!AX359</f>
        <v/>
      </c>
      <c r="AV359" s="308" t="str">
        <f>'RS3'!AY359</f>
        <v/>
      </c>
      <c r="AW359" s="308" t="str">
        <f>'RS3'!AZ359</f>
        <v/>
      </c>
      <c r="AX359" s="308" t="str">
        <f>'RS3'!BA359</f>
        <v/>
      </c>
      <c r="AY359" s="308" t="str">
        <f>'RS3'!BB359</f>
        <v/>
      </c>
      <c r="AZ359" s="308" t="str">
        <f>'RS3'!BC359</f>
        <v/>
      </c>
      <c r="BA359" s="308" t="str">
        <f>'RS3'!BD359</f>
        <v/>
      </c>
      <c r="BB359" s="308" t="str">
        <f>'RS3'!BE359</f>
        <v/>
      </c>
      <c r="BC359" s="308" t="str">
        <f>'RS3'!BF359</f>
        <v/>
      </c>
      <c r="BD359" s="308" t="str">
        <f>'RS3'!BG359</f>
        <v/>
      </c>
      <c r="BE359" s="308" t="str">
        <f>'RS3'!BH359</f>
        <v/>
      </c>
      <c r="BF359" s="308" t="str">
        <f>'RS3'!BI359</f>
        <v/>
      </c>
      <c r="BG359" s="308" t="str">
        <f>'RS3'!BJ359</f>
        <v/>
      </c>
    </row>
    <row r="360" ht="12.75" customHeight="1" outlineLevel="1">
      <c r="A360" s="90"/>
      <c r="B360" s="90"/>
      <c r="C360" s="90"/>
      <c r="D360" s="90" t="s">
        <v>765</v>
      </c>
      <c r="E360" s="90"/>
      <c r="F360" s="90"/>
      <c r="G360" s="99" t="str">
        <f t="shared" ref="G360:H360" si="364">G228</f>
        <v/>
      </c>
      <c r="H360" s="99">
        <f t="shared" si="364"/>
        <v>0</v>
      </c>
      <c r="I360" s="99">
        <f t="shared" ref="I360:R360" si="365">I229</f>
        <v>0</v>
      </c>
      <c r="J360" s="99">
        <f t="shared" si="365"/>
        <v>0</v>
      </c>
      <c r="K360" s="99">
        <f t="shared" si="365"/>
        <v>0</v>
      </c>
      <c r="L360" s="99">
        <f t="shared" si="365"/>
        <v>0</v>
      </c>
      <c r="M360" s="99">
        <f t="shared" si="365"/>
        <v>0</v>
      </c>
      <c r="N360" s="99">
        <f t="shared" si="365"/>
        <v>0</v>
      </c>
      <c r="O360" s="99">
        <f t="shared" si="365"/>
        <v>0</v>
      </c>
      <c r="P360" s="99">
        <f t="shared" si="365"/>
        <v>0</v>
      </c>
      <c r="Q360" s="99">
        <f t="shared" si="365"/>
        <v>0</v>
      </c>
      <c r="R360" s="99">
        <f t="shared" si="365"/>
        <v>0</v>
      </c>
      <c r="AT360" s="308" t="str">
        <f>'RS3'!AW360</f>
        <v/>
      </c>
      <c r="AU360" s="308" t="str">
        <f>'RS3'!AX360</f>
        <v/>
      </c>
      <c r="AV360" s="308" t="str">
        <f>'RS3'!AY360</f>
        <v/>
      </c>
      <c r="AW360" s="308" t="str">
        <f>'RS3'!AZ360</f>
        <v/>
      </c>
      <c r="AX360" s="308" t="str">
        <f>'RS3'!BA360</f>
        <v/>
      </c>
      <c r="AY360" s="308" t="str">
        <f>'RS3'!BB360</f>
        <v/>
      </c>
      <c r="AZ360" s="308" t="str">
        <f>'RS3'!BC360</f>
        <v/>
      </c>
      <c r="BA360" s="308" t="str">
        <f>'RS3'!BD360</f>
        <v/>
      </c>
      <c r="BB360" s="308" t="str">
        <f>'RS3'!BE360</f>
        <v/>
      </c>
      <c r="BC360" s="308" t="str">
        <f>'RS3'!BF360</f>
        <v/>
      </c>
      <c r="BD360" s="308" t="str">
        <f>'RS3'!BG360</f>
        <v/>
      </c>
      <c r="BE360" s="308" t="str">
        <f>'RS3'!BH360</f>
        <v/>
      </c>
      <c r="BF360" s="308" t="str">
        <f>'RS3'!BI360</f>
        <v/>
      </c>
      <c r="BG360" s="308" t="str">
        <f>'RS3'!BJ360</f>
        <v/>
      </c>
    </row>
    <row r="361" ht="12.75" customHeight="1" outlineLevel="1">
      <c r="A361" s="90"/>
      <c r="B361" s="90"/>
      <c r="C361" s="90"/>
      <c r="D361" s="90" t="s">
        <v>465</v>
      </c>
      <c r="E361" s="90"/>
      <c r="F361" s="90"/>
      <c r="G361" s="99">
        <v>0.0</v>
      </c>
      <c r="H361" s="99">
        <v>0.0</v>
      </c>
      <c r="I361" s="99" t="str">
        <f t="shared" ref="I361:R361" si="366">I230</f>
        <v/>
      </c>
      <c r="J361" s="99" t="str">
        <f t="shared" si="366"/>
        <v/>
      </c>
      <c r="K361" s="99" t="str">
        <f t="shared" si="366"/>
        <v/>
      </c>
      <c r="L361" s="99" t="str">
        <f t="shared" si="366"/>
        <v/>
      </c>
      <c r="M361" s="99" t="str">
        <f t="shared" si="366"/>
        <v/>
      </c>
      <c r="N361" s="99" t="str">
        <f t="shared" si="366"/>
        <v/>
      </c>
      <c r="O361" s="99" t="str">
        <f t="shared" si="366"/>
        <v/>
      </c>
      <c r="P361" s="99" t="str">
        <f t="shared" si="366"/>
        <v/>
      </c>
      <c r="Q361" s="99" t="str">
        <f t="shared" si="366"/>
        <v/>
      </c>
      <c r="R361" s="99" t="str">
        <f t="shared" si="366"/>
        <v/>
      </c>
      <c r="AT361" s="308" t="str">
        <f>'RS3'!AW361</f>
        <v/>
      </c>
      <c r="AU361" s="308" t="str">
        <f>'RS3'!AX361</f>
        <v/>
      </c>
      <c r="AV361" s="308" t="str">
        <f>'RS3'!AY361</f>
        <v/>
      </c>
      <c r="AW361" s="308" t="str">
        <f>'RS3'!AZ361</f>
        <v/>
      </c>
      <c r="AX361" s="308" t="str">
        <f>'RS3'!BA361</f>
        <v/>
      </c>
      <c r="AY361" s="308" t="str">
        <f>'RS3'!BB361</f>
        <v/>
      </c>
      <c r="AZ361" s="308" t="str">
        <f>'RS3'!BC361</f>
        <v/>
      </c>
      <c r="BA361" s="308" t="str">
        <f>'RS3'!BD361</f>
        <v/>
      </c>
      <c r="BB361" s="308" t="str">
        <f>'RS3'!BE361</f>
        <v/>
      </c>
      <c r="BC361" s="308" t="str">
        <f>'RS3'!BF361</f>
        <v/>
      </c>
      <c r="BD361" s="308" t="str">
        <f>'RS3'!BG361</f>
        <v/>
      </c>
      <c r="BE361" s="308" t="str">
        <f>'RS3'!BH361</f>
        <v/>
      </c>
      <c r="BF361" s="308" t="str">
        <f>'RS3'!BI361</f>
        <v/>
      </c>
      <c r="BG361" s="308" t="str">
        <f>'RS3'!BJ361</f>
        <v/>
      </c>
    </row>
    <row r="362" ht="12.75" customHeight="1" outlineLevel="1">
      <c r="A362" s="90"/>
      <c r="B362" s="90"/>
      <c r="C362" s="90" t="s">
        <v>827</v>
      </c>
      <c r="D362" s="90"/>
      <c r="E362" s="90"/>
      <c r="F362" s="90"/>
      <c r="G362" s="99"/>
      <c r="H362" s="99"/>
      <c r="I362" s="99"/>
      <c r="J362" s="99"/>
      <c r="K362" s="99"/>
      <c r="L362" s="99"/>
      <c r="M362" s="99"/>
      <c r="N362" s="99"/>
      <c r="O362" s="99"/>
      <c r="P362" s="99"/>
      <c r="Q362" s="99"/>
      <c r="R362" s="99"/>
      <c r="AT362" s="308"/>
      <c r="AU362" s="308"/>
      <c r="AV362" s="308"/>
      <c r="AW362" s="308"/>
      <c r="AX362" s="308"/>
      <c r="AY362" s="308"/>
      <c r="AZ362" s="308"/>
      <c r="BA362" s="308"/>
      <c r="BB362" s="308"/>
      <c r="BC362" s="308"/>
      <c r="BD362" s="308"/>
      <c r="BE362" s="308"/>
      <c r="BF362" s="308"/>
      <c r="BG362" s="308"/>
    </row>
    <row r="363" ht="12.75" customHeight="1" outlineLevel="1">
      <c r="A363" s="90"/>
      <c r="B363" s="90"/>
      <c r="C363" s="90"/>
      <c r="D363" s="90" t="s">
        <v>768</v>
      </c>
      <c r="E363" s="90"/>
      <c r="F363" s="90"/>
      <c r="G363" s="99">
        <f t="shared" ref="G363:H363" si="367">G231*G$47</f>
        <v>0</v>
      </c>
      <c r="H363" s="99">
        <f t="shared" si="367"/>
        <v>0</v>
      </c>
      <c r="I363" s="99">
        <f t="shared" ref="I363:R363" si="368">I$47*I231</f>
        <v>1499.4</v>
      </c>
      <c r="J363" s="99">
        <f t="shared" si="368"/>
        <v>1774.8</v>
      </c>
      <c r="K363" s="99">
        <f t="shared" si="368"/>
        <v>1912.5</v>
      </c>
      <c r="L363" s="99">
        <f t="shared" si="368"/>
        <v>1912.5</v>
      </c>
      <c r="M363" s="99">
        <f t="shared" si="368"/>
        <v>1912.5</v>
      </c>
      <c r="N363" s="99">
        <f t="shared" si="368"/>
        <v>1912.5</v>
      </c>
      <c r="O363" s="99">
        <f t="shared" si="368"/>
        <v>1912.5</v>
      </c>
      <c r="P363" s="99">
        <f t="shared" si="368"/>
        <v>1912.5</v>
      </c>
      <c r="Q363" s="99">
        <f t="shared" si="368"/>
        <v>1912.5</v>
      </c>
      <c r="R363" s="99">
        <f t="shared" si="368"/>
        <v>1912.5</v>
      </c>
      <c r="AT363" s="308" t="str">
        <f>'RS3'!AW363</f>
        <v/>
      </c>
      <c r="AU363" s="308" t="str">
        <f>'RS3'!AX363</f>
        <v/>
      </c>
      <c r="AV363" s="308" t="str">
        <f>'RS3'!AY363</f>
        <v/>
      </c>
      <c r="AW363" s="308" t="str">
        <f>'RS3'!AZ363</f>
        <v/>
      </c>
      <c r="AX363" s="308" t="str">
        <f>'RS3'!BA363</f>
        <v/>
      </c>
      <c r="AY363" s="308" t="str">
        <f>'RS3'!BB363</f>
        <v/>
      </c>
      <c r="AZ363" s="308" t="str">
        <f>'RS3'!BC363</f>
        <v/>
      </c>
      <c r="BA363" s="308" t="str">
        <f>'RS3'!BD363</f>
        <v/>
      </c>
      <c r="BB363" s="308" t="str">
        <f>'RS3'!BE363</f>
        <v/>
      </c>
      <c r="BC363" s="308" t="str">
        <f>'RS3'!BF363</f>
        <v/>
      </c>
      <c r="BD363" s="308" t="str">
        <f>'RS3'!BG363</f>
        <v/>
      </c>
      <c r="BE363" s="308" t="str">
        <f>'RS3'!BH363</f>
        <v/>
      </c>
      <c r="BF363" s="308" t="str">
        <f>'RS3'!BI363</f>
        <v/>
      </c>
      <c r="BG363" s="308" t="str">
        <f>'RS3'!BJ363</f>
        <v/>
      </c>
    </row>
    <row r="364" ht="12.75" customHeight="1" outlineLevel="1">
      <c r="A364" s="90"/>
      <c r="B364" s="90"/>
      <c r="C364" s="90"/>
      <c r="D364" s="90" t="s">
        <v>769</v>
      </c>
      <c r="E364" s="90"/>
      <c r="F364" s="90"/>
      <c r="G364" s="99">
        <f t="shared" ref="G364:H364" si="369">G232*G$47</f>
        <v>0</v>
      </c>
      <c r="H364" s="99">
        <f t="shared" si="369"/>
        <v>0</v>
      </c>
      <c r="I364" s="99">
        <f t="shared" ref="I364:R364" si="370">I$47*I232</f>
        <v>20384</v>
      </c>
      <c r="J364" s="99">
        <f t="shared" si="370"/>
        <v>24128</v>
      </c>
      <c r="K364" s="99">
        <f t="shared" si="370"/>
        <v>26000</v>
      </c>
      <c r="L364" s="99">
        <f t="shared" si="370"/>
        <v>26000</v>
      </c>
      <c r="M364" s="99">
        <f t="shared" si="370"/>
        <v>26000</v>
      </c>
      <c r="N364" s="99">
        <f t="shared" si="370"/>
        <v>26000</v>
      </c>
      <c r="O364" s="99">
        <f t="shared" si="370"/>
        <v>26000</v>
      </c>
      <c r="P364" s="99">
        <f t="shared" si="370"/>
        <v>26000</v>
      </c>
      <c r="Q364" s="99">
        <f t="shared" si="370"/>
        <v>26000</v>
      </c>
      <c r="R364" s="99">
        <f t="shared" si="370"/>
        <v>26000</v>
      </c>
      <c r="AT364" s="308" t="str">
        <f>'RS3'!AW364</f>
        <v/>
      </c>
      <c r="AU364" s="308" t="str">
        <f>'RS3'!AX364</f>
        <v/>
      </c>
      <c r="AV364" s="308" t="str">
        <f>'RS3'!AY364</f>
        <v/>
      </c>
      <c r="AW364" s="308" t="str">
        <f>'RS3'!AZ364</f>
        <v/>
      </c>
      <c r="AX364" s="308" t="str">
        <f>'RS3'!BA364</f>
        <v/>
      </c>
      <c r="AY364" s="308" t="str">
        <f>'RS3'!BB364</f>
        <v/>
      </c>
      <c r="AZ364" s="308" t="str">
        <f>'RS3'!BC364</f>
        <v/>
      </c>
      <c r="BA364" s="308" t="str">
        <f>'RS3'!BD364</f>
        <v/>
      </c>
      <c r="BB364" s="308" t="str">
        <f>'RS3'!BE364</f>
        <v/>
      </c>
      <c r="BC364" s="308" t="str">
        <f>'RS3'!BF364</f>
        <v/>
      </c>
      <c r="BD364" s="308" t="str">
        <f>'RS3'!BG364</f>
        <v/>
      </c>
      <c r="BE364" s="308" t="str">
        <f>'RS3'!BH364</f>
        <v/>
      </c>
      <c r="BF364" s="308" t="str">
        <f>'RS3'!BI364</f>
        <v/>
      </c>
      <c r="BG364" s="308" t="str">
        <f>'RS3'!BJ364</f>
        <v/>
      </c>
    </row>
    <row r="365" ht="12.75" customHeight="1" outlineLevel="1">
      <c r="A365" s="90"/>
      <c r="B365" s="90"/>
      <c r="C365" s="90"/>
      <c r="D365" s="90" t="s">
        <v>770</v>
      </c>
      <c r="E365" s="90"/>
      <c r="F365" s="90"/>
      <c r="G365" s="99">
        <f t="shared" ref="G365:H365" si="371">G233*G$47</f>
        <v>0</v>
      </c>
      <c r="H365" s="99">
        <f t="shared" si="371"/>
        <v>0</v>
      </c>
      <c r="I365" s="99">
        <f t="shared" ref="I365:R365" si="372">I$47*I233</f>
        <v>3748.5</v>
      </c>
      <c r="J365" s="99">
        <f t="shared" si="372"/>
        <v>4437</v>
      </c>
      <c r="K365" s="99">
        <f t="shared" si="372"/>
        <v>4781.25</v>
      </c>
      <c r="L365" s="99">
        <f t="shared" si="372"/>
        <v>4781.25</v>
      </c>
      <c r="M365" s="99">
        <f t="shared" si="372"/>
        <v>4781.25</v>
      </c>
      <c r="N365" s="99">
        <f t="shared" si="372"/>
        <v>4781.25</v>
      </c>
      <c r="O365" s="99">
        <f t="shared" si="372"/>
        <v>4781.25</v>
      </c>
      <c r="P365" s="99">
        <f t="shared" si="372"/>
        <v>4781.25</v>
      </c>
      <c r="Q365" s="99">
        <f t="shared" si="372"/>
        <v>4781.25</v>
      </c>
      <c r="R365" s="99">
        <f t="shared" si="372"/>
        <v>4781.25</v>
      </c>
      <c r="AT365" s="308" t="str">
        <f>'RS3'!AW365</f>
        <v/>
      </c>
      <c r="AU365" s="308" t="str">
        <f>'RS3'!AX365</f>
        <v/>
      </c>
      <c r="AV365" s="308" t="str">
        <f>'RS3'!AY365</f>
        <v/>
      </c>
      <c r="AW365" s="308" t="str">
        <f>'RS3'!AZ365</f>
        <v/>
      </c>
      <c r="AX365" s="308" t="str">
        <f>'RS3'!BA365</f>
        <v/>
      </c>
      <c r="AY365" s="308" t="str">
        <f>'RS3'!BB365</f>
        <v/>
      </c>
      <c r="AZ365" s="308" t="str">
        <f>'RS3'!BC365</f>
        <v/>
      </c>
      <c r="BA365" s="308" t="str">
        <f>'RS3'!BD365</f>
        <v/>
      </c>
      <c r="BB365" s="308" t="str">
        <f>'RS3'!BE365</f>
        <v/>
      </c>
      <c r="BC365" s="308" t="str">
        <f>'RS3'!BF365</f>
        <v/>
      </c>
      <c r="BD365" s="308" t="str">
        <f>'RS3'!BG365</f>
        <v/>
      </c>
      <c r="BE365" s="308" t="str">
        <f>'RS3'!BH365</f>
        <v/>
      </c>
      <c r="BF365" s="308" t="str">
        <f>'RS3'!BI365</f>
        <v/>
      </c>
      <c r="BG365" s="308" t="str">
        <f>'RS3'!BJ365</f>
        <v/>
      </c>
    </row>
    <row r="366" ht="12.75" customHeight="1" outlineLevel="1">
      <c r="A366" s="90"/>
      <c r="B366" s="90"/>
      <c r="C366" s="90"/>
      <c r="D366" s="90" t="s">
        <v>771</v>
      </c>
      <c r="E366" s="90"/>
      <c r="F366" s="90"/>
      <c r="G366" s="99">
        <f t="shared" ref="G366:H366" si="373">G234*G$47</f>
        <v>0</v>
      </c>
      <c r="H366" s="99">
        <f t="shared" si="373"/>
        <v>0</v>
      </c>
      <c r="I366" s="99">
        <f t="shared" ref="I366:R366" si="374">I$47*I234</f>
        <v>1249.5</v>
      </c>
      <c r="J366" s="99">
        <f t="shared" si="374"/>
        <v>1479</v>
      </c>
      <c r="K366" s="99">
        <f t="shared" si="374"/>
        <v>1593.75</v>
      </c>
      <c r="L366" s="99">
        <f t="shared" si="374"/>
        <v>1593.75</v>
      </c>
      <c r="M366" s="99">
        <f t="shared" si="374"/>
        <v>1593.75</v>
      </c>
      <c r="N366" s="99">
        <f t="shared" si="374"/>
        <v>1593.75</v>
      </c>
      <c r="O366" s="99">
        <f t="shared" si="374"/>
        <v>1593.75</v>
      </c>
      <c r="P366" s="99">
        <f t="shared" si="374"/>
        <v>1593.75</v>
      </c>
      <c r="Q366" s="99">
        <f t="shared" si="374"/>
        <v>1593.75</v>
      </c>
      <c r="R366" s="99">
        <f t="shared" si="374"/>
        <v>1593.75</v>
      </c>
      <c r="AT366" s="308" t="str">
        <f>'RS3'!AW366</f>
        <v/>
      </c>
      <c r="AU366" s="308" t="str">
        <f>'RS3'!AX366</f>
        <v/>
      </c>
      <c r="AV366" s="308" t="str">
        <f>'RS3'!AY366</f>
        <v/>
      </c>
      <c r="AW366" s="308" t="str">
        <f>'RS3'!AZ366</f>
        <v/>
      </c>
      <c r="AX366" s="308" t="str">
        <f>'RS3'!BA366</f>
        <v/>
      </c>
      <c r="AY366" s="308" t="str">
        <f>'RS3'!BB366</f>
        <v/>
      </c>
      <c r="AZ366" s="308" t="str">
        <f>'RS3'!BC366</f>
        <v/>
      </c>
      <c r="BA366" s="308" t="str">
        <f>'RS3'!BD366</f>
        <v/>
      </c>
      <c r="BB366" s="308" t="str">
        <f>'RS3'!BE366</f>
        <v/>
      </c>
      <c r="BC366" s="308" t="str">
        <f>'RS3'!BF366</f>
        <v/>
      </c>
      <c r="BD366" s="308" t="str">
        <f>'RS3'!BG366</f>
        <v/>
      </c>
      <c r="BE366" s="308" t="str">
        <f>'RS3'!BH366</f>
        <v/>
      </c>
      <c r="BF366" s="308" t="str">
        <f>'RS3'!BI366</f>
        <v/>
      </c>
      <c r="BG366" s="308" t="str">
        <f>'RS3'!BJ366</f>
        <v/>
      </c>
    </row>
    <row r="367" ht="12.75" customHeight="1" outlineLevel="1">
      <c r="A367" s="90"/>
      <c r="B367" s="90"/>
      <c r="C367" s="90"/>
      <c r="D367" s="90" t="s">
        <v>773</v>
      </c>
      <c r="E367" s="90"/>
      <c r="F367" s="90"/>
      <c r="G367" s="99">
        <f t="shared" ref="G367:H367" si="375">G236*G$47</f>
        <v>0</v>
      </c>
      <c r="H367" s="99">
        <f t="shared" si="375"/>
        <v>0</v>
      </c>
      <c r="I367" s="99">
        <f t="shared" ref="I367:R367" si="376">I$47*I236</f>
        <v>1960</v>
      </c>
      <c r="J367" s="99">
        <f t="shared" si="376"/>
        <v>2320</v>
      </c>
      <c r="K367" s="99">
        <f t="shared" si="376"/>
        <v>2500</v>
      </c>
      <c r="L367" s="99">
        <f t="shared" si="376"/>
        <v>2500</v>
      </c>
      <c r="M367" s="99">
        <f t="shared" si="376"/>
        <v>2500</v>
      </c>
      <c r="N367" s="99">
        <f t="shared" si="376"/>
        <v>2500</v>
      </c>
      <c r="O367" s="99">
        <f t="shared" si="376"/>
        <v>2500</v>
      </c>
      <c r="P367" s="99">
        <f t="shared" si="376"/>
        <v>2500</v>
      </c>
      <c r="Q367" s="99">
        <f t="shared" si="376"/>
        <v>2500</v>
      </c>
      <c r="R367" s="99">
        <f t="shared" si="376"/>
        <v>2500</v>
      </c>
      <c r="AT367" s="308" t="str">
        <f>'RS3'!AW367</f>
        <v/>
      </c>
      <c r="AU367" s="308" t="str">
        <f>'RS3'!AX367</f>
        <v/>
      </c>
      <c r="AV367" s="308" t="str">
        <f>'RS3'!AY367</f>
        <v/>
      </c>
      <c r="AW367" s="308" t="str">
        <f>'RS3'!AZ367</f>
        <v/>
      </c>
      <c r="AX367" s="308" t="str">
        <f>'RS3'!BA367</f>
        <v/>
      </c>
      <c r="AY367" s="308" t="str">
        <f>'RS3'!BB367</f>
        <v/>
      </c>
      <c r="AZ367" s="308" t="str">
        <f>'RS3'!BC367</f>
        <v/>
      </c>
      <c r="BA367" s="308" t="str">
        <f>'RS3'!BD367</f>
        <v/>
      </c>
      <c r="BB367" s="308" t="str">
        <f>'RS3'!BE367</f>
        <v/>
      </c>
      <c r="BC367" s="308" t="str">
        <f>'RS3'!BF367</f>
        <v/>
      </c>
      <c r="BD367" s="308" t="str">
        <f>'RS3'!BG367</f>
        <v/>
      </c>
      <c r="BE367" s="308" t="str">
        <f>'RS3'!BH367</f>
        <v/>
      </c>
      <c r="BF367" s="308" t="str">
        <f>'RS3'!BI367</f>
        <v/>
      </c>
      <c r="BG367" s="308" t="str">
        <f>'RS3'!BJ367</f>
        <v/>
      </c>
    </row>
    <row r="368" ht="12.75" customHeight="1" outlineLevel="1">
      <c r="A368" s="90"/>
      <c r="B368" s="90"/>
      <c r="C368" s="90"/>
      <c r="D368" s="237" t="s">
        <v>828</v>
      </c>
      <c r="E368" s="237"/>
      <c r="F368" s="237"/>
      <c r="G368" s="356">
        <f>G237*G$47</f>
        <v>0</v>
      </c>
      <c r="H368" s="356">
        <v>0.0</v>
      </c>
      <c r="I368" s="356">
        <v>228952.494250303</v>
      </c>
      <c r="J368" s="356">
        <v>461794.809789113</v>
      </c>
      <c r="K368" s="356">
        <v>468043.149749626</v>
      </c>
      <c r="L368" s="356">
        <v>468043.149749626</v>
      </c>
      <c r="M368" s="356">
        <v>468043.149749625</v>
      </c>
      <c r="N368" s="356">
        <v>468043.149749627</v>
      </c>
      <c r="O368" s="356">
        <v>468043.149749625</v>
      </c>
      <c r="P368" s="356">
        <v>468043.149749627</v>
      </c>
      <c r="Q368" s="356">
        <v>468043.149749627</v>
      </c>
      <c r="R368" s="356">
        <v>468043.149749627</v>
      </c>
      <c r="AT368" s="308" t="str">
        <f>'RS3'!AW368</f>
        <v/>
      </c>
      <c r="AU368" s="308" t="str">
        <f>'RS3'!AX368</f>
        <v/>
      </c>
      <c r="AV368" s="308" t="str">
        <f>'RS3'!AY368</f>
        <v/>
      </c>
      <c r="AW368" s="308" t="str">
        <f>'RS3'!AZ368</f>
        <v/>
      </c>
      <c r="AX368" s="308" t="str">
        <f>'RS3'!BA368</f>
        <v/>
      </c>
      <c r="AY368" s="308" t="str">
        <f>'RS3'!BB368</f>
        <v/>
      </c>
      <c r="AZ368" s="308" t="str">
        <f>'RS3'!BC368</f>
        <v/>
      </c>
      <c r="BA368" s="308" t="str">
        <f>'RS3'!BD368</f>
        <v/>
      </c>
      <c r="BB368" s="308" t="str">
        <f>'RS3'!BE368</f>
        <v/>
      </c>
      <c r="BC368" s="308" t="str">
        <f>'RS3'!BF368</f>
        <v/>
      </c>
      <c r="BD368" s="308" t="str">
        <f>'RS3'!BG368</f>
        <v/>
      </c>
      <c r="BE368" s="308" t="str">
        <f>'RS3'!BH368</f>
        <v/>
      </c>
      <c r="BF368" s="308" t="str">
        <f>'RS3'!BI368</f>
        <v/>
      </c>
      <c r="BG368" s="308" t="str">
        <f>'RS3'!BJ368</f>
        <v/>
      </c>
    </row>
    <row r="369" ht="12.75" customHeight="1" outlineLevel="1">
      <c r="A369" s="90"/>
      <c r="B369" s="90"/>
      <c r="C369" s="90"/>
      <c r="D369" s="90" t="s">
        <v>829</v>
      </c>
      <c r="E369" s="90"/>
      <c r="F369" s="90"/>
      <c r="G369" s="99"/>
      <c r="H369" s="99"/>
      <c r="I369" s="99"/>
      <c r="J369" s="99"/>
      <c r="K369" s="99"/>
      <c r="L369" s="99"/>
      <c r="M369" s="99"/>
      <c r="N369" s="99"/>
      <c r="O369" s="99"/>
      <c r="P369" s="99"/>
      <c r="Q369" s="99"/>
      <c r="R369" s="99"/>
      <c r="AT369" s="308"/>
      <c r="AU369" s="308"/>
      <c r="AV369" s="308"/>
      <c r="AW369" s="308"/>
      <c r="AX369" s="308"/>
      <c r="AY369" s="308"/>
      <c r="AZ369" s="308"/>
      <c r="BA369" s="308"/>
      <c r="BB369" s="308"/>
      <c r="BC369" s="308"/>
      <c r="BD369" s="308"/>
      <c r="BE369" s="308"/>
      <c r="BF369" s="308"/>
      <c r="BG369" s="308"/>
    </row>
    <row r="370" ht="12.75" customHeight="1" outlineLevel="1">
      <c r="A370" s="90"/>
      <c r="B370" s="90"/>
      <c r="C370" s="90"/>
      <c r="D370" s="64" t="s">
        <v>830</v>
      </c>
      <c r="E370" s="90"/>
      <c r="F370" s="90"/>
      <c r="G370" s="99">
        <v>0.0</v>
      </c>
      <c r="H370" s="99">
        <v>0.0</v>
      </c>
      <c r="I370" s="99">
        <v>0.0</v>
      </c>
      <c r="J370" s="99">
        <v>0.0</v>
      </c>
      <c r="K370" s="99">
        <v>0.0</v>
      </c>
      <c r="L370" s="99">
        <v>0.0</v>
      </c>
      <c r="M370" s="99">
        <v>0.0</v>
      </c>
      <c r="N370" s="99">
        <v>0.0</v>
      </c>
      <c r="O370" s="99">
        <v>0.0</v>
      </c>
      <c r="P370" s="99">
        <v>0.0</v>
      </c>
      <c r="Q370" s="99">
        <v>0.0</v>
      </c>
      <c r="R370" s="99">
        <v>0.0</v>
      </c>
      <c r="AT370" s="308">
        <v>0.0</v>
      </c>
      <c r="AU370" s="308">
        <v>0.0</v>
      </c>
      <c r="AV370" s="308">
        <v>0.0</v>
      </c>
      <c r="AW370" s="308">
        <v>0.0</v>
      </c>
      <c r="AX370" s="308">
        <v>0.0</v>
      </c>
      <c r="AY370" s="308">
        <v>0.0</v>
      </c>
      <c r="AZ370" s="308">
        <v>0.0</v>
      </c>
      <c r="BA370" s="308">
        <v>0.0</v>
      </c>
      <c r="BB370" s="308">
        <v>0.0</v>
      </c>
      <c r="BC370" s="308">
        <v>0.0</v>
      </c>
      <c r="BD370" s="308">
        <v>0.0</v>
      </c>
      <c r="BE370" s="308">
        <v>0.0</v>
      </c>
      <c r="BF370" s="308">
        <v>0.0</v>
      </c>
      <c r="BG370" s="308">
        <v>0.0</v>
      </c>
    </row>
    <row r="371" ht="12.75" customHeight="1" outlineLevel="1">
      <c r="A371" s="90"/>
      <c r="B371" s="90"/>
      <c r="C371" s="90"/>
      <c r="D371" s="90" t="s">
        <v>831</v>
      </c>
      <c r="E371" s="90"/>
      <c r="F371" s="90"/>
      <c r="G371" s="99">
        <v>0.0</v>
      </c>
      <c r="H371" s="99">
        <v>0.0</v>
      </c>
      <c r="I371" s="99">
        <v>0.0</v>
      </c>
      <c r="J371" s="99">
        <v>0.0</v>
      </c>
      <c r="K371" s="99">
        <v>0.0</v>
      </c>
      <c r="L371" s="99">
        <v>0.0</v>
      </c>
      <c r="M371" s="99">
        <v>0.0</v>
      </c>
      <c r="N371" s="99">
        <v>0.0</v>
      </c>
      <c r="O371" s="99">
        <v>0.0</v>
      </c>
      <c r="P371" s="99">
        <v>0.0</v>
      </c>
      <c r="Q371" s="99">
        <v>0.0</v>
      </c>
      <c r="R371" s="99">
        <v>0.0</v>
      </c>
      <c r="AT371" s="308">
        <v>0.0</v>
      </c>
      <c r="AU371" s="308">
        <v>0.0</v>
      </c>
      <c r="AV371" s="308">
        <v>0.0</v>
      </c>
      <c r="AW371" s="308">
        <v>0.0</v>
      </c>
      <c r="AX371" s="308">
        <v>0.0</v>
      </c>
      <c r="AY371" s="308">
        <v>0.0</v>
      </c>
      <c r="AZ371" s="308">
        <v>0.0</v>
      </c>
      <c r="BA371" s="308">
        <v>0.0</v>
      </c>
      <c r="BB371" s="308">
        <v>0.0</v>
      </c>
      <c r="BC371" s="308">
        <v>0.0</v>
      </c>
      <c r="BD371" s="308">
        <v>0.0</v>
      </c>
      <c r="BE371" s="308">
        <v>0.0</v>
      </c>
      <c r="BF371" s="308">
        <v>0.0</v>
      </c>
      <c r="BG371" s="308">
        <v>0.0</v>
      </c>
    </row>
    <row r="372" ht="12.75" customHeight="1" outlineLevel="1">
      <c r="A372" s="90"/>
      <c r="B372" s="90"/>
      <c r="C372" s="90"/>
      <c r="D372" s="90" t="s">
        <v>832</v>
      </c>
      <c r="E372" s="90"/>
      <c r="F372" s="90"/>
      <c r="G372" s="99">
        <v>0.0</v>
      </c>
      <c r="H372" s="99">
        <v>0.0</v>
      </c>
      <c r="I372" s="99">
        <v>0.0</v>
      </c>
      <c r="J372" s="99">
        <v>0.0</v>
      </c>
      <c r="K372" s="99">
        <v>0.0</v>
      </c>
      <c r="L372" s="99">
        <v>0.0</v>
      </c>
      <c r="M372" s="99">
        <v>0.0</v>
      </c>
      <c r="N372" s="99">
        <v>0.0</v>
      </c>
      <c r="O372" s="99">
        <v>0.0</v>
      </c>
      <c r="P372" s="99">
        <v>0.0</v>
      </c>
      <c r="Q372" s="99">
        <v>0.0</v>
      </c>
      <c r="R372" s="99">
        <v>0.0</v>
      </c>
      <c r="AT372" s="308">
        <v>0.0</v>
      </c>
      <c r="AU372" s="308">
        <v>0.0</v>
      </c>
      <c r="AV372" s="308">
        <v>0.0</v>
      </c>
      <c r="AW372" s="308">
        <v>0.0</v>
      </c>
      <c r="AX372" s="308">
        <v>0.0</v>
      </c>
      <c r="AY372" s="308">
        <v>0.0</v>
      </c>
      <c r="AZ372" s="308">
        <v>0.0</v>
      </c>
      <c r="BA372" s="308">
        <v>0.0</v>
      </c>
      <c r="BB372" s="308">
        <v>0.0</v>
      </c>
      <c r="BC372" s="308">
        <v>0.0</v>
      </c>
      <c r="BD372" s="308">
        <v>0.0</v>
      </c>
      <c r="BE372" s="308">
        <v>0.0</v>
      </c>
      <c r="BF372" s="308">
        <v>0.0</v>
      </c>
      <c r="BG372" s="308">
        <v>0.0</v>
      </c>
    </row>
    <row r="373" ht="12.75" customHeight="1" outlineLevel="1">
      <c r="A373" s="90"/>
      <c r="B373" s="90"/>
      <c r="C373" s="90"/>
      <c r="D373" s="90" t="s">
        <v>833</v>
      </c>
      <c r="E373" s="90"/>
      <c r="F373" s="90"/>
      <c r="G373" s="99">
        <v>0.0</v>
      </c>
      <c r="H373" s="99">
        <v>0.0</v>
      </c>
      <c r="I373" s="99">
        <v>0.0</v>
      </c>
      <c r="J373" s="99">
        <v>0.0</v>
      </c>
      <c r="K373" s="99">
        <v>0.0</v>
      </c>
      <c r="L373" s="99">
        <v>0.0</v>
      </c>
      <c r="M373" s="99">
        <v>0.0</v>
      </c>
      <c r="N373" s="99">
        <v>0.0</v>
      </c>
      <c r="O373" s="99">
        <v>0.0</v>
      </c>
      <c r="P373" s="99">
        <v>0.0</v>
      </c>
      <c r="Q373" s="99">
        <v>0.0</v>
      </c>
      <c r="R373" s="99">
        <v>0.0</v>
      </c>
      <c r="AT373" s="308">
        <v>0.0</v>
      </c>
      <c r="AU373" s="308">
        <v>0.0</v>
      </c>
      <c r="AV373" s="308">
        <v>0.0</v>
      </c>
      <c r="AW373" s="308">
        <v>0.0</v>
      </c>
      <c r="AX373" s="308">
        <v>0.0</v>
      </c>
      <c r="AY373" s="308">
        <v>0.0</v>
      </c>
      <c r="AZ373" s="308">
        <v>0.0</v>
      </c>
      <c r="BA373" s="308">
        <v>0.0</v>
      </c>
      <c r="BB373" s="308">
        <v>0.0</v>
      </c>
      <c r="BC373" s="308">
        <v>0.0</v>
      </c>
      <c r="BD373" s="308">
        <v>0.0</v>
      </c>
      <c r="BE373" s="308">
        <v>0.0</v>
      </c>
      <c r="BF373" s="308">
        <v>0.0</v>
      </c>
      <c r="BG373" s="308">
        <v>0.0</v>
      </c>
    </row>
    <row r="374" ht="12.75" customHeight="1" outlineLevel="1">
      <c r="A374" s="90"/>
      <c r="B374" s="90"/>
      <c r="C374" s="90"/>
      <c r="D374" s="90" t="s">
        <v>834</v>
      </c>
      <c r="E374" s="90"/>
      <c r="F374" s="90"/>
      <c r="G374" s="99">
        <v>0.0</v>
      </c>
      <c r="H374" s="99">
        <v>0.0</v>
      </c>
      <c r="I374" s="99">
        <v>0.0</v>
      </c>
      <c r="J374" s="99">
        <v>0.0</v>
      </c>
      <c r="K374" s="99">
        <v>0.0</v>
      </c>
      <c r="L374" s="99">
        <v>0.0</v>
      </c>
      <c r="M374" s="99">
        <v>0.0</v>
      </c>
      <c r="N374" s="99">
        <v>0.0</v>
      </c>
      <c r="O374" s="99">
        <v>0.0</v>
      </c>
      <c r="P374" s="99">
        <v>0.0</v>
      </c>
      <c r="Q374" s="99">
        <v>0.0</v>
      </c>
      <c r="R374" s="99">
        <v>0.0</v>
      </c>
      <c r="AT374" s="308">
        <v>0.0</v>
      </c>
      <c r="AU374" s="308">
        <v>0.0</v>
      </c>
      <c r="AV374" s="308">
        <v>0.0</v>
      </c>
      <c r="AW374" s="308">
        <v>0.0</v>
      </c>
      <c r="AX374" s="308">
        <v>0.0</v>
      </c>
      <c r="AY374" s="308">
        <v>0.0</v>
      </c>
      <c r="AZ374" s="308">
        <v>0.0</v>
      </c>
      <c r="BA374" s="308">
        <v>0.0</v>
      </c>
      <c r="BB374" s="308">
        <v>0.0</v>
      </c>
      <c r="BC374" s="308">
        <v>0.0</v>
      </c>
      <c r="BD374" s="308">
        <v>0.0</v>
      </c>
      <c r="BE374" s="308">
        <v>0.0</v>
      </c>
      <c r="BF374" s="308">
        <v>0.0</v>
      </c>
      <c r="BG374" s="308">
        <v>0.0</v>
      </c>
    </row>
    <row r="375" ht="12.75" customHeight="1" outlineLevel="1">
      <c r="A375" s="90"/>
      <c r="B375" s="90"/>
      <c r="C375" s="90"/>
      <c r="D375" s="90" t="s">
        <v>835</v>
      </c>
      <c r="E375" s="90"/>
      <c r="F375" s="90"/>
      <c r="G375" s="99">
        <v>0.0</v>
      </c>
      <c r="H375" s="99">
        <v>0.0</v>
      </c>
      <c r="I375" s="99">
        <v>0.0</v>
      </c>
      <c r="J375" s="99">
        <v>0.0</v>
      </c>
      <c r="K375" s="99">
        <v>0.0</v>
      </c>
      <c r="L375" s="99">
        <v>0.0</v>
      </c>
      <c r="M375" s="99">
        <v>0.0</v>
      </c>
      <c r="N375" s="99">
        <v>0.0</v>
      </c>
      <c r="O375" s="99">
        <v>0.0</v>
      </c>
      <c r="P375" s="99">
        <v>0.0</v>
      </c>
      <c r="Q375" s="99">
        <v>0.0</v>
      </c>
      <c r="R375" s="99">
        <v>0.0</v>
      </c>
      <c r="AT375" s="308">
        <v>0.0</v>
      </c>
      <c r="AU375" s="308">
        <v>0.0</v>
      </c>
      <c r="AV375" s="308">
        <v>0.0</v>
      </c>
      <c r="AW375" s="308">
        <v>0.0</v>
      </c>
      <c r="AX375" s="308">
        <v>0.0</v>
      </c>
      <c r="AY375" s="308">
        <v>0.0</v>
      </c>
      <c r="AZ375" s="308">
        <v>0.0</v>
      </c>
      <c r="BA375" s="308">
        <v>0.0</v>
      </c>
      <c r="BB375" s="308">
        <v>0.0</v>
      </c>
      <c r="BC375" s="308">
        <v>0.0</v>
      </c>
      <c r="BD375" s="308">
        <v>0.0</v>
      </c>
      <c r="BE375" s="308">
        <v>0.0</v>
      </c>
      <c r="BF375" s="308">
        <v>0.0</v>
      </c>
      <c r="BG375" s="308">
        <v>0.0</v>
      </c>
    </row>
    <row r="376" ht="12.75" customHeight="1" outlineLevel="1">
      <c r="A376" s="90"/>
      <c r="B376" s="90"/>
      <c r="C376" s="90"/>
      <c r="D376" s="90" t="s">
        <v>774</v>
      </c>
      <c r="E376" s="90"/>
      <c r="F376" s="90"/>
      <c r="G376" s="99">
        <v>0.0</v>
      </c>
      <c r="H376" s="99">
        <v>0.0</v>
      </c>
      <c r="I376" s="99">
        <v>0.0</v>
      </c>
      <c r="J376" s="99">
        <v>0.0</v>
      </c>
      <c r="K376" s="99">
        <v>0.0</v>
      </c>
      <c r="L376" s="99">
        <v>0.0</v>
      </c>
      <c r="M376" s="99">
        <v>0.0</v>
      </c>
      <c r="N376" s="99">
        <v>0.0</v>
      </c>
      <c r="O376" s="99">
        <v>0.0</v>
      </c>
      <c r="P376" s="99">
        <v>0.0</v>
      </c>
      <c r="Q376" s="99">
        <v>0.0</v>
      </c>
      <c r="R376" s="99">
        <v>0.0</v>
      </c>
      <c r="AT376" s="308">
        <v>0.0</v>
      </c>
      <c r="AU376" s="308">
        <v>0.0</v>
      </c>
      <c r="AV376" s="308">
        <v>0.0</v>
      </c>
      <c r="AW376" s="308">
        <v>0.0</v>
      </c>
      <c r="AX376" s="308">
        <v>0.0</v>
      </c>
      <c r="AY376" s="308">
        <v>0.0</v>
      </c>
      <c r="AZ376" s="308">
        <v>0.0</v>
      </c>
      <c r="BA376" s="308">
        <v>0.0</v>
      </c>
      <c r="BB376" s="308">
        <v>0.0</v>
      </c>
      <c r="BC376" s="308">
        <v>0.0</v>
      </c>
      <c r="BD376" s="308">
        <v>0.0</v>
      </c>
      <c r="BE376" s="308">
        <v>0.0</v>
      </c>
      <c r="BF376" s="308">
        <v>0.0</v>
      </c>
      <c r="BG376" s="308">
        <v>0.0</v>
      </c>
    </row>
    <row r="377" ht="12.75" customHeight="1" outlineLevel="1">
      <c r="A377" s="90"/>
      <c r="B377" s="90"/>
      <c r="C377" s="90" t="s">
        <v>836</v>
      </c>
      <c r="D377" s="90"/>
      <c r="E377" s="90"/>
      <c r="F377" s="90"/>
      <c r="G377" s="152"/>
      <c r="H377" s="152"/>
      <c r="I377" s="152"/>
      <c r="J377" s="152"/>
      <c r="K377" s="152"/>
      <c r="L377" s="152"/>
      <c r="M377" s="152"/>
      <c r="N377" s="152"/>
      <c r="O377" s="152"/>
      <c r="P377" s="152"/>
      <c r="Q377" s="152"/>
      <c r="R377" s="152"/>
      <c r="AT377" s="352"/>
      <c r="AU377" s="352"/>
      <c r="AV377" s="352"/>
      <c r="AW377" s="352"/>
      <c r="AX377" s="352"/>
      <c r="AY377" s="352"/>
      <c r="AZ377" s="352"/>
      <c r="BA377" s="352"/>
      <c r="BB377" s="352"/>
      <c r="BC377" s="352"/>
      <c r="BD377" s="352"/>
      <c r="BE377" s="352"/>
      <c r="BF377" s="352"/>
      <c r="BG377" s="352"/>
    </row>
    <row r="378" ht="12.75" customHeight="1" outlineLevel="1">
      <c r="A378" s="90"/>
      <c r="B378" s="90"/>
      <c r="C378" s="90"/>
      <c r="D378" s="90" t="s">
        <v>182</v>
      </c>
      <c r="E378" s="90"/>
      <c r="F378" s="90"/>
      <c r="G378" s="99">
        <f>((RSGen_Walton!G273+RSGen_Walton!G282+SUM(RSGen_Walton!G285:G287)-G277))*G243</f>
        <v>0</v>
      </c>
      <c r="H378" s="99">
        <f>((RSGen_Walton!H273+RSGen_Walton!H282+SUM(RSGen_Walton!H285:H287)-H277))*H243</f>
        <v>24000</v>
      </c>
      <c r="I378" s="99">
        <f>((RSGen_Walton!I273+RSGen_Walton!I282+SUM(RSGen_Walton!I285:I287)-I277))*I243</f>
        <v>333054.9042</v>
      </c>
      <c r="J378" s="99">
        <f>((RSGen_Walton!J273+RSGen_Walton!J282+SUM(RSGen_Walton!J285:J287)-J277))*J243</f>
        <v>342178.5611</v>
      </c>
      <c r="K378" s="99">
        <f>((RSGen_Walton!K273+RSGen_Walton!K282+SUM(RSGen_Walton!K285:K287)-K277))*K243</f>
        <v>354213.5364</v>
      </c>
      <c r="L378" s="99">
        <f>((RSGen_Walton!L273+RSGen_Walton!L282+SUM(RSGen_Walton!L285:L287)-L277))*L243</f>
        <v>387483.247</v>
      </c>
      <c r="M378" s="99">
        <f>((RSGen_Walton!M273+RSGen_Walton!M282+SUM(RSGen_Walton!M285:M287)-M277))*M243</f>
        <v>386567.407</v>
      </c>
      <c r="N378" s="99">
        <f>((RSGen_Walton!N273+RSGen_Walton!N282+SUM(RSGen_Walton!N285:N287)-N277))*N243</f>
        <v>385727.887</v>
      </c>
      <c r="O378" s="99">
        <f>((RSGen_Walton!O273+RSGen_Walton!O282+SUM(RSGen_Walton!O285:O287)-O277))*O243</f>
        <v>384926.527</v>
      </c>
      <c r="P378" s="99">
        <f>((RSGen_Walton!P273+RSGen_Walton!P282+SUM(RSGen_Walton!P285:P287)-P277))*P243</f>
        <v>384125.167</v>
      </c>
      <c r="Q378" s="99">
        <f>((RSGen_Walton!Q273+RSGen_Walton!Q282+SUM(RSGen_Walton!Q285:Q287)-Q277))*Q243</f>
        <v>383705.407</v>
      </c>
      <c r="R378" s="99">
        <f>((RSGen_Walton!R273+RSGen_Walton!R282+SUM(RSGen_Walton!R285:R287)-R277))*R243</f>
        <v>383705.407</v>
      </c>
      <c r="AT378" s="99" t="str">
        <f>(((RSGen_Walton!AT273+RSGen_Walton!AT282+SUM(RSGen_Walton!AT285:AT287)-AT277-#REF!))*AT243)</f>
        <v>#REF!</v>
      </c>
      <c r="AU378" s="99" t="str">
        <f>(((RSGen_Walton!AU273+RSGen_Walton!AU282+SUM(RSGen_Walton!AU285:AU287)-AU277-#REF!))*AU243)</f>
        <v>#REF!</v>
      </c>
      <c r="AV378" s="99" t="str">
        <f>(((RSGen_Walton!AV273+RSGen_Walton!AV282+SUM(RSGen_Walton!AV285:AV287)-AV277-#REF!))*AV243)</f>
        <v>#REF!</v>
      </c>
      <c r="AW378" s="99" t="str">
        <f>(((RSGen_Walton!AW273+RSGen_Walton!AW282+SUM(RSGen_Walton!AW285:AW287)-AW277-#REF!))*AW243)</f>
        <v>#REF!</v>
      </c>
      <c r="AX378" s="99" t="str">
        <f>(((RSGen_Walton!AX273+RSGen_Walton!AX282+SUM(RSGen_Walton!AX285:AX287)-AX277-#REF!))*AX243)</f>
        <v>#REF!</v>
      </c>
      <c r="AY378" s="99" t="str">
        <f>(((RSGen_Walton!AY273+RSGen_Walton!AY282+SUM(RSGen_Walton!AY285:AY287)-AY277-#REF!))*AY243)</f>
        <v>#REF!</v>
      </c>
      <c r="AZ378" s="99" t="str">
        <f>(((RSGen_Walton!AZ273+RSGen_Walton!AZ282+SUM(RSGen_Walton!AZ285:AZ287)-AZ277-#REF!))*AZ243)</f>
        <v>#REF!</v>
      </c>
      <c r="BA378" s="99" t="str">
        <f>(((RSGen_Walton!BA273+RSGen_Walton!BA282+SUM(RSGen_Walton!BA285:BA287)-BA277-#REF!))*BA243)</f>
        <v>#REF!</v>
      </c>
      <c r="BB378" s="99" t="str">
        <f>(((RSGen_Walton!BB273+RSGen_Walton!BB282+SUM(RSGen_Walton!BB285:BB287)-BB277-#REF!))*BB243)</f>
        <v>#REF!</v>
      </c>
      <c r="BC378" s="99" t="str">
        <f>(((RSGen_Walton!BC273+RSGen_Walton!BC282+SUM(RSGen_Walton!BC285:BC287)-BC277-#REF!))*BC243)</f>
        <v>#REF!</v>
      </c>
      <c r="BD378" s="99" t="str">
        <f>(((RSGen_Walton!BD273+RSGen_Walton!BD282+SUM(RSGen_Walton!BD285:BD287)-BD277-#REF!))*BD243)</f>
        <v>#REF!</v>
      </c>
      <c r="BE378" s="99" t="str">
        <f>(((RSGen_Walton!BE273+RSGen_Walton!BE282+SUM(RSGen_Walton!BE285:BE287)-BE277-#REF!))*BE243)</f>
        <v>#REF!</v>
      </c>
      <c r="BF378" s="99" t="str">
        <f>(((RSGen_Walton!BF273+RSGen_Walton!BF282+SUM(RSGen_Walton!BF285:BF287)-BF277-#REF!))*BF243)</f>
        <v>#REF!</v>
      </c>
      <c r="BG378" s="99" t="str">
        <f>(((RSGen_Walton!BG273+RSGen_Walton!BG282+SUM(RSGen_Walton!BG285:BG287)-BG277-#REF!))*BG243)</f>
        <v>#REF!</v>
      </c>
    </row>
    <row r="379" ht="12.75" customHeight="1" outlineLevel="1">
      <c r="A379" s="90"/>
      <c r="B379" s="90"/>
      <c r="C379" s="90"/>
      <c r="D379" s="90" t="s">
        <v>837</v>
      </c>
      <c r="E379" s="90"/>
      <c r="F379" s="90"/>
      <c r="G379" s="99">
        <v>0.0</v>
      </c>
      <c r="H379" s="384">
        <f>Assumptions!D29</f>
        <v>0</v>
      </c>
      <c r="I379" s="99">
        <f>((RSGen_Walton!I273+RSGen_Walton!I282+SUM(RSGen_Walton!I285:I287)-I277))*I244</f>
        <v>605554.3712</v>
      </c>
      <c r="J379" s="99">
        <f>((RSGen_Walton!J273+RSGen_Walton!J282+SUM(RSGen_Walton!J285:J287)-J277))*J244</f>
        <v>622142.8384</v>
      </c>
      <c r="K379" s="99">
        <f>((RSGen_Walton!K273+RSGen_Walton!K282+SUM(RSGen_Walton!K285:K287)-K277))*K244</f>
        <v>644024.6117</v>
      </c>
      <c r="L379" s="99">
        <f>((RSGen_Walton!L273+RSGen_Walton!L282+SUM(RSGen_Walton!L285:L287)-L277))*L244</f>
        <v>645805.4117</v>
      </c>
      <c r="M379" s="99">
        <f>((RSGen_Walton!M273+RSGen_Walton!M282+SUM(RSGen_Walton!M285:M287)-M277))*M244</f>
        <v>644279.0117</v>
      </c>
      <c r="N379" s="99">
        <f>((RSGen_Walton!N273+RSGen_Walton!N282+SUM(RSGen_Walton!N285:N287)-N277))*N244</f>
        <v>642879.8117</v>
      </c>
      <c r="O379" s="99">
        <f>((RSGen_Walton!O273+RSGen_Walton!O282+SUM(RSGen_Walton!O285:O287)-O277))*O244</f>
        <v>641544.2117</v>
      </c>
      <c r="P379" s="99">
        <f>((RSGen_Walton!P273+RSGen_Walton!P282+SUM(RSGen_Walton!P285:P287)-P277))*P244</f>
        <v>640208.6117</v>
      </c>
      <c r="Q379" s="99">
        <f>((RSGen_Walton!Q273+RSGen_Walton!Q282+SUM(RSGen_Walton!Q285:Q287)-Q277))*Q244</f>
        <v>639509.0117</v>
      </c>
      <c r="R379" s="99">
        <f>((RSGen_Walton!R273+RSGen_Walton!R282+SUM(RSGen_Walton!R285:R287)-R277))*R244</f>
        <v>639509.0117</v>
      </c>
      <c r="AT379" s="99" t="str">
        <f>((RSGen_Walton!AT273+RSGen_Walton!AT282+SUM(RSGen_Walton!AT285:AT287)-AT277-#REF!))*AT244</f>
        <v>#REF!</v>
      </c>
      <c r="AU379" s="99" t="str">
        <f>((RSGen_Walton!AU273+RSGen_Walton!AU282+SUM(RSGen_Walton!AU285:AU287)-AU277-#REF!))*AU244</f>
        <v>#REF!</v>
      </c>
      <c r="AV379" s="99" t="str">
        <f>((RSGen_Walton!AV273+RSGen_Walton!AV282+SUM(RSGen_Walton!AV285:AV287)-AV277-#REF!))*AV244</f>
        <v>#REF!</v>
      </c>
      <c r="AW379" s="99" t="str">
        <f>((RSGen_Walton!AW273+RSGen_Walton!AW282+SUM(RSGen_Walton!AW285:AW287)-AW277-#REF!))*AW244</f>
        <v>#REF!</v>
      </c>
      <c r="AX379" s="99" t="str">
        <f>((RSGen_Walton!AX273+RSGen_Walton!AX282+SUM(RSGen_Walton!AX285:AX287)-AX277-#REF!))*AX244</f>
        <v>#REF!</v>
      </c>
      <c r="AY379" s="99" t="str">
        <f>((RSGen_Walton!AY273+RSGen_Walton!AY282+SUM(RSGen_Walton!AY285:AY287)-AY277-#REF!))*AY244</f>
        <v>#REF!</v>
      </c>
      <c r="AZ379" s="99" t="str">
        <f>((RSGen_Walton!AZ273+RSGen_Walton!AZ282+SUM(RSGen_Walton!AZ285:AZ287)-AZ277-#REF!))*AZ244</f>
        <v>#REF!</v>
      </c>
      <c r="BA379" s="99" t="str">
        <f>((RSGen_Walton!BA273+RSGen_Walton!BA282+SUM(RSGen_Walton!BA285:BA287)-BA277-#REF!))*BA244</f>
        <v>#REF!</v>
      </c>
      <c r="BB379" s="99" t="str">
        <f>((RSGen_Walton!BB273+RSGen_Walton!BB282+SUM(RSGen_Walton!BB285:BB287)-BB277-#REF!))*BB244</f>
        <v>#REF!</v>
      </c>
      <c r="BC379" s="99" t="str">
        <f>((RSGen_Walton!BC273+RSGen_Walton!BC282+SUM(RSGen_Walton!BC285:BC287)-BC277-#REF!))*BC244</f>
        <v>#REF!</v>
      </c>
      <c r="BD379" s="99" t="str">
        <f>((RSGen_Walton!BD273+RSGen_Walton!BD282+SUM(RSGen_Walton!BD285:BD287)-BD277-#REF!))*BD244</f>
        <v>#REF!</v>
      </c>
      <c r="BE379" s="99" t="str">
        <f>((RSGen_Walton!BE273+RSGen_Walton!BE282+SUM(RSGen_Walton!BE285:BE287)-BE277-#REF!))*BE244</f>
        <v>#REF!</v>
      </c>
      <c r="BF379" s="99" t="str">
        <f>((RSGen_Walton!BF273+RSGen_Walton!BF282+SUM(RSGen_Walton!BF285:BF287)-BF277-#REF!))*BF244</f>
        <v>#REF!</v>
      </c>
      <c r="BG379" s="99" t="str">
        <f>((RSGen_Walton!BG273+RSGen_Walton!BG282+SUM(RSGen_Walton!BG285:BG287)-BG277-#REF!))*BG244</f>
        <v>#REF!</v>
      </c>
    </row>
    <row r="380" ht="12.75" customHeight="1" outlineLevel="1">
      <c r="A380" s="90"/>
      <c r="B380" s="152"/>
      <c r="C380" s="152"/>
      <c r="D380" s="90" t="s">
        <v>184</v>
      </c>
      <c r="E380" s="90"/>
      <c r="F380" s="90"/>
      <c r="G380" s="99">
        <f>((RSGen_Walton!G273+RSGen_Walton!G282+SUM(RSGen_Walton!G285:G287)-G277))*G245</f>
        <v>0</v>
      </c>
      <c r="H380" s="99">
        <f>((RSGen_Walton!H273+RSGen_Walton!H282+SUM(RSGen_Walton!H285:H287)-H277))*H245</f>
        <v>6000</v>
      </c>
      <c r="I380" s="99">
        <f>((RSGen_Walton!I273+RSGen_Walton!I282+SUM(RSGen_Walton!I285:I287)-I277))*I245</f>
        <v>121110.8742</v>
      </c>
      <c r="J380" s="99">
        <f>((RSGen_Walton!J273+RSGen_Walton!J282+SUM(RSGen_Walton!J285:J287)-J277))*J245</f>
        <v>124428.5677</v>
      </c>
      <c r="K380" s="99">
        <f>((RSGen_Walton!K273+RSGen_Walton!K282+SUM(RSGen_Walton!K285:K287)-K277))*K245</f>
        <v>128804.9223</v>
      </c>
      <c r="L380" s="99">
        <f>((RSGen_Walton!L273+RSGen_Walton!L282+SUM(RSGen_Walton!L285:L287)-L277))*L245</f>
        <v>96870.81175</v>
      </c>
      <c r="M380" s="99">
        <f>((RSGen_Walton!M273+RSGen_Walton!M282+SUM(RSGen_Walton!M285:M287)-M277))*M245</f>
        <v>96641.85175</v>
      </c>
      <c r="N380" s="99">
        <f>((RSGen_Walton!N273+RSGen_Walton!N282+SUM(RSGen_Walton!N285:N287)-N277))*N245</f>
        <v>96431.97175</v>
      </c>
      <c r="O380" s="99">
        <f>((RSGen_Walton!O273+RSGen_Walton!O282+SUM(RSGen_Walton!O285:O287)-O277))*O245</f>
        <v>96231.63175</v>
      </c>
      <c r="P380" s="99">
        <f>((RSGen_Walton!P273+RSGen_Walton!P282+SUM(RSGen_Walton!P285:P287)-P277))*P245</f>
        <v>96031.29175</v>
      </c>
      <c r="Q380" s="99">
        <f>((RSGen_Walton!Q273+RSGen_Walton!Q282+SUM(RSGen_Walton!Q285:Q287)-Q277))*Q245</f>
        <v>95926.35175</v>
      </c>
      <c r="R380" s="99">
        <f>((RSGen_Walton!R273+RSGen_Walton!R282+SUM(RSGen_Walton!R285:R287)-R277))*R245</f>
        <v>95926.35175</v>
      </c>
      <c r="AT380" s="99" t="str">
        <f>((RSGen_Walton!AT273+RSGen_Walton!AT282+SUM(RSGen_Walton!AT285:AT287)-AT277-#REF!))*AT245</f>
        <v>#REF!</v>
      </c>
      <c r="AU380" s="99" t="str">
        <f>((RSGen_Walton!AU273+RSGen_Walton!AU282+SUM(RSGen_Walton!AU285:AU287)-AU277-#REF!))*AU245</f>
        <v>#REF!</v>
      </c>
      <c r="AV380" s="99" t="str">
        <f>((RSGen_Walton!AV273+RSGen_Walton!AV282+SUM(RSGen_Walton!AV285:AV287)-AV277-#REF!))*AV245</f>
        <v>#REF!</v>
      </c>
      <c r="AW380" s="99" t="str">
        <f>((RSGen_Walton!AW273+RSGen_Walton!AW282+SUM(RSGen_Walton!AW285:AW287)-AW277-#REF!))*AW245</f>
        <v>#REF!</v>
      </c>
      <c r="AX380" s="99" t="str">
        <f>((RSGen_Walton!AX273+RSGen_Walton!AX282+SUM(RSGen_Walton!AX285:AX287)-AX277-#REF!))*AX245</f>
        <v>#REF!</v>
      </c>
      <c r="AY380" s="99" t="str">
        <f>((RSGen_Walton!AY273+RSGen_Walton!AY282+SUM(RSGen_Walton!AY285:AY287)-AY277-#REF!))*AY245</f>
        <v>#REF!</v>
      </c>
      <c r="AZ380" s="99" t="str">
        <f>((RSGen_Walton!AZ273+RSGen_Walton!AZ282+SUM(RSGen_Walton!AZ285:AZ287)-AZ277-#REF!))*AZ245</f>
        <v>#REF!</v>
      </c>
      <c r="BA380" s="99" t="str">
        <f>((RSGen_Walton!BA273+RSGen_Walton!BA282+SUM(RSGen_Walton!BA285:BA287)-BA277-#REF!))*BA245</f>
        <v>#REF!</v>
      </c>
      <c r="BB380" s="99" t="str">
        <f>((RSGen_Walton!BB273+RSGen_Walton!BB282+SUM(RSGen_Walton!BB285:BB287)-BB277-#REF!))*BB245</f>
        <v>#REF!</v>
      </c>
      <c r="BC380" s="99" t="str">
        <f>((RSGen_Walton!BC273+RSGen_Walton!BC282+SUM(RSGen_Walton!BC285:BC287)-BC277-#REF!))*BC245</f>
        <v>#REF!</v>
      </c>
      <c r="BD380" s="99" t="str">
        <f>((RSGen_Walton!BD273+RSGen_Walton!BD282+SUM(RSGen_Walton!BD285:BD287)-BD277-#REF!))*BD245</f>
        <v>#REF!</v>
      </c>
      <c r="BE380" s="99" t="str">
        <f>((RSGen_Walton!BE273+RSGen_Walton!BE282+SUM(RSGen_Walton!BE285:BE287)-BE277-#REF!))*BE245</f>
        <v>#REF!</v>
      </c>
      <c r="BF380" s="99" t="str">
        <f>((RSGen_Walton!BF273+RSGen_Walton!BF282+SUM(RSGen_Walton!BF285:BF287)-BF277-#REF!))*BF245</f>
        <v>#REF!</v>
      </c>
      <c r="BG380" s="99" t="str">
        <f>((RSGen_Walton!BG273+RSGen_Walton!BG282+SUM(RSGen_Walton!BG285:BG287)-BG277-#REF!))*BG245</f>
        <v>#REF!</v>
      </c>
    </row>
    <row r="381" ht="12.75" customHeight="1" outlineLevel="1">
      <c r="A381" s="90"/>
      <c r="B381" s="152"/>
      <c r="C381" s="152"/>
      <c r="D381" s="90"/>
      <c r="E381" s="90"/>
      <c r="F381" s="90"/>
      <c r="G381" s="99"/>
      <c r="H381" s="99"/>
      <c r="I381" s="99"/>
      <c r="J381" s="99"/>
      <c r="K381" s="99"/>
      <c r="L381" s="99"/>
      <c r="M381" s="99"/>
      <c r="N381" s="99"/>
      <c r="O381" s="99"/>
      <c r="P381" s="99"/>
      <c r="Q381" s="99"/>
      <c r="R381" s="99"/>
      <c r="AT381" s="308"/>
      <c r="AU381" s="308"/>
      <c r="AV381" s="308"/>
      <c r="AW381" s="308"/>
      <c r="AX381" s="308"/>
      <c r="AY381" s="308"/>
      <c r="AZ381" s="308"/>
      <c r="BA381" s="308"/>
      <c r="BB381" s="308"/>
      <c r="BC381" s="308"/>
      <c r="BD381" s="308"/>
      <c r="BE381" s="308"/>
      <c r="BF381" s="308"/>
      <c r="BG381" s="308"/>
    </row>
    <row r="382" ht="12.75" customHeight="1" outlineLevel="1">
      <c r="A382" s="385"/>
      <c r="B382" s="90"/>
      <c r="C382" s="148" t="s">
        <v>838</v>
      </c>
      <c r="D382" s="148"/>
      <c r="E382" s="148"/>
      <c r="F382" s="148"/>
      <c r="G382" s="150">
        <f t="shared" ref="G382:R382" si="377">SUM(G378:G381)</f>
        <v>0</v>
      </c>
      <c r="H382" s="150">
        <f t="shared" si="377"/>
        <v>30000</v>
      </c>
      <c r="I382" s="150">
        <f t="shared" si="377"/>
        <v>1059720.15</v>
      </c>
      <c r="J382" s="150">
        <f t="shared" si="377"/>
        <v>1088749.967</v>
      </c>
      <c r="K382" s="150">
        <f t="shared" si="377"/>
        <v>1127043.07</v>
      </c>
      <c r="L382" s="150">
        <f t="shared" si="377"/>
        <v>1130159.47</v>
      </c>
      <c r="M382" s="150">
        <f t="shared" si="377"/>
        <v>1127488.27</v>
      </c>
      <c r="N382" s="150">
        <f t="shared" si="377"/>
        <v>1125039.67</v>
      </c>
      <c r="O382" s="150">
        <f t="shared" si="377"/>
        <v>1122702.37</v>
      </c>
      <c r="P382" s="150">
        <f t="shared" si="377"/>
        <v>1120365.07</v>
      </c>
      <c r="Q382" s="150">
        <f t="shared" si="377"/>
        <v>1119140.77</v>
      </c>
      <c r="R382" s="150">
        <f t="shared" si="377"/>
        <v>1119140.77</v>
      </c>
      <c r="AT382" s="386" t="str">
        <f t="shared" ref="AT382:BG382" si="378">SUM(AT378:AT381)</f>
        <v>#REF!</v>
      </c>
      <c r="AU382" s="386" t="str">
        <f t="shared" si="378"/>
        <v>#REF!</v>
      </c>
      <c r="AV382" s="386" t="str">
        <f t="shared" si="378"/>
        <v>#REF!</v>
      </c>
      <c r="AW382" s="386" t="str">
        <f t="shared" si="378"/>
        <v>#REF!</v>
      </c>
      <c r="AX382" s="386" t="str">
        <f t="shared" si="378"/>
        <v>#REF!</v>
      </c>
      <c r="AY382" s="386" t="str">
        <f t="shared" si="378"/>
        <v>#REF!</v>
      </c>
      <c r="AZ382" s="386" t="str">
        <f t="shared" si="378"/>
        <v>#REF!</v>
      </c>
      <c r="BA382" s="386" t="str">
        <f t="shared" si="378"/>
        <v>#REF!</v>
      </c>
      <c r="BB382" s="386" t="str">
        <f t="shared" si="378"/>
        <v>#REF!</v>
      </c>
      <c r="BC382" s="386" t="str">
        <f t="shared" si="378"/>
        <v>#REF!</v>
      </c>
      <c r="BD382" s="386" t="str">
        <f t="shared" si="378"/>
        <v>#REF!</v>
      </c>
      <c r="BE382" s="386" t="str">
        <f t="shared" si="378"/>
        <v>#REF!</v>
      </c>
      <c r="BF382" s="386" t="str">
        <f t="shared" si="378"/>
        <v>#REF!</v>
      </c>
      <c r="BG382" s="386" t="str">
        <f t="shared" si="378"/>
        <v>#REF!</v>
      </c>
    </row>
    <row r="383" ht="12.75" customHeight="1" outlineLevel="1">
      <c r="A383" s="90"/>
      <c r="B383" s="67" t="s">
        <v>839</v>
      </c>
      <c r="C383" s="90"/>
      <c r="D383" s="90"/>
      <c r="E383" s="90"/>
      <c r="F383" s="90"/>
      <c r="G383" s="79">
        <f t="shared" ref="G383:R383" si="379">SUM(G342:G376)+G382</f>
        <v>0</v>
      </c>
      <c r="H383" s="79">
        <f t="shared" si="379"/>
        <v>37780</v>
      </c>
      <c r="I383" s="79">
        <f t="shared" si="379"/>
        <v>1493894.044</v>
      </c>
      <c r="J383" s="79">
        <f t="shared" si="379"/>
        <v>1785383.577</v>
      </c>
      <c r="K383" s="79">
        <f t="shared" si="379"/>
        <v>1838773.72</v>
      </c>
      <c r="L383" s="79">
        <f t="shared" si="379"/>
        <v>1841890.12</v>
      </c>
      <c r="M383" s="79">
        <f t="shared" si="379"/>
        <v>1839218.92</v>
      </c>
      <c r="N383" s="79">
        <f t="shared" si="379"/>
        <v>1836770.32</v>
      </c>
      <c r="O383" s="79">
        <f t="shared" si="379"/>
        <v>1834433.02</v>
      </c>
      <c r="P383" s="79">
        <f t="shared" si="379"/>
        <v>1832095.72</v>
      </c>
      <c r="Q383" s="79">
        <f t="shared" si="379"/>
        <v>1830871.42</v>
      </c>
      <c r="R383" s="79">
        <f t="shared" si="379"/>
        <v>1830871.42</v>
      </c>
      <c r="AT383" s="378" t="str">
        <f t="shared" ref="AT383:BG383" si="380">SUM(AT342:AT376)+AT382</f>
        <v>#REF!</v>
      </c>
      <c r="AU383" s="378" t="str">
        <f t="shared" si="380"/>
        <v>#REF!</v>
      </c>
      <c r="AV383" s="378" t="str">
        <f t="shared" si="380"/>
        <v>#REF!</v>
      </c>
      <c r="AW383" s="378" t="str">
        <f t="shared" si="380"/>
        <v>#REF!</v>
      </c>
      <c r="AX383" s="378" t="str">
        <f t="shared" si="380"/>
        <v>#REF!</v>
      </c>
      <c r="AY383" s="378" t="str">
        <f t="shared" si="380"/>
        <v>#REF!</v>
      </c>
      <c r="AZ383" s="378" t="str">
        <f t="shared" si="380"/>
        <v>#REF!</v>
      </c>
      <c r="BA383" s="378" t="str">
        <f t="shared" si="380"/>
        <v>#REF!</v>
      </c>
      <c r="BB383" s="378" t="str">
        <f t="shared" si="380"/>
        <v>#REF!</v>
      </c>
      <c r="BC383" s="378" t="str">
        <f t="shared" si="380"/>
        <v>#REF!</v>
      </c>
      <c r="BD383" s="378" t="str">
        <f t="shared" si="380"/>
        <v>#REF!</v>
      </c>
      <c r="BE383" s="378" t="str">
        <f t="shared" si="380"/>
        <v>#REF!</v>
      </c>
      <c r="BF383" s="378" t="str">
        <f t="shared" si="380"/>
        <v>#REF!</v>
      </c>
      <c r="BG383" s="378" t="str">
        <f t="shared" si="380"/>
        <v>#REF!</v>
      </c>
    </row>
    <row r="384" ht="12.75" customHeight="1" outlineLevel="1">
      <c r="A384" s="90"/>
      <c r="B384" s="90"/>
      <c r="C384" s="90"/>
      <c r="D384" s="90"/>
      <c r="E384" s="90"/>
      <c r="F384" s="90"/>
      <c r="G384" s="152"/>
      <c r="H384" s="152"/>
      <c r="I384" s="152"/>
      <c r="J384" s="152"/>
      <c r="K384" s="152"/>
      <c r="L384" s="152"/>
      <c r="M384" s="152"/>
      <c r="N384" s="152"/>
      <c r="O384" s="152"/>
      <c r="P384" s="152"/>
      <c r="Q384" s="152"/>
      <c r="R384" s="152"/>
      <c r="AT384" s="352"/>
      <c r="AU384" s="352"/>
      <c r="AV384" s="352"/>
      <c r="AW384" s="352"/>
      <c r="AX384" s="352"/>
      <c r="AY384" s="352"/>
      <c r="AZ384" s="352"/>
      <c r="BA384" s="352"/>
      <c r="BB384" s="352"/>
      <c r="BC384" s="352"/>
      <c r="BD384" s="352"/>
      <c r="BE384" s="352"/>
      <c r="BF384" s="352"/>
      <c r="BG384" s="352"/>
    </row>
    <row r="385" ht="12.75" customHeight="1" outlineLevel="1">
      <c r="A385" s="90"/>
      <c r="B385" s="67" t="s">
        <v>555</v>
      </c>
      <c r="C385" s="90"/>
      <c r="D385" s="90"/>
      <c r="E385" s="90"/>
      <c r="F385" s="90"/>
      <c r="G385" s="90"/>
      <c r="H385" s="90"/>
      <c r="I385" s="90"/>
      <c r="J385" s="387"/>
      <c r="K385" s="90"/>
      <c r="L385" s="90"/>
      <c r="M385" s="90"/>
      <c r="N385" s="90"/>
      <c r="O385" s="90"/>
      <c r="P385" s="90"/>
      <c r="Q385" s="90"/>
      <c r="R385" s="90"/>
      <c r="AT385" s="313"/>
      <c r="AU385" s="313"/>
      <c r="AV385" s="313"/>
      <c r="AW385" s="313"/>
      <c r="AX385" s="313"/>
      <c r="AY385" s="313"/>
      <c r="AZ385" s="313"/>
      <c r="BA385" s="313"/>
      <c r="BB385" s="313"/>
      <c r="BC385" s="313"/>
      <c r="BD385" s="313"/>
      <c r="BE385" s="313"/>
      <c r="BF385" s="313"/>
      <c r="BG385" s="313"/>
    </row>
    <row r="386" ht="12.75" customHeight="1" outlineLevel="1">
      <c r="A386" s="90"/>
      <c r="B386" s="90"/>
      <c r="C386" s="90" t="s">
        <v>840</v>
      </c>
      <c r="D386" s="90"/>
      <c r="E386" s="90"/>
      <c r="F386" s="90"/>
      <c r="G386" s="99">
        <f t="shared" ref="G386:R386" si="381">G249*(G261+G262+G263)</f>
        <v>0</v>
      </c>
      <c r="H386" s="99">
        <f t="shared" si="381"/>
        <v>0</v>
      </c>
      <c r="I386" s="99">
        <f t="shared" si="381"/>
        <v>21419.8728</v>
      </c>
      <c r="J386" s="99">
        <f t="shared" si="381"/>
        <v>25052.82</v>
      </c>
      <c r="K386" s="99">
        <f t="shared" si="381"/>
        <v>27172.272</v>
      </c>
      <c r="L386" s="99">
        <f t="shared" si="381"/>
        <v>27261.312</v>
      </c>
      <c r="M386" s="99">
        <f t="shared" si="381"/>
        <v>27184.992</v>
      </c>
      <c r="N386" s="99">
        <f t="shared" si="381"/>
        <v>27115.032</v>
      </c>
      <c r="O386" s="99">
        <f t="shared" si="381"/>
        <v>27048.252</v>
      </c>
      <c r="P386" s="99">
        <f t="shared" si="381"/>
        <v>26981.472</v>
      </c>
      <c r="Q386" s="99">
        <f t="shared" si="381"/>
        <v>26946.492</v>
      </c>
      <c r="R386" s="99">
        <f t="shared" si="381"/>
        <v>26946.492</v>
      </c>
      <c r="AT386" s="308" t="str">
        <f t="shared" ref="AT386:BG386" si="382">AS386</f>
        <v/>
      </c>
      <c r="AU386" s="308" t="str">
        <f t="shared" si="382"/>
        <v/>
      </c>
      <c r="AV386" s="308" t="str">
        <f t="shared" si="382"/>
        <v/>
      </c>
      <c r="AW386" s="308" t="str">
        <f t="shared" si="382"/>
        <v/>
      </c>
      <c r="AX386" s="308" t="str">
        <f t="shared" si="382"/>
        <v/>
      </c>
      <c r="AY386" s="308" t="str">
        <f t="shared" si="382"/>
        <v/>
      </c>
      <c r="AZ386" s="308" t="str">
        <f t="shared" si="382"/>
        <v/>
      </c>
      <c r="BA386" s="308" t="str">
        <f t="shared" si="382"/>
        <v/>
      </c>
      <c r="BB386" s="308" t="str">
        <f t="shared" si="382"/>
        <v/>
      </c>
      <c r="BC386" s="308" t="str">
        <f t="shared" si="382"/>
        <v/>
      </c>
      <c r="BD386" s="308" t="str">
        <f t="shared" si="382"/>
        <v/>
      </c>
      <c r="BE386" s="308" t="str">
        <f t="shared" si="382"/>
        <v/>
      </c>
      <c r="BF386" s="308" t="str">
        <f t="shared" si="382"/>
        <v/>
      </c>
      <c r="BG386" s="308" t="str">
        <f t="shared" si="382"/>
        <v/>
      </c>
    </row>
    <row r="387" ht="12.75" customHeight="1" outlineLevel="1">
      <c r="A387" s="90"/>
      <c r="B387" s="90"/>
      <c r="C387" s="90" t="s">
        <v>841</v>
      </c>
      <c r="D387" s="90"/>
      <c r="E387" s="90"/>
      <c r="F387" s="90"/>
      <c r="G387" s="99"/>
      <c r="H387" s="99"/>
      <c r="I387" s="99"/>
      <c r="J387" s="99"/>
      <c r="K387" s="99"/>
      <c r="L387" s="99"/>
      <c r="M387" s="99"/>
      <c r="N387" s="99"/>
      <c r="O387" s="99"/>
      <c r="P387" s="99"/>
      <c r="Q387" s="99"/>
      <c r="R387" s="99"/>
      <c r="AT387" s="308"/>
      <c r="AU387" s="308"/>
      <c r="AV387" s="308"/>
      <c r="AW387" s="308"/>
      <c r="AX387" s="308"/>
      <c r="AY387" s="308"/>
      <c r="AZ387" s="308"/>
      <c r="BA387" s="308"/>
      <c r="BB387" s="308"/>
      <c r="BC387" s="308"/>
      <c r="BD387" s="308"/>
      <c r="BE387" s="308"/>
      <c r="BF387" s="308"/>
      <c r="BG387" s="308"/>
    </row>
    <row r="388" ht="12.75" customHeight="1" outlineLevel="1">
      <c r="A388" s="90"/>
      <c r="B388" s="90"/>
      <c r="C388" s="90" t="s">
        <v>556</v>
      </c>
      <c r="D388" s="90"/>
      <c r="E388" s="90"/>
      <c r="F388" s="90"/>
      <c r="G388" s="99"/>
      <c r="H388" s="99"/>
      <c r="I388" s="99"/>
      <c r="J388" s="99"/>
      <c r="K388" s="99"/>
      <c r="L388" s="99"/>
      <c r="M388" s="99"/>
      <c r="N388" s="99"/>
      <c r="O388" s="99"/>
      <c r="P388" s="99"/>
      <c r="Q388" s="99"/>
      <c r="R388" s="99"/>
      <c r="AT388" s="308"/>
      <c r="AU388" s="308"/>
      <c r="AV388" s="308"/>
      <c r="AW388" s="308"/>
      <c r="AX388" s="308"/>
      <c r="AY388" s="308"/>
      <c r="AZ388" s="308"/>
      <c r="BA388" s="308"/>
      <c r="BB388" s="308"/>
      <c r="BC388" s="308"/>
      <c r="BD388" s="308"/>
      <c r="BE388" s="308"/>
      <c r="BF388" s="308"/>
      <c r="BG388" s="308"/>
    </row>
    <row r="389" ht="12.75" customHeight="1" outlineLevel="1">
      <c r="A389" s="90"/>
      <c r="B389" s="90"/>
      <c r="C389" s="90"/>
      <c r="D389" s="90" t="s">
        <v>557</v>
      </c>
      <c r="E389" s="90"/>
      <c r="F389" s="90"/>
      <c r="G389" s="99">
        <f t="shared" ref="G389:H389" si="383">-G438</f>
        <v>0</v>
      </c>
      <c r="H389" s="99">
        <f t="shared" si="383"/>
        <v>0</v>
      </c>
      <c r="I389" s="99">
        <f t="shared" ref="I389:O389" si="384">H250*H441</f>
        <v>10000</v>
      </c>
      <c r="J389" s="99">
        <f t="shared" si="384"/>
        <v>8000</v>
      </c>
      <c r="K389" s="99">
        <f t="shared" si="384"/>
        <v>6000</v>
      </c>
      <c r="L389" s="99">
        <f t="shared" si="384"/>
        <v>4000</v>
      </c>
      <c r="M389" s="99">
        <f t="shared" si="384"/>
        <v>2000</v>
      </c>
      <c r="N389" s="99">
        <f t="shared" si="384"/>
        <v>0</v>
      </c>
      <c r="O389" s="99">
        <f t="shared" si="384"/>
        <v>0</v>
      </c>
      <c r="P389" s="99">
        <f t="shared" ref="P389:R389" si="385">-P438</f>
        <v>0</v>
      </c>
      <c r="Q389" s="99">
        <f t="shared" si="385"/>
        <v>0</v>
      </c>
      <c r="R389" s="99">
        <f t="shared" si="385"/>
        <v>0</v>
      </c>
      <c r="AT389" s="308">
        <f t="shared" ref="AT389:BG389" si="386">-AT438</f>
        <v>0</v>
      </c>
      <c r="AU389" s="308">
        <f t="shared" si="386"/>
        <v>0</v>
      </c>
      <c r="AV389" s="308">
        <f t="shared" si="386"/>
        <v>0</v>
      </c>
      <c r="AW389" s="308">
        <f t="shared" si="386"/>
        <v>0</v>
      </c>
      <c r="AX389" s="308">
        <f t="shared" si="386"/>
        <v>0</v>
      </c>
      <c r="AY389" s="308">
        <f t="shared" si="386"/>
        <v>0</v>
      </c>
      <c r="AZ389" s="308">
        <f t="shared" si="386"/>
        <v>0</v>
      </c>
      <c r="BA389" s="308">
        <f t="shared" si="386"/>
        <v>0</v>
      </c>
      <c r="BB389" s="308">
        <f t="shared" si="386"/>
        <v>0</v>
      </c>
      <c r="BC389" s="308">
        <f t="shared" si="386"/>
        <v>0</v>
      </c>
      <c r="BD389" s="308">
        <f t="shared" si="386"/>
        <v>0</v>
      </c>
      <c r="BE389" s="308">
        <f t="shared" si="386"/>
        <v>0</v>
      </c>
      <c r="BF389" s="308">
        <f t="shared" si="386"/>
        <v>0</v>
      </c>
      <c r="BG389" s="308">
        <f t="shared" si="386"/>
        <v>0</v>
      </c>
    </row>
    <row r="390" ht="12.75" customHeight="1" outlineLevel="1">
      <c r="A390" s="90"/>
      <c r="B390" s="90"/>
      <c r="C390" s="152"/>
      <c r="D390" s="90" t="s">
        <v>614</v>
      </c>
      <c r="E390" s="90"/>
      <c r="F390" s="90"/>
      <c r="G390" s="99">
        <v>0.0</v>
      </c>
      <c r="H390" s="99">
        <v>0.0</v>
      </c>
      <c r="I390" s="99">
        <v>0.0</v>
      </c>
      <c r="J390" s="99">
        <v>0.0</v>
      </c>
      <c r="K390" s="99">
        <v>0.0</v>
      </c>
      <c r="L390" s="99">
        <v>0.0</v>
      </c>
      <c r="M390" s="99">
        <v>0.0</v>
      </c>
      <c r="N390" s="99">
        <v>0.0</v>
      </c>
      <c r="O390" s="99">
        <v>0.0</v>
      </c>
      <c r="P390" s="99">
        <v>0.0</v>
      </c>
      <c r="Q390" s="99">
        <v>0.0</v>
      </c>
      <c r="R390" s="99">
        <v>0.0</v>
      </c>
      <c r="AT390" s="308">
        <v>0.0</v>
      </c>
      <c r="AU390" s="308">
        <v>0.0</v>
      </c>
      <c r="AV390" s="308">
        <v>0.0</v>
      </c>
      <c r="AW390" s="308">
        <v>0.0</v>
      </c>
      <c r="AX390" s="308">
        <v>0.0</v>
      </c>
      <c r="AY390" s="308">
        <v>0.0</v>
      </c>
      <c r="AZ390" s="308">
        <v>0.0</v>
      </c>
      <c r="BA390" s="308">
        <v>0.0</v>
      </c>
      <c r="BB390" s="308">
        <v>0.0</v>
      </c>
      <c r="BC390" s="308">
        <v>0.0</v>
      </c>
      <c r="BD390" s="308">
        <v>0.0</v>
      </c>
      <c r="BE390" s="308">
        <v>0.0</v>
      </c>
      <c r="BF390" s="308">
        <v>0.0</v>
      </c>
      <c r="BG390" s="308">
        <v>0.0</v>
      </c>
    </row>
    <row r="391" ht="12.75" customHeight="1" outlineLevel="1">
      <c r="A391" s="90"/>
      <c r="B391" s="90"/>
      <c r="C391" s="90"/>
      <c r="D391" s="90" t="s">
        <v>148</v>
      </c>
      <c r="E391" s="90"/>
      <c r="F391" s="90"/>
      <c r="G391" s="99">
        <v>0.0</v>
      </c>
      <c r="H391" s="99">
        <f t="shared" ref="H391:R391" si="387">G451*H253</f>
        <v>0</v>
      </c>
      <c r="I391" s="99">
        <f t="shared" si="387"/>
        <v>0</v>
      </c>
      <c r="J391" s="99">
        <f t="shared" si="387"/>
        <v>12522.09136</v>
      </c>
      <c r="K391" s="99">
        <f t="shared" si="387"/>
        <v>12983.83239</v>
      </c>
      <c r="L391" s="99">
        <f t="shared" si="387"/>
        <v>13499.15993</v>
      </c>
      <c r="M391" s="99">
        <f t="shared" si="387"/>
        <v>13533.88553</v>
      </c>
      <c r="N391" s="99">
        <f t="shared" si="387"/>
        <v>13504.12073</v>
      </c>
      <c r="O391" s="99">
        <f t="shared" si="387"/>
        <v>13476.83633</v>
      </c>
      <c r="P391" s="99">
        <f t="shared" si="387"/>
        <v>13450.79213</v>
      </c>
      <c r="Q391" s="99">
        <f t="shared" si="387"/>
        <v>13424.74793</v>
      </c>
      <c r="R391" s="99">
        <f t="shared" si="387"/>
        <v>13411.10573</v>
      </c>
      <c r="AT391" s="308">
        <v>0.0</v>
      </c>
      <c r="AU391" s="308">
        <v>0.0</v>
      </c>
      <c r="AV391" s="308">
        <v>0.0</v>
      </c>
      <c r="AW391" s="308">
        <v>0.0</v>
      </c>
      <c r="AX391" s="308">
        <v>0.0</v>
      </c>
      <c r="AY391" s="308">
        <v>0.0</v>
      </c>
      <c r="AZ391" s="308">
        <v>0.0</v>
      </c>
      <c r="BA391" s="308">
        <v>0.0</v>
      </c>
      <c r="BB391" s="308">
        <v>0.0</v>
      </c>
      <c r="BC391" s="308">
        <v>0.0</v>
      </c>
      <c r="BD391" s="308">
        <v>0.0</v>
      </c>
      <c r="BE391" s="308">
        <v>0.0</v>
      </c>
      <c r="BF391" s="308">
        <v>0.0</v>
      </c>
      <c r="BG391" s="308">
        <v>0.0</v>
      </c>
    </row>
    <row r="392" ht="12.75" customHeight="1" outlineLevel="1">
      <c r="A392" s="90"/>
      <c r="B392" s="87"/>
      <c r="C392" s="87" t="s">
        <v>559</v>
      </c>
      <c r="D392" s="87"/>
      <c r="E392" s="87"/>
      <c r="F392" s="87"/>
      <c r="G392" s="125">
        <f>G254*SUM(G319,G330,G339,G383,G386,G389,G391)</f>
        <v>0</v>
      </c>
      <c r="H392" s="125">
        <f t="shared" ref="H392:R392" si="388">H254*SUM(H319,H330,H339,H383,H386,H389)</f>
        <v>1771.006004</v>
      </c>
      <c r="I392" s="125">
        <f t="shared" si="388"/>
        <v>31339.744</v>
      </c>
      <c r="J392" s="125">
        <f t="shared" si="388"/>
        <v>32790.1102</v>
      </c>
      <c r="K392" s="125">
        <f t="shared" si="388"/>
        <v>34156.74643</v>
      </c>
      <c r="L392" s="125">
        <f t="shared" si="388"/>
        <v>34048.30083</v>
      </c>
      <c r="M392" s="125">
        <f t="shared" si="388"/>
        <v>34000.82563</v>
      </c>
      <c r="N392" s="125">
        <f t="shared" si="388"/>
        <v>33955.64003</v>
      </c>
      <c r="O392" s="125">
        <f t="shared" si="388"/>
        <v>33931.59923</v>
      </c>
      <c r="P392" s="125">
        <f t="shared" si="388"/>
        <v>33907.55843</v>
      </c>
      <c r="Q392" s="125">
        <f t="shared" si="388"/>
        <v>33894.96563</v>
      </c>
      <c r="R392" s="125">
        <f t="shared" si="388"/>
        <v>33894.96563</v>
      </c>
      <c r="AT392" s="377">
        <v>0.0</v>
      </c>
      <c r="AU392" s="377">
        <v>0.0</v>
      </c>
      <c r="AV392" s="377">
        <v>0.0</v>
      </c>
      <c r="AW392" s="377">
        <v>0.0</v>
      </c>
      <c r="AX392" s="377">
        <v>0.0</v>
      </c>
      <c r="AY392" s="377">
        <v>0.0</v>
      </c>
      <c r="AZ392" s="377">
        <v>0.0</v>
      </c>
      <c r="BA392" s="377">
        <v>0.0</v>
      </c>
      <c r="BB392" s="377">
        <v>0.0</v>
      </c>
      <c r="BC392" s="377">
        <v>0.0</v>
      </c>
      <c r="BD392" s="377">
        <v>0.0</v>
      </c>
      <c r="BE392" s="377">
        <v>0.0</v>
      </c>
      <c r="BF392" s="377">
        <v>0.0</v>
      </c>
      <c r="BG392" s="377">
        <v>0.0</v>
      </c>
    </row>
    <row r="393" ht="12.75" customHeight="1" outlineLevel="1">
      <c r="A393" s="90"/>
      <c r="B393" s="67" t="s">
        <v>842</v>
      </c>
      <c r="C393" s="90"/>
      <c r="D393" s="90"/>
      <c r="E393" s="90"/>
      <c r="F393" s="90"/>
      <c r="G393" s="79">
        <f t="shared" ref="G393:R393" si="389">SUM(G386:G392)</f>
        <v>0</v>
      </c>
      <c r="H393" s="79">
        <f t="shared" si="389"/>
        <v>1771.006004</v>
      </c>
      <c r="I393" s="79">
        <f t="shared" si="389"/>
        <v>62759.6168</v>
      </c>
      <c r="J393" s="79">
        <f t="shared" si="389"/>
        <v>78365.02156</v>
      </c>
      <c r="K393" s="79">
        <f t="shared" si="389"/>
        <v>80312.85082</v>
      </c>
      <c r="L393" s="79">
        <f t="shared" si="389"/>
        <v>78808.77276</v>
      </c>
      <c r="M393" s="79">
        <f t="shared" si="389"/>
        <v>76719.70316</v>
      </c>
      <c r="N393" s="79">
        <f t="shared" si="389"/>
        <v>74574.79276</v>
      </c>
      <c r="O393" s="79">
        <f t="shared" si="389"/>
        <v>74456.68756</v>
      </c>
      <c r="P393" s="79">
        <f t="shared" si="389"/>
        <v>74339.82256</v>
      </c>
      <c r="Q393" s="79">
        <f t="shared" si="389"/>
        <v>74266.20556</v>
      </c>
      <c r="R393" s="79">
        <f t="shared" si="389"/>
        <v>74252.56336</v>
      </c>
      <c r="AT393" s="378">
        <f t="shared" ref="AT393:BG393" si="390">SUM(AT386:AT392)</f>
        <v>0</v>
      </c>
      <c r="AU393" s="378">
        <f t="shared" si="390"/>
        <v>0</v>
      </c>
      <c r="AV393" s="378">
        <f t="shared" si="390"/>
        <v>0</v>
      </c>
      <c r="AW393" s="378">
        <f t="shared" si="390"/>
        <v>0</v>
      </c>
      <c r="AX393" s="378">
        <f t="shared" si="390"/>
        <v>0</v>
      </c>
      <c r="AY393" s="378">
        <f t="shared" si="390"/>
        <v>0</v>
      </c>
      <c r="AZ393" s="378">
        <f t="shared" si="390"/>
        <v>0</v>
      </c>
      <c r="BA393" s="378">
        <f t="shared" si="390"/>
        <v>0</v>
      </c>
      <c r="BB393" s="378">
        <f t="shared" si="390"/>
        <v>0</v>
      </c>
      <c r="BC393" s="378">
        <f t="shared" si="390"/>
        <v>0</v>
      </c>
      <c r="BD393" s="378">
        <f t="shared" si="390"/>
        <v>0</v>
      </c>
      <c r="BE393" s="378">
        <f t="shared" si="390"/>
        <v>0</v>
      </c>
      <c r="BF393" s="378">
        <f t="shared" si="390"/>
        <v>0</v>
      </c>
      <c r="BG393" s="378">
        <f t="shared" si="390"/>
        <v>0</v>
      </c>
    </row>
    <row r="394" ht="12.75" customHeight="1" outlineLevel="1">
      <c r="A394" s="90"/>
      <c r="B394" s="90"/>
      <c r="C394" s="90"/>
      <c r="D394" s="90"/>
      <c r="E394" s="90"/>
      <c r="F394" s="90"/>
      <c r="G394" s="147"/>
      <c r="H394" s="147"/>
      <c r="I394" s="147"/>
      <c r="J394" s="147"/>
      <c r="K394" s="147"/>
      <c r="L394" s="147"/>
      <c r="M394" s="147"/>
      <c r="N394" s="147"/>
      <c r="O394" s="147"/>
      <c r="P394" s="147"/>
      <c r="Q394" s="91"/>
      <c r="R394" s="91"/>
      <c r="AT394" s="382"/>
      <c r="AU394" s="382"/>
      <c r="AV394" s="382"/>
      <c r="AW394" s="382"/>
      <c r="AX394" s="382"/>
      <c r="AY394" s="382"/>
      <c r="AZ394" s="382"/>
      <c r="BA394" s="382"/>
      <c r="BB394" s="382"/>
      <c r="BC394" s="382"/>
      <c r="BD394" s="382"/>
      <c r="BE394" s="382"/>
      <c r="BF394" s="382"/>
      <c r="BG394" s="382"/>
    </row>
    <row r="395" ht="12.75" customHeight="1" outlineLevel="1">
      <c r="A395" s="109" t="s">
        <v>843</v>
      </c>
      <c r="B395" s="143"/>
      <c r="C395" s="143"/>
      <c r="D395" s="143"/>
      <c r="E395" s="143"/>
      <c r="F395" s="143"/>
      <c r="G395" s="293">
        <f t="shared" ref="G395:R395" si="391">G393+G383+G339+G330+G319</f>
        <v>0</v>
      </c>
      <c r="H395" s="293">
        <f t="shared" si="391"/>
        <v>178871.6064</v>
      </c>
      <c r="I395" s="293">
        <f t="shared" si="391"/>
        <v>3165314.144</v>
      </c>
      <c r="J395" s="293">
        <f t="shared" si="391"/>
        <v>3324323.221</v>
      </c>
      <c r="K395" s="293">
        <f t="shared" si="391"/>
        <v>3462815.222</v>
      </c>
      <c r="L395" s="293">
        <f t="shared" si="391"/>
        <v>3452377.544</v>
      </c>
      <c r="M395" s="293">
        <f t="shared" si="391"/>
        <v>3447617.274</v>
      </c>
      <c r="N395" s="293">
        <f t="shared" si="391"/>
        <v>3443023.764</v>
      </c>
      <c r="O395" s="293">
        <f t="shared" si="391"/>
        <v>3440568.359</v>
      </c>
      <c r="P395" s="293">
        <f t="shared" si="391"/>
        <v>3438114.194</v>
      </c>
      <c r="Q395" s="293">
        <f t="shared" si="391"/>
        <v>3436816.277</v>
      </c>
      <c r="R395" s="293">
        <f t="shared" si="391"/>
        <v>3436802.634</v>
      </c>
      <c r="AT395" s="381" t="str">
        <f t="shared" ref="AT395:BG395" si="392">AT393+AT383+AT339+AT330+AT319</f>
        <v>#REF!</v>
      </c>
      <c r="AU395" s="381" t="str">
        <f t="shared" si="392"/>
        <v>#REF!</v>
      </c>
      <c r="AV395" s="381" t="str">
        <f t="shared" si="392"/>
        <v>#REF!</v>
      </c>
      <c r="AW395" s="381" t="str">
        <f t="shared" si="392"/>
        <v>#REF!</v>
      </c>
      <c r="AX395" s="381" t="str">
        <f t="shared" si="392"/>
        <v>#REF!</v>
      </c>
      <c r="AY395" s="381" t="str">
        <f t="shared" si="392"/>
        <v>#REF!</v>
      </c>
      <c r="AZ395" s="381" t="str">
        <f t="shared" si="392"/>
        <v>#REF!</v>
      </c>
      <c r="BA395" s="381" t="str">
        <f t="shared" si="392"/>
        <v>#REF!</v>
      </c>
      <c r="BB395" s="381" t="str">
        <f t="shared" si="392"/>
        <v>#REF!</v>
      </c>
      <c r="BC395" s="381" t="str">
        <f t="shared" si="392"/>
        <v>#REF!</v>
      </c>
      <c r="BD395" s="381" t="str">
        <f t="shared" si="392"/>
        <v>#REF!</v>
      </c>
      <c r="BE395" s="381" t="str">
        <f t="shared" si="392"/>
        <v>#REF!</v>
      </c>
      <c r="BF395" s="381" t="str">
        <f t="shared" si="392"/>
        <v>#REF!</v>
      </c>
      <c r="BG395" s="381" t="str">
        <f t="shared" si="392"/>
        <v>#REF!</v>
      </c>
    </row>
    <row r="396" ht="12.75" customHeight="1" outlineLevel="1">
      <c r="A396" s="67"/>
      <c r="B396" s="90"/>
      <c r="C396" s="90"/>
      <c r="D396" s="90"/>
      <c r="E396" s="90"/>
      <c r="F396" s="90"/>
      <c r="G396" s="79"/>
      <c r="H396" s="79"/>
      <c r="I396" s="79"/>
      <c r="J396" s="79"/>
      <c r="K396" s="79"/>
      <c r="L396" s="79"/>
      <c r="M396" s="79"/>
      <c r="N396" s="79"/>
      <c r="O396" s="79"/>
      <c r="P396" s="79"/>
      <c r="Q396" s="79"/>
      <c r="R396" s="79"/>
      <c r="AT396" s="378"/>
      <c r="AU396" s="378"/>
      <c r="AV396" s="378"/>
      <c r="AW396" s="378"/>
      <c r="AX396" s="378"/>
      <c r="AY396" s="378"/>
      <c r="AZ396" s="378"/>
      <c r="BA396" s="378"/>
      <c r="BB396" s="378"/>
      <c r="BC396" s="378"/>
      <c r="BD396" s="378"/>
      <c r="BE396" s="378"/>
      <c r="BF396" s="378"/>
      <c r="BG396" s="378"/>
    </row>
    <row r="397" ht="12.75" customHeight="1" outlineLevel="1">
      <c r="A397" s="126" t="s">
        <v>844</v>
      </c>
      <c r="B397" s="298"/>
      <c r="C397" s="298"/>
      <c r="D397" s="298"/>
      <c r="E397" s="298"/>
      <c r="F397" s="298"/>
      <c r="G397" s="128">
        <f t="shared" ref="G397:R397" si="393">G296-G395</f>
        <v>0</v>
      </c>
      <c r="H397" s="128">
        <f t="shared" si="393"/>
        <v>21128.39356</v>
      </c>
      <c r="I397" s="128">
        <f t="shared" si="393"/>
        <v>45478.51209</v>
      </c>
      <c r="J397" s="128">
        <f t="shared" si="393"/>
        <v>4864.570572</v>
      </c>
      <c r="K397" s="128">
        <f t="shared" si="393"/>
        <v>-1492.163391</v>
      </c>
      <c r="L397" s="128">
        <f t="shared" si="393"/>
        <v>17849.51467</v>
      </c>
      <c r="M397" s="128">
        <f t="shared" si="393"/>
        <v>14977.78427</v>
      </c>
      <c r="N397" s="128">
        <f t="shared" si="393"/>
        <v>12575.29467</v>
      </c>
      <c r="O397" s="128">
        <f t="shared" si="393"/>
        <v>8352.69987</v>
      </c>
      <c r="P397" s="128">
        <f t="shared" si="393"/>
        <v>4128.86487</v>
      </c>
      <c r="Q397" s="128">
        <f t="shared" si="393"/>
        <v>1928.78187</v>
      </c>
      <c r="R397" s="128">
        <f t="shared" si="393"/>
        <v>1942.42407</v>
      </c>
      <c r="AT397" s="388" t="str">
        <f t="shared" ref="AT397:BG397" si="394">AT296-AT395</f>
        <v>#REF!</v>
      </c>
      <c r="AU397" s="388" t="str">
        <f t="shared" si="394"/>
        <v>#REF!</v>
      </c>
      <c r="AV397" s="388" t="str">
        <f t="shared" si="394"/>
        <v>#REF!</v>
      </c>
      <c r="AW397" s="388" t="str">
        <f t="shared" si="394"/>
        <v>#REF!</v>
      </c>
      <c r="AX397" s="388" t="str">
        <f t="shared" si="394"/>
        <v>#REF!</v>
      </c>
      <c r="AY397" s="388" t="str">
        <f t="shared" si="394"/>
        <v>#REF!</v>
      </c>
      <c r="AZ397" s="388" t="str">
        <f t="shared" si="394"/>
        <v>#REF!</v>
      </c>
      <c r="BA397" s="388" t="str">
        <f t="shared" si="394"/>
        <v>#REF!</v>
      </c>
      <c r="BB397" s="388" t="str">
        <f t="shared" si="394"/>
        <v>#REF!</v>
      </c>
      <c r="BC397" s="388" t="str">
        <f t="shared" si="394"/>
        <v>#REF!</v>
      </c>
      <c r="BD397" s="388" t="str">
        <f t="shared" si="394"/>
        <v>#REF!</v>
      </c>
      <c r="BE397" s="388" t="str">
        <f t="shared" si="394"/>
        <v>#REF!</v>
      </c>
      <c r="BF397" s="388" t="str">
        <f t="shared" si="394"/>
        <v>#REF!</v>
      </c>
      <c r="BG397" s="388" t="str">
        <f t="shared" si="394"/>
        <v>#REF!</v>
      </c>
    </row>
    <row r="398" ht="12.75" customHeight="1">
      <c r="A398" s="67"/>
      <c r="B398" s="90"/>
      <c r="C398" s="90"/>
      <c r="D398" s="90"/>
      <c r="E398" s="90"/>
      <c r="F398" s="90"/>
      <c r="G398" s="114"/>
      <c r="H398" s="114"/>
      <c r="I398" s="114"/>
      <c r="J398" s="114"/>
      <c r="K398" s="114"/>
      <c r="L398" s="114"/>
      <c r="M398" s="114"/>
      <c r="N398" s="114"/>
      <c r="O398" s="114"/>
      <c r="P398" s="114"/>
      <c r="Q398" s="91"/>
      <c r="R398" s="91"/>
      <c r="AT398" s="382"/>
      <c r="AU398" s="382"/>
      <c r="AV398" s="382"/>
      <c r="AW398" s="382"/>
      <c r="AX398" s="382"/>
      <c r="AY398" s="382"/>
      <c r="AZ398" s="382"/>
      <c r="BA398" s="382"/>
      <c r="BB398" s="382"/>
      <c r="BC398" s="382"/>
      <c r="BD398" s="382"/>
      <c r="BE398" s="382"/>
      <c r="BF398" s="382"/>
      <c r="BG398" s="382"/>
    </row>
    <row r="399" ht="12.75" customHeight="1">
      <c r="A399" s="106" t="s">
        <v>845</v>
      </c>
      <c r="B399" s="253"/>
      <c r="C399" s="253"/>
      <c r="D399" s="253"/>
      <c r="E399" s="253"/>
      <c r="F399" s="253"/>
      <c r="G399" s="253"/>
      <c r="H399" s="253"/>
      <c r="I399" s="253"/>
      <c r="J399" s="253"/>
      <c r="K399" s="253"/>
      <c r="L399" s="253"/>
      <c r="M399" s="253"/>
      <c r="N399" s="253"/>
      <c r="O399" s="253"/>
      <c r="P399" s="253"/>
      <c r="Q399" s="253"/>
      <c r="R399" s="253"/>
      <c r="AT399" s="314"/>
      <c r="AU399" s="314"/>
      <c r="AV399" s="314"/>
      <c r="AW399" s="314"/>
      <c r="AX399" s="314"/>
      <c r="AY399" s="314"/>
      <c r="AZ399" s="314"/>
      <c r="BA399" s="314"/>
      <c r="BB399" s="314"/>
      <c r="BC399" s="314"/>
      <c r="BD399" s="314"/>
      <c r="BE399" s="314"/>
      <c r="BF399" s="314"/>
      <c r="BG399" s="314"/>
    </row>
    <row r="400" ht="12.75" customHeight="1" outlineLevel="1">
      <c r="A400" s="206"/>
      <c r="B400" s="201" t="s">
        <v>464</v>
      </c>
      <c r="C400" s="201"/>
      <c r="D400" s="201"/>
      <c r="E400" s="201"/>
      <c r="F400" s="201"/>
      <c r="G400" s="114"/>
      <c r="H400" s="114"/>
      <c r="I400" s="114"/>
      <c r="J400" s="114"/>
      <c r="K400" s="114"/>
      <c r="L400" s="114"/>
      <c r="M400" s="114"/>
      <c r="N400" s="114"/>
      <c r="O400" s="114"/>
      <c r="P400" s="114"/>
      <c r="Q400" s="91"/>
      <c r="R400" s="91"/>
      <c r="AT400" s="382"/>
      <c r="AU400" s="382"/>
      <c r="AV400" s="382"/>
      <c r="AW400" s="382"/>
      <c r="AX400" s="382"/>
      <c r="AY400" s="382"/>
      <c r="AZ400" s="382"/>
      <c r="BA400" s="382"/>
      <c r="BB400" s="382"/>
      <c r="BC400" s="382"/>
      <c r="BD400" s="382"/>
      <c r="BE400" s="382"/>
      <c r="BF400" s="382"/>
      <c r="BG400" s="382"/>
    </row>
    <row r="401" ht="12.75" customHeight="1" outlineLevel="1">
      <c r="A401" s="90"/>
      <c r="B401" s="90"/>
      <c r="C401" s="90" t="s">
        <v>194</v>
      </c>
      <c r="D401" s="90"/>
      <c r="E401" s="90"/>
      <c r="F401" s="90"/>
      <c r="G401" s="147">
        <f t="shared" ref="G401:R401" si="395">G397</f>
        <v>0</v>
      </c>
      <c r="H401" s="147">
        <f t="shared" si="395"/>
        <v>21128.39356</v>
      </c>
      <c r="I401" s="147">
        <f t="shared" si="395"/>
        <v>45478.51209</v>
      </c>
      <c r="J401" s="147">
        <f t="shared" si="395"/>
        <v>4864.570572</v>
      </c>
      <c r="K401" s="147">
        <f t="shared" si="395"/>
        <v>-1492.163391</v>
      </c>
      <c r="L401" s="147">
        <f t="shared" si="395"/>
        <v>17849.51467</v>
      </c>
      <c r="M401" s="147">
        <f t="shared" si="395"/>
        <v>14977.78427</v>
      </c>
      <c r="N401" s="147">
        <f t="shared" si="395"/>
        <v>12575.29467</v>
      </c>
      <c r="O401" s="147">
        <f t="shared" si="395"/>
        <v>8352.69987</v>
      </c>
      <c r="P401" s="147">
        <f t="shared" si="395"/>
        <v>4128.86487</v>
      </c>
      <c r="Q401" s="147">
        <f t="shared" si="395"/>
        <v>1928.78187</v>
      </c>
      <c r="R401" s="147">
        <f t="shared" si="395"/>
        <v>1942.42407</v>
      </c>
      <c r="AT401" s="389" t="str">
        <f t="shared" ref="AT401:BG401" si="396">AT397</f>
        <v>#REF!</v>
      </c>
      <c r="AU401" s="389" t="str">
        <f t="shared" si="396"/>
        <v>#REF!</v>
      </c>
      <c r="AV401" s="389" t="str">
        <f t="shared" si="396"/>
        <v>#REF!</v>
      </c>
      <c r="AW401" s="389" t="str">
        <f t="shared" si="396"/>
        <v>#REF!</v>
      </c>
      <c r="AX401" s="389" t="str">
        <f t="shared" si="396"/>
        <v>#REF!</v>
      </c>
      <c r="AY401" s="389" t="str">
        <f t="shared" si="396"/>
        <v>#REF!</v>
      </c>
      <c r="AZ401" s="389" t="str">
        <f t="shared" si="396"/>
        <v>#REF!</v>
      </c>
      <c r="BA401" s="389" t="str">
        <f t="shared" si="396"/>
        <v>#REF!</v>
      </c>
      <c r="BB401" s="389" t="str">
        <f t="shared" si="396"/>
        <v>#REF!</v>
      </c>
      <c r="BC401" s="389" t="str">
        <f t="shared" si="396"/>
        <v>#REF!</v>
      </c>
      <c r="BD401" s="389" t="str">
        <f t="shared" si="396"/>
        <v>#REF!</v>
      </c>
      <c r="BE401" s="389" t="str">
        <f t="shared" si="396"/>
        <v>#REF!</v>
      </c>
      <c r="BF401" s="389" t="str">
        <f t="shared" si="396"/>
        <v>#REF!</v>
      </c>
      <c r="BG401" s="389" t="str">
        <f t="shared" si="396"/>
        <v>#REF!</v>
      </c>
    </row>
    <row r="402" ht="12.75" customHeight="1" outlineLevel="1">
      <c r="A402" s="90"/>
      <c r="B402" s="90"/>
      <c r="C402" s="90" t="s">
        <v>465</v>
      </c>
      <c r="D402" s="90"/>
      <c r="E402" s="90"/>
      <c r="F402" s="90"/>
      <c r="G402" s="147">
        <f t="shared" ref="G402:R402" si="397">G361</f>
        <v>0</v>
      </c>
      <c r="H402" s="147">
        <f t="shared" si="397"/>
        <v>0</v>
      </c>
      <c r="I402" s="147" t="str">
        <f t="shared" si="397"/>
        <v/>
      </c>
      <c r="J402" s="147" t="str">
        <f t="shared" si="397"/>
        <v/>
      </c>
      <c r="K402" s="147" t="str">
        <f t="shared" si="397"/>
        <v/>
      </c>
      <c r="L402" s="147" t="str">
        <f t="shared" si="397"/>
        <v/>
      </c>
      <c r="M402" s="147" t="str">
        <f t="shared" si="397"/>
        <v/>
      </c>
      <c r="N402" s="147" t="str">
        <f t="shared" si="397"/>
        <v/>
      </c>
      <c r="O402" s="147" t="str">
        <f t="shared" si="397"/>
        <v/>
      </c>
      <c r="P402" s="147" t="str">
        <f t="shared" si="397"/>
        <v/>
      </c>
      <c r="Q402" s="147" t="str">
        <f t="shared" si="397"/>
        <v/>
      </c>
      <c r="R402" s="147" t="str">
        <f t="shared" si="397"/>
        <v/>
      </c>
      <c r="AT402" s="389" t="str">
        <f t="shared" ref="AT402:BG402" si="398">AT361</f>
        <v/>
      </c>
      <c r="AU402" s="389" t="str">
        <f t="shared" si="398"/>
        <v/>
      </c>
      <c r="AV402" s="389" t="str">
        <f t="shared" si="398"/>
        <v/>
      </c>
      <c r="AW402" s="389" t="str">
        <f t="shared" si="398"/>
        <v/>
      </c>
      <c r="AX402" s="389" t="str">
        <f t="shared" si="398"/>
        <v/>
      </c>
      <c r="AY402" s="389" t="str">
        <f t="shared" si="398"/>
        <v/>
      </c>
      <c r="AZ402" s="389" t="str">
        <f t="shared" si="398"/>
        <v/>
      </c>
      <c r="BA402" s="389" t="str">
        <f t="shared" si="398"/>
        <v/>
      </c>
      <c r="BB402" s="389" t="str">
        <f t="shared" si="398"/>
        <v/>
      </c>
      <c r="BC402" s="389" t="str">
        <f t="shared" si="398"/>
        <v/>
      </c>
      <c r="BD402" s="389" t="str">
        <f t="shared" si="398"/>
        <v/>
      </c>
      <c r="BE402" s="389" t="str">
        <f t="shared" si="398"/>
        <v/>
      </c>
      <c r="BF402" s="389" t="str">
        <f t="shared" si="398"/>
        <v/>
      </c>
      <c r="BG402" s="389" t="str">
        <f t="shared" si="398"/>
        <v/>
      </c>
    </row>
    <row r="403" ht="12.75" customHeight="1" outlineLevel="1">
      <c r="A403" s="90"/>
      <c r="B403" s="90"/>
      <c r="C403" s="90" t="s">
        <v>466</v>
      </c>
      <c r="D403" s="90"/>
      <c r="E403" s="90"/>
      <c r="F403" s="90"/>
      <c r="G403" s="147">
        <v>0.0</v>
      </c>
      <c r="H403" s="147">
        <v>0.0</v>
      </c>
      <c r="I403" s="147">
        <v>0.0</v>
      </c>
      <c r="J403" s="147">
        <v>0.0</v>
      </c>
      <c r="K403" s="147">
        <v>0.0</v>
      </c>
      <c r="L403" s="147">
        <v>0.0</v>
      </c>
      <c r="M403" s="147">
        <v>0.0</v>
      </c>
      <c r="N403" s="147">
        <v>0.0</v>
      </c>
      <c r="O403" s="147">
        <v>0.0</v>
      </c>
      <c r="P403" s="147">
        <v>0.0</v>
      </c>
      <c r="Q403" s="147">
        <v>0.0</v>
      </c>
      <c r="R403" s="147">
        <v>0.0</v>
      </c>
      <c r="AT403" s="389">
        <v>0.0</v>
      </c>
      <c r="AU403" s="389">
        <v>0.0</v>
      </c>
      <c r="AV403" s="389">
        <v>0.0</v>
      </c>
      <c r="AW403" s="389">
        <v>0.0</v>
      </c>
      <c r="AX403" s="389">
        <v>0.0</v>
      </c>
      <c r="AY403" s="389">
        <v>0.0</v>
      </c>
      <c r="AZ403" s="389">
        <v>0.0</v>
      </c>
      <c r="BA403" s="389">
        <v>0.0</v>
      </c>
      <c r="BB403" s="389">
        <v>0.0</v>
      </c>
      <c r="BC403" s="389">
        <v>0.0</v>
      </c>
      <c r="BD403" s="389">
        <v>0.0</v>
      </c>
      <c r="BE403" s="389">
        <v>0.0</v>
      </c>
      <c r="BF403" s="389">
        <v>0.0</v>
      </c>
      <c r="BG403" s="389">
        <v>0.0</v>
      </c>
    </row>
    <row r="404" ht="12.75" customHeight="1" outlineLevel="1">
      <c r="A404" s="90"/>
      <c r="B404" s="90"/>
      <c r="C404" s="90" t="s">
        <v>467</v>
      </c>
      <c r="D404" s="90"/>
      <c r="E404" s="90"/>
      <c r="F404" s="90"/>
      <c r="G404" s="99">
        <v>0.0</v>
      </c>
      <c r="H404" s="99">
        <f t="shared" ref="H404:R404" si="399">H480-G480+G475-H475</f>
        <v>-21056.41968</v>
      </c>
      <c r="I404" s="99">
        <f t="shared" si="399"/>
        <v>-302296.7715</v>
      </c>
      <c r="J404" s="99">
        <f t="shared" si="399"/>
        <v>-9808.816524</v>
      </c>
      <c r="K404" s="99">
        <f t="shared" si="399"/>
        <v>-12895.68994</v>
      </c>
      <c r="L404" s="99">
        <f t="shared" si="399"/>
        <v>-1857.483903</v>
      </c>
      <c r="M404" s="99">
        <f t="shared" si="399"/>
        <v>906.78652</v>
      </c>
      <c r="N404" s="99">
        <f t="shared" si="399"/>
        <v>819.72448</v>
      </c>
      <c r="O404" s="99">
        <f t="shared" si="399"/>
        <v>878.92974</v>
      </c>
      <c r="P404" s="99">
        <f t="shared" si="399"/>
        <v>878.99175</v>
      </c>
      <c r="Q404" s="99">
        <f t="shared" si="399"/>
        <v>459.80415</v>
      </c>
      <c r="R404" s="99">
        <f t="shared" si="399"/>
        <v>-0.68211</v>
      </c>
      <c r="AT404" s="99" t="str">
        <f t="shared" ref="AT404:BG404" si="400">AT480-AS480+AS475-AT475</f>
        <v>#REF!</v>
      </c>
      <c r="AU404" s="99" t="str">
        <f t="shared" si="400"/>
        <v>#REF!</v>
      </c>
      <c r="AV404" s="99" t="str">
        <f t="shared" si="400"/>
        <v>#REF!</v>
      </c>
      <c r="AW404" s="99" t="str">
        <f t="shared" si="400"/>
        <v>#REF!</v>
      </c>
      <c r="AX404" s="99" t="str">
        <f t="shared" si="400"/>
        <v>#REF!</v>
      </c>
      <c r="AY404" s="99" t="str">
        <f t="shared" si="400"/>
        <v>#REF!</v>
      </c>
      <c r="AZ404" s="99" t="str">
        <f t="shared" si="400"/>
        <v>#REF!</v>
      </c>
      <c r="BA404" s="99" t="str">
        <f t="shared" si="400"/>
        <v>#REF!</v>
      </c>
      <c r="BB404" s="99" t="str">
        <f t="shared" si="400"/>
        <v>#REF!</v>
      </c>
      <c r="BC404" s="99" t="str">
        <f t="shared" si="400"/>
        <v>#REF!</v>
      </c>
      <c r="BD404" s="99" t="str">
        <f t="shared" si="400"/>
        <v>#REF!</v>
      </c>
      <c r="BE404" s="99" t="str">
        <f t="shared" si="400"/>
        <v>#REF!</v>
      </c>
      <c r="BF404" s="99" t="str">
        <f t="shared" si="400"/>
        <v>#REF!</v>
      </c>
      <c r="BG404" s="99" t="str">
        <f t="shared" si="400"/>
        <v>#REF!</v>
      </c>
    </row>
    <row r="405" ht="12.75" customHeight="1" outlineLevel="1">
      <c r="A405" s="90"/>
      <c r="B405" s="90"/>
      <c r="C405" s="90" t="s">
        <v>468</v>
      </c>
      <c r="D405" s="90"/>
      <c r="E405" s="90"/>
      <c r="F405" s="90"/>
      <c r="G405" s="147">
        <v>0.0</v>
      </c>
      <c r="H405" s="147">
        <v>0.0</v>
      </c>
      <c r="I405" s="147">
        <v>0.0</v>
      </c>
      <c r="J405" s="147">
        <v>0.0</v>
      </c>
      <c r="K405" s="147">
        <v>0.0</v>
      </c>
      <c r="L405" s="147">
        <v>0.0</v>
      </c>
      <c r="M405" s="147">
        <v>0.0</v>
      </c>
      <c r="N405" s="147">
        <v>0.0</v>
      </c>
      <c r="O405" s="147">
        <v>0.0</v>
      </c>
      <c r="P405" s="147">
        <v>0.0</v>
      </c>
      <c r="Q405" s="147">
        <v>0.0</v>
      </c>
      <c r="R405" s="147">
        <v>0.0</v>
      </c>
      <c r="AT405" s="389">
        <v>0.0</v>
      </c>
      <c r="AU405" s="389">
        <v>0.0</v>
      </c>
      <c r="AV405" s="389">
        <v>0.0</v>
      </c>
      <c r="AW405" s="389">
        <v>0.0</v>
      </c>
      <c r="AX405" s="389">
        <v>0.0</v>
      </c>
      <c r="AY405" s="389">
        <v>0.0</v>
      </c>
      <c r="AZ405" s="389">
        <v>0.0</v>
      </c>
      <c r="BA405" s="389">
        <v>0.0</v>
      </c>
      <c r="BB405" s="389">
        <v>0.0</v>
      </c>
      <c r="BC405" s="389">
        <v>0.0</v>
      </c>
      <c r="BD405" s="389">
        <v>0.0</v>
      </c>
      <c r="BE405" s="389">
        <v>0.0</v>
      </c>
      <c r="BF405" s="389">
        <v>0.0</v>
      </c>
      <c r="BG405" s="389">
        <v>0.0</v>
      </c>
    </row>
    <row r="406" ht="12.75" customHeight="1" outlineLevel="1">
      <c r="A406" s="90"/>
      <c r="B406" s="148" t="s">
        <v>469</v>
      </c>
      <c r="C406" s="148"/>
      <c r="D406" s="148"/>
      <c r="E406" s="148"/>
      <c r="F406" s="148"/>
      <c r="G406" s="251">
        <f t="shared" ref="G406:R406" si="401">SUM(G401:G405)</f>
        <v>0</v>
      </c>
      <c r="H406" s="251">
        <f t="shared" si="401"/>
        <v>71.97387843</v>
      </c>
      <c r="I406" s="251">
        <f t="shared" si="401"/>
        <v>-256818.2594</v>
      </c>
      <c r="J406" s="251">
        <f t="shared" si="401"/>
        <v>-4944.245952</v>
      </c>
      <c r="K406" s="251">
        <f t="shared" si="401"/>
        <v>-14387.85333</v>
      </c>
      <c r="L406" s="251">
        <f t="shared" si="401"/>
        <v>15992.03077</v>
      </c>
      <c r="M406" s="251">
        <f t="shared" si="401"/>
        <v>15884.57079</v>
      </c>
      <c r="N406" s="251">
        <f t="shared" si="401"/>
        <v>13395.01915</v>
      </c>
      <c r="O406" s="251">
        <f t="shared" si="401"/>
        <v>9231.62961</v>
      </c>
      <c r="P406" s="251">
        <f t="shared" si="401"/>
        <v>5007.85662</v>
      </c>
      <c r="Q406" s="251">
        <f t="shared" si="401"/>
        <v>2388.58602</v>
      </c>
      <c r="R406" s="251">
        <f t="shared" si="401"/>
        <v>1941.74196</v>
      </c>
      <c r="AT406" s="390" t="str">
        <f t="shared" ref="AT406:BG406" si="402">SUM(AT401:AT405)</f>
        <v>#REF!</v>
      </c>
      <c r="AU406" s="390" t="str">
        <f t="shared" si="402"/>
        <v>#REF!</v>
      </c>
      <c r="AV406" s="390" t="str">
        <f t="shared" si="402"/>
        <v>#REF!</v>
      </c>
      <c r="AW406" s="390" t="str">
        <f t="shared" si="402"/>
        <v>#REF!</v>
      </c>
      <c r="AX406" s="390" t="str">
        <f t="shared" si="402"/>
        <v>#REF!</v>
      </c>
      <c r="AY406" s="390" t="str">
        <f t="shared" si="402"/>
        <v>#REF!</v>
      </c>
      <c r="AZ406" s="390" t="str">
        <f t="shared" si="402"/>
        <v>#REF!</v>
      </c>
      <c r="BA406" s="390" t="str">
        <f t="shared" si="402"/>
        <v>#REF!</v>
      </c>
      <c r="BB406" s="390" t="str">
        <f t="shared" si="402"/>
        <v>#REF!</v>
      </c>
      <c r="BC406" s="390" t="str">
        <f t="shared" si="402"/>
        <v>#REF!</v>
      </c>
      <c r="BD406" s="390" t="str">
        <f t="shared" si="402"/>
        <v>#REF!</v>
      </c>
      <c r="BE406" s="390" t="str">
        <f t="shared" si="402"/>
        <v>#REF!</v>
      </c>
      <c r="BF406" s="390" t="str">
        <f t="shared" si="402"/>
        <v>#REF!</v>
      </c>
      <c r="BG406" s="390" t="str">
        <f t="shared" si="402"/>
        <v>#REF!</v>
      </c>
    </row>
    <row r="407" ht="12.75" customHeight="1" outlineLevel="1">
      <c r="A407" s="90"/>
      <c r="B407" s="90"/>
      <c r="C407" s="90"/>
      <c r="D407" s="90"/>
      <c r="E407" s="90"/>
      <c r="F407" s="90"/>
      <c r="G407" s="114"/>
      <c r="H407" s="114"/>
      <c r="I407" s="114"/>
      <c r="J407" s="114"/>
      <c r="K407" s="114"/>
      <c r="L407" s="114"/>
      <c r="M407" s="114"/>
      <c r="N407" s="114"/>
      <c r="O407" s="114"/>
      <c r="P407" s="114"/>
      <c r="Q407" s="114"/>
      <c r="R407" s="114"/>
      <c r="AT407" s="391"/>
      <c r="AU407" s="391"/>
      <c r="AV407" s="391"/>
      <c r="AW407" s="391"/>
      <c r="AX407" s="391"/>
      <c r="AY407" s="391"/>
      <c r="AZ407" s="391"/>
      <c r="BA407" s="391"/>
      <c r="BB407" s="391"/>
      <c r="BC407" s="391"/>
      <c r="BD407" s="391"/>
      <c r="BE407" s="391"/>
      <c r="BF407" s="391"/>
      <c r="BG407" s="391"/>
    </row>
    <row r="408" ht="12.75" customHeight="1" outlineLevel="1">
      <c r="A408" s="90"/>
      <c r="B408" s="201" t="s">
        <v>470</v>
      </c>
      <c r="C408" s="90"/>
      <c r="D408" s="90"/>
      <c r="E408" s="90"/>
      <c r="F408" s="90"/>
      <c r="G408" s="114"/>
      <c r="H408" s="114"/>
      <c r="I408" s="114"/>
      <c r="J408" s="114"/>
      <c r="K408" s="114"/>
      <c r="L408" s="114"/>
      <c r="M408" s="114"/>
      <c r="N408" s="114"/>
      <c r="O408" s="114"/>
      <c r="P408" s="114"/>
      <c r="Q408" s="114"/>
      <c r="R408" s="114"/>
      <c r="AT408" s="391"/>
      <c r="AU408" s="391"/>
      <c r="AV408" s="391"/>
      <c r="AW408" s="391"/>
      <c r="AX408" s="391"/>
      <c r="AY408" s="391"/>
      <c r="AZ408" s="391"/>
      <c r="BA408" s="391"/>
      <c r="BB408" s="391"/>
      <c r="BC408" s="391"/>
      <c r="BD408" s="391"/>
      <c r="BE408" s="391"/>
      <c r="BF408" s="391"/>
      <c r="BG408" s="391"/>
    </row>
    <row r="409" ht="12.75" customHeight="1" outlineLevel="1">
      <c r="A409" s="90"/>
      <c r="B409" s="201"/>
      <c r="C409" s="90" t="s">
        <v>471</v>
      </c>
      <c r="D409" s="90"/>
      <c r="E409" s="90"/>
      <c r="F409" s="90"/>
      <c r="G409" s="114"/>
      <c r="H409" s="147">
        <f>-Assumptions!D30</f>
        <v>-200000</v>
      </c>
      <c r="I409" s="147">
        <v>0.0</v>
      </c>
      <c r="J409" s="147">
        <v>0.0</v>
      </c>
      <c r="K409" s="147">
        <v>0.0</v>
      </c>
      <c r="L409" s="147">
        <v>0.0</v>
      </c>
      <c r="M409" s="147">
        <v>0.0</v>
      </c>
      <c r="N409" s="147">
        <v>0.0</v>
      </c>
      <c r="O409" s="147">
        <f>-H409</f>
        <v>200000</v>
      </c>
      <c r="P409" s="147"/>
      <c r="Q409" s="147"/>
      <c r="R409" s="147"/>
      <c r="S409" s="90"/>
      <c r="T409" s="90"/>
      <c r="U409" s="90"/>
      <c r="V409" s="90"/>
      <c r="W409" s="90"/>
      <c r="X409" s="90"/>
      <c r="Y409" s="90"/>
      <c r="Z409" s="90"/>
      <c r="AA409" s="90"/>
      <c r="AB409" s="90"/>
      <c r="AC409" s="90"/>
      <c r="AD409" s="90"/>
      <c r="AE409" s="90"/>
      <c r="AF409" s="90"/>
      <c r="AG409" s="90"/>
      <c r="AH409" s="90"/>
      <c r="AI409" s="90"/>
      <c r="AJ409" s="90"/>
      <c r="AK409" s="90"/>
      <c r="AL409" s="90"/>
      <c r="AM409" s="90"/>
      <c r="AN409" s="90"/>
      <c r="AO409" s="90"/>
      <c r="AP409" s="90"/>
      <c r="AQ409" s="90"/>
      <c r="AR409" s="90"/>
      <c r="AS409" s="90"/>
      <c r="AT409" s="389"/>
      <c r="AU409" s="389"/>
      <c r="AV409" s="389"/>
      <c r="AW409" s="389"/>
      <c r="AX409" s="389"/>
      <c r="AY409" s="389"/>
      <c r="AZ409" s="389"/>
      <c r="BA409" s="389"/>
      <c r="BB409" s="389"/>
      <c r="BC409" s="389"/>
      <c r="BD409" s="389"/>
      <c r="BE409" s="389"/>
      <c r="BF409" s="389"/>
      <c r="BG409" s="389"/>
    </row>
    <row r="410" ht="12.75" customHeight="1" outlineLevel="1">
      <c r="A410" s="90"/>
      <c r="B410" s="90"/>
      <c r="C410" s="90" t="s">
        <v>472</v>
      </c>
      <c r="D410" s="90"/>
      <c r="E410" s="90"/>
      <c r="F410" s="90"/>
      <c r="G410" s="147">
        <f t="shared" ref="G410:R410" si="403">-G239</f>
        <v>0</v>
      </c>
      <c r="H410" s="147">
        <f t="shared" si="403"/>
        <v>0</v>
      </c>
      <c r="I410" s="147">
        <f t="shared" si="403"/>
        <v>0</v>
      </c>
      <c r="J410" s="147">
        <f t="shared" si="403"/>
        <v>0</v>
      </c>
      <c r="K410" s="147">
        <f t="shared" si="403"/>
        <v>0</v>
      </c>
      <c r="L410" s="147">
        <f t="shared" si="403"/>
        <v>0</v>
      </c>
      <c r="M410" s="147">
        <f t="shared" si="403"/>
        <v>0</v>
      </c>
      <c r="N410" s="147">
        <f t="shared" si="403"/>
        <v>0</v>
      </c>
      <c r="O410" s="147">
        <f t="shared" si="403"/>
        <v>0</v>
      </c>
      <c r="P410" s="147">
        <f t="shared" si="403"/>
        <v>0</v>
      </c>
      <c r="Q410" s="147">
        <f t="shared" si="403"/>
        <v>0</v>
      </c>
      <c r="R410" s="147">
        <f t="shared" si="403"/>
        <v>0</v>
      </c>
      <c r="AT410" s="389">
        <f t="shared" ref="AT410:BG410" si="404">-AT239</f>
        <v>0</v>
      </c>
      <c r="AU410" s="389">
        <f t="shared" si="404"/>
        <v>0</v>
      </c>
      <c r="AV410" s="389">
        <f t="shared" si="404"/>
        <v>0</v>
      </c>
      <c r="AW410" s="389">
        <f t="shared" si="404"/>
        <v>0</v>
      </c>
      <c r="AX410" s="389">
        <f t="shared" si="404"/>
        <v>0</v>
      </c>
      <c r="AY410" s="389">
        <f t="shared" si="404"/>
        <v>0</v>
      </c>
      <c r="AZ410" s="389">
        <f t="shared" si="404"/>
        <v>0</v>
      </c>
      <c r="BA410" s="389">
        <f t="shared" si="404"/>
        <v>0</v>
      </c>
      <c r="BB410" s="389">
        <f t="shared" si="404"/>
        <v>0</v>
      </c>
      <c r="BC410" s="389">
        <f t="shared" si="404"/>
        <v>0</v>
      </c>
      <c r="BD410" s="389">
        <f t="shared" si="404"/>
        <v>0</v>
      </c>
      <c r="BE410" s="389">
        <f t="shared" si="404"/>
        <v>0</v>
      </c>
      <c r="BF410" s="389">
        <f t="shared" si="404"/>
        <v>0</v>
      </c>
      <c r="BG410" s="389">
        <f t="shared" si="404"/>
        <v>0</v>
      </c>
    </row>
    <row r="411" ht="12.75" customHeight="1" outlineLevel="1">
      <c r="A411" s="90"/>
      <c r="B411" s="148" t="s">
        <v>473</v>
      </c>
      <c r="C411" s="148"/>
      <c r="D411" s="148"/>
      <c r="E411" s="148"/>
      <c r="F411" s="148"/>
      <c r="G411" s="251">
        <f t="shared" ref="G411:R411" si="405">SUM(G409:G410)</f>
        <v>0</v>
      </c>
      <c r="H411" s="251">
        <f t="shared" si="405"/>
        <v>-200000</v>
      </c>
      <c r="I411" s="251">
        <f t="shared" si="405"/>
        <v>0</v>
      </c>
      <c r="J411" s="251">
        <f t="shared" si="405"/>
        <v>0</v>
      </c>
      <c r="K411" s="251">
        <f t="shared" si="405"/>
        <v>0</v>
      </c>
      <c r="L411" s="251">
        <f t="shared" si="405"/>
        <v>0</v>
      </c>
      <c r="M411" s="251">
        <f t="shared" si="405"/>
        <v>0</v>
      </c>
      <c r="N411" s="251">
        <f t="shared" si="405"/>
        <v>0</v>
      </c>
      <c r="O411" s="251">
        <f t="shared" si="405"/>
        <v>200000</v>
      </c>
      <c r="P411" s="251">
        <f t="shared" si="405"/>
        <v>0</v>
      </c>
      <c r="Q411" s="251">
        <f t="shared" si="405"/>
        <v>0</v>
      </c>
      <c r="R411" s="251">
        <f t="shared" si="405"/>
        <v>0</v>
      </c>
      <c r="AT411" s="390">
        <f t="shared" ref="AT411:BG411" si="406">SUM(AT409:AT410)</f>
        <v>0</v>
      </c>
      <c r="AU411" s="390">
        <f t="shared" si="406"/>
        <v>0</v>
      </c>
      <c r="AV411" s="390">
        <f t="shared" si="406"/>
        <v>0</v>
      </c>
      <c r="AW411" s="390">
        <f t="shared" si="406"/>
        <v>0</v>
      </c>
      <c r="AX411" s="390">
        <f t="shared" si="406"/>
        <v>0</v>
      </c>
      <c r="AY411" s="390">
        <f t="shared" si="406"/>
        <v>0</v>
      </c>
      <c r="AZ411" s="390">
        <f t="shared" si="406"/>
        <v>0</v>
      </c>
      <c r="BA411" s="390">
        <f t="shared" si="406"/>
        <v>0</v>
      </c>
      <c r="BB411" s="390">
        <f t="shared" si="406"/>
        <v>0</v>
      </c>
      <c r="BC411" s="390">
        <f t="shared" si="406"/>
        <v>0</v>
      </c>
      <c r="BD411" s="390">
        <f t="shared" si="406"/>
        <v>0</v>
      </c>
      <c r="BE411" s="390">
        <f t="shared" si="406"/>
        <v>0</v>
      </c>
      <c r="BF411" s="390">
        <f t="shared" si="406"/>
        <v>0</v>
      </c>
      <c r="BG411" s="390">
        <f t="shared" si="406"/>
        <v>0</v>
      </c>
    </row>
    <row r="412" ht="12.75" customHeight="1" outlineLevel="1">
      <c r="A412" s="90"/>
      <c r="B412" s="90"/>
      <c r="C412" s="90"/>
      <c r="D412" s="90"/>
      <c r="E412" s="90"/>
      <c r="F412" s="90"/>
      <c r="G412" s="114"/>
      <c r="H412" s="114"/>
      <c r="I412" s="114"/>
      <c r="J412" s="114"/>
      <c r="K412" s="114"/>
      <c r="L412" s="114"/>
      <c r="M412" s="114"/>
      <c r="N412" s="114"/>
      <c r="O412" s="114"/>
      <c r="P412" s="114"/>
      <c r="Q412" s="114"/>
      <c r="R412" s="114"/>
      <c r="AT412" s="391"/>
      <c r="AU412" s="391"/>
      <c r="AV412" s="391"/>
      <c r="AW412" s="391"/>
      <c r="AX412" s="391"/>
      <c r="AY412" s="391"/>
      <c r="AZ412" s="391"/>
      <c r="BA412" s="391"/>
      <c r="BB412" s="391"/>
      <c r="BC412" s="391"/>
      <c r="BD412" s="391"/>
      <c r="BE412" s="391"/>
      <c r="BF412" s="391"/>
      <c r="BG412" s="391"/>
    </row>
    <row r="413" ht="12.75" customHeight="1" outlineLevel="1">
      <c r="A413" s="90"/>
      <c r="B413" s="201" t="s">
        <v>474</v>
      </c>
      <c r="C413" s="90"/>
      <c r="D413" s="90"/>
      <c r="E413" s="90"/>
      <c r="F413" s="90"/>
      <c r="G413" s="114"/>
      <c r="H413" s="114"/>
      <c r="I413" s="114"/>
      <c r="J413" s="114"/>
      <c r="K413" s="114"/>
      <c r="L413" s="114"/>
      <c r="M413" s="114"/>
      <c r="N413" s="114"/>
      <c r="O413" s="114"/>
      <c r="P413" s="114"/>
      <c r="Q413" s="114"/>
      <c r="R413" s="114"/>
      <c r="AT413" s="391"/>
      <c r="AU413" s="391"/>
      <c r="AV413" s="391"/>
      <c r="AW413" s="391"/>
      <c r="AX413" s="391"/>
      <c r="AY413" s="391"/>
      <c r="AZ413" s="391"/>
      <c r="BA413" s="391"/>
      <c r="BB413" s="391"/>
      <c r="BC413" s="391"/>
      <c r="BD413" s="391"/>
      <c r="BE413" s="391"/>
      <c r="BF413" s="391"/>
      <c r="BG413" s="391"/>
    </row>
    <row r="414" ht="12.75" customHeight="1" outlineLevel="1">
      <c r="A414" s="90"/>
      <c r="B414" s="90"/>
      <c r="C414" s="90" t="s">
        <v>846</v>
      </c>
      <c r="D414" s="90"/>
      <c r="E414" s="90"/>
      <c r="F414" s="90"/>
      <c r="G414" s="90"/>
      <c r="H414" s="90"/>
      <c r="I414" s="90"/>
      <c r="J414" s="90"/>
      <c r="K414" s="90"/>
      <c r="L414" s="90"/>
      <c r="M414" s="90"/>
      <c r="N414" s="90"/>
      <c r="O414" s="90"/>
      <c r="P414" s="90"/>
      <c r="Q414" s="90"/>
      <c r="R414" s="90"/>
      <c r="AT414" s="313"/>
      <c r="AU414" s="313"/>
      <c r="AV414" s="313"/>
      <c r="AW414" s="313"/>
      <c r="AX414" s="313"/>
      <c r="AY414" s="313"/>
      <c r="AZ414" s="313"/>
      <c r="BA414" s="313"/>
      <c r="BB414" s="313"/>
      <c r="BC414" s="313"/>
      <c r="BD414" s="313"/>
      <c r="BE414" s="313"/>
      <c r="BF414" s="313"/>
      <c r="BG414" s="313"/>
    </row>
    <row r="415" ht="12.75" customHeight="1" outlineLevel="1">
      <c r="A415" s="90"/>
      <c r="B415" s="90"/>
      <c r="C415" s="90"/>
      <c r="D415" s="90" t="s">
        <v>557</v>
      </c>
      <c r="E415" s="90"/>
      <c r="F415" s="90"/>
      <c r="G415" s="99">
        <f>G435</f>
        <v>0</v>
      </c>
      <c r="H415" s="99">
        <v>250000.0</v>
      </c>
      <c r="I415" s="99">
        <v>0.0</v>
      </c>
      <c r="J415" s="99">
        <f t="shared" ref="J415:R415" si="407">J435</f>
        <v>0</v>
      </c>
      <c r="K415" s="99">
        <f t="shared" si="407"/>
        <v>0</v>
      </c>
      <c r="L415" s="99">
        <f t="shared" si="407"/>
        <v>0</v>
      </c>
      <c r="M415" s="99">
        <f t="shared" si="407"/>
        <v>0</v>
      </c>
      <c r="N415" s="99">
        <f t="shared" si="407"/>
        <v>0</v>
      </c>
      <c r="O415" s="99">
        <f t="shared" si="407"/>
        <v>0</v>
      </c>
      <c r="P415" s="99">
        <f t="shared" si="407"/>
        <v>0</v>
      </c>
      <c r="Q415" s="99">
        <f t="shared" si="407"/>
        <v>0</v>
      </c>
      <c r="R415" s="99">
        <f t="shared" si="407"/>
        <v>0</v>
      </c>
      <c r="AT415" s="308">
        <f t="shared" ref="AT415:BG415" si="408">AT435</f>
        <v>0</v>
      </c>
      <c r="AU415" s="308">
        <f t="shared" si="408"/>
        <v>0</v>
      </c>
      <c r="AV415" s="308">
        <f t="shared" si="408"/>
        <v>0</v>
      </c>
      <c r="AW415" s="308">
        <f t="shared" si="408"/>
        <v>0</v>
      </c>
      <c r="AX415" s="308">
        <f t="shared" si="408"/>
        <v>0</v>
      </c>
      <c r="AY415" s="308">
        <f t="shared" si="408"/>
        <v>0</v>
      </c>
      <c r="AZ415" s="308">
        <f t="shared" si="408"/>
        <v>0</v>
      </c>
      <c r="BA415" s="308">
        <f t="shared" si="408"/>
        <v>0</v>
      </c>
      <c r="BB415" s="308">
        <f t="shared" si="408"/>
        <v>0</v>
      </c>
      <c r="BC415" s="308">
        <f t="shared" si="408"/>
        <v>0</v>
      </c>
      <c r="BD415" s="308">
        <f t="shared" si="408"/>
        <v>0</v>
      </c>
      <c r="BE415" s="308">
        <f t="shared" si="408"/>
        <v>0</v>
      </c>
      <c r="BF415" s="308">
        <f t="shared" si="408"/>
        <v>0</v>
      </c>
      <c r="BG415" s="308">
        <f t="shared" si="408"/>
        <v>0</v>
      </c>
    </row>
    <row r="416" ht="12.75" customHeight="1" outlineLevel="1">
      <c r="A416" s="90"/>
      <c r="B416" s="90"/>
      <c r="C416" s="90"/>
      <c r="D416" s="90" t="s">
        <v>148</v>
      </c>
      <c r="E416" s="90"/>
      <c r="F416" s="90"/>
      <c r="G416" s="99">
        <f t="shared" ref="G416:R416" si="409">G445</f>
        <v>0</v>
      </c>
      <c r="H416" s="99">
        <f t="shared" si="409"/>
        <v>0</v>
      </c>
      <c r="I416" s="99">
        <f t="shared" si="409"/>
        <v>313052.284</v>
      </c>
      <c r="J416" s="99">
        <f t="shared" si="409"/>
        <v>11543.52576</v>
      </c>
      <c r="K416" s="99">
        <f t="shared" si="409"/>
        <v>12883.18847</v>
      </c>
      <c r="L416" s="99">
        <f t="shared" si="409"/>
        <v>868.14</v>
      </c>
      <c r="M416" s="99">
        <f t="shared" si="409"/>
        <v>0</v>
      </c>
      <c r="N416" s="99">
        <f t="shared" si="409"/>
        <v>0</v>
      </c>
      <c r="O416" s="99">
        <f t="shared" si="409"/>
        <v>0</v>
      </c>
      <c r="P416" s="99">
        <f t="shared" si="409"/>
        <v>0</v>
      </c>
      <c r="Q416" s="99">
        <f t="shared" si="409"/>
        <v>0</v>
      </c>
      <c r="R416" s="99">
        <f t="shared" si="409"/>
        <v>0</v>
      </c>
      <c r="AT416" s="308">
        <f t="shared" ref="AT416:BG416" si="410">AT445</f>
        <v>0</v>
      </c>
      <c r="AU416" s="308">
        <f t="shared" si="410"/>
        <v>0</v>
      </c>
      <c r="AV416" s="308">
        <f t="shared" si="410"/>
        <v>0</v>
      </c>
      <c r="AW416" s="308">
        <f t="shared" si="410"/>
        <v>0</v>
      </c>
      <c r="AX416" s="308">
        <f t="shared" si="410"/>
        <v>0</v>
      </c>
      <c r="AY416" s="308">
        <f t="shared" si="410"/>
        <v>0</v>
      </c>
      <c r="AZ416" s="308">
        <f t="shared" si="410"/>
        <v>0</v>
      </c>
      <c r="BA416" s="308">
        <f t="shared" si="410"/>
        <v>0</v>
      </c>
      <c r="BB416" s="308">
        <f t="shared" si="410"/>
        <v>0</v>
      </c>
      <c r="BC416" s="308">
        <f t="shared" si="410"/>
        <v>0</v>
      </c>
      <c r="BD416" s="308">
        <f t="shared" si="410"/>
        <v>0</v>
      </c>
      <c r="BE416" s="308">
        <f t="shared" si="410"/>
        <v>0</v>
      </c>
      <c r="BF416" s="308">
        <f t="shared" si="410"/>
        <v>0</v>
      </c>
      <c r="BG416" s="308">
        <f t="shared" si="410"/>
        <v>0</v>
      </c>
    </row>
    <row r="417" ht="12.75" customHeight="1" outlineLevel="1">
      <c r="A417" s="90"/>
      <c r="B417" s="90"/>
      <c r="C417" s="90"/>
      <c r="D417" s="90" t="s">
        <v>479</v>
      </c>
      <c r="E417" s="90"/>
      <c r="F417" s="90"/>
      <c r="G417" s="99" t="str">
        <f t="shared" ref="G417:R417" si="411">G459</f>
        <v/>
      </c>
      <c r="H417" s="99">
        <f t="shared" si="411"/>
        <v>0</v>
      </c>
      <c r="I417" s="99">
        <f t="shared" si="411"/>
        <v>0</v>
      </c>
      <c r="J417" s="99">
        <f t="shared" si="411"/>
        <v>0</v>
      </c>
      <c r="K417" s="99">
        <f t="shared" si="411"/>
        <v>50000</v>
      </c>
      <c r="L417" s="99">
        <f t="shared" si="411"/>
        <v>25000</v>
      </c>
      <c r="M417" s="99">
        <f t="shared" si="411"/>
        <v>50000</v>
      </c>
      <c r="N417" s="99">
        <f t="shared" si="411"/>
        <v>0</v>
      </c>
      <c r="O417" s="99">
        <f t="shared" si="411"/>
        <v>-125000</v>
      </c>
      <c r="P417" s="99">
        <f t="shared" si="411"/>
        <v>0</v>
      </c>
      <c r="Q417" s="99">
        <f t="shared" si="411"/>
        <v>0</v>
      </c>
      <c r="R417" s="99">
        <f t="shared" si="411"/>
        <v>0</v>
      </c>
      <c r="AT417" s="308">
        <f t="shared" ref="AT417:BG417" si="412">AT459</f>
        <v>0</v>
      </c>
      <c r="AU417" s="308">
        <f t="shared" si="412"/>
        <v>0</v>
      </c>
      <c r="AV417" s="308">
        <f t="shared" si="412"/>
        <v>0</v>
      </c>
      <c r="AW417" s="308">
        <f t="shared" si="412"/>
        <v>0</v>
      </c>
      <c r="AX417" s="308">
        <f t="shared" si="412"/>
        <v>0</v>
      </c>
      <c r="AY417" s="308">
        <f t="shared" si="412"/>
        <v>0</v>
      </c>
      <c r="AZ417" s="308">
        <f t="shared" si="412"/>
        <v>0</v>
      </c>
      <c r="BA417" s="308">
        <f t="shared" si="412"/>
        <v>0</v>
      </c>
      <c r="BB417" s="308">
        <f t="shared" si="412"/>
        <v>0</v>
      </c>
      <c r="BC417" s="308">
        <f t="shared" si="412"/>
        <v>0</v>
      </c>
      <c r="BD417" s="308">
        <f t="shared" si="412"/>
        <v>0</v>
      </c>
      <c r="BE417" s="308">
        <f t="shared" si="412"/>
        <v>0</v>
      </c>
      <c r="BF417" s="308">
        <f t="shared" si="412"/>
        <v>0</v>
      </c>
      <c r="BG417" s="308">
        <f t="shared" si="412"/>
        <v>0</v>
      </c>
    </row>
    <row r="418" ht="12.75" customHeight="1" outlineLevel="1">
      <c r="A418" s="90"/>
      <c r="B418" s="90"/>
      <c r="C418" s="90"/>
      <c r="D418" s="90" t="s">
        <v>480</v>
      </c>
      <c r="E418" s="90"/>
      <c r="F418" s="90"/>
      <c r="G418" s="99">
        <v>0.0</v>
      </c>
      <c r="H418" s="99">
        <v>0.0</v>
      </c>
      <c r="I418" s="99">
        <v>0.0</v>
      </c>
      <c r="J418" s="99">
        <v>0.0</v>
      </c>
      <c r="K418" s="99">
        <v>0.0</v>
      </c>
      <c r="L418" s="99">
        <v>0.0</v>
      </c>
      <c r="M418" s="99">
        <v>0.0</v>
      </c>
      <c r="N418" s="99">
        <v>0.0</v>
      </c>
      <c r="O418" s="99">
        <v>0.0</v>
      </c>
      <c r="P418" s="99">
        <v>0.0</v>
      </c>
      <c r="Q418" s="99">
        <v>0.0</v>
      </c>
      <c r="R418" s="99">
        <v>0.0</v>
      </c>
      <c r="AT418" s="308" t="str">
        <f t="shared" ref="AT418:BG418" si="413">AT460</f>
        <v/>
      </c>
      <c r="AU418" s="308" t="str">
        <f t="shared" si="413"/>
        <v/>
      </c>
      <c r="AV418" s="308" t="str">
        <f t="shared" si="413"/>
        <v/>
      </c>
      <c r="AW418" s="308" t="str">
        <f t="shared" si="413"/>
        <v/>
      </c>
      <c r="AX418" s="308" t="str">
        <f t="shared" si="413"/>
        <v/>
      </c>
      <c r="AY418" s="308" t="str">
        <f t="shared" si="413"/>
        <v/>
      </c>
      <c r="AZ418" s="308" t="str">
        <f t="shared" si="413"/>
        <v/>
      </c>
      <c r="BA418" s="308" t="str">
        <f t="shared" si="413"/>
        <v/>
      </c>
      <c r="BB418" s="308" t="str">
        <f t="shared" si="413"/>
        <v/>
      </c>
      <c r="BC418" s="308" t="str">
        <f t="shared" si="413"/>
        <v/>
      </c>
      <c r="BD418" s="308" t="str">
        <f t="shared" si="413"/>
        <v/>
      </c>
      <c r="BE418" s="308" t="str">
        <f t="shared" si="413"/>
        <v/>
      </c>
      <c r="BF418" s="308" t="str">
        <f t="shared" si="413"/>
        <v/>
      </c>
      <c r="BG418" s="308" t="str">
        <f t="shared" si="413"/>
        <v/>
      </c>
    </row>
    <row r="419" ht="12.75" customHeight="1" outlineLevel="1">
      <c r="A419" s="90"/>
      <c r="B419" s="90"/>
      <c r="C419" s="90" t="s">
        <v>481</v>
      </c>
      <c r="D419" s="90"/>
      <c r="E419" s="90"/>
      <c r="F419" s="90"/>
      <c r="G419" s="99">
        <v>0.0</v>
      </c>
      <c r="H419" s="99">
        <v>0.0</v>
      </c>
      <c r="I419" s="99">
        <v>0.0</v>
      </c>
      <c r="J419" s="99">
        <v>0.0</v>
      </c>
      <c r="K419" s="99">
        <v>0.0</v>
      </c>
      <c r="L419" s="99">
        <v>0.0</v>
      </c>
      <c r="M419" s="99">
        <v>0.0</v>
      </c>
      <c r="N419" s="99">
        <v>0.0</v>
      </c>
      <c r="O419" s="99">
        <v>0.0</v>
      </c>
      <c r="P419" s="99">
        <v>0.0</v>
      </c>
      <c r="Q419" s="99">
        <v>0.0</v>
      </c>
      <c r="R419" s="99">
        <v>0.0</v>
      </c>
      <c r="AT419" s="308">
        <v>0.0</v>
      </c>
      <c r="AU419" s="308">
        <v>0.0</v>
      </c>
      <c r="AV419" s="308">
        <v>0.0</v>
      </c>
      <c r="AW419" s="308">
        <v>0.0</v>
      </c>
      <c r="AX419" s="308">
        <v>0.0</v>
      </c>
      <c r="AY419" s="308">
        <v>0.0</v>
      </c>
      <c r="AZ419" s="308">
        <v>0.0</v>
      </c>
      <c r="BA419" s="308">
        <v>0.0</v>
      </c>
      <c r="BB419" s="308">
        <v>0.0</v>
      </c>
      <c r="BC419" s="308">
        <v>0.0</v>
      </c>
      <c r="BD419" s="308">
        <v>0.0</v>
      </c>
      <c r="BE419" s="308">
        <v>0.0</v>
      </c>
      <c r="BF419" s="308">
        <v>0.0</v>
      </c>
      <c r="BG419" s="308">
        <v>0.0</v>
      </c>
    </row>
    <row r="420" ht="12.75" customHeight="1" outlineLevel="1">
      <c r="A420" s="90"/>
      <c r="B420" s="90"/>
      <c r="C420" s="90" t="s">
        <v>847</v>
      </c>
      <c r="D420" s="90"/>
      <c r="E420" s="90"/>
      <c r="F420" s="90"/>
      <c r="G420" s="99"/>
      <c r="H420" s="99"/>
      <c r="I420" s="99"/>
      <c r="J420" s="99"/>
      <c r="K420" s="99"/>
      <c r="L420" s="99"/>
      <c r="M420" s="99"/>
      <c r="N420" s="99"/>
      <c r="O420" s="99"/>
      <c r="P420" s="99"/>
      <c r="Q420" s="99"/>
      <c r="R420" s="99"/>
      <c r="AT420" s="308"/>
      <c r="AU420" s="308"/>
      <c r="AV420" s="308"/>
      <c r="AW420" s="308"/>
      <c r="AX420" s="308"/>
      <c r="AY420" s="308"/>
      <c r="AZ420" s="308"/>
      <c r="BA420" s="308"/>
      <c r="BB420" s="308"/>
      <c r="BC420" s="308"/>
      <c r="BD420" s="308"/>
      <c r="BE420" s="308"/>
      <c r="BF420" s="308"/>
      <c r="BG420" s="308"/>
    </row>
    <row r="421" ht="12.75" customHeight="1" outlineLevel="1">
      <c r="A421" s="90"/>
      <c r="B421" s="90"/>
      <c r="C421" s="90"/>
      <c r="D421" s="90" t="s">
        <v>557</v>
      </c>
      <c r="E421" s="90"/>
      <c r="F421" s="90"/>
      <c r="G421" s="99">
        <f t="shared" ref="G421:I421" si="414">G439+G440</f>
        <v>0</v>
      </c>
      <c r="H421" s="99">
        <f t="shared" si="414"/>
        <v>0</v>
      </c>
      <c r="I421" s="99">
        <f t="shared" si="414"/>
        <v>-50000</v>
      </c>
      <c r="J421" s="99">
        <v>-50000.0</v>
      </c>
      <c r="K421" s="99">
        <v>-50000.0</v>
      </c>
      <c r="L421" s="99">
        <v>-50000.0</v>
      </c>
      <c r="M421" s="99">
        <v>-50000.0</v>
      </c>
      <c r="N421" s="99">
        <v>0.0</v>
      </c>
      <c r="O421" s="99">
        <f t="shared" ref="O421:R421" si="415">O437</f>
        <v>0</v>
      </c>
      <c r="P421" s="99">
        <f t="shared" si="415"/>
        <v>0</v>
      </c>
      <c r="Q421" s="99">
        <f t="shared" si="415"/>
        <v>0</v>
      </c>
      <c r="R421" s="99">
        <f t="shared" si="415"/>
        <v>0</v>
      </c>
      <c r="AT421" s="308">
        <f t="shared" ref="AT421:BG421" si="416">AT447</f>
        <v>0</v>
      </c>
      <c r="AU421" s="308">
        <f t="shared" si="416"/>
        <v>0</v>
      </c>
      <c r="AV421" s="308">
        <f t="shared" si="416"/>
        <v>0</v>
      </c>
      <c r="AW421" s="308">
        <f t="shared" si="416"/>
        <v>0</v>
      </c>
      <c r="AX421" s="308">
        <f t="shared" si="416"/>
        <v>0</v>
      </c>
      <c r="AY421" s="308">
        <f t="shared" si="416"/>
        <v>0</v>
      </c>
      <c r="AZ421" s="308">
        <f t="shared" si="416"/>
        <v>0</v>
      </c>
      <c r="BA421" s="308">
        <f t="shared" si="416"/>
        <v>0</v>
      </c>
      <c r="BB421" s="308">
        <f t="shared" si="416"/>
        <v>0</v>
      </c>
      <c r="BC421" s="308">
        <f t="shared" si="416"/>
        <v>0</v>
      </c>
      <c r="BD421" s="308">
        <f t="shared" si="416"/>
        <v>0</v>
      </c>
      <c r="BE421" s="308">
        <f t="shared" si="416"/>
        <v>0</v>
      </c>
      <c r="BF421" s="308">
        <f t="shared" si="416"/>
        <v>0</v>
      </c>
      <c r="BG421" s="308">
        <f t="shared" si="416"/>
        <v>0</v>
      </c>
    </row>
    <row r="422" ht="12.75" customHeight="1" outlineLevel="1">
      <c r="A422" s="90"/>
      <c r="B422" s="90"/>
      <c r="C422" s="90"/>
      <c r="D422" s="90" t="s">
        <v>148</v>
      </c>
      <c r="E422" s="90"/>
      <c r="F422" s="90"/>
      <c r="G422" s="99">
        <f t="shared" ref="G422:R422" si="417">G447</f>
        <v>0</v>
      </c>
      <c r="H422" s="99">
        <f t="shared" si="417"/>
        <v>0</v>
      </c>
      <c r="I422" s="99">
        <f t="shared" si="417"/>
        <v>0</v>
      </c>
      <c r="J422" s="99">
        <f t="shared" si="417"/>
        <v>0</v>
      </c>
      <c r="K422" s="99">
        <f t="shared" si="417"/>
        <v>0</v>
      </c>
      <c r="L422" s="99">
        <f t="shared" si="417"/>
        <v>0</v>
      </c>
      <c r="M422" s="99">
        <f t="shared" si="417"/>
        <v>-744.12</v>
      </c>
      <c r="N422" s="99">
        <f t="shared" si="417"/>
        <v>-682.11</v>
      </c>
      <c r="O422" s="99">
        <f t="shared" si="417"/>
        <v>-651.105</v>
      </c>
      <c r="P422" s="99">
        <f t="shared" si="417"/>
        <v>-651.105</v>
      </c>
      <c r="Q422" s="99">
        <f t="shared" si="417"/>
        <v>-341.055</v>
      </c>
      <c r="R422" s="99">
        <f t="shared" si="417"/>
        <v>0</v>
      </c>
      <c r="AT422" s="308">
        <f t="shared" ref="AT422:BG422" si="418">AT448</f>
        <v>0</v>
      </c>
      <c r="AU422" s="308">
        <f t="shared" si="418"/>
        <v>0</v>
      </c>
      <c r="AV422" s="308">
        <f t="shared" si="418"/>
        <v>0</v>
      </c>
      <c r="AW422" s="308">
        <f t="shared" si="418"/>
        <v>0</v>
      </c>
      <c r="AX422" s="308">
        <f t="shared" si="418"/>
        <v>0</v>
      </c>
      <c r="AY422" s="308">
        <f t="shared" si="418"/>
        <v>0</v>
      </c>
      <c r="AZ422" s="308">
        <f t="shared" si="418"/>
        <v>0</v>
      </c>
      <c r="BA422" s="308">
        <f t="shared" si="418"/>
        <v>0</v>
      </c>
      <c r="BB422" s="308">
        <f t="shared" si="418"/>
        <v>0</v>
      </c>
      <c r="BC422" s="308">
        <f t="shared" si="418"/>
        <v>0</v>
      </c>
      <c r="BD422" s="308">
        <f t="shared" si="418"/>
        <v>0</v>
      </c>
      <c r="BE422" s="308">
        <f t="shared" si="418"/>
        <v>0</v>
      </c>
      <c r="BF422" s="308">
        <f t="shared" si="418"/>
        <v>0</v>
      </c>
      <c r="BG422" s="308">
        <f t="shared" si="418"/>
        <v>0</v>
      </c>
    </row>
    <row r="423" ht="12.75" customHeight="1" outlineLevel="1">
      <c r="A423" s="90"/>
      <c r="B423" s="90"/>
      <c r="C423" s="90"/>
      <c r="D423" s="90" t="s">
        <v>479</v>
      </c>
      <c r="E423" s="90"/>
      <c r="F423" s="90"/>
      <c r="G423" s="99">
        <v>0.0</v>
      </c>
      <c r="H423" s="99">
        <f t="shared" ref="H423:R423" si="419">H464</f>
        <v>0</v>
      </c>
      <c r="I423" s="99">
        <f t="shared" si="419"/>
        <v>0</v>
      </c>
      <c r="J423" s="99">
        <f t="shared" si="419"/>
        <v>0</v>
      </c>
      <c r="K423" s="99">
        <f t="shared" si="419"/>
        <v>0</v>
      </c>
      <c r="L423" s="99">
        <f t="shared" si="419"/>
        <v>0</v>
      </c>
      <c r="M423" s="99">
        <f t="shared" si="419"/>
        <v>0</v>
      </c>
      <c r="N423" s="99">
        <f t="shared" si="419"/>
        <v>0</v>
      </c>
      <c r="O423" s="99">
        <f t="shared" si="419"/>
        <v>0</v>
      </c>
      <c r="P423" s="99">
        <f t="shared" si="419"/>
        <v>0</v>
      </c>
      <c r="Q423" s="99">
        <f t="shared" si="419"/>
        <v>0</v>
      </c>
      <c r="R423" s="99">
        <f t="shared" si="419"/>
        <v>0</v>
      </c>
      <c r="AT423" s="308">
        <v>0.0</v>
      </c>
      <c r="AU423" s="308">
        <v>0.0</v>
      </c>
      <c r="AV423" s="308">
        <v>0.0</v>
      </c>
      <c r="AW423" s="308">
        <v>0.0</v>
      </c>
      <c r="AX423" s="308">
        <v>0.0</v>
      </c>
      <c r="AY423" s="308">
        <v>0.0</v>
      </c>
      <c r="AZ423" s="308">
        <v>0.0</v>
      </c>
      <c r="BA423" s="308">
        <v>0.0</v>
      </c>
      <c r="BB423" s="308">
        <v>0.0</v>
      </c>
      <c r="BC423" s="308">
        <v>0.0</v>
      </c>
      <c r="BD423" s="308">
        <v>0.0</v>
      </c>
      <c r="BE423" s="308">
        <v>0.0</v>
      </c>
      <c r="BF423" s="308">
        <v>0.0</v>
      </c>
      <c r="BG423" s="308">
        <v>0.0</v>
      </c>
    </row>
    <row r="424" ht="12.75" customHeight="1" outlineLevel="1">
      <c r="A424" s="90"/>
      <c r="B424" s="90"/>
      <c r="C424" s="90"/>
      <c r="D424" s="90" t="s">
        <v>480</v>
      </c>
      <c r="E424" s="90"/>
      <c r="F424" s="90"/>
      <c r="G424" s="99">
        <v>0.0</v>
      </c>
      <c r="H424" s="99">
        <v>0.0</v>
      </c>
      <c r="I424" s="99">
        <v>0.0</v>
      </c>
      <c r="J424" s="99">
        <v>0.0</v>
      </c>
      <c r="K424" s="99">
        <v>0.0</v>
      </c>
      <c r="L424" s="99">
        <v>0.0</v>
      </c>
      <c r="M424" s="99">
        <v>0.0</v>
      </c>
      <c r="N424" s="99">
        <v>0.0</v>
      </c>
      <c r="O424" s="99">
        <v>0.0</v>
      </c>
      <c r="P424" s="99">
        <v>0.0</v>
      </c>
      <c r="Q424" s="99">
        <v>0.0</v>
      </c>
      <c r="R424" s="99">
        <v>0.0</v>
      </c>
      <c r="AT424" s="308" t="str">
        <f t="shared" ref="AT424:BG424" si="420">AT466</f>
        <v/>
      </c>
      <c r="AU424" s="308" t="str">
        <f t="shared" si="420"/>
        <v/>
      </c>
      <c r="AV424" s="308" t="str">
        <f t="shared" si="420"/>
        <v/>
      </c>
      <c r="AW424" s="308" t="str">
        <f t="shared" si="420"/>
        <v/>
      </c>
      <c r="AX424" s="308" t="str">
        <f t="shared" si="420"/>
        <v/>
      </c>
      <c r="AY424" s="308" t="str">
        <f t="shared" si="420"/>
        <v/>
      </c>
      <c r="AZ424" s="308" t="str">
        <f t="shared" si="420"/>
        <v/>
      </c>
      <c r="BA424" s="308" t="str">
        <f t="shared" si="420"/>
        <v/>
      </c>
      <c r="BB424" s="308" t="str">
        <f t="shared" si="420"/>
        <v/>
      </c>
      <c r="BC424" s="308" t="str">
        <f t="shared" si="420"/>
        <v/>
      </c>
      <c r="BD424" s="308" t="str">
        <f t="shared" si="420"/>
        <v/>
      </c>
      <c r="BE424" s="308" t="str">
        <f t="shared" si="420"/>
        <v/>
      </c>
      <c r="BF424" s="308" t="str">
        <f t="shared" si="420"/>
        <v/>
      </c>
      <c r="BG424" s="308" t="str">
        <f t="shared" si="420"/>
        <v/>
      </c>
    </row>
    <row r="425" ht="12.75" customHeight="1" outlineLevel="1">
      <c r="A425" s="90"/>
      <c r="B425" s="148" t="s">
        <v>482</v>
      </c>
      <c r="C425" s="148"/>
      <c r="D425" s="148"/>
      <c r="E425" s="148"/>
      <c r="F425" s="148"/>
      <c r="G425" s="150">
        <f t="shared" ref="G425:R425" si="421">SUM(G415:G424)</f>
        <v>0</v>
      </c>
      <c r="H425" s="150">
        <f t="shared" si="421"/>
        <v>250000</v>
      </c>
      <c r="I425" s="150">
        <f t="shared" si="421"/>
        <v>263052.284</v>
      </c>
      <c r="J425" s="150">
        <f t="shared" si="421"/>
        <v>-38456.47424</v>
      </c>
      <c r="K425" s="150">
        <f t="shared" si="421"/>
        <v>12883.18847</v>
      </c>
      <c r="L425" s="150">
        <f t="shared" si="421"/>
        <v>-24131.86</v>
      </c>
      <c r="M425" s="150">
        <f t="shared" si="421"/>
        <v>-744.12</v>
      </c>
      <c r="N425" s="150">
        <f t="shared" si="421"/>
        <v>-682.11</v>
      </c>
      <c r="O425" s="150">
        <f t="shared" si="421"/>
        <v>-125651.105</v>
      </c>
      <c r="P425" s="150">
        <f t="shared" si="421"/>
        <v>-651.105</v>
      </c>
      <c r="Q425" s="150">
        <f t="shared" si="421"/>
        <v>-341.055</v>
      </c>
      <c r="R425" s="150">
        <f t="shared" si="421"/>
        <v>0</v>
      </c>
      <c r="AT425" s="386">
        <f t="shared" ref="AT425:BG425" si="422">SUM(AT415:AT424)</f>
        <v>0</v>
      </c>
      <c r="AU425" s="386">
        <f t="shared" si="422"/>
        <v>0</v>
      </c>
      <c r="AV425" s="386">
        <f t="shared" si="422"/>
        <v>0</v>
      </c>
      <c r="AW425" s="386">
        <f t="shared" si="422"/>
        <v>0</v>
      </c>
      <c r="AX425" s="386">
        <f t="shared" si="422"/>
        <v>0</v>
      </c>
      <c r="AY425" s="386">
        <f t="shared" si="422"/>
        <v>0</v>
      </c>
      <c r="AZ425" s="386">
        <f t="shared" si="422"/>
        <v>0</v>
      </c>
      <c r="BA425" s="386">
        <f t="shared" si="422"/>
        <v>0</v>
      </c>
      <c r="BB425" s="386">
        <f t="shared" si="422"/>
        <v>0</v>
      </c>
      <c r="BC425" s="386">
        <f t="shared" si="422"/>
        <v>0</v>
      </c>
      <c r="BD425" s="386">
        <f t="shared" si="422"/>
        <v>0</v>
      </c>
      <c r="BE425" s="386">
        <f t="shared" si="422"/>
        <v>0</v>
      </c>
      <c r="BF425" s="386">
        <f t="shared" si="422"/>
        <v>0</v>
      </c>
      <c r="BG425" s="386">
        <f t="shared" si="422"/>
        <v>0</v>
      </c>
    </row>
    <row r="426" ht="12.75" customHeight="1" outlineLevel="1">
      <c r="A426" s="134" t="s">
        <v>483</v>
      </c>
      <c r="B426" s="134"/>
      <c r="C426" s="134"/>
      <c r="D426" s="134"/>
      <c r="E426" s="134"/>
      <c r="F426" s="134"/>
      <c r="G426" s="251">
        <f t="shared" ref="G426:R426" si="423">G406+G411+G425</f>
        <v>0</v>
      </c>
      <c r="H426" s="251">
        <f t="shared" si="423"/>
        <v>50071.97388</v>
      </c>
      <c r="I426" s="251">
        <f t="shared" si="423"/>
        <v>6234.024526</v>
      </c>
      <c r="J426" s="251">
        <f t="shared" si="423"/>
        <v>-43400.72019</v>
      </c>
      <c r="K426" s="251">
        <f t="shared" si="423"/>
        <v>-1504.664859</v>
      </c>
      <c r="L426" s="251">
        <f t="shared" si="423"/>
        <v>-8139.829233</v>
      </c>
      <c r="M426" s="251">
        <f t="shared" si="423"/>
        <v>15140.45079</v>
      </c>
      <c r="N426" s="251">
        <f t="shared" si="423"/>
        <v>12712.90915</v>
      </c>
      <c r="O426" s="251">
        <f t="shared" si="423"/>
        <v>83580.52461</v>
      </c>
      <c r="P426" s="251">
        <f t="shared" si="423"/>
        <v>4356.75162</v>
      </c>
      <c r="Q426" s="251">
        <f t="shared" si="423"/>
        <v>2047.53102</v>
      </c>
      <c r="R426" s="251">
        <f t="shared" si="423"/>
        <v>1941.74196</v>
      </c>
      <c r="AT426" s="390" t="str">
        <f t="shared" ref="AT426:BG426" si="424">AT406+AT411+AT425</f>
        <v>#REF!</v>
      </c>
      <c r="AU426" s="390" t="str">
        <f t="shared" si="424"/>
        <v>#REF!</v>
      </c>
      <c r="AV426" s="390" t="str">
        <f t="shared" si="424"/>
        <v>#REF!</v>
      </c>
      <c r="AW426" s="390" t="str">
        <f t="shared" si="424"/>
        <v>#REF!</v>
      </c>
      <c r="AX426" s="390" t="str">
        <f t="shared" si="424"/>
        <v>#REF!</v>
      </c>
      <c r="AY426" s="390" t="str">
        <f t="shared" si="424"/>
        <v>#REF!</v>
      </c>
      <c r="AZ426" s="390" t="str">
        <f t="shared" si="424"/>
        <v>#REF!</v>
      </c>
      <c r="BA426" s="390" t="str">
        <f t="shared" si="424"/>
        <v>#REF!</v>
      </c>
      <c r="BB426" s="390" t="str">
        <f t="shared" si="424"/>
        <v>#REF!</v>
      </c>
      <c r="BC426" s="390" t="str">
        <f t="shared" si="424"/>
        <v>#REF!</v>
      </c>
      <c r="BD426" s="390" t="str">
        <f t="shared" si="424"/>
        <v>#REF!</v>
      </c>
      <c r="BE426" s="390" t="str">
        <f t="shared" si="424"/>
        <v>#REF!</v>
      </c>
      <c r="BF426" s="390" t="str">
        <f t="shared" si="424"/>
        <v>#REF!</v>
      </c>
      <c r="BG426" s="390" t="str">
        <f t="shared" si="424"/>
        <v>#REF!</v>
      </c>
    </row>
    <row r="427" ht="12.75" customHeight="1" outlineLevel="1">
      <c r="A427" s="67"/>
      <c r="B427" s="90" t="s">
        <v>216</v>
      </c>
      <c r="C427" s="67"/>
      <c r="D427" s="67"/>
      <c r="E427" s="67"/>
      <c r="F427" s="67"/>
      <c r="G427" s="147">
        <v>0.0</v>
      </c>
      <c r="H427" s="147">
        <f t="shared" ref="H427:R427" si="425">G428</f>
        <v>0</v>
      </c>
      <c r="I427" s="147">
        <f t="shared" si="425"/>
        <v>50071.97388</v>
      </c>
      <c r="J427" s="147">
        <f t="shared" si="425"/>
        <v>56305.9984</v>
      </c>
      <c r="K427" s="147">
        <f t="shared" si="425"/>
        <v>12905.27821</v>
      </c>
      <c r="L427" s="147">
        <f t="shared" si="425"/>
        <v>11400.61335</v>
      </c>
      <c r="M427" s="147">
        <f t="shared" si="425"/>
        <v>3260.784121</v>
      </c>
      <c r="N427" s="147">
        <f t="shared" si="425"/>
        <v>18401.23491</v>
      </c>
      <c r="O427" s="147">
        <f t="shared" si="425"/>
        <v>31114.14406</v>
      </c>
      <c r="P427" s="147">
        <f t="shared" si="425"/>
        <v>114694.6687</v>
      </c>
      <c r="Q427" s="147">
        <f t="shared" si="425"/>
        <v>119051.4203</v>
      </c>
      <c r="R427" s="147">
        <f t="shared" si="425"/>
        <v>121098.9513</v>
      </c>
      <c r="AT427" s="389" t="str">
        <f t="shared" ref="AT427:BG427" si="426">AS428</f>
        <v/>
      </c>
      <c r="AU427" s="389" t="str">
        <f t="shared" si="426"/>
        <v>#REF!</v>
      </c>
      <c r="AV427" s="389" t="str">
        <f t="shared" si="426"/>
        <v>#REF!</v>
      </c>
      <c r="AW427" s="389" t="str">
        <f t="shared" si="426"/>
        <v>#REF!</v>
      </c>
      <c r="AX427" s="389" t="str">
        <f t="shared" si="426"/>
        <v>#REF!</v>
      </c>
      <c r="AY427" s="389" t="str">
        <f t="shared" si="426"/>
        <v>#REF!</v>
      </c>
      <c r="AZ427" s="389" t="str">
        <f t="shared" si="426"/>
        <v>#REF!</v>
      </c>
      <c r="BA427" s="389" t="str">
        <f t="shared" si="426"/>
        <v>#REF!</v>
      </c>
      <c r="BB427" s="389" t="str">
        <f t="shared" si="426"/>
        <v>#REF!</v>
      </c>
      <c r="BC427" s="389" t="str">
        <f t="shared" si="426"/>
        <v>#REF!</v>
      </c>
      <c r="BD427" s="389" t="str">
        <f t="shared" si="426"/>
        <v>#REF!</v>
      </c>
      <c r="BE427" s="389" t="str">
        <f t="shared" si="426"/>
        <v>#REF!</v>
      </c>
      <c r="BF427" s="389" t="str">
        <f t="shared" si="426"/>
        <v>#REF!</v>
      </c>
      <c r="BG427" s="389" t="str">
        <f t="shared" si="426"/>
        <v>#REF!</v>
      </c>
    </row>
    <row r="428" ht="12.75" customHeight="1" outlineLevel="1">
      <c r="A428" s="131" t="s">
        <v>484</v>
      </c>
      <c r="B428" s="131"/>
      <c r="C428" s="131"/>
      <c r="D428" s="131"/>
      <c r="E428" s="131"/>
      <c r="F428" s="131"/>
      <c r="G428" s="252">
        <f t="shared" ref="G428:R428" si="427">G426+G427</f>
        <v>0</v>
      </c>
      <c r="H428" s="252">
        <f t="shared" si="427"/>
        <v>50071.97388</v>
      </c>
      <c r="I428" s="252">
        <f t="shared" si="427"/>
        <v>56305.9984</v>
      </c>
      <c r="J428" s="252">
        <f t="shared" si="427"/>
        <v>12905.27821</v>
      </c>
      <c r="K428" s="252">
        <f t="shared" si="427"/>
        <v>11400.61335</v>
      </c>
      <c r="L428" s="252">
        <f t="shared" si="427"/>
        <v>3260.784121</v>
      </c>
      <c r="M428" s="252">
        <f t="shared" si="427"/>
        <v>18401.23491</v>
      </c>
      <c r="N428" s="252">
        <f t="shared" si="427"/>
        <v>31114.14406</v>
      </c>
      <c r="O428" s="252">
        <f t="shared" si="427"/>
        <v>114694.6687</v>
      </c>
      <c r="P428" s="252">
        <f t="shared" si="427"/>
        <v>119051.4203</v>
      </c>
      <c r="Q428" s="252">
        <f t="shared" si="427"/>
        <v>121098.9513</v>
      </c>
      <c r="R428" s="252">
        <f t="shared" si="427"/>
        <v>123040.6933</v>
      </c>
      <c r="AT428" s="392" t="str">
        <f t="shared" ref="AT428:BG428" si="428">AT426+AT427</f>
        <v>#REF!</v>
      </c>
      <c r="AU428" s="392" t="str">
        <f t="shared" si="428"/>
        <v>#REF!</v>
      </c>
      <c r="AV428" s="392" t="str">
        <f t="shared" si="428"/>
        <v>#REF!</v>
      </c>
      <c r="AW428" s="392" t="str">
        <f t="shared" si="428"/>
        <v>#REF!</v>
      </c>
      <c r="AX428" s="392" t="str">
        <f t="shared" si="428"/>
        <v>#REF!</v>
      </c>
      <c r="AY428" s="392" t="str">
        <f t="shared" si="428"/>
        <v>#REF!</v>
      </c>
      <c r="AZ428" s="392" t="str">
        <f t="shared" si="428"/>
        <v>#REF!</v>
      </c>
      <c r="BA428" s="392" t="str">
        <f t="shared" si="428"/>
        <v>#REF!</v>
      </c>
      <c r="BB428" s="392" t="str">
        <f t="shared" si="428"/>
        <v>#REF!</v>
      </c>
      <c r="BC428" s="392" t="str">
        <f t="shared" si="428"/>
        <v>#REF!</v>
      </c>
      <c r="BD428" s="392" t="str">
        <f t="shared" si="428"/>
        <v>#REF!</v>
      </c>
      <c r="BE428" s="392" t="str">
        <f t="shared" si="428"/>
        <v>#REF!</v>
      </c>
      <c r="BF428" s="392" t="str">
        <f t="shared" si="428"/>
        <v>#REF!</v>
      </c>
      <c r="BG428" s="392" t="str">
        <f t="shared" si="428"/>
        <v>#REF!</v>
      </c>
    </row>
    <row r="429" ht="12.75" customHeight="1" outlineLevel="1">
      <c r="A429" s="67"/>
      <c r="B429" s="90"/>
      <c r="C429" s="90"/>
      <c r="D429" s="90"/>
      <c r="E429" s="90"/>
      <c r="F429" s="90"/>
      <c r="G429" s="114"/>
      <c r="H429" s="114"/>
      <c r="I429" s="114"/>
      <c r="J429" s="114"/>
      <c r="K429" s="114"/>
      <c r="L429" s="114"/>
      <c r="M429" s="114"/>
      <c r="N429" s="114"/>
      <c r="O429" s="114"/>
      <c r="P429" s="114"/>
      <c r="Q429" s="91"/>
      <c r="R429" s="91"/>
      <c r="AT429" s="382"/>
      <c r="AU429" s="382"/>
      <c r="AV429" s="382"/>
      <c r="AW429" s="382"/>
      <c r="AX429" s="382"/>
      <c r="AY429" s="382"/>
      <c r="AZ429" s="382"/>
      <c r="BA429" s="382"/>
      <c r="BB429" s="382"/>
      <c r="BC429" s="382"/>
      <c r="BD429" s="382"/>
      <c r="BE429" s="382"/>
      <c r="BF429" s="382"/>
      <c r="BG429" s="382"/>
    </row>
    <row r="430" ht="12.75" customHeight="1">
      <c r="A430" s="90"/>
      <c r="B430" s="90"/>
      <c r="C430" s="90"/>
      <c r="D430" s="90"/>
      <c r="E430" s="90"/>
      <c r="F430" s="90"/>
      <c r="G430" s="90"/>
      <c r="H430" s="90"/>
      <c r="I430" s="90"/>
      <c r="J430" s="90"/>
      <c r="K430" s="90"/>
      <c r="L430" s="90"/>
      <c r="M430" s="90"/>
      <c r="N430" s="90"/>
      <c r="O430" s="90"/>
      <c r="P430" s="90"/>
      <c r="Q430" s="90"/>
      <c r="R430" s="90"/>
      <c r="AT430" s="313"/>
      <c r="AU430" s="313"/>
      <c r="AV430" s="313"/>
      <c r="AW430" s="313"/>
      <c r="AX430" s="313"/>
      <c r="AY430" s="313"/>
      <c r="AZ430" s="313"/>
      <c r="BA430" s="313"/>
      <c r="BB430" s="313"/>
      <c r="BC430" s="313"/>
      <c r="BD430" s="313"/>
      <c r="BE430" s="313"/>
      <c r="BF430" s="313"/>
      <c r="BG430" s="313"/>
    </row>
    <row r="431" ht="12.75" customHeight="1">
      <c r="A431" s="106" t="s">
        <v>848</v>
      </c>
      <c r="B431" s="253"/>
      <c r="C431" s="253"/>
      <c r="D431" s="253"/>
      <c r="E431" s="253"/>
      <c r="F431" s="253"/>
      <c r="G431" s="253"/>
      <c r="H431" s="253"/>
      <c r="I431" s="253"/>
      <c r="J431" s="253"/>
      <c r="K431" s="253"/>
      <c r="L431" s="253"/>
      <c r="M431" s="253"/>
      <c r="N431" s="253"/>
      <c r="O431" s="253"/>
      <c r="P431" s="253"/>
      <c r="Q431" s="253"/>
      <c r="R431" s="253"/>
      <c r="AT431" s="314"/>
      <c r="AU431" s="314"/>
      <c r="AV431" s="314"/>
      <c r="AW431" s="314"/>
      <c r="AX431" s="314"/>
      <c r="AY431" s="314"/>
      <c r="AZ431" s="314"/>
      <c r="BA431" s="314"/>
      <c r="BB431" s="314"/>
      <c r="BC431" s="314"/>
      <c r="BD431" s="314"/>
      <c r="BE431" s="314"/>
      <c r="BF431" s="314"/>
      <c r="BG431" s="314"/>
    </row>
    <row r="432" ht="12.75" customHeight="1" outlineLevel="1">
      <c r="A432" s="90"/>
      <c r="B432" s="90"/>
      <c r="C432" s="90"/>
      <c r="D432" s="90"/>
      <c r="E432" s="90"/>
      <c r="F432" s="90"/>
      <c r="G432" s="90"/>
      <c r="H432" s="90"/>
      <c r="I432" s="90"/>
      <c r="J432" s="90"/>
      <c r="K432" s="90"/>
      <c r="L432" s="90"/>
      <c r="M432" s="90"/>
      <c r="N432" s="90"/>
      <c r="O432" s="90"/>
      <c r="P432" s="90"/>
      <c r="Q432" s="90"/>
      <c r="R432" s="90"/>
      <c r="AT432" s="313"/>
      <c r="AU432" s="313"/>
      <c r="AV432" s="313"/>
      <c r="AW432" s="313"/>
      <c r="AX432" s="313"/>
      <c r="AY432" s="313"/>
      <c r="AZ432" s="313"/>
      <c r="BA432" s="313"/>
      <c r="BB432" s="313"/>
      <c r="BC432" s="313"/>
      <c r="BD432" s="313"/>
      <c r="BE432" s="313"/>
      <c r="BF432" s="313"/>
      <c r="BG432" s="313"/>
    </row>
    <row r="433" ht="12.75" customHeight="1" outlineLevel="1">
      <c r="A433" s="90"/>
      <c r="B433" s="67" t="s">
        <v>557</v>
      </c>
      <c r="C433" s="90"/>
      <c r="D433" s="90"/>
      <c r="E433" s="90"/>
      <c r="F433" s="90"/>
      <c r="G433" s="90"/>
      <c r="H433" s="90"/>
      <c r="I433" s="90"/>
      <c r="J433" s="90"/>
      <c r="K433" s="90"/>
      <c r="L433" s="90"/>
      <c r="M433" s="90"/>
      <c r="N433" s="90"/>
      <c r="O433" s="90"/>
      <c r="P433" s="90"/>
      <c r="Q433" s="90"/>
      <c r="R433" s="90"/>
      <c r="AT433" s="313"/>
      <c r="AU433" s="313"/>
      <c r="AV433" s="313"/>
      <c r="AW433" s="313"/>
      <c r="AX433" s="313"/>
      <c r="AY433" s="313"/>
      <c r="AZ433" s="313"/>
      <c r="BA433" s="313"/>
      <c r="BB433" s="313"/>
      <c r="BC433" s="313"/>
      <c r="BD433" s="313"/>
      <c r="BE433" s="313"/>
      <c r="BF433" s="313"/>
      <c r="BG433" s="313"/>
    </row>
    <row r="434" ht="12.75" customHeight="1" outlineLevel="1">
      <c r="A434" s="90"/>
      <c r="B434" s="90"/>
      <c r="C434" s="90" t="s">
        <v>487</v>
      </c>
      <c r="D434" s="90"/>
      <c r="E434" s="90"/>
      <c r="F434" s="90"/>
      <c r="G434" s="99">
        <v>0.0</v>
      </c>
      <c r="H434" s="99">
        <v>0.0</v>
      </c>
      <c r="I434" s="99">
        <f t="shared" ref="I434:R434" si="429">+H441</f>
        <v>250000</v>
      </c>
      <c r="J434" s="99">
        <f t="shared" si="429"/>
        <v>200000</v>
      </c>
      <c r="K434" s="99">
        <f t="shared" si="429"/>
        <v>150000</v>
      </c>
      <c r="L434" s="99">
        <f t="shared" si="429"/>
        <v>100000</v>
      </c>
      <c r="M434" s="99">
        <f t="shared" si="429"/>
        <v>50000</v>
      </c>
      <c r="N434" s="99">
        <f t="shared" si="429"/>
        <v>0</v>
      </c>
      <c r="O434" s="99">
        <f t="shared" si="429"/>
        <v>0</v>
      </c>
      <c r="P434" s="99">
        <f t="shared" si="429"/>
        <v>0</v>
      </c>
      <c r="Q434" s="99">
        <f t="shared" si="429"/>
        <v>0</v>
      </c>
      <c r="R434" s="99">
        <f t="shared" si="429"/>
        <v>0</v>
      </c>
      <c r="AT434" s="308" t="str">
        <f t="shared" ref="AT434:BG434" si="430">+AS441</f>
        <v/>
      </c>
      <c r="AU434" s="308">
        <f t="shared" si="430"/>
        <v>0</v>
      </c>
      <c r="AV434" s="308">
        <f t="shared" si="430"/>
        <v>0</v>
      </c>
      <c r="AW434" s="308">
        <f t="shared" si="430"/>
        <v>0</v>
      </c>
      <c r="AX434" s="308">
        <f t="shared" si="430"/>
        <v>0</v>
      </c>
      <c r="AY434" s="308">
        <f t="shared" si="430"/>
        <v>0</v>
      </c>
      <c r="AZ434" s="308">
        <f t="shared" si="430"/>
        <v>0</v>
      </c>
      <c r="BA434" s="308">
        <f t="shared" si="430"/>
        <v>0</v>
      </c>
      <c r="BB434" s="308">
        <f t="shared" si="430"/>
        <v>0</v>
      </c>
      <c r="BC434" s="308">
        <f t="shared" si="430"/>
        <v>0</v>
      </c>
      <c r="BD434" s="308">
        <f t="shared" si="430"/>
        <v>0</v>
      </c>
      <c r="BE434" s="308">
        <f t="shared" si="430"/>
        <v>0</v>
      </c>
      <c r="BF434" s="308">
        <f t="shared" si="430"/>
        <v>0</v>
      </c>
      <c r="BG434" s="308">
        <f t="shared" si="430"/>
        <v>0</v>
      </c>
    </row>
    <row r="435" ht="12.75" customHeight="1" outlineLevel="1">
      <c r="A435" s="90"/>
      <c r="B435" s="90"/>
      <c r="C435" s="90" t="s">
        <v>488</v>
      </c>
      <c r="D435" s="90"/>
      <c r="E435" s="90"/>
      <c r="F435" s="90"/>
      <c r="G435" s="254">
        <v>0.0</v>
      </c>
      <c r="H435" s="254">
        <v>250000.0</v>
      </c>
      <c r="I435" s="254">
        <v>0.0</v>
      </c>
      <c r="J435" s="254">
        <v>0.0</v>
      </c>
      <c r="K435" s="254">
        <v>0.0</v>
      </c>
      <c r="L435" s="254">
        <v>0.0</v>
      </c>
      <c r="M435" s="254">
        <v>0.0</v>
      </c>
      <c r="N435" s="254">
        <v>0.0</v>
      </c>
      <c r="O435" s="99">
        <v>0.0</v>
      </c>
      <c r="P435" s="99">
        <v>0.0</v>
      </c>
      <c r="Q435" s="99">
        <v>0.0</v>
      </c>
      <c r="R435" s="99">
        <v>0.0</v>
      </c>
      <c r="AT435" s="308">
        <v>0.0</v>
      </c>
      <c r="AU435" s="308">
        <v>0.0</v>
      </c>
      <c r="AV435" s="308">
        <v>0.0</v>
      </c>
      <c r="AW435" s="308">
        <v>0.0</v>
      </c>
      <c r="AX435" s="308">
        <v>0.0</v>
      </c>
      <c r="AY435" s="308">
        <v>0.0</v>
      </c>
      <c r="AZ435" s="308">
        <v>0.0</v>
      </c>
      <c r="BA435" s="308">
        <v>0.0</v>
      </c>
      <c r="BB435" s="308">
        <v>0.0</v>
      </c>
      <c r="BC435" s="308">
        <v>0.0</v>
      </c>
      <c r="BD435" s="308">
        <v>0.0</v>
      </c>
      <c r="BE435" s="308">
        <v>0.0</v>
      </c>
      <c r="BF435" s="308">
        <v>0.0</v>
      </c>
      <c r="BG435" s="308">
        <v>0.0</v>
      </c>
    </row>
    <row r="436" ht="12.75" customHeight="1" outlineLevel="1">
      <c r="A436" s="90"/>
      <c r="B436" s="90"/>
      <c r="C436" s="90" t="s">
        <v>490</v>
      </c>
      <c r="D436" s="90"/>
      <c r="E436" s="90"/>
      <c r="F436" s="90"/>
      <c r="G436" s="254"/>
      <c r="H436" s="254"/>
      <c r="I436" s="99"/>
      <c r="J436" s="254"/>
      <c r="K436" s="254"/>
      <c r="L436" s="254"/>
      <c r="M436" s="254"/>
      <c r="N436" s="254"/>
      <c r="O436" s="99"/>
      <c r="P436" s="99"/>
      <c r="Q436" s="99"/>
      <c r="R436" s="99"/>
      <c r="AT436" s="308"/>
      <c r="AU436" s="308"/>
      <c r="AV436" s="308"/>
      <c r="AW436" s="308"/>
      <c r="AX436" s="308"/>
      <c r="AY436" s="308"/>
      <c r="AZ436" s="308"/>
      <c r="BA436" s="308"/>
      <c r="BB436" s="308"/>
      <c r="BC436" s="308"/>
      <c r="BD436" s="308"/>
      <c r="BE436" s="308"/>
      <c r="BF436" s="308"/>
      <c r="BG436" s="308"/>
    </row>
    <row r="437" ht="12.75" customHeight="1" outlineLevel="1">
      <c r="A437" s="90"/>
      <c r="B437" s="90"/>
      <c r="C437" s="90"/>
      <c r="D437" s="90" t="s">
        <v>701</v>
      </c>
      <c r="E437" s="90"/>
      <c r="F437" s="90"/>
      <c r="G437" s="99">
        <v>0.0</v>
      </c>
      <c r="H437" s="99">
        <v>0.0</v>
      </c>
      <c r="I437" s="99">
        <v>-50000.0</v>
      </c>
      <c r="J437" s="99">
        <v>-50000.0</v>
      </c>
      <c r="K437" s="99">
        <v>-50000.0</v>
      </c>
      <c r="L437" s="99">
        <v>-50000.0</v>
      </c>
      <c r="M437" s="99">
        <v>-50000.0</v>
      </c>
      <c r="N437" s="99">
        <v>0.0</v>
      </c>
      <c r="O437" s="99">
        <v>0.0</v>
      </c>
      <c r="P437" s="99">
        <v>0.0</v>
      </c>
      <c r="Q437" s="99">
        <v>0.0</v>
      </c>
      <c r="R437" s="99">
        <v>0.0</v>
      </c>
      <c r="AT437" s="308">
        <v>0.0</v>
      </c>
      <c r="AU437" s="308">
        <v>0.0</v>
      </c>
      <c r="AV437" s="308">
        <v>0.0</v>
      </c>
      <c r="AW437" s="308">
        <v>0.0</v>
      </c>
      <c r="AX437" s="308">
        <v>0.0</v>
      </c>
      <c r="AY437" s="308">
        <v>0.0</v>
      </c>
      <c r="AZ437" s="308">
        <v>0.0</v>
      </c>
      <c r="BA437" s="308">
        <v>0.0</v>
      </c>
      <c r="BB437" s="308">
        <v>0.0</v>
      </c>
      <c r="BC437" s="308">
        <v>0.0</v>
      </c>
      <c r="BD437" s="308">
        <v>0.0</v>
      </c>
      <c r="BE437" s="308">
        <v>0.0</v>
      </c>
      <c r="BF437" s="308">
        <v>0.0</v>
      </c>
      <c r="BG437" s="308">
        <v>0.0</v>
      </c>
    </row>
    <row r="438" ht="12.75" customHeight="1" outlineLevel="1">
      <c r="A438" s="90"/>
      <c r="B438" s="90"/>
      <c r="C438" s="90"/>
      <c r="D438" s="90" t="s">
        <v>489</v>
      </c>
      <c r="E438" s="90"/>
      <c r="F438" s="90"/>
      <c r="G438" s="99">
        <v>0.0</v>
      </c>
      <c r="H438" s="99">
        <v>0.0</v>
      </c>
      <c r="I438" s="99">
        <v>0.0</v>
      </c>
      <c r="J438" s="99">
        <v>0.0</v>
      </c>
      <c r="K438" s="99">
        <v>0.0</v>
      </c>
      <c r="L438" s="99">
        <v>0.0</v>
      </c>
      <c r="M438" s="99">
        <v>0.0</v>
      </c>
      <c r="N438" s="99">
        <v>0.0</v>
      </c>
      <c r="O438" s="99">
        <v>0.0</v>
      </c>
      <c r="P438" s="99">
        <v>0.0</v>
      </c>
      <c r="Q438" s="99">
        <v>0.0</v>
      </c>
      <c r="R438" s="99">
        <v>0.0</v>
      </c>
      <c r="AT438" s="308">
        <v>0.0</v>
      </c>
      <c r="AU438" s="308">
        <v>0.0</v>
      </c>
      <c r="AV438" s="308">
        <v>0.0</v>
      </c>
      <c r="AW438" s="308">
        <v>0.0</v>
      </c>
      <c r="AX438" s="308">
        <v>0.0</v>
      </c>
      <c r="AY438" s="308">
        <v>0.0</v>
      </c>
      <c r="AZ438" s="308">
        <v>0.0</v>
      </c>
      <c r="BA438" s="308">
        <v>0.0</v>
      </c>
      <c r="BB438" s="308">
        <v>0.0</v>
      </c>
      <c r="BC438" s="308">
        <v>0.0</v>
      </c>
      <c r="BD438" s="308">
        <v>0.0</v>
      </c>
      <c r="BE438" s="308">
        <v>0.0</v>
      </c>
      <c r="BF438" s="308">
        <v>0.0</v>
      </c>
      <c r="BG438" s="308">
        <v>0.0</v>
      </c>
    </row>
    <row r="439" ht="12.75" customHeight="1" outlineLevel="1">
      <c r="A439" s="90"/>
      <c r="B439" s="90"/>
      <c r="C439" s="148" t="s">
        <v>849</v>
      </c>
      <c r="D439" s="148"/>
      <c r="E439" s="148"/>
      <c r="F439" s="148"/>
      <c r="G439" s="150">
        <v>0.0</v>
      </c>
      <c r="H439" s="150">
        <v>0.0</v>
      </c>
      <c r="I439" s="150">
        <f t="shared" ref="I439:N439" si="431">I437</f>
        <v>-50000</v>
      </c>
      <c r="J439" s="150">
        <f t="shared" si="431"/>
        <v>-50000</v>
      </c>
      <c r="K439" s="150">
        <f t="shared" si="431"/>
        <v>-50000</v>
      </c>
      <c r="L439" s="150">
        <f t="shared" si="431"/>
        <v>-50000</v>
      </c>
      <c r="M439" s="150">
        <f t="shared" si="431"/>
        <v>-50000</v>
      </c>
      <c r="N439" s="150">
        <f t="shared" si="431"/>
        <v>0</v>
      </c>
      <c r="O439" s="150">
        <v>0.0</v>
      </c>
      <c r="P439" s="150">
        <v>0.0</v>
      </c>
      <c r="Q439" s="150">
        <v>0.0</v>
      </c>
      <c r="R439" s="150">
        <v>0.0</v>
      </c>
      <c r="AT439" s="386">
        <v>0.0</v>
      </c>
      <c r="AU439" s="386">
        <v>0.0</v>
      </c>
      <c r="AV439" s="386">
        <v>0.0</v>
      </c>
      <c r="AW439" s="386">
        <v>0.0</v>
      </c>
      <c r="AX439" s="386">
        <v>0.0</v>
      </c>
      <c r="AY439" s="386">
        <v>0.0</v>
      </c>
      <c r="AZ439" s="386">
        <v>0.0</v>
      </c>
      <c r="BA439" s="386">
        <v>0.0</v>
      </c>
      <c r="BB439" s="386">
        <v>0.0</v>
      </c>
      <c r="BC439" s="386">
        <v>0.0</v>
      </c>
      <c r="BD439" s="386">
        <v>0.0</v>
      </c>
      <c r="BE439" s="386">
        <v>0.0</v>
      </c>
      <c r="BF439" s="386">
        <v>0.0</v>
      </c>
      <c r="BG439" s="386">
        <v>0.0</v>
      </c>
    </row>
    <row r="440" ht="12.75" customHeight="1" outlineLevel="1">
      <c r="A440" s="393"/>
      <c r="B440" s="90"/>
      <c r="C440" s="90" t="s">
        <v>850</v>
      </c>
      <c r="D440" s="90"/>
      <c r="E440" s="90"/>
      <c r="F440" s="90"/>
      <c r="G440" s="99">
        <v>0.0</v>
      </c>
      <c r="H440" s="99">
        <v>0.0</v>
      </c>
      <c r="I440" s="99">
        <v>0.0</v>
      </c>
      <c r="J440" s="254">
        <v>0.0</v>
      </c>
      <c r="K440" s="254">
        <v>0.0</v>
      </c>
      <c r="L440" s="254">
        <v>0.0</v>
      </c>
      <c r="M440" s="254">
        <v>0.0</v>
      </c>
      <c r="N440" s="254">
        <v>0.0</v>
      </c>
      <c r="O440" s="99">
        <v>0.0</v>
      </c>
      <c r="P440" s="99">
        <v>0.0</v>
      </c>
      <c r="Q440" s="99">
        <v>0.0</v>
      </c>
      <c r="R440" s="99">
        <v>0.0</v>
      </c>
      <c r="AT440" s="308">
        <v>0.0</v>
      </c>
      <c r="AU440" s="308">
        <v>0.0</v>
      </c>
      <c r="AV440" s="308">
        <v>0.0</v>
      </c>
      <c r="AW440" s="308">
        <v>0.0</v>
      </c>
      <c r="AX440" s="308">
        <v>0.0</v>
      </c>
      <c r="AY440" s="308">
        <v>0.0</v>
      </c>
      <c r="AZ440" s="308">
        <v>0.0</v>
      </c>
      <c r="BA440" s="308">
        <v>0.0</v>
      </c>
      <c r="BB440" s="308">
        <v>0.0</v>
      </c>
      <c r="BC440" s="308">
        <v>0.0</v>
      </c>
      <c r="BD440" s="308">
        <v>0.0</v>
      </c>
      <c r="BE440" s="308">
        <v>0.0</v>
      </c>
      <c r="BF440" s="308">
        <v>0.0</v>
      </c>
      <c r="BG440" s="308">
        <v>0.0</v>
      </c>
    </row>
    <row r="441" ht="12.75" customHeight="1" outlineLevel="1">
      <c r="A441" s="90"/>
      <c r="B441" s="90"/>
      <c r="C441" s="148" t="s">
        <v>491</v>
      </c>
      <c r="D441" s="148"/>
      <c r="E441" s="148"/>
      <c r="F441" s="148"/>
      <c r="G441" s="150">
        <f t="shared" ref="G441:R441" si="432">G434+G435+G439+G440</f>
        <v>0</v>
      </c>
      <c r="H441" s="150">
        <f t="shared" si="432"/>
        <v>250000</v>
      </c>
      <c r="I441" s="150">
        <f t="shared" si="432"/>
        <v>200000</v>
      </c>
      <c r="J441" s="150">
        <f t="shared" si="432"/>
        <v>150000</v>
      </c>
      <c r="K441" s="150">
        <f t="shared" si="432"/>
        <v>100000</v>
      </c>
      <c r="L441" s="150">
        <f t="shared" si="432"/>
        <v>50000</v>
      </c>
      <c r="M441" s="150">
        <f t="shared" si="432"/>
        <v>0</v>
      </c>
      <c r="N441" s="150">
        <f t="shared" si="432"/>
        <v>0</v>
      </c>
      <c r="O441" s="150">
        <f t="shared" si="432"/>
        <v>0</v>
      </c>
      <c r="P441" s="150">
        <f t="shared" si="432"/>
        <v>0</v>
      </c>
      <c r="Q441" s="150">
        <f t="shared" si="432"/>
        <v>0</v>
      </c>
      <c r="R441" s="150">
        <f t="shared" si="432"/>
        <v>0</v>
      </c>
      <c r="AT441" s="386">
        <f t="shared" ref="AT441:BG441" si="433">AT434+AT439</f>
        <v>0</v>
      </c>
      <c r="AU441" s="386">
        <f t="shared" si="433"/>
        <v>0</v>
      </c>
      <c r="AV441" s="386">
        <f t="shared" si="433"/>
        <v>0</v>
      </c>
      <c r="AW441" s="386">
        <f t="shared" si="433"/>
        <v>0</v>
      </c>
      <c r="AX441" s="386">
        <f t="shared" si="433"/>
        <v>0</v>
      </c>
      <c r="AY441" s="386">
        <f t="shared" si="433"/>
        <v>0</v>
      </c>
      <c r="AZ441" s="386">
        <f t="shared" si="433"/>
        <v>0</v>
      </c>
      <c r="BA441" s="386">
        <f t="shared" si="433"/>
        <v>0</v>
      </c>
      <c r="BB441" s="386">
        <f t="shared" si="433"/>
        <v>0</v>
      </c>
      <c r="BC441" s="386">
        <f t="shared" si="433"/>
        <v>0</v>
      </c>
      <c r="BD441" s="386">
        <f t="shared" si="433"/>
        <v>0</v>
      </c>
      <c r="BE441" s="386">
        <f t="shared" si="433"/>
        <v>0</v>
      </c>
      <c r="BF441" s="386">
        <f t="shared" si="433"/>
        <v>0</v>
      </c>
      <c r="BG441" s="386">
        <f t="shared" si="433"/>
        <v>0</v>
      </c>
    </row>
    <row r="442" ht="12.75" customHeight="1" outlineLevel="1">
      <c r="A442" s="90"/>
      <c r="B442" s="90"/>
      <c r="C442" s="90"/>
      <c r="D442" s="90"/>
      <c r="E442" s="90"/>
      <c r="F442" s="90"/>
      <c r="G442" s="99"/>
      <c r="H442" s="99"/>
      <c r="I442" s="99"/>
      <c r="J442" s="99"/>
      <c r="K442" s="99"/>
      <c r="L442" s="99"/>
      <c r="M442" s="99"/>
      <c r="N442" s="99"/>
      <c r="O442" s="99"/>
      <c r="P442" s="99"/>
      <c r="Q442" s="99"/>
      <c r="R442" s="99"/>
      <c r="AT442" s="308"/>
      <c r="AU442" s="308"/>
      <c r="AV442" s="308"/>
      <c r="AW442" s="308"/>
      <c r="AX442" s="308"/>
      <c r="AY442" s="308"/>
      <c r="AZ442" s="308"/>
      <c r="BA442" s="308"/>
      <c r="BB442" s="308"/>
      <c r="BC442" s="308"/>
      <c r="BD442" s="308"/>
      <c r="BE442" s="308"/>
      <c r="BF442" s="308"/>
      <c r="BG442" s="308"/>
    </row>
    <row r="443" ht="12.75" customHeight="1" outlineLevel="1">
      <c r="A443" s="90"/>
      <c r="B443" s="67" t="s">
        <v>148</v>
      </c>
      <c r="C443" s="90"/>
      <c r="D443" s="90"/>
      <c r="E443" s="90"/>
      <c r="F443" s="90"/>
      <c r="G443" s="90"/>
      <c r="H443" s="90"/>
      <c r="I443" s="90"/>
      <c r="J443" s="90"/>
      <c r="K443" s="90"/>
      <c r="L443" s="90"/>
      <c r="M443" s="90"/>
      <c r="N443" s="90"/>
      <c r="O443" s="90"/>
      <c r="P443" s="90"/>
      <c r="Q443" s="90"/>
      <c r="R443" s="90"/>
      <c r="AT443" s="313"/>
      <c r="AU443" s="313"/>
      <c r="AV443" s="313"/>
      <c r="AW443" s="313"/>
      <c r="AX443" s="313"/>
      <c r="AY443" s="313"/>
      <c r="AZ443" s="313"/>
      <c r="BA443" s="313"/>
      <c r="BB443" s="313"/>
      <c r="BC443" s="313"/>
      <c r="BD443" s="313"/>
      <c r="BE443" s="313"/>
      <c r="BF443" s="313"/>
      <c r="BG443" s="313"/>
    </row>
    <row r="444" ht="12.75" customHeight="1" outlineLevel="1">
      <c r="A444" s="90"/>
      <c r="B444" s="90"/>
      <c r="C444" s="90" t="s">
        <v>487</v>
      </c>
      <c r="D444" s="90"/>
      <c r="E444" s="90"/>
      <c r="F444" s="90"/>
      <c r="G444" s="99">
        <v>0.0</v>
      </c>
      <c r="H444" s="99">
        <f t="shared" ref="H444:R444" si="434">G451</f>
        <v>0</v>
      </c>
      <c r="I444" s="99">
        <f t="shared" si="434"/>
        <v>0</v>
      </c>
      <c r="J444" s="99">
        <f t="shared" si="434"/>
        <v>313052.284</v>
      </c>
      <c r="K444" s="99">
        <f t="shared" si="434"/>
        <v>324595.8097</v>
      </c>
      <c r="L444" s="99">
        <f t="shared" si="434"/>
        <v>337478.9982</v>
      </c>
      <c r="M444" s="99">
        <f t="shared" si="434"/>
        <v>338347.1382</v>
      </c>
      <c r="N444" s="99">
        <f t="shared" si="434"/>
        <v>337603.0182</v>
      </c>
      <c r="O444" s="99">
        <f t="shared" si="434"/>
        <v>336920.9082</v>
      </c>
      <c r="P444" s="99">
        <f t="shared" si="434"/>
        <v>336269.8032</v>
      </c>
      <c r="Q444" s="99">
        <f t="shared" si="434"/>
        <v>335618.6982</v>
      </c>
      <c r="R444" s="99">
        <f t="shared" si="434"/>
        <v>335277.6432</v>
      </c>
      <c r="AT444" s="99" t="str">
        <f t="shared" ref="AT444:BG444" si="435">AS451</f>
        <v/>
      </c>
      <c r="AU444" s="99">
        <f t="shared" si="435"/>
        <v>0</v>
      </c>
      <c r="AV444" s="99">
        <f t="shared" si="435"/>
        <v>0</v>
      </c>
      <c r="AW444" s="99">
        <f t="shared" si="435"/>
        <v>0</v>
      </c>
      <c r="AX444" s="99">
        <f t="shared" si="435"/>
        <v>0</v>
      </c>
      <c r="AY444" s="99">
        <f t="shared" si="435"/>
        <v>0</v>
      </c>
      <c r="AZ444" s="99">
        <f t="shared" si="435"/>
        <v>0</v>
      </c>
      <c r="BA444" s="99">
        <f t="shared" si="435"/>
        <v>0</v>
      </c>
      <c r="BB444" s="99">
        <f t="shared" si="435"/>
        <v>0</v>
      </c>
      <c r="BC444" s="99">
        <f t="shared" si="435"/>
        <v>0</v>
      </c>
      <c r="BD444" s="99">
        <f t="shared" si="435"/>
        <v>0</v>
      </c>
      <c r="BE444" s="99">
        <f t="shared" si="435"/>
        <v>0</v>
      </c>
      <c r="BF444" s="99">
        <f t="shared" si="435"/>
        <v>0</v>
      </c>
      <c r="BG444" s="99">
        <f t="shared" si="435"/>
        <v>0</v>
      </c>
    </row>
    <row r="445" ht="12.75" customHeight="1" outlineLevel="1">
      <c r="A445" s="393"/>
      <c r="B445" s="90"/>
      <c r="C445" s="90" t="s">
        <v>488</v>
      </c>
      <c r="D445" s="90"/>
      <c r="E445" s="90"/>
      <c r="F445" s="90"/>
      <c r="G445" s="99">
        <f>IF(G455&gt;G453,0,IF(G453-G455&lt;F451,0,MIN(G454-F451,G453-F451-G455)))</f>
        <v>0</v>
      </c>
      <c r="H445" s="99">
        <f t="shared" ref="H445:R445" si="436">IF(H455&gt;H453,0,IF(H453-H455&lt;G451,0,MAX(0,MIN(H454-G451,H453-G451-H455))))</f>
        <v>0</v>
      </c>
      <c r="I445" s="99">
        <f t="shared" si="436"/>
        <v>313052.284</v>
      </c>
      <c r="J445" s="99">
        <f t="shared" si="436"/>
        <v>11543.52576</v>
      </c>
      <c r="K445" s="99">
        <f t="shared" si="436"/>
        <v>12883.18847</v>
      </c>
      <c r="L445" s="99">
        <f t="shared" si="436"/>
        <v>868.14</v>
      </c>
      <c r="M445" s="99">
        <f t="shared" si="436"/>
        <v>0</v>
      </c>
      <c r="N445" s="99">
        <f t="shared" si="436"/>
        <v>0</v>
      </c>
      <c r="O445" s="99">
        <f t="shared" si="436"/>
        <v>0</v>
      </c>
      <c r="P445" s="99">
        <f t="shared" si="436"/>
        <v>0</v>
      </c>
      <c r="Q445" s="99">
        <f t="shared" si="436"/>
        <v>0</v>
      </c>
      <c r="R445" s="99">
        <f t="shared" si="436"/>
        <v>0</v>
      </c>
      <c r="AT445" s="308">
        <v>0.0</v>
      </c>
      <c r="AU445" s="308">
        <v>0.0</v>
      </c>
      <c r="AV445" s="308">
        <v>0.0</v>
      </c>
      <c r="AW445" s="308">
        <v>0.0</v>
      </c>
      <c r="AX445" s="308">
        <v>0.0</v>
      </c>
      <c r="AY445" s="308">
        <v>0.0</v>
      </c>
      <c r="AZ445" s="308">
        <v>0.0</v>
      </c>
      <c r="BA445" s="308">
        <v>0.0</v>
      </c>
      <c r="BB445" s="308">
        <v>0.0</v>
      </c>
      <c r="BC445" s="308">
        <v>0.0</v>
      </c>
      <c r="BD445" s="308">
        <v>0.0</v>
      </c>
      <c r="BE445" s="308">
        <v>0.0</v>
      </c>
      <c r="BF445" s="308">
        <v>0.0</v>
      </c>
      <c r="BG445" s="308">
        <v>0.0</v>
      </c>
    </row>
    <row r="446" ht="12.75" customHeight="1" outlineLevel="1">
      <c r="A446" s="90"/>
      <c r="B446" s="90"/>
      <c r="C446" s="90" t="s">
        <v>490</v>
      </c>
      <c r="D446" s="90"/>
      <c r="E446" s="90"/>
      <c r="F446" s="90"/>
      <c r="G446" s="99"/>
      <c r="H446" s="99"/>
      <c r="I446" s="99"/>
      <c r="J446" s="99"/>
      <c r="K446" s="99"/>
      <c r="L446" s="99"/>
      <c r="M446" s="99"/>
      <c r="N446" s="99"/>
      <c r="O446" s="99"/>
      <c r="P446" s="99"/>
      <c r="Q446" s="99"/>
      <c r="R446" s="99"/>
      <c r="AT446" s="308"/>
      <c r="AU446" s="308"/>
      <c r="AV446" s="308"/>
      <c r="AW446" s="308"/>
      <c r="AX446" s="308"/>
      <c r="AY446" s="308"/>
      <c r="AZ446" s="308"/>
      <c r="BA446" s="308"/>
      <c r="BB446" s="308"/>
      <c r="BC446" s="308"/>
      <c r="BD446" s="308"/>
      <c r="BE446" s="308"/>
      <c r="BF446" s="308"/>
      <c r="BG446" s="308"/>
    </row>
    <row r="447" ht="12.75" customHeight="1" outlineLevel="1">
      <c r="A447" s="90"/>
      <c r="B447" s="90"/>
      <c r="C447" s="90"/>
      <c r="D447" s="90" t="s">
        <v>701</v>
      </c>
      <c r="E447" s="90"/>
      <c r="F447" s="90"/>
      <c r="G447" s="99">
        <f t="shared" ref="G447:R447" si="437">IF(G445&gt;0,0,IF(F451=0,0,IF(G455+F451&gt;G453,MAX(-F451,G453-G455-F451),IF(F451&gt;G454,G454-F451,0))))</f>
        <v>0</v>
      </c>
      <c r="H447" s="99">
        <f t="shared" si="437"/>
        <v>0</v>
      </c>
      <c r="I447" s="99">
        <f t="shared" si="437"/>
        <v>0</v>
      </c>
      <c r="J447" s="99">
        <f t="shared" si="437"/>
        <v>0</v>
      </c>
      <c r="K447" s="99">
        <f t="shared" si="437"/>
        <v>0</v>
      </c>
      <c r="L447" s="99">
        <f t="shared" si="437"/>
        <v>0</v>
      </c>
      <c r="M447" s="99">
        <f t="shared" si="437"/>
        <v>-744.12</v>
      </c>
      <c r="N447" s="99">
        <f t="shared" si="437"/>
        <v>-682.11</v>
      </c>
      <c r="O447" s="99">
        <f t="shared" si="437"/>
        <v>-651.105</v>
      </c>
      <c r="P447" s="99">
        <f t="shared" si="437"/>
        <v>-651.105</v>
      </c>
      <c r="Q447" s="99">
        <f t="shared" si="437"/>
        <v>-341.055</v>
      </c>
      <c r="R447" s="99">
        <f t="shared" si="437"/>
        <v>0</v>
      </c>
      <c r="AT447" s="308">
        <f t="shared" ref="AT447:BG447" si="438">MIN(AT449-AT448,0)</f>
        <v>0</v>
      </c>
      <c r="AU447" s="308">
        <f t="shared" si="438"/>
        <v>0</v>
      </c>
      <c r="AV447" s="308">
        <f t="shared" si="438"/>
        <v>0</v>
      </c>
      <c r="AW447" s="308">
        <f t="shared" si="438"/>
        <v>0</v>
      </c>
      <c r="AX447" s="308">
        <f t="shared" si="438"/>
        <v>0</v>
      </c>
      <c r="AY447" s="308">
        <f t="shared" si="438"/>
        <v>0</v>
      </c>
      <c r="AZ447" s="308">
        <f t="shared" si="438"/>
        <v>0</v>
      </c>
      <c r="BA447" s="308">
        <f t="shared" si="438"/>
        <v>0</v>
      </c>
      <c r="BB447" s="308">
        <f t="shared" si="438"/>
        <v>0</v>
      </c>
      <c r="BC447" s="308">
        <f t="shared" si="438"/>
        <v>0</v>
      </c>
      <c r="BD447" s="308">
        <f t="shared" si="438"/>
        <v>0</v>
      </c>
      <c r="BE447" s="308">
        <f t="shared" si="438"/>
        <v>0</v>
      </c>
      <c r="BF447" s="308">
        <f t="shared" si="438"/>
        <v>0</v>
      </c>
      <c r="BG447" s="308">
        <f t="shared" si="438"/>
        <v>0</v>
      </c>
    </row>
    <row r="448" ht="12.75" customHeight="1" outlineLevel="1">
      <c r="A448" s="90"/>
      <c r="B448" s="90"/>
      <c r="C448" s="90"/>
      <c r="D448" s="90" t="s">
        <v>489</v>
      </c>
      <c r="E448" s="90"/>
      <c r="F448" s="90"/>
      <c r="G448" s="99">
        <v>0.0</v>
      </c>
      <c r="H448" s="99">
        <v>0.0</v>
      </c>
      <c r="I448" s="99">
        <v>0.0</v>
      </c>
      <c r="J448" s="99">
        <v>0.0</v>
      </c>
      <c r="K448" s="99">
        <v>0.0</v>
      </c>
      <c r="L448" s="99">
        <v>0.0</v>
      </c>
      <c r="M448" s="99">
        <v>0.0</v>
      </c>
      <c r="N448" s="99">
        <v>0.0</v>
      </c>
      <c r="O448" s="99">
        <v>0.0</v>
      </c>
      <c r="P448" s="99">
        <v>0.0</v>
      </c>
      <c r="Q448" s="99">
        <v>0.0</v>
      </c>
      <c r="R448" s="99">
        <v>0.0</v>
      </c>
      <c r="AT448" s="308">
        <f t="shared" ref="AT448:BG448" si="439">-AT444*AT252</f>
        <v>0</v>
      </c>
      <c r="AU448" s="308">
        <f t="shared" si="439"/>
        <v>0</v>
      </c>
      <c r="AV448" s="308">
        <f t="shared" si="439"/>
        <v>0</v>
      </c>
      <c r="AW448" s="308">
        <f t="shared" si="439"/>
        <v>0</v>
      </c>
      <c r="AX448" s="308">
        <f t="shared" si="439"/>
        <v>0</v>
      </c>
      <c r="AY448" s="308">
        <f t="shared" si="439"/>
        <v>0</v>
      </c>
      <c r="AZ448" s="308">
        <f t="shared" si="439"/>
        <v>0</v>
      </c>
      <c r="BA448" s="308">
        <f t="shared" si="439"/>
        <v>0</v>
      </c>
      <c r="BB448" s="308">
        <f t="shared" si="439"/>
        <v>0</v>
      </c>
      <c r="BC448" s="308">
        <f t="shared" si="439"/>
        <v>0</v>
      </c>
      <c r="BD448" s="308">
        <f t="shared" si="439"/>
        <v>0</v>
      </c>
      <c r="BE448" s="308">
        <f t="shared" si="439"/>
        <v>0</v>
      </c>
      <c r="BF448" s="308">
        <f t="shared" si="439"/>
        <v>0</v>
      </c>
      <c r="BG448" s="308">
        <f t="shared" si="439"/>
        <v>0</v>
      </c>
    </row>
    <row r="449" ht="12.75" customHeight="1" outlineLevel="1">
      <c r="A449" s="90"/>
      <c r="B449" s="90"/>
      <c r="C449" s="148" t="s">
        <v>490</v>
      </c>
      <c r="D449" s="148"/>
      <c r="E449" s="148"/>
      <c r="F449" s="148"/>
      <c r="G449" s="394">
        <v>0.0</v>
      </c>
      <c r="H449" s="394">
        <v>0.0</v>
      </c>
      <c r="I449" s="394">
        <v>0.0</v>
      </c>
      <c r="J449" s="394">
        <v>0.0</v>
      </c>
      <c r="K449" s="394">
        <v>0.0</v>
      </c>
      <c r="L449" s="394">
        <v>0.0</v>
      </c>
      <c r="M449" s="394">
        <v>0.0</v>
      </c>
      <c r="N449" s="394">
        <v>0.0</v>
      </c>
      <c r="O449" s="394">
        <v>0.0</v>
      </c>
      <c r="P449" s="394">
        <v>0.0</v>
      </c>
      <c r="Q449" s="394">
        <v>0.0</v>
      </c>
      <c r="R449" s="394">
        <v>0.0</v>
      </c>
      <c r="AT449" s="395">
        <v>0.0</v>
      </c>
      <c r="AU449" s="395">
        <v>0.0</v>
      </c>
      <c r="AV449" s="395">
        <v>0.0</v>
      </c>
      <c r="AW449" s="395">
        <v>0.0</v>
      </c>
      <c r="AX449" s="395">
        <v>0.0</v>
      </c>
      <c r="AY449" s="395">
        <v>0.0</v>
      </c>
      <c r="AZ449" s="395">
        <v>0.0</v>
      </c>
      <c r="BA449" s="395">
        <v>0.0</v>
      </c>
      <c r="BB449" s="395">
        <v>0.0</v>
      </c>
      <c r="BC449" s="395">
        <v>0.0</v>
      </c>
      <c r="BD449" s="395">
        <v>0.0</v>
      </c>
      <c r="BE449" s="395">
        <v>0.0</v>
      </c>
      <c r="BF449" s="395">
        <v>0.0</v>
      </c>
      <c r="BG449" s="395">
        <v>0.0</v>
      </c>
    </row>
    <row r="450" ht="12.75" customHeight="1" outlineLevel="1">
      <c r="A450" s="393"/>
      <c r="B450" s="90"/>
      <c r="C450" s="90" t="s">
        <v>850</v>
      </c>
      <c r="D450" s="90"/>
      <c r="E450" s="90"/>
      <c r="F450" s="90"/>
      <c r="G450" s="99">
        <v>0.0</v>
      </c>
      <c r="H450" s="99">
        <v>0.0</v>
      </c>
      <c r="I450" s="99">
        <v>0.0</v>
      </c>
      <c r="J450" s="99">
        <v>0.0</v>
      </c>
      <c r="K450" s="99">
        <v>0.0</v>
      </c>
      <c r="L450" s="99">
        <v>0.0</v>
      </c>
      <c r="M450" s="99">
        <v>0.0</v>
      </c>
      <c r="N450" s="99">
        <v>0.0</v>
      </c>
      <c r="O450" s="99">
        <v>0.0</v>
      </c>
      <c r="P450" s="99">
        <v>0.0</v>
      </c>
      <c r="Q450" s="99">
        <v>0.0</v>
      </c>
      <c r="R450" s="99">
        <v>0.0</v>
      </c>
      <c r="AT450" s="308">
        <v>0.0</v>
      </c>
      <c r="AU450" s="308">
        <v>0.0</v>
      </c>
      <c r="AV450" s="308">
        <v>0.0</v>
      </c>
      <c r="AW450" s="308">
        <v>0.0</v>
      </c>
      <c r="AX450" s="308">
        <v>0.0</v>
      </c>
      <c r="AY450" s="308">
        <v>0.0</v>
      </c>
      <c r="AZ450" s="308">
        <v>0.0</v>
      </c>
      <c r="BA450" s="308">
        <v>0.0</v>
      </c>
      <c r="BB450" s="308">
        <v>0.0</v>
      </c>
      <c r="BC450" s="308">
        <v>0.0</v>
      </c>
      <c r="BD450" s="308">
        <v>0.0</v>
      </c>
      <c r="BE450" s="308">
        <v>0.0</v>
      </c>
      <c r="BF450" s="308">
        <v>0.0</v>
      </c>
      <c r="BG450" s="308">
        <v>0.0</v>
      </c>
    </row>
    <row r="451" ht="12.75" customHeight="1" outlineLevel="1">
      <c r="A451" s="90"/>
      <c r="B451" s="90"/>
      <c r="C451" s="148" t="s">
        <v>491</v>
      </c>
      <c r="D451" s="148"/>
      <c r="E451" s="148"/>
      <c r="F451" s="148"/>
      <c r="G451" s="150">
        <f t="shared" ref="G451:R451" si="440">+SUM(G444:G450)</f>
        <v>0</v>
      </c>
      <c r="H451" s="150">
        <f t="shared" si="440"/>
        <v>0</v>
      </c>
      <c r="I451" s="150">
        <f t="shared" si="440"/>
        <v>313052.284</v>
      </c>
      <c r="J451" s="150">
        <f t="shared" si="440"/>
        <v>324595.8097</v>
      </c>
      <c r="K451" s="150">
        <f t="shared" si="440"/>
        <v>337478.9982</v>
      </c>
      <c r="L451" s="150">
        <f t="shared" si="440"/>
        <v>338347.1382</v>
      </c>
      <c r="M451" s="150">
        <f t="shared" si="440"/>
        <v>337603.0182</v>
      </c>
      <c r="N451" s="150">
        <f t="shared" si="440"/>
        <v>336920.9082</v>
      </c>
      <c r="O451" s="150">
        <f t="shared" si="440"/>
        <v>336269.8032</v>
      </c>
      <c r="P451" s="150">
        <f t="shared" si="440"/>
        <v>335618.6982</v>
      </c>
      <c r="Q451" s="150">
        <f t="shared" si="440"/>
        <v>335277.6432</v>
      </c>
      <c r="R451" s="150">
        <f t="shared" si="440"/>
        <v>335277.6432</v>
      </c>
      <c r="AT451" s="386">
        <f t="shared" ref="AT451:BG451" si="441">+SUM(AT444:AT450)</f>
        <v>0</v>
      </c>
      <c r="AU451" s="386">
        <f t="shared" si="441"/>
        <v>0</v>
      </c>
      <c r="AV451" s="386">
        <f t="shared" si="441"/>
        <v>0</v>
      </c>
      <c r="AW451" s="386">
        <f t="shared" si="441"/>
        <v>0</v>
      </c>
      <c r="AX451" s="386">
        <f t="shared" si="441"/>
        <v>0</v>
      </c>
      <c r="AY451" s="386">
        <f t="shared" si="441"/>
        <v>0</v>
      </c>
      <c r="AZ451" s="386">
        <f t="shared" si="441"/>
        <v>0</v>
      </c>
      <c r="BA451" s="386">
        <f t="shared" si="441"/>
        <v>0</v>
      </c>
      <c r="BB451" s="386">
        <f t="shared" si="441"/>
        <v>0</v>
      </c>
      <c r="BC451" s="386">
        <f t="shared" si="441"/>
        <v>0</v>
      </c>
      <c r="BD451" s="386">
        <f t="shared" si="441"/>
        <v>0</v>
      </c>
      <c r="BE451" s="386">
        <f t="shared" si="441"/>
        <v>0</v>
      </c>
      <c r="BF451" s="386">
        <f t="shared" si="441"/>
        <v>0</v>
      </c>
      <c r="BG451" s="386">
        <f t="shared" si="441"/>
        <v>0</v>
      </c>
    </row>
    <row r="452" ht="12.75" customHeight="1" outlineLevel="1">
      <c r="A452" s="90"/>
      <c r="B452" s="90"/>
      <c r="C452" s="90"/>
      <c r="D452" s="90"/>
      <c r="E452" s="90"/>
      <c r="F452" s="90"/>
      <c r="G452" s="99"/>
      <c r="H452" s="99"/>
      <c r="I452" s="99"/>
      <c r="J452" s="99"/>
      <c r="K452" s="99"/>
      <c r="L452" s="99"/>
      <c r="M452" s="99"/>
      <c r="N452" s="99"/>
      <c r="O452" s="99"/>
      <c r="P452" s="99"/>
      <c r="Q452" s="99"/>
      <c r="R452" s="99"/>
      <c r="AT452" s="308"/>
      <c r="AU452" s="308"/>
      <c r="AV452" s="308"/>
      <c r="AW452" s="308"/>
      <c r="AX452" s="308"/>
      <c r="AY452" s="308"/>
      <c r="AZ452" s="308"/>
      <c r="BA452" s="308"/>
      <c r="BB452" s="308"/>
      <c r="BC452" s="308"/>
      <c r="BD452" s="308"/>
      <c r="BE452" s="308"/>
      <c r="BF452" s="308"/>
      <c r="BG452" s="308"/>
    </row>
    <row r="453" ht="12.75" customHeight="1" outlineLevel="1">
      <c r="A453" s="90"/>
      <c r="B453" s="396">
        <f>Assumptions!H32</f>
        <v>2</v>
      </c>
      <c r="C453" s="90" t="s">
        <v>152</v>
      </c>
      <c r="D453" s="90"/>
      <c r="E453" s="90"/>
      <c r="F453" s="90"/>
      <c r="G453" s="99">
        <f t="shared" ref="G453:R453" si="442">$B$453*(G319+G330+G339+G383+G386+G389)/12</f>
        <v>0</v>
      </c>
      <c r="H453" s="99">
        <f t="shared" si="442"/>
        <v>29516.76674</v>
      </c>
      <c r="I453" s="99">
        <f t="shared" si="442"/>
        <v>522329.0667</v>
      </c>
      <c r="J453" s="99">
        <f t="shared" si="442"/>
        <v>546501.8366</v>
      </c>
      <c r="K453" s="99">
        <f t="shared" si="442"/>
        <v>569279.1072</v>
      </c>
      <c r="L453" s="99">
        <f t="shared" si="442"/>
        <v>567471.6805</v>
      </c>
      <c r="M453" s="99">
        <f t="shared" si="442"/>
        <v>566680.4272</v>
      </c>
      <c r="N453" s="99">
        <f t="shared" si="442"/>
        <v>565927.3338</v>
      </c>
      <c r="O453" s="99">
        <f t="shared" si="442"/>
        <v>565526.6538</v>
      </c>
      <c r="P453" s="99">
        <f t="shared" si="442"/>
        <v>565125.9738</v>
      </c>
      <c r="Q453" s="99">
        <f t="shared" si="442"/>
        <v>564916.0938</v>
      </c>
      <c r="R453" s="99">
        <f t="shared" si="442"/>
        <v>564916.0938</v>
      </c>
      <c r="AT453" s="308"/>
      <c r="AU453" s="308"/>
      <c r="AV453" s="308"/>
      <c r="AW453" s="308"/>
      <c r="AX453" s="308"/>
      <c r="AY453" s="308"/>
      <c r="AZ453" s="308"/>
      <c r="BA453" s="308"/>
      <c r="BB453" s="308"/>
      <c r="BC453" s="308"/>
      <c r="BD453" s="308"/>
      <c r="BE453" s="308"/>
      <c r="BF453" s="308"/>
      <c r="BG453" s="308"/>
    </row>
    <row r="454" ht="12.75" customHeight="1" outlineLevel="1">
      <c r="A454" s="90"/>
      <c r="B454" s="152">
        <f>Assumptions!H31</f>
        <v>0.65</v>
      </c>
      <c r="C454" s="90" t="s">
        <v>851</v>
      </c>
      <c r="D454" s="90"/>
      <c r="E454" s="90"/>
      <c r="F454" s="90"/>
      <c r="G454" s="99">
        <f t="shared" ref="G454:R454" si="443">$B$454*G475</f>
        <v>0</v>
      </c>
      <c r="H454" s="99">
        <f t="shared" si="443"/>
        <v>19500</v>
      </c>
      <c r="I454" s="99">
        <f t="shared" si="443"/>
        <v>313052.284</v>
      </c>
      <c r="J454" s="99">
        <f t="shared" si="443"/>
        <v>324595.8097</v>
      </c>
      <c r="K454" s="99">
        <f t="shared" si="443"/>
        <v>337478.9982</v>
      </c>
      <c r="L454" s="99">
        <f t="shared" si="443"/>
        <v>338347.1382</v>
      </c>
      <c r="M454" s="99">
        <f t="shared" si="443"/>
        <v>337603.0182</v>
      </c>
      <c r="N454" s="99">
        <f t="shared" si="443"/>
        <v>336920.9082</v>
      </c>
      <c r="O454" s="99">
        <f t="shared" si="443"/>
        <v>336269.8032</v>
      </c>
      <c r="P454" s="99">
        <f t="shared" si="443"/>
        <v>335618.6982</v>
      </c>
      <c r="Q454" s="99">
        <f t="shared" si="443"/>
        <v>335277.6432</v>
      </c>
      <c r="R454" s="99">
        <f t="shared" si="443"/>
        <v>335277.6432</v>
      </c>
      <c r="AT454" s="313"/>
      <c r="AU454" s="313"/>
      <c r="AV454" s="313"/>
      <c r="AW454" s="313"/>
      <c r="AX454" s="313"/>
      <c r="AY454" s="313"/>
      <c r="AZ454" s="313"/>
      <c r="BA454" s="313"/>
      <c r="BB454" s="313"/>
      <c r="BC454" s="313"/>
      <c r="BD454" s="313"/>
      <c r="BE454" s="313"/>
      <c r="BF454" s="313"/>
      <c r="BG454" s="313"/>
    </row>
    <row r="455" ht="12.75" customHeight="1" outlineLevel="1">
      <c r="A455" s="90"/>
      <c r="B455" s="152"/>
      <c r="C455" s="90" t="s">
        <v>852</v>
      </c>
      <c r="D455" s="90"/>
      <c r="E455" s="90"/>
      <c r="F455" s="90"/>
      <c r="G455" s="99">
        <f>(G296-G319-G330-G339-G383-G386-G389)+G404+G409+G415+G421+F455</f>
        <v>0</v>
      </c>
      <c r="H455" s="99">
        <f t="shared" ref="H455:I455" si="444">(H296-H319-H330-H339-H383-H386-H389)+H404+H409+H415+H421+G455-G391-G392</f>
        <v>51842.97988</v>
      </c>
      <c r="I455" s="99">
        <f t="shared" si="444"/>
        <v>-225406.5416</v>
      </c>
      <c r="J455" s="99">
        <f>(J296-J319-J330-J339-J383-J386-J389)+J404+J409+J415+J421+I455-I391-2*I392</f>
        <v>-297718.0739</v>
      </c>
      <c r="K455" s="99">
        <f t="shared" ref="K455:R455" si="445">(K296-K319-K330-K339-K383-K386-K389)+K404+K409+K415+K421+J455-J391-J392</f>
        <v>-360277.55</v>
      </c>
      <c r="L455" s="99">
        <f t="shared" si="445"/>
        <v>-393878.6373</v>
      </c>
      <c r="M455" s="99">
        <f t="shared" si="445"/>
        <v>-428006.8161</v>
      </c>
      <c r="N455" s="99">
        <f t="shared" si="445"/>
        <v>-414686.7474</v>
      </c>
      <c r="O455" s="99">
        <f t="shared" si="445"/>
        <v>-205506.443</v>
      </c>
      <c r="P455" s="99">
        <f t="shared" si="445"/>
        <v>-200548.6713</v>
      </c>
      <c r="Q455" s="99">
        <f t="shared" si="445"/>
        <v>-198198.7223</v>
      </c>
      <c r="R455" s="99">
        <f t="shared" si="445"/>
        <v>-196270.6226</v>
      </c>
      <c r="AT455" s="313"/>
      <c r="AU455" s="313"/>
      <c r="AV455" s="313"/>
      <c r="AW455" s="313"/>
      <c r="AX455" s="313"/>
      <c r="AY455" s="313"/>
      <c r="AZ455" s="313"/>
      <c r="BA455" s="313"/>
      <c r="BB455" s="313"/>
      <c r="BC455" s="313"/>
      <c r="BD455" s="313"/>
      <c r="BE455" s="313"/>
      <c r="BF455" s="313"/>
      <c r="BG455" s="313"/>
    </row>
    <row r="456" ht="12.75" customHeight="1" outlineLevel="1">
      <c r="A456" s="90"/>
      <c r="B456" s="90"/>
      <c r="C456" s="90"/>
      <c r="D456" s="90"/>
      <c r="E456" s="90"/>
      <c r="F456" s="90"/>
      <c r="G456" s="99"/>
      <c r="H456" s="99"/>
      <c r="I456" s="99"/>
      <c r="J456" s="99"/>
      <c r="K456" s="99"/>
      <c r="L456" s="99"/>
      <c r="M456" s="99"/>
      <c r="N456" s="99"/>
      <c r="O456" s="99"/>
      <c r="P456" s="99"/>
      <c r="Q456" s="99"/>
      <c r="R456" s="99"/>
      <c r="AT456" s="308"/>
      <c r="AU456" s="308"/>
      <c r="AV456" s="308"/>
      <c r="AW456" s="308"/>
      <c r="AX456" s="308"/>
      <c r="AY456" s="308"/>
      <c r="AZ456" s="308"/>
      <c r="BA456" s="308"/>
      <c r="BB456" s="308"/>
      <c r="BC456" s="308"/>
      <c r="BD456" s="308"/>
      <c r="BE456" s="308"/>
      <c r="BF456" s="308"/>
      <c r="BG456" s="308"/>
    </row>
    <row r="457" ht="12.75" customHeight="1" outlineLevel="1">
      <c r="A457" s="90"/>
      <c r="B457" s="67" t="s">
        <v>479</v>
      </c>
      <c r="C457" s="90"/>
      <c r="D457" s="90"/>
      <c r="E457" s="90"/>
      <c r="F457" s="90"/>
      <c r="G457" s="90"/>
      <c r="H457" s="90"/>
      <c r="I457" s="90"/>
      <c r="J457" s="90"/>
      <c r="K457" s="90"/>
      <c r="L457" s="90"/>
      <c r="M457" s="90"/>
      <c r="N457" s="90"/>
      <c r="O457" s="90"/>
      <c r="P457" s="90"/>
      <c r="Q457" s="90"/>
      <c r="R457" s="90"/>
      <c r="AT457" s="313"/>
      <c r="AU457" s="313"/>
      <c r="AV457" s="313"/>
      <c r="AW457" s="313"/>
      <c r="AX457" s="313"/>
      <c r="AY457" s="313"/>
      <c r="AZ457" s="313"/>
      <c r="BA457" s="313"/>
      <c r="BB457" s="313"/>
      <c r="BC457" s="313"/>
      <c r="BD457" s="313"/>
      <c r="BE457" s="313"/>
      <c r="BF457" s="313"/>
      <c r="BG457" s="313"/>
    </row>
    <row r="458" ht="12.75" customHeight="1" outlineLevel="1">
      <c r="A458" s="90"/>
      <c r="B458" s="67"/>
      <c r="C458" s="90" t="s">
        <v>487</v>
      </c>
      <c r="D458" s="90"/>
      <c r="E458" s="90"/>
      <c r="F458" s="90"/>
      <c r="G458" s="99">
        <v>0.0</v>
      </c>
      <c r="H458" s="99">
        <f t="shared" ref="H458:R458" si="446">+G465</f>
        <v>0</v>
      </c>
      <c r="I458" s="99">
        <f t="shared" si="446"/>
        <v>0</v>
      </c>
      <c r="J458" s="99">
        <f t="shared" si="446"/>
        <v>0</v>
      </c>
      <c r="K458" s="99">
        <f t="shared" si="446"/>
        <v>0</v>
      </c>
      <c r="L458" s="99">
        <f t="shared" si="446"/>
        <v>50000</v>
      </c>
      <c r="M458" s="99">
        <f t="shared" si="446"/>
        <v>75000</v>
      </c>
      <c r="N458" s="99">
        <f t="shared" si="446"/>
        <v>125000</v>
      </c>
      <c r="O458" s="99">
        <f t="shared" si="446"/>
        <v>125000</v>
      </c>
      <c r="P458" s="99">
        <f t="shared" si="446"/>
        <v>0</v>
      </c>
      <c r="Q458" s="99">
        <f t="shared" si="446"/>
        <v>0</v>
      </c>
      <c r="R458" s="99">
        <f t="shared" si="446"/>
        <v>0</v>
      </c>
      <c r="AT458" s="308" t="str">
        <f t="shared" ref="AT458:BG458" si="447">+AS465</f>
        <v/>
      </c>
      <c r="AU458" s="308">
        <f t="shared" si="447"/>
        <v>0</v>
      </c>
      <c r="AV458" s="308">
        <f t="shared" si="447"/>
        <v>0</v>
      </c>
      <c r="AW458" s="308">
        <f t="shared" si="447"/>
        <v>0</v>
      </c>
      <c r="AX458" s="308">
        <f t="shared" si="447"/>
        <v>0</v>
      </c>
      <c r="AY458" s="308">
        <f t="shared" si="447"/>
        <v>0</v>
      </c>
      <c r="AZ458" s="308">
        <f t="shared" si="447"/>
        <v>0</v>
      </c>
      <c r="BA458" s="308">
        <f t="shared" si="447"/>
        <v>0</v>
      </c>
      <c r="BB458" s="308">
        <f t="shared" si="447"/>
        <v>0</v>
      </c>
      <c r="BC458" s="308">
        <f t="shared" si="447"/>
        <v>0</v>
      </c>
      <c r="BD458" s="308">
        <f t="shared" si="447"/>
        <v>0</v>
      </c>
      <c r="BE458" s="308">
        <f t="shared" si="447"/>
        <v>0</v>
      </c>
      <c r="BF458" s="308">
        <f t="shared" si="447"/>
        <v>0</v>
      </c>
      <c r="BG458" s="308">
        <f t="shared" si="447"/>
        <v>0</v>
      </c>
    </row>
    <row r="459" ht="12.75" customHeight="1" outlineLevel="1">
      <c r="A459" s="90"/>
      <c r="B459" s="90"/>
      <c r="C459" s="90" t="s">
        <v>488</v>
      </c>
      <c r="D459" s="90"/>
      <c r="E459" s="90"/>
      <c r="F459" s="90"/>
      <c r="G459" s="99"/>
      <c r="H459" s="99">
        <f>IF(H455+H451&lt;0,-(H451+H455),0)</f>
        <v>0</v>
      </c>
      <c r="I459" s="99">
        <f>IF(I406+I411+SUM(I415:I416,I418:I422,I424,I427)&lt;0,-(I406+I411+SUM(I415:I416,I418:I422,I424,I427)-I453/4),0)</f>
        <v>0</v>
      </c>
      <c r="J459" s="99">
        <v>0.0</v>
      </c>
      <c r="K459" s="99">
        <v>50000.0</v>
      </c>
      <c r="L459" s="99">
        <v>25000.0</v>
      </c>
      <c r="M459" s="99">
        <v>50000.0</v>
      </c>
      <c r="N459" s="99">
        <f>IF(N406+N411+SUM(N415:N416,N418:N422,N424,N427)&lt;0,-(N406+N411+SUM(N415:N416,N418:N422,N424,N427)-N453/4),0)</f>
        <v>0</v>
      </c>
      <c r="O459" s="99">
        <v>-125000.0</v>
      </c>
      <c r="P459" s="99">
        <f t="shared" ref="P459:R459" si="448">IF(P406+P411+SUM(P415:P416,P418:P422,P424,P427)&lt;0,-(P406+P411+SUM(P415:P416,P418:P422,P424,P427)-P453/4),0)</f>
        <v>0</v>
      </c>
      <c r="Q459" s="99">
        <f t="shared" si="448"/>
        <v>0</v>
      </c>
      <c r="R459" s="99">
        <f t="shared" si="448"/>
        <v>0</v>
      </c>
      <c r="AT459" s="308">
        <v>0.0</v>
      </c>
      <c r="AU459" s="308">
        <v>0.0</v>
      </c>
      <c r="AV459" s="308">
        <v>0.0</v>
      </c>
      <c r="AW459" s="308">
        <v>0.0</v>
      </c>
      <c r="AX459" s="308">
        <v>0.0</v>
      </c>
      <c r="AY459" s="308">
        <v>0.0</v>
      </c>
      <c r="AZ459" s="308">
        <v>0.0</v>
      </c>
      <c r="BA459" s="308">
        <v>0.0</v>
      </c>
      <c r="BB459" s="308">
        <v>0.0</v>
      </c>
      <c r="BC459" s="308">
        <v>0.0</v>
      </c>
      <c r="BD459" s="308">
        <v>0.0</v>
      </c>
      <c r="BE459" s="308">
        <v>0.0</v>
      </c>
      <c r="BF459" s="308">
        <v>0.0</v>
      </c>
      <c r="BG459" s="308">
        <v>0.0</v>
      </c>
    </row>
    <row r="460" ht="12.75" customHeight="1" outlineLevel="1">
      <c r="A460" s="90"/>
      <c r="B460" s="90"/>
      <c r="C460" s="90" t="s">
        <v>490</v>
      </c>
      <c r="D460" s="90"/>
      <c r="E460" s="90"/>
      <c r="F460" s="90"/>
      <c r="G460" s="99"/>
      <c r="H460" s="99"/>
      <c r="I460" s="99"/>
      <c r="J460" s="99"/>
      <c r="K460" s="99"/>
      <c r="L460" s="99"/>
      <c r="M460" s="99"/>
      <c r="N460" s="99"/>
      <c r="O460" s="99"/>
      <c r="P460" s="99"/>
      <c r="Q460" s="99"/>
      <c r="R460" s="99"/>
      <c r="AT460" s="308"/>
      <c r="AU460" s="308"/>
      <c r="AV460" s="308"/>
      <c r="AW460" s="308"/>
      <c r="AX460" s="308"/>
      <c r="AY460" s="308"/>
      <c r="AZ460" s="308"/>
      <c r="BA460" s="308"/>
      <c r="BB460" s="308"/>
      <c r="BC460" s="308"/>
      <c r="BD460" s="308"/>
      <c r="BE460" s="308"/>
      <c r="BF460" s="308"/>
      <c r="BG460" s="308"/>
    </row>
    <row r="461" ht="12.75" customHeight="1" outlineLevel="1">
      <c r="A461" s="90"/>
      <c r="B461" s="90"/>
      <c r="C461" s="90"/>
      <c r="D461" s="90" t="s">
        <v>701</v>
      </c>
      <c r="E461" s="90"/>
      <c r="F461" s="90"/>
      <c r="G461" s="99">
        <f t="shared" ref="G461:H461" si="449">MIN(G463-G462,0)</f>
        <v>0</v>
      </c>
      <c r="H461" s="99">
        <f t="shared" si="449"/>
        <v>0</v>
      </c>
      <c r="I461" s="99"/>
      <c r="J461" s="99">
        <f t="shared" ref="J461:R461" si="450">MIN(J463-J462,0)</f>
        <v>0</v>
      </c>
      <c r="K461" s="99">
        <f t="shared" si="450"/>
        <v>0</v>
      </c>
      <c r="L461" s="99">
        <f t="shared" si="450"/>
        <v>0</v>
      </c>
      <c r="M461" s="99">
        <f t="shared" si="450"/>
        <v>0</v>
      </c>
      <c r="N461" s="99">
        <f t="shared" si="450"/>
        <v>0</v>
      </c>
      <c r="O461" s="99">
        <f t="shared" si="450"/>
        <v>0</v>
      </c>
      <c r="P461" s="99">
        <f t="shared" si="450"/>
        <v>0</v>
      </c>
      <c r="Q461" s="99">
        <f t="shared" si="450"/>
        <v>0</v>
      </c>
      <c r="R461" s="99">
        <f t="shared" si="450"/>
        <v>0</v>
      </c>
      <c r="AT461" s="308">
        <f t="shared" ref="AT461:BG461" si="451">MIN(AT463-AT462,0)</f>
        <v>0</v>
      </c>
      <c r="AU461" s="308">
        <f t="shared" si="451"/>
        <v>0</v>
      </c>
      <c r="AV461" s="308">
        <f t="shared" si="451"/>
        <v>0</v>
      </c>
      <c r="AW461" s="308">
        <f t="shared" si="451"/>
        <v>0</v>
      </c>
      <c r="AX461" s="308">
        <f t="shared" si="451"/>
        <v>0</v>
      </c>
      <c r="AY461" s="308">
        <f t="shared" si="451"/>
        <v>0</v>
      </c>
      <c r="AZ461" s="308">
        <f t="shared" si="451"/>
        <v>0</v>
      </c>
      <c r="BA461" s="308">
        <f t="shared" si="451"/>
        <v>0</v>
      </c>
      <c r="BB461" s="308">
        <f t="shared" si="451"/>
        <v>0</v>
      </c>
      <c r="BC461" s="308">
        <f t="shared" si="451"/>
        <v>0</v>
      </c>
      <c r="BD461" s="308">
        <f t="shared" si="451"/>
        <v>0</v>
      </c>
      <c r="BE461" s="308">
        <f t="shared" si="451"/>
        <v>0</v>
      </c>
      <c r="BF461" s="308">
        <f t="shared" si="451"/>
        <v>0</v>
      </c>
      <c r="BG461" s="308">
        <f t="shared" si="451"/>
        <v>0</v>
      </c>
    </row>
    <row r="462" ht="12.75" customHeight="1" outlineLevel="1">
      <c r="A462" s="90"/>
      <c r="B462" s="90"/>
      <c r="C462" s="90"/>
      <c r="D462" s="90" t="s">
        <v>489</v>
      </c>
      <c r="E462" s="90"/>
      <c r="F462" s="90"/>
      <c r="G462" s="99">
        <f t="shared" ref="G462:H462" si="452">-G458*G253</f>
        <v>0</v>
      </c>
      <c r="H462" s="99">
        <f t="shared" si="452"/>
        <v>0</v>
      </c>
      <c r="I462" s="99">
        <v>0.0</v>
      </c>
      <c r="J462" s="99">
        <v>0.0</v>
      </c>
      <c r="K462" s="99">
        <v>0.0</v>
      </c>
      <c r="L462" s="99">
        <v>0.0</v>
      </c>
      <c r="M462" s="99">
        <v>0.0</v>
      </c>
      <c r="N462" s="99">
        <v>0.0</v>
      </c>
      <c r="O462" s="99">
        <v>0.0</v>
      </c>
      <c r="P462" s="99">
        <v>0.0</v>
      </c>
      <c r="Q462" s="99">
        <v>0.0</v>
      </c>
      <c r="R462" s="99">
        <v>0.0</v>
      </c>
      <c r="AT462" s="308">
        <f t="shared" ref="AT462:BG462" si="453">-AT458*AT253</f>
        <v>0</v>
      </c>
      <c r="AU462" s="308">
        <f t="shared" si="453"/>
        <v>0</v>
      </c>
      <c r="AV462" s="308">
        <f t="shared" si="453"/>
        <v>0</v>
      </c>
      <c r="AW462" s="308">
        <f t="shared" si="453"/>
        <v>0</v>
      </c>
      <c r="AX462" s="308">
        <f t="shared" si="453"/>
        <v>0</v>
      </c>
      <c r="AY462" s="308">
        <f t="shared" si="453"/>
        <v>0</v>
      </c>
      <c r="AZ462" s="308">
        <f t="shared" si="453"/>
        <v>0</v>
      </c>
      <c r="BA462" s="308">
        <f t="shared" si="453"/>
        <v>0</v>
      </c>
      <c r="BB462" s="308">
        <f t="shared" si="453"/>
        <v>0</v>
      </c>
      <c r="BC462" s="308">
        <f t="shared" si="453"/>
        <v>0</v>
      </c>
      <c r="BD462" s="308">
        <f t="shared" si="453"/>
        <v>0</v>
      </c>
      <c r="BE462" s="308">
        <f t="shared" si="453"/>
        <v>0</v>
      </c>
      <c r="BF462" s="308">
        <f t="shared" si="453"/>
        <v>0</v>
      </c>
      <c r="BG462" s="308">
        <f t="shared" si="453"/>
        <v>0</v>
      </c>
    </row>
    <row r="463" ht="12.75" customHeight="1" outlineLevel="1">
      <c r="A463" s="90"/>
      <c r="B463" s="90"/>
      <c r="C463" s="148" t="s">
        <v>490</v>
      </c>
      <c r="D463" s="148"/>
      <c r="E463" s="148"/>
      <c r="F463" s="148"/>
      <c r="G463" s="150">
        <v>0.0</v>
      </c>
      <c r="H463" s="150">
        <v>0.0</v>
      </c>
      <c r="I463" s="150">
        <v>0.0</v>
      </c>
      <c r="J463" s="150">
        <v>0.0</v>
      </c>
      <c r="K463" s="150">
        <v>0.0</v>
      </c>
      <c r="L463" s="150">
        <v>0.0</v>
      </c>
      <c r="M463" s="150">
        <v>0.0</v>
      </c>
      <c r="N463" s="150">
        <v>0.0</v>
      </c>
      <c r="O463" s="150">
        <v>0.0</v>
      </c>
      <c r="P463" s="150">
        <v>0.0</v>
      </c>
      <c r="Q463" s="150">
        <v>0.0</v>
      </c>
      <c r="R463" s="150">
        <v>0.0</v>
      </c>
      <c r="AT463" s="386">
        <v>0.0</v>
      </c>
      <c r="AU463" s="386">
        <v>0.0</v>
      </c>
      <c r="AV463" s="386">
        <v>0.0</v>
      </c>
      <c r="AW463" s="386">
        <v>0.0</v>
      </c>
      <c r="AX463" s="386">
        <v>0.0</v>
      </c>
      <c r="AY463" s="386">
        <v>0.0</v>
      </c>
      <c r="AZ463" s="386">
        <v>0.0</v>
      </c>
      <c r="BA463" s="386">
        <v>0.0</v>
      </c>
      <c r="BB463" s="386">
        <v>0.0</v>
      </c>
      <c r="BC463" s="386">
        <v>0.0</v>
      </c>
      <c r="BD463" s="386">
        <v>0.0</v>
      </c>
      <c r="BE463" s="386">
        <v>0.0</v>
      </c>
      <c r="BF463" s="386">
        <v>0.0</v>
      </c>
      <c r="BG463" s="386">
        <v>0.0</v>
      </c>
    </row>
    <row r="464" ht="12.75" customHeight="1" outlineLevel="1">
      <c r="A464" s="393"/>
      <c r="B464" s="90"/>
      <c r="C464" s="90" t="s">
        <v>850</v>
      </c>
      <c r="D464" s="90"/>
      <c r="E464" s="90"/>
      <c r="F464" s="90"/>
      <c r="G464" s="397">
        <v>0.0</v>
      </c>
      <c r="H464" s="397">
        <f t="shared" ref="H464:J464" si="454">IF(G465=0,0,IF(H406+H411+SUM(H415:H416,H418:H422,H424,H427)+H459&gt;H453/4,MAX(-G465,-(H406+H411+SUM(H415:H416,H418:H422,H424,H427+H459)-H453/4)),0))</f>
        <v>0</v>
      </c>
      <c r="I464" s="397">
        <f t="shared" si="454"/>
        <v>0</v>
      </c>
      <c r="J464" s="397">
        <f t="shared" si="454"/>
        <v>0</v>
      </c>
      <c r="K464" s="397">
        <v>0.0</v>
      </c>
      <c r="L464" s="397">
        <f t="shared" ref="L464:Q464" si="455">IF(K465=0,0,IF(L406+L411+SUM(L415:L416,L418:L422,L424,L427)+L459&gt;L453/4,MAX(-K465,-(L406+L411+SUM(L415:L416,L418:L422,L424,L427+L459)-L453/4)),0))</f>
        <v>0</v>
      </c>
      <c r="M464" s="397">
        <f t="shared" si="455"/>
        <v>0</v>
      </c>
      <c r="N464" s="397">
        <f t="shared" si="455"/>
        <v>0</v>
      </c>
      <c r="O464" s="397">
        <f t="shared" si="455"/>
        <v>0</v>
      </c>
      <c r="P464" s="397">
        <f t="shared" si="455"/>
        <v>0</v>
      </c>
      <c r="Q464" s="397">
        <f t="shared" si="455"/>
        <v>0</v>
      </c>
      <c r="R464" s="397">
        <f>IF(Q465=0,0,IF(R406+R411+SUM(R415:R416,R418:R422,R424,R427)+R459&gt;R453/4,-(R406+R411+SUM(R415:R416,R418:R422,R424,R427+R459)-R453/4),0))</f>
        <v>0</v>
      </c>
      <c r="AT464" s="398">
        <f t="shared" ref="AT464:BG464" si="456">+IF(AT458+AT459+AT463=0,0,IF($A$464="N",0,IF(#REF!&gt;0,-MIN(SUM(AT458:AT463),#REF!),0)))</f>
        <v>0</v>
      </c>
      <c r="AU464" s="398">
        <f t="shared" si="456"/>
        <v>0</v>
      </c>
      <c r="AV464" s="398">
        <f t="shared" si="456"/>
        <v>0</v>
      </c>
      <c r="AW464" s="398">
        <f t="shared" si="456"/>
        <v>0</v>
      </c>
      <c r="AX464" s="398">
        <f t="shared" si="456"/>
        <v>0</v>
      </c>
      <c r="AY464" s="398">
        <f t="shared" si="456"/>
        <v>0</v>
      </c>
      <c r="AZ464" s="398">
        <f t="shared" si="456"/>
        <v>0</v>
      </c>
      <c r="BA464" s="398">
        <f t="shared" si="456"/>
        <v>0</v>
      </c>
      <c r="BB464" s="398">
        <f t="shared" si="456"/>
        <v>0</v>
      </c>
      <c r="BC464" s="398">
        <f t="shared" si="456"/>
        <v>0</v>
      </c>
      <c r="BD464" s="398">
        <f t="shared" si="456"/>
        <v>0</v>
      </c>
      <c r="BE464" s="398">
        <f t="shared" si="456"/>
        <v>0</v>
      </c>
      <c r="BF464" s="398">
        <f t="shared" si="456"/>
        <v>0</v>
      </c>
      <c r="BG464" s="398">
        <f t="shared" si="456"/>
        <v>0</v>
      </c>
    </row>
    <row r="465" ht="12.75" customHeight="1" outlineLevel="1">
      <c r="A465" s="90"/>
      <c r="B465" s="90"/>
      <c r="C465" s="148" t="s">
        <v>491</v>
      </c>
      <c r="D465" s="148"/>
      <c r="E465" s="148"/>
      <c r="F465" s="148"/>
      <c r="G465" s="150">
        <f t="shared" ref="G465:R465" si="457">SUM(G458:G464)</f>
        <v>0</v>
      </c>
      <c r="H465" s="150">
        <f t="shared" si="457"/>
        <v>0</v>
      </c>
      <c r="I465" s="150">
        <f t="shared" si="457"/>
        <v>0</v>
      </c>
      <c r="J465" s="150">
        <f t="shared" si="457"/>
        <v>0</v>
      </c>
      <c r="K465" s="150">
        <f t="shared" si="457"/>
        <v>50000</v>
      </c>
      <c r="L465" s="150">
        <f t="shared" si="457"/>
        <v>75000</v>
      </c>
      <c r="M465" s="150">
        <f t="shared" si="457"/>
        <v>125000</v>
      </c>
      <c r="N465" s="150">
        <f t="shared" si="457"/>
        <v>125000</v>
      </c>
      <c r="O465" s="150">
        <f t="shared" si="457"/>
        <v>0</v>
      </c>
      <c r="P465" s="150">
        <f t="shared" si="457"/>
        <v>0</v>
      </c>
      <c r="Q465" s="150">
        <f t="shared" si="457"/>
        <v>0</v>
      </c>
      <c r="R465" s="150">
        <f t="shared" si="457"/>
        <v>0</v>
      </c>
      <c r="AT465" s="386">
        <v>0.0</v>
      </c>
      <c r="AU465" s="386">
        <v>0.0</v>
      </c>
      <c r="AV465" s="386">
        <v>0.0</v>
      </c>
      <c r="AW465" s="386">
        <v>0.0</v>
      </c>
      <c r="AX465" s="386">
        <v>0.0</v>
      </c>
      <c r="AY465" s="386">
        <v>0.0</v>
      </c>
      <c r="AZ465" s="386">
        <v>0.0</v>
      </c>
      <c r="BA465" s="386">
        <v>0.0</v>
      </c>
      <c r="BB465" s="386">
        <v>0.0</v>
      </c>
      <c r="BC465" s="386">
        <v>0.0</v>
      </c>
      <c r="BD465" s="386">
        <v>0.0</v>
      </c>
      <c r="BE465" s="386">
        <v>0.0</v>
      </c>
      <c r="BF465" s="386">
        <v>0.0</v>
      </c>
      <c r="BG465" s="386">
        <v>0.0</v>
      </c>
    </row>
    <row r="466" ht="12.75" customHeight="1" outlineLevel="1">
      <c r="A466" s="90"/>
      <c r="B466" s="90"/>
      <c r="C466" s="90"/>
      <c r="D466" s="90"/>
      <c r="E466" s="90"/>
      <c r="F466" s="90"/>
      <c r="G466" s="90"/>
      <c r="H466" s="90"/>
      <c r="I466" s="90"/>
      <c r="J466" s="90"/>
      <c r="K466" s="90"/>
      <c r="L466" s="90"/>
      <c r="M466" s="90"/>
      <c r="N466" s="90"/>
      <c r="O466" s="90"/>
      <c r="P466" s="90"/>
      <c r="Q466" s="90"/>
      <c r="R466" s="90"/>
      <c r="AT466" s="313"/>
      <c r="AU466" s="313"/>
      <c r="AV466" s="313"/>
      <c r="AW466" s="313"/>
      <c r="AX466" s="313"/>
      <c r="AY466" s="313"/>
      <c r="AZ466" s="313"/>
      <c r="BA466" s="313"/>
      <c r="BB466" s="313"/>
      <c r="BC466" s="313"/>
      <c r="BD466" s="313"/>
      <c r="BE466" s="313"/>
      <c r="BF466" s="313"/>
      <c r="BG466" s="313"/>
    </row>
    <row r="467" ht="12.75" customHeight="1" outlineLevel="1">
      <c r="A467" s="90"/>
      <c r="B467" s="67" t="s">
        <v>494</v>
      </c>
      <c r="C467" s="90"/>
      <c r="D467" s="90"/>
      <c r="E467" s="90"/>
      <c r="F467" s="90"/>
      <c r="G467" s="99">
        <f t="shared" ref="G467:R467" si="458">+G465+G451+G441</f>
        <v>0</v>
      </c>
      <c r="H467" s="99">
        <f t="shared" si="458"/>
        <v>250000</v>
      </c>
      <c r="I467" s="99">
        <f t="shared" si="458"/>
        <v>513052.284</v>
      </c>
      <c r="J467" s="99">
        <f t="shared" si="458"/>
        <v>474595.8097</v>
      </c>
      <c r="K467" s="99">
        <f t="shared" si="458"/>
        <v>487478.9982</v>
      </c>
      <c r="L467" s="99">
        <f t="shared" si="458"/>
        <v>463347.1382</v>
      </c>
      <c r="M467" s="99">
        <f t="shared" si="458"/>
        <v>462603.0182</v>
      </c>
      <c r="N467" s="99">
        <f t="shared" si="458"/>
        <v>461920.9082</v>
      </c>
      <c r="O467" s="99">
        <f t="shared" si="458"/>
        <v>336269.8032</v>
      </c>
      <c r="P467" s="99">
        <f t="shared" si="458"/>
        <v>335618.6982</v>
      </c>
      <c r="Q467" s="99">
        <f t="shared" si="458"/>
        <v>335277.6432</v>
      </c>
      <c r="R467" s="99">
        <f t="shared" si="458"/>
        <v>335277.6432</v>
      </c>
      <c r="AT467" s="308">
        <f t="shared" ref="AT467:BG467" si="459">+AT465+AT451+AT441</f>
        <v>0</v>
      </c>
      <c r="AU467" s="308">
        <f t="shared" si="459"/>
        <v>0</v>
      </c>
      <c r="AV467" s="308">
        <f t="shared" si="459"/>
        <v>0</v>
      </c>
      <c r="AW467" s="308">
        <f t="shared" si="459"/>
        <v>0</v>
      </c>
      <c r="AX467" s="308">
        <f t="shared" si="459"/>
        <v>0</v>
      </c>
      <c r="AY467" s="308">
        <f t="shared" si="459"/>
        <v>0</v>
      </c>
      <c r="AZ467" s="308">
        <f t="shared" si="459"/>
        <v>0</v>
      </c>
      <c r="BA467" s="308">
        <f t="shared" si="459"/>
        <v>0</v>
      </c>
      <c r="BB467" s="308">
        <f t="shared" si="459"/>
        <v>0</v>
      </c>
      <c r="BC467" s="308">
        <f t="shared" si="459"/>
        <v>0</v>
      </c>
      <c r="BD467" s="308">
        <f t="shared" si="459"/>
        <v>0</v>
      </c>
      <c r="BE467" s="308">
        <f t="shared" si="459"/>
        <v>0</v>
      </c>
      <c r="BF467" s="308">
        <f t="shared" si="459"/>
        <v>0</v>
      </c>
      <c r="BG467" s="308">
        <f t="shared" si="459"/>
        <v>0</v>
      </c>
    </row>
    <row r="468" ht="12.75" customHeight="1" outlineLevel="1">
      <c r="A468" s="90"/>
      <c r="B468" s="90"/>
      <c r="C468" s="90"/>
      <c r="D468" s="90"/>
      <c r="E468" s="90"/>
      <c r="F468" s="90"/>
      <c r="G468" s="90"/>
      <c r="H468" s="90"/>
      <c r="I468" s="90"/>
      <c r="J468" s="90"/>
      <c r="K468" s="90"/>
      <c r="L468" s="90"/>
      <c r="M468" s="90"/>
      <c r="N468" s="90"/>
      <c r="O468" s="90"/>
      <c r="P468" s="90"/>
      <c r="Q468" s="90"/>
      <c r="R468" s="90"/>
      <c r="AT468" s="313"/>
      <c r="AU468" s="313"/>
      <c r="AV468" s="313"/>
      <c r="AW468" s="313"/>
      <c r="AX468" s="313"/>
      <c r="AY468" s="313"/>
      <c r="AZ468" s="313"/>
      <c r="BA468" s="313"/>
      <c r="BB468" s="313"/>
      <c r="BC468" s="313"/>
      <c r="BD468" s="313"/>
      <c r="BE468" s="313"/>
      <c r="BF468" s="313"/>
      <c r="BG468" s="313"/>
    </row>
    <row r="469" ht="12.75" customHeight="1">
      <c r="A469" s="90"/>
      <c r="B469" s="90"/>
      <c r="C469" s="90"/>
      <c r="D469" s="90"/>
      <c r="E469" s="90"/>
      <c r="F469" s="90"/>
      <c r="G469" s="90"/>
      <c r="H469" s="90"/>
      <c r="I469" s="90"/>
      <c r="J469" s="90"/>
      <c r="K469" s="90"/>
      <c r="L469" s="90"/>
      <c r="M469" s="90"/>
      <c r="N469" s="90"/>
      <c r="O469" s="90"/>
      <c r="P469" s="90"/>
      <c r="Q469" s="90"/>
      <c r="R469" s="90"/>
      <c r="AT469" s="313"/>
      <c r="AU469" s="313"/>
      <c r="AV469" s="313"/>
      <c r="AW469" s="313"/>
      <c r="AX469" s="313"/>
      <c r="AY469" s="313"/>
      <c r="AZ469" s="313"/>
      <c r="BA469" s="313"/>
      <c r="BB469" s="313"/>
      <c r="BC469" s="313"/>
      <c r="BD469" s="313"/>
      <c r="BE469" s="313"/>
      <c r="BF469" s="313"/>
      <c r="BG469" s="313"/>
    </row>
    <row r="470" ht="12.75" customHeight="1">
      <c r="A470" s="106" t="s">
        <v>496</v>
      </c>
      <c r="B470" s="253"/>
      <c r="C470" s="253"/>
      <c r="D470" s="253"/>
      <c r="E470" s="253"/>
      <c r="F470" s="253"/>
      <c r="G470" s="253"/>
      <c r="H470" s="253"/>
      <c r="I470" s="253"/>
      <c r="J470" s="253"/>
      <c r="K470" s="253"/>
      <c r="L470" s="253"/>
      <c r="M470" s="253"/>
      <c r="N470" s="253"/>
      <c r="O470" s="253"/>
      <c r="P470" s="253"/>
      <c r="Q470" s="253"/>
      <c r="R470" s="253"/>
      <c r="AT470" s="314"/>
      <c r="AU470" s="314"/>
      <c r="AV470" s="314"/>
      <c r="AW470" s="314"/>
      <c r="AX470" s="314"/>
      <c r="AY470" s="314"/>
      <c r="AZ470" s="314"/>
      <c r="BA470" s="314"/>
      <c r="BB470" s="314"/>
      <c r="BC470" s="314"/>
      <c r="BD470" s="314"/>
      <c r="BE470" s="314"/>
      <c r="BF470" s="314"/>
      <c r="BG470" s="314"/>
    </row>
    <row r="471" ht="12.75" customHeight="1" outlineLevel="1">
      <c r="A471" s="90"/>
      <c r="B471" s="90"/>
      <c r="C471" s="90"/>
      <c r="D471" s="90"/>
      <c r="E471" s="90"/>
      <c r="F471" s="90"/>
      <c r="G471" s="90"/>
      <c r="H471" s="90"/>
      <c r="I471" s="90"/>
      <c r="J471" s="90"/>
      <c r="K471" s="90"/>
      <c r="L471" s="90"/>
      <c r="M471" s="90"/>
      <c r="N471" s="90"/>
      <c r="O471" s="90"/>
      <c r="P471" s="90"/>
      <c r="Q471" s="90"/>
      <c r="R471" s="90"/>
      <c r="AT471" s="313"/>
      <c r="AU471" s="313"/>
      <c r="AV471" s="313"/>
      <c r="AW471" s="313"/>
      <c r="AX471" s="313"/>
      <c r="AY471" s="313"/>
      <c r="AZ471" s="313"/>
      <c r="BA471" s="313"/>
      <c r="BB471" s="313"/>
      <c r="BC471" s="313"/>
      <c r="BD471" s="313"/>
      <c r="BE471" s="313"/>
      <c r="BF471" s="313"/>
      <c r="BG471" s="313"/>
    </row>
    <row r="472" ht="12.75" customHeight="1" outlineLevel="1">
      <c r="A472" s="90"/>
      <c r="B472" s="90" t="s">
        <v>242</v>
      </c>
      <c r="C472" s="90"/>
      <c r="D472" s="90"/>
      <c r="E472" s="90"/>
      <c r="F472" s="90"/>
      <c r="G472" s="90"/>
      <c r="H472" s="90"/>
      <c r="I472" s="90"/>
      <c r="J472" s="90"/>
      <c r="K472" s="90"/>
      <c r="L472" s="90"/>
      <c r="M472" s="90"/>
      <c r="N472" s="90"/>
      <c r="O472" s="90"/>
      <c r="P472" s="90"/>
      <c r="Q472" s="90"/>
      <c r="R472" s="90"/>
      <c r="AT472" s="313"/>
      <c r="AU472" s="313"/>
      <c r="AV472" s="313"/>
      <c r="AW472" s="313"/>
      <c r="AX472" s="313"/>
      <c r="AY472" s="313"/>
      <c r="AZ472" s="313"/>
      <c r="BA472" s="313"/>
      <c r="BB472" s="313"/>
      <c r="BC472" s="313"/>
      <c r="BD472" s="313"/>
      <c r="BE472" s="313"/>
      <c r="BF472" s="313"/>
      <c r="BG472" s="313"/>
    </row>
    <row r="473" ht="12.75" customHeight="1" outlineLevel="1">
      <c r="A473" s="90"/>
      <c r="B473" s="90"/>
      <c r="C473" s="90" t="s">
        <v>243</v>
      </c>
      <c r="D473" s="90"/>
      <c r="E473" s="90"/>
      <c r="F473" s="90"/>
      <c r="G473" s="99">
        <f t="shared" ref="G473:R473" si="460">G428</f>
        <v>0</v>
      </c>
      <c r="H473" s="99">
        <f t="shared" si="460"/>
        <v>50071.97388</v>
      </c>
      <c r="I473" s="99">
        <f t="shared" si="460"/>
        <v>56305.9984</v>
      </c>
      <c r="J473" s="99">
        <f t="shared" si="460"/>
        <v>12905.27821</v>
      </c>
      <c r="K473" s="99">
        <f t="shared" si="460"/>
        <v>11400.61335</v>
      </c>
      <c r="L473" s="99">
        <f t="shared" si="460"/>
        <v>3260.784121</v>
      </c>
      <c r="M473" s="99">
        <f t="shared" si="460"/>
        <v>18401.23491</v>
      </c>
      <c r="N473" s="99">
        <f t="shared" si="460"/>
        <v>31114.14406</v>
      </c>
      <c r="O473" s="99">
        <f t="shared" si="460"/>
        <v>114694.6687</v>
      </c>
      <c r="P473" s="99">
        <f t="shared" si="460"/>
        <v>119051.4203</v>
      </c>
      <c r="Q473" s="99">
        <f t="shared" si="460"/>
        <v>121098.9513</v>
      </c>
      <c r="R473" s="99">
        <f t="shared" si="460"/>
        <v>123040.6933</v>
      </c>
      <c r="AT473" s="308" t="str">
        <f t="shared" ref="AT473:BG473" si="461">AT428</f>
        <v>#REF!</v>
      </c>
      <c r="AU473" s="308" t="str">
        <f t="shared" si="461"/>
        <v>#REF!</v>
      </c>
      <c r="AV473" s="308" t="str">
        <f t="shared" si="461"/>
        <v>#REF!</v>
      </c>
      <c r="AW473" s="308" t="str">
        <f t="shared" si="461"/>
        <v>#REF!</v>
      </c>
      <c r="AX473" s="308" t="str">
        <f t="shared" si="461"/>
        <v>#REF!</v>
      </c>
      <c r="AY473" s="308" t="str">
        <f t="shared" si="461"/>
        <v>#REF!</v>
      </c>
      <c r="AZ473" s="308" t="str">
        <f t="shared" si="461"/>
        <v>#REF!</v>
      </c>
      <c r="BA473" s="308" t="str">
        <f t="shared" si="461"/>
        <v>#REF!</v>
      </c>
      <c r="BB473" s="308" t="str">
        <f t="shared" si="461"/>
        <v>#REF!</v>
      </c>
      <c r="BC473" s="308" t="str">
        <f t="shared" si="461"/>
        <v>#REF!</v>
      </c>
      <c r="BD473" s="308" t="str">
        <f t="shared" si="461"/>
        <v>#REF!</v>
      </c>
      <c r="BE473" s="308" t="str">
        <f t="shared" si="461"/>
        <v>#REF!</v>
      </c>
      <c r="BF473" s="308" t="str">
        <f t="shared" si="461"/>
        <v>#REF!</v>
      </c>
      <c r="BG473" s="308" t="str">
        <f t="shared" si="461"/>
        <v>#REF!</v>
      </c>
    </row>
    <row r="474" ht="12.75" customHeight="1" outlineLevel="1">
      <c r="A474" s="90"/>
      <c r="B474" s="90"/>
      <c r="C474" s="90" t="s">
        <v>499</v>
      </c>
      <c r="D474" s="90"/>
      <c r="E474" s="90"/>
      <c r="F474" s="90"/>
      <c r="G474" s="99">
        <f t="shared" ref="G474:R474" si="462">F474-G409</f>
        <v>0</v>
      </c>
      <c r="H474" s="99">
        <f t="shared" si="462"/>
        <v>200000</v>
      </c>
      <c r="I474" s="99">
        <f t="shared" si="462"/>
        <v>200000</v>
      </c>
      <c r="J474" s="99">
        <f t="shared" si="462"/>
        <v>200000</v>
      </c>
      <c r="K474" s="99">
        <f t="shared" si="462"/>
        <v>200000</v>
      </c>
      <c r="L474" s="99">
        <f t="shared" si="462"/>
        <v>200000</v>
      </c>
      <c r="M474" s="99">
        <f t="shared" si="462"/>
        <v>200000</v>
      </c>
      <c r="N474" s="99">
        <f t="shared" si="462"/>
        <v>200000</v>
      </c>
      <c r="O474" s="99">
        <f t="shared" si="462"/>
        <v>0</v>
      </c>
      <c r="P474" s="99">
        <f t="shared" si="462"/>
        <v>0</v>
      </c>
      <c r="Q474" s="99">
        <f t="shared" si="462"/>
        <v>0</v>
      </c>
      <c r="R474" s="99">
        <f t="shared" si="462"/>
        <v>0</v>
      </c>
      <c r="AT474" s="99">
        <f t="shared" ref="AT474:BG474" si="463">AS474-AT409</f>
        <v>0</v>
      </c>
      <c r="AU474" s="99">
        <f t="shared" si="463"/>
        <v>0</v>
      </c>
      <c r="AV474" s="99">
        <f t="shared" si="463"/>
        <v>0</v>
      </c>
      <c r="AW474" s="99">
        <f t="shared" si="463"/>
        <v>0</v>
      </c>
      <c r="AX474" s="99">
        <f t="shared" si="463"/>
        <v>0</v>
      </c>
      <c r="AY474" s="99">
        <f t="shared" si="463"/>
        <v>0</v>
      </c>
      <c r="AZ474" s="99">
        <f t="shared" si="463"/>
        <v>0</v>
      </c>
      <c r="BA474" s="99">
        <f t="shared" si="463"/>
        <v>0</v>
      </c>
      <c r="BB474" s="99">
        <f t="shared" si="463"/>
        <v>0</v>
      </c>
      <c r="BC474" s="99">
        <f t="shared" si="463"/>
        <v>0</v>
      </c>
      <c r="BD474" s="99">
        <f t="shared" si="463"/>
        <v>0</v>
      </c>
      <c r="BE474" s="99">
        <f t="shared" si="463"/>
        <v>0</v>
      </c>
      <c r="BF474" s="99">
        <f t="shared" si="463"/>
        <v>0</v>
      </c>
      <c r="BG474" s="99">
        <f t="shared" si="463"/>
        <v>0</v>
      </c>
    </row>
    <row r="475" ht="12.75" customHeight="1" outlineLevel="1">
      <c r="A475" s="90"/>
      <c r="B475" s="257">
        <f>Assumptions!H28</f>
        <v>0.15</v>
      </c>
      <c r="C475" s="90" t="s">
        <v>142</v>
      </c>
      <c r="D475" s="90"/>
      <c r="E475" s="90"/>
      <c r="F475" s="90"/>
      <c r="G475" s="99">
        <f>$B$475*(G273+G282)</f>
        <v>0</v>
      </c>
      <c r="H475" s="99">
        <f t="shared" ref="H475:R475" si="464">$B475*H296</f>
        <v>30000</v>
      </c>
      <c r="I475" s="99">
        <f t="shared" si="464"/>
        <v>481618.8984</v>
      </c>
      <c r="J475" s="99">
        <f t="shared" si="464"/>
        <v>499378.1688</v>
      </c>
      <c r="K475" s="99">
        <f t="shared" si="464"/>
        <v>519198.4588</v>
      </c>
      <c r="L475" s="99">
        <f t="shared" si="464"/>
        <v>520534.0588</v>
      </c>
      <c r="M475" s="99">
        <f t="shared" si="464"/>
        <v>519389.2588</v>
      </c>
      <c r="N475" s="99">
        <f t="shared" si="464"/>
        <v>518339.8588</v>
      </c>
      <c r="O475" s="99">
        <f t="shared" si="464"/>
        <v>517338.1588</v>
      </c>
      <c r="P475" s="99">
        <f t="shared" si="464"/>
        <v>516336.4588</v>
      </c>
      <c r="Q475" s="99">
        <f t="shared" si="464"/>
        <v>515811.7588</v>
      </c>
      <c r="R475" s="99">
        <f t="shared" si="464"/>
        <v>515811.7588</v>
      </c>
      <c r="AT475" s="99">
        <f t="shared" ref="AT475:BG475" si="465">$B475*AT296</f>
        <v>0</v>
      </c>
      <c r="AU475" s="99" t="str">
        <f t="shared" si="465"/>
        <v>#REF!</v>
      </c>
      <c r="AV475" s="99" t="str">
        <f t="shared" si="465"/>
        <v>#REF!</v>
      </c>
      <c r="AW475" s="99" t="str">
        <f t="shared" si="465"/>
        <v>#REF!</v>
      </c>
      <c r="AX475" s="99" t="str">
        <f t="shared" si="465"/>
        <v>#REF!</v>
      </c>
      <c r="AY475" s="99" t="str">
        <f t="shared" si="465"/>
        <v>#REF!</v>
      </c>
      <c r="AZ475" s="99" t="str">
        <f t="shared" si="465"/>
        <v>#REF!</v>
      </c>
      <c r="BA475" s="99" t="str">
        <f t="shared" si="465"/>
        <v>#REF!</v>
      </c>
      <c r="BB475" s="99" t="str">
        <f t="shared" si="465"/>
        <v>#REF!</v>
      </c>
      <c r="BC475" s="99" t="str">
        <f t="shared" si="465"/>
        <v>#REF!</v>
      </c>
      <c r="BD475" s="99" t="str">
        <f t="shared" si="465"/>
        <v>#REF!</v>
      </c>
      <c r="BE475" s="99" t="str">
        <f t="shared" si="465"/>
        <v>#REF!</v>
      </c>
      <c r="BF475" s="99" t="str">
        <f t="shared" si="465"/>
        <v>#REF!</v>
      </c>
      <c r="BG475" s="99" t="str">
        <f t="shared" si="465"/>
        <v>#REF!</v>
      </c>
    </row>
    <row r="476" ht="12.75" customHeight="1" outlineLevel="1">
      <c r="A476" s="90"/>
      <c r="B476" s="87"/>
      <c r="C476" s="87" t="s">
        <v>248</v>
      </c>
      <c r="D476" s="87"/>
      <c r="E476" s="87"/>
      <c r="F476" s="87"/>
      <c r="G476" s="125">
        <v>0.0</v>
      </c>
      <c r="H476" s="125">
        <v>0.0</v>
      </c>
      <c r="I476" s="125">
        <v>0.0</v>
      </c>
      <c r="J476" s="125">
        <v>0.0</v>
      </c>
      <c r="K476" s="125">
        <v>0.0</v>
      </c>
      <c r="L476" s="125">
        <v>0.0</v>
      </c>
      <c r="M476" s="125">
        <v>0.0</v>
      </c>
      <c r="N476" s="125">
        <v>0.0</v>
      </c>
      <c r="O476" s="125">
        <v>0.0</v>
      </c>
      <c r="P476" s="125">
        <v>0.0</v>
      </c>
      <c r="Q476" s="125">
        <v>0.0</v>
      </c>
      <c r="R476" s="125">
        <v>0.0</v>
      </c>
      <c r="AT476" s="377">
        <v>0.0</v>
      </c>
      <c r="AU476" s="377">
        <v>0.0</v>
      </c>
      <c r="AV476" s="377">
        <v>0.0</v>
      </c>
      <c r="AW476" s="377">
        <v>0.0</v>
      </c>
      <c r="AX476" s="377">
        <v>0.0</v>
      </c>
      <c r="AY476" s="377">
        <v>0.0</v>
      </c>
      <c r="AZ476" s="377">
        <v>0.0</v>
      </c>
      <c r="BA476" s="377">
        <v>0.0</v>
      </c>
      <c r="BB476" s="377">
        <v>0.0</v>
      </c>
      <c r="BC476" s="377">
        <v>0.0</v>
      </c>
      <c r="BD476" s="377">
        <v>0.0</v>
      </c>
      <c r="BE476" s="377">
        <v>0.0</v>
      </c>
      <c r="BF476" s="377">
        <v>0.0</v>
      </c>
      <c r="BG476" s="377">
        <v>0.0</v>
      </c>
    </row>
    <row r="477" ht="12.75" customHeight="1" outlineLevel="1">
      <c r="A477" s="90"/>
      <c r="B477" s="90" t="s">
        <v>249</v>
      </c>
      <c r="C477" s="90"/>
      <c r="D477" s="90"/>
      <c r="E477" s="90"/>
      <c r="F477" s="90"/>
      <c r="G477" s="99">
        <f t="shared" ref="G477:R477" si="466">SUM(G473:G476)</f>
        <v>0</v>
      </c>
      <c r="H477" s="99">
        <f t="shared" si="466"/>
        <v>280071.9739</v>
      </c>
      <c r="I477" s="99">
        <f t="shared" si="466"/>
        <v>737924.8968</v>
      </c>
      <c r="J477" s="99">
        <f t="shared" si="466"/>
        <v>712283.447</v>
      </c>
      <c r="K477" s="99">
        <f t="shared" si="466"/>
        <v>730599.0721</v>
      </c>
      <c r="L477" s="99">
        <f t="shared" si="466"/>
        <v>723794.8429</v>
      </c>
      <c r="M477" s="99">
        <f t="shared" si="466"/>
        <v>737790.4937</v>
      </c>
      <c r="N477" s="99">
        <f t="shared" si="466"/>
        <v>749454.0028</v>
      </c>
      <c r="O477" s="99">
        <f t="shared" si="466"/>
        <v>632032.8274</v>
      </c>
      <c r="P477" s="99">
        <f t="shared" si="466"/>
        <v>635387.8791</v>
      </c>
      <c r="Q477" s="99">
        <f t="shared" si="466"/>
        <v>636910.7101</v>
      </c>
      <c r="R477" s="99">
        <f t="shared" si="466"/>
        <v>638852.452</v>
      </c>
      <c r="AT477" s="308" t="str">
        <f t="shared" ref="AT477:BG477" si="467">SUM(AT473:AT476)</f>
        <v>#REF!</v>
      </c>
      <c r="AU477" s="308" t="str">
        <f t="shared" si="467"/>
        <v>#REF!</v>
      </c>
      <c r="AV477" s="308" t="str">
        <f t="shared" si="467"/>
        <v>#REF!</v>
      </c>
      <c r="AW477" s="308" t="str">
        <f t="shared" si="467"/>
        <v>#REF!</v>
      </c>
      <c r="AX477" s="308" t="str">
        <f t="shared" si="467"/>
        <v>#REF!</v>
      </c>
      <c r="AY477" s="308" t="str">
        <f t="shared" si="467"/>
        <v>#REF!</v>
      </c>
      <c r="AZ477" s="308" t="str">
        <f t="shared" si="467"/>
        <v>#REF!</v>
      </c>
      <c r="BA477" s="308" t="str">
        <f t="shared" si="467"/>
        <v>#REF!</v>
      </c>
      <c r="BB477" s="308" t="str">
        <f t="shared" si="467"/>
        <v>#REF!</v>
      </c>
      <c r="BC477" s="308" t="str">
        <f t="shared" si="467"/>
        <v>#REF!</v>
      </c>
      <c r="BD477" s="308" t="str">
        <f t="shared" si="467"/>
        <v>#REF!</v>
      </c>
      <c r="BE477" s="308" t="str">
        <f t="shared" si="467"/>
        <v>#REF!</v>
      </c>
      <c r="BF477" s="308" t="str">
        <f t="shared" si="467"/>
        <v>#REF!</v>
      </c>
      <c r="BG477" s="308" t="str">
        <f t="shared" si="467"/>
        <v>#REF!</v>
      </c>
    </row>
    <row r="478" ht="12.75" customHeight="1" outlineLevel="1">
      <c r="A478" s="90"/>
      <c r="B478" s="90"/>
      <c r="C478" s="90"/>
      <c r="D478" s="90"/>
      <c r="E478" s="90"/>
      <c r="F478" s="90"/>
      <c r="G478" s="99"/>
      <c r="H478" s="99"/>
      <c r="I478" s="99"/>
      <c r="J478" s="99"/>
      <c r="K478" s="99"/>
      <c r="L478" s="99"/>
      <c r="M478" s="99"/>
      <c r="N478" s="99"/>
      <c r="O478" s="99"/>
      <c r="P478" s="99"/>
      <c r="Q478" s="99"/>
      <c r="R478" s="99"/>
      <c r="AT478" s="308"/>
      <c r="AU478" s="308"/>
      <c r="AV478" s="308"/>
      <c r="AW478" s="308"/>
      <c r="AX478" s="308"/>
      <c r="AY478" s="308"/>
      <c r="AZ478" s="308"/>
      <c r="BA478" s="308"/>
      <c r="BB478" s="308"/>
      <c r="BC478" s="308"/>
      <c r="BD478" s="308"/>
      <c r="BE478" s="308"/>
      <c r="BF478" s="308"/>
      <c r="BG478" s="308"/>
    </row>
    <row r="479" ht="12.75" customHeight="1" outlineLevel="1">
      <c r="A479" s="90"/>
      <c r="B479" s="90" t="s">
        <v>250</v>
      </c>
      <c r="C479" s="90"/>
      <c r="D479" s="90"/>
      <c r="E479" s="90"/>
      <c r="F479" s="90"/>
      <c r="G479" s="99"/>
      <c r="H479" s="99"/>
      <c r="I479" s="99"/>
      <c r="J479" s="99"/>
      <c r="K479" s="99"/>
      <c r="L479" s="99"/>
      <c r="M479" s="99"/>
      <c r="N479" s="99"/>
      <c r="O479" s="99"/>
      <c r="P479" s="99"/>
      <c r="Q479" s="99"/>
      <c r="R479" s="99"/>
      <c r="AT479" s="308"/>
      <c r="AU479" s="308"/>
      <c r="AV479" s="308"/>
      <c r="AW479" s="308"/>
      <c r="AX479" s="308"/>
      <c r="AY479" s="308"/>
      <c r="AZ479" s="308"/>
      <c r="BA479" s="308"/>
      <c r="BB479" s="308"/>
      <c r="BC479" s="308"/>
      <c r="BD479" s="308"/>
      <c r="BE479" s="308"/>
      <c r="BF479" s="308"/>
      <c r="BG479" s="308"/>
    </row>
    <row r="480" ht="12.75" customHeight="1" outlineLevel="1">
      <c r="A480" s="90"/>
      <c r="B480" s="257">
        <f>Assumptions!H29</f>
        <v>0.05</v>
      </c>
      <c r="C480" s="90" t="s">
        <v>145</v>
      </c>
      <c r="D480" s="90"/>
      <c r="E480" s="90"/>
      <c r="F480" s="90"/>
      <c r="G480" s="99">
        <v>0.0</v>
      </c>
      <c r="H480" s="99">
        <f t="shared" ref="H480:R480" si="468">$B$480*H395</f>
        <v>8943.580322</v>
      </c>
      <c r="I480" s="99">
        <f t="shared" si="468"/>
        <v>158265.7072</v>
      </c>
      <c r="J480" s="99">
        <f t="shared" si="468"/>
        <v>166216.1611</v>
      </c>
      <c r="K480" s="99">
        <f t="shared" si="468"/>
        <v>173140.7611</v>
      </c>
      <c r="L480" s="99">
        <f t="shared" si="468"/>
        <v>172618.8772</v>
      </c>
      <c r="M480" s="99">
        <f t="shared" si="468"/>
        <v>172380.8637</v>
      </c>
      <c r="N480" s="99">
        <f t="shared" si="468"/>
        <v>172151.1882</v>
      </c>
      <c r="O480" s="99">
        <f t="shared" si="468"/>
        <v>172028.4179</v>
      </c>
      <c r="P480" s="99">
        <f t="shared" si="468"/>
        <v>171905.7097</v>
      </c>
      <c r="Q480" s="99">
        <f t="shared" si="468"/>
        <v>171840.8138</v>
      </c>
      <c r="R480" s="99">
        <f t="shared" si="468"/>
        <v>171840.1317</v>
      </c>
      <c r="AT480" s="308" t="str">
        <f t="shared" ref="AT480:BG480" si="469">$B$480*AT395</f>
        <v>#REF!</v>
      </c>
      <c r="AU480" s="308" t="str">
        <f t="shared" si="469"/>
        <v>#REF!</v>
      </c>
      <c r="AV480" s="308" t="str">
        <f t="shared" si="469"/>
        <v>#REF!</v>
      </c>
      <c r="AW480" s="308" t="str">
        <f t="shared" si="469"/>
        <v>#REF!</v>
      </c>
      <c r="AX480" s="308" t="str">
        <f t="shared" si="469"/>
        <v>#REF!</v>
      </c>
      <c r="AY480" s="308" t="str">
        <f t="shared" si="469"/>
        <v>#REF!</v>
      </c>
      <c r="AZ480" s="308" t="str">
        <f t="shared" si="469"/>
        <v>#REF!</v>
      </c>
      <c r="BA480" s="308" t="str">
        <f t="shared" si="469"/>
        <v>#REF!</v>
      </c>
      <c r="BB480" s="308" t="str">
        <f t="shared" si="469"/>
        <v>#REF!</v>
      </c>
      <c r="BC480" s="308" t="str">
        <f t="shared" si="469"/>
        <v>#REF!</v>
      </c>
      <c r="BD480" s="308" t="str">
        <f t="shared" si="469"/>
        <v>#REF!</v>
      </c>
      <c r="BE480" s="308" t="str">
        <f t="shared" si="469"/>
        <v>#REF!</v>
      </c>
      <c r="BF480" s="308" t="str">
        <f t="shared" si="469"/>
        <v>#REF!</v>
      </c>
      <c r="BG480" s="308" t="str">
        <f t="shared" si="469"/>
        <v>#REF!</v>
      </c>
    </row>
    <row r="481" ht="12.75" customHeight="1" outlineLevel="1">
      <c r="A481" s="90"/>
      <c r="B481" s="90"/>
      <c r="C481" s="90" t="s">
        <v>251</v>
      </c>
      <c r="D481" s="90"/>
      <c r="E481" s="90"/>
      <c r="F481" s="90"/>
      <c r="G481" s="99">
        <f t="shared" ref="G481:R481" si="470">G467</f>
        <v>0</v>
      </c>
      <c r="H481" s="99">
        <f t="shared" si="470"/>
        <v>250000</v>
      </c>
      <c r="I481" s="99">
        <f t="shared" si="470"/>
        <v>513052.284</v>
      </c>
      <c r="J481" s="99">
        <f t="shared" si="470"/>
        <v>474595.8097</v>
      </c>
      <c r="K481" s="99">
        <f t="shared" si="470"/>
        <v>487478.9982</v>
      </c>
      <c r="L481" s="99">
        <f t="shared" si="470"/>
        <v>463347.1382</v>
      </c>
      <c r="M481" s="99">
        <f t="shared" si="470"/>
        <v>462603.0182</v>
      </c>
      <c r="N481" s="99">
        <f t="shared" si="470"/>
        <v>461920.9082</v>
      </c>
      <c r="O481" s="99">
        <f t="shared" si="470"/>
        <v>336269.8032</v>
      </c>
      <c r="P481" s="99">
        <f t="shared" si="470"/>
        <v>335618.6982</v>
      </c>
      <c r="Q481" s="99">
        <f t="shared" si="470"/>
        <v>335277.6432</v>
      </c>
      <c r="R481" s="99">
        <f t="shared" si="470"/>
        <v>335277.6432</v>
      </c>
      <c r="AT481" s="308">
        <f t="shared" ref="AT481:BG481" si="471">AT467</f>
        <v>0</v>
      </c>
      <c r="AU481" s="308">
        <f t="shared" si="471"/>
        <v>0</v>
      </c>
      <c r="AV481" s="308">
        <f t="shared" si="471"/>
        <v>0</v>
      </c>
      <c r="AW481" s="308">
        <f t="shared" si="471"/>
        <v>0</v>
      </c>
      <c r="AX481" s="308">
        <f t="shared" si="471"/>
        <v>0</v>
      </c>
      <c r="AY481" s="308">
        <f t="shared" si="471"/>
        <v>0</v>
      </c>
      <c r="AZ481" s="308">
        <f t="shared" si="471"/>
        <v>0</v>
      </c>
      <c r="BA481" s="308">
        <f t="shared" si="471"/>
        <v>0</v>
      </c>
      <c r="BB481" s="308">
        <f t="shared" si="471"/>
        <v>0</v>
      </c>
      <c r="BC481" s="308">
        <f t="shared" si="471"/>
        <v>0</v>
      </c>
      <c r="BD481" s="308">
        <f t="shared" si="471"/>
        <v>0</v>
      </c>
      <c r="BE481" s="308">
        <f t="shared" si="471"/>
        <v>0</v>
      </c>
      <c r="BF481" s="308">
        <f t="shared" si="471"/>
        <v>0</v>
      </c>
      <c r="BG481" s="308">
        <f t="shared" si="471"/>
        <v>0</v>
      </c>
    </row>
    <row r="482" ht="12.75" customHeight="1" outlineLevel="1">
      <c r="A482" s="90"/>
      <c r="B482" s="87"/>
      <c r="C482" s="87" t="s">
        <v>253</v>
      </c>
      <c r="D482" s="87"/>
      <c r="E482" s="87"/>
      <c r="F482" s="87"/>
      <c r="G482" s="125">
        <f>G397</f>
        <v>0</v>
      </c>
      <c r="H482" s="125">
        <f t="shared" ref="H482:R482" si="472">G482+H397</f>
        <v>21128.39356</v>
      </c>
      <c r="I482" s="125">
        <f t="shared" si="472"/>
        <v>66606.90565</v>
      </c>
      <c r="J482" s="125">
        <f t="shared" si="472"/>
        <v>71471.47622</v>
      </c>
      <c r="K482" s="125">
        <f t="shared" si="472"/>
        <v>69979.31283</v>
      </c>
      <c r="L482" s="125">
        <f t="shared" si="472"/>
        <v>87828.8275</v>
      </c>
      <c r="M482" s="125">
        <f t="shared" si="472"/>
        <v>102806.6118</v>
      </c>
      <c r="N482" s="125">
        <f t="shared" si="472"/>
        <v>115381.9064</v>
      </c>
      <c r="O482" s="125">
        <f t="shared" si="472"/>
        <v>123734.6063</v>
      </c>
      <c r="P482" s="125">
        <f t="shared" si="472"/>
        <v>127863.4712</v>
      </c>
      <c r="Q482" s="125">
        <f t="shared" si="472"/>
        <v>129792.2531</v>
      </c>
      <c r="R482" s="125">
        <f t="shared" si="472"/>
        <v>131734.6771</v>
      </c>
      <c r="AT482" s="125" t="str">
        <f t="shared" ref="AT482:BG482" si="473">AS482+AT397</f>
        <v>#REF!</v>
      </c>
      <c r="AU482" s="125" t="str">
        <f t="shared" si="473"/>
        <v>#REF!</v>
      </c>
      <c r="AV482" s="125" t="str">
        <f t="shared" si="473"/>
        <v>#REF!</v>
      </c>
      <c r="AW482" s="125" t="str">
        <f t="shared" si="473"/>
        <v>#REF!</v>
      </c>
      <c r="AX482" s="125" t="str">
        <f t="shared" si="473"/>
        <v>#REF!</v>
      </c>
      <c r="AY482" s="125" t="str">
        <f t="shared" si="473"/>
        <v>#REF!</v>
      </c>
      <c r="AZ482" s="125" t="str">
        <f t="shared" si="473"/>
        <v>#REF!</v>
      </c>
      <c r="BA482" s="125" t="str">
        <f t="shared" si="473"/>
        <v>#REF!</v>
      </c>
      <c r="BB482" s="125" t="str">
        <f t="shared" si="473"/>
        <v>#REF!</v>
      </c>
      <c r="BC482" s="125" t="str">
        <f t="shared" si="473"/>
        <v>#REF!</v>
      </c>
      <c r="BD482" s="125" t="str">
        <f t="shared" si="473"/>
        <v>#REF!</v>
      </c>
      <c r="BE482" s="125" t="str">
        <f t="shared" si="473"/>
        <v>#REF!</v>
      </c>
      <c r="BF482" s="125" t="str">
        <f t="shared" si="473"/>
        <v>#REF!</v>
      </c>
      <c r="BG482" s="125" t="str">
        <f t="shared" si="473"/>
        <v>#REF!</v>
      </c>
    </row>
    <row r="483" ht="12.75" customHeight="1" outlineLevel="1">
      <c r="A483" s="90"/>
      <c r="B483" s="90" t="s">
        <v>254</v>
      </c>
      <c r="C483" s="90"/>
      <c r="D483" s="90"/>
      <c r="E483" s="90"/>
      <c r="F483" s="90"/>
      <c r="G483" s="99">
        <f t="shared" ref="G483:R483" si="474">SUM(G480:G482)</f>
        <v>0</v>
      </c>
      <c r="H483" s="99">
        <f t="shared" si="474"/>
        <v>280071.9739</v>
      </c>
      <c r="I483" s="99">
        <f t="shared" si="474"/>
        <v>737924.8968</v>
      </c>
      <c r="J483" s="99">
        <f t="shared" si="474"/>
        <v>712283.447</v>
      </c>
      <c r="K483" s="99">
        <f t="shared" si="474"/>
        <v>730599.0721</v>
      </c>
      <c r="L483" s="99">
        <f t="shared" si="474"/>
        <v>723794.8429</v>
      </c>
      <c r="M483" s="99">
        <f t="shared" si="474"/>
        <v>737790.4937</v>
      </c>
      <c r="N483" s="99">
        <f t="shared" si="474"/>
        <v>749454.0028</v>
      </c>
      <c r="O483" s="99">
        <f t="shared" si="474"/>
        <v>632032.8274</v>
      </c>
      <c r="P483" s="99">
        <f t="shared" si="474"/>
        <v>635387.8791</v>
      </c>
      <c r="Q483" s="99">
        <f t="shared" si="474"/>
        <v>636910.7101</v>
      </c>
      <c r="R483" s="99">
        <f t="shared" si="474"/>
        <v>638852.452</v>
      </c>
      <c r="AT483" s="99" t="str">
        <f t="shared" ref="AT483:BG483" si="475">SUM(AT480:AT482)</f>
        <v>#REF!</v>
      </c>
      <c r="AU483" s="99" t="str">
        <f t="shared" si="475"/>
        <v>#REF!</v>
      </c>
      <c r="AV483" s="99" t="str">
        <f t="shared" si="475"/>
        <v>#REF!</v>
      </c>
      <c r="AW483" s="99" t="str">
        <f t="shared" si="475"/>
        <v>#REF!</v>
      </c>
      <c r="AX483" s="99" t="str">
        <f t="shared" si="475"/>
        <v>#REF!</v>
      </c>
      <c r="AY483" s="99" t="str">
        <f t="shared" si="475"/>
        <v>#REF!</v>
      </c>
      <c r="AZ483" s="99" t="str">
        <f t="shared" si="475"/>
        <v>#REF!</v>
      </c>
      <c r="BA483" s="99" t="str">
        <f t="shared" si="475"/>
        <v>#REF!</v>
      </c>
      <c r="BB483" s="99" t="str">
        <f t="shared" si="475"/>
        <v>#REF!</v>
      </c>
      <c r="BC483" s="99" t="str">
        <f t="shared" si="475"/>
        <v>#REF!</v>
      </c>
      <c r="BD483" s="99" t="str">
        <f t="shared" si="475"/>
        <v>#REF!</v>
      </c>
      <c r="BE483" s="99" t="str">
        <f t="shared" si="475"/>
        <v>#REF!</v>
      </c>
      <c r="BF483" s="99" t="str">
        <f t="shared" si="475"/>
        <v>#REF!</v>
      </c>
      <c r="BG483" s="99" t="str">
        <f t="shared" si="475"/>
        <v>#REF!</v>
      </c>
    </row>
    <row r="484" ht="12.75" customHeight="1" outlineLevel="1">
      <c r="A484" s="274"/>
      <c r="B484" s="274"/>
      <c r="C484" s="274"/>
      <c r="D484" s="274"/>
      <c r="E484" s="274"/>
      <c r="F484" s="274"/>
      <c r="G484" s="275">
        <f t="shared" ref="G484:R484" si="476">G483-G477</f>
        <v>0</v>
      </c>
      <c r="H484" s="275">
        <f t="shared" si="476"/>
        <v>0</v>
      </c>
      <c r="I484" s="275">
        <f t="shared" si="476"/>
        <v>0</v>
      </c>
      <c r="J484" s="275">
        <f t="shared" si="476"/>
        <v>0</v>
      </c>
      <c r="K484" s="275">
        <f t="shared" si="476"/>
        <v>0</v>
      </c>
      <c r="L484" s="275">
        <f t="shared" si="476"/>
        <v>0</v>
      </c>
      <c r="M484" s="275">
        <f t="shared" si="476"/>
        <v>0</v>
      </c>
      <c r="N484" s="275">
        <f t="shared" si="476"/>
        <v>0.0000000001164153218</v>
      </c>
      <c r="O484" s="275">
        <f t="shared" si="476"/>
        <v>0</v>
      </c>
      <c r="P484" s="275">
        <f t="shared" si="476"/>
        <v>0.0000000001164153218</v>
      </c>
      <c r="Q484" s="275">
        <f t="shared" si="476"/>
        <v>0</v>
      </c>
      <c r="R484" s="275">
        <f t="shared" si="476"/>
        <v>0</v>
      </c>
      <c r="AT484" s="275" t="str">
        <f t="shared" ref="AT484:BG484" si="477">AT483-AT477</f>
        <v>#REF!</v>
      </c>
      <c r="AU484" s="275" t="str">
        <f t="shared" si="477"/>
        <v>#REF!</v>
      </c>
      <c r="AV484" s="275" t="str">
        <f t="shared" si="477"/>
        <v>#REF!</v>
      </c>
      <c r="AW484" s="275" t="str">
        <f t="shared" si="477"/>
        <v>#REF!</v>
      </c>
      <c r="AX484" s="275" t="str">
        <f t="shared" si="477"/>
        <v>#REF!</v>
      </c>
      <c r="AY484" s="275" t="str">
        <f t="shared" si="477"/>
        <v>#REF!</v>
      </c>
      <c r="AZ484" s="275" t="str">
        <f t="shared" si="477"/>
        <v>#REF!</v>
      </c>
      <c r="BA484" s="275" t="str">
        <f t="shared" si="477"/>
        <v>#REF!</v>
      </c>
      <c r="BB484" s="275" t="str">
        <f t="shared" si="477"/>
        <v>#REF!</v>
      </c>
      <c r="BC484" s="275" t="str">
        <f t="shared" si="477"/>
        <v>#REF!</v>
      </c>
      <c r="BD484" s="275" t="str">
        <f t="shared" si="477"/>
        <v>#REF!</v>
      </c>
      <c r="BE484" s="275" t="str">
        <f t="shared" si="477"/>
        <v>#REF!</v>
      </c>
      <c r="BF484" s="275" t="str">
        <f t="shared" si="477"/>
        <v>#REF!</v>
      </c>
      <c r="BG484" s="275" t="str">
        <f t="shared" si="477"/>
        <v>#REF!</v>
      </c>
    </row>
    <row r="485" ht="12.75" customHeight="1">
      <c r="A485" s="90"/>
      <c r="G485" s="90"/>
      <c r="H485" s="90"/>
      <c r="I485" s="90"/>
      <c r="J485" s="90"/>
      <c r="K485" s="90"/>
      <c r="L485" s="90"/>
      <c r="M485" s="90"/>
      <c r="N485" s="90"/>
      <c r="O485" s="90"/>
      <c r="P485" s="90"/>
      <c r="Q485" s="90"/>
      <c r="R485" s="90"/>
      <c r="AT485" s="313"/>
      <c r="AU485" s="313"/>
      <c r="AV485" s="313"/>
      <c r="AW485" s="313"/>
      <c r="AX485" s="313"/>
      <c r="AY485" s="313"/>
      <c r="AZ485" s="313"/>
      <c r="BA485" s="313"/>
      <c r="BB485" s="313"/>
      <c r="BC485" s="313"/>
      <c r="BD485" s="313"/>
      <c r="BE485" s="313"/>
      <c r="BF485" s="313"/>
      <c r="BG485" s="313"/>
    </row>
    <row r="486" ht="12.75" customHeight="1">
      <c r="A486" s="90"/>
    </row>
    <row r="487" ht="12.75" customHeight="1">
      <c r="A487" s="90"/>
    </row>
    <row r="488" ht="12.75" customHeight="1">
      <c r="A488" s="90"/>
    </row>
    <row r="489" ht="12.75" customHeight="1">
      <c r="A489" s="90"/>
    </row>
    <row r="490" ht="12.75" customHeight="1">
      <c r="A490" s="90"/>
    </row>
    <row r="491" ht="12.75" customHeight="1">
      <c r="A491" s="90"/>
    </row>
    <row r="492" ht="12.75" customHeight="1">
      <c r="A492" s="90"/>
    </row>
    <row r="493" ht="12.75" customHeight="1">
      <c r="A493" s="90"/>
    </row>
    <row r="494" ht="12.75" customHeight="1">
      <c r="A494" s="90"/>
    </row>
    <row r="495" ht="12.75" customHeight="1">
      <c r="A495" s="90"/>
    </row>
    <row r="496" ht="12.75" customHeight="1">
      <c r="A496" s="90"/>
    </row>
    <row r="497" ht="12.75" customHeight="1">
      <c r="A497" s="90"/>
    </row>
    <row r="498" ht="12.75" customHeight="1">
      <c r="A498" s="90"/>
    </row>
    <row r="499" ht="12.75" customHeight="1">
      <c r="A499" s="90"/>
    </row>
    <row r="500" ht="12.75" customHeight="1">
      <c r="A500" s="90"/>
    </row>
    <row r="501" ht="12.75" customHeight="1">
      <c r="A501" s="90"/>
    </row>
    <row r="502" ht="12.75" customHeight="1">
      <c r="A502" s="90"/>
    </row>
    <row r="503" ht="12.75" customHeight="1">
      <c r="A503" s="90"/>
    </row>
    <row r="504" ht="12.75" customHeight="1">
      <c r="A504" s="90"/>
    </row>
    <row r="505" ht="12.75" customHeight="1">
      <c r="A505" s="90"/>
    </row>
    <row r="506" ht="12.75" customHeight="1">
      <c r="A506" s="90"/>
    </row>
    <row r="507" ht="12.75" customHeight="1">
      <c r="A507" s="90"/>
    </row>
    <row r="508" ht="12.75" customHeight="1">
      <c r="A508" s="90"/>
    </row>
    <row r="509" ht="12.75" customHeight="1">
      <c r="A509" s="90"/>
    </row>
    <row r="510" ht="12.75" customHeight="1">
      <c r="A510" s="90"/>
    </row>
    <row r="511" ht="12.75" customHeight="1">
      <c r="A511" s="90"/>
    </row>
    <row r="512" ht="12.75" customHeight="1">
      <c r="A512" s="90"/>
    </row>
    <row r="513" ht="12.75" customHeight="1">
      <c r="A513" s="90"/>
    </row>
    <row r="514" ht="12.75" customHeight="1">
      <c r="A514" s="90"/>
    </row>
    <row r="515" ht="12.75" customHeight="1">
      <c r="A515" s="90"/>
    </row>
    <row r="516" ht="12.75" customHeight="1">
      <c r="A516" s="90"/>
    </row>
    <row r="517" ht="12.75" customHeight="1">
      <c r="A517" s="90"/>
    </row>
    <row r="518" ht="12.75" customHeight="1">
      <c r="A518" s="90"/>
    </row>
    <row r="519" ht="12.75" customHeight="1">
      <c r="A519" s="90"/>
    </row>
    <row r="520" ht="12.75" customHeight="1">
      <c r="A520" s="90"/>
    </row>
    <row r="521" ht="12.75" customHeight="1">
      <c r="A521" s="90"/>
    </row>
    <row r="522" ht="12.75" customHeight="1">
      <c r="A522" s="90"/>
    </row>
    <row r="523" ht="12.75" customHeight="1">
      <c r="A523" s="90"/>
    </row>
    <row r="524" ht="12.75" customHeight="1">
      <c r="A524" s="90"/>
    </row>
    <row r="525" ht="12.75" customHeight="1">
      <c r="A525" s="90"/>
    </row>
    <row r="526" ht="12.75" customHeight="1">
      <c r="A526" s="90"/>
    </row>
    <row r="527" ht="12.75" customHeight="1">
      <c r="A527" s="90"/>
    </row>
    <row r="528" ht="12.75" customHeight="1">
      <c r="A528" s="90"/>
    </row>
    <row r="529" ht="12.75" customHeight="1">
      <c r="A529" s="90"/>
    </row>
    <row r="530" ht="12.75" customHeight="1">
      <c r="A530" s="90"/>
    </row>
    <row r="531" ht="12.75" customHeight="1">
      <c r="A531" s="90"/>
    </row>
    <row r="532" ht="12.75" customHeight="1">
      <c r="A532" s="90"/>
    </row>
    <row r="533" ht="12.75" customHeight="1">
      <c r="A533" s="90"/>
    </row>
    <row r="534" ht="12.75" customHeight="1">
      <c r="A534" s="90"/>
    </row>
    <row r="535" ht="12.75" customHeight="1">
      <c r="A535" s="90"/>
    </row>
    <row r="536" ht="12.75" customHeight="1">
      <c r="A536" s="90"/>
    </row>
    <row r="537" ht="12.75" customHeight="1">
      <c r="A537" s="90"/>
    </row>
    <row r="538" ht="12.75" customHeight="1">
      <c r="A538" s="90"/>
    </row>
    <row r="539" ht="12.75" customHeight="1">
      <c r="A539" s="90"/>
    </row>
    <row r="540" ht="12.75" customHeight="1">
      <c r="A540" s="90"/>
    </row>
    <row r="541" ht="12.75" customHeight="1">
      <c r="A541" s="90"/>
    </row>
  </sheetData>
  <printOptions/>
  <pageMargins bottom="0.35" footer="0.0" header="0.0" left="0.629861111111111" right="0.390277777777778" top="1.04027777777778"/>
  <pageSetup paperSize="5" orientation="landscape"/>
  <headerFooter>
    <oddHeader>&amp;CGeneric School Model (Schools 8+)</oddHeader>
    <oddFooter>&amp;C&amp;A&amp;R&amp;P</oddFooter>
  </headerFooter>
  <rowBreaks count="4" manualBreakCount="4">
    <brk id="33" man="1"/>
    <brk id="340" man="1"/>
    <brk id="297" man="1"/>
    <brk id="397" man="1"/>
  </rowBreaks>
  <colBreaks count="1" manualBreakCount="1">
    <brk id="18" man="1"/>
  </colBrea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CC00"/>
    <pageSetUpPr/>
  </sheetPr>
  <sheetViews>
    <sheetView workbookViewId="0">
      <pane xSplit="5.0" ySplit="8.0" topLeftCell="F9" activePane="bottomRight" state="frozen"/>
      <selection activeCell="F1" sqref="F1" pane="topRight"/>
      <selection activeCell="A9" sqref="A9" pane="bottomLeft"/>
      <selection activeCell="F9" sqref="F9" pane="bottomRight"/>
    </sheetView>
  </sheetViews>
  <sheetFormatPr customHeight="1" defaultColWidth="12.63" defaultRowHeight="15.0" outlineLevelCol="1" outlineLevelRow="2"/>
  <cols>
    <col customWidth="1" min="1" max="1" width="5.25"/>
    <col customWidth="1" min="2" max="2" width="4.75"/>
    <col customWidth="1" min="3" max="3" width="22.5"/>
    <col customWidth="1" min="4" max="4" width="4.38"/>
    <col customWidth="1" min="5" max="5" width="14.13"/>
    <col customWidth="1" min="6" max="6" width="16.25"/>
    <col customWidth="1" min="7" max="8" width="16.75"/>
    <col customWidth="1" min="9" max="9" width="17.0"/>
    <col customWidth="1" min="10" max="10" width="17.88"/>
    <col customWidth="1" min="11" max="11" width="16.75"/>
    <col customWidth="1" min="12" max="12" width="17.38"/>
    <col customWidth="1" min="13" max="13" width="17.75"/>
    <col customWidth="1" min="14" max="14" width="18.38"/>
    <col customWidth="1" min="15" max="15" width="18.88"/>
    <col customWidth="1" min="16" max="16" width="19.13"/>
    <col customWidth="1" min="17" max="17" width="18.88"/>
    <col customWidth="1" min="18" max="18" width="19.25"/>
    <col customWidth="1" min="19" max="19" width="19.0"/>
    <col customWidth="1" min="20" max="20" width="20.0"/>
    <col customWidth="1" min="21" max="21" width="19.75"/>
    <col customWidth="1" min="22" max="23" width="20.13"/>
    <col customWidth="1" min="24" max="24" width="19.88"/>
    <col customWidth="1" min="25" max="25" width="19.75"/>
    <col customWidth="1" min="26" max="26" width="20.38"/>
    <col customWidth="1" min="27" max="27" width="21.38"/>
    <col customWidth="1" min="28" max="28" width="21.13"/>
    <col customWidth="1" min="29" max="29" width="22.75"/>
    <col customWidth="1" min="30" max="30" width="22.0"/>
    <col customWidth="1" min="31" max="31" width="22.38"/>
    <col customWidth="1" hidden="1" min="32" max="32" width="22.38" outlineLevel="1"/>
    <col customWidth="1" hidden="1" min="33" max="33" width="22.88" outlineLevel="1"/>
    <col customWidth="1" hidden="1" min="34" max="34" width="21.88" outlineLevel="1"/>
    <col customWidth="1" hidden="1" min="35" max="35" width="22.75" outlineLevel="1"/>
    <col customWidth="1" hidden="1" min="36" max="37" width="16.25" outlineLevel="1"/>
    <col customWidth="1" hidden="1" min="38" max="41" width="15.0" outlineLevel="1"/>
  </cols>
  <sheetData>
    <row r="1" ht="12.75" customHeight="1">
      <c r="A1" s="158" t="s">
        <v>255</v>
      </c>
      <c r="B1" s="95"/>
      <c r="C1" s="95"/>
      <c r="D1" s="95"/>
      <c r="E1" s="95"/>
      <c r="F1" s="162"/>
      <c r="G1" s="160"/>
      <c r="H1" s="160"/>
      <c r="I1" s="160"/>
      <c r="J1" s="160"/>
      <c r="K1" s="160"/>
      <c r="L1" s="160"/>
      <c r="M1" s="160"/>
      <c r="N1" s="160"/>
      <c r="O1" s="160"/>
      <c r="P1" s="160"/>
      <c r="Q1" s="160"/>
      <c r="R1" s="160"/>
      <c r="S1" s="160"/>
      <c r="T1" s="160"/>
      <c r="U1" s="160"/>
      <c r="V1" s="160"/>
      <c r="W1" s="160"/>
      <c r="X1" s="160"/>
      <c r="Y1" s="160"/>
      <c r="Z1" s="160"/>
      <c r="AA1" s="160"/>
      <c r="AB1" s="160"/>
      <c r="AC1" s="160"/>
      <c r="AD1" s="160"/>
      <c r="AE1" s="160"/>
      <c r="AF1" s="160">
        <f t="shared" ref="AF1:AI1" si="1">AE1+1</f>
        <v>1</v>
      </c>
      <c r="AG1" s="160">
        <f t="shared" si="1"/>
        <v>2</v>
      </c>
      <c r="AH1" s="160">
        <f t="shared" si="1"/>
        <v>3</v>
      </c>
      <c r="AI1" s="160">
        <f t="shared" si="1"/>
        <v>4</v>
      </c>
      <c r="AJ1" s="160"/>
      <c r="AK1" s="160"/>
      <c r="AL1" s="160"/>
      <c r="AM1" s="160"/>
      <c r="AN1" s="161"/>
      <c r="AO1" s="161"/>
    </row>
    <row r="2" ht="12.75" customHeight="1">
      <c r="A2" s="96" t="s">
        <v>186</v>
      </c>
      <c r="B2" s="97"/>
      <c r="C2" s="97"/>
      <c r="D2" s="97"/>
      <c r="E2" s="97"/>
      <c r="F2" s="168">
        <v>2011.0</v>
      </c>
      <c r="G2" s="166">
        <f t="shared" ref="G2:AI2" si="2">F2+1</f>
        <v>2012</v>
      </c>
      <c r="H2" s="166">
        <f t="shared" si="2"/>
        <v>2013</v>
      </c>
      <c r="I2" s="166">
        <f t="shared" si="2"/>
        <v>2014</v>
      </c>
      <c r="J2" s="166">
        <f t="shared" si="2"/>
        <v>2015</v>
      </c>
      <c r="K2" s="166">
        <f t="shared" si="2"/>
        <v>2016</v>
      </c>
      <c r="L2" s="166">
        <f t="shared" si="2"/>
        <v>2017</v>
      </c>
      <c r="M2" s="166">
        <f t="shared" si="2"/>
        <v>2018</v>
      </c>
      <c r="N2" s="166">
        <f t="shared" si="2"/>
        <v>2019</v>
      </c>
      <c r="O2" s="166">
        <f t="shared" si="2"/>
        <v>2020</v>
      </c>
      <c r="P2" s="166">
        <f t="shared" si="2"/>
        <v>2021</v>
      </c>
      <c r="Q2" s="166">
        <f t="shared" si="2"/>
        <v>2022</v>
      </c>
      <c r="R2" s="166">
        <f t="shared" si="2"/>
        <v>2023</v>
      </c>
      <c r="S2" s="166">
        <f t="shared" si="2"/>
        <v>2024</v>
      </c>
      <c r="T2" s="166">
        <f t="shared" si="2"/>
        <v>2025</v>
      </c>
      <c r="U2" s="166">
        <f t="shared" si="2"/>
        <v>2026</v>
      </c>
      <c r="V2" s="166">
        <f t="shared" si="2"/>
        <v>2027</v>
      </c>
      <c r="W2" s="166">
        <f t="shared" si="2"/>
        <v>2028</v>
      </c>
      <c r="X2" s="166">
        <f t="shared" si="2"/>
        <v>2029</v>
      </c>
      <c r="Y2" s="166">
        <f t="shared" si="2"/>
        <v>2030</v>
      </c>
      <c r="Z2" s="166">
        <f t="shared" si="2"/>
        <v>2031</v>
      </c>
      <c r="AA2" s="166">
        <f t="shared" si="2"/>
        <v>2032</v>
      </c>
      <c r="AB2" s="166">
        <f t="shared" si="2"/>
        <v>2033</v>
      </c>
      <c r="AC2" s="166">
        <f t="shared" si="2"/>
        <v>2034</v>
      </c>
      <c r="AD2" s="166">
        <f t="shared" si="2"/>
        <v>2035</v>
      </c>
      <c r="AE2" s="166">
        <f t="shared" si="2"/>
        <v>2036</v>
      </c>
      <c r="AF2" s="166">
        <f t="shared" si="2"/>
        <v>2037</v>
      </c>
      <c r="AG2" s="166">
        <f t="shared" si="2"/>
        <v>2038</v>
      </c>
      <c r="AH2" s="166">
        <f t="shared" si="2"/>
        <v>2039</v>
      </c>
      <c r="AI2" s="166">
        <f t="shared" si="2"/>
        <v>2040</v>
      </c>
      <c r="AJ2" s="166" t="s">
        <v>256</v>
      </c>
      <c r="AK2" s="166"/>
      <c r="AL2" s="166"/>
      <c r="AM2" s="166"/>
      <c r="AN2" s="167"/>
      <c r="AO2" s="167"/>
    </row>
    <row r="3" ht="12.75" customHeight="1">
      <c r="A3" s="169"/>
      <c r="B3" s="90"/>
      <c r="C3" s="90"/>
      <c r="D3" s="90"/>
      <c r="E3" s="67"/>
      <c r="F3" s="63"/>
      <c r="G3" s="63"/>
      <c r="H3" s="63"/>
      <c r="I3" s="63"/>
      <c r="J3" s="63"/>
      <c r="K3" s="63"/>
      <c r="L3" s="63"/>
      <c r="M3" s="63"/>
      <c r="N3" s="63"/>
      <c r="O3" s="63"/>
      <c r="P3" s="63"/>
      <c r="Q3" s="63"/>
      <c r="R3" s="63"/>
      <c r="S3" s="63"/>
      <c r="T3" s="63"/>
      <c r="U3" s="63"/>
      <c r="V3" s="63"/>
      <c r="W3" s="63"/>
    </row>
    <row r="4" ht="12.75" customHeight="1">
      <c r="A4" s="170" t="s">
        <v>257</v>
      </c>
      <c r="B4" s="171"/>
      <c r="C4" s="171"/>
      <c r="D4" s="171"/>
      <c r="E4" s="171"/>
      <c r="F4" s="171"/>
      <c r="G4" s="171"/>
      <c r="H4" s="171"/>
      <c r="I4" s="171"/>
      <c r="J4" s="171"/>
      <c r="K4" s="171"/>
      <c r="L4" s="171"/>
      <c r="M4" s="171"/>
      <c r="N4" s="171"/>
      <c r="O4" s="171"/>
      <c r="P4" s="171"/>
      <c r="Q4" s="171"/>
      <c r="R4" s="171"/>
      <c r="S4" s="171"/>
      <c r="T4" s="171"/>
      <c r="U4" s="171"/>
      <c r="V4" s="171"/>
      <c r="W4" s="171"/>
      <c r="X4" s="171"/>
      <c r="Y4" s="171"/>
      <c r="Z4" s="171"/>
      <c r="AA4" s="171"/>
      <c r="AB4" s="171"/>
      <c r="AC4" s="171"/>
      <c r="AD4" s="171"/>
      <c r="AE4" s="171"/>
      <c r="AF4" s="171"/>
      <c r="AG4" s="171"/>
      <c r="AH4" s="171"/>
      <c r="AI4" s="171"/>
      <c r="AJ4" s="171"/>
      <c r="AK4" s="171"/>
      <c r="AL4" s="171"/>
      <c r="AM4" s="171"/>
      <c r="AN4" s="171"/>
      <c r="AO4" s="171"/>
    </row>
    <row r="5" ht="12.75" customHeight="1">
      <c r="A5" s="172" t="s">
        <v>258</v>
      </c>
      <c r="B5" s="173"/>
      <c r="C5" s="106"/>
      <c r="D5" s="106"/>
      <c r="E5" s="106"/>
      <c r="F5" s="175"/>
      <c r="G5" s="175"/>
      <c r="H5" s="175"/>
      <c r="I5" s="175"/>
      <c r="J5" s="175"/>
      <c r="K5" s="175"/>
      <c r="L5" s="175"/>
      <c r="M5" s="175"/>
      <c r="N5" s="175"/>
      <c r="O5" s="175"/>
      <c r="P5" s="175"/>
      <c r="Q5" s="175"/>
      <c r="R5" s="175"/>
      <c r="S5" s="175"/>
      <c r="T5" s="175"/>
      <c r="U5" s="175"/>
      <c r="V5" s="175"/>
      <c r="W5" s="175"/>
      <c r="X5" s="175"/>
      <c r="Y5" s="175"/>
      <c r="Z5" s="175"/>
      <c r="AA5" s="175"/>
      <c r="AB5" s="175"/>
      <c r="AC5" s="175"/>
      <c r="AD5" s="175"/>
      <c r="AE5" s="175"/>
      <c r="AF5" s="175"/>
      <c r="AG5" s="175"/>
      <c r="AH5" s="175"/>
      <c r="AI5" s="175"/>
      <c r="AJ5" s="175"/>
      <c r="AK5" s="175"/>
      <c r="AL5" s="175"/>
      <c r="AM5" s="175"/>
      <c r="AN5" s="175"/>
      <c r="AO5" s="175"/>
    </row>
    <row r="6" ht="12.75" customHeight="1">
      <c r="A6" s="67"/>
      <c r="B6" s="67"/>
      <c r="C6" s="67" t="s">
        <v>259</v>
      </c>
      <c r="D6" s="67"/>
      <c r="E6" s="67"/>
      <c r="F6" s="101">
        <f>'All Schools Roll-up'!M16</f>
        <v>3</v>
      </c>
      <c r="G6" s="101">
        <f>'All Schools Roll-up'!N16</f>
        <v>5</v>
      </c>
      <c r="H6" s="101">
        <f>'All Schools Roll-up'!O16</f>
        <v>8</v>
      </c>
      <c r="I6" s="101">
        <f>'All Schools Roll-up'!P16</f>
        <v>13</v>
      </c>
      <c r="J6" s="101">
        <f>'All Schools Roll-up'!Q16</f>
        <v>21</v>
      </c>
      <c r="K6" s="101">
        <f>'All Schools Roll-up'!R16</f>
        <v>34</v>
      </c>
      <c r="L6" s="101">
        <f>'All Schools Roll-up'!S16</f>
        <v>56</v>
      </c>
      <c r="M6" s="101">
        <f>'All Schools Roll-up'!T16</f>
        <v>90</v>
      </c>
      <c r="N6" s="101">
        <f>'All Schools Roll-up'!U16</f>
        <v>135</v>
      </c>
      <c r="O6" s="101">
        <f>'All Schools Roll-up'!V16</f>
        <v>180</v>
      </c>
      <c r="P6" s="101">
        <f>'All Schools Roll-up'!W16</f>
        <v>246</v>
      </c>
      <c r="Q6" s="101">
        <f>'All Schools Roll-up'!X16</f>
        <v>326</v>
      </c>
      <c r="R6" s="101">
        <f>'All Schools Roll-up'!Y16</f>
        <v>468</v>
      </c>
      <c r="S6" s="101">
        <f>'All Schools Roll-up'!Z16</f>
        <v>661</v>
      </c>
      <c r="T6" s="101">
        <f>'All Schools Roll-up'!AA16</f>
        <v>903</v>
      </c>
      <c r="U6" s="101">
        <f>'All Schools Roll-up'!AB16</f>
        <v>1176</v>
      </c>
      <c r="V6" s="101">
        <f>'All Schools Roll-up'!AC16</f>
        <v>1500</v>
      </c>
      <c r="W6" s="101">
        <f>'All Schools Roll-up'!AD16</f>
        <v>1850</v>
      </c>
      <c r="X6" s="101">
        <f>'All Schools Roll-up'!AE16</f>
        <v>2195</v>
      </c>
      <c r="Y6" s="101">
        <f>'All Schools Roll-up'!AF16</f>
        <v>2467</v>
      </c>
      <c r="Z6" s="101">
        <f>'All Schools Roll-up'!AG16</f>
        <v>2500</v>
      </c>
      <c r="AA6" s="101">
        <f>'All Schools Roll-up'!AH16</f>
        <v>2500</v>
      </c>
      <c r="AB6" s="101">
        <f>'All Schools Roll-up'!AI16</f>
        <v>2500</v>
      </c>
      <c r="AC6" s="101">
        <f>'All Schools Roll-up'!AJ16</f>
        <v>2500</v>
      </c>
      <c r="AD6" s="101">
        <f>'All Schools Roll-up'!AK16</f>
        <v>2500</v>
      </c>
      <c r="AE6" s="101">
        <f>'All Schools Roll-up'!AL16</f>
        <v>2500</v>
      </c>
      <c r="AF6" s="101">
        <f>'All Schools Roll-up'!AM16</f>
        <v>2500</v>
      </c>
      <c r="AG6" s="101">
        <f>'All Schools Roll-up'!AN16</f>
        <v>2500</v>
      </c>
      <c r="AH6" s="101">
        <f>'All Schools Roll-up'!AO16</f>
        <v>2500</v>
      </c>
      <c r="AI6" s="101">
        <f>'All Schools Roll-up'!AP16</f>
        <v>2500</v>
      </c>
      <c r="AJ6" s="72"/>
      <c r="AK6" s="72"/>
      <c r="AL6" s="72"/>
      <c r="AM6" s="72"/>
      <c r="AN6" s="72"/>
      <c r="AO6" s="72"/>
    </row>
    <row r="7" ht="12.75" customHeight="1">
      <c r="A7" s="67"/>
      <c r="B7" s="67"/>
      <c r="C7" s="67" t="s">
        <v>165</v>
      </c>
      <c r="D7" s="67"/>
      <c r="E7" s="67"/>
      <c r="F7" s="103">
        <f>ROUND('All Schools Roll-up'!M18,0)</f>
        <v>1352</v>
      </c>
      <c r="G7" s="103">
        <f>ROUND('All Schools Roll-up'!N18,0)</f>
        <v>2228</v>
      </c>
      <c r="H7" s="103">
        <f>ROUND('All Schools Roll-up'!O18,0)</f>
        <v>3584</v>
      </c>
      <c r="I7" s="103">
        <f>ROUND('All Schools Roll-up'!P18,0)</f>
        <v>5832</v>
      </c>
      <c r="J7" s="103">
        <f>ROUND('All Schools Roll-up'!Q18,0)</f>
        <v>9436</v>
      </c>
      <c r="K7" s="103">
        <f>ROUND('All Schools Roll-up'!R18,0)</f>
        <v>15288</v>
      </c>
      <c r="L7" s="103">
        <f>ROUND('All Schools Roll-up'!S18,0)</f>
        <v>25136</v>
      </c>
      <c r="M7" s="103">
        <f>ROUND('All Schools Roll-up'!T18,0)</f>
        <v>40516</v>
      </c>
      <c r="N7" s="103">
        <f>ROUND('All Schools Roll-up'!U18,0)</f>
        <v>61396</v>
      </c>
      <c r="O7" s="103">
        <f>ROUND('All Schools Roll-up'!V18,0)</f>
        <v>83500</v>
      </c>
      <c r="P7" s="103">
        <f>ROUND('All Schools Roll-up'!W18,0)</f>
        <v>114232</v>
      </c>
      <c r="Q7" s="103">
        <f>ROUND('All Schools Roll-up'!X18,0)</f>
        <v>151964</v>
      </c>
      <c r="R7" s="103">
        <f>ROUND('All Schools Roll-up'!Y18,0)</f>
        <v>215764</v>
      </c>
      <c r="S7" s="103">
        <f>ROUND('All Schools Roll-up'!Z18,0)</f>
        <v>304524</v>
      </c>
      <c r="T7" s="103">
        <f>ROUND('All Schools Roll-up'!AA18,0)</f>
        <v>418396</v>
      </c>
      <c r="U7" s="103">
        <f>ROUND('All Schools Roll-up'!AB18,0)</f>
        <v>549784</v>
      </c>
      <c r="V7" s="103">
        <f>ROUND('All Schools Roll-up'!AC18,0)</f>
        <v>705160</v>
      </c>
      <c r="W7" s="103">
        <f>ROUND('All Schools Roll-up'!AD18,0)</f>
        <v>875516</v>
      </c>
      <c r="X7" s="103">
        <f>ROUND('All Schools Roll-up'!AE18,0)</f>
        <v>1047620</v>
      </c>
      <c r="Y7" s="103">
        <f>ROUND('All Schools Roll-up'!AF18,0)</f>
        <v>1191684</v>
      </c>
      <c r="Z7" s="103">
        <f>ROUND('All Schools Roll-up'!AG18,0)</f>
        <v>1236624</v>
      </c>
      <c r="AA7" s="103">
        <f>ROUND('All Schools Roll-up'!AH18,0)</f>
        <v>1248792</v>
      </c>
      <c r="AB7" s="103">
        <f>ROUND('All Schools Roll-up'!AI18,0)</f>
        <v>1249980</v>
      </c>
      <c r="AC7" s="103">
        <f>ROUND('All Schools Roll-up'!AJ18,0)</f>
        <v>1249980</v>
      </c>
      <c r="AD7" s="103">
        <f>ROUND('All Schools Roll-up'!AK18,0)</f>
        <v>1249980</v>
      </c>
      <c r="AE7" s="103">
        <f>ROUND('All Schools Roll-up'!AL18,0)</f>
        <v>1249980</v>
      </c>
      <c r="AF7" s="103">
        <f>ROUND('All Schools Roll-up'!AM18,0)</f>
        <v>1249980</v>
      </c>
      <c r="AG7" s="103">
        <f>ROUND('All Schools Roll-up'!AN18,0)</f>
        <v>1249980</v>
      </c>
      <c r="AH7" s="103">
        <f>ROUND('All Schools Roll-up'!AO18,0)</f>
        <v>1249980</v>
      </c>
      <c r="AI7" s="103" t="str">
        <f>ROUND('All Schools Roll-up'!AP18,0)</f>
        <v>#REF!</v>
      </c>
      <c r="AJ7" s="103"/>
      <c r="AK7" s="103"/>
      <c r="AL7" s="103"/>
      <c r="AM7" s="103"/>
      <c r="AN7" s="103"/>
      <c r="AO7" s="103"/>
    </row>
    <row r="8" ht="12.75" customHeight="1">
      <c r="A8" s="67"/>
      <c r="B8" s="67"/>
      <c r="C8" s="67" t="s">
        <v>260</v>
      </c>
      <c r="D8" s="90"/>
      <c r="E8" s="90"/>
      <c r="F8" s="72">
        <f>'Growth Model'!F10</f>
        <v>1</v>
      </c>
      <c r="G8" s="72">
        <f>'Growth Model'!G10</f>
        <v>1</v>
      </c>
      <c r="H8" s="72">
        <f>'Growth Model'!H10</f>
        <v>1</v>
      </c>
      <c r="I8" s="72">
        <f>'Growth Model'!I10</f>
        <v>2</v>
      </c>
      <c r="J8" s="72">
        <f>'Growth Model'!J10</f>
        <v>2</v>
      </c>
      <c r="K8" s="72">
        <f>'Growth Model'!K10</f>
        <v>4</v>
      </c>
      <c r="L8" s="72">
        <f>'Growth Model'!L10</f>
        <v>7</v>
      </c>
      <c r="M8" s="72">
        <f>'Growth Model'!M10</f>
        <v>12</v>
      </c>
      <c r="N8" s="72">
        <f>'Growth Model'!N10</f>
        <v>20</v>
      </c>
      <c r="O8" s="72">
        <f>'Growth Model'!O10</f>
        <v>33</v>
      </c>
      <c r="P8" s="72">
        <f>'Growth Model'!P10</f>
        <v>50</v>
      </c>
      <c r="Q8" s="72">
        <f>'Growth Model'!Q10</f>
        <v>50</v>
      </c>
      <c r="R8" s="72">
        <f>'Growth Model'!R10</f>
        <v>50</v>
      </c>
      <c r="S8" s="72">
        <f>'Growth Model'!S10</f>
        <v>50</v>
      </c>
      <c r="T8" s="72">
        <f>'Growth Model'!T10</f>
        <v>50</v>
      </c>
      <c r="U8" s="72">
        <f>'Growth Model'!U10</f>
        <v>50</v>
      </c>
      <c r="V8" s="72">
        <f>'Growth Model'!V10</f>
        <v>50</v>
      </c>
      <c r="W8" s="72">
        <f>'Growth Model'!W10</f>
        <v>50</v>
      </c>
      <c r="X8" s="72">
        <f>'Growth Model'!X10</f>
        <v>50</v>
      </c>
      <c r="Y8" s="72">
        <f>'Growth Model'!Y10</f>
        <v>50</v>
      </c>
      <c r="Z8" s="72">
        <f>'Growth Model'!Z10</f>
        <v>50</v>
      </c>
      <c r="AA8" s="72">
        <f>'Growth Model'!AA10</f>
        <v>50</v>
      </c>
      <c r="AB8" s="72">
        <f t="shared" ref="AB8:AI8" si="3">AA8</f>
        <v>50</v>
      </c>
      <c r="AC8" s="72">
        <f t="shared" si="3"/>
        <v>50</v>
      </c>
      <c r="AD8" s="72">
        <f t="shared" si="3"/>
        <v>50</v>
      </c>
      <c r="AE8" s="72">
        <f t="shared" si="3"/>
        <v>50</v>
      </c>
      <c r="AF8" s="72">
        <f t="shared" si="3"/>
        <v>50</v>
      </c>
      <c r="AG8" s="72">
        <f t="shared" si="3"/>
        <v>50</v>
      </c>
      <c r="AH8" s="72">
        <f t="shared" si="3"/>
        <v>50</v>
      </c>
      <c r="AI8" s="72">
        <f t="shared" si="3"/>
        <v>50</v>
      </c>
      <c r="AJ8" s="72"/>
      <c r="AK8" s="72"/>
      <c r="AL8" s="72"/>
      <c r="AM8" s="72"/>
      <c r="AN8" s="72"/>
      <c r="AO8" s="72"/>
    </row>
    <row r="9" ht="12.75" customHeight="1" outlineLevel="1">
      <c r="A9" s="90"/>
      <c r="B9" s="67"/>
      <c r="C9" s="90"/>
      <c r="D9" s="90"/>
      <c r="E9" s="90"/>
      <c r="F9" s="176"/>
      <c r="G9" s="176"/>
      <c r="H9" s="176"/>
      <c r="I9" s="176"/>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c r="AK9" s="176"/>
      <c r="AL9" s="176"/>
      <c r="AM9" s="176"/>
      <c r="AN9" s="176"/>
      <c r="AO9" s="176"/>
    </row>
    <row r="10" ht="12.75" customHeight="1" outlineLevel="1">
      <c r="A10" s="90"/>
      <c r="B10" s="67" t="s">
        <v>261</v>
      </c>
      <c r="C10" s="90"/>
      <c r="D10" s="90"/>
      <c r="E10" s="90"/>
      <c r="F10" s="176"/>
      <c r="G10" s="176"/>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I10" s="176"/>
      <c r="AJ10" s="176"/>
      <c r="AK10" s="176"/>
      <c r="AL10" s="176"/>
      <c r="AM10" s="176"/>
      <c r="AN10" s="176"/>
      <c r="AO10" s="176"/>
    </row>
    <row r="11" ht="12.75" customHeight="1" outlineLevel="2">
      <c r="A11" s="90" t="s">
        <v>262</v>
      </c>
      <c r="B11" s="67"/>
      <c r="C11" s="90" t="s">
        <v>263</v>
      </c>
      <c r="D11" s="90"/>
      <c r="E11" s="90"/>
      <c r="F11" s="177">
        <f>'RSED National'!M11</f>
        <v>10963844.83</v>
      </c>
      <c r="G11" s="177">
        <f>'RSED National'!N11</f>
        <v>17871906.93</v>
      </c>
      <c r="H11" s="177">
        <f>'RSED National'!O11</f>
        <v>28898894.36</v>
      </c>
      <c r="I11" s="177">
        <f>'RSED National'!P11</f>
        <v>47344885.11</v>
      </c>
      <c r="J11" s="177">
        <f>'RSED National'!Q11</f>
        <v>77919176.93</v>
      </c>
      <c r="K11" s="177">
        <f>'RSED National'!R11</f>
        <v>128760940.5</v>
      </c>
      <c r="L11" s="177">
        <f>'RSED National'!S11</f>
        <v>217196635.8</v>
      </c>
      <c r="M11" s="177">
        <f>'RSED National'!T11</f>
        <v>353859496.6</v>
      </c>
      <c r="N11" s="177">
        <f>'RSED National'!U11</f>
        <v>528930241.8</v>
      </c>
      <c r="O11" s="177">
        <f>'RSED National'!V11</f>
        <v>726368610</v>
      </c>
      <c r="P11" s="177">
        <f>'RSED National'!W11</f>
        <v>1009920994</v>
      </c>
      <c r="Q11" s="177">
        <f>'RSED National'!X11</f>
        <v>1377489397</v>
      </c>
      <c r="R11" s="177">
        <f>'RSED National'!Y11</f>
        <v>1999111967</v>
      </c>
      <c r="S11" s="177">
        <f>'RSED National'!Z11</f>
        <v>2871773330</v>
      </c>
      <c r="T11" s="177">
        <f>'RSED National'!AA11</f>
        <v>4000577229</v>
      </c>
      <c r="U11" s="177">
        <f>'RSED National'!AB11</f>
        <v>5335969872</v>
      </c>
      <c r="V11" s="177">
        <f>'RSED National'!AC11</f>
        <v>6947824739</v>
      </c>
      <c r="W11" s="177">
        <f>'RSED National'!AD11</f>
        <v>8752308496</v>
      </c>
      <c r="X11" s="177">
        <f>'RSED National'!AE11</f>
        <v>10607555708</v>
      </c>
      <c r="Y11" s="177">
        <f>'RSED National'!AF11</f>
        <v>12171304954</v>
      </c>
      <c r="Z11" s="177">
        <f>'RSED National'!AG11</f>
        <v>12760639949</v>
      </c>
      <c r="AA11" s="177">
        <f>'RSED National'!AH11</f>
        <v>13080712337</v>
      </c>
      <c r="AB11" s="177">
        <f>'RSED National'!AI11</f>
        <v>13338788996</v>
      </c>
      <c r="AC11" s="177">
        <f>'RSED National'!AJ11</f>
        <v>13591847101</v>
      </c>
      <c r="AD11" s="177">
        <f>'RSED National'!AK11</f>
        <v>13852749320</v>
      </c>
      <c r="AE11" s="177">
        <f>'RSED National'!AL11</f>
        <v>14122662018</v>
      </c>
      <c r="AF11" s="177">
        <f>'All Schools Roll-up'!AM29</f>
        <v>14401703289</v>
      </c>
      <c r="AG11" s="177">
        <f>'All Schools Roll-up'!AN29</f>
        <v>14689357735</v>
      </c>
      <c r="AH11" s="177" t="str">
        <f>'All Schools Roll-up'!AO29</f>
        <v>#REF!</v>
      </c>
      <c r="AI11" s="177" t="str">
        <f>'All Schools Roll-up'!AP29</f>
        <v>#REF!</v>
      </c>
      <c r="AJ11" s="177"/>
      <c r="AK11" s="177"/>
      <c r="AL11" s="177"/>
      <c r="AM11" s="177"/>
      <c r="AN11" s="177"/>
      <c r="AO11" s="177"/>
    </row>
    <row r="12" ht="12.75" customHeight="1" outlineLevel="2">
      <c r="A12" s="90"/>
      <c r="B12" s="67"/>
      <c r="C12" s="90"/>
      <c r="D12" s="102" t="s">
        <v>307</v>
      </c>
      <c r="E12" s="90"/>
      <c r="F12" s="179">
        <f>'RSED National'!M138/Analysis!F$11</f>
        <v>0.03623436907</v>
      </c>
      <c r="G12" s="179">
        <f>'RSED National'!N138/Analysis!G$11</f>
        <v>0.02727188776</v>
      </c>
      <c r="H12" s="179">
        <f>'RSED National'!O138/Analysis!H$11</f>
        <v>0.0188418507</v>
      </c>
      <c r="I12" s="179">
        <f>'RSED National'!P138/Analysis!I$11</f>
        <v>0.01633179365</v>
      </c>
      <c r="J12" s="179">
        <f>'RSED National'!Q138/Analysis!J$11</f>
        <v>0.01177001841</v>
      </c>
      <c r="K12" s="180">
        <f>'RSED National'!R138/Analysis!K$11</f>
        <v>0.009210676627</v>
      </c>
      <c r="L12" s="179">
        <f>'RSED National'!S138/Analysis!L$11</f>
        <v>0.007159480876</v>
      </c>
      <c r="M12" s="177"/>
      <c r="N12" s="177"/>
      <c r="O12" s="177"/>
      <c r="P12" s="177"/>
      <c r="Q12" s="177"/>
      <c r="R12" s="177"/>
      <c r="S12" s="177"/>
      <c r="T12" s="177"/>
      <c r="U12" s="177"/>
      <c r="V12" s="177"/>
      <c r="W12" s="177"/>
      <c r="X12" s="177"/>
      <c r="Y12" s="177"/>
      <c r="Z12" s="177"/>
      <c r="AA12" s="177"/>
      <c r="AB12" s="177"/>
      <c r="AC12" s="177"/>
      <c r="AD12" s="177"/>
      <c r="AE12" s="177"/>
      <c r="AF12" s="177"/>
      <c r="AG12" s="177"/>
      <c r="AH12" s="177"/>
      <c r="AI12" s="177"/>
      <c r="AJ12" s="177"/>
      <c r="AK12" s="177"/>
      <c r="AL12" s="177"/>
      <c r="AM12" s="177"/>
      <c r="AN12" s="177"/>
      <c r="AO12" s="177"/>
    </row>
    <row r="13" ht="12.75" customHeight="1" outlineLevel="2">
      <c r="A13" s="90"/>
      <c r="B13" s="67"/>
      <c r="C13" s="90"/>
      <c r="D13" s="102" t="s">
        <v>308</v>
      </c>
      <c r="E13" s="90"/>
      <c r="F13" s="179">
        <f>'RSED National'!M139/Analysis!F$11</f>
        <v>0.03363491601</v>
      </c>
      <c r="G13" s="179">
        <f>'RSED National'!N139/Analysis!G$11</f>
        <v>0.02523931227</v>
      </c>
      <c r="H13" s="179">
        <f>'RSED National'!O139/Analysis!H$11</f>
        <v>0.01473608808</v>
      </c>
      <c r="I13" s="179">
        <f>'RSED National'!P139/Analysis!I$11</f>
        <v>0.0123017767</v>
      </c>
      <c r="J13" s="179">
        <f>'RSED National'!Q139/Analysis!J$11</f>
        <v>0.008016104807</v>
      </c>
      <c r="K13" s="180">
        <f>'RSED National'!R139/Analysis!K$11</f>
        <v>0.005915158238</v>
      </c>
      <c r="L13" s="179">
        <f>'RSED National'!S139/Analysis!L$11</f>
        <v>0.004819038352</v>
      </c>
      <c r="M13" s="177"/>
      <c r="N13" s="177"/>
      <c r="O13" s="177"/>
      <c r="P13" s="177"/>
      <c r="Q13" s="177"/>
      <c r="R13" s="177"/>
      <c r="S13" s="177"/>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row>
    <row r="14" ht="12.75" customHeight="1" outlineLevel="2">
      <c r="A14" s="90"/>
      <c r="B14" s="67"/>
      <c r="C14" s="90"/>
      <c r="D14" s="219" t="s">
        <v>137</v>
      </c>
      <c r="E14" s="90"/>
      <c r="F14" s="179">
        <f>'RSED National'!M140/Analysis!F$11</f>
        <v>0.01894554358</v>
      </c>
      <c r="G14" s="179">
        <f>'RSED National'!N140/Analysis!G$11</f>
        <v>0.0103626502</v>
      </c>
      <c r="H14" s="179">
        <f>'RSED National'!O140/Analysis!H$11</f>
        <v>0.009479073788</v>
      </c>
      <c r="I14" s="179">
        <f>'RSED National'!P140/Analysis!I$11</f>
        <v>0.006053736246</v>
      </c>
      <c r="J14" s="179">
        <f>'RSED National'!Q140/Analysis!J$11</f>
        <v>0.003938641655</v>
      </c>
      <c r="K14" s="180">
        <f>'RSED National'!R140/Analysis!K$11</f>
        <v>0.002609359865</v>
      </c>
      <c r="L14" s="179">
        <f>'RSED National'!S140/Analysis!L$11</f>
        <v>0.001757477972</v>
      </c>
      <c r="M14" s="177"/>
      <c r="N14" s="177"/>
      <c r="O14" s="177"/>
      <c r="P14" s="177"/>
      <c r="Q14" s="177"/>
      <c r="R14" s="177"/>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row>
    <row r="15" ht="12.75" customHeight="1" outlineLevel="2">
      <c r="A15" s="90"/>
      <c r="B15" s="67"/>
      <c r="C15" s="90"/>
      <c r="D15" s="219" t="s">
        <v>266</v>
      </c>
      <c r="E15" s="90"/>
      <c r="F15" s="179" t="str">
        <f>'RSED National'!M141/Analysis!F$11</f>
        <v>#REF!</v>
      </c>
      <c r="G15" s="179" t="str">
        <f>'RSED National'!N141/Analysis!G$11</f>
        <v>#REF!</v>
      </c>
      <c r="H15" s="179" t="str">
        <f>'RSED National'!O141/Analysis!H$11</f>
        <v>#REF!</v>
      </c>
      <c r="I15" s="179" t="str">
        <f>'RSED National'!P141/Analysis!I$11</f>
        <v>#REF!</v>
      </c>
      <c r="J15" s="179" t="str">
        <f>'RSED National'!Q141/Analysis!J$11</f>
        <v>#REF!</v>
      </c>
      <c r="K15" s="180" t="str">
        <f>'RSED National'!R141/Analysis!K$11</f>
        <v>#REF!</v>
      </c>
      <c r="L15" s="179" t="str">
        <f>'RSED National'!S141/Analysis!L$11</f>
        <v>#REF!</v>
      </c>
      <c r="M15" s="177"/>
      <c r="N15" s="177"/>
      <c r="O15" s="177"/>
      <c r="P15" s="177"/>
      <c r="Q15" s="177"/>
      <c r="R15" s="177"/>
      <c r="S15" s="177"/>
      <c r="T15" s="177"/>
      <c r="U15" s="177"/>
      <c r="V15" s="177"/>
      <c r="W15" s="177"/>
      <c r="X15" s="177"/>
      <c r="Y15" s="177"/>
      <c r="Z15" s="177"/>
      <c r="AA15" s="177"/>
      <c r="AB15" s="177"/>
      <c r="AC15" s="177"/>
      <c r="AD15" s="177"/>
      <c r="AE15" s="177"/>
      <c r="AF15" s="177"/>
      <c r="AG15" s="177"/>
      <c r="AH15" s="177"/>
      <c r="AI15" s="177"/>
      <c r="AJ15" s="177"/>
      <c r="AK15" s="177"/>
      <c r="AL15" s="177"/>
      <c r="AM15" s="177"/>
      <c r="AN15" s="177"/>
      <c r="AO15" s="177"/>
    </row>
    <row r="16" ht="12.75" customHeight="1" outlineLevel="2">
      <c r="A16" s="90"/>
      <c r="B16" s="67"/>
      <c r="C16" s="90"/>
      <c r="D16" s="219" t="s">
        <v>265</v>
      </c>
      <c r="E16" s="90"/>
      <c r="F16" s="179" t="str">
        <f>'RSED National'!M142/Analysis!F$11</f>
        <v>#REF!</v>
      </c>
      <c r="G16" s="179" t="str">
        <f>'RSED National'!N142/Analysis!G$11</f>
        <v>#REF!</v>
      </c>
      <c r="H16" s="179" t="str">
        <f>'RSED National'!O142/Analysis!H$11</f>
        <v>#REF!</v>
      </c>
      <c r="I16" s="179" t="str">
        <f>'RSED National'!P142/Analysis!I$11</f>
        <v>#REF!</v>
      </c>
      <c r="J16" s="179" t="str">
        <f>'RSED National'!Q142/Analysis!J$11</f>
        <v>#REF!</v>
      </c>
      <c r="K16" s="179" t="str">
        <f>'RSED National'!R142/Analysis!K$11</f>
        <v>#REF!</v>
      </c>
      <c r="L16" s="179" t="str">
        <f>'RSED National'!S142/Analysis!L$11</f>
        <v>#REF!</v>
      </c>
      <c r="M16" s="177"/>
      <c r="N16" s="177"/>
      <c r="O16" s="177"/>
      <c r="P16" s="177"/>
      <c r="Q16" s="177"/>
      <c r="R16" s="177"/>
      <c r="S16" s="177"/>
      <c r="T16" s="177"/>
      <c r="U16" s="177"/>
      <c r="V16" s="177"/>
      <c r="W16" s="177"/>
      <c r="X16" s="177"/>
      <c r="Y16" s="177"/>
      <c r="Z16" s="177"/>
      <c r="AA16" s="177"/>
      <c r="AB16" s="177"/>
      <c r="AC16" s="177"/>
      <c r="AD16" s="177"/>
      <c r="AE16" s="177"/>
      <c r="AF16" s="177"/>
      <c r="AG16" s="177"/>
      <c r="AH16" s="177"/>
      <c r="AI16" s="177"/>
      <c r="AJ16" s="177"/>
      <c r="AK16" s="177"/>
      <c r="AL16" s="177"/>
      <c r="AM16" s="177"/>
      <c r="AN16" s="177"/>
      <c r="AO16" s="177"/>
    </row>
    <row r="17" ht="12.75" customHeight="1" outlineLevel="2">
      <c r="A17" s="90"/>
      <c r="B17" s="67"/>
      <c r="C17" s="90"/>
      <c r="D17" s="219" t="s">
        <v>138</v>
      </c>
      <c r="E17" s="90"/>
      <c r="F17" s="179" t="str">
        <f>'RSED National'!M143/Analysis!F$11</f>
        <v>#REF!</v>
      </c>
      <c r="G17" s="179" t="str">
        <f>'RSED National'!N143/Analysis!G$11</f>
        <v>#REF!</v>
      </c>
      <c r="H17" s="179" t="str">
        <f>'RSED National'!O143/Analysis!H$11</f>
        <v>#REF!</v>
      </c>
      <c r="I17" s="179" t="str">
        <f>'RSED National'!P143/Analysis!I$11</f>
        <v>#REF!</v>
      </c>
      <c r="J17" s="179" t="str">
        <f>'RSED National'!Q143/Analysis!J$11</f>
        <v>#REF!</v>
      </c>
      <c r="K17" s="180" t="str">
        <f>'RSED National'!R143/Analysis!K$11</f>
        <v>#REF!</v>
      </c>
      <c r="L17" s="179" t="str">
        <f>'RSED National'!S143/Analysis!L$11</f>
        <v>#REF!</v>
      </c>
      <c r="M17" s="177"/>
      <c r="N17" s="177"/>
      <c r="O17" s="177"/>
      <c r="P17" s="177"/>
      <c r="Q17" s="177"/>
      <c r="R17" s="177"/>
      <c r="S17" s="177"/>
      <c r="T17" s="177"/>
      <c r="U17" s="177"/>
      <c r="V17" s="177"/>
      <c r="W17" s="177"/>
      <c r="X17" s="177"/>
      <c r="Y17" s="177"/>
      <c r="Z17" s="177"/>
      <c r="AA17" s="177"/>
      <c r="AB17" s="177"/>
      <c r="AC17" s="177"/>
      <c r="AD17" s="177"/>
      <c r="AE17" s="177"/>
      <c r="AF17" s="177"/>
      <c r="AG17" s="177"/>
      <c r="AH17" s="177"/>
      <c r="AI17" s="177"/>
      <c r="AJ17" s="177"/>
      <c r="AK17" s="177"/>
      <c r="AL17" s="177"/>
      <c r="AM17" s="177"/>
      <c r="AN17" s="177"/>
      <c r="AO17" s="177"/>
    </row>
    <row r="18" ht="12.75" customHeight="1" outlineLevel="2">
      <c r="A18" s="90"/>
      <c r="B18" s="67"/>
      <c r="C18" s="90"/>
      <c r="D18" s="219" t="s">
        <v>309</v>
      </c>
      <c r="E18" s="90"/>
      <c r="F18" s="179">
        <f>'RSED National'!M144/Analysis!F$11</f>
        <v>0.04306992732</v>
      </c>
      <c r="G18" s="179">
        <f>'RSED National'!N144/Analysis!G$11</f>
        <v>0.02693479558</v>
      </c>
      <c r="H18" s="179">
        <f>'RSED National'!O144/Analysis!H$11</f>
        <v>0.01952258179</v>
      </c>
      <c r="I18" s="179">
        <f>'RSED National'!P144/Analysis!I$11</f>
        <v>0.01441902175</v>
      </c>
      <c r="J18" s="179">
        <f>'RSED National'!Q144/Analysis!J$11</f>
        <v>0.01604191749</v>
      </c>
      <c r="K18" s="180">
        <f>'RSED National'!R144/Analysis!K$11</f>
        <v>0.01191247241</v>
      </c>
      <c r="L18" s="179">
        <f>'RSED National'!S144/Analysis!L$11</f>
        <v>0.01079524479</v>
      </c>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row>
    <row r="19" ht="12.75" customHeight="1" outlineLevel="2">
      <c r="A19" s="90"/>
      <c r="B19" s="67"/>
      <c r="C19" s="90"/>
      <c r="D19" s="219" t="s">
        <v>310</v>
      </c>
      <c r="E19" s="90"/>
      <c r="F19" s="179">
        <f>'RSED National'!M145/Analysis!F$11</f>
        <v>0.02021225249</v>
      </c>
      <c r="G19" s="179">
        <f>'RSED National'!N145/Analysis!G$11</f>
        <v>0.01748461209</v>
      </c>
      <c r="H19" s="179">
        <f>'RSED National'!O145/Analysis!H$11</f>
        <v>0.01406588943</v>
      </c>
      <c r="I19" s="179">
        <f>'RSED National'!P145/Analysis!I$11</f>
        <v>0.01430314862</v>
      </c>
      <c r="J19" s="179">
        <f>'RSED National'!Q145/Analysis!J$11</f>
        <v>0.01248121874</v>
      </c>
      <c r="K19" s="180">
        <f>'RSED National'!R145/Analysis!K$11</f>
        <v>0.01057811451</v>
      </c>
      <c r="L19" s="179">
        <f>'RSED National'!S145/Analysis!L$11</f>
        <v>0.01029049144</v>
      </c>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row>
    <row r="20" ht="12.75" customHeight="1" outlineLevel="2">
      <c r="A20" s="90"/>
      <c r="B20" s="67"/>
      <c r="C20" s="90"/>
      <c r="D20" s="219" t="s">
        <v>268</v>
      </c>
      <c r="E20" s="90"/>
      <c r="F20" s="179">
        <f>'RSED National'!M146/Analysis!F$11</f>
        <v>0.1167387919</v>
      </c>
      <c r="G20" s="179">
        <f>'RSED National'!N146/Analysis!G$11</f>
        <v>0.07234141968</v>
      </c>
      <c r="H20" s="179">
        <f>'RSED National'!O146/Analysis!H$11</f>
        <v>0.04531217306</v>
      </c>
      <c r="I20" s="179">
        <f>'RSED National'!P146/Analysis!I$11</f>
        <v>0.02815903203</v>
      </c>
      <c r="J20" s="179">
        <f>'RSED National'!Q146/Analysis!J$11</f>
        <v>0.01755055576</v>
      </c>
      <c r="K20" s="179">
        <f>'RSED National'!R146/Analysis!K$11</f>
        <v>0.004518143112</v>
      </c>
      <c r="L20" s="179">
        <f>'RSED National'!S146/Analysis!L$11</f>
        <v>0.003406316502</v>
      </c>
      <c r="M20" s="177"/>
      <c r="N20" s="177"/>
      <c r="O20" s="177"/>
      <c r="P20" s="177"/>
      <c r="Q20" s="177"/>
      <c r="R20" s="177"/>
      <c r="S20" s="177"/>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row>
    <row r="21" ht="12.75" customHeight="1" outlineLevel="2">
      <c r="A21" s="90"/>
      <c r="B21" s="67"/>
      <c r="C21" s="90"/>
      <c r="D21" s="219" t="s">
        <v>267</v>
      </c>
      <c r="E21" s="90"/>
      <c r="F21" s="179" t="str">
        <f>'RSED National'!M147/Analysis!F11</f>
        <v>#REF!</v>
      </c>
      <c r="G21" s="179" t="str">
        <f>'RSED National'!N147/Analysis!G11</f>
        <v>#REF!</v>
      </c>
      <c r="H21" s="179" t="str">
        <f>'RSED National'!O147/Analysis!H11</f>
        <v>#REF!</v>
      </c>
      <c r="I21" s="179" t="str">
        <f>'RSED National'!P147/Analysis!I11</f>
        <v>#REF!</v>
      </c>
      <c r="J21" s="179" t="str">
        <f>'RSED National'!Q147/Analysis!J11</f>
        <v>#REF!</v>
      </c>
      <c r="K21" s="179" t="str">
        <f>'RSED National'!R147/Analysis!K11</f>
        <v>#REF!</v>
      </c>
      <c r="L21" s="179" t="str">
        <f>'RSED National'!S147/Analysis!L11</f>
        <v>#REF!</v>
      </c>
      <c r="M21" s="177"/>
      <c r="N21" s="177"/>
      <c r="O21" s="177"/>
      <c r="P21" s="177"/>
      <c r="Q21" s="177"/>
      <c r="R21" s="177"/>
      <c r="S21" s="177"/>
      <c r="T21" s="177"/>
      <c r="U21" s="177"/>
      <c r="V21" s="177"/>
      <c r="W21" s="177"/>
      <c r="X21" s="177"/>
      <c r="Y21" s="177"/>
      <c r="Z21" s="177"/>
      <c r="AA21" s="177"/>
      <c r="AB21" s="177"/>
      <c r="AC21" s="177"/>
      <c r="AD21" s="177"/>
      <c r="AE21" s="177"/>
      <c r="AF21" s="177"/>
      <c r="AG21" s="177"/>
      <c r="AH21" s="177"/>
      <c r="AI21" s="177"/>
      <c r="AJ21" s="177"/>
      <c r="AK21" s="177"/>
      <c r="AL21" s="177"/>
      <c r="AM21" s="177"/>
      <c r="AN21" s="177"/>
      <c r="AO21" s="177"/>
    </row>
    <row r="22" ht="12.75" customHeight="1" outlineLevel="2">
      <c r="A22" s="90"/>
      <c r="B22" s="67"/>
      <c r="C22" s="90"/>
      <c r="D22" s="219" t="s">
        <v>264</v>
      </c>
      <c r="E22" s="90"/>
      <c r="F22" s="179" t="str">
        <f>'RSED National'!M148/Analysis!F$11</f>
        <v>#REF!</v>
      </c>
      <c r="G22" s="179" t="str">
        <f>'RSED National'!N148/Analysis!G$11</f>
        <v>#REF!</v>
      </c>
      <c r="H22" s="179" t="str">
        <f>'RSED National'!O148/Analysis!H$11</f>
        <v>#REF!</v>
      </c>
      <c r="I22" s="179" t="str">
        <f>'RSED National'!P148/Analysis!I$11</f>
        <v>#REF!</v>
      </c>
      <c r="J22" s="179" t="str">
        <f>'RSED National'!Q148/Analysis!J$11</f>
        <v>#REF!</v>
      </c>
      <c r="K22" s="179" t="str">
        <f>'RSED National'!R148/Analysis!K$11</f>
        <v>#REF!</v>
      </c>
      <c r="L22" s="179" t="str">
        <f>'RSED National'!S148/Analysis!L$11</f>
        <v>#REF!</v>
      </c>
      <c r="M22" s="177"/>
      <c r="N22" s="177"/>
      <c r="O22" s="177"/>
      <c r="P22" s="177"/>
      <c r="Q22" s="177"/>
      <c r="R22" s="177"/>
      <c r="S22" s="177"/>
      <c r="T22" s="177"/>
      <c r="U22" s="177"/>
      <c r="V22" s="177"/>
      <c r="W22" s="177"/>
      <c r="X22" s="177"/>
      <c r="Y22" s="177"/>
      <c r="Z22" s="177"/>
      <c r="AA22" s="177"/>
      <c r="AB22" s="177"/>
      <c r="AC22" s="177"/>
      <c r="AD22" s="177"/>
      <c r="AE22" s="177"/>
      <c r="AF22" s="177"/>
      <c r="AG22" s="177"/>
      <c r="AH22" s="177"/>
      <c r="AI22" s="177"/>
      <c r="AJ22" s="177"/>
      <c r="AK22" s="177"/>
      <c r="AL22" s="177"/>
      <c r="AM22" s="177"/>
      <c r="AN22" s="177"/>
      <c r="AO22" s="177"/>
    </row>
    <row r="23" ht="12.75" customHeight="1" outlineLevel="2">
      <c r="A23" s="90"/>
      <c r="B23" s="67"/>
      <c r="C23" s="90"/>
      <c r="D23" s="203" t="s">
        <v>311</v>
      </c>
      <c r="E23" s="87"/>
      <c r="F23" s="183">
        <f>'RSED National'!M149/Analysis!F$11</f>
        <v>0.01362003953</v>
      </c>
      <c r="G23" s="183">
        <f>'RSED National'!N149/Analysis!G$11</f>
        <v>0.01846556617</v>
      </c>
      <c r="H23" s="183">
        <f>'RSED National'!O149/Analysis!H$11</f>
        <v>0.03443722514</v>
      </c>
      <c r="I23" s="183">
        <f>'RSED National'!P149/Analysis!I$11</f>
        <v>0.03736486633</v>
      </c>
      <c r="J23" s="183">
        <f>'RSED National'!Q149/Analysis!J$11</f>
        <v>0.03521267597</v>
      </c>
      <c r="K23" s="183">
        <f>'RSED National'!R149/Analysis!K$11</f>
        <v>0.02918678957</v>
      </c>
      <c r="L23" s="183">
        <f>'RSED National'!S149/Analysis!L$11</f>
        <v>0.02378994945</v>
      </c>
      <c r="M23" s="177"/>
      <c r="N23" s="177"/>
      <c r="O23" s="177"/>
      <c r="P23" s="177"/>
      <c r="Q23" s="177"/>
      <c r="R23" s="177"/>
      <c r="S23" s="177"/>
      <c r="T23" s="177"/>
      <c r="U23" s="177"/>
      <c r="V23" s="177"/>
      <c r="W23" s="177"/>
      <c r="X23" s="177"/>
      <c r="Y23" s="177"/>
      <c r="Z23" s="177"/>
      <c r="AA23" s="177"/>
      <c r="AB23" s="177"/>
      <c r="AC23" s="177"/>
      <c r="AD23" s="177"/>
      <c r="AE23" s="177"/>
      <c r="AF23" s="177"/>
      <c r="AG23" s="177"/>
      <c r="AH23" s="177"/>
      <c r="AI23" s="177"/>
      <c r="AJ23" s="177"/>
      <c r="AK23" s="177"/>
      <c r="AL23" s="177"/>
      <c r="AM23" s="177"/>
      <c r="AN23" s="177"/>
      <c r="AO23" s="177"/>
    </row>
    <row r="24" ht="12.75" customHeight="1" outlineLevel="1">
      <c r="A24" s="185"/>
      <c r="B24" s="185"/>
      <c r="C24" s="67" t="s">
        <v>853</v>
      </c>
      <c r="D24" s="67"/>
      <c r="E24" s="67"/>
      <c r="F24" s="188" t="str">
        <f>SUM(F12:F23)</f>
        <v>#REF!</v>
      </c>
      <c r="G24" s="188" t="str">
        <f t="shared" ref="G24:AE24" si="4">SUM(G12:G22)</f>
        <v>#REF!</v>
      </c>
      <c r="H24" s="188" t="str">
        <f t="shared" si="4"/>
        <v>#REF!</v>
      </c>
      <c r="I24" s="188" t="str">
        <f t="shared" si="4"/>
        <v>#REF!</v>
      </c>
      <c r="J24" s="188" t="str">
        <f t="shared" si="4"/>
        <v>#REF!</v>
      </c>
      <c r="K24" s="188" t="str">
        <f t="shared" si="4"/>
        <v>#REF!</v>
      </c>
      <c r="L24" s="188" t="str">
        <f t="shared" si="4"/>
        <v>#REF!</v>
      </c>
      <c r="M24" s="188">
        <f t="shared" si="4"/>
        <v>0</v>
      </c>
      <c r="N24" s="188">
        <f t="shared" si="4"/>
        <v>0</v>
      </c>
      <c r="O24" s="188">
        <f t="shared" si="4"/>
        <v>0</v>
      </c>
      <c r="P24" s="188">
        <f t="shared" si="4"/>
        <v>0</v>
      </c>
      <c r="Q24" s="188">
        <f t="shared" si="4"/>
        <v>0</v>
      </c>
      <c r="R24" s="188">
        <f t="shared" si="4"/>
        <v>0</v>
      </c>
      <c r="S24" s="188">
        <f t="shared" si="4"/>
        <v>0</v>
      </c>
      <c r="T24" s="188">
        <f t="shared" si="4"/>
        <v>0</v>
      </c>
      <c r="U24" s="188">
        <f t="shared" si="4"/>
        <v>0</v>
      </c>
      <c r="V24" s="188">
        <f t="shared" si="4"/>
        <v>0</v>
      </c>
      <c r="W24" s="188">
        <f t="shared" si="4"/>
        <v>0</v>
      </c>
      <c r="X24" s="188">
        <f t="shared" si="4"/>
        <v>0</v>
      </c>
      <c r="Y24" s="188">
        <f t="shared" si="4"/>
        <v>0</v>
      </c>
      <c r="Z24" s="188">
        <f t="shared" si="4"/>
        <v>0</v>
      </c>
      <c r="AA24" s="188">
        <f t="shared" si="4"/>
        <v>0</v>
      </c>
      <c r="AB24" s="188">
        <f t="shared" si="4"/>
        <v>0</v>
      </c>
      <c r="AC24" s="188">
        <f t="shared" si="4"/>
        <v>0</v>
      </c>
      <c r="AD24" s="188">
        <f t="shared" si="4"/>
        <v>0</v>
      </c>
      <c r="AE24" s="188">
        <f t="shared" si="4"/>
        <v>0</v>
      </c>
      <c r="AF24" s="187" t="str">
        <f t="shared" ref="AF24:AI24" si="5">SUM(#REF!)</f>
        <v>#REF!</v>
      </c>
      <c r="AG24" s="187" t="str">
        <f t="shared" si="5"/>
        <v>#REF!</v>
      </c>
      <c r="AH24" s="187" t="str">
        <f t="shared" si="5"/>
        <v>#REF!</v>
      </c>
      <c r="AI24" s="187" t="str">
        <f t="shared" si="5"/>
        <v>#REF!</v>
      </c>
      <c r="AJ24" s="187"/>
      <c r="AK24" s="187"/>
      <c r="AL24" s="187"/>
      <c r="AM24" s="187"/>
      <c r="AN24" s="187"/>
      <c r="AO24" s="187"/>
    </row>
    <row r="25" ht="12.75" customHeight="1">
      <c r="A25" s="90"/>
      <c r="B25" s="67"/>
      <c r="C25" s="90"/>
      <c r="D25" s="90"/>
      <c r="E25" s="67" t="s">
        <v>854</v>
      </c>
      <c r="F25" s="179">
        <f>'RSED National'!M32/'RSED National'!M11</f>
        <v>0.1145293867</v>
      </c>
      <c r="G25" s="179">
        <f>'RSED National'!N32/'RSED National'!N11</f>
        <v>0.1117083251</v>
      </c>
      <c r="H25" s="179">
        <f>'RSED National'!O32/'RSED National'!O11</f>
        <v>0.1115139644</v>
      </c>
      <c r="I25" s="179">
        <f>'RSED National'!P32/'RSED National'!P11</f>
        <v>0.1085052144</v>
      </c>
      <c r="J25" s="179">
        <f>'RSED National'!Q32/'RSED National'!Q11</f>
        <v>0.1066951657</v>
      </c>
      <c r="K25" s="179">
        <f>'RSED National'!R32/'RSED National'!R11</f>
        <v>0.1058540146</v>
      </c>
      <c r="L25" s="179">
        <f>'RSED National'!S32/'RSED National'!S11</f>
        <v>0.1060726504</v>
      </c>
      <c r="M25" s="179">
        <f>'RSED National'!T32/'RSED National'!T11</f>
        <v>0.1032891096</v>
      </c>
      <c r="N25" s="179">
        <f>'RSED National'!U32/'RSED National'!U11</f>
        <v>0.09167115085</v>
      </c>
      <c r="O25" s="179">
        <f>'RSED National'!V32/'RSED National'!V11</f>
        <v>0.09235657773</v>
      </c>
      <c r="P25" s="179">
        <f>'RSED National'!W32/'RSED National'!W11</f>
        <v>0.09228046562</v>
      </c>
      <c r="Q25" s="179">
        <f>'RSED National'!X32/'RSED National'!X11</f>
        <v>0.09315534564</v>
      </c>
      <c r="R25" s="179">
        <f>'RSED National'!Y32/'RSED National'!Y11</f>
        <v>0.09039347162</v>
      </c>
      <c r="S25" s="179">
        <f>'RSED National'!Z32/'RSED National'!Z11</f>
        <v>0.09103800795</v>
      </c>
      <c r="T25" s="179">
        <f>'RSED National'!AA32/'RSED National'!AA11</f>
        <v>0.09236032685</v>
      </c>
      <c r="U25" s="179">
        <f>'RSED National'!AB32/'RSED National'!AB11</f>
        <v>0.09446959716</v>
      </c>
      <c r="V25" s="179">
        <f>'RSED National'!AC32/'RSED National'!AC11</f>
        <v>0.09582866322</v>
      </c>
      <c r="W25" s="179">
        <f>'RSED National'!AD32/'RSED National'!AD11</f>
        <v>0.0977297898</v>
      </c>
      <c r="X25" s="179">
        <f>'RSED National'!AE32/'RSED National'!AE11</f>
        <v>0.0999425045</v>
      </c>
      <c r="Y25" s="179">
        <f>'RSED National'!AF32/'RSED National'!AF11</f>
        <v>0.1033135732</v>
      </c>
      <c r="Z25" s="179">
        <f>'RSED National'!AG32/'RSED National'!AG11</f>
        <v>0.1087288099</v>
      </c>
      <c r="AA25" s="179">
        <f>'RSED National'!AH32/'RSED National'!AH11</f>
        <v>0.1104919004</v>
      </c>
      <c r="AB25" s="179">
        <f>'RSED National'!AI32/'RSED National'!AI11</f>
        <v>0.1114899721</v>
      </c>
      <c r="AC25" s="179">
        <f>'RSED National'!AJ32/'RSED National'!AJ11</f>
        <v>0.1116047027</v>
      </c>
      <c r="AD25" s="179">
        <f>'RSED National'!AK32/'RSED National'!AK11</f>
        <v>0.1115981051</v>
      </c>
      <c r="AE25" s="179">
        <f>'RSED National'!AL32/'RSED National'!AL11</f>
        <v>0.1115938846</v>
      </c>
      <c r="AF25" s="176"/>
      <c r="AG25" s="176"/>
      <c r="AH25" s="176"/>
      <c r="AI25" s="176"/>
      <c r="AJ25" s="176"/>
      <c r="AK25" s="176"/>
      <c r="AL25" s="176"/>
      <c r="AM25" s="176"/>
      <c r="AN25" s="176"/>
      <c r="AO25" s="176"/>
    </row>
    <row r="26" ht="12.75" customHeight="1">
      <c r="A26" s="90"/>
      <c r="B26" s="67"/>
      <c r="C26" s="90"/>
      <c r="D26" s="90"/>
      <c r="E26" s="90"/>
      <c r="F26" s="91"/>
      <c r="G26" s="176"/>
      <c r="H26" s="176"/>
      <c r="I26" s="176"/>
      <c r="J26" s="176"/>
      <c r="K26" s="93"/>
      <c r="L26" s="399"/>
      <c r="M26" s="93"/>
      <c r="N26" s="93"/>
      <c r="O26" s="93"/>
      <c r="P26" s="93"/>
      <c r="Q26" s="93"/>
      <c r="R26" s="176"/>
      <c r="S26" s="176"/>
      <c r="T26" s="176"/>
      <c r="U26" s="176"/>
      <c r="V26" s="176"/>
      <c r="W26" s="176"/>
      <c r="X26" s="176"/>
      <c r="Y26" s="176"/>
      <c r="Z26" s="176"/>
      <c r="AA26" s="176"/>
      <c r="AB26" s="176"/>
      <c r="AC26" s="176"/>
      <c r="AD26" s="176"/>
      <c r="AE26" s="176"/>
      <c r="AF26" s="176"/>
      <c r="AG26" s="176"/>
      <c r="AH26" s="176"/>
      <c r="AI26" s="176"/>
      <c r="AJ26" s="176"/>
      <c r="AK26" s="176"/>
      <c r="AL26" s="176"/>
      <c r="AM26" s="176"/>
      <c r="AN26" s="176"/>
      <c r="AO26" s="176"/>
    </row>
    <row r="27" ht="12.75" customHeight="1" outlineLevel="1">
      <c r="A27" s="67"/>
      <c r="B27" s="67" t="s">
        <v>190</v>
      </c>
      <c r="C27" s="67"/>
      <c r="D27" s="67"/>
      <c r="E27" s="67"/>
      <c r="F27" s="193"/>
      <c r="G27" s="193"/>
      <c r="H27" s="193"/>
      <c r="I27" s="193"/>
      <c r="J27" s="193"/>
      <c r="K27" s="193"/>
      <c r="L27" s="193"/>
      <c r="M27" s="193"/>
      <c r="N27" s="193"/>
      <c r="O27" s="193"/>
      <c r="P27" s="193"/>
      <c r="Q27" s="193"/>
      <c r="R27" s="193"/>
      <c r="S27" s="193"/>
      <c r="T27" s="193"/>
      <c r="U27" s="193"/>
      <c r="V27" s="193"/>
      <c r="W27" s="193"/>
      <c r="X27" s="193"/>
      <c r="Y27" s="193"/>
      <c r="Z27" s="193"/>
      <c r="AA27" s="193"/>
      <c r="AB27" s="193"/>
      <c r="AC27" s="193"/>
      <c r="AD27" s="193"/>
      <c r="AE27" s="193"/>
      <c r="AF27" s="193"/>
      <c r="AG27" s="193"/>
      <c r="AH27" s="193"/>
      <c r="AI27" s="193"/>
      <c r="AJ27" s="192"/>
      <c r="AK27" s="192"/>
      <c r="AL27" s="192"/>
      <c r="AM27" s="192"/>
      <c r="AN27" s="192"/>
      <c r="AO27" s="192"/>
    </row>
    <row r="28" ht="12.75" customHeight="1" outlineLevel="1">
      <c r="A28" s="67"/>
      <c r="B28" s="67"/>
      <c r="C28" s="67"/>
      <c r="D28" s="102" t="s">
        <v>307</v>
      </c>
      <c r="E28" s="67"/>
      <c r="F28" s="196">
        <f>SUMIF('National Staffing'!$C:$C,Analysis!$D28,'National Staffing'!K:K)</f>
        <v>3</v>
      </c>
      <c r="G28" s="196">
        <f>SUMIF('National Staffing'!$C:$C,Analysis!$D28,'National Staffing'!L:L)</f>
        <v>4</v>
      </c>
      <c r="H28" s="196">
        <f>SUMIF('National Staffing'!$C:$C,Analysis!$D28,'National Staffing'!M:M)</f>
        <v>4</v>
      </c>
      <c r="I28" s="196">
        <f>SUMIF('National Staffing'!$C:$C,Analysis!$D28,'National Staffing'!N:N)</f>
        <v>6</v>
      </c>
      <c r="J28" s="196">
        <f>SUMIF('National Staffing'!$C:$C,Analysis!$D28,'National Staffing'!O:O)</f>
        <v>7</v>
      </c>
      <c r="K28" s="196">
        <f>SUMIF('National Staffing'!$C:$C,Analysis!$D28,'National Staffing'!P:P)</f>
        <v>9</v>
      </c>
      <c r="L28" s="196">
        <f>SUMIF('National Staffing'!$C:$C,Analysis!$D28,'National Staffing'!Q:Q)</f>
        <v>11</v>
      </c>
      <c r="M28" s="196">
        <f>SUMIF('National Staffing'!$C:$C,Analysis!$D28,'National Staffing'!R:R)</f>
        <v>14</v>
      </c>
      <c r="N28" s="193"/>
      <c r="O28" s="193"/>
      <c r="P28" s="193"/>
      <c r="Q28" s="193"/>
      <c r="R28" s="193"/>
      <c r="S28" s="193"/>
      <c r="T28" s="193"/>
      <c r="U28" s="193"/>
      <c r="V28" s="193"/>
      <c r="W28" s="193"/>
      <c r="X28" s="193"/>
      <c r="Y28" s="193"/>
      <c r="Z28" s="193"/>
      <c r="AA28" s="193"/>
      <c r="AB28" s="193"/>
      <c r="AC28" s="193"/>
      <c r="AD28" s="193"/>
      <c r="AE28" s="193"/>
      <c r="AF28" s="193"/>
      <c r="AG28" s="193"/>
      <c r="AH28" s="193"/>
      <c r="AI28" s="193"/>
      <c r="AJ28" s="192"/>
      <c r="AK28" s="192"/>
      <c r="AL28" s="192"/>
      <c r="AM28" s="192"/>
      <c r="AN28" s="192"/>
      <c r="AO28" s="192"/>
    </row>
    <row r="29" ht="12.75" customHeight="1" outlineLevel="1">
      <c r="A29" s="67"/>
      <c r="B29" s="67"/>
      <c r="C29" s="67"/>
      <c r="D29" s="102" t="s">
        <v>308</v>
      </c>
      <c r="E29" s="67"/>
      <c r="F29" s="196">
        <f>SUMIF('National Staffing'!$C:$C,Analysis!$D29,'National Staffing'!K:K)</f>
        <v>3</v>
      </c>
      <c r="G29" s="196">
        <f>SUMIF('National Staffing'!$C:$C,Analysis!$D29,'National Staffing'!L:L)</f>
        <v>4</v>
      </c>
      <c r="H29" s="196">
        <f>SUMIF('National Staffing'!$C:$C,Analysis!$D29,'National Staffing'!M:M)</f>
        <v>4</v>
      </c>
      <c r="I29" s="196">
        <f>SUMIF('National Staffing'!$C:$C,Analysis!$D29,'National Staffing'!N:N)</f>
        <v>5</v>
      </c>
      <c r="J29" s="196">
        <f>SUMIF('National Staffing'!$C:$C,Analysis!$D29,'National Staffing'!O:O)</f>
        <v>5</v>
      </c>
      <c r="K29" s="196">
        <f>SUMIF('National Staffing'!$C:$C,Analysis!$D29,'National Staffing'!P:P)</f>
        <v>6</v>
      </c>
      <c r="L29" s="196">
        <f>SUMIF('National Staffing'!$C:$C,Analysis!$D29,'National Staffing'!Q:Q)</f>
        <v>8</v>
      </c>
      <c r="M29" s="196">
        <f>SUMIF('National Staffing'!$C:$C,Analysis!$D29,'National Staffing'!R:R)</f>
        <v>12</v>
      </c>
      <c r="N29" s="193"/>
      <c r="O29" s="193"/>
      <c r="P29" s="193"/>
      <c r="Q29" s="193"/>
      <c r="R29" s="193"/>
      <c r="S29" s="193"/>
      <c r="T29" s="193"/>
      <c r="U29" s="193"/>
      <c r="V29" s="193"/>
      <c r="W29" s="193"/>
      <c r="X29" s="193"/>
      <c r="Y29" s="193"/>
      <c r="Z29" s="193"/>
      <c r="AA29" s="193"/>
      <c r="AB29" s="193"/>
      <c r="AC29" s="193"/>
      <c r="AD29" s="193"/>
      <c r="AE29" s="193"/>
      <c r="AF29" s="193"/>
      <c r="AG29" s="193"/>
      <c r="AH29" s="193"/>
      <c r="AI29" s="193"/>
      <c r="AJ29" s="192"/>
      <c r="AK29" s="192"/>
      <c r="AL29" s="192"/>
      <c r="AM29" s="192"/>
      <c r="AN29" s="192"/>
      <c r="AO29" s="192"/>
    </row>
    <row r="30" ht="12.75" customHeight="1" outlineLevel="1">
      <c r="A30" s="67"/>
      <c r="B30" s="67"/>
      <c r="C30" s="67"/>
      <c r="D30" s="219" t="s">
        <v>137</v>
      </c>
      <c r="E30" s="67"/>
      <c r="F30" s="196">
        <f>SUMIF('National Staffing'!$C:$C,Analysis!$D30,'National Staffing'!K:K)</f>
        <v>1</v>
      </c>
      <c r="G30" s="196">
        <f>SUMIF('National Staffing'!$C:$C,Analysis!$D30,'National Staffing'!L:L)</f>
        <v>1</v>
      </c>
      <c r="H30" s="196">
        <f>SUMIF('National Staffing'!$C:$C,Analysis!$D30,'National Staffing'!M:M)</f>
        <v>2</v>
      </c>
      <c r="I30" s="196">
        <f>SUMIF('National Staffing'!$C:$C,Analysis!$D30,'National Staffing'!N:N)</f>
        <v>2</v>
      </c>
      <c r="J30" s="196">
        <f>SUMIF('National Staffing'!$C:$C,Analysis!$D30,'National Staffing'!O:O)</f>
        <v>2</v>
      </c>
      <c r="K30" s="196">
        <f>SUMIF('National Staffing'!$C:$C,Analysis!$D30,'National Staffing'!P:P)</f>
        <v>2</v>
      </c>
      <c r="L30" s="196">
        <f>SUMIF('National Staffing'!$C:$C,Analysis!$D30,'National Staffing'!Q:Q)</f>
        <v>2</v>
      </c>
      <c r="M30" s="196">
        <f>SUMIF('National Staffing'!$C:$C,Analysis!$D30,'National Staffing'!R:R)</f>
        <v>2</v>
      </c>
      <c r="N30" s="193"/>
      <c r="O30" s="193"/>
      <c r="P30" s="193"/>
      <c r="Q30" s="193"/>
      <c r="R30" s="193"/>
      <c r="S30" s="193"/>
      <c r="T30" s="193"/>
      <c r="U30" s="193"/>
      <c r="V30" s="193"/>
      <c r="W30" s="193"/>
      <c r="X30" s="193"/>
      <c r="Y30" s="193"/>
      <c r="Z30" s="193"/>
      <c r="AA30" s="193"/>
      <c r="AB30" s="193"/>
      <c r="AC30" s="193"/>
      <c r="AD30" s="193"/>
      <c r="AE30" s="193"/>
      <c r="AF30" s="193"/>
      <c r="AG30" s="193"/>
      <c r="AH30" s="193"/>
      <c r="AI30" s="193"/>
      <c r="AJ30" s="192"/>
      <c r="AK30" s="192"/>
      <c r="AL30" s="192"/>
      <c r="AM30" s="192"/>
      <c r="AN30" s="192"/>
      <c r="AO30" s="192"/>
    </row>
    <row r="31" ht="12.75" customHeight="1" outlineLevel="1">
      <c r="A31" s="67"/>
      <c r="B31" s="67"/>
      <c r="C31" s="67"/>
      <c r="D31" s="219" t="s">
        <v>266</v>
      </c>
      <c r="E31" s="67"/>
      <c r="F31" s="196">
        <f>SUMIF('National Staffing'!$C:$C,Analysis!$D31,'National Staffing'!K:K)</f>
        <v>0</v>
      </c>
      <c r="G31" s="196">
        <f>SUMIF('National Staffing'!$C:$C,Analysis!$D31,'National Staffing'!L:L)</f>
        <v>3</v>
      </c>
      <c r="H31" s="196">
        <f>SUMIF('National Staffing'!$C:$C,Analysis!$D31,'National Staffing'!M:M)</f>
        <v>5</v>
      </c>
      <c r="I31" s="196">
        <f>SUMIF('National Staffing'!$C:$C,Analysis!$D31,'National Staffing'!N:N)</f>
        <v>7</v>
      </c>
      <c r="J31" s="196">
        <f>SUMIF('National Staffing'!$C:$C,Analysis!$D31,'National Staffing'!O:O)</f>
        <v>9</v>
      </c>
      <c r="K31" s="196">
        <f>SUMIF('National Staffing'!$C:$C,Analysis!$D31,'National Staffing'!P:P)</f>
        <v>11</v>
      </c>
      <c r="L31" s="196">
        <f>SUMIF('National Staffing'!$C:$C,Analysis!$D31,'National Staffing'!Q:Q)</f>
        <v>15</v>
      </c>
      <c r="M31" s="196">
        <f>SUMIF('National Staffing'!$C:$C,Analysis!$D31,'National Staffing'!R:R)</f>
        <v>17</v>
      </c>
      <c r="N31" s="193"/>
      <c r="O31" s="193"/>
      <c r="P31" s="193"/>
      <c r="Q31" s="193"/>
      <c r="R31" s="193"/>
      <c r="S31" s="193"/>
      <c r="T31" s="193"/>
      <c r="U31" s="193"/>
      <c r="V31" s="193"/>
      <c r="W31" s="193"/>
      <c r="X31" s="193"/>
      <c r="Y31" s="193"/>
      <c r="Z31" s="193"/>
      <c r="AA31" s="193"/>
      <c r="AB31" s="193"/>
      <c r="AC31" s="193"/>
      <c r="AD31" s="193"/>
      <c r="AE31" s="193"/>
      <c r="AF31" s="193"/>
      <c r="AG31" s="193"/>
      <c r="AH31" s="193"/>
      <c r="AI31" s="193"/>
      <c r="AJ31" s="192"/>
      <c r="AK31" s="192"/>
      <c r="AL31" s="192"/>
      <c r="AM31" s="192"/>
      <c r="AN31" s="192"/>
      <c r="AO31" s="192"/>
    </row>
    <row r="32" ht="12.75" customHeight="1" outlineLevel="1">
      <c r="A32" s="67"/>
      <c r="B32" s="67"/>
      <c r="C32" s="67"/>
      <c r="D32" s="219" t="s">
        <v>265</v>
      </c>
      <c r="E32" s="67"/>
      <c r="F32" s="196">
        <f>SUMIF('National Staffing'!$C:$C,Analysis!$D32,'National Staffing'!K:K)</f>
        <v>0</v>
      </c>
      <c r="G32" s="196">
        <f>SUMIF('National Staffing'!$C:$C,Analysis!$D32,'National Staffing'!L:L)</f>
        <v>1</v>
      </c>
      <c r="H32" s="196">
        <f>SUMIF('National Staffing'!$C:$C,Analysis!$D32,'National Staffing'!M:M)</f>
        <v>1</v>
      </c>
      <c r="I32" s="196">
        <f>SUMIF('National Staffing'!$C:$C,Analysis!$D32,'National Staffing'!N:N)</f>
        <v>1</v>
      </c>
      <c r="J32" s="196">
        <f>SUMIF('National Staffing'!$C:$C,Analysis!$D32,'National Staffing'!O:O)</f>
        <v>1</v>
      </c>
      <c r="K32" s="196">
        <f>SUMIF('National Staffing'!$C:$C,Analysis!$D32,'National Staffing'!P:P)</f>
        <v>1</v>
      </c>
      <c r="L32" s="196">
        <f>SUMIF('National Staffing'!$C:$C,Analysis!$D32,'National Staffing'!Q:Q)</f>
        <v>1</v>
      </c>
      <c r="M32" s="196">
        <f>SUMIF('National Staffing'!$C:$C,Analysis!$D32,'National Staffing'!R:R)</f>
        <v>1</v>
      </c>
      <c r="N32" s="193"/>
      <c r="O32" s="193"/>
      <c r="P32" s="193"/>
      <c r="Q32" s="193"/>
      <c r="R32" s="193"/>
      <c r="S32" s="193"/>
      <c r="T32" s="193"/>
      <c r="U32" s="193"/>
      <c r="V32" s="193"/>
      <c r="W32" s="193"/>
      <c r="X32" s="193"/>
      <c r="Y32" s="193"/>
      <c r="Z32" s="193"/>
      <c r="AA32" s="193"/>
      <c r="AB32" s="193"/>
      <c r="AC32" s="193"/>
      <c r="AD32" s="193"/>
      <c r="AE32" s="193"/>
      <c r="AF32" s="193"/>
      <c r="AG32" s="193"/>
      <c r="AH32" s="193"/>
      <c r="AI32" s="193"/>
      <c r="AJ32" s="192"/>
      <c r="AK32" s="192"/>
      <c r="AL32" s="192"/>
      <c r="AM32" s="192"/>
      <c r="AN32" s="192"/>
      <c r="AO32" s="192"/>
    </row>
    <row r="33" ht="12.75" customHeight="1" outlineLevel="1">
      <c r="A33" s="67"/>
      <c r="B33" s="67"/>
      <c r="C33" s="67"/>
      <c r="D33" s="219" t="s">
        <v>138</v>
      </c>
      <c r="E33" s="67"/>
      <c r="F33" s="196" t="str">
        <f>SUMIF('National Staffing'!$C:$C,Analysis!$D33,'National Staffing'!K:K)</f>
        <v>#REF!</v>
      </c>
      <c r="G33" s="196" t="str">
        <f>SUMIF('National Staffing'!$C:$C,Analysis!$D33,'National Staffing'!L:L)</f>
        <v>#REF!</v>
      </c>
      <c r="H33" s="196" t="str">
        <f>SUMIF('National Staffing'!$C:$C,Analysis!$D33,'National Staffing'!M:M)</f>
        <v>#REF!</v>
      </c>
      <c r="I33" s="196" t="str">
        <f>SUMIF('National Staffing'!$C:$C,Analysis!$D33,'National Staffing'!N:N)</f>
        <v>#REF!</v>
      </c>
      <c r="J33" s="196" t="str">
        <f>SUMIF('National Staffing'!$C:$C,Analysis!$D33,'National Staffing'!O:O)</f>
        <v>#REF!</v>
      </c>
      <c r="K33" s="196" t="str">
        <f>SUMIF('National Staffing'!$C:$C,Analysis!$D33,'National Staffing'!P:P)</f>
        <v>#REF!</v>
      </c>
      <c r="L33" s="196" t="str">
        <f>SUMIF('National Staffing'!$C:$C,Analysis!$D33,'National Staffing'!Q:Q)</f>
        <v>#REF!</v>
      </c>
      <c r="M33" s="196" t="str">
        <f>SUMIF('National Staffing'!$C:$C,Analysis!$D33,'National Staffing'!R:R)</f>
        <v>#REF!</v>
      </c>
      <c r="N33" s="193"/>
      <c r="O33" s="193"/>
      <c r="P33" s="193"/>
      <c r="Q33" s="193"/>
      <c r="R33" s="193"/>
      <c r="S33" s="193"/>
      <c r="T33" s="193"/>
      <c r="U33" s="193"/>
      <c r="V33" s="193"/>
      <c r="W33" s="193"/>
      <c r="X33" s="193"/>
      <c r="Y33" s="193"/>
      <c r="Z33" s="193"/>
      <c r="AA33" s="193"/>
      <c r="AB33" s="193"/>
      <c r="AC33" s="193"/>
      <c r="AD33" s="193"/>
      <c r="AE33" s="193"/>
      <c r="AF33" s="193"/>
      <c r="AG33" s="193"/>
      <c r="AH33" s="193"/>
      <c r="AI33" s="193"/>
      <c r="AJ33" s="192"/>
      <c r="AK33" s="192"/>
      <c r="AL33" s="192"/>
      <c r="AM33" s="192"/>
      <c r="AN33" s="192"/>
      <c r="AO33" s="192"/>
    </row>
    <row r="34" ht="12.75" customHeight="1" outlineLevel="1">
      <c r="A34" s="67"/>
      <c r="B34" s="67"/>
      <c r="C34" s="67"/>
      <c r="D34" s="219" t="s">
        <v>309</v>
      </c>
      <c r="E34" s="67"/>
      <c r="F34" s="196">
        <f>SUMIF('National Staffing'!$C:$C,Analysis!$D34,'National Staffing'!K:K)</f>
        <v>4</v>
      </c>
      <c r="G34" s="196">
        <f>SUMIF('National Staffing'!$C:$C,Analysis!$D34,'National Staffing'!L:L)</f>
        <v>4</v>
      </c>
      <c r="H34" s="196">
        <f>SUMIF('National Staffing'!$C:$C,Analysis!$D34,'National Staffing'!M:M)</f>
        <v>5</v>
      </c>
      <c r="I34" s="196">
        <f>SUMIF('National Staffing'!$C:$C,Analysis!$D34,'National Staffing'!N:N)</f>
        <v>6</v>
      </c>
      <c r="J34" s="196">
        <f>SUMIF('National Staffing'!$C:$C,Analysis!$D34,'National Staffing'!O:O)</f>
        <v>11</v>
      </c>
      <c r="K34" s="196">
        <f>SUMIF('National Staffing'!$C:$C,Analysis!$D34,'National Staffing'!P:P)</f>
        <v>13</v>
      </c>
      <c r="L34" s="196">
        <f>SUMIF('National Staffing'!$C:$C,Analysis!$D34,'National Staffing'!Q:Q)</f>
        <v>21</v>
      </c>
      <c r="M34" s="196">
        <f>SUMIF('National Staffing'!$C:$C,Analysis!$D34,'National Staffing'!R:R)</f>
        <v>30</v>
      </c>
      <c r="N34" s="193"/>
      <c r="O34" s="193"/>
      <c r="P34" s="193"/>
      <c r="Q34" s="193"/>
      <c r="R34" s="193"/>
      <c r="S34" s="193"/>
      <c r="T34" s="193"/>
      <c r="U34" s="193"/>
      <c r="V34" s="193"/>
      <c r="W34" s="193"/>
      <c r="X34" s="193"/>
      <c r="Y34" s="193"/>
      <c r="Z34" s="193"/>
      <c r="AA34" s="193"/>
      <c r="AB34" s="193"/>
      <c r="AC34" s="193"/>
      <c r="AD34" s="193"/>
      <c r="AE34" s="193"/>
      <c r="AF34" s="193"/>
      <c r="AG34" s="193"/>
      <c r="AH34" s="193"/>
      <c r="AI34" s="193"/>
      <c r="AJ34" s="192"/>
      <c r="AK34" s="192"/>
      <c r="AL34" s="192"/>
      <c r="AM34" s="192"/>
      <c r="AN34" s="192"/>
      <c r="AO34" s="192"/>
    </row>
    <row r="35" ht="12.75" customHeight="1" outlineLevel="1">
      <c r="A35" s="67"/>
      <c r="B35" s="67"/>
      <c r="C35" s="67"/>
      <c r="D35" s="219" t="s">
        <v>310</v>
      </c>
      <c r="E35" s="67"/>
      <c r="F35" s="196">
        <f>SUMIF('National Staffing'!$C:$C,Analysis!$D35,'National Staffing'!K:K)</f>
        <v>2</v>
      </c>
      <c r="G35" s="196">
        <f>SUMIF('National Staffing'!$C:$C,Analysis!$D35,'National Staffing'!L:L)</f>
        <v>3</v>
      </c>
      <c r="H35" s="196">
        <f>SUMIF('National Staffing'!$C:$C,Analysis!$D35,'National Staffing'!M:M)</f>
        <v>4</v>
      </c>
      <c r="I35" s="196">
        <f>SUMIF('National Staffing'!$C:$C,Analysis!$D35,'National Staffing'!N:N)</f>
        <v>7</v>
      </c>
      <c r="J35" s="196">
        <f>SUMIF('National Staffing'!$C:$C,Analysis!$D35,'National Staffing'!O:O)</f>
        <v>10</v>
      </c>
      <c r="K35" s="196">
        <f>SUMIF('National Staffing'!$C:$C,Analysis!$D35,'National Staffing'!P:P)</f>
        <v>14</v>
      </c>
      <c r="L35" s="196">
        <f>SUMIF('National Staffing'!$C:$C,Analysis!$D35,'National Staffing'!Q:Q)</f>
        <v>22</v>
      </c>
      <c r="M35" s="196">
        <f>SUMIF('National Staffing'!$C:$C,Analysis!$D35,'National Staffing'!R:R)</f>
        <v>29</v>
      </c>
      <c r="N35" s="193"/>
      <c r="O35" s="193"/>
      <c r="P35" s="193"/>
      <c r="Q35" s="193"/>
      <c r="R35" s="193"/>
      <c r="S35" s="193"/>
      <c r="T35" s="193"/>
      <c r="U35" s="193"/>
      <c r="V35" s="193"/>
      <c r="W35" s="193"/>
      <c r="X35" s="193"/>
      <c r="Y35" s="193"/>
      <c r="Z35" s="193"/>
      <c r="AA35" s="193"/>
      <c r="AB35" s="193"/>
      <c r="AC35" s="193"/>
      <c r="AD35" s="193"/>
      <c r="AE35" s="193"/>
      <c r="AF35" s="193"/>
      <c r="AG35" s="193"/>
      <c r="AH35" s="193"/>
      <c r="AI35" s="193"/>
      <c r="AJ35" s="192"/>
      <c r="AK35" s="192"/>
      <c r="AL35" s="192"/>
      <c r="AM35" s="192"/>
      <c r="AN35" s="192"/>
      <c r="AO35" s="192"/>
    </row>
    <row r="36" ht="12.75" customHeight="1" outlineLevel="1">
      <c r="A36" s="90"/>
      <c r="B36" s="195"/>
      <c r="C36" s="90"/>
      <c r="D36" s="219" t="s">
        <v>268</v>
      </c>
      <c r="E36" s="90"/>
      <c r="F36" s="196">
        <f>SUMIF('National Staffing'!$C:$C,Analysis!$D36,'National Staffing'!K:K)</f>
        <v>3</v>
      </c>
      <c r="G36" s="196">
        <f>SUMIF('National Staffing'!$C:$C,Analysis!$D36,'National Staffing'!L:L)</f>
        <v>3</v>
      </c>
      <c r="H36" s="196">
        <f>SUMIF('National Staffing'!$C:$C,Analysis!$D36,'National Staffing'!M:M)</f>
        <v>3</v>
      </c>
      <c r="I36" s="196">
        <f>SUMIF('National Staffing'!$C:$C,Analysis!$D36,'National Staffing'!N:N)</f>
        <v>3</v>
      </c>
      <c r="J36" s="196">
        <f>SUMIF('National Staffing'!$C:$C,Analysis!$D36,'National Staffing'!O:O)</f>
        <v>3</v>
      </c>
      <c r="K36" s="196">
        <f>SUMIF('National Staffing'!$C:$C,Analysis!$D36,'National Staffing'!P:P)</f>
        <v>3</v>
      </c>
      <c r="L36" s="196">
        <f>SUMIF('National Staffing'!$C:$C,Analysis!$D36,'National Staffing'!Q:Q)</f>
        <v>4</v>
      </c>
      <c r="M36" s="196">
        <f>SUMIF('National Staffing'!$C:$C,Analysis!$D36,'National Staffing'!R:R)</f>
        <v>5</v>
      </c>
      <c r="N36" s="196"/>
      <c r="O36" s="196"/>
      <c r="P36" s="196"/>
      <c r="Q36" s="196"/>
      <c r="R36" s="196"/>
      <c r="S36" s="196"/>
      <c r="T36" s="196"/>
      <c r="U36" s="196"/>
      <c r="V36" s="196"/>
      <c r="W36" s="196"/>
      <c r="X36" s="196"/>
      <c r="Y36" s="196"/>
      <c r="Z36" s="196"/>
      <c r="AA36" s="196"/>
      <c r="AB36" s="196"/>
      <c r="AC36" s="196"/>
      <c r="AD36" s="196"/>
      <c r="AE36" s="196"/>
      <c r="AF36" s="196"/>
      <c r="AG36" s="196"/>
      <c r="AH36" s="196"/>
      <c r="AI36" s="196"/>
      <c r="AJ36" s="196"/>
      <c r="AK36" s="196"/>
      <c r="AL36" s="196"/>
      <c r="AM36" s="196"/>
      <c r="AN36" s="196"/>
      <c r="AO36" s="196"/>
    </row>
    <row r="37" ht="12.75" customHeight="1" outlineLevel="1">
      <c r="A37" s="90"/>
      <c r="B37" s="195"/>
      <c r="C37" s="90"/>
      <c r="D37" s="219" t="s">
        <v>264</v>
      </c>
      <c r="E37" s="90"/>
      <c r="F37" s="196" t="str">
        <f>SUMIF('National Staffing'!$C:$C,Analysis!$D37,'National Staffing'!K:K)</f>
        <v>#REF!</v>
      </c>
      <c r="G37" s="196" t="str">
        <f>SUMIF('National Staffing'!$C:$C,Analysis!$D37,'National Staffing'!L:L)</f>
        <v>#REF!</v>
      </c>
      <c r="H37" s="196" t="str">
        <f>SUMIF('National Staffing'!$C:$C,Analysis!$D37,'National Staffing'!M:M)</f>
        <v>#REF!</v>
      </c>
      <c r="I37" s="196" t="str">
        <f>SUMIF('National Staffing'!$C:$C,Analysis!$D37,'National Staffing'!N:N)</f>
        <v>#REF!</v>
      </c>
      <c r="J37" s="196" t="str">
        <f>SUMIF('National Staffing'!$C:$C,Analysis!$D37,'National Staffing'!O:O)</f>
        <v>#REF!</v>
      </c>
      <c r="K37" s="196" t="str">
        <f>SUMIF('National Staffing'!$C:$C,Analysis!$D37,'National Staffing'!P:P)</f>
        <v>#REF!</v>
      </c>
      <c r="L37" s="196" t="str">
        <f>SUMIF('National Staffing'!$C:$C,Analysis!$D37,'National Staffing'!Q:Q)</f>
        <v>#REF!</v>
      </c>
      <c r="M37" s="196" t="str">
        <f>SUMIF('National Staffing'!$C:$C,Analysis!$D37,'National Staffing'!R:R)</f>
        <v>#REF!</v>
      </c>
      <c r="N37" s="196"/>
      <c r="O37" s="196"/>
      <c r="P37" s="196"/>
      <c r="Q37" s="196"/>
      <c r="R37" s="196"/>
      <c r="S37" s="196"/>
      <c r="T37" s="196"/>
      <c r="U37" s="196"/>
      <c r="V37" s="196"/>
      <c r="W37" s="196"/>
      <c r="X37" s="196"/>
      <c r="Y37" s="196"/>
      <c r="Z37" s="196"/>
      <c r="AA37" s="196"/>
      <c r="AB37" s="196"/>
      <c r="AC37" s="196"/>
      <c r="AD37" s="196"/>
      <c r="AE37" s="196"/>
      <c r="AF37" s="196"/>
      <c r="AG37" s="196"/>
      <c r="AH37" s="196"/>
      <c r="AI37" s="196"/>
      <c r="AJ37" s="196"/>
      <c r="AK37" s="196"/>
      <c r="AL37" s="196"/>
      <c r="AM37" s="196"/>
      <c r="AN37" s="196"/>
      <c r="AO37" s="196"/>
    </row>
    <row r="38" ht="12.75" customHeight="1" outlineLevel="1">
      <c r="A38" s="90"/>
      <c r="D38" s="203" t="s">
        <v>311</v>
      </c>
      <c r="E38" s="87"/>
      <c r="F38" s="197">
        <f>SUMIF('National Staffing'!$C:$C,Analysis!$D38,'National Staffing'!K:K)</f>
        <v>0</v>
      </c>
      <c r="G38" s="197">
        <f>SUMIF('National Staffing'!$C:$C,Analysis!$D38,'National Staffing'!L:L)</f>
        <v>0</v>
      </c>
      <c r="H38" s="197">
        <f>SUMIF('National Staffing'!$C:$C,Analysis!$D38,'National Staffing'!M:M)</f>
        <v>0</v>
      </c>
      <c r="I38" s="197">
        <f>SUMIF('National Staffing'!$C:$C,Analysis!$D38,'National Staffing'!N:N)</f>
        <v>0</v>
      </c>
      <c r="J38" s="197">
        <f>SUMIF('National Staffing'!$C:$C,Analysis!$D38,'National Staffing'!O:O)</f>
        <v>0</v>
      </c>
      <c r="K38" s="197">
        <f>SUMIF('National Staffing'!$C:$C,Analysis!$D38,'National Staffing'!P:P)</f>
        <v>0</v>
      </c>
      <c r="L38" s="197">
        <f>SUMIF('National Staffing'!$C:$C,Analysis!$D38,'National Staffing'!Q:Q)</f>
        <v>0</v>
      </c>
      <c r="M38" s="197">
        <f>SUMIF('National Staffing'!$C:$C,Analysis!$D38,'National Staffing'!R:R)</f>
        <v>0</v>
      </c>
      <c r="N38" s="196"/>
      <c r="O38" s="196"/>
      <c r="P38" s="196"/>
      <c r="Q38" s="196"/>
      <c r="R38" s="196"/>
      <c r="S38" s="196"/>
      <c r="T38" s="196"/>
      <c r="U38" s="196"/>
      <c r="V38" s="196"/>
      <c r="W38" s="196"/>
      <c r="X38" s="196"/>
      <c r="Y38" s="196"/>
      <c r="Z38" s="196"/>
      <c r="AA38" s="196"/>
      <c r="AB38" s="196"/>
      <c r="AC38" s="196"/>
      <c r="AD38" s="196"/>
      <c r="AE38" s="196"/>
      <c r="AF38" s="196"/>
      <c r="AG38" s="196"/>
      <c r="AH38" s="196"/>
      <c r="AI38" s="196"/>
      <c r="AJ38" s="196"/>
      <c r="AK38" s="196"/>
      <c r="AL38" s="196"/>
      <c r="AM38" s="196"/>
      <c r="AN38" s="196"/>
      <c r="AO38" s="196"/>
    </row>
    <row r="39" ht="12.75" customHeight="1" outlineLevel="1">
      <c r="A39" s="90"/>
      <c r="C39" s="67" t="s">
        <v>273</v>
      </c>
      <c r="F39" s="86" t="str">
        <f t="shared" ref="F39:AE39" si="6">SUM(F28:F38)</f>
        <v>#REF!</v>
      </c>
      <c r="G39" s="86" t="str">
        <f t="shared" si="6"/>
        <v>#REF!</v>
      </c>
      <c r="H39" s="86" t="str">
        <f t="shared" si="6"/>
        <v>#REF!</v>
      </c>
      <c r="I39" s="86" t="str">
        <f t="shared" si="6"/>
        <v>#REF!</v>
      </c>
      <c r="J39" s="86" t="str">
        <f t="shared" si="6"/>
        <v>#REF!</v>
      </c>
      <c r="K39" s="86" t="str">
        <f t="shared" si="6"/>
        <v>#REF!</v>
      </c>
      <c r="L39" s="86" t="str">
        <f t="shared" si="6"/>
        <v>#REF!</v>
      </c>
      <c r="M39" s="86" t="str">
        <f t="shared" si="6"/>
        <v>#REF!</v>
      </c>
      <c r="N39" s="86">
        <f t="shared" si="6"/>
        <v>0</v>
      </c>
      <c r="O39" s="86">
        <f t="shared" si="6"/>
        <v>0</v>
      </c>
      <c r="P39" s="86">
        <f t="shared" si="6"/>
        <v>0</v>
      </c>
      <c r="Q39" s="86">
        <f t="shared" si="6"/>
        <v>0</v>
      </c>
      <c r="R39" s="86">
        <f t="shared" si="6"/>
        <v>0</v>
      </c>
      <c r="S39" s="86">
        <f t="shared" si="6"/>
        <v>0</v>
      </c>
      <c r="T39" s="86">
        <f t="shared" si="6"/>
        <v>0</v>
      </c>
      <c r="U39" s="86">
        <f t="shared" si="6"/>
        <v>0</v>
      </c>
      <c r="V39" s="86">
        <f t="shared" si="6"/>
        <v>0</v>
      </c>
      <c r="W39" s="86">
        <f t="shared" si="6"/>
        <v>0</v>
      </c>
      <c r="X39" s="86">
        <f t="shared" si="6"/>
        <v>0</v>
      </c>
      <c r="Y39" s="86">
        <f t="shared" si="6"/>
        <v>0</v>
      </c>
      <c r="Z39" s="86">
        <f t="shared" si="6"/>
        <v>0</v>
      </c>
      <c r="AA39" s="86">
        <f t="shared" si="6"/>
        <v>0</v>
      </c>
      <c r="AB39" s="86">
        <f t="shared" si="6"/>
        <v>0</v>
      </c>
      <c r="AC39" s="86">
        <f t="shared" si="6"/>
        <v>0</v>
      </c>
      <c r="AD39" s="86">
        <f t="shared" si="6"/>
        <v>0</v>
      </c>
      <c r="AE39" s="86">
        <f t="shared" si="6"/>
        <v>0</v>
      </c>
      <c r="AF39" s="86">
        <f t="shared" ref="AF39:AI39" si="7">SUM(AF36:AF38)</f>
        <v>0</v>
      </c>
      <c r="AG39" s="86">
        <f t="shared" si="7"/>
        <v>0</v>
      </c>
      <c r="AH39" s="86">
        <f t="shared" si="7"/>
        <v>0</v>
      </c>
      <c r="AI39" s="86">
        <f t="shared" si="7"/>
        <v>0</v>
      </c>
      <c r="AJ39" s="86"/>
      <c r="AK39" s="86"/>
      <c r="AL39" s="86"/>
      <c r="AM39" s="86"/>
      <c r="AN39" s="86"/>
      <c r="AO39" s="86"/>
    </row>
    <row r="40" ht="12.75" customHeight="1">
      <c r="A40" s="90"/>
      <c r="C40" s="67"/>
      <c r="F40" s="86"/>
      <c r="G40" s="86"/>
      <c r="H40" s="86"/>
      <c r="I40" s="86"/>
      <c r="J40" s="86"/>
      <c r="K40" s="188"/>
      <c r="L40" s="188"/>
      <c r="M40" s="188"/>
      <c r="N40" s="188"/>
      <c r="O40" s="188"/>
      <c r="P40" s="188"/>
      <c r="Q40" s="188"/>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row>
    <row r="41" ht="12.75" customHeight="1" outlineLevel="1">
      <c r="A41" s="90"/>
      <c r="C41" s="67" t="s">
        <v>237</v>
      </c>
      <c r="D41" s="90"/>
      <c r="E41" s="90"/>
      <c r="F41" s="65">
        <f>'RSED National'!M74</f>
        <v>313920.2009</v>
      </c>
      <c r="G41" s="65">
        <f>'RSED National'!N74</f>
        <v>503040.0706</v>
      </c>
      <c r="H41" s="65">
        <f>'RSED National'!O74</f>
        <v>838465.749</v>
      </c>
      <c r="I41" s="65">
        <f>'RSED National'!P74</f>
        <v>1396736.964</v>
      </c>
      <c r="J41" s="65">
        <f>'RSED National'!Q74</f>
        <v>2501790.926</v>
      </c>
      <c r="K41" s="65">
        <f>'RSED National'!R74</f>
        <v>3934639.12</v>
      </c>
      <c r="L41" s="65">
        <f>'RSED National'!S74</f>
        <v>6343512.078</v>
      </c>
      <c r="M41" s="65">
        <f>'RSED National'!T74</f>
        <v>9502868.167</v>
      </c>
      <c r="N41" s="65">
        <f>'RSED National'!U74</f>
        <v>12897702.92</v>
      </c>
      <c r="O41" s="65">
        <f>'RSED National'!V74</f>
        <v>13407469.41</v>
      </c>
      <c r="P41" s="65">
        <f>'RSED National'!W74</f>
        <v>12923476.6</v>
      </c>
      <c r="Q41" s="65">
        <f>'RSED National'!X74</f>
        <v>12200999.46</v>
      </c>
      <c r="R41" s="65">
        <f>'RSED National'!Y74</f>
        <v>12222267.14</v>
      </c>
      <c r="S41" s="65">
        <f>'RSED National'!Z74</f>
        <v>12448074.39</v>
      </c>
      <c r="T41" s="65">
        <f>'RSED National'!AA74</f>
        <v>12682959.52</v>
      </c>
      <c r="U41" s="65">
        <f>'RSED National'!AB74</f>
        <v>12928527.66</v>
      </c>
      <c r="V41" s="65">
        <f>'RSED National'!AC74</f>
        <v>13185720.05</v>
      </c>
      <c r="W41" s="65">
        <f>'RSED National'!AD74</f>
        <v>13449432.29</v>
      </c>
      <c r="X41" s="65">
        <f>'RSED National'!AE74</f>
        <v>13718418.56</v>
      </c>
      <c r="Y41" s="65">
        <f>'RSED National'!AF74</f>
        <v>13992784.27</v>
      </c>
      <c r="Z41" s="65">
        <f>'RSED National'!AG74</f>
        <v>14272637.94</v>
      </c>
      <c r="AA41" s="65">
        <f>'RSED National'!AH74</f>
        <v>14558088.2</v>
      </c>
      <c r="AB41" s="65">
        <f>'RSED National'!AI74</f>
        <v>14849247.86</v>
      </c>
      <c r="AC41" s="65">
        <f>'RSED National'!AJ74</f>
        <v>15146229.96</v>
      </c>
      <c r="AD41" s="65">
        <f>'RSED National'!AK74</f>
        <v>15449151.78</v>
      </c>
      <c r="AE41" s="76"/>
      <c r="AF41" s="76">
        <f>'RSED National'!AM74</f>
        <v>16073293.31</v>
      </c>
      <c r="AG41" s="115" t="str">
        <f t="shared" ref="AG41:AI41" si="8">#REF!+SUM(#REF!)</f>
        <v>#REF!</v>
      </c>
      <c r="AH41" s="115" t="str">
        <f t="shared" si="8"/>
        <v>#REF!</v>
      </c>
      <c r="AI41" s="115" t="str">
        <f t="shared" si="8"/>
        <v>#REF!</v>
      </c>
      <c r="AJ41" s="76"/>
      <c r="AK41" s="76"/>
      <c r="AL41" s="76"/>
      <c r="AM41" s="76"/>
      <c r="AN41" s="76"/>
      <c r="AO41" s="76"/>
    </row>
    <row r="42" ht="12.75" customHeight="1" outlineLevel="1">
      <c r="A42" s="90"/>
      <c r="C42" s="139" t="s">
        <v>450</v>
      </c>
      <c r="D42" s="87"/>
      <c r="E42" s="87"/>
      <c r="F42" s="200">
        <f>'RSED National'!M149</f>
        <v>149328</v>
      </c>
      <c r="G42" s="200">
        <f>'RSED National'!N149</f>
        <v>330014.88</v>
      </c>
      <c r="H42" s="200">
        <f>'RSED National'!O149</f>
        <v>995197.7312</v>
      </c>
      <c r="I42" s="200">
        <f>'RSED National'!P149</f>
        <v>1769035.303</v>
      </c>
      <c r="J42" s="200">
        <f>'RSED National'!Q149</f>
        <v>2743742.729</v>
      </c>
      <c r="K42" s="200">
        <f>'RSED National'!R149</f>
        <v>3758118.475</v>
      </c>
      <c r="L42" s="200">
        <f>'RSED National'!S149</f>
        <v>5167096.986</v>
      </c>
      <c r="M42" s="200">
        <f>'RSED National'!T149</f>
        <v>7480947.633</v>
      </c>
      <c r="N42" s="200">
        <f>'RSED National'!U149</f>
        <v>9643278.53</v>
      </c>
      <c r="O42" s="200">
        <f>'RSED National'!V149</f>
        <v>10399128.47</v>
      </c>
      <c r="P42" s="200">
        <f>'RSED National'!W149</f>
        <v>10598664.82</v>
      </c>
      <c r="Q42" s="200">
        <f>'RSED National'!X149</f>
        <v>10810638.12</v>
      </c>
      <c r="R42" s="200">
        <f>'RSED National'!Y149</f>
        <v>11026850.88</v>
      </c>
      <c r="S42" s="200">
        <f>'RSED National'!Z149</f>
        <v>11247387.9</v>
      </c>
      <c r="T42" s="200">
        <f>'RSED National'!AA149</f>
        <v>11472335.66</v>
      </c>
      <c r="U42" s="200">
        <f>'RSED National'!AB149</f>
        <v>11701782.37</v>
      </c>
      <c r="V42" s="200">
        <f>'RSED National'!AC149</f>
        <v>11935818.02</v>
      </c>
      <c r="W42" s="200">
        <f>'RSED National'!AD149</f>
        <v>12174534.38</v>
      </c>
      <c r="X42" s="200">
        <f>'RSED National'!AE149</f>
        <v>12418025.06</v>
      </c>
      <c r="Y42" s="200">
        <f>'RSED National'!AF149</f>
        <v>12666385.57</v>
      </c>
      <c r="Z42" s="200">
        <f>'RSED National'!AG149</f>
        <v>12919713.28</v>
      </c>
      <c r="AA42" s="200">
        <f>'RSED National'!AH149</f>
        <v>13178107.54</v>
      </c>
      <c r="AB42" s="200">
        <f>'RSED National'!AI149</f>
        <v>13441669.69</v>
      </c>
      <c r="AC42" s="200">
        <f>'RSED National'!AJ149</f>
        <v>13710503.09</v>
      </c>
      <c r="AD42" s="200">
        <f>'RSED National'!AK149</f>
        <v>13984713.15</v>
      </c>
      <c r="AE42" s="76"/>
      <c r="AF42" s="76" t="str">
        <f>'RSED National'!AM149</f>
        <v>#REF!</v>
      </c>
      <c r="AG42" s="205"/>
      <c r="AH42" s="205"/>
      <c r="AI42" s="205"/>
      <c r="AJ42" s="76"/>
      <c r="AK42" s="76"/>
      <c r="AL42" s="76"/>
      <c r="AM42" s="76"/>
      <c r="AN42" s="76"/>
      <c r="AO42" s="76"/>
    </row>
    <row r="43" ht="12.75" customHeight="1">
      <c r="A43" s="67"/>
      <c r="B43" s="67"/>
      <c r="C43" s="67" t="s">
        <v>855</v>
      </c>
      <c r="D43" s="67"/>
      <c r="E43" s="67"/>
      <c r="F43" s="142">
        <f t="shared" ref="F43:AD43" si="9">F41-F42</f>
        <v>164592.2009</v>
      </c>
      <c r="G43" s="142">
        <f t="shared" si="9"/>
        <v>173025.1906</v>
      </c>
      <c r="H43" s="142">
        <f t="shared" si="9"/>
        <v>-156731.9822</v>
      </c>
      <c r="I43" s="142">
        <f t="shared" si="9"/>
        <v>-372298.3391</v>
      </c>
      <c r="J43" s="142">
        <f t="shared" si="9"/>
        <v>-241951.8033</v>
      </c>
      <c r="K43" s="142">
        <f t="shared" si="9"/>
        <v>176520.6451</v>
      </c>
      <c r="L43" s="142">
        <f t="shared" si="9"/>
        <v>1176415.092</v>
      </c>
      <c r="M43" s="142">
        <f t="shared" si="9"/>
        <v>2021920.534</v>
      </c>
      <c r="N43" s="142">
        <f t="shared" si="9"/>
        <v>3254424.392</v>
      </c>
      <c r="O43" s="142">
        <f t="shared" si="9"/>
        <v>3008340.941</v>
      </c>
      <c r="P43" s="142">
        <f t="shared" si="9"/>
        <v>2324811.776</v>
      </c>
      <c r="Q43" s="142">
        <f t="shared" si="9"/>
        <v>1390361.341</v>
      </c>
      <c r="R43" s="142">
        <f t="shared" si="9"/>
        <v>1195416.255</v>
      </c>
      <c r="S43" s="142">
        <f t="shared" si="9"/>
        <v>1200686.497</v>
      </c>
      <c r="T43" s="142">
        <f t="shared" si="9"/>
        <v>1210623.866</v>
      </c>
      <c r="U43" s="142">
        <f t="shared" si="9"/>
        <v>1226745.296</v>
      </c>
      <c r="V43" s="142">
        <f t="shared" si="9"/>
        <v>1249902.036</v>
      </c>
      <c r="W43" s="142">
        <f t="shared" si="9"/>
        <v>1274897.917</v>
      </c>
      <c r="X43" s="142">
        <f t="shared" si="9"/>
        <v>1300393.495</v>
      </c>
      <c r="Y43" s="142">
        <f t="shared" si="9"/>
        <v>1326398.705</v>
      </c>
      <c r="Z43" s="142">
        <f t="shared" si="9"/>
        <v>1352924.659</v>
      </c>
      <c r="AA43" s="142">
        <f t="shared" si="9"/>
        <v>1379980.653</v>
      </c>
      <c r="AB43" s="142">
        <f t="shared" si="9"/>
        <v>1407578.166</v>
      </c>
      <c r="AC43" s="142">
        <f t="shared" si="9"/>
        <v>1435726.869</v>
      </c>
      <c r="AD43" s="142">
        <f t="shared" si="9"/>
        <v>1464438.626</v>
      </c>
      <c r="AE43" s="67"/>
      <c r="AF43" s="67"/>
      <c r="AG43" s="67"/>
      <c r="AH43" s="67"/>
      <c r="AI43" s="67"/>
      <c r="AJ43" s="67"/>
      <c r="AK43" s="67"/>
      <c r="AL43" s="67"/>
      <c r="AM43" s="67"/>
      <c r="AN43" s="67"/>
      <c r="AO43" s="67"/>
    </row>
    <row r="44" ht="12.75" customHeight="1"/>
    <row r="45" ht="12.75" customHeight="1">
      <c r="C45" s="67" t="s">
        <v>856</v>
      </c>
      <c r="F45" s="113">
        <f>'RSED National'!M32</f>
        <v>1255682.424</v>
      </c>
      <c r="G45" s="113">
        <f>'RSED National'!N32</f>
        <v>1996440.79</v>
      </c>
      <c r="H45" s="113">
        <f>'RSED National'!O32</f>
        <v>3222630.277</v>
      </c>
      <c r="I45" s="113">
        <f>'RSED National'!P32</f>
        <v>5137166.911</v>
      </c>
      <c r="J45" s="113">
        <f>'RSED National'!Q32</f>
        <v>8313599.494</v>
      </c>
      <c r="K45" s="113">
        <f>'RSED National'!R32</f>
        <v>13629862.48</v>
      </c>
      <c r="L45" s="113">
        <f>'RSED National'!S32</f>
        <v>23038622.82</v>
      </c>
      <c r="M45" s="113">
        <f>'RSED National'!T32</f>
        <v>36549832.32</v>
      </c>
      <c r="N45" s="113">
        <f>'RSED National'!U32</f>
        <v>48487643.98</v>
      </c>
      <c r="O45" s="113">
        <f>'RSED National'!V32</f>
        <v>67084918.99</v>
      </c>
      <c r="P45" s="113">
        <f>'RSED National'!W32</f>
        <v>93195979.57</v>
      </c>
      <c r="Q45" s="113">
        <f>'RSED National'!X32</f>
        <v>128320500.9</v>
      </c>
      <c r="R45" s="113">
        <f>'RSED National'!Y32</f>
        <v>180706670.9</v>
      </c>
      <c r="S45" s="113">
        <f>'RSED National'!Z32</f>
        <v>261440523.2</v>
      </c>
      <c r="T45" s="113">
        <f>'RSED National'!AA32</f>
        <v>369494620.5</v>
      </c>
      <c r="U45" s="113">
        <f>'RSED National'!AB32</f>
        <v>504086924.3</v>
      </c>
      <c r="V45" s="113">
        <f>'RSED National'!AC32</f>
        <v>665800757</v>
      </c>
      <c r="W45" s="113">
        <f>'RSED National'!AD32</f>
        <v>855361269.6</v>
      </c>
      <c r="X45" s="113">
        <f>'RSED National'!AE32</f>
        <v>1060145684</v>
      </c>
      <c r="Y45" s="113">
        <f>'RSED National'!AF32</f>
        <v>1257461006</v>
      </c>
      <c r="Z45" s="113">
        <f>'RSED National'!AG32</f>
        <v>1387449195</v>
      </c>
      <c r="AA45" s="113">
        <f>'RSED National'!AH32</f>
        <v>1445312764</v>
      </c>
      <c r="AB45" s="113">
        <f>'RSED National'!AI32</f>
        <v>1487141214</v>
      </c>
      <c r="AC45" s="113">
        <f>'RSED National'!AJ32</f>
        <v>1516914055</v>
      </c>
      <c r="AD45" s="113">
        <f>'RSED National'!AK32</f>
        <v>1545940574</v>
      </c>
    </row>
    <row r="46" ht="12.75" customHeight="1">
      <c r="C46" s="139" t="s">
        <v>857</v>
      </c>
      <c r="D46" s="87"/>
      <c r="E46" s="87"/>
      <c r="F46" s="117" t="str">
        <f>'RSED National'!M150-'RSED National'!M149</f>
        <v>#REF!</v>
      </c>
      <c r="G46" s="117" t="str">
        <f>'RSED National'!N150-'RSED National'!N149</f>
        <v>#REF!</v>
      </c>
      <c r="H46" s="117" t="str">
        <f>'RSED National'!O150-'RSED National'!O149</f>
        <v>#REF!</v>
      </c>
      <c r="I46" s="117" t="str">
        <f>'RSED National'!P150-'RSED National'!P149</f>
        <v>#REF!</v>
      </c>
      <c r="J46" s="117" t="str">
        <f>'RSED National'!Q150-'RSED National'!Q149</f>
        <v>#REF!</v>
      </c>
      <c r="K46" s="117" t="str">
        <f>'RSED National'!R150-'RSED National'!R149</f>
        <v>#REF!</v>
      </c>
      <c r="L46" s="117" t="str">
        <f>'RSED National'!S150-'RSED National'!S149</f>
        <v>#REF!</v>
      </c>
      <c r="M46" s="117" t="str">
        <f>'RSED National'!T150-'RSED National'!T149</f>
        <v>#REF!</v>
      </c>
      <c r="N46" s="117" t="str">
        <f>'RSED National'!U150-'RSED National'!U149</f>
        <v>#REF!</v>
      </c>
      <c r="O46" s="117" t="str">
        <f>'RSED National'!V150-'RSED National'!V149</f>
        <v>#REF!</v>
      </c>
      <c r="P46" s="117" t="str">
        <f>'RSED National'!W150-'RSED National'!W149</f>
        <v>#REF!</v>
      </c>
      <c r="Q46" s="117" t="str">
        <f>'RSED National'!X150-'RSED National'!X149</f>
        <v>#REF!</v>
      </c>
      <c r="R46" s="117" t="str">
        <f>'RSED National'!Y150-'RSED National'!Y149</f>
        <v>#REF!</v>
      </c>
      <c r="S46" s="117" t="str">
        <f>'RSED National'!Z150-'RSED National'!Z149</f>
        <v>#REF!</v>
      </c>
      <c r="T46" s="117" t="str">
        <f>'RSED National'!AA150-'RSED National'!AA149</f>
        <v>#REF!</v>
      </c>
      <c r="U46" s="117" t="str">
        <f>'RSED National'!AB150-'RSED National'!AB149</f>
        <v>#REF!</v>
      </c>
      <c r="V46" s="117" t="str">
        <f>'RSED National'!AC150-'RSED National'!AC149</f>
        <v>#REF!</v>
      </c>
      <c r="W46" s="117" t="str">
        <f>'RSED National'!AD150-'RSED National'!AD149</f>
        <v>#REF!</v>
      </c>
      <c r="X46" s="117" t="str">
        <f>'RSED National'!AE150-'RSED National'!AE149</f>
        <v>#REF!</v>
      </c>
      <c r="Y46" s="117" t="str">
        <f>'RSED National'!AF150-'RSED National'!AF149</f>
        <v>#REF!</v>
      </c>
      <c r="Z46" s="117" t="str">
        <f>'RSED National'!AG150-'RSED National'!AG149</f>
        <v>#REF!</v>
      </c>
      <c r="AA46" s="117" t="str">
        <f>'RSED National'!AH150-'RSED National'!AH149</f>
        <v>#REF!</v>
      </c>
      <c r="AB46" s="117" t="str">
        <f>'RSED National'!AI150-'RSED National'!AI149</f>
        <v>#REF!</v>
      </c>
      <c r="AC46" s="117" t="str">
        <f>'RSED National'!AJ150-'RSED National'!AJ149</f>
        <v>#REF!</v>
      </c>
      <c r="AD46" s="117" t="str">
        <f>'RSED National'!AK150-'RSED National'!AK149</f>
        <v>#REF!</v>
      </c>
    </row>
    <row r="47" ht="12.75" customHeight="1">
      <c r="C47" s="67" t="s">
        <v>858</v>
      </c>
      <c r="F47" s="142" t="str">
        <f t="shared" ref="F47:AD47" si="10">F45-F46</f>
        <v>#REF!</v>
      </c>
      <c r="G47" s="142" t="str">
        <f t="shared" si="10"/>
        <v>#REF!</v>
      </c>
      <c r="H47" s="142" t="str">
        <f t="shared" si="10"/>
        <v>#REF!</v>
      </c>
      <c r="I47" s="142" t="str">
        <f t="shared" si="10"/>
        <v>#REF!</v>
      </c>
      <c r="J47" s="142" t="str">
        <f t="shared" si="10"/>
        <v>#REF!</v>
      </c>
      <c r="K47" s="142" t="str">
        <f t="shared" si="10"/>
        <v>#REF!</v>
      </c>
      <c r="L47" s="142" t="str">
        <f t="shared" si="10"/>
        <v>#REF!</v>
      </c>
      <c r="M47" s="142" t="str">
        <f t="shared" si="10"/>
        <v>#REF!</v>
      </c>
      <c r="N47" s="142" t="str">
        <f t="shared" si="10"/>
        <v>#REF!</v>
      </c>
      <c r="O47" s="142" t="str">
        <f t="shared" si="10"/>
        <v>#REF!</v>
      </c>
      <c r="P47" s="142" t="str">
        <f t="shared" si="10"/>
        <v>#REF!</v>
      </c>
      <c r="Q47" s="142" t="str">
        <f t="shared" si="10"/>
        <v>#REF!</v>
      </c>
      <c r="R47" s="142" t="str">
        <f t="shared" si="10"/>
        <v>#REF!</v>
      </c>
      <c r="S47" s="142" t="str">
        <f t="shared" si="10"/>
        <v>#REF!</v>
      </c>
      <c r="T47" s="142" t="str">
        <f t="shared" si="10"/>
        <v>#REF!</v>
      </c>
      <c r="U47" s="142" t="str">
        <f t="shared" si="10"/>
        <v>#REF!</v>
      </c>
      <c r="V47" s="142" t="str">
        <f t="shared" si="10"/>
        <v>#REF!</v>
      </c>
      <c r="W47" s="142" t="str">
        <f t="shared" si="10"/>
        <v>#REF!</v>
      </c>
      <c r="X47" s="142" t="str">
        <f t="shared" si="10"/>
        <v>#REF!</v>
      </c>
      <c r="Y47" s="142" t="str">
        <f t="shared" si="10"/>
        <v>#REF!</v>
      </c>
      <c r="Z47" s="142" t="str">
        <f t="shared" si="10"/>
        <v>#REF!</v>
      </c>
      <c r="AA47" s="142" t="str">
        <f t="shared" si="10"/>
        <v>#REF!</v>
      </c>
      <c r="AB47" s="142" t="str">
        <f t="shared" si="10"/>
        <v>#REF!</v>
      </c>
      <c r="AC47" s="142" t="str">
        <f t="shared" si="10"/>
        <v>#REF!</v>
      </c>
      <c r="AD47" s="142" t="str">
        <f t="shared" si="10"/>
        <v>#REF!</v>
      </c>
    </row>
    <row r="48" ht="12.75" customHeight="1">
      <c r="G48" s="155"/>
      <c r="H48" s="155"/>
      <c r="I48" s="155"/>
      <c r="J48" s="155"/>
    </row>
    <row r="49" ht="12.75" customHeight="1">
      <c r="C49" s="67" t="s">
        <v>859</v>
      </c>
      <c r="F49" s="142" t="str">
        <f t="shared" ref="F49:AD49" si="11">F47+F43</f>
        <v>#REF!</v>
      </c>
      <c r="G49" s="142" t="str">
        <f t="shared" si="11"/>
        <v>#REF!</v>
      </c>
      <c r="H49" s="142" t="str">
        <f t="shared" si="11"/>
        <v>#REF!</v>
      </c>
      <c r="I49" s="142" t="str">
        <f t="shared" si="11"/>
        <v>#REF!</v>
      </c>
      <c r="J49" s="142" t="str">
        <f t="shared" si="11"/>
        <v>#REF!</v>
      </c>
      <c r="K49" s="142" t="str">
        <f t="shared" si="11"/>
        <v>#REF!</v>
      </c>
      <c r="L49" s="142" t="str">
        <f t="shared" si="11"/>
        <v>#REF!</v>
      </c>
      <c r="M49" s="142" t="str">
        <f t="shared" si="11"/>
        <v>#REF!</v>
      </c>
      <c r="N49" s="142" t="str">
        <f t="shared" si="11"/>
        <v>#REF!</v>
      </c>
      <c r="O49" s="142" t="str">
        <f t="shared" si="11"/>
        <v>#REF!</v>
      </c>
      <c r="P49" s="142" t="str">
        <f t="shared" si="11"/>
        <v>#REF!</v>
      </c>
      <c r="Q49" s="142" t="str">
        <f t="shared" si="11"/>
        <v>#REF!</v>
      </c>
      <c r="R49" s="142" t="str">
        <f t="shared" si="11"/>
        <v>#REF!</v>
      </c>
      <c r="S49" s="142" t="str">
        <f t="shared" si="11"/>
        <v>#REF!</v>
      </c>
      <c r="T49" s="142" t="str">
        <f t="shared" si="11"/>
        <v>#REF!</v>
      </c>
      <c r="U49" s="142" t="str">
        <f t="shared" si="11"/>
        <v>#REF!</v>
      </c>
      <c r="V49" s="142" t="str">
        <f t="shared" si="11"/>
        <v>#REF!</v>
      </c>
      <c r="W49" s="142" t="str">
        <f t="shared" si="11"/>
        <v>#REF!</v>
      </c>
      <c r="X49" s="142" t="str">
        <f t="shared" si="11"/>
        <v>#REF!</v>
      </c>
      <c r="Y49" s="142" t="str">
        <f t="shared" si="11"/>
        <v>#REF!</v>
      </c>
      <c r="Z49" s="142" t="str">
        <f t="shared" si="11"/>
        <v>#REF!</v>
      </c>
      <c r="AA49" s="142" t="str">
        <f t="shared" si="11"/>
        <v>#REF!</v>
      </c>
      <c r="AB49" s="142" t="str">
        <f t="shared" si="11"/>
        <v>#REF!</v>
      </c>
      <c r="AC49" s="142" t="str">
        <f t="shared" si="11"/>
        <v>#REF!</v>
      </c>
      <c r="AD49" s="142" t="str">
        <f t="shared" si="11"/>
        <v>#REF!</v>
      </c>
    </row>
    <row r="50" ht="12.75" customHeight="1">
      <c r="C50" s="67" t="s">
        <v>194</v>
      </c>
      <c r="F50" s="142" t="str">
        <f>'RSED National'!M43</f>
        <v>#REF!</v>
      </c>
      <c r="G50" s="142" t="str">
        <f>'RSED National'!N43</f>
        <v>#REF!</v>
      </c>
      <c r="H50" s="142" t="str">
        <f>'RSED National'!O43</f>
        <v>#REF!</v>
      </c>
      <c r="I50" s="142" t="str">
        <f>'RSED National'!P43</f>
        <v>#REF!</v>
      </c>
      <c r="J50" s="142" t="str">
        <f>'RSED National'!Q43</f>
        <v>#REF!</v>
      </c>
      <c r="K50" s="142" t="str">
        <f>'RSED National'!R43</f>
        <v>#REF!</v>
      </c>
      <c r="L50" s="142" t="str">
        <f>'RSED National'!S43</f>
        <v>#REF!</v>
      </c>
      <c r="M50" s="142" t="str">
        <f>'RSED National'!T43</f>
        <v>#REF!</v>
      </c>
      <c r="N50" s="142" t="str">
        <f>'RSED National'!U43</f>
        <v>#REF!</v>
      </c>
      <c r="O50" s="142" t="str">
        <f>'RSED National'!V43</f>
        <v>#REF!</v>
      </c>
      <c r="P50" s="142" t="str">
        <f>'RSED National'!W43</f>
        <v>#REF!</v>
      </c>
      <c r="Q50" s="142" t="str">
        <f>'RSED National'!X43</f>
        <v>#REF!</v>
      </c>
      <c r="R50" s="142" t="str">
        <f>'RSED National'!Y43</f>
        <v>#REF!</v>
      </c>
      <c r="S50" s="142" t="str">
        <f>'RSED National'!Z43</f>
        <v>#REF!</v>
      </c>
      <c r="T50" s="142" t="str">
        <f>'RSED National'!AA43</f>
        <v>#REF!</v>
      </c>
      <c r="U50" s="142" t="str">
        <f>'RSED National'!AB43</f>
        <v>#REF!</v>
      </c>
      <c r="V50" s="142" t="str">
        <f>'RSED National'!AC43</f>
        <v>#REF!</v>
      </c>
      <c r="W50" s="142" t="str">
        <f>'RSED National'!AD43</f>
        <v>#REF!</v>
      </c>
      <c r="X50" s="142" t="str">
        <f>'RSED National'!AE43</f>
        <v>#REF!</v>
      </c>
      <c r="Y50" s="142" t="str">
        <f>'RSED National'!AF43</f>
        <v>#REF!</v>
      </c>
      <c r="Z50" s="142" t="str">
        <f>'RSED National'!AG43</f>
        <v>#REF!</v>
      </c>
      <c r="AA50" s="142" t="str">
        <f>'RSED National'!AH43</f>
        <v>#REF!</v>
      </c>
      <c r="AB50" s="142" t="str">
        <f>'RSED National'!AI43</f>
        <v>#REF!</v>
      </c>
      <c r="AC50" s="142" t="str">
        <f>'RSED National'!AJ43</f>
        <v>#REF!</v>
      </c>
      <c r="AD50" s="142" t="str">
        <f>'RSED National'!AK43</f>
        <v>#REF!</v>
      </c>
    </row>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35" footer="0.0" header="0.0" left="0.629861111111111" right="0.390277777777778" top="1.04027777777778"/>
  <pageSetup paperSize="5" orientation="landscape"/>
  <headerFooter>
    <oddHeader>&amp;CRSED National Office Financials</oddHeader>
    <oddFooter>&amp;C&amp;A&amp;R&amp;P</oddFooter>
  </headerFooter>
  <colBreaks count="3" manualBreakCount="3">
    <brk id="23" man="1"/>
    <brk id="15" man="1"/>
    <brk id="31"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CC00"/>
    <pageSetUpPr/>
  </sheetPr>
  <sheetViews>
    <sheetView workbookViewId="0">
      <pane xSplit="10.0" ySplit="32.0" topLeftCell="K33" activePane="bottomRight" state="frozen"/>
      <selection activeCell="K1" sqref="K1" pane="topRight"/>
      <selection activeCell="A33" sqref="A33" pane="bottomLeft"/>
      <selection activeCell="K33" sqref="K33" pane="bottomRight"/>
    </sheetView>
  </sheetViews>
  <sheetFormatPr customHeight="1" defaultColWidth="12.63" defaultRowHeight="15.0" outlineLevelCol="2" outlineLevelRow="2"/>
  <cols>
    <col customWidth="1" min="1" max="1" width="2.38"/>
    <col customWidth="1" min="2" max="2" width="32.75"/>
    <col customWidth="1" min="3" max="3" width="8.25"/>
    <col customWidth="1" min="4" max="4" width="9.25" outlineLevel="1"/>
    <col customWidth="1" min="5" max="5" width="9.5" outlineLevel="1"/>
    <col customWidth="1" min="6" max="6" width="14.25"/>
    <col customWidth="1" hidden="1" min="7" max="7" width="10.88" outlineLevel="1"/>
    <col customWidth="1" min="8" max="8" width="6.25"/>
    <col customWidth="1" min="9" max="9" width="13.13"/>
    <col customWidth="1" hidden="1" min="10" max="10" width="11.13" outlineLevel="1"/>
    <col customWidth="1" min="11" max="11" width="12.13"/>
    <col customWidth="1" min="12" max="14" width="13.0"/>
    <col customWidth="1" min="15" max="15" width="12.5"/>
    <col customWidth="1" min="16" max="16" width="12.13"/>
    <col customWidth="1" min="17" max="17" width="12.13" outlineLevel="1"/>
    <col customWidth="1" min="18" max="18" width="11.75" outlineLevel="1"/>
    <col customWidth="1" min="19" max="20" width="12.5" outlineLevel="1"/>
    <col customWidth="1" min="21" max="21" width="13.0" outlineLevel="1"/>
    <col customWidth="1" min="22" max="22" width="13.38" outlineLevel="1"/>
    <col customWidth="1" min="23" max="23" width="14.0" outlineLevel="1"/>
    <col customWidth="1" min="24" max="24" width="14.38" outlineLevel="1"/>
    <col customWidth="1" min="25" max="25" width="14.0" outlineLevel="1"/>
    <col customWidth="1" min="26" max="28" width="14.88" outlineLevel="1"/>
    <col customWidth="1" min="29" max="29" width="14.38" outlineLevel="1"/>
    <col customWidth="1" min="30" max="36" width="14.88" outlineLevel="1"/>
    <col customWidth="1" min="37" max="40" width="14.88" outlineLevel="2"/>
    <col customWidth="1" min="41" max="41" width="39.5"/>
    <col customWidth="1" min="42" max="61" width="11.38"/>
  </cols>
  <sheetData>
    <row r="1" ht="12.75" hidden="1" customHeight="1" outlineLevel="1">
      <c r="A1" s="90"/>
      <c r="B1" s="90"/>
      <c r="C1" s="400"/>
      <c r="D1" s="90"/>
      <c r="E1" s="102"/>
      <c r="F1" s="90"/>
      <c r="H1" s="401"/>
      <c r="I1" s="102"/>
      <c r="J1" s="102"/>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400"/>
      <c r="BI1" s="90"/>
    </row>
    <row r="2" ht="12.75" hidden="1" customHeight="1" outlineLevel="2">
      <c r="A2" s="402" t="s">
        <v>860</v>
      </c>
      <c r="B2" s="403"/>
      <c r="C2" s="400"/>
      <c r="D2" s="90"/>
      <c r="E2" s="102"/>
      <c r="F2" s="67"/>
      <c r="G2" s="67"/>
      <c r="H2" s="401" t="s">
        <v>861</v>
      </c>
      <c r="I2" s="401"/>
      <c r="J2" s="102">
        <v>2.0</v>
      </c>
      <c r="K2" s="102">
        <f>'Growth Model'!F80</f>
        <v>3</v>
      </c>
      <c r="L2" s="102">
        <f>'Growth Model'!G80</f>
        <v>5</v>
      </c>
      <c r="M2" s="102">
        <f>'Growth Model'!H80</f>
        <v>8</v>
      </c>
      <c r="N2" s="102">
        <f>'Growth Model'!I80</f>
        <v>12</v>
      </c>
      <c r="O2" s="102">
        <f>'Growth Model'!J80</f>
        <v>20</v>
      </c>
      <c r="P2" s="102">
        <f>'Growth Model'!K80</f>
        <v>30</v>
      </c>
      <c r="Q2" s="102">
        <f>'Growth Model'!L80</f>
        <v>47</v>
      </c>
      <c r="R2" s="102">
        <f>'Growth Model'!M80</f>
        <v>70</v>
      </c>
      <c r="S2" s="102">
        <f>'Growth Model'!N80</f>
        <v>95</v>
      </c>
      <c r="T2" s="102">
        <f>'Growth Model'!O80</f>
        <v>100</v>
      </c>
      <c r="U2" s="102">
        <f>'Growth Model'!P80</f>
        <v>100</v>
      </c>
      <c r="V2" s="102">
        <f>'Growth Model'!Q80</f>
        <v>100</v>
      </c>
      <c r="W2" s="102">
        <f>'Growth Model'!R80</f>
        <v>100</v>
      </c>
      <c r="X2" s="102">
        <f>'Growth Model'!S80</f>
        <v>100</v>
      </c>
      <c r="Y2" s="102">
        <f>'Growth Model'!T80</f>
        <v>100</v>
      </c>
      <c r="Z2" s="102">
        <f>'Growth Model'!U80</f>
        <v>100</v>
      </c>
      <c r="AA2" s="102">
        <f>'Growth Model'!V80</f>
        <v>100</v>
      </c>
      <c r="AB2" s="102">
        <f>'Growth Model'!W80</f>
        <v>100</v>
      </c>
      <c r="AC2" s="102">
        <f>'Growth Model'!X80</f>
        <v>100</v>
      </c>
      <c r="AD2" s="102">
        <f>'Growth Model'!Y80</f>
        <v>100</v>
      </c>
      <c r="AE2" s="102">
        <f>'Growth Model'!Z80</f>
        <v>100</v>
      </c>
      <c r="AF2" s="102">
        <f>'Growth Model'!AA80</f>
        <v>100</v>
      </c>
      <c r="AG2" s="102">
        <f t="shared" ref="AG2:AN2" si="1">AF2</f>
        <v>100</v>
      </c>
      <c r="AH2" s="102">
        <f t="shared" si="1"/>
        <v>100</v>
      </c>
      <c r="AI2" s="102">
        <f t="shared" si="1"/>
        <v>100</v>
      </c>
      <c r="AJ2" s="102">
        <f t="shared" si="1"/>
        <v>100</v>
      </c>
      <c r="AK2" s="102">
        <f t="shared" si="1"/>
        <v>100</v>
      </c>
      <c r="AL2" s="102">
        <f t="shared" si="1"/>
        <v>100</v>
      </c>
      <c r="AM2" s="102">
        <f t="shared" si="1"/>
        <v>100</v>
      </c>
      <c r="AN2" s="102">
        <f t="shared" si="1"/>
        <v>100</v>
      </c>
      <c r="AO2" s="400"/>
      <c r="BI2" s="90"/>
    </row>
    <row r="3" ht="12.75" hidden="1" customHeight="1" outlineLevel="2">
      <c r="A3" s="402"/>
      <c r="B3" s="404" t="s">
        <v>862</v>
      </c>
      <c r="C3" s="405">
        <v>2014.0</v>
      </c>
      <c r="D3" s="90"/>
      <c r="E3" s="102"/>
      <c r="F3" s="90"/>
      <c r="G3" s="219"/>
      <c r="H3" s="406" t="s">
        <v>863</v>
      </c>
      <c r="I3" s="406"/>
      <c r="J3" s="407">
        <f>'All Schools Roll-up'!L16-'National Staffing'!J2</f>
        <v>0</v>
      </c>
      <c r="K3" s="407">
        <f>SUM('Growth Model'!F81:F129)</f>
        <v>0</v>
      </c>
      <c r="L3" s="407">
        <f>SUM('Growth Model'!G81:G129)</f>
        <v>0</v>
      </c>
      <c r="M3" s="407">
        <f>SUM('Growth Model'!H81:H129)</f>
        <v>0</v>
      </c>
      <c r="N3" s="407">
        <f>SUM('Growth Model'!I81:I129)</f>
        <v>1</v>
      </c>
      <c r="O3" s="407">
        <f>SUM('Growth Model'!J81:J129)</f>
        <v>1</v>
      </c>
      <c r="P3" s="407">
        <f>SUM('Growth Model'!K81:K129)</f>
        <v>4</v>
      </c>
      <c r="Q3" s="407">
        <f>SUM('Growth Model'!L81:L129)</f>
        <v>9</v>
      </c>
      <c r="R3" s="407">
        <f>SUM('Growth Model'!M81:M129)</f>
        <v>20</v>
      </c>
      <c r="S3" s="407">
        <f>SUM('Growth Model'!N81:N129)</f>
        <v>40</v>
      </c>
      <c r="T3" s="407">
        <f>SUM('Growth Model'!O81:O129)</f>
        <v>80</v>
      </c>
      <c r="U3" s="407">
        <f>SUM('Growth Model'!P81:P129)</f>
        <v>146</v>
      </c>
      <c r="V3" s="407">
        <f>SUM('Growth Model'!Q81:Q129)</f>
        <v>226</v>
      </c>
      <c r="W3" s="407">
        <f>SUM('Growth Model'!R81:R129)</f>
        <v>368</v>
      </c>
      <c r="X3" s="407">
        <f>SUM('Growth Model'!S81:S129)</f>
        <v>561</v>
      </c>
      <c r="Y3" s="407">
        <f>SUM('Growth Model'!T81:T129)</f>
        <v>803</v>
      </c>
      <c r="Z3" s="407">
        <f>SUM('Growth Model'!U81:U129)</f>
        <v>1076</v>
      </c>
      <c r="AA3" s="407">
        <f>SUM('Growth Model'!V81:V129)</f>
        <v>1400</v>
      </c>
      <c r="AB3" s="407">
        <f>SUM('Growth Model'!W81:W129)</f>
        <v>1750</v>
      </c>
      <c r="AC3" s="407">
        <f>SUM('Growth Model'!X81:X129)</f>
        <v>2095</v>
      </c>
      <c r="AD3" s="407">
        <f>SUM('Growth Model'!Y81:Y129)</f>
        <v>2367</v>
      </c>
      <c r="AE3" s="407">
        <f>SUM('Growth Model'!Z81:Z129)</f>
        <v>2400</v>
      </c>
      <c r="AF3" s="407">
        <f>SUM('Growth Model'!AA81:AA129)</f>
        <v>2400</v>
      </c>
      <c r="AG3" s="407">
        <f t="shared" ref="AG3:AN3" si="2">AF3</f>
        <v>2400</v>
      </c>
      <c r="AH3" s="407">
        <f t="shared" si="2"/>
        <v>2400</v>
      </c>
      <c r="AI3" s="407">
        <f t="shared" si="2"/>
        <v>2400</v>
      </c>
      <c r="AJ3" s="407">
        <f t="shared" si="2"/>
        <v>2400</v>
      </c>
      <c r="AK3" s="407">
        <f t="shared" si="2"/>
        <v>2400</v>
      </c>
      <c r="AL3" s="407">
        <f t="shared" si="2"/>
        <v>2400</v>
      </c>
      <c r="AM3" s="407">
        <f t="shared" si="2"/>
        <v>2400</v>
      </c>
      <c r="AN3" s="407">
        <f t="shared" si="2"/>
        <v>2400</v>
      </c>
      <c r="AO3" s="400"/>
      <c r="BI3" s="90"/>
    </row>
    <row r="4" ht="12.75" hidden="1" customHeight="1" outlineLevel="1">
      <c r="A4" s="402" t="s">
        <v>864</v>
      </c>
      <c r="B4" s="403" t="s">
        <v>865</v>
      </c>
      <c r="C4" s="400"/>
      <c r="D4" s="90"/>
      <c r="E4" s="102"/>
      <c r="F4" s="408" t="s">
        <v>866</v>
      </c>
      <c r="G4" s="219"/>
      <c r="H4" s="102"/>
      <c r="I4" s="102"/>
      <c r="J4" s="88">
        <f t="shared" ref="J4:AN4" si="3">SUM(J2:J3)</f>
        <v>2</v>
      </c>
      <c r="K4" s="88">
        <f t="shared" si="3"/>
        <v>3</v>
      </c>
      <c r="L4" s="88">
        <f t="shared" si="3"/>
        <v>5</v>
      </c>
      <c r="M4" s="88">
        <f t="shared" si="3"/>
        <v>8</v>
      </c>
      <c r="N4" s="88">
        <f t="shared" si="3"/>
        <v>13</v>
      </c>
      <c r="O4" s="88">
        <f t="shared" si="3"/>
        <v>21</v>
      </c>
      <c r="P4" s="88">
        <f t="shared" si="3"/>
        <v>34</v>
      </c>
      <c r="Q4" s="88">
        <f t="shared" si="3"/>
        <v>56</v>
      </c>
      <c r="R4" s="88">
        <f t="shared" si="3"/>
        <v>90</v>
      </c>
      <c r="S4" s="88">
        <f t="shared" si="3"/>
        <v>135</v>
      </c>
      <c r="T4" s="88">
        <f t="shared" si="3"/>
        <v>180</v>
      </c>
      <c r="U4" s="88">
        <f t="shared" si="3"/>
        <v>246</v>
      </c>
      <c r="V4" s="88">
        <f t="shared" si="3"/>
        <v>326</v>
      </c>
      <c r="W4" s="88">
        <f t="shared" si="3"/>
        <v>468</v>
      </c>
      <c r="X4" s="88">
        <f t="shared" si="3"/>
        <v>661</v>
      </c>
      <c r="Y4" s="88">
        <f t="shared" si="3"/>
        <v>903</v>
      </c>
      <c r="Z4" s="88">
        <f t="shared" si="3"/>
        <v>1176</v>
      </c>
      <c r="AA4" s="88">
        <f t="shared" si="3"/>
        <v>1500</v>
      </c>
      <c r="AB4" s="88">
        <f t="shared" si="3"/>
        <v>1850</v>
      </c>
      <c r="AC4" s="88">
        <f t="shared" si="3"/>
        <v>2195</v>
      </c>
      <c r="AD4" s="88">
        <f t="shared" si="3"/>
        <v>2467</v>
      </c>
      <c r="AE4" s="88">
        <f t="shared" si="3"/>
        <v>2500</v>
      </c>
      <c r="AF4" s="88">
        <f t="shared" si="3"/>
        <v>2500</v>
      </c>
      <c r="AG4" s="88">
        <f t="shared" si="3"/>
        <v>2500</v>
      </c>
      <c r="AH4" s="88">
        <f t="shared" si="3"/>
        <v>2500</v>
      </c>
      <c r="AI4" s="88">
        <f t="shared" si="3"/>
        <v>2500</v>
      </c>
      <c r="AJ4" s="88">
        <f t="shared" si="3"/>
        <v>2500</v>
      </c>
      <c r="AK4" s="88">
        <f t="shared" si="3"/>
        <v>2500</v>
      </c>
      <c r="AL4" s="88">
        <f t="shared" si="3"/>
        <v>2500</v>
      </c>
      <c r="AM4" s="88">
        <f t="shared" si="3"/>
        <v>2500</v>
      </c>
      <c r="AN4" s="88">
        <f t="shared" si="3"/>
        <v>2500</v>
      </c>
      <c r="AO4" s="400"/>
      <c r="BI4" s="90"/>
    </row>
    <row r="5" ht="12.75" hidden="1" customHeight="1" outlineLevel="1">
      <c r="A5" s="402"/>
      <c r="B5" s="403"/>
      <c r="C5" s="400"/>
      <c r="D5" s="90"/>
      <c r="E5" s="102"/>
      <c r="F5" s="401"/>
      <c r="G5" s="219"/>
      <c r="H5" s="102"/>
      <c r="I5" s="102"/>
      <c r="J5" s="88"/>
      <c r="K5" s="88"/>
      <c r="L5" s="88"/>
      <c r="M5" s="88"/>
      <c r="N5" s="88"/>
      <c r="O5" s="88"/>
      <c r="P5" s="88"/>
      <c r="Q5" s="88"/>
      <c r="R5" s="88"/>
      <c r="S5" s="88"/>
      <c r="T5" s="88"/>
      <c r="U5" s="88"/>
      <c r="V5" s="88"/>
      <c r="W5" s="88"/>
      <c r="X5" s="88"/>
      <c r="Y5" s="88"/>
      <c r="Z5" s="88"/>
      <c r="AA5" s="88"/>
      <c r="AB5" s="88"/>
      <c r="AC5" s="88"/>
      <c r="AD5" s="88"/>
      <c r="AE5" s="88"/>
      <c r="AF5" s="88"/>
      <c r="AG5" s="88"/>
      <c r="AH5" s="88"/>
      <c r="AI5" s="88"/>
      <c r="AJ5" s="88"/>
      <c r="AK5" s="88"/>
      <c r="AL5" s="88"/>
      <c r="AM5" s="88"/>
      <c r="AN5" s="88"/>
      <c r="AO5" s="400"/>
      <c r="BI5" s="90"/>
    </row>
    <row r="6" ht="12.75" hidden="1" customHeight="1" outlineLevel="1">
      <c r="A6" s="402"/>
      <c r="B6" s="403"/>
      <c r="C6" s="400"/>
      <c r="D6" s="90"/>
      <c r="E6" s="102"/>
      <c r="F6" s="401" t="s">
        <v>867</v>
      </c>
      <c r="G6" s="219"/>
      <c r="H6" s="102"/>
      <c r="I6" s="102"/>
      <c r="J6" s="88">
        <v>1.0</v>
      </c>
      <c r="K6" s="88">
        <f>'Growth Model'!F10</f>
        <v>1</v>
      </c>
      <c r="L6" s="88">
        <f>'Growth Model'!G10</f>
        <v>1</v>
      </c>
      <c r="M6" s="88">
        <f>'Growth Model'!H10</f>
        <v>1</v>
      </c>
      <c r="N6" s="88">
        <f>'Growth Model'!I10</f>
        <v>2</v>
      </c>
      <c r="O6" s="88">
        <f>'Growth Model'!J10</f>
        <v>2</v>
      </c>
      <c r="P6" s="88">
        <f>'Growth Model'!K10</f>
        <v>4</v>
      </c>
      <c r="Q6" s="88">
        <f>'Growth Model'!L10</f>
        <v>7</v>
      </c>
      <c r="R6" s="88">
        <f>'Growth Model'!M10</f>
        <v>12</v>
      </c>
      <c r="S6" s="88">
        <f>'Growth Model'!N10</f>
        <v>20</v>
      </c>
      <c r="T6" s="88">
        <f>'Growth Model'!O10</f>
        <v>33</v>
      </c>
      <c r="U6" s="88">
        <f>'Growth Model'!P10</f>
        <v>50</v>
      </c>
      <c r="V6" s="88">
        <f>'Growth Model'!Q10</f>
        <v>50</v>
      </c>
      <c r="W6" s="88">
        <f>'Growth Model'!R10</f>
        <v>50</v>
      </c>
      <c r="X6" s="88">
        <f>'Growth Model'!S10</f>
        <v>50</v>
      </c>
      <c r="Y6" s="88">
        <f>'Growth Model'!T10</f>
        <v>50</v>
      </c>
      <c r="Z6" s="88">
        <f>'Growth Model'!U10</f>
        <v>50</v>
      </c>
      <c r="AA6" s="88">
        <f>'Growth Model'!V10</f>
        <v>50</v>
      </c>
      <c r="AB6" s="88">
        <f>'Growth Model'!W10</f>
        <v>50</v>
      </c>
      <c r="AC6" s="88">
        <f>'Growth Model'!X10</f>
        <v>50</v>
      </c>
      <c r="AD6" s="88">
        <f>'Growth Model'!Y10</f>
        <v>50</v>
      </c>
      <c r="AE6" s="88">
        <f>'Growth Model'!Z10</f>
        <v>50</v>
      </c>
      <c r="AF6" s="88">
        <f>'Growth Model'!AA10</f>
        <v>50</v>
      </c>
      <c r="AG6" s="88">
        <f t="shared" ref="AG6:AN6" si="4">AF6</f>
        <v>50</v>
      </c>
      <c r="AH6" s="88">
        <f t="shared" si="4"/>
        <v>50</v>
      </c>
      <c r="AI6" s="88">
        <f t="shared" si="4"/>
        <v>50</v>
      </c>
      <c r="AJ6" s="88">
        <f t="shared" si="4"/>
        <v>50</v>
      </c>
      <c r="AK6" s="88">
        <f t="shared" si="4"/>
        <v>50</v>
      </c>
      <c r="AL6" s="88">
        <f t="shared" si="4"/>
        <v>50</v>
      </c>
      <c r="AM6" s="88">
        <f t="shared" si="4"/>
        <v>50</v>
      </c>
      <c r="AN6" s="88">
        <f t="shared" si="4"/>
        <v>50</v>
      </c>
      <c r="AO6" s="400"/>
      <c r="BI6" s="90"/>
    </row>
    <row r="7" ht="12.75" hidden="1" customHeight="1" outlineLevel="2">
      <c r="A7" s="402"/>
      <c r="B7" s="403"/>
      <c r="C7" s="400"/>
      <c r="D7" s="90"/>
      <c r="E7" s="102"/>
      <c r="F7" s="401" t="s">
        <v>305</v>
      </c>
      <c r="G7" s="219"/>
      <c r="H7" s="102"/>
      <c r="I7" s="102"/>
      <c r="J7" s="185">
        <f>Assumptions!D59</f>
        <v>0</v>
      </c>
      <c r="K7" s="185">
        <f>Assumptions!E59</f>
        <v>0.02</v>
      </c>
      <c r="L7" s="185">
        <f>Assumptions!F59</f>
        <v>0.02</v>
      </c>
      <c r="M7" s="185">
        <f>Assumptions!G59</f>
        <v>0.02</v>
      </c>
      <c r="N7" s="185">
        <f>Assumptions!H59</f>
        <v>0.02</v>
      </c>
      <c r="O7" s="185">
        <f>Assumptions!I59</f>
        <v>0.02</v>
      </c>
      <c r="P7" s="185">
        <f t="shared" ref="P7:AN7" si="5">O7</f>
        <v>0.02</v>
      </c>
      <c r="Q7" s="185">
        <f t="shared" si="5"/>
        <v>0.02</v>
      </c>
      <c r="R7" s="185">
        <f t="shared" si="5"/>
        <v>0.02</v>
      </c>
      <c r="S7" s="185">
        <f t="shared" si="5"/>
        <v>0.02</v>
      </c>
      <c r="T7" s="185">
        <f t="shared" si="5"/>
        <v>0.02</v>
      </c>
      <c r="U7" s="185">
        <f t="shared" si="5"/>
        <v>0.02</v>
      </c>
      <c r="V7" s="185">
        <f t="shared" si="5"/>
        <v>0.02</v>
      </c>
      <c r="W7" s="185">
        <f t="shared" si="5"/>
        <v>0.02</v>
      </c>
      <c r="X7" s="185">
        <f t="shared" si="5"/>
        <v>0.02</v>
      </c>
      <c r="Y7" s="185">
        <f t="shared" si="5"/>
        <v>0.02</v>
      </c>
      <c r="Z7" s="185">
        <f t="shared" si="5"/>
        <v>0.02</v>
      </c>
      <c r="AA7" s="185">
        <f t="shared" si="5"/>
        <v>0.02</v>
      </c>
      <c r="AB7" s="185">
        <f t="shared" si="5"/>
        <v>0.02</v>
      </c>
      <c r="AC7" s="185">
        <f t="shared" si="5"/>
        <v>0.02</v>
      </c>
      <c r="AD7" s="185">
        <f t="shared" si="5"/>
        <v>0.02</v>
      </c>
      <c r="AE7" s="185">
        <f t="shared" si="5"/>
        <v>0.02</v>
      </c>
      <c r="AF7" s="185">
        <f t="shared" si="5"/>
        <v>0.02</v>
      </c>
      <c r="AG7" s="185">
        <f t="shared" si="5"/>
        <v>0.02</v>
      </c>
      <c r="AH7" s="185">
        <f t="shared" si="5"/>
        <v>0.02</v>
      </c>
      <c r="AI7" s="185">
        <f t="shared" si="5"/>
        <v>0.02</v>
      </c>
      <c r="AJ7" s="185">
        <f t="shared" si="5"/>
        <v>0.02</v>
      </c>
      <c r="AK7" s="185">
        <f t="shared" si="5"/>
        <v>0.02</v>
      </c>
      <c r="AL7" s="185">
        <f t="shared" si="5"/>
        <v>0.02</v>
      </c>
      <c r="AM7" s="185">
        <f t="shared" si="5"/>
        <v>0.02</v>
      </c>
      <c r="AN7" s="185">
        <f t="shared" si="5"/>
        <v>0.02</v>
      </c>
      <c r="AO7" s="400"/>
      <c r="BI7" s="90"/>
    </row>
    <row r="8" ht="12.75" hidden="1" customHeight="1" outlineLevel="2">
      <c r="A8" s="402"/>
      <c r="B8" s="403"/>
      <c r="C8" s="400"/>
      <c r="D8" s="90"/>
      <c r="E8" s="102"/>
      <c r="F8" s="401" t="s">
        <v>306</v>
      </c>
      <c r="G8" s="219"/>
      <c r="H8" s="102"/>
      <c r="I8" s="102"/>
      <c r="J8" s="185">
        <f>1+J7</f>
        <v>1</v>
      </c>
      <c r="K8" s="185">
        <f t="shared" ref="K8:AN8" si="6">J8*(1+K7)</f>
        <v>1.02</v>
      </c>
      <c r="L8" s="185">
        <f t="shared" si="6"/>
        <v>1.0404</v>
      </c>
      <c r="M8" s="185">
        <f t="shared" si="6"/>
        <v>1.061208</v>
      </c>
      <c r="N8" s="185">
        <f t="shared" si="6"/>
        <v>1.08243216</v>
      </c>
      <c r="O8" s="185">
        <f t="shared" si="6"/>
        <v>1.104080803</v>
      </c>
      <c r="P8" s="185">
        <f t="shared" si="6"/>
        <v>1.126162419</v>
      </c>
      <c r="Q8" s="185">
        <f t="shared" si="6"/>
        <v>1.148685668</v>
      </c>
      <c r="R8" s="185">
        <f t="shared" si="6"/>
        <v>1.171659381</v>
      </c>
      <c r="S8" s="185">
        <f t="shared" si="6"/>
        <v>1.195092569</v>
      </c>
      <c r="T8" s="185">
        <f t="shared" si="6"/>
        <v>1.21899442</v>
      </c>
      <c r="U8" s="185">
        <f t="shared" si="6"/>
        <v>1.243374308</v>
      </c>
      <c r="V8" s="185">
        <f t="shared" si="6"/>
        <v>1.268241795</v>
      </c>
      <c r="W8" s="185">
        <f t="shared" si="6"/>
        <v>1.29360663</v>
      </c>
      <c r="X8" s="185">
        <f t="shared" si="6"/>
        <v>1.319478763</v>
      </c>
      <c r="Y8" s="185">
        <f t="shared" si="6"/>
        <v>1.345868338</v>
      </c>
      <c r="Z8" s="185">
        <f t="shared" si="6"/>
        <v>1.372785705</v>
      </c>
      <c r="AA8" s="185">
        <f t="shared" si="6"/>
        <v>1.400241419</v>
      </c>
      <c r="AB8" s="185">
        <f t="shared" si="6"/>
        <v>1.428246248</v>
      </c>
      <c r="AC8" s="185">
        <f t="shared" si="6"/>
        <v>1.456811173</v>
      </c>
      <c r="AD8" s="185">
        <f t="shared" si="6"/>
        <v>1.485947396</v>
      </c>
      <c r="AE8" s="185">
        <f t="shared" si="6"/>
        <v>1.515666344</v>
      </c>
      <c r="AF8" s="185">
        <f t="shared" si="6"/>
        <v>1.545979671</v>
      </c>
      <c r="AG8" s="185">
        <f t="shared" si="6"/>
        <v>1.576899264</v>
      </c>
      <c r="AH8" s="185">
        <f t="shared" si="6"/>
        <v>1.608437249</v>
      </c>
      <c r="AI8" s="185">
        <f t="shared" si="6"/>
        <v>1.640605994</v>
      </c>
      <c r="AJ8" s="185">
        <f t="shared" si="6"/>
        <v>1.673418114</v>
      </c>
      <c r="AK8" s="185">
        <f t="shared" si="6"/>
        <v>1.706886477</v>
      </c>
      <c r="AL8" s="185">
        <f t="shared" si="6"/>
        <v>1.741024206</v>
      </c>
      <c r="AM8" s="185">
        <f t="shared" si="6"/>
        <v>1.77584469</v>
      </c>
      <c r="AN8" s="185">
        <f t="shared" si="6"/>
        <v>1.811361584</v>
      </c>
      <c r="AO8" s="400"/>
      <c r="BI8" s="90"/>
    </row>
    <row r="9" ht="6.75" hidden="1" customHeight="1" outlineLevel="2">
      <c r="A9" s="90"/>
      <c r="B9" s="102"/>
      <c r="C9" s="409"/>
      <c r="D9" s="90"/>
      <c r="E9" s="102"/>
      <c r="F9" s="90"/>
      <c r="H9" s="102"/>
      <c r="I9" s="102"/>
      <c r="J9" s="102"/>
      <c r="K9" s="102"/>
      <c r="L9" s="102"/>
      <c r="M9" s="102"/>
      <c r="N9" s="102"/>
      <c r="O9" s="102"/>
      <c r="P9" s="102"/>
      <c r="Q9" s="102"/>
      <c r="R9" s="102"/>
      <c r="S9" s="102"/>
      <c r="T9" s="102"/>
      <c r="U9" s="102"/>
      <c r="V9" s="102"/>
      <c r="W9" s="102"/>
      <c r="X9" s="102"/>
      <c r="Y9" s="102"/>
      <c r="Z9" s="102"/>
      <c r="AA9" s="102"/>
      <c r="AB9" s="102"/>
      <c r="AC9" s="102"/>
      <c r="AD9" s="102"/>
      <c r="AE9" s="102"/>
      <c r="AF9" s="102"/>
      <c r="AG9" s="102"/>
      <c r="AH9" s="102"/>
      <c r="AI9" s="102"/>
      <c r="AJ9" s="102"/>
      <c r="AK9" s="102"/>
      <c r="AL9" s="102"/>
      <c r="AM9" s="102"/>
      <c r="AN9" s="102"/>
      <c r="AO9" s="400"/>
      <c r="BI9" s="90"/>
    </row>
    <row r="10" ht="12.75" hidden="1" customHeight="1" outlineLevel="2">
      <c r="A10" s="90"/>
      <c r="B10" s="102"/>
      <c r="C10" s="409"/>
      <c r="D10" s="90"/>
      <c r="E10" s="102"/>
      <c r="F10" s="90"/>
      <c r="H10" s="401" t="s">
        <v>190</v>
      </c>
      <c r="I10" s="401"/>
      <c r="J10" s="373"/>
      <c r="K10" s="373"/>
      <c r="L10" s="373"/>
      <c r="M10" s="373"/>
      <c r="N10" s="373"/>
      <c r="O10" s="373"/>
      <c r="P10" s="102"/>
      <c r="Q10" s="102"/>
      <c r="R10" s="102"/>
      <c r="S10" s="102"/>
      <c r="T10" s="102"/>
      <c r="U10" s="102"/>
      <c r="V10" s="102"/>
      <c r="W10" s="102"/>
      <c r="X10" s="102"/>
      <c r="Y10" s="102"/>
      <c r="Z10" s="102"/>
      <c r="AA10" s="102"/>
      <c r="AB10" s="102"/>
      <c r="AC10" s="102"/>
      <c r="AD10" s="102"/>
      <c r="AE10" s="102"/>
      <c r="AF10" s="102"/>
      <c r="AG10" s="102"/>
      <c r="AH10" s="102"/>
      <c r="AI10" s="102"/>
      <c r="AJ10" s="102"/>
      <c r="AK10" s="102"/>
      <c r="AL10" s="102"/>
      <c r="AM10" s="102"/>
      <c r="AN10" s="102"/>
      <c r="AO10" s="410"/>
      <c r="BI10" s="90"/>
    </row>
    <row r="11" ht="12.75" hidden="1" customHeight="1" outlineLevel="2">
      <c r="A11" s="90"/>
      <c r="B11" s="102"/>
      <c r="C11" s="409"/>
      <c r="D11" s="90"/>
      <c r="E11" s="102"/>
      <c r="F11" s="90"/>
      <c r="H11" s="411" t="s">
        <v>270</v>
      </c>
      <c r="I11" s="411"/>
      <c r="J11" s="373">
        <f>SUMIF($A$37:$A$139,$H11,J$37:J$139)</f>
        <v>0</v>
      </c>
      <c r="K11" s="373" t="str">
        <f t="shared" ref="K11:AN11" si="7">SUM(K37:K120)</f>
        <v>#REF!</v>
      </c>
      <c r="L11" s="373" t="str">
        <f t="shared" si="7"/>
        <v>#REF!</v>
      </c>
      <c r="M11" s="373" t="str">
        <f t="shared" si="7"/>
        <v>#REF!</v>
      </c>
      <c r="N11" s="373" t="str">
        <f t="shared" si="7"/>
        <v>#REF!</v>
      </c>
      <c r="O11" s="373" t="str">
        <f t="shared" si="7"/>
        <v>#REF!</v>
      </c>
      <c r="P11" s="373" t="str">
        <f t="shared" si="7"/>
        <v>#REF!</v>
      </c>
      <c r="Q11" s="373" t="str">
        <f t="shared" si="7"/>
        <v>#REF!</v>
      </c>
      <c r="R11" s="373" t="str">
        <f t="shared" si="7"/>
        <v>#REF!</v>
      </c>
      <c r="S11" s="373" t="str">
        <f t="shared" si="7"/>
        <v>#REF!</v>
      </c>
      <c r="T11" s="373" t="str">
        <f t="shared" si="7"/>
        <v>#REF!</v>
      </c>
      <c r="U11" s="373" t="str">
        <f t="shared" si="7"/>
        <v>#REF!</v>
      </c>
      <c r="V11" s="373" t="str">
        <f t="shared" si="7"/>
        <v>#REF!</v>
      </c>
      <c r="W11" s="373" t="str">
        <f t="shared" si="7"/>
        <v>#REF!</v>
      </c>
      <c r="X11" s="373" t="str">
        <f t="shared" si="7"/>
        <v>#REF!</v>
      </c>
      <c r="Y11" s="373" t="str">
        <f t="shared" si="7"/>
        <v>#REF!</v>
      </c>
      <c r="Z11" s="373" t="str">
        <f t="shared" si="7"/>
        <v>#REF!</v>
      </c>
      <c r="AA11" s="373" t="str">
        <f t="shared" si="7"/>
        <v>#REF!</v>
      </c>
      <c r="AB11" s="373" t="str">
        <f t="shared" si="7"/>
        <v>#REF!</v>
      </c>
      <c r="AC11" s="373" t="str">
        <f t="shared" si="7"/>
        <v>#REF!</v>
      </c>
      <c r="AD11" s="373" t="str">
        <f t="shared" si="7"/>
        <v>#REF!</v>
      </c>
      <c r="AE11" s="373" t="str">
        <f t="shared" si="7"/>
        <v>#REF!</v>
      </c>
      <c r="AF11" s="373" t="str">
        <f t="shared" si="7"/>
        <v>#REF!</v>
      </c>
      <c r="AG11" s="373" t="str">
        <f t="shared" si="7"/>
        <v>#REF!</v>
      </c>
      <c r="AH11" s="373" t="str">
        <f t="shared" si="7"/>
        <v>#REF!</v>
      </c>
      <c r="AI11" s="373" t="str">
        <f t="shared" si="7"/>
        <v>#REF!</v>
      </c>
      <c r="AJ11" s="373" t="str">
        <f t="shared" si="7"/>
        <v>#REF!</v>
      </c>
      <c r="AK11" s="373" t="str">
        <f t="shared" si="7"/>
        <v>#REF!</v>
      </c>
      <c r="AL11" s="373" t="str">
        <f t="shared" si="7"/>
        <v>#REF!</v>
      </c>
      <c r="AM11" s="373" t="str">
        <f t="shared" si="7"/>
        <v>#REF!</v>
      </c>
      <c r="AN11" s="373" t="str">
        <f t="shared" si="7"/>
        <v>#REF!</v>
      </c>
      <c r="AO11" s="400"/>
      <c r="BI11" s="90"/>
    </row>
    <row r="12" ht="12.75" hidden="1" customHeight="1" outlineLevel="2">
      <c r="A12" s="90"/>
      <c r="B12" s="102"/>
      <c r="C12" s="409"/>
      <c r="D12" s="90"/>
      <c r="E12" s="102"/>
      <c r="F12" s="90"/>
      <c r="H12" s="411" t="s">
        <v>283</v>
      </c>
      <c r="I12" s="411"/>
      <c r="J12" s="412">
        <f>SUMIF($A$37:$A$139,"Regional",J$37:J$139)+SUMIF($A$37:$A$139,"Hub",J$37:J$139)+SUMIF($A$37:$A$139,"Cluster",J$37:J$139)</f>
        <v>0</v>
      </c>
      <c r="K12" s="412">
        <f t="shared" ref="K12:AN12" si="8">SUM(K123:K139)</f>
        <v>2</v>
      </c>
      <c r="L12" s="412">
        <f t="shared" si="8"/>
        <v>3</v>
      </c>
      <c r="M12" s="412">
        <f t="shared" si="8"/>
        <v>7</v>
      </c>
      <c r="N12" s="412">
        <f t="shared" si="8"/>
        <v>14</v>
      </c>
      <c r="O12" s="412">
        <f t="shared" si="8"/>
        <v>21</v>
      </c>
      <c r="P12" s="412">
        <f t="shared" si="8"/>
        <v>29</v>
      </c>
      <c r="Q12" s="412">
        <f t="shared" si="8"/>
        <v>38</v>
      </c>
      <c r="R12" s="412">
        <f t="shared" si="8"/>
        <v>55</v>
      </c>
      <c r="S12" s="412">
        <f t="shared" si="8"/>
        <v>70</v>
      </c>
      <c r="T12" s="412">
        <f t="shared" si="8"/>
        <v>73</v>
      </c>
      <c r="U12" s="412">
        <f t="shared" si="8"/>
        <v>73</v>
      </c>
      <c r="V12" s="412">
        <f t="shared" si="8"/>
        <v>73</v>
      </c>
      <c r="W12" s="412">
        <f t="shared" si="8"/>
        <v>73</v>
      </c>
      <c r="X12" s="412">
        <f t="shared" si="8"/>
        <v>73</v>
      </c>
      <c r="Y12" s="412">
        <f t="shared" si="8"/>
        <v>73</v>
      </c>
      <c r="Z12" s="412">
        <f t="shared" si="8"/>
        <v>73</v>
      </c>
      <c r="AA12" s="412">
        <f t="shared" si="8"/>
        <v>73</v>
      </c>
      <c r="AB12" s="412">
        <f t="shared" si="8"/>
        <v>73</v>
      </c>
      <c r="AC12" s="412">
        <f t="shared" si="8"/>
        <v>73</v>
      </c>
      <c r="AD12" s="412">
        <f t="shared" si="8"/>
        <v>73</v>
      </c>
      <c r="AE12" s="412">
        <f t="shared" si="8"/>
        <v>73</v>
      </c>
      <c r="AF12" s="412">
        <f t="shared" si="8"/>
        <v>73</v>
      </c>
      <c r="AG12" s="412">
        <f t="shared" si="8"/>
        <v>73</v>
      </c>
      <c r="AH12" s="412">
        <f t="shared" si="8"/>
        <v>73</v>
      </c>
      <c r="AI12" s="412">
        <f t="shared" si="8"/>
        <v>73</v>
      </c>
      <c r="AJ12" s="412">
        <f t="shared" si="8"/>
        <v>73</v>
      </c>
      <c r="AK12" s="412">
        <f t="shared" si="8"/>
        <v>73</v>
      </c>
      <c r="AL12" s="412">
        <f t="shared" si="8"/>
        <v>73</v>
      </c>
      <c r="AM12" s="412">
        <f t="shared" si="8"/>
        <v>73</v>
      </c>
      <c r="AN12" s="412">
        <f t="shared" si="8"/>
        <v>73</v>
      </c>
      <c r="AO12" s="400"/>
      <c r="BI12" s="90"/>
    </row>
    <row r="13" ht="12.75" hidden="1" customHeight="1" outlineLevel="2">
      <c r="A13" s="90"/>
      <c r="B13" s="102"/>
      <c r="C13" s="409"/>
      <c r="D13" s="90"/>
      <c r="E13" s="102"/>
      <c r="F13" s="401" t="s">
        <v>273</v>
      </c>
      <c r="H13" s="102"/>
      <c r="I13" s="102"/>
      <c r="J13" s="413">
        <f t="shared" ref="J13:AN13" si="9">SUM(J11:J12)</f>
        <v>0</v>
      </c>
      <c r="K13" s="413" t="str">
        <f t="shared" si="9"/>
        <v>#REF!</v>
      </c>
      <c r="L13" s="413" t="str">
        <f t="shared" si="9"/>
        <v>#REF!</v>
      </c>
      <c r="M13" s="413" t="str">
        <f t="shared" si="9"/>
        <v>#REF!</v>
      </c>
      <c r="N13" s="413" t="str">
        <f t="shared" si="9"/>
        <v>#REF!</v>
      </c>
      <c r="O13" s="413" t="str">
        <f t="shared" si="9"/>
        <v>#REF!</v>
      </c>
      <c r="P13" s="413" t="str">
        <f t="shared" si="9"/>
        <v>#REF!</v>
      </c>
      <c r="Q13" s="413" t="str">
        <f t="shared" si="9"/>
        <v>#REF!</v>
      </c>
      <c r="R13" s="413" t="str">
        <f t="shared" si="9"/>
        <v>#REF!</v>
      </c>
      <c r="S13" s="413" t="str">
        <f t="shared" si="9"/>
        <v>#REF!</v>
      </c>
      <c r="T13" s="413" t="str">
        <f t="shared" si="9"/>
        <v>#REF!</v>
      </c>
      <c r="U13" s="413" t="str">
        <f t="shared" si="9"/>
        <v>#REF!</v>
      </c>
      <c r="V13" s="413" t="str">
        <f t="shared" si="9"/>
        <v>#REF!</v>
      </c>
      <c r="W13" s="413" t="str">
        <f t="shared" si="9"/>
        <v>#REF!</v>
      </c>
      <c r="X13" s="413" t="str">
        <f t="shared" si="9"/>
        <v>#REF!</v>
      </c>
      <c r="Y13" s="413" t="str">
        <f t="shared" si="9"/>
        <v>#REF!</v>
      </c>
      <c r="Z13" s="413" t="str">
        <f t="shared" si="9"/>
        <v>#REF!</v>
      </c>
      <c r="AA13" s="413" t="str">
        <f t="shared" si="9"/>
        <v>#REF!</v>
      </c>
      <c r="AB13" s="413" t="str">
        <f t="shared" si="9"/>
        <v>#REF!</v>
      </c>
      <c r="AC13" s="413" t="str">
        <f t="shared" si="9"/>
        <v>#REF!</v>
      </c>
      <c r="AD13" s="413" t="str">
        <f t="shared" si="9"/>
        <v>#REF!</v>
      </c>
      <c r="AE13" s="413" t="str">
        <f t="shared" si="9"/>
        <v>#REF!</v>
      </c>
      <c r="AF13" s="413" t="str">
        <f t="shared" si="9"/>
        <v>#REF!</v>
      </c>
      <c r="AG13" s="413" t="str">
        <f t="shared" si="9"/>
        <v>#REF!</v>
      </c>
      <c r="AH13" s="413" t="str">
        <f t="shared" si="9"/>
        <v>#REF!</v>
      </c>
      <c r="AI13" s="413" t="str">
        <f t="shared" si="9"/>
        <v>#REF!</v>
      </c>
      <c r="AJ13" s="413" t="str">
        <f t="shared" si="9"/>
        <v>#REF!</v>
      </c>
      <c r="AK13" s="413" t="str">
        <f t="shared" si="9"/>
        <v>#REF!</v>
      </c>
      <c r="AL13" s="413" t="str">
        <f t="shared" si="9"/>
        <v>#REF!</v>
      </c>
      <c r="AM13" s="413" t="str">
        <f t="shared" si="9"/>
        <v>#REF!</v>
      </c>
      <c r="AN13" s="413" t="str">
        <f t="shared" si="9"/>
        <v>#REF!</v>
      </c>
      <c r="AO13" s="400"/>
      <c r="BI13" s="90"/>
    </row>
    <row r="14" ht="12.75" hidden="1" customHeight="1" outlineLevel="2">
      <c r="A14" s="90"/>
      <c r="B14" s="102"/>
      <c r="C14" s="409"/>
      <c r="D14" s="90"/>
      <c r="E14" s="102"/>
      <c r="F14" s="90"/>
      <c r="H14" s="102"/>
      <c r="I14" s="102"/>
      <c r="J14" s="102"/>
      <c r="K14" s="152"/>
      <c r="L14" s="152"/>
      <c r="M14" s="152"/>
      <c r="N14" s="152"/>
      <c r="O14" s="152"/>
      <c r="P14" s="152"/>
      <c r="Q14" s="152"/>
      <c r="R14" s="152"/>
      <c r="S14" s="152"/>
      <c r="T14" s="152"/>
      <c r="U14" s="152"/>
      <c r="V14" s="152"/>
      <c r="W14" s="152"/>
      <c r="X14" s="152"/>
      <c r="Y14" s="152"/>
      <c r="Z14" s="152"/>
      <c r="AA14" s="152"/>
      <c r="AB14" s="152"/>
      <c r="AC14" s="152"/>
      <c r="AD14" s="152"/>
      <c r="AE14" s="152"/>
      <c r="AF14" s="152"/>
      <c r="AG14" s="152"/>
      <c r="AH14" s="152"/>
      <c r="AI14" s="152"/>
      <c r="AJ14" s="152"/>
      <c r="AK14" s="152"/>
      <c r="AL14" s="152"/>
      <c r="AM14" s="152"/>
      <c r="AN14" s="152"/>
      <c r="AO14" s="414"/>
      <c r="BI14" s="90"/>
    </row>
    <row r="15" ht="12.75" hidden="1" customHeight="1" outlineLevel="2">
      <c r="A15" s="90"/>
      <c r="B15" s="102"/>
      <c r="C15" s="409"/>
      <c r="D15" s="90"/>
      <c r="E15" s="88" t="s">
        <v>278</v>
      </c>
      <c r="F15" s="90"/>
      <c r="H15" s="102" t="s">
        <v>307</v>
      </c>
      <c r="I15" s="102"/>
      <c r="J15" s="373"/>
      <c r="K15" s="102">
        <f t="array" ref="K15">SUM(IF($C$37:$C$120=$H15,$E$37:$E$120*K$37:K$120,0))*K$8</f>
        <v>224400</v>
      </c>
      <c r="L15" s="102">
        <f t="array" ref="L15">SUM(IF($C$37:$C$120=$H15,$E$37:$E$120*L$37:L$120,0))*L$8</f>
        <v>291312</v>
      </c>
      <c r="M15" s="102">
        <f t="array" ref="M15">SUM(IF($C$37:$C$120=$H15,$E$37:$E$120*M$37:M$120,0))*M$8</f>
        <v>297138.24</v>
      </c>
      <c r="N15" s="102">
        <f t="array" ref="N15">SUM(IF($C$37:$C$120=$H15,$E$37:$E$120*N$37:N$120,0))*N$8</f>
        <v>432972.864</v>
      </c>
      <c r="O15" s="102">
        <f t="array" ref="O15">SUM(IF($C$37:$C$120=$H15,$E$37:$E$120*O$37:O$120,0))*O$8</f>
        <v>507877.1695</v>
      </c>
      <c r="P15" s="102">
        <f t="array" ref="P15">SUM(IF($C$37:$C$120=$H15,$E$37:$E$120*P$37:P$120,0))*P$8</f>
        <v>653174.2032</v>
      </c>
      <c r="Q15" s="102">
        <f t="array" ref="Q15">SUM(IF($C$37:$C$120=$H15,$E$37:$E$120*Q$37:Q$120,0))*Q$8</f>
        <v>804079.9674</v>
      </c>
      <c r="R15" s="102">
        <f t="array" ref="R15">SUM(IF($C$37:$C$120=$H15,$E$37:$E$120*R$37:R$120,0))*R$8</f>
        <v>1054493.443</v>
      </c>
      <c r="S15" s="102">
        <f t="array" ref="S15">SUM(IF($C$37:$C$120=$H15,$E$37:$E$120*S$37:S$120,0))*S$8</f>
        <v>1458012.934</v>
      </c>
      <c r="T15" s="102">
        <f t="array" ref="T15">SUM(IF($C$37:$C$120=$H15,$E$37:$E$120*T$37:T$120,0))*T$8</f>
        <v>2218569.844</v>
      </c>
      <c r="U15" s="102">
        <f t="array" ref="U15">SUM(IF($C$37:$C$120=$H15,$E$37:$E$120*U$37:U$120,0))*U$8</f>
        <v>2959230.854</v>
      </c>
      <c r="V15" s="102">
        <f t="array" ref="V15">SUM(IF($C$37:$C$120=$H15,$E$37:$E$120*V$37:V$120,0))*V$8</f>
        <v>3018415.471</v>
      </c>
      <c r="W15" s="102">
        <f t="array" ref="W15">SUM(IF($C$37:$C$120=$H15,$E$37:$E$120*W$37:W$120,0))*W$8</f>
        <v>3078783.78</v>
      </c>
      <c r="X15" s="102">
        <f t="array" ref="X15">SUM(IF($C$37:$C$120=$H15,$E$37:$E$120*X$37:X$120,0))*X$8</f>
        <v>3140359.456</v>
      </c>
      <c r="Y15" s="102">
        <f t="array" ref="Y15">SUM(IF($C$37:$C$120=$H15,$E$37:$E$120*Y$37:Y$120,0))*Y$8</f>
        <v>3203166.645</v>
      </c>
      <c r="Z15" s="102">
        <f t="array" ref="Z15">SUM(IF($C$37:$C$120=$H15,$E$37:$E$120*Z$37:Z$120,0))*Z$8</f>
        <v>3267229.978</v>
      </c>
      <c r="AA15" s="102">
        <f t="array" ref="AA15">SUM(IF($C$37:$C$120=$H15,$E$37:$E$120*AA$37:AA$120,0))*AA$8</f>
        <v>3332574.578</v>
      </c>
      <c r="AB15" s="102">
        <f t="array" ref="AB15">SUM(IF($C$37:$C$120=$H15,$E$37:$E$120*AB$37:AB$120,0))*AB$8</f>
        <v>3399226.069</v>
      </c>
      <c r="AC15" s="102">
        <f t="array" ref="AC15">SUM(IF($C$37:$C$120=$H15,$E$37:$E$120*AC$37:AC$120,0))*AC$8</f>
        <v>3467210.591</v>
      </c>
      <c r="AD15" s="102">
        <f t="array" ref="AD15">SUM(IF($C$37:$C$120=$H15,$E$37:$E$120*AD$37:AD$120,0))*AD$8</f>
        <v>3536554.802</v>
      </c>
      <c r="AE15" s="102">
        <f t="array" ref="AE15">SUM(IF($C$37:$C$120=$H15,$E$37:$E$120*AE$37:AE$120,0))*AE$8</f>
        <v>3607285.898</v>
      </c>
      <c r="AF15" s="102">
        <f t="array" ref="AF15">SUM(IF($C$37:$C$120=$H15,$E$37:$E$120*AF$37:AF$120,0))*AF$8</f>
        <v>3679431.616</v>
      </c>
      <c r="AG15" s="102">
        <f t="array" ref="AG15">SUM(IF($C$37:$C$120=$H15,$E$37:$E$120*AG$37:AG$120,0))*AG$8</f>
        <v>3753020.249</v>
      </c>
      <c r="AH15" s="102">
        <f t="array" ref="AH15">SUM(IF($C$37:$C$120=$H15,$E$37:$E$120*AH$37:AH$120,0))*AH$8</f>
        <v>3828080.654</v>
      </c>
      <c r="AI15" s="102">
        <f t="array" ref="AI15">SUM(IF($C$37:$C$120=$H15,$E$37:$E$120*AI$37:AI$120,0))*AI$8</f>
        <v>3904642.267</v>
      </c>
      <c r="AJ15" s="102">
        <f t="array" ref="AJ15">SUM(IF($C$37:$C$120=$H15,$E$37:$E$120*AJ$37:AJ$120,0))*AJ$8</f>
        <v>3982735.112</v>
      </c>
      <c r="AK15" s="102">
        <f t="array" ref="AK15">SUM(IF($C$37:$C$120=$H15,$E$37:$E$120*AK$37:AK$120,0))*AK$8</f>
        <v>4062389.814</v>
      </c>
      <c r="AL15" s="102">
        <f t="array" ref="AL15">SUM(IF($C$37:$C$120=$H15,$E$37:$E$120*AL$37:AL$120,0))*AL$8</f>
        <v>4143637.611</v>
      </c>
      <c r="AM15" s="102">
        <f t="array" ref="AM15">SUM(IF($C$37:$C$120=$H15,$E$37:$E$120*AM$37:AM$120,0))*AM$8</f>
        <v>4226510.363</v>
      </c>
      <c r="AN15" s="102">
        <f t="array" ref="AN15">SUM(IF($C$37:$C$120=$H15,$E$37:$E$120*AN$37:AN$120,0))*AN$8</f>
        <v>4311040.57</v>
      </c>
      <c r="AO15" s="414"/>
      <c r="BI15" s="90"/>
    </row>
    <row r="16" ht="12.75" hidden="1" customHeight="1" outlineLevel="2">
      <c r="A16" s="90"/>
      <c r="B16" s="102"/>
      <c r="C16" s="409"/>
      <c r="D16" s="90"/>
      <c r="E16" s="102"/>
      <c r="F16" s="90"/>
      <c r="H16" s="102" t="s">
        <v>308</v>
      </c>
      <c r="I16" s="102"/>
      <c r="J16" s="102"/>
      <c r="K16" s="102">
        <f t="array" ref="K16">SUM(IF($C$37:$C$120=$H16,$E$37:$E$120*K$37:K$120,0))*K$8</f>
        <v>224400</v>
      </c>
      <c r="L16" s="102">
        <f t="array" ref="L16">SUM(IF($C$37:$C$120=$H16,$E$37:$E$120*L$37:L$120,0))*L$8</f>
        <v>291312</v>
      </c>
      <c r="M16" s="102">
        <f t="array" ref="M16">SUM(IF($C$37:$C$120=$H16,$E$37:$E$120*M$37:M$120,0))*M$8</f>
        <v>297138.24</v>
      </c>
      <c r="N16" s="102">
        <f t="array" ref="N16">SUM(IF($C$37:$C$120=$H16,$E$37:$E$120*N$37:N$120,0))*N$8</f>
        <v>389675.5776</v>
      </c>
      <c r="O16" s="102">
        <f t="array" ref="O16">SUM(IF($C$37:$C$120=$H16,$E$37:$E$120*O$37:O$120,0))*O$8</f>
        <v>397469.0892</v>
      </c>
      <c r="P16" s="102">
        <f t="array" ref="P16">SUM(IF($C$37:$C$120=$H16,$E$37:$E$120*P$37:P$120,0))*P$8</f>
        <v>472988.2161</v>
      </c>
      <c r="Q16" s="102">
        <f t="array" ref="Q16">SUM(IF($C$37:$C$120=$H16,$E$37:$E$120*Q$37:Q$120,0))*Q$8</f>
        <v>620290.2605</v>
      </c>
      <c r="R16" s="102">
        <f t="array" ref="R16">SUM(IF($C$37:$C$120=$H16,$E$37:$E$120*R$37:R$120,0))*R$8</f>
        <v>913894.3172</v>
      </c>
      <c r="S16" s="102">
        <f t="array" ref="S16">SUM(IF($C$37:$C$120=$H16,$E$37:$E$120*S$37:S$120,0))*S$8</f>
        <v>1003877.758</v>
      </c>
      <c r="T16" s="102">
        <f t="array" ref="T16">SUM(IF($C$37:$C$120=$H16,$E$37:$E$120*T$37:T$120,0))*T$8</f>
        <v>1779731.853</v>
      </c>
      <c r="U16" s="102">
        <f t="array" ref="U16">SUM(IF($C$37:$C$120=$H16,$E$37:$E$120*U$37:U$120,0))*U$8</f>
        <v>2561351.075</v>
      </c>
      <c r="V16" s="102">
        <f t="array" ref="V16">SUM(IF($C$37:$C$120=$H16,$E$37:$E$120*V$37:V$120,0))*V$8</f>
        <v>2612578.097</v>
      </c>
      <c r="W16" s="102">
        <f t="array" ref="W16">SUM(IF($C$37:$C$120=$H16,$E$37:$E$120*W$37:W$120,0))*W$8</f>
        <v>2664829.659</v>
      </c>
      <c r="X16" s="102">
        <f t="array" ref="X16">SUM(IF($C$37:$C$120=$H16,$E$37:$E$120*X$37:X$120,0))*X$8</f>
        <v>2718126.252</v>
      </c>
      <c r="Y16" s="102">
        <f t="array" ref="Y16">SUM(IF($C$37:$C$120=$H16,$E$37:$E$120*Y$37:Y$120,0))*Y$8</f>
        <v>2772488.777</v>
      </c>
      <c r="Z16" s="102">
        <f t="array" ref="Z16">SUM(IF($C$37:$C$120=$H16,$E$37:$E$120*Z$37:Z$120,0))*Z$8</f>
        <v>2827938.552</v>
      </c>
      <c r="AA16" s="102">
        <f t="array" ref="AA16">SUM(IF($C$37:$C$120=$H16,$E$37:$E$120*AA$37:AA$120,0))*AA$8</f>
        <v>2884497.324</v>
      </c>
      <c r="AB16" s="102">
        <f t="array" ref="AB16">SUM(IF($C$37:$C$120=$H16,$E$37:$E$120*AB$37:AB$120,0))*AB$8</f>
        <v>2942187.27</v>
      </c>
      <c r="AC16" s="102">
        <f t="array" ref="AC16">SUM(IF($C$37:$C$120=$H16,$E$37:$E$120*AC$37:AC$120,0))*AC$8</f>
        <v>3001031.015</v>
      </c>
      <c r="AD16" s="102">
        <f t="array" ref="AD16">SUM(IF($C$37:$C$120=$H16,$E$37:$E$120*AD$37:AD$120,0))*AD$8</f>
        <v>3061051.636</v>
      </c>
      <c r="AE16" s="102">
        <f t="array" ref="AE16">SUM(IF($C$37:$C$120=$H16,$E$37:$E$120*AE$37:AE$120,0))*AE$8</f>
        <v>3122272.668</v>
      </c>
      <c r="AF16" s="102">
        <f t="array" ref="AF16">SUM(IF($C$37:$C$120=$H16,$E$37:$E$120*AF$37:AF$120,0))*AF$8</f>
        <v>3184718.122</v>
      </c>
      <c r="AG16" s="102">
        <f t="array" ref="AG16">SUM(IF($C$37:$C$120=$H16,$E$37:$E$120*AG$37:AG$120,0))*AG$8</f>
        <v>3248412.484</v>
      </c>
      <c r="AH16" s="102">
        <f t="array" ref="AH16">SUM(IF($C$37:$C$120=$H16,$E$37:$E$120*AH$37:AH$120,0))*AH$8</f>
        <v>3313380.734</v>
      </c>
      <c r="AI16" s="102">
        <f t="array" ref="AI16">SUM(IF($C$37:$C$120=$H16,$E$37:$E$120*AI$37:AI$120,0))*AI$8</f>
        <v>3379648.349</v>
      </c>
      <c r="AJ16" s="102">
        <f t="array" ref="AJ16">SUM(IF($C$37:$C$120=$H16,$E$37:$E$120*AJ$37:AJ$120,0))*AJ$8</f>
        <v>3447241.316</v>
      </c>
      <c r="AK16" s="102">
        <f t="array" ref="AK16">SUM(IF($C$37:$C$120=$H16,$E$37:$E$120*AK$37:AK$120,0))*AK$8</f>
        <v>3516186.142</v>
      </c>
      <c r="AL16" s="102">
        <f t="array" ref="AL16">SUM(IF($C$37:$C$120=$H16,$E$37:$E$120*AL$37:AL$120,0))*AL$8</f>
        <v>3586509.865</v>
      </c>
      <c r="AM16" s="102">
        <f t="array" ref="AM16">SUM(IF($C$37:$C$120=$H16,$E$37:$E$120*AM$37:AM$120,0))*AM$8</f>
        <v>3658240.062</v>
      </c>
      <c r="AN16" s="102">
        <f t="array" ref="AN16">SUM(IF($C$37:$C$120=$H16,$E$37:$E$120*AN$37:AN$120,0))*AN$8</f>
        <v>3731404.863</v>
      </c>
      <c r="AO16" s="414"/>
      <c r="BI16" s="90"/>
    </row>
    <row r="17" ht="12.75" hidden="1" customHeight="1" outlineLevel="2">
      <c r="A17" s="90"/>
      <c r="B17" s="102"/>
      <c r="C17" s="90"/>
      <c r="D17" s="90"/>
      <c r="E17" s="102"/>
      <c r="F17" s="90"/>
      <c r="H17" s="219" t="s">
        <v>137</v>
      </c>
      <c r="I17" s="219"/>
      <c r="J17" s="102"/>
      <c r="K17" s="102">
        <f t="array" ref="K17">SUM(IF($C$37:$C$120=$H17,$E$37:$E$120*K$37:K$120,0))*K$8</f>
        <v>142800</v>
      </c>
      <c r="L17" s="102">
        <f t="array" ref="L17">SUM(IF($C$37:$C$120=$H17,$E$37:$E$120*L$37:L$120,0))*L$8</f>
        <v>145656</v>
      </c>
      <c r="M17" s="102">
        <f t="array" ref="M17">SUM(IF($C$37:$C$120=$H17,$E$37:$E$120*M$37:M$120,0))*M$8</f>
        <v>212241.6</v>
      </c>
      <c r="N17" s="102">
        <f t="array" ref="N17">SUM(IF($C$37:$C$120=$H17,$E$37:$E$120*N$37:N$120,0))*N$8</f>
        <v>216486.432</v>
      </c>
      <c r="O17" s="102">
        <f t="array" ref="O17">SUM(IF($C$37:$C$120=$H17,$E$37:$E$120*O$37:O$120,0))*O$8</f>
        <v>220816.1606</v>
      </c>
      <c r="P17" s="102">
        <f t="array" ref="P17">SUM(IF($C$37:$C$120=$H17,$E$37:$E$120*P$37:P$120,0))*P$8</f>
        <v>225232.4839</v>
      </c>
      <c r="Q17" s="102">
        <f t="array" ref="Q17">SUM(IF($C$37:$C$120=$H17,$E$37:$E$120*Q$37:Q$120,0))*Q$8</f>
        <v>229737.1335</v>
      </c>
      <c r="R17" s="102">
        <f t="array" ref="R17">SUM(IF($C$37:$C$120=$H17,$E$37:$E$120*R$37:R$120,0))*R$8</f>
        <v>234331.8762</v>
      </c>
      <c r="S17" s="102">
        <f t="array" ref="S17">SUM(IF($C$37:$C$120=$H17,$E$37:$E$120*S$37:S$120,0))*S$8</f>
        <v>239018.5137</v>
      </c>
      <c r="T17" s="102">
        <f t="array" ref="T17">SUM(IF($C$37:$C$120=$H17,$E$37:$E$120*T$37:T$120,0))*T$8</f>
        <v>243798.884</v>
      </c>
      <c r="U17" s="102">
        <f t="array" ref="U17">SUM(IF($C$37:$C$120=$H17,$E$37:$E$120*U$37:U$120,0))*U$8</f>
        <v>248674.8617</v>
      </c>
      <c r="V17" s="102">
        <f t="array" ref="V17">SUM(IF($C$37:$C$120=$H17,$E$37:$E$120*V$37:V$120,0))*V$8</f>
        <v>253648.3589</v>
      </c>
      <c r="W17" s="102">
        <f t="array" ref="W17">SUM(IF($C$37:$C$120=$H17,$E$37:$E$120*W$37:W$120,0))*W$8</f>
        <v>258721.3261</v>
      </c>
      <c r="X17" s="102">
        <f t="array" ref="X17">SUM(IF($C$37:$C$120=$H17,$E$37:$E$120*X$37:X$120,0))*X$8</f>
        <v>263895.7526</v>
      </c>
      <c r="Y17" s="102">
        <f t="array" ref="Y17">SUM(IF($C$37:$C$120=$H17,$E$37:$E$120*Y$37:Y$120,0))*Y$8</f>
        <v>269173.6677</v>
      </c>
      <c r="Z17" s="102">
        <f t="array" ref="Z17">SUM(IF($C$37:$C$120=$H17,$E$37:$E$120*Z$37:Z$120,0))*Z$8</f>
        <v>274557.141</v>
      </c>
      <c r="AA17" s="102">
        <f t="array" ref="AA17">SUM(IF($C$37:$C$120=$H17,$E$37:$E$120*AA$37:AA$120,0))*AA$8</f>
        <v>280048.2838</v>
      </c>
      <c r="AB17" s="102">
        <f t="array" ref="AB17">SUM(IF($C$37:$C$120=$H17,$E$37:$E$120*AB$37:AB$120,0))*AB$8</f>
        <v>285649.2495</v>
      </c>
      <c r="AC17" s="102">
        <f t="array" ref="AC17">SUM(IF($C$37:$C$120=$H17,$E$37:$E$120*AC$37:AC$120,0))*AC$8</f>
        <v>291362.2345</v>
      </c>
      <c r="AD17" s="102">
        <f t="array" ref="AD17">SUM(IF($C$37:$C$120=$H17,$E$37:$E$120*AD$37:AD$120,0))*AD$8</f>
        <v>297189.4792</v>
      </c>
      <c r="AE17" s="102">
        <f t="array" ref="AE17">SUM(IF($C$37:$C$120=$H17,$E$37:$E$120*AE$37:AE$120,0))*AE$8</f>
        <v>303133.2688</v>
      </c>
      <c r="AF17" s="102">
        <f t="array" ref="AF17">SUM(IF($C$37:$C$120=$H17,$E$37:$E$120*AF$37:AF$120,0))*AF$8</f>
        <v>309195.9342</v>
      </c>
      <c r="AG17" s="102">
        <f t="array" ref="AG17">SUM(IF($C$37:$C$120=$H17,$E$37:$E$120*AG$37:AG$120,0))*AG$8</f>
        <v>315379.8528</v>
      </c>
      <c r="AH17" s="102">
        <f t="array" ref="AH17">SUM(IF($C$37:$C$120=$H17,$E$37:$E$120*AH$37:AH$120,0))*AH$8</f>
        <v>321687.4499</v>
      </c>
      <c r="AI17" s="102">
        <f t="array" ref="AI17">SUM(IF($C$37:$C$120=$H17,$E$37:$E$120*AI$37:AI$120,0))*AI$8</f>
        <v>328121.1989</v>
      </c>
      <c r="AJ17" s="102">
        <f t="array" ref="AJ17">SUM(IF($C$37:$C$120=$H17,$E$37:$E$120*AJ$37:AJ$120,0))*AJ$8</f>
        <v>334683.6229</v>
      </c>
      <c r="AK17" s="102">
        <f t="array" ref="AK17">SUM(IF($C$37:$C$120=$H17,$E$37:$E$120*AK$37:AK$120,0))*AK$8</f>
        <v>341377.2953</v>
      </c>
      <c r="AL17" s="102">
        <f t="array" ref="AL17">SUM(IF($C$37:$C$120=$H17,$E$37:$E$120*AL$37:AL$120,0))*AL$8</f>
        <v>348204.8412</v>
      </c>
      <c r="AM17" s="102">
        <f t="array" ref="AM17">SUM(IF($C$37:$C$120=$H17,$E$37:$E$120*AM$37:AM$120,0))*AM$8</f>
        <v>355168.9381</v>
      </c>
      <c r="AN17" s="102">
        <f t="array" ref="AN17">SUM(IF($C$37:$C$120=$H17,$E$37:$E$120*AN$37:AN$120,0))*AN$8</f>
        <v>362272.3168</v>
      </c>
      <c r="AO17" s="414"/>
      <c r="BI17" s="90"/>
    </row>
    <row r="18" ht="12.75" hidden="1" customHeight="1" outlineLevel="2">
      <c r="A18" s="90"/>
      <c r="B18" s="102"/>
      <c r="C18" s="90"/>
      <c r="D18" s="90"/>
      <c r="E18" s="102"/>
      <c r="F18" s="90"/>
      <c r="H18" s="219" t="s">
        <v>266</v>
      </c>
      <c r="I18" s="219"/>
      <c r="J18" s="102"/>
      <c r="K18" s="102">
        <f t="array" ref="K18">SUM(IF($C$37:$C$120=$H18,$E$37:$E$120*K$37:K$120,0))*K$8</f>
        <v>0</v>
      </c>
      <c r="L18" s="102">
        <f t="array" ref="L18">SUM(IF($C$37:$C$120=$H18,$E$37:$E$120*L$37:L$120,0))*L$8</f>
        <v>312120</v>
      </c>
      <c r="M18" s="102">
        <f t="array" ref="M18">SUM(IF($C$37:$C$120=$H18,$E$37:$E$120*M$37:M$120,0))*M$8</f>
        <v>509379.84</v>
      </c>
      <c r="N18" s="102">
        <f t="array" ref="N18">SUM(IF($C$37:$C$120=$H18,$E$37:$E$120*N$37:N$120,0))*N$8</f>
        <v>692756.5824</v>
      </c>
      <c r="O18" s="102">
        <f t="array" ref="O18">SUM(IF($C$37:$C$120=$H18,$E$37:$E$120*O$37:O$120,0))*O$8</f>
        <v>905346.2586</v>
      </c>
      <c r="P18" s="102">
        <f t="array" ref="P18">SUM(IF($C$37:$C$120=$H18,$E$37:$E$120*P$37:P$120,0))*P$8</f>
        <v>1103639.171</v>
      </c>
      <c r="Q18" s="102">
        <f t="array" ref="Q18">SUM(IF($C$37:$C$120=$H18,$E$37:$E$120*Q$37:Q$120,0))*Q$8</f>
        <v>1458830.798</v>
      </c>
      <c r="R18" s="102">
        <f t="array" ref="R18">SUM(IF($C$37:$C$120=$H18,$E$37:$E$120*R$37:R$120,0))*R$8</f>
        <v>1628606.54</v>
      </c>
      <c r="S18" s="102">
        <f t="array" ref="S18">SUM(IF($C$37:$C$120=$H18,$E$37:$E$120*S$37:S$120,0))*S$8</f>
        <v>2079461.069</v>
      </c>
      <c r="T18" s="102">
        <f t="array" ref="T18">SUM(IF($C$37:$C$120=$H18,$E$37:$E$120*T$37:T$120,0))*T$8</f>
        <v>1767541.909</v>
      </c>
      <c r="U18" s="102">
        <f t="array" ref="U18">SUM(IF($C$37:$C$120=$H18,$E$37:$E$120*U$37:U$120,0))*U$8</f>
        <v>1467181.684</v>
      </c>
      <c r="V18" s="102">
        <f t="array" ref="V18">SUM(IF($C$37:$C$120=$H18,$E$37:$E$120*V$37:V$120,0))*V$8</f>
        <v>1775538.512</v>
      </c>
      <c r="W18" s="102">
        <f t="array" ref="W18">SUM(IF($C$37:$C$120=$H18,$E$37:$E$120*W$37:W$120,0))*W$8</f>
        <v>2147387.007</v>
      </c>
      <c r="X18" s="102">
        <f t="array" ref="X18">SUM(IF($C$37:$C$120=$H18,$E$37:$E$120*X$37:X$120,0))*X$8</f>
        <v>2850074.128</v>
      </c>
      <c r="Y18" s="102">
        <f t="array" ref="Y18">SUM(IF($C$37:$C$120=$H18,$E$37:$E$120*Y$37:Y$120,0))*Y$8</f>
        <v>3701137.93</v>
      </c>
      <c r="Z18" s="102">
        <f t="array" ref="Z18">SUM(IF($C$37:$C$120=$H18,$E$37:$E$120*Z$37:Z$120,0))*Z$8</f>
        <v>4543920.684</v>
      </c>
      <c r="AA18" s="102">
        <f t="array" ref="AA18">SUM(IF($C$37:$C$120=$H18,$E$37:$E$120*AA$37:AA$120,0))*AA$8</f>
        <v>5390929.464</v>
      </c>
      <c r="AB18" s="102">
        <f t="array" ref="AB18">SUM(IF($C$37:$C$120=$H18,$E$37:$E$120*AB$37:AB$120,0))*AB$8</f>
        <v>6884146.913</v>
      </c>
      <c r="AC18" s="102">
        <f t="array" ref="AC18">SUM(IF($C$37:$C$120=$H18,$E$37:$E$120*AC$37:AC$120,0))*AC$8</f>
        <v>8129006.343</v>
      </c>
      <c r="AD18" s="102">
        <f t="array" ref="AD18">SUM(IF($C$37:$C$120=$H18,$E$37:$E$120*AD$37:AD$120,0))*AD$8</f>
        <v>9093998.063</v>
      </c>
      <c r="AE18" s="102">
        <f t="array" ref="AE18">SUM(IF($C$37:$C$120=$H18,$E$37:$E$120*AE$37:AE$120,0))*AE$8</f>
        <v>9275878.025</v>
      </c>
      <c r="AF18" s="102">
        <f t="array" ref="AF18">SUM(IF($C$37:$C$120=$H18,$E$37:$E$120*AF$37:AF$120,0))*AF$8</f>
        <v>9461395.585</v>
      </c>
      <c r="AG18" s="102">
        <f t="array" ref="AG18">SUM(IF($C$37:$C$120=$H18,$E$37:$E$120*AG$37:AG$120,0))*AG$8</f>
        <v>9650623.497</v>
      </c>
      <c r="AH18" s="102">
        <f t="array" ref="AH18">SUM(IF($C$37:$C$120=$H18,$E$37:$E$120*AH$37:AH$120,0))*AH$8</f>
        <v>9843635.967</v>
      </c>
      <c r="AI18" s="102">
        <f t="array" ref="AI18">SUM(IF($C$37:$C$120=$H18,$E$37:$E$120*AI$37:AI$120,0))*AI$8</f>
        <v>10040508.69</v>
      </c>
      <c r="AJ18" s="102">
        <f t="array" ref="AJ18">SUM(IF($C$37:$C$120=$H18,$E$37:$E$120*AJ$37:AJ$120,0))*AJ$8</f>
        <v>10241318.86</v>
      </c>
      <c r="AK18" s="102">
        <f t="array" ref="AK18">SUM(IF($C$37:$C$120=$H18,$E$37:$E$120*AK$37:AK$120,0))*AK$8</f>
        <v>10446145.24</v>
      </c>
      <c r="AL18" s="102">
        <f t="array" ref="AL18">SUM(IF($C$37:$C$120=$H18,$E$37:$E$120*AL$37:AL$120,0))*AL$8</f>
        <v>10655068.14</v>
      </c>
      <c r="AM18" s="102">
        <f t="array" ref="AM18">SUM(IF($C$37:$C$120=$H18,$E$37:$E$120*AM$37:AM$120,0))*AM$8</f>
        <v>10761618.82</v>
      </c>
      <c r="AN18" s="102">
        <f t="array" ref="AN18">SUM(IF($C$37:$C$120=$H18,$E$37:$E$120*AN$37:AN$120,0))*AN$8</f>
        <v>10976851.2</v>
      </c>
      <c r="AO18" s="414"/>
      <c r="BI18" s="90"/>
    </row>
    <row r="19" ht="12.75" hidden="1" customHeight="1" outlineLevel="2">
      <c r="A19" s="90"/>
      <c r="B19" s="102"/>
      <c r="C19" s="90"/>
      <c r="D19" s="90"/>
      <c r="E19" s="102"/>
      <c r="F19" s="90"/>
      <c r="H19" s="219" t="s">
        <v>265</v>
      </c>
      <c r="I19" s="219"/>
      <c r="J19" s="102"/>
      <c r="K19" s="102">
        <f t="array" ref="K19">SUM(IF($C$37:$C$120=$H19,$E$37:$E$120*K$37:K$120,0))*K$8</f>
        <v>0</v>
      </c>
      <c r="L19" s="102">
        <f t="array" ref="L19">SUM(IF($C$37:$C$120=$H19,$E$37:$E$120*L$37:L$120,0))*L$8</f>
        <v>145656</v>
      </c>
      <c r="M19" s="102">
        <f t="array" ref="M19">SUM(IF($C$37:$C$120=$H19,$E$37:$E$120*M$37:M$120,0))*M$8</f>
        <v>148569.12</v>
      </c>
      <c r="N19" s="102">
        <f t="array" ref="N19">SUM(IF($C$37:$C$120=$H19,$E$37:$E$120*N$37:N$120,0))*N$8</f>
        <v>151540.5024</v>
      </c>
      <c r="O19" s="102">
        <f t="array" ref="O19">SUM(IF($C$37:$C$120=$H19,$E$37:$E$120*O$37:O$120,0))*O$8</f>
        <v>154571.3124</v>
      </c>
      <c r="P19" s="102">
        <f t="array" ref="P19">SUM(IF($C$37:$C$120=$H19,$E$37:$E$120*P$37:P$120,0))*P$8</f>
        <v>157662.7387</v>
      </c>
      <c r="Q19" s="102">
        <f t="array" ref="Q19">SUM(IF($C$37:$C$120=$H19,$E$37:$E$120*Q$37:Q$120,0))*Q$8</f>
        <v>160815.9935</v>
      </c>
      <c r="R19" s="102">
        <f t="array" ref="R19">SUM(IF($C$37:$C$120=$H19,$E$37:$E$120*R$37:R$120,0))*R$8</f>
        <v>164032.3133</v>
      </c>
      <c r="S19" s="102">
        <f t="array" ref="S19">SUM(IF($C$37:$C$120=$H19,$E$37:$E$120*S$37:S$120,0))*S$8</f>
        <v>167312.9596</v>
      </c>
      <c r="T19" s="102">
        <f t="array" ref="T19">SUM(IF($C$37:$C$120=$H19,$E$37:$E$120*T$37:T$120,0))*T$8</f>
        <v>170659.2188</v>
      </c>
      <c r="U19" s="102">
        <f t="array" ref="U19">SUM(IF($C$37:$C$120=$H19,$E$37:$E$120*U$37:U$120,0))*U$8</f>
        <v>174072.4032</v>
      </c>
      <c r="V19" s="102">
        <f t="array" ref="V19">SUM(IF($C$37:$C$120=$H19,$E$37:$E$120*V$37:V$120,0))*V$8</f>
        <v>177553.8512</v>
      </c>
      <c r="W19" s="102">
        <f t="array" ref="W19">SUM(IF($C$37:$C$120=$H19,$E$37:$E$120*W$37:W$120,0))*W$8</f>
        <v>181104.9283</v>
      </c>
      <c r="X19" s="102">
        <f t="array" ref="X19">SUM(IF($C$37:$C$120=$H19,$E$37:$E$120*X$37:X$120,0))*X$8</f>
        <v>184727.0268</v>
      </c>
      <c r="Y19" s="102">
        <f t="array" ref="Y19">SUM(IF($C$37:$C$120=$H19,$E$37:$E$120*Y$37:Y$120,0))*Y$8</f>
        <v>188421.5674</v>
      </c>
      <c r="Z19" s="102">
        <f t="array" ref="Z19">SUM(IF($C$37:$C$120=$H19,$E$37:$E$120*Z$37:Z$120,0))*Z$8</f>
        <v>192189.9987</v>
      </c>
      <c r="AA19" s="102">
        <f t="array" ref="AA19">SUM(IF($C$37:$C$120=$H19,$E$37:$E$120*AA$37:AA$120,0))*AA$8</f>
        <v>196033.7987</v>
      </c>
      <c r="AB19" s="102">
        <f t="array" ref="AB19">SUM(IF($C$37:$C$120=$H19,$E$37:$E$120*AB$37:AB$120,0))*AB$8</f>
        <v>199954.4747</v>
      </c>
      <c r="AC19" s="102">
        <f t="array" ref="AC19">SUM(IF($C$37:$C$120=$H19,$E$37:$E$120*AC$37:AC$120,0))*AC$8</f>
        <v>203953.5642</v>
      </c>
      <c r="AD19" s="102">
        <f t="array" ref="AD19">SUM(IF($C$37:$C$120=$H19,$E$37:$E$120*AD$37:AD$120,0))*AD$8</f>
        <v>208032.6354</v>
      </c>
      <c r="AE19" s="102">
        <f t="array" ref="AE19">SUM(IF($C$37:$C$120=$H19,$E$37:$E$120*AE$37:AE$120,0))*AE$8</f>
        <v>212193.2881</v>
      </c>
      <c r="AF19" s="102">
        <f t="array" ref="AF19">SUM(IF($C$37:$C$120=$H19,$E$37:$E$120*AF$37:AF$120,0))*AF$8</f>
        <v>216437.1539</v>
      </c>
      <c r="AG19" s="102">
        <f t="array" ref="AG19">SUM(IF($C$37:$C$120=$H19,$E$37:$E$120*AG$37:AG$120,0))*AG$8</f>
        <v>220765.897</v>
      </c>
      <c r="AH19" s="102">
        <f t="array" ref="AH19">SUM(IF($C$37:$C$120=$H19,$E$37:$E$120*AH$37:AH$120,0))*AH$8</f>
        <v>225181.2149</v>
      </c>
      <c r="AI19" s="102">
        <f t="array" ref="AI19">SUM(IF($C$37:$C$120=$H19,$E$37:$E$120*AI$37:AI$120,0))*AI$8</f>
        <v>229684.8392</v>
      </c>
      <c r="AJ19" s="102">
        <f t="array" ref="AJ19">SUM(IF($C$37:$C$120=$H19,$E$37:$E$120*AJ$37:AJ$120,0))*AJ$8</f>
        <v>234278.536</v>
      </c>
      <c r="AK19" s="102">
        <f t="array" ref="AK19">SUM(IF($C$37:$C$120=$H19,$E$37:$E$120*AK$37:AK$120,0))*AK$8</f>
        <v>238964.1067</v>
      </c>
      <c r="AL19" s="102">
        <f t="array" ref="AL19">SUM(IF($C$37:$C$120=$H19,$E$37:$E$120*AL$37:AL$120,0))*AL$8</f>
        <v>243743.3889</v>
      </c>
      <c r="AM19" s="102">
        <f t="array" ref="AM19">SUM(IF($C$37:$C$120=$H19,$E$37:$E$120*AM$37:AM$120,0))*AM$8</f>
        <v>248618.2566</v>
      </c>
      <c r="AN19" s="102">
        <f t="array" ref="AN19">SUM(IF($C$37:$C$120=$H19,$E$37:$E$120*AN$37:AN$120,0))*AN$8</f>
        <v>253590.6218</v>
      </c>
      <c r="AO19" s="414"/>
      <c r="BI19" s="90"/>
    </row>
    <row r="20" ht="12.75" hidden="1" customHeight="1" outlineLevel="2">
      <c r="A20" s="90"/>
      <c r="B20" s="102"/>
      <c r="C20" s="90"/>
      <c r="D20" s="90"/>
      <c r="E20" s="102"/>
      <c r="F20" s="90"/>
      <c r="H20" s="219" t="s">
        <v>138</v>
      </c>
      <c r="I20" s="219"/>
      <c r="J20" s="102"/>
      <c r="K20" s="102" t="str">
        <f t="array" ref="K20">SUM(IF($C$37:$C$120=$H20,$E$37:$E$120*K$37:K$120,0))*K$8</f>
        <v>#REF!</v>
      </c>
      <c r="L20" s="102" t="str">
        <f t="array" ref="L20">SUM(IF($C$37:$C$120=$H20,$E$37:$E$120*L$37:L$120,0))*L$8</f>
        <v>#REF!</v>
      </c>
      <c r="M20" s="102" t="str">
        <f t="array" ref="M20">SUM(IF($C$37:$C$120=$H20,$E$37:$E$120*M$37:M$120,0))*M$8</f>
        <v>#REF!</v>
      </c>
      <c r="N20" s="102" t="str">
        <f t="array" ref="N20">SUM(IF($C$37:$C$120=$H20,$E$37:$E$120*N$37:N$120,0))*N$8</f>
        <v>#REF!</v>
      </c>
      <c r="O20" s="102" t="str">
        <f t="array" ref="O20">SUM(IF($C$37:$C$120=$H20,$E$37:$E$120*O$37:O$120,0))*O$8</f>
        <v>#REF!</v>
      </c>
      <c r="P20" s="102" t="str">
        <f t="array" ref="P20">SUM(IF($C$37:$C$120=$H20,$E$37:$E$120*P$37:P$120,0))*P$8</f>
        <v>#REF!</v>
      </c>
      <c r="Q20" s="102" t="str">
        <f t="array" ref="Q20">SUM(IF($C$37:$C$120=$H20,$E$37:$E$120*Q$37:Q$120,0))*Q$8</f>
        <v>#REF!</v>
      </c>
      <c r="R20" s="102" t="str">
        <f t="array" ref="R20">SUM(IF($C$37:$C$120=$H20,$E$37:$E$120*R$37:R$120,0))*R$8</f>
        <v>#REF!</v>
      </c>
      <c r="S20" s="102" t="str">
        <f t="array" ref="S20">SUM(IF($C$37:$C$120=$H20,$E$37:$E$120*S$37:S$120,0))*S$8</f>
        <v>#REF!</v>
      </c>
      <c r="T20" s="102" t="str">
        <f t="array" ref="T20">SUM(IF($C$37:$C$120=$H20,$E$37:$E$120*T$37:T$120,0))*T$8</f>
        <v>#REF!</v>
      </c>
      <c r="U20" s="102" t="str">
        <f t="array" ref="U20">SUM(IF($C$37:$C$120=$H20,$E$37:$E$120*U$37:U$120,0))*U$8</f>
        <v>#REF!</v>
      </c>
      <c r="V20" s="102" t="str">
        <f t="array" ref="V20">SUM(IF($C$37:$C$120=$H20,$E$37:$E$120*V$37:V$120,0))*V$8</f>
        <v>#REF!</v>
      </c>
      <c r="W20" s="102" t="str">
        <f t="array" ref="W20">SUM(IF($C$37:$C$120=$H20,$E$37:$E$120*W$37:W$120,0))*W$8</f>
        <v>#REF!</v>
      </c>
      <c r="X20" s="102" t="str">
        <f t="array" ref="X20">SUM(IF($C$37:$C$120=$H20,$E$37:$E$120*X$37:X$120,0))*X$8</f>
        <v>#REF!</v>
      </c>
      <c r="Y20" s="102" t="str">
        <f t="array" ref="Y20">SUM(IF($C$37:$C$120=$H20,$E$37:$E$120*Y$37:Y$120,0))*Y$8</f>
        <v>#REF!</v>
      </c>
      <c r="Z20" s="102" t="str">
        <f t="array" ref="Z20">SUM(IF($C$37:$C$120=$H20,$E$37:$E$120*Z$37:Z$120,0))*Z$8</f>
        <v>#REF!</v>
      </c>
      <c r="AA20" s="102" t="str">
        <f t="array" ref="AA20">SUM(IF($C$37:$C$120=$H20,$E$37:$E$120*AA$37:AA$120,0))*AA$8</f>
        <v>#REF!</v>
      </c>
      <c r="AB20" s="102" t="str">
        <f t="array" ref="AB20">SUM(IF($C$37:$C$120=$H20,$E$37:$E$120*AB$37:AB$120,0))*AB$8</f>
        <v>#REF!</v>
      </c>
      <c r="AC20" s="102" t="str">
        <f t="array" ref="AC20">SUM(IF($C$37:$C$120=$H20,$E$37:$E$120*AC$37:AC$120,0))*AC$8</f>
        <v>#REF!</v>
      </c>
      <c r="AD20" s="102" t="str">
        <f t="array" ref="AD20">SUM(IF($C$37:$C$120=$H20,$E$37:$E$120*AD$37:AD$120,0))*AD$8</f>
        <v>#REF!</v>
      </c>
      <c r="AE20" s="102" t="str">
        <f t="array" ref="AE20">SUM(IF($C$37:$C$120=$H20,$E$37:$E$120*AE$37:AE$120,0))*AE$8</f>
        <v>#REF!</v>
      </c>
      <c r="AF20" s="102" t="str">
        <f t="array" ref="AF20">SUM(IF($C$37:$C$120=$H20,$E$37:$E$120*AF$37:AF$120,0))*AF$8</f>
        <v>#REF!</v>
      </c>
      <c r="AG20" s="102" t="str">
        <f t="array" ref="AG20">SUM(IF($C$37:$C$120=$H20,$E$37:$E$120*AG$37:AG$120,0))*AG$8</f>
        <v>#REF!</v>
      </c>
      <c r="AH20" s="102" t="str">
        <f t="array" ref="AH20">SUM(IF($C$37:$C$120=$H20,$E$37:$E$120*AH$37:AH$120,0))*AH$8</f>
        <v>#REF!</v>
      </c>
      <c r="AI20" s="102" t="str">
        <f t="array" ref="AI20">SUM(IF($C$37:$C$120=$H20,$E$37:$E$120*AI$37:AI$120,0))*AI$8</f>
        <v>#REF!</v>
      </c>
      <c r="AJ20" s="102" t="str">
        <f t="array" ref="AJ20">SUM(IF($C$37:$C$120=$H20,$E$37:$E$120*AJ$37:AJ$120,0))*AJ$8</f>
        <v>#REF!</v>
      </c>
      <c r="AK20" s="102" t="str">
        <f t="array" ref="AK20">SUM(IF($C$37:$C$120=$H20,$E$37:$E$120*AK$37:AK$120,0))*AK$8</f>
        <v>#REF!</v>
      </c>
      <c r="AL20" s="102" t="str">
        <f t="array" ref="AL20">SUM(IF($C$37:$C$120=$H20,$E$37:$E$120*AL$37:AL$120,0))*AL$8</f>
        <v>#REF!</v>
      </c>
      <c r="AM20" s="102" t="str">
        <f t="array" ref="AM20">SUM(IF($C$37:$C$120=$H20,$E$37:$E$120*AM$37:AM$120,0))*AM$8</f>
        <v>#REF!</v>
      </c>
      <c r="AN20" s="102" t="str">
        <f t="array" ref="AN20">SUM(IF($C$37:$C$120=$H20,$E$37:$E$120*AN$37:AN$120,0))*AN$8</f>
        <v>#REF!</v>
      </c>
      <c r="AO20" s="414"/>
      <c r="BI20" s="90"/>
    </row>
    <row r="21" ht="12.75" hidden="1" customHeight="1" outlineLevel="2">
      <c r="A21" s="90"/>
      <c r="B21" s="102"/>
      <c r="C21" s="90"/>
      <c r="D21" s="90"/>
      <c r="E21" s="102"/>
      <c r="F21" s="90"/>
      <c r="H21" s="219" t="s">
        <v>309</v>
      </c>
      <c r="I21" s="219"/>
      <c r="J21" s="102"/>
      <c r="K21" s="102">
        <f t="array" ref="K21">SUM(IF($C$37:$C$120=$H21,$E$37:$E$120*K$37:K$120,0))*K$8</f>
        <v>326400</v>
      </c>
      <c r="L21" s="102">
        <f t="array" ref="L21">SUM(IF($C$37:$C$120=$H21,$E$37:$E$120*L$37:L$120,0))*L$8</f>
        <v>332928</v>
      </c>
      <c r="M21" s="102">
        <f t="array" ref="M21">SUM(IF($C$37:$C$120=$H21,$E$37:$E$120*M$37:M$120,0))*M$8</f>
        <v>403259.04</v>
      </c>
      <c r="N21" s="102">
        <f t="array" ref="N21">SUM(IF($C$37:$C$120=$H21,$E$37:$E$120*N$37:N$120,0))*N$8</f>
        <v>497918.7936</v>
      </c>
      <c r="O21" s="102">
        <f t="array" ref="O21">SUM(IF($C$37:$C$120=$H21,$E$37:$E$120*O$37:O$120,0))*O$8</f>
        <v>927427.8747</v>
      </c>
      <c r="P21" s="102">
        <f t="array" ref="P21">SUM(IF($C$37:$C$120=$H21,$E$37:$E$120*P$37:P$120,0))*P$8</f>
        <v>1126162.419</v>
      </c>
      <c r="Q21" s="102">
        <f t="array" ref="Q21">SUM(IF($C$37:$C$120=$H21,$E$37:$E$120*Q$37:Q$120,0))*Q$8</f>
        <v>1723028.501</v>
      </c>
      <c r="R21" s="102">
        <f t="array" ref="R21">SUM(IF($C$37:$C$120=$H21,$E$37:$E$120*R$37:R$120,0))*R$8</f>
        <v>2413618.325</v>
      </c>
      <c r="S21" s="102">
        <f t="array" ref="S21">SUM(IF($C$37:$C$120=$H21,$E$37:$E$120*S$37:S$120,0))*S$8</f>
        <v>3202848.084</v>
      </c>
      <c r="T21" s="102">
        <f t="array" ref="T21">SUM(IF($C$37:$C$120=$H21,$E$37:$E$120*T$37:T$120,0))*T$8</f>
        <v>3583843.595</v>
      </c>
      <c r="U21" s="102">
        <f t="array" ref="U21">SUM(IF($C$37:$C$120=$H21,$E$37:$E$120*U$37:U$120,0))*U$8</f>
        <v>4351810.079</v>
      </c>
      <c r="V21" s="102">
        <f t="array" ref="V21">SUM(IF($C$37:$C$120=$H21,$E$37:$E$120*V$37:V$120,0))*V$8</f>
        <v>5453439.717</v>
      </c>
      <c r="W21" s="102">
        <f t="array" ref="W21">SUM(IF($C$37:$C$120=$H21,$E$37:$E$120*W$37:W$120,0))*W$8</f>
        <v>7787511.915</v>
      </c>
      <c r="X21" s="102">
        <f t="array" ref="X21">SUM(IF($C$37:$C$120=$H21,$E$37:$E$120*X$37:X$120,0))*X$8</f>
        <v>10819725.86</v>
      </c>
      <c r="Y21" s="102">
        <f t="array" ref="Y21">SUM(IF($C$37:$C$120=$H21,$E$37:$E$120*Y$37:Y$120,0))*Y$8</f>
        <v>14777634.35</v>
      </c>
      <c r="Z21" s="102">
        <f t="array" ref="Z21">SUM(IF($C$37:$C$120=$H21,$E$37:$E$120*Z$37:Z$120,0))*Z$8</f>
        <v>18999354.16</v>
      </c>
      <c r="AA21" s="102">
        <f t="array" ref="AA21">SUM(IF($C$37:$C$120=$H21,$E$37:$E$120*AA$37:AA$120,0))*AA$8</f>
        <v>24420210.35</v>
      </c>
      <c r="AB21" s="102">
        <f t="array" ref="AB21">SUM(IF($C$37:$C$120=$H21,$E$37:$E$120*AB$37:AB$120,0))*AB$8</f>
        <v>30535904.77</v>
      </c>
      <c r="AC21" s="102">
        <f t="array" ref="AC21">SUM(IF($C$37:$C$120=$H21,$E$37:$E$120*AC$37:AC$120,0))*AC$8</f>
        <v>36216325.75</v>
      </c>
      <c r="AD21" s="102">
        <f t="array" ref="AD21">SUM(IF($C$37:$C$120=$H21,$E$37:$E$120*AD$37:AD$120,0))*AD$8</f>
        <v>41101304.97</v>
      </c>
      <c r="AE21" s="102">
        <f t="array" ref="AE21">SUM(IF($C$37:$C$120=$H21,$E$37:$E$120*AE$37:AE$120,0))*AE$8</f>
        <v>41165497.9</v>
      </c>
      <c r="AF21" s="102">
        <f t="array" ref="AF21">SUM(IF($C$37:$C$120=$H21,$E$37:$E$120*AF$37:AF$120,0))*AF$8</f>
        <v>41896049.08</v>
      </c>
      <c r="AG21" s="102">
        <f t="array" ref="AG21">SUM(IF($C$37:$C$120=$H21,$E$37:$E$120*AG$37:AG$120,0))*AG$8</f>
        <v>42733970.06</v>
      </c>
      <c r="AH21" s="102">
        <f t="array" ref="AH21">SUM(IF($C$37:$C$120=$H21,$E$37:$E$120*AH$37:AH$120,0))*AH$8</f>
        <v>43588649.46</v>
      </c>
      <c r="AI21" s="102">
        <f t="array" ref="AI21">SUM(IF($C$37:$C$120=$H21,$E$37:$E$120*AI$37:AI$120,0))*AI$8</f>
        <v>44460422.45</v>
      </c>
      <c r="AJ21" s="102">
        <f t="array" ref="AJ21">SUM(IF($C$37:$C$120=$H21,$E$37:$E$120*AJ$37:AJ$120,0))*AJ$8</f>
        <v>45349630.9</v>
      </c>
      <c r="AK21" s="102">
        <f t="array" ref="AK21">SUM(IF($C$37:$C$120=$H21,$E$37:$E$120*AK$37:AK$120,0))*AK$8</f>
        <v>46256623.52</v>
      </c>
      <c r="AL21" s="102">
        <f t="array" ref="AL21">SUM(IF($C$37:$C$120=$H21,$E$37:$E$120*AL$37:AL$120,0))*AL$8</f>
        <v>47181755.99</v>
      </c>
      <c r="AM21" s="102">
        <f t="array" ref="AM21">SUM(IF($C$37:$C$120=$H21,$E$37:$E$120*AM$37:AM$120,0))*AM$8</f>
        <v>47876772.85</v>
      </c>
      <c r="AN21" s="102">
        <f t="array" ref="AN21">SUM(IF($C$37:$C$120=$H21,$E$37:$E$120*AN$37:AN$120,0))*AN$8</f>
        <v>48834308.31</v>
      </c>
      <c r="AO21" s="414"/>
      <c r="BI21" s="90"/>
    </row>
    <row r="22" ht="12.75" hidden="1" customHeight="1" outlineLevel="2">
      <c r="A22" s="90"/>
      <c r="B22" s="102"/>
      <c r="C22" s="90"/>
      <c r="D22" s="90"/>
      <c r="E22" s="102"/>
      <c r="F22" s="90"/>
      <c r="H22" s="219" t="s">
        <v>310</v>
      </c>
      <c r="I22" s="219"/>
      <c r="J22" s="102"/>
      <c r="K22" s="102">
        <f t="array" ref="K22">SUM(IF($C$37:$C$120=$H22,$E$37:$E$120*K$37:K$120,0))*K$8</f>
        <v>163200</v>
      </c>
      <c r="L22" s="102">
        <f t="array" ref="L22">SUM(IF($C$37:$C$120=$H22,$E$37:$E$120*L$37:L$120,0))*L$8</f>
        <v>228888</v>
      </c>
      <c r="M22" s="102">
        <f t="array" ref="M22">SUM(IF($C$37:$C$120=$H22,$E$37:$E$120*M$37:M$120,0))*M$8</f>
        <v>297138.24</v>
      </c>
      <c r="N22" s="102">
        <f t="array" ref="N22">SUM(IF($C$37:$C$120=$H22,$E$37:$E$120*N$37:N$120,0))*N$8</f>
        <v>497918.7936</v>
      </c>
      <c r="O22" s="102">
        <f t="array" ref="O22">SUM(IF($C$37:$C$120=$H22,$E$37:$E$120*O$37:O$120,0))*O$8</f>
        <v>706611.714</v>
      </c>
      <c r="P22" s="102">
        <f t="array" ref="P22">SUM(IF($C$37:$C$120=$H22,$E$37:$E$120*P$37:P$120,0))*P$8</f>
        <v>991022.929</v>
      </c>
      <c r="Q22" s="102">
        <f t="array" ref="Q22">SUM(IF($C$37:$C$120=$H22,$E$37:$E$120*Q$37:Q$120,0))*Q$8</f>
        <v>1608159.935</v>
      </c>
      <c r="R22" s="102">
        <f t="array" ref="R22">SUM(IF($C$37:$C$120=$H22,$E$37:$E$120*R$37:R$120,0))*R$8</f>
        <v>2155853.261</v>
      </c>
      <c r="S22" s="102">
        <f t="array" ref="S22">SUM(IF($C$37:$C$120=$H22,$E$37:$E$120*S$37:S$120,0))*S$8</f>
        <v>2270675.88</v>
      </c>
      <c r="T22" s="102">
        <f t="array" ref="T22">SUM(IF($C$37:$C$120=$H22,$E$37:$E$120*T$37:T$120,0))*T$8</f>
        <v>2462368.728</v>
      </c>
      <c r="U22" s="102">
        <f t="array" ref="U22">SUM(IF($C$37:$C$120=$H22,$E$37:$E$120*U$37:U$120,0))*U$8</f>
        <v>3158170.743</v>
      </c>
      <c r="V22" s="102">
        <f t="array" ref="V22">SUM(IF($C$37:$C$120=$H22,$E$37:$E$120*V$37:V$120,0))*V$8</f>
        <v>4261292.43</v>
      </c>
      <c r="W22" s="102">
        <f t="array" ref="W22">SUM(IF($C$37:$C$120=$H22,$E$37:$E$120*W$37:W$120,0))*W$8</f>
        <v>5226170.787</v>
      </c>
      <c r="X22" s="102">
        <f t="array" ref="X22">SUM(IF($C$37:$C$120=$H22,$E$37:$E$120*X$37:X$120,0))*X$8</f>
        <v>6201550.186</v>
      </c>
      <c r="Y22" s="102">
        <f t="array" ref="Y22">SUM(IF($C$37:$C$120=$H22,$E$37:$E$120*Y$37:Y$120,0))*Y$8</f>
        <v>7079267.46</v>
      </c>
      <c r="Z22" s="102">
        <f t="array" ref="Z22">SUM(IF($C$37:$C$120=$H22,$E$37:$E$120*Z$37:Z$120,0))*Z$8</f>
        <v>7989612.804</v>
      </c>
      <c r="AA22" s="102">
        <f t="array" ref="AA22">SUM(IF($C$37:$C$120=$H22,$E$37:$E$120*AA$37:AA$120,0))*AA$8</f>
        <v>8317434.03</v>
      </c>
      <c r="AB22" s="102">
        <f t="array" ref="AB22">SUM(IF($C$37:$C$120=$H22,$E$37:$E$120*AB$37:AB$120,0))*AB$8</f>
        <v>7683964.812</v>
      </c>
      <c r="AC22" s="102">
        <f t="array" ref="AC22">SUM(IF($C$37:$C$120=$H22,$E$37:$E$120*AC$37:AC$120,0))*AC$8</f>
        <v>4516114.635</v>
      </c>
      <c r="AD22" s="102">
        <f t="array" ref="AD22">SUM(IF($C$37:$C$120=$H22,$E$37:$E$120*AD$37:AD$120,0))*AD$8</f>
        <v>1842574.771</v>
      </c>
      <c r="AE22" s="102">
        <f t="array" ref="AE22">SUM(IF($C$37:$C$120=$H22,$E$37:$E$120*AE$37:AE$120,0))*AE$8</f>
        <v>1606606.325</v>
      </c>
      <c r="AF22" s="102">
        <f t="array" ref="AF22">SUM(IF($C$37:$C$120=$H22,$E$37:$E$120*AF$37:AF$120,0))*AF$8</f>
        <v>1638738.451</v>
      </c>
      <c r="AG22" s="102">
        <f t="array" ref="AG22">SUM(IF($C$37:$C$120=$H22,$E$37:$E$120*AG$37:AG$120,0))*AG$8</f>
        <v>1671513.22</v>
      </c>
      <c r="AH22" s="102">
        <f t="array" ref="AH22">SUM(IF($C$37:$C$120=$H22,$E$37:$E$120*AH$37:AH$120,0))*AH$8</f>
        <v>1704943.484</v>
      </c>
      <c r="AI22" s="102">
        <f t="array" ref="AI22">SUM(IF($C$37:$C$120=$H22,$E$37:$E$120*AI$37:AI$120,0))*AI$8</f>
        <v>1739042.354</v>
      </c>
      <c r="AJ22" s="102">
        <f t="array" ref="AJ22">SUM(IF($C$37:$C$120=$H22,$E$37:$E$120*AJ$37:AJ$120,0))*AJ$8</f>
        <v>1773823.201</v>
      </c>
      <c r="AK22" s="102">
        <f t="array" ref="AK22">SUM(IF($C$37:$C$120=$H22,$E$37:$E$120*AK$37:AK$120,0))*AK$8</f>
        <v>1809299.665</v>
      </c>
      <c r="AL22" s="102">
        <f t="array" ref="AL22">SUM(IF($C$37:$C$120=$H22,$E$37:$E$120*AL$37:AL$120,0))*AL$8</f>
        <v>1741024.206</v>
      </c>
      <c r="AM22" s="102">
        <f t="array" ref="AM22">SUM(IF($C$37:$C$120=$H22,$E$37:$E$120*AM$37:AM$120,0))*AM$8</f>
        <v>1669294.009</v>
      </c>
      <c r="AN22" s="102">
        <f t="array" ref="AN22">SUM(IF($C$37:$C$120=$H22,$E$37:$E$120*AN$37:AN$120,0))*AN$8</f>
        <v>1702679.889</v>
      </c>
      <c r="AO22" s="414"/>
      <c r="BI22" s="90"/>
    </row>
    <row r="23" ht="12.75" hidden="1" customHeight="1" outlineLevel="2">
      <c r="A23" s="90"/>
      <c r="B23" s="102"/>
      <c r="C23" s="90"/>
      <c r="D23" s="90"/>
      <c r="E23" s="102"/>
      <c r="F23" s="90"/>
      <c r="H23" s="219" t="s">
        <v>268</v>
      </c>
      <c r="I23" s="219"/>
      <c r="J23" s="102"/>
      <c r="K23" s="102">
        <f t="array" ref="K23">SUM(IF($C$37:$C$120=$H23,$E$37:$E$120*K$37:K$120,0))*K$8</f>
        <v>244800</v>
      </c>
      <c r="L23" s="102">
        <f t="array" ref="L23">SUM(IF($C$37:$C$120=$H23,$E$37:$E$120*L$37:L$120,0))*L$8</f>
        <v>249696</v>
      </c>
      <c r="M23" s="102">
        <f t="array" ref="M23">SUM(IF($C$37:$C$120=$H23,$E$37:$E$120*M$37:M$120,0))*M$8</f>
        <v>254689.92</v>
      </c>
      <c r="N23" s="102">
        <f t="array" ref="N23">SUM(IF($C$37:$C$120=$H23,$E$37:$E$120*N$37:N$120,0))*N$8</f>
        <v>259783.7184</v>
      </c>
      <c r="O23" s="102">
        <f t="array" ref="O23">SUM(IF($C$37:$C$120=$H23,$E$37:$E$120*O$37:O$120,0))*O$8</f>
        <v>264979.3928</v>
      </c>
      <c r="P23" s="102">
        <f t="array" ref="P23">SUM(IF($C$37:$C$120=$H23,$E$37:$E$120*P$37:P$120,0))*P$8</f>
        <v>270278.9806</v>
      </c>
      <c r="Q23" s="102">
        <f t="array" ref="Q23">SUM(IF($C$37:$C$120=$H23,$E$37:$E$120*Q$37:Q$120,0))*Q$8</f>
        <v>367579.4136</v>
      </c>
      <c r="R23" s="102">
        <f t="array" ref="R23">SUM(IF($C$37:$C$120=$H23,$E$37:$E$120*R$37:R$120,0))*R$8</f>
        <v>468663.7524</v>
      </c>
      <c r="S23" s="102">
        <f t="array" ref="S23">SUM(IF($C$37:$C$120=$H23,$E$37:$E$120*S$37:S$120,0))*S$8</f>
        <v>645349.9871</v>
      </c>
      <c r="T23" s="102">
        <f t="array" ref="T23">SUM(IF($C$37:$C$120=$H23,$E$37:$E$120*T$37:T$120,0))*T$8</f>
        <v>1072715.09</v>
      </c>
      <c r="U23" s="102">
        <f t="array" ref="U23">SUM(IF($C$37:$C$120=$H23,$E$37:$E$120*U$37:U$120,0))*U$8</f>
        <v>1467181.684</v>
      </c>
      <c r="V23" s="102">
        <f t="array" ref="V23">SUM(IF($C$37:$C$120=$H23,$E$37:$E$120*V$37:V$120,0))*V$8</f>
        <v>1572619.825</v>
      </c>
      <c r="W23" s="102">
        <f t="array" ref="W23">SUM(IF($C$37:$C$120=$H23,$E$37:$E$120*W$37:W$120,0))*W$8</f>
        <v>1681688.62</v>
      </c>
      <c r="X23" s="102">
        <f t="array" ref="X23">SUM(IF($C$37:$C$120=$H23,$E$37:$E$120*X$37:X$120,0))*X$8</f>
        <v>2005607.72</v>
      </c>
      <c r="Y23" s="102">
        <f t="array" ref="Y23">SUM(IF($C$37:$C$120=$H23,$E$37:$E$120*Y$37:Y$120,0))*Y$8</f>
        <v>2287976.175</v>
      </c>
      <c r="Z23" s="102">
        <f t="array" ref="Z23">SUM(IF($C$37:$C$120=$H23,$E$37:$E$120*Z$37:Z$120,0))*Z$8</f>
        <v>2498469.983</v>
      </c>
      <c r="AA23" s="102">
        <f t="array" ref="AA23">SUM(IF($C$37:$C$120=$H23,$E$37:$E$120*AA$37:AA$120,0))*AA$8</f>
        <v>2940506.98</v>
      </c>
      <c r="AB23" s="102">
        <f t="array" ref="AB23">SUM(IF($C$37:$C$120=$H23,$E$37:$E$120*AB$37:AB$120,0))*AB$8</f>
        <v>3342096.219</v>
      </c>
      <c r="AC23" s="102">
        <f t="array" ref="AC23">SUM(IF($C$37:$C$120=$H23,$E$37:$E$120*AC$37:AC$120,0))*AC$8</f>
        <v>3671164.155</v>
      </c>
      <c r="AD23" s="102">
        <f t="array" ref="AD23">SUM(IF($C$37:$C$120=$H23,$E$37:$E$120*AD$37:AD$120,0))*AD$8</f>
        <v>4160652.709</v>
      </c>
      <c r="AE23" s="102">
        <f t="array" ref="AE23">SUM(IF($C$37:$C$120=$H23,$E$37:$E$120*AE$37:AE$120,0))*AE$8</f>
        <v>4243865.763</v>
      </c>
      <c r="AF23" s="102">
        <f t="array" ref="AF23">SUM(IF($C$37:$C$120=$H23,$E$37:$E$120*AF$37:AF$120,0))*AF$8</f>
        <v>4328743.078</v>
      </c>
      <c r="AG23" s="102">
        <f t="array" ref="AG23">SUM(IF($C$37:$C$120=$H23,$E$37:$E$120*AG$37:AG$120,0))*AG$8</f>
        <v>4415317.94</v>
      </c>
      <c r="AH23" s="102">
        <f t="array" ref="AH23">SUM(IF($C$37:$C$120=$H23,$E$37:$E$120*AH$37:AH$120,0))*AH$8</f>
        <v>4503624.299</v>
      </c>
      <c r="AI23" s="102">
        <f t="array" ref="AI23">SUM(IF($C$37:$C$120=$H23,$E$37:$E$120*AI$37:AI$120,0))*AI$8</f>
        <v>4593696.785</v>
      </c>
      <c r="AJ23" s="102">
        <f t="array" ref="AJ23">SUM(IF($C$37:$C$120=$H23,$E$37:$E$120*AJ$37:AJ$120,0))*AJ$8</f>
        <v>4685570.72</v>
      </c>
      <c r="AK23" s="102">
        <f t="array" ref="AK23">SUM(IF($C$37:$C$120=$H23,$E$37:$E$120*AK$37:AK$120,0))*AK$8</f>
        <v>4779282.135</v>
      </c>
      <c r="AL23" s="102">
        <f t="array" ref="AL23">SUM(IF($C$37:$C$120=$H23,$E$37:$E$120*AL$37:AL$120,0))*AL$8</f>
        <v>4874867.777</v>
      </c>
      <c r="AM23" s="102">
        <f t="array" ref="AM23">SUM(IF($C$37:$C$120=$H23,$E$37:$E$120*AM$37:AM$120,0))*AM$8</f>
        <v>4972365.133</v>
      </c>
      <c r="AN23" s="102">
        <f t="array" ref="AN23">SUM(IF($C$37:$C$120=$H23,$E$37:$E$120*AN$37:AN$120,0))*AN$8</f>
        <v>5071812.435</v>
      </c>
      <c r="AO23" s="414"/>
      <c r="BI23" s="90"/>
    </row>
    <row r="24" ht="12.75" hidden="1" customHeight="1" outlineLevel="2">
      <c r="A24" s="90"/>
      <c r="B24" s="102"/>
      <c r="C24" s="90"/>
      <c r="D24" s="90"/>
      <c r="E24" s="102"/>
      <c r="F24" s="90"/>
      <c r="H24" s="219" t="s">
        <v>264</v>
      </c>
      <c r="I24" s="219"/>
      <c r="J24" s="102"/>
      <c r="K24" s="102" t="str">
        <f t="array" ref="K24">SUM(IF($C$37:$C$120=$H24,$E$37:$E$120*K$37:K$120,0))*K$8</f>
        <v>#REF!</v>
      </c>
      <c r="L24" s="102" t="str">
        <f t="array" ref="L24">SUM(IF($C$37:$C$120=$H24,$E$37:$E$120*L$37:L$120,0))*L$8</f>
        <v>#REF!</v>
      </c>
      <c r="M24" s="102" t="str">
        <f t="array" ref="M24">SUM(IF($C$37:$C$120=$H24,$E$37:$E$120*M$37:M$120,0))*M$8</f>
        <v>#REF!</v>
      </c>
      <c r="N24" s="102" t="str">
        <f t="array" ref="N24">SUM(IF($C$37:$C$120=$H24,$E$37:$E$120*N$37:N$120,0))*N$8</f>
        <v>#REF!</v>
      </c>
      <c r="O24" s="102" t="str">
        <f t="array" ref="O24">SUM(IF($C$37:$C$120=$H24,$E$37:$E$120*O$37:O$120,0))*O$8</f>
        <v>#REF!</v>
      </c>
      <c r="P24" s="102" t="str">
        <f t="array" ref="P24">SUM(IF($C$37:$C$120=$H24,$E$37:$E$120*P$37:P$120,0))*P$8</f>
        <v>#REF!</v>
      </c>
      <c r="Q24" s="102" t="str">
        <f t="array" ref="Q24">SUM(IF($C$37:$C$120=$H24,$E$37:$E$120*Q$37:Q$120,0))*Q$8</f>
        <v>#REF!</v>
      </c>
      <c r="R24" s="102" t="str">
        <f t="array" ref="R24">SUM(IF($C$37:$C$120=$H24,$E$37:$E$120*R$37:R$120,0))*R$8</f>
        <v>#REF!</v>
      </c>
      <c r="S24" s="102" t="str">
        <f t="array" ref="S24">SUM(IF($C$37:$C$120=$H24,$E$37:$E$120*S$37:S$120,0))*S$8</f>
        <v>#REF!</v>
      </c>
      <c r="T24" s="102" t="str">
        <f t="array" ref="T24">SUM(IF($C$37:$C$120=$H24,$E$37:$E$120*T$37:T$120,0))*T$8</f>
        <v>#REF!</v>
      </c>
      <c r="U24" s="102" t="str">
        <f t="array" ref="U24">SUM(IF($C$37:$C$120=$H24,$E$37:$E$120*U$37:U$120,0))*U$8</f>
        <v>#REF!</v>
      </c>
      <c r="V24" s="102" t="str">
        <f t="array" ref="V24">SUM(IF($C$37:$C$120=$H24,$E$37:$E$120*V$37:V$120,0))*V$8</f>
        <v>#REF!</v>
      </c>
      <c r="W24" s="102" t="str">
        <f t="array" ref="W24">SUM(IF($C$37:$C$120=$H24,$E$37:$E$120*W$37:W$120,0))*W$8</f>
        <v>#REF!</v>
      </c>
      <c r="X24" s="102" t="str">
        <f t="array" ref="X24">SUM(IF($C$37:$C$120=$H24,$E$37:$E$120*X$37:X$120,0))*X$8</f>
        <v>#REF!</v>
      </c>
      <c r="Y24" s="102" t="str">
        <f t="array" ref="Y24">SUM(IF($C$37:$C$120=$H24,$E$37:$E$120*Y$37:Y$120,0))*Y$8</f>
        <v>#REF!</v>
      </c>
      <c r="Z24" s="102" t="str">
        <f t="array" ref="Z24">SUM(IF($C$37:$C$120=$H24,$E$37:$E$120*Z$37:Z$120,0))*Z$8</f>
        <v>#REF!</v>
      </c>
      <c r="AA24" s="102" t="str">
        <f t="array" ref="AA24">SUM(IF($C$37:$C$120=$H24,$E$37:$E$120*AA$37:AA$120,0))*AA$8</f>
        <v>#REF!</v>
      </c>
      <c r="AB24" s="102" t="str">
        <f t="array" ref="AB24">SUM(IF($C$37:$C$120=$H24,$E$37:$E$120*AB$37:AB$120,0))*AB$8</f>
        <v>#REF!</v>
      </c>
      <c r="AC24" s="102" t="str">
        <f t="array" ref="AC24">SUM(IF($C$37:$C$120=$H24,$E$37:$E$120*AC$37:AC$120,0))*AC$8</f>
        <v>#REF!</v>
      </c>
      <c r="AD24" s="102" t="str">
        <f t="array" ref="AD24">SUM(IF($C$37:$C$120=$H24,$E$37:$E$120*AD$37:AD$120,0))*AD$8</f>
        <v>#REF!</v>
      </c>
      <c r="AE24" s="102" t="str">
        <f t="array" ref="AE24">SUM(IF($C$37:$C$120=$H24,$E$37:$E$120*AE$37:AE$120,0))*AE$8</f>
        <v>#REF!</v>
      </c>
      <c r="AF24" s="102" t="str">
        <f t="array" ref="AF24">SUM(IF($C$37:$C$120=$H24,$E$37:$E$120*AF$37:AF$120,0))*AF$8</f>
        <v>#REF!</v>
      </c>
      <c r="AG24" s="102" t="str">
        <f t="array" ref="AG24">SUM(IF($C$37:$C$120=$H24,$E$37:$E$120*AG$37:AG$120,0))*AG$8</f>
        <v>#REF!</v>
      </c>
      <c r="AH24" s="102" t="str">
        <f t="array" ref="AH24">SUM(IF($C$37:$C$120=$H24,$E$37:$E$120*AH$37:AH$120,0))*AH$8</f>
        <v>#REF!</v>
      </c>
      <c r="AI24" s="102" t="str">
        <f t="array" ref="AI24">SUM(IF($C$37:$C$120=$H24,$E$37:$E$120*AI$37:AI$120,0))*AI$8</f>
        <v>#REF!</v>
      </c>
      <c r="AJ24" s="102" t="str">
        <f t="array" ref="AJ24">SUM(IF($C$37:$C$120=$H24,$E$37:$E$120*AJ$37:AJ$120,0))*AJ$8</f>
        <v>#REF!</v>
      </c>
      <c r="AK24" s="102" t="str">
        <f t="array" ref="AK24">SUM(IF($C$37:$C$120=$H24,$E$37:$E$120*AK$37:AK$120,0))*AK$8</f>
        <v>#REF!</v>
      </c>
      <c r="AL24" s="102" t="str">
        <f t="array" ref="AL24">SUM(IF($C$37:$C$120=$H24,$E$37:$E$120*AL$37:AL$120,0))*AL$8</f>
        <v>#REF!</v>
      </c>
      <c r="AM24" s="102" t="str">
        <f t="array" ref="AM24">SUM(IF($C$37:$C$120=$H24,$E$37:$E$120*AM$37:AM$120,0))*AM$8</f>
        <v>#REF!</v>
      </c>
      <c r="AN24" s="102" t="str">
        <f t="array" ref="AN24">SUM(IF($C$37:$C$120=$H24,$E$37:$E$120*AN$37:AN$120,0))*AN$8</f>
        <v>#REF!</v>
      </c>
      <c r="AO24" s="414"/>
      <c r="BI24" s="90"/>
    </row>
    <row r="25" ht="12.75" hidden="1" customHeight="1" outlineLevel="2">
      <c r="A25" s="90"/>
      <c r="B25" s="102"/>
      <c r="C25" s="400"/>
      <c r="D25" s="90"/>
      <c r="E25" s="102"/>
      <c r="F25" s="90"/>
      <c r="H25" s="102" t="s">
        <v>311</v>
      </c>
      <c r="I25" s="102"/>
      <c r="J25" s="415"/>
      <c r="K25" s="415">
        <f t="shared" ref="K25:AN25" si="10">SUMPRODUCT(K123:K139,$E$123:$E$139)*K8</f>
        <v>122400</v>
      </c>
      <c r="L25" s="415">
        <f t="shared" si="10"/>
        <v>270504</v>
      </c>
      <c r="M25" s="415">
        <f t="shared" si="10"/>
        <v>657948.96</v>
      </c>
      <c r="N25" s="415">
        <f t="shared" si="10"/>
        <v>1212324.019</v>
      </c>
      <c r="O25" s="415">
        <f t="shared" si="10"/>
        <v>1921100.598</v>
      </c>
      <c r="P25" s="415">
        <f t="shared" si="10"/>
        <v>2635220.061</v>
      </c>
      <c r="Q25" s="415">
        <f t="shared" si="10"/>
        <v>3629846.71</v>
      </c>
      <c r="R25" s="415">
        <f t="shared" si="10"/>
        <v>5249034.027</v>
      </c>
      <c r="S25" s="415">
        <f t="shared" si="10"/>
        <v>6764223.938</v>
      </c>
      <c r="T25" s="415">
        <f t="shared" si="10"/>
        <v>7338346.408</v>
      </c>
      <c r="U25" s="415">
        <f t="shared" si="10"/>
        <v>7485113.337</v>
      </c>
      <c r="V25" s="415">
        <f t="shared" si="10"/>
        <v>7634815.603</v>
      </c>
      <c r="W25" s="415">
        <f t="shared" si="10"/>
        <v>7787511.915</v>
      </c>
      <c r="X25" s="415">
        <f t="shared" si="10"/>
        <v>7943262.154</v>
      </c>
      <c r="Y25" s="415">
        <f t="shared" si="10"/>
        <v>8102127.397</v>
      </c>
      <c r="Z25" s="415">
        <f t="shared" si="10"/>
        <v>8264169.945</v>
      </c>
      <c r="AA25" s="415">
        <f t="shared" si="10"/>
        <v>8429453.344</v>
      </c>
      <c r="AB25" s="415">
        <f t="shared" si="10"/>
        <v>8598042.41</v>
      </c>
      <c r="AC25" s="415">
        <f t="shared" si="10"/>
        <v>8770003.259</v>
      </c>
      <c r="AD25" s="415">
        <f t="shared" si="10"/>
        <v>8945403.324</v>
      </c>
      <c r="AE25" s="415">
        <f t="shared" si="10"/>
        <v>9124311.39</v>
      </c>
      <c r="AF25" s="415">
        <f t="shared" si="10"/>
        <v>9306797.618</v>
      </c>
      <c r="AG25" s="415">
        <f t="shared" si="10"/>
        <v>9492933.57</v>
      </c>
      <c r="AH25" s="415">
        <f t="shared" si="10"/>
        <v>9682792.242</v>
      </c>
      <c r="AI25" s="415">
        <f t="shared" si="10"/>
        <v>9876448.087</v>
      </c>
      <c r="AJ25" s="415">
        <f t="shared" si="10"/>
        <v>10073977.05</v>
      </c>
      <c r="AK25" s="415">
        <f t="shared" si="10"/>
        <v>10275456.59</v>
      </c>
      <c r="AL25" s="415">
        <f t="shared" si="10"/>
        <v>10480965.72</v>
      </c>
      <c r="AM25" s="415">
        <f t="shared" si="10"/>
        <v>10690585.04</v>
      </c>
      <c r="AN25" s="415">
        <f t="shared" si="10"/>
        <v>10904396.74</v>
      </c>
      <c r="AO25" s="414"/>
      <c r="BI25" s="90"/>
    </row>
    <row r="26" ht="12.75" hidden="1" customHeight="1" outlineLevel="1">
      <c r="A26" s="90"/>
      <c r="B26" s="102"/>
      <c r="C26" s="400"/>
      <c r="D26" s="90"/>
      <c r="E26" s="102"/>
      <c r="F26" s="90"/>
      <c r="H26" s="401" t="s">
        <v>868</v>
      </c>
      <c r="I26" s="401"/>
      <c r="J26" s="88"/>
      <c r="K26" s="205" t="str">
        <f t="shared" ref="K26:AN26" si="11">SUM(K15:K25)</f>
        <v>#REF!</v>
      </c>
      <c r="L26" s="205" t="str">
        <f t="shared" si="11"/>
        <v>#REF!</v>
      </c>
      <c r="M26" s="205" t="str">
        <f t="shared" si="11"/>
        <v>#REF!</v>
      </c>
      <c r="N26" s="205" t="str">
        <f t="shared" si="11"/>
        <v>#REF!</v>
      </c>
      <c r="O26" s="205" t="str">
        <f t="shared" si="11"/>
        <v>#REF!</v>
      </c>
      <c r="P26" s="205" t="str">
        <f t="shared" si="11"/>
        <v>#REF!</v>
      </c>
      <c r="Q26" s="205" t="str">
        <f t="shared" si="11"/>
        <v>#REF!</v>
      </c>
      <c r="R26" s="205" t="str">
        <f t="shared" si="11"/>
        <v>#REF!</v>
      </c>
      <c r="S26" s="205" t="str">
        <f t="shared" si="11"/>
        <v>#REF!</v>
      </c>
      <c r="T26" s="205" t="str">
        <f t="shared" si="11"/>
        <v>#REF!</v>
      </c>
      <c r="U26" s="205" t="str">
        <f t="shared" si="11"/>
        <v>#REF!</v>
      </c>
      <c r="V26" s="205" t="str">
        <f t="shared" si="11"/>
        <v>#REF!</v>
      </c>
      <c r="W26" s="205" t="str">
        <f t="shared" si="11"/>
        <v>#REF!</v>
      </c>
      <c r="X26" s="205" t="str">
        <f t="shared" si="11"/>
        <v>#REF!</v>
      </c>
      <c r="Y26" s="205" t="str">
        <f t="shared" si="11"/>
        <v>#REF!</v>
      </c>
      <c r="Z26" s="205" t="str">
        <f t="shared" si="11"/>
        <v>#REF!</v>
      </c>
      <c r="AA26" s="205" t="str">
        <f t="shared" si="11"/>
        <v>#REF!</v>
      </c>
      <c r="AB26" s="205" t="str">
        <f t="shared" si="11"/>
        <v>#REF!</v>
      </c>
      <c r="AC26" s="205" t="str">
        <f t="shared" si="11"/>
        <v>#REF!</v>
      </c>
      <c r="AD26" s="205" t="str">
        <f t="shared" si="11"/>
        <v>#REF!</v>
      </c>
      <c r="AE26" s="205" t="str">
        <f t="shared" si="11"/>
        <v>#REF!</v>
      </c>
      <c r="AF26" s="205" t="str">
        <f t="shared" si="11"/>
        <v>#REF!</v>
      </c>
      <c r="AG26" s="205" t="str">
        <f t="shared" si="11"/>
        <v>#REF!</v>
      </c>
      <c r="AH26" s="205" t="str">
        <f t="shared" si="11"/>
        <v>#REF!</v>
      </c>
      <c r="AI26" s="205" t="str">
        <f t="shared" si="11"/>
        <v>#REF!</v>
      </c>
      <c r="AJ26" s="205" t="str">
        <f t="shared" si="11"/>
        <v>#REF!</v>
      </c>
      <c r="AK26" s="205" t="str">
        <f t="shared" si="11"/>
        <v>#REF!</v>
      </c>
      <c r="AL26" s="205" t="str">
        <f t="shared" si="11"/>
        <v>#REF!</v>
      </c>
      <c r="AM26" s="205" t="str">
        <f t="shared" si="11"/>
        <v>#REF!</v>
      </c>
      <c r="AN26" s="205" t="str">
        <f t="shared" si="11"/>
        <v>#REF!</v>
      </c>
      <c r="AO26" s="416"/>
      <c r="BI26" s="90"/>
    </row>
    <row r="27" ht="12.75" hidden="1" customHeight="1" outlineLevel="1">
      <c r="A27" s="90"/>
      <c r="B27" s="102"/>
      <c r="C27" s="400"/>
      <c r="D27" s="90"/>
      <c r="E27" s="102"/>
      <c r="F27" s="90"/>
      <c r="H27" s="401"/>
      <c r="I27" s="401"/>
      <c r="J27" s="88"/>
      <c r="K27" s="186"/>
      <c r="L27" s="186"/>
      <c r="M27" s="186"/>
      <c r="N27" s="186"/>
      <c r="O27" s="186"/>
      <c r="P27" s="186"/>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416"/>
    </row>
    <row r="28" ht="12.75" hidden="1" customHeight="1" outlineLevel="1">
      <c r="A28" s="90"/>
      <c r="B28" s="102"/>
      <c r="C28" s="400"/>
      <c r="D28" s="90"/>
      <c r="E28" s="102"/>
      <c r="F28" s="90"/>
      <c r="H28" s="401"/>
      <c r="I28" s="401"/>
      <c r="J28" s="88"/>
      <c r="K28" s="186"/>
      <c r="L28" s="186"/>
      <c r="M28" s="186"/>
      <c r="N28" s="186"/>
      <c r="O28" s="186"/>
      <c r="P28" s="186"/>
      <c r="Q28" s="205"/>
      <c r="R28" s="205"/>
      <c r="S28" s="205"/>
      <c r="T28" s="205"/>
      <c r="U28" s="205"/>
      <c r="V28" s="205"/>
      <c r="W28" s="205"/>
      <c r="X28" s="205"/>
      <c r="Y28" s="205"/>
      <c r="Z28" s="205"/>
      <c r="AA28" s="205"/>
      <c r="AB28" s="205"/>
      <c r="AC28" s="205"/>
      <c r="AD28" s="205"/>
      <c r="AE28" s="205"/>
      <c r="AF28" s="205"/>
      <c r="AG28" s="205"/>
      <c r="AH28" s="205"/>
      <c r="AI28" s="205"/>
      <c r="AJ28" s="205"/>
      <c r="AK28" s="205"/>
      <c r="AL28" s="205"/>
      <c r="AM28" s="205"/>
      <c r="AN28" s="205"/>
      <c r="AO28" s="416"/>
    </row>
    <row r="29" ht="12.75" hidden="1" customHeight="1" outlineLevel="1">
      <c r="A29" s="90"/>
      <c r="B29" s="102"/>
      <c r="C29" s="400"/>
      <c r="D29" s="90"/>
      <c r="E29" s="102"/>
      <c r="F29" s="90"/>
      <c r="H29" s="417"/>
      <c r="I29" s="401"/>
      <c r="J29" s="88"/>
      <c r="K29" s="188"/>
      <c r="L29" s="188"/>
      <c r="M29" s="188"/>
      <c r="N29" s="188"/>
      <c r="O29" s="188"/>
      <c r="P29" s="189"/>
      <c r="Q29" s="205"/>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416"/>
    </row>
    <row r="30" ht="12.75" hidden="1" customHeight="1" outlineLevel="1">
      <c r="A30" s="418"/>
      <c r="B30" s="201"/>
      <c r="C30" s="201"/>
      <c r="D30" s="201"/>
      <c r="E30" s="419"/>
      <c r="F30" s="201"/>
      <c r="G30" s="201"/>
      <c r="H30" s="419"/>
      <c r="I30" s="419" t="s">
        <v>268</v>
      </c>
      <c r="J30" s="420"/>
      <c r="K30" s="385"/>
      <c r="L30" s="385"/>
      <c r="M30" s="385"/>
      <c r="N30" s="385"/>
      <c r="O30" s="385"/>
      <c r="P30" s="385"/>
      <c r="Q30" s="385"/>
      <c r="R30" s="385"/>
      <c r="S30" s="385"/>
      <c r="T30" s="385"/>
      <c r="U30" s="385"/>
      <c r="V30" s="385"/>
      <c r="W30" s="385"/>
      <c r="X30" s="385"/>
      <c r="Y30" s="385"/>
      <c r="Z30" s="385"/>
      <c r="AA30" s="385"/>
      <c r="AB30" s="385"/>
      <c r="AC30" s="385"/>
      <c r="AD30" s="385"/>
      <c r="AE30" s="385"/>
      <c r="AF30" s="385"/>
      <c r="AG30" s="385"/>
      <c r="AH30" s="385"/>
      <c r="AI30" s="385"/>
      <c r="AJ30" s="385"/>
      <c r="AK30" s="385"/>
      <c r="AL30" s="385"/>
      <c r="AM30" s="385"/>
      <c r="AN30" s="385"/>
      <c r="AO30" s="418"/>
      <c r="AP30" s="201"/>
      <c r="AQ30" s="201"/>
      <c r="AR30" s="201"/>
      <c r="AS30" s="201"/>
      <c r="AT30" s="201"/>
      <c r="AU30" s="201"/>
      <c r="AV30" s="201"/>
      <c r="AW30" s="201"/>
      <c r="AX30" s="201"/>
      <c r="AY30" s="201"/>
      <c r="AZ30" s="201"/>
      <c r="BA30" s="201"/>
      <c r="BB30" s="201"/>
      <c r="BC30" s="201"/>
      <c r="BD30" s="201"/>
      <c r="BE30" s="201"/>
      <c r="BF30" s="201"/>
      <c r="BG30" s="201"/>
      <c r="BH30" s="201"/>
      <c r="BI30" s="201"/>
    </row>
    <row r="31" ht="12.75" customHeight="1">
      <c r="A31" s="421"/>
      <c r="B31" s="422"/>
      <c r="C31" s="422"/>
      <c r="D31" s="423" t="s">
        <v>869</v>
      </c>
      <c r="E31" s="422"/>
      <c r="F31" s="424" t="s">
        <v>870</v>
      </c>
      <c r="G31" s="19"/>
      <c r="H31" s="424" t="s">
        <v>871</v>
      </c>
      <c r="I31" s="19"/>
      <c r="J31" s="422"/>
      <c r="K31" s="425"/>
      <c r="L31" s="425"/>
      <c r="M31" s="425"/>
      <c r="N31" s="425"/>
      <c r="O31" s="425"/>
      <c r="P31" s="425"/>
      <c r="Q31" s="425"/>
      <c r="R31" s="425"/>
      <c r="S31" s="425"/>
      <c r="T31" s="425"/>
      <c r="U31" s="425"/>
      <c r="V31" s="425"/>
      <c r="W31" s="425"/>
      <c r="X31" s="425"/>
      <c r="Y31" s="425"/>
      <c r="Z31" s="425"/>
      <c r="AA31" s="425"/>
      <c r="AB31" s="425"/>
      <c r="AC31" s="425"/>
      <c r="AD31" s="425"/>
      <c r="AE31" s="425"/>
      <c r="AF31" s="425"/>
      <c r="AG31" s="425"/>
      <c r="AH31" s="425"/>
      <c r="AI31" s="425"/>
      <c r="AJ31" s="425"/>
      <c r="AK31" s="425"/>
      <c r="AL31" s="425"/>
      <c r="AM31" s="425"/>
      <c r="AN31" s="425"/>
      <c r="AO31" s="418"/>
      <c r="AP31" s="201"/>
      <c r="AQ31" s="201"/>
      <c r="AR31" s="201"/>
      <c r="AS31" s="201"/>
      <c r="AT31" s="201"/>
      <c r="AU31" s="201"/>
      <c r="AV31" s="201"/>
      <c r="AW31" s="201"/>
      <c r="AX31" s="201"/>
      <c r="AY31" s="201"/>
      <c r="AZ31" s="201"/>
      <c r="BA31" s="201"/>
      <c r="BB31" s="201"/>
      <c r="BC31" s="201"/>
      <c r="BD31" s="201"/>
      <c r="BE31" s="201"/>
      <c r="BF31" s="201"/>
      <c r="BG31" s="201"/>
      <c r="BH31" s="201"/>
      <c r="BI31" s="201"/>
    </row>
    <row r="32" ht="12.75" customHeight="1">
      <c r="A32" s="426"/>
      <c r="B32" s="426" t="s">
        <v>872</v>
      </c>
      <c r="C32" s="427" t="s">
        <v>135</v>
      </c>
      <c r="D32" s="428" t="s">
        <v>873</v>
      </c>
      <c r="E32" s="426" t="s">
        <v>869</v>
      </c>
      <c r="F32" s="426" t="s">
        <v>874</v>
      </c>
      <c r="G32" s="426" t="s">
        <v>875</v>
      </c>
      <c r="H32" s="429" t="s">
        <v>876</v>
      </c>
      <c r="I32" s="429" t="s">
        <v>877</v>
      </c>
      <c r="J32" s="426">
        <v>2010.0</v>
      </c>
      <c r="K32" s="426">
        <v>2011.0</v>
      </c>
      <c r="L32" s="426">
        <v>2012.0</v>
      </c>
      <c r="M32" s="426">
        <v>2013.0</v>
      </c>
      <c r="N32" s="426">
        <v>2014.0</v>
      </c>
      <c r="O32" s="426">
        <v>2015.0</v>
      </c>
      <c r="P32" s="426">
        <f t="shared" ref="P32:AB32" si="12">O32+1</f>
        <v>2016</v>
      </c>
      <c r="Q32" s="426">
        <f t="shared" si="12"/>
        <v>2017</v>
      </c>
      <c r="R32" s="426">
        <f t="shared" si="12"/>
        <v>2018</v>
      </c>
      <c r="S32" s="426">
        <f t="shared" si="12"/>
        <v>2019</v>
      </c>
      <c r="T32" s="426">
        <f t="shared" si="12"/>
        <v>2020</v>
      </c>
      <c r="U32" s="426">
        <f t="shared" si="12"/>
        <v>2021</v>
      </c>
      <c r="V32" s="426">
        <f t="shared" si="12"/>
        <v>2022</v>
      </c>
      <c r="W32" s="426">
        <f t="shared" si="12"/>
        <v>2023</v>
      </c>
      <c r="X32" s="426">
        <f t="shared" si="12"/>
        <v>2024</v>
      </c>
      <c r="Y32" s="426">
        <f t="shared" si="12"/>
        <v>2025</v>
      </c>
      <c r="Z32" s="426">
        <f t="shared" si="12"/>
        <v>2026</v>
      </c>
      <c r="AA32" s="426">
        <f t="shared" si="12"/>
        <v>2027</v>
      </c>
      <c r="AB32" s="426">
        <f t="shared" si="12"/>
        <v>2028</v>
      </c>
      <c r="AC32" s="426">
        <v>2029.0</v>
      </c>
      <c r="AD32" s="426">
        <v>2030.0</v>
      </c>
      <c r="AE32" s="426">
        <f t="shared" ref="AE32:AN32" si="13">AD32+1</f>
        <v>2031</v>
      </c>
      <c r="AF32" s="426">
        <f t="shared" si="13"/>
        <v>2032</v>
      </c>
      <c r="AG32" s="426">
        <f t="shared" si="13"/>
        <v>2033</v>
      </c>
      <c r="AH32" s="426">
        <f t="shared" si="13"/>
        <v>2034</v>
      </c>
      <c r="AI32" s="426">
        <f t="shared" si="13"/>
        <v>2035</v>
      </c>
      <c r="AJ32" s="426">
        <f t="shared" si="13"/>
        <v>2036</v>
      </c>
      <c r="AK32" s="426">
        <f t="shared" si="13"/>
        <v>2037</v>
      </c>
      <c r="AL32" s="426">
        <f t="shared" si="13"/>
        <v>2038</v>
      </c>
      <c r="AM32" s="426">
        <f t="shared" si="13"/>
        <v>2039</v>
      </c>
      <c r="AN32" s="426">
        <f t="shared" si="13"/>
        <v>2040</v>
      </c>
      <c r="AO32" s="410" t="s">
        <v>878</v>
      </c>
      <c r="AP32" s="63"/>
      <c r="AQ32" s="63"/>
      <c r="AR32" s="63"/>
      <c r="AS32" s="63"/>
      <c r="AT32" s="63"/>
      <c r="AU32" s="63"/>
      <c r="AV32" s="63"/>
      <c r="AW32" s="63"/>
      <c r="AX32" s="63"/>
      <c r="AY32" s="63"/>
      <c r="AZ32" s="63"/>
      <c r="BA32" s="63"/>
      <c r="BB32" s="63"/>
      <c r="BC32" s="63"/>
      <c r="BD32" s="63"/>
      <c r="BE32" s="63"/>
      <c r="BF32" s="63"/>
      <c r="BG32" s="63"/>
      <c r="BH32" s="63"/>
      <c r="BI32" s="63"/>
    </row>
    <row r="33" ht="12.75" customHeight="1">
      <c r="A33" s="90"/>
      <c r="B33" s="90"/>
      <c r="C33" s="400"/>
      <c r="D33" s="90"/>
      <c r="E33" s="102"/>
      <c r="F33" s="90"/>
      <c r="H33" s="102"/>
      <c r="I33" s="102"/>
      <c r="J33" s="102"/>
      <c r="K33" s="102"/>
      <c r="L33" s="102"/>
      <c r="M33" s="102"/>
      <c r="N33" s="102"/>
      <c r="O33" s="102"/>
      <c r="P33" s="102"/>
      <c r="Q33" s="102"/>
      <c r="R33" s="102"/>
      <c r="S33" s="102"/>
      <c r="T33" s="102"/>
      <c r="U33" s="102"/>
      <c r="V33" s="102"/>
      <c r="W33" s="102"/>
      <c r="X33" s="102"/>
      <c r="Y33" s="102"/>
      <c r="Z33" s="102"/>
      <c r="AA33" s="102"/>
      <c r="AB33" s="102"/>
      <c r="AC33" s="102"/>
      <c r="AD33" s="102"/>
      <c r="AE33" s="102"/>
      <c r="AF33" s="102"/>
      <c r="AG33" s="102"/>
      <c r="AH33" s="102"/>
      <c r="AI33" s="102"/>
      <c r="AJ33" s="102"/>
      <c r="AK33" s="102"/>
      <c r="AL33" s="102"/>
      <c r="AM33" s="102"/>
      <c r="AN33" s="102"/>
      <c r="AO33" s="400"/>
    </row>
    <row r="34" ht="12.75" customHeight="1">
      <c r="A34" s="62" t="s">
        <v>190</v>
      </c>
      <c r="B34" s="90"/>
      <c r="C34" s="400"/>
      <c r="D34" s="90"/>
      <c r="E34" s="102"/>
      <c r="F34" s="90"/>
      <c r="H34" s="102"/>
      <c r="I34" s="102"/>
      <c r="J34" s="102"/>
      <c r="K34" s="102"/>
      <c r="L34" s="102"/>
      <c r="M34" s="102"/>
      <c r="N34" s="102"/>
      <c r="O34" s="102"/>
      <c r="P34" s="102"/>
      <c r="Q34" s="102"/>
      <c r="R34" s="102"/>
      <c r="S34" s="102"/>
      <c r="T34" s="102"/>
      <c r="U34" s="102"/>
      <c r="V34" s="102"/>
      <c r="W34" s="102"/>
      <c r="X34" s="102"/>
      <c r="Y34" s="102"/>
      <c r="Z34" s="102"/>
      <c r="AA34" s="102"/>
      <c r="AB34" s="102"/>
      <c r="AC34" s="102"/>
      <c r="AD34" s="102"/>
      <c r="AE34" s="102"/>
      <c r="AF34" s="102"/>
      <c r="AG34" s="102"/>
      <c r="AH34" s="102"/>
      <c r="AI34" s="102"/>
      <c r="AJ34" s="102"/>
      <c r="AK34" s="102"/>
      <c r="AL34" s="102"/>
      <c r="AM34" s="102"/>
      <c r="AN34" s="102"/>
      <c r="AO34" s="400"/>
    </row>
    <row r="35" ht="12.75" customHeight="1">
      <c r="A35" s="67" t="s">
        <v>879</v>
      </c>
      <c r="B35" s="90"/>
      <c r="C35" s="400"/>
      <c r="D35" s="90"/>
      <c r="E35" s="102"/>
      <c r="F35" s="90"/>
      <c r="H35" s="102"/>
      <c r="I35" s="102"/>
      <c r="J35" s="102"/>
      <c r="K35" s="102"/>
      <c r="L35" s="102"/>
      <c r="M35" s="102"/>
      <c r="N35" s="102"/>
      <c r="O35" s="102"/>
      <c r="P35" s="102"/>
      <c r="Q35" s="102"/>
      <c r="R35" s="102"/>
      <c r="S35" s="102"/>
      <c r="T35" s="102"/>
      <c r="U35" s="102"/>
      <c r="V35" s="102"/>
      <c r="W35" s="102"/>
      <c r="X35" s="102"/>
      <c r="Y35" s="102"/>
      <c r="Z35" s="102"/>
      <c r="AA35" s="102"/>
      <c r="AB35" s="102"/>
      <c r="AC35" s="102"/>
      <c r="AD35" s="102"/>
      <c r="AE35" s="102"/>
      <c r="AF35" s="102"/>
      <c r="AG35" s="102"/>
      <c r="AH35" s="102"/>
      <c r="AI35" s="102"/>
      <c r="AJ35" s="102"/>
      <c r="AK35" s="102"/>
      <c r="AL35" s="102"/>
      <c r="AM35" s="102"/>
      <c r="AN35" s="102"/>
      <c r="AO35" s="400"/>
    </row>
    <row r="36" ht="12.75" customHeight="1">
      <c r="A36" s="67" t="s">
        <v>264</v>
      </c>
      <c r="B36" s="90"/>
      <c r="C36" s="400"/>
      <c r="D36" s="90"/>
      <c r="E36" s="102"/>
      <c r="F36" s="90"/>
      <c r="H36" s="102"/>
      <c r="I36" s="102"/>
      <c r="J36" s="102"/>
      <c r="K36" s="102"/>
      <c r="L36" s="102"/>
      <c r="M36" s="102"/>
      <c r="N36" s="102"/>
      <c r="O36" s="102"/>
      <c r="P36" s="102"/>
      <c r="Q36" s="102"/>
      <c r="R36" s="102"/>
      <c r="S36" s="102"/>
      <c r="T36" s="102"/>
      <c r="U36" s="102"/>
      <c r="V36" s="102"/>
      <c r="W36" s="102"/>
      <c r="X36" s="102"/>
      <c r="Y36" s="102"/>
      <c r="Z36" s="102"/>
      <c r="AA36" s="102"/>
      <c r="AB36" s="102"/>
      <c r="AC36" s="102"/>
      <c r="AD36" s="102"/>
      <c r="AE36" s="102"/>
      <c r="AF36" s="102"/>
      <c r="AG36" s="102"/>
      <c r="AH36" s="102"/>
      <c r="AI36" s="102"/>
      <c r="AJ36" s="102"/>
      <c r="AK36" s="102"/>
      <c r="AL36" s="102"/>
      <c r="AM36" s="102"/>
      <c r="AN36" s="102"/>
      <c r="AO36" s="400"/>
    </row>
    <row r="37" ht="12.75" customHeight="1">
      <c r="A37" s="430"/>
      <c r="B37" s="430" t="s">
        <v>880</v>
      </c>
      <c r="C37" s="430" t="s">
        <v>264</v>
      </c>
      <c r="D37" s="431" t="s">
        <v>132</v>
      </c>
      <c r="E37" s="432">
        <v>150000.0</v>
      </c>
      <c r="F37" s="433">
        <v>2010.0</v>
      </c>
      <c r="G37" s="433"/>
      <c r="H37" s="433"/>
      <c r="I37" s="433"/>
      <c r="J37" s="434"/>
      <c r="K37" s="435">
        <f t="shared" ref="K37:AN37" si="14">IF($F37&gt;K$32,0,1)</f>
        <v>1</v>
      </c>
      <c r="L37" s="435">
        <f t="shared" si="14"/>
        <v>1</v>
      </c>
      <c r="M37" s="435">
        <f t="shared" si="14"/>
        <v>1</v>
      </c>
      <c r="N37" s="435">
        <f t="shared" si="14"/>
        <v>1</v>
      </c>
      <c r="O37" s="435">
        <f t="shared" si="14"/>
        <v>1</v>
      </c>
      <c r="P37" s="435">
        <f t="shared" si="14"/>
        <v>1</v>
      </c>
      <c r="Q37" s="435">
        <f t="shared" si="14"/>
        <v>1</v>
      </c>
      <c r="R37" s="435">
        <f t="shared" si="14"/>
        <v>1</v>
      </c>
      <c r="S37" s="435">
        <f t="shared" si="14"/>
        <v>1</v>
      </c>
      <c r="T37" s="435">
        <f t="shared" si="14"/>
        <v>1</v>
      </c>
      <c r="U37" s="435">
        <f t="shared" si="14"/>
        <v>1</v>
      </c>
      <c r="V37" s="435">
        <f t="shared" si="14"/>
        <v>1</v>
      </c>
      <c r="W37" s="435">
        <f t="shared" si="14"/>
        <v>1</v>
      </c>
      <c r="X37" s="435">
        <f t="shared" si="14"/>
        <v>1</v>
      </c>
      <c r="Y37" s="435">
        <f t="shared" si="14"/>
        <v>1</v>
      </c>
      <c r="Z37" s="435">
        <f t="shared" si="14"/>
        <v>1</v>
      </c>
      <c r="AA37" s="435">
        <f t="shared" si="14"/>
        <v>1</v>
      </c>
      <c r="AB37" s="435">
        <f t="shared" si="14"/>
        <v>1</v>
      </c>
      <c r="AC37" s="435">
        <f t="shared" si="14"/>
        <v>1</v>
      </c>
      <c r="AD37" s="435">
        <f t="shared" si="14"/>
        <v>1</v>
      </c>
      <c r="AE37" s="435">
        <f t="shared" si="14"/>
        <v>1</v>
      </c>
      <c r="AF37" s="435">
        <f t="shared" si="14"/>
        <v>1</v>
      </c>
      <c r="AG37" s="435">
        <f t="shared" si="14"/>
        <v>1</v>
      </c>
      <c r="AH37" s="435">
        <f t="shared" si="14"/>
        <v>1</v>
      </c>
      <c r="AI37" s="435">
        <f t="shared" si="14"/>
        <v>1</v>
      </c>
      <c r="AJ37" s="435">
        <f t="shared" si="14"/>
        <v>1</v>
      </c>
      <c r="AK37" s="435">
        <f t="shared" si="14"/>
        <v>1</v>
      </c>
      <c r="AL37" s="435">
        <f t="shared" si="14"/>
        <v>1</v>
      </c>
      <c r="AM37" s="435">
        <f t="shared" si="14"/>
        <v>1</v>
      </c>
      <c r="AN37" s="435">
        <f t="shared" si="14"/>
        <v>1</v>
      </c>
      <c r="AO37" s="400"/>
      <c r="AP37" s="90"/>
      <c r="AQ37" s="90"/>
      <c r="AR37" s="90"/>
      <c r="AS37" s="90"/>
      <c r="AT37" s="90"/>
      <c r="AU37" s="90"/>
      <c r="AV37" s="90"/>
      <c r="AW37" s="90"/>
      <c r="AX37" s="90"/>
      <c r="AY37" s="90"/>
      <c r="AZ37" s="90"/>
      <c r="BA37" s="90"/>
      <c r="BB37" s="90"/>
      <c r="BC37" s="90"/>
      <c r="BD37" s="90"/>
      <c r="BE37" s="90"/>
      <c r="BF37" s="90"/>
      <c r="BG37" s="90"/>
      <c r="BH37" s="90"/>
      <c r="BI37" s="90"/>
    </row>
    <row r="38" ht="12.75" customHeight="1">
      <c r="A38" s="430"/>
      <c r="B38" s="430" t="s">
        <v>881</v>
      </c>
      <c r="C38" s="430" t="s">
        <v>264</v>
      </c>
      <c r="D38" s="431" t="s">
        <v>124</v>
      </c>
      <c r="E38" s="432">
        <v>60000.0</v>
      </c>
      <c r="F38" s="433">
        <v>2011.0</v>
      </c>
      <c r="G38" s="433"/>
      <c r="H38" s="433">
        <v>35.0</v>
      </c>
      <c r="I38" s="433" t="s">
        <v>190</v>
      </c>
      <c r="J38" s="434"/>
      <c r="K38" s="435" t="str">
        <f t="shared" ref="K38:AN38" si="15">IF($F38="",0,IF($F38&gt;K$32,0,1))+ROUNDDOWN(SUM(K37,K41:K120)/$H38,0)</f>
        <v>#REF!</v>
      </c>
      <c r="L38" s="435" t="str">
        <f t="shared" si="15"/>
        <v>#REF!</v>
      </c>
      <c r="M38" s="435" t="str">
        <f t="shared" si="15"/>
        <v>#REF!</v>
      </c>
      <c r="N38" s="435" t="str">
        <f t="shared" si="15"/>
        <v>#REF!</v>
      </c>
      <c r="O38" s="435" t="str">
        <f t="shared" si="15"/>
        <v>#REF!</v>
      </c>
      <c r="P38" s="435" t="str">
        <f t="shared" si="15"/>
        <v>#REF!</v>
      </c>
      <c r="Q38" s="435" t="str">
        <f t="shared" si="15"/>
        <v>#REF!</v>
      </c>
      <c r="R38" s="435" t="str">
        <f t="shared" si="15"/>
        <v>#REF!</v>
      </c>
      <c r="S38" s="435" t="str">
        <f t="shared" si="15"/>
        <v>#REF!</v>
      </c>
      <c r="T38" s="435" t="str">
        <f t="shared" si="15"/>
        <v>#REF!</v>
      </c>
      <c r="U38" s="435" t="str">
        <f t="shared" si="15"/>
        <v>#REF!</v>
      </c>
      <c r="V38" s="435" t="str">
        <f t="shared" si="15"/>
        <v>#REF!</v>
      </c>
      <c r="W38" s="435" t="str">
        <f t="shared" si="15"/>
        <v>#REF!</v>
      </c>
      <c r="X38" s="435" t="str">
        <f t="shared" si="15"/>
        <v>#REF!</v>
      </c>
      <c r="Y38" s="435" t="str">
        <f t="shared" si="15"/>
        <v>#REF!</v>
      </c>
      <c r="Z38" s="435" t="str">
        <f t="shared" si="15"/>
        <v>#REF!</v>
      </c>
      <c r="AA38" s="435" t="str">
        <f t="shared" si="15"/>
        <v>#REF!</v>
      </c>
      <c r="AB38" s="435" t="str">
        <f t="shared" si="15"/>
        <v>#REF!</v>
      </c>
      <c r="AC38" s="435" t="str">
        <f t="shared" si="15"/>
        <v>#REF!</v>
      </c>
      <c r="AD38" s="435" t="str">
        <f t="shared" si="15"/>
        <v>#REF!</v>
      </c>
      <c r="AE38" s="435" t="str">
        <f t="shared" si="15"/>
        <v>#REF!</v>
      </c>
      <c r="AF38" s="435" t="str">
        <f t="shared" si="15"/>
        <v>#REF!</v>
      </c>
      <c r="AG38" s="435" t="str">
        <f t="shared" si="15"/>
        <v>#REF!</v>
      </c>
      <c r="AH38" s="435" t="str">
        <f t="shared" si="15"/>
        <v>#REF!</v>
      </c>
      <c r="AI38" s="435" t="str">
        <f t="shared" si="15"/>
        <v>#REF!</v>
      </c>
      <c r="AJ38" s="435" t="str">
        <f t="shared" si="15"/>
        <v>#REF!</v>
      </c>
      <c r="AK38" s="435" t="str">
        <f t="shared" si="15"/>
        <v>#REF!</v>
      </c>
      <c r="AL38" s="435" t="str">
        <f t="shared" si="15"/>
        <v>#REF!</v>
      </c>
      <c r="AM38" s="435" t="str">
        <f t="shared" si="15"/>
        <v>#REF!</v>
      </c>
      <c r="AN38" s="435" t="str">
        <f t="shared" si="15"/>
        <v>#REF!</v>
      </c>
      <c r="AO38" s="400"/>
      <c r="AP38" s="90"/>
      <c r="AQ38" s="90"/>
      <c r="AR38" s="90"/>
      <c r="AS38" s="90"/>
      <c r="AT38" s="90"/>
      <c r="AU38" s="90"/>
      <c r="AV38" s="90"/>
      <c r="AW38" s="90"/>
      <c r="AX38" s="90"/>
      <c r="AY38" s="90"/>
      <c r="AZ38" s="90"/>
      <c r="BA38" s="90"/>
      <c r="BB38" s="90"/>
      <c r="BC38" s="90"/>
      <c r="BD38" s="90"/>
      <c r="BE38" s="90"/>
      <c r="BF38" s="90"/>
      <c r="BG38" s="90"/>
      <c r="BH38" s="90"/>
      <c r="BI38" s="90"/>
    </row>
    <row r="39" ht="12.75" customHeight="1">
      <c r="A39" s="430"/>
      <c r="B39" s="430"/>
      <c r="C39" s="430"/>
      <c r="D39" s="431"/>
      <c r="E39" s="432"/>
      <c r="F39" s="433"/>
      <c r="G39" s="433"/>
      <c r="H39" s="433"/>
      <c r="I39" s="433"/>
      <c r="J39" s="434"/>
      <c r="K39" s="435"/>
      <c r="L39" s="435"/>
      <c r="M39" s="435"/>
      <c r="N39" s="435"/>
      <c r="O39" s="435"/>
      <c r="P39" s="435"/>
      <c r="Q39" s="435"/>
      <c r="R39" s="435"/>
      <c r="S39" s="435"/>
      <c r="T39" s="435"/>
      <c r="U39" s="435"/>
      <c r="V39" s="435"/>
      <c r="W39" s="435"/>
      <c r="X39" s="435"/>
      <c r="Y39" s="435"/>
      <c r="Z39" s="435"/>
      <c r="AA39" s="435"/>
      <c r="AB39" s="435"/>
      <c r="AC39" s="435"/>
      <c r="AD39" s="435"/>
      <c r="AE39" s="435"/>
      <c r="AF39" s="435"/>
      <c r="AG39" s="435"/>
      <c r="AH39" s="435"/>
      <c r="AI39" s="435"/>
      <c r="AJ39" s="435"/>
      <c r="AK39" s="435"/>
      <c r="AL39" s="435"/>
      <c r="AM39" s="435"/>
      <c r="AN39" s="435"/>
      <c r="AO39" s="400"/>
      <c r="AP39" s="90"/>
      <c r="AQ39" s="90"/>
      <c r="AR39" s="90"/>
      <c r="AS39" s="90"/>
      <c r="AT39" s="90"/>
      <c r="AU39" s="90"/>
      <c r="AV39" s="90"/>
      <c r="AW39" s="90"/>
      <c r="AX39" s="90"/>
      <c r="AY39" s="90"/>
      <c r="AZ39" s="90"/>
      <c r="BA39" s="90"/>
      <c r="BB39" s="90"/>
      <c r="BC39" s="90"/>
      <c r="BD39" s="90"/>
      <c r="BE39" s="90"/>
      <c r="BF39" s="90"/>
      <c r="BG39" s="90"/>
      <c r="BH39" s="90"/>
      <c r="BI39" s="90"/>
    </row>
    <row r="40" ht="12.75" customHeight="1">
      <c r="A40" s="436" t="s">
        <v>266</v>
      </c>
      <c r="B40" s="430"/>
      <c r="C40" s="430"/>
      <c r="D40" s="431"/>
      <c r="E40" s="432"/>
      <c r="F40" s="433"/>
      <c r="G40" s="433"/>
      <c r="H40" s="433"/>
      <c r="I40" s="433"/>
      <c r="J40" s="434"/>
      <c r="K40" s="435"/>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00"/>
      <c r="AP40" s="90"/>
      <c r="AQ40" s="90"/>
      <c r="AR40" s="90"/>
      <c r="AS40" s="90"/>
      <c r="AT40" s="90"/>
      <c r="AU40" s="90"/>
      <c r="AV40" s="90"/>
      <c r="AW40" s="90"/>
      <c r="AX40" s="90"/>
      <c r="AY40" s="90"/>
      <c r="AZ40" s="90"/>
      <c r="BA40" s="90"/>
      <c r="BB40" s="90"/>
      <c r="BC40" s="90"/>
      <c r="BD40" s="90"/>
      <c r="BE40" s="90"/>
      <c r="BF40" s="90"/>
      <c r="BG40" s="90"/>
      <c r="BH40" s="90"/>
      <c r="BI40" s="90"/>
    </row>
    <row r="41" ht="12.75" customHeight="1">
      <c r="A41" s="143"/>
      <c r="B41" s="143" t="s">
        <v>882</v>
      </c>
      <c r="C41" s="143" t="s">
        <v>266</v>
      </c>
      <c r="D41" s="437" t="s">
        <v>132</v>
      </c>
      <c r="E41" s="432">
        <v>140000.0</v>
      </c>
      <c r="F41" s="433">
        <v>2012.0</v>
      </c>
      <c r="G41" s="433"/>
      <c r="H41" s="433"/>
      <c r="I41" s="433"/>
      <c r="J41" s="435"/>
      <c r="K41" s="435">
        <f>IF($F41&gt;K$32,0,1)</f>
        <v>0</v>
      </c>
      <c r="L41" s="435">
        <f t="shared" ref="L41:AN41" si="16">IF($F41&gt;L32,0,1)</f>
        <v>1</v>
      </c>
      <c r="M41" s="435">
        <f t="shared" si="16"/>
        <v>1</v>
      </c>
      <c r="N41" s="435">
        <f t="shared" si="16"/>
        <v>1</v>
      </c>
      <c r="O41" s="435">
        <f t="shared" si="16"/>
        <v>1</v>
      </c>
      <c r="P41" s="435">
        <f t="shared" si="16"/>
        <v>1</v>
      </c>
      <c r="Q41" s="435">
        <f t="shared" si="16"/>
        <v>1</v>
      </c>
      <c r="R41" s="435">
        <f t="shared" si="16"/>
        <v>1</v>
      </c>
      <c r="S41" s="435">
        <f t="shared" si="16"/>
        <v>1</v>
      </c>
      <c r="T41" s="435">
        <f t="shared" si="16"/>
        <v>1</v>
      </c>
      <c r="U41" s="435">
        <f t="shared" si="16"/>
        <v>1</v>
      </c>
      <c r="V41" s="435">
        <f t="shared" si="16"/>
        <v>1</v>
      </c>
      <c r="W41" s="435">
        <f t="shared" si="16"/>
        <v>1</v>
      </c>
      <c r="X41" s="435">
        <f t="shared" si="16"/>
        <v>1</v>
      </c>
      <c r="Y41" s="435">
        <f t="shared" si="16"/>
        <v>1</v>
      </c>
      <c r="Z41" s="435">
        <f t="shared" si="16"/>
        <v>1</v>
      </c>
      <c r="AA41" s="435">
        <f t="shared" si="16"/>
        <v>1</v>
      </c>
      <c r="AB41" s="435">
        <f t="shared" si="16"/>
        <v>1</v>
      </c>
      <c r="AC41" s="435">
        <f t="shared" si="16"/>
        <v>1</v>
      </c>
      <c r="AD41" s="435">
        <f t="shared" si="16"/>
        <v>1</v>
      </c>
      <c r="AE41" s="435">
        <f t="shared" si="16"/>
        <v>1</v>
      </c>
      <c r="AF41" s="435">
        <f t="shared" si="16"/>
        <v>1</v>
      </c>
      <c r="AG41" s="435">
        <f t="shared" si="16"/>
        <v>1</v>
      </c>
      <c r="AH41" s="435">
        <f t="shared" si="16"/>
        <v>1</v>
      </c>
      <c r="AI41" s="435">
        <f t="shared" si="16"/>
        <v>1</v>
      </c>
      <c r="AJ41" s="435">
        <f t="shared" si="16"/>
        <v>1</v>
      </c>
      <c r="AK41" s="435">
        <f t="shared" si="16"/>
        <v>1</v>
      </c>
      <c r="AL41" s="435">
        <f t="shared" si="16"/>
        <v>1</v>
      </c>
      <c r="AM41" s="435">
        <f t="shared" si="16"/>
        <v>1</v>
      </c>
      <c r="AN41" s="435">
        <f t="shared" si="16"/>
        <v>1</v>
      </c>
      <c r="AO41" s="400" t="s">
        <v>883</v>
      </c>
      <c r="AP41" s="90"/>
      <c r="AQ41" s="90"/>
      <c r="AR41" s="90"/>
      <c r="AS41" s="90"/>
      <c r="AT41" s="90"/>
      <c r="AU41" s="90"/>
      <c r="AV41" s="90"/>
      <c r="AW41" s="90"/>
      <c r="AX41" s="90"/>
      <c r="AY41" s="90"/>
      <c r="AZ41" s="90"/>
      <c r="BA41" s="90"/>
      <c r="BB41" s="90"/>
      <c r="BC41" s="90"/>
      <c r="BD41" s="90"/>
      <c r="BE41" s="90"/>
      <c r="BF41" s="90"/>
      <c r="BG41" s="90"/>
      <c r="BH41" s="90"/>
      <c r="BI41" s="90"/>
    </row>
    <row r="42" ht="12.75" customHeight="1">
      <c r="A42" s="143"/>
      <c r="B42" s="430" t="s">
        <v>884</v>
      </c>
      <c r="C42" s="143" t="s">
        <v>266</v>
      </c>
      <c r="D42" s="437" t="s">
        <v>128</v>
      </c>
      <c r="E42" s="432">
        <v>120000.0</v>
      </c>
      <c r="F42" s="433">
        <v>2015.0</v>
      </c>
      <c r="G42" s="433"/>
      <c r="H42" s="438">
        <v>8.01</v>
      </c>
      <c r="I42" s="433" t="s">
        <v>124</v>
      </c>
      <c r="J42" s="435"/>
      <c r="K42" s="435">
        <f t="shared" ref="K42:AN42" si="17">IF($F42="",IF(K43/$H42&lt;0.5,0,ROUNDUP(K43/$H42,0)),IF(K$32&lt;$F42,0,1)+ROUNDDOWN(SUM(K43)/$H42,0))</f>
        <v>0</v>
      </c>
      <c r="L42" s="435">
        <f t="shared" si="17"/>
        <v>0</v>
      </c>
      <c r="M42" s="435">
        <f t="shared" si="17"/>
        <v>0</v>
      </c>
      <c r="N42" s="435">
        <f t="shared" si="17"/>
        <v>0</v>
      </c>
      <c r="O42" s="435">
        <f t="shared" si="17"/>
        <v>1</v>
      </c>
      <c r="P42" s="435">
        <f t="shared" si="17"/>
        <v>1</v>
      </c>
      <c r="Q42" s="435">
        <f t="shared" si="17"/>
        <v>1</v>
      </c>
      <c r="R42" s="435">
        <f t="shared" si="17"/>
        <v>1</v>
      </c>
      <c r="S42" s="435">
        <f t="shared" si="17"/>
        <v>1</v>
      </c>
      <c r="T42" s="435">
        <f t="shared" si="17"/>
        <v>1</v>
      </c>
      <c r="U42" s="435">
        <f t="shared" si="17"/>
        <v>1</v>
      </c>
      <c r="V42" s="435">
        <f t="shared" si="17"/>
        <v>1</v>
      </c>
      <c r="W42" s="435">
        <f t="shared" si="17"/>
        <v>1</v>
      </c>
      <c r="X42" s="435">
        <f t="shared" si="17"/>
        <v>1</v>
      </c>
      <c r="Y42" s="435">
        <f t="shared" si="17"/>
        <v>1</v>
      </c>
      <c r="Z42" s="435">
        <f t="shared" si="17"/>
        <v>1</v>
      </c>
      <c r="AA42" s="435">
        <f t="shared" si="17"/>
        <v>1</v>
      </c>
      <c r="AB42" s="435">
        <f t="shared" si="17"/>
        <v>1</v>
      </c>
      <c r="AC42" s="435">
        <f t="shared" si="17"/>
        <v>1</v>
      </c>
      <c r="AD42" s="435">
        <f t="shared" si="17"/>
        <v>1</v>
      </c>
      <c r="AE42" s="435">
        <f t="shared" si="17"/>
        <v>1</v>
      </c>
      <c r="AF42" s="435">
        <f t="shared" si="17"/>
        <v>1</v>
      </c>
      <c r="AG42" s="435">
        <f t="shared" si="17"/>
        <v>1</v>
      </c>
      <c r="AH42" s="435">
        <f t="shared" si="17"/>
        <v>1</v>
      </c>
      <c r="AI42" s="435">
        <f t="shared" si="17"/>
        <v>1</v>
      </c>
      <c r="AJ42" s="435">
        <f t="shared" si="17"/>
        <v>1</v>
      </c>
      <c r="AK42" s="435">
        <f t="shared" si="17"/>
        <v>1</v>
      </c>
      <c r="AL42" s="435">
        <f t="shared" si="17"/>
        <v>1</v>
      </c>
      <c r="AM42" s="435">
        <f t="shared" si="17"/>
        <v>1</v>
      </c>
      <c r="AN42" s="435">
        <f t="shared" si="17"/>
        <v>1</v>
      </c>
      <c r="AO42" s="90" t="s">
        <v>885</v>
      </c>
      <c r="AP42" s="90"/>
      <c r="AQ42" s="90"/>
      <c r="AR42" s="90"/>
      <c r="AS42" s="90"/>
      <c r="AT42" s="90"/>
      <c r="AU42" s="90"/>
      <c r="AV42" s="90"/>
      <c r="AW42" s="90"/>
      <c r="AX42" s="90"/>
      <c r="AY42" s="90"/>
      <c r="AZ42" s="90"/>
      <c r="BA42" s="90"/>
      <c r="BB42" s="90"/>
      <c r="BC42" s="90"/>
      <c r="BD42" s="90"/>
      <c r="BE42" s="90"/>
      <c r="BF42" s="90"/>
      <c r="BG42" s="90"/>
      <c r="BH42" s="90"/>
      <c r="BI42" s="90"/>
    </row>
    <row r="43" ht="12.75" customHeight="1">
      <c r="A43" s="143"/>
      <c r="B43" s="430" t="s">
        <v>886</v>
      </c>
      <c r="C43" s="143" t="s">
        <v>266</v>
      </c>
      <c r="D43" s="437" t="s">
        <v>887</v>
      </c>
      <c r="E43" s="432">
        <v>110000.0</v>
      </c>
      <c r="F43" s="433"/>
      <c r="G43" s="433"/>
      <c r="H43" s="438">
        <v>8.01</v>
      </c>
      <c r="I43" s="433" t="s">
        <v>124</v>
      </c>
      <c r="J43" s="435"/>
      <c r="K43" s="435">
        <f t="shared" ref="K43:O43" si="18">IF($F43="",IF(SUM(K44:K45)/$H43&lt;0.5,0,ROUNDUP(SUM(K44:K45)/$H43,0)),IF(K$32&lt;$F43,0,1)+ROUNDDOWN(SUM(K44:K45)/$H43,0))</f>
        <v>0</v>
      </c>
      <c r="L43" s="435">
        <f t="shared" si="18"/>
        <v>0</v>
      </c>
      <c r="M43" s="435">
        <f t="shared" si="18"/>
        <v>0</v>
      </c>
      <c r="N43" s="435">
        <f t="shared" si="18"/>
        <v>0</v>
      </c>
      <c r="O43" s="435">
        <f t="shared" si="18"/>
        <v>0</v>
      </c>
      <c r="P43" s="435">
        <v>0.0</v>
      </c>
      <c r="Q43" s="435">
        <f t="shared" ref="Q43:AN43" si="19">IF($F43="",IF(SUM(Q44:Q45)/$H43&lt;0.5,0,ROUNDUP(SUM(Q44:Q45)/$H43,0)),IF(Q$32&lt;$F43,0,1)+ROUNDDOWN(SUM(Q44:Q45)/$H43,0))</f>
        <v>1</v>
      </c>
      <c r="R43" s="435">
        <f t="shared" si="19"/>
        <v>1</v>
      </c>
      <c r="S43" s="435">
        <f t="shared" si="19"/>
        <v>2</v>
      </c>
      <c r="T43" s="435">
        <f t="shared" si="19"/>
        <v>1</v>
      </c>
      <c r="U43" s="435">
        <f t="shared" si="19"/>
        <v>0</v>
      </c>
      <c r="V43" s="435">
        <f t="shared" si="19"/>
        <v>0</v>
      </c>
      <c r="W43" s="435">
        <f t="shared" si="19"/>
        <v>0</v>
      </c>
      <c r="X43" s="435">
        <f t="shared" si="19"/>
        <v>0</v>
      </c>
      <c r="Y43" s="435">
        <f t="shared" si="19"/>
        <v>1</v>
      </c>
      <c r="Z43" s="435">
        <f t="shared" si="19"/>
        <v>1</v>
      </c>
      <c r="AA43" s="435">
        <f t="shared" si="19"/>
        <v>1</v>
      </c>
      <c r="AB43" s="435">
        <f t="shared" si="19"/>
        <v>2</v>
      </c>
      <c r="AC43" s="435">
        <f t="shared" si="19"/>
        <v>2</v>
      </c>
      <c r="AD43" s="435">
        <f t="shared" si="19"/>
        <v>2</v>
      </c>
      <c r="AE43" s="435">
        <f t="shared" si="19"/>
        <v>2</v>
      </c>
      <c r="AF43" s="435">
        <f t="shared" si="19"/>
        <v>2</v>
      </c>
      <c r="AG43" s="435">
        <f t="shared" si="19"/>
        <v>2</v>
      </c>
      <c r="AH43" s="435">
        <f t="shared" si="19"/>
        <v>2</v>
      </c>
      <c r="AI43" s="435">
        <f t="shared" si="19"/>
        <v>2</v>
      </c>
      <c r="AJ43" s="435">
        <f t="shared" si="19"/>
        <v>2</v>
      </c>
      <c r="AK43" s="435">
        <f t="shared" si="19"/>
        <v>2</v>
      </c>
      <c r="AL43" s="435">
        <f t="shared" si="19"/>
        <v>2</v>
      </c>
      <c r="AM43" s="435">
        <f t="shared" si="19"/>
        <v>2</v>
      </c>
      <c r="AN43" s="435">
        <f t="shared" si="19"/>
        <v>2</v>
      </c>
      <c r="AO43" s="90" t="s">
        <v>888</v>
      </c>
      <c r="AP43" s="90"/>
      <c r="AQ43" s="90"/>
      <c r="AR43" s="90"/>
      <c r="AS43" s="90"/>
      <c r="AT43" s="90"/>
      <c r="AU43" s="90"/>
      <c r="AV43" s="90"/>
      <c r="AW43" s="90"/>
      <c r="AX43" s="90"/>
      <c r="AY43" s="90"/>
      <c r="AZ43" s="90"/>
      <c r="BA43" s="90"/>
      <c r="BB43" s="90"/>
      <c r="BC43" s="90"/>
      <c r="BD43" s="90"/>
      <c r="BE43" s="90"/>
      <c r="BF43" s="90"/>
      <c r="BG43" s="90"/>
      <c r="BH43" s="90"/>
      <c r="BI43" s="90"/>
    </row>
    <row r="44" ht="12.75" customHeight="1">
      <c r="A44" s="143"/>
      <c r="B44" s="430" t="s">
        <v>889</v>
      </c>
      <c r="C44" s="143" t="s">
        <v>266</v>
      </c>
      <c r="D44" s="437" t="s">
        <v>127</v>
      </c>
      <c r="E44" s="432">
        <v>100000.0</v>
      </c>
      <c r="F44" s="433">
        <v>2016.0</v>
      </c>
      <c r="G44" s="433"/>
      <c r="H44" s="438">
        <v>250.01</v>
      </c>
      <c r="I44" s="433" t="s">
        <v>48</v>
      </c>
      <c r="J44" s="435"/>
      <c r="K44" s="435">
        <f>IF($F44="",IF(K$4/$H44&lt;0.5,0,ROUNDUP(K$4/$H44,0)),IF(K$32&lt;$F44,0,1)+ROUNDDOWN((K$4)/$H44,0))</f>
        <v>0</v>
      </c>
      <c r="L44" s="435">
        <f t="shared" ref="L44:AN44" si="20">IF($F44="",IF(L4/$H44&lt;0.5,0,ROUNDUP(L4/$H44,0)),IF(L$32&lt;$F44,0,1)+ROUNDDOWN((L4)/$H44,0))</f>
        <v>0</v>
      </c>
      <c r="M44" s="435">
        <f t="shared" si="20"/>
        <v>0</v>
      </c>
      <c r="N44" s="435">
        <f t="shared" si="20"/>
        <v>0</v>
      </c>
      <c r="O44" s="435">
        <f t="shared" si="20"/>
        <v>0</v>
      </c>
      <c r="P44" s="435">
        <f t="shared" si="20"/>
        <v>1</v>
      </c>
      <c r="Q44" s="435">
        <f t="shared" si="20"/>
        <v>1</v>
      </c>
      <c r="R44" s="435">
        <f t="shared" si="20"/>
        <v>1</v>
      </c>
      <c r="S44" s="435">
        <f t="shared" si="20"/>
        <v>1</v>
      </c>
      <c r="T44" s="435">
        <f t="shared" si="20"/>
        <v>1</v>
      </c>
      <c r="U44" s="435">
        <f t="shared" si="20"/>
        <v>1</v>
      </c>
      <c r="V44" s="435">
        <f t="shared" si="20"/>
        <v>2</v>
      </c>
      <c r="W44" s="435">
        <f t="shared" si="20"/>
        <v>2</v>
      </c>
      <c r="X44" s="435">
        <f t="shared" si="20"/>
        <v>3</v>
      </c>
      <c r="Y44" s="435">
        <f t="shared" si="20"/>
        <v>4</v>
      </c>
      <c r="Z44" s="435">
        <f t="shared" si="20"/>
        <v>5</v>
      </c>
      <c r="AA44" s="435">
        <f t="shared" si="20"/>
        <v>6</v>
      </c>
      <c r="AB44" s="435">
        <f t="shared" si="20"/>
        <v>8</v>
      </c>
      <c r="AC44" s="435">
        <f t="shared" si="20"/>
        <v>9</v>
      </c>
      <c r="AD44" s="435">
        <f t="shared" si="20"/>
        <v>10</v>
      </c>
      <c r="AE44" s="435">
        <f t="shared" si="20"/>
        <v>10</v>
      </c>
      <c r="AF44" s="435">
        <f t="shared" si="20"/>
        <v>10</v>
      </c>
      <c r="AG44" s="435">
        <f t="shared" si="20"/>
        <v>10</v>
      </c>
      <c r="AH44" s="435">
        <f t="shared" si="20"/>
        <v>10</v>
      </c>
      <c r="AI44" s="435">
        <f t="shared" si="20"/>
        <v>10</v>
      </c>
      <c r="AJ44" s="435">
        <f t="shared" si="20"/>
        <v>10</v>
      </c>
      <c r="AK44" s="435">
        <f t="shared" si="20"/>
        <v>10</v>
      </c>
      <c r="AL44" s="435">
        <f t="shared" si="20"/>
        <v>10</v>
      </c>
      <c r="AM44" s="435">
        <f t="shared" si="20"/>
        <v>10</v>
      </c>
      <c r="AN44" s="435">
        <f t="shared" si="20"/>
        <v>10</v>
      </c>
      <c r="AO44" s="90" t="s">
        <v>890</v>
      </c>
      <c r="AP44" s="90"/>
      <c r="AQ44" s="90"/>
      <c r="AR44" s="90"/>
      <c r="AS44" s="90"/>
      <c r="AT44" s="90"/>
      <c r="AU44" s="90"/>
      <c r="AV44" s="90"/>
      <c r="AW44" s="90"/>
      <c r="AX44" s="90"/>
      <c r="AY44" s="90"/>
      <c r="AZ44" s="90"/>
      <c r="BA44" s="90"/>
      <c r="BB44" s="90"/>
      <c r="BC44" s="90"/>
      <c r="BD44" s="90"/>
      <c r="BE44" s="90"/>
      <c r="BF44" s="90"/>
      <c r="BG44" s="90"/>
      <c r="BH44" s="90"/>
      <c r="BI44" s="90"/>
    </row>
    <row r="45" ht="12.75" customHeight="1">
      <c r="A45" s="143"/>
      <c r="B45" s="430" t="s">
        <v>891</v>
      </c>
      <c r="C45" s="143" t="s">
        <v>266</v>
      </c>
      <c r="D45" s="437" t="s">
        <v>124</v>
      </c>
      <c r="E45" s="432">
        <v>60000.0</v>
      </c>
      <c r="F45" s="433">
        <v>2012.0</v>
      </c>
      <c r="G45" s="433"/>
      <c r="H45" s="433">
        <v>3.01</v>
      </c>
      <c r="I45" s="433" t="s">
        <v>12</v>
      </c>
      <c r="J45" s="435"/>
      <c r="K45" s="435">
        <f t="shared" ref="K45:AN45" si="21">MAX(0,IF($F45="",IF((M$6-K$6)/$H45&lt;0.5,0,ROUNDUP((M$6-K$6)/$H45,0)),IF(K$32&lt;$F45,0,1))+ROUNDDOWN((M$6-K$6)/$H45,0))</f>
        <v>0</v>
      </c>
      <c r="L45" s="435">
        <f t="shared" si="21"/>
        <v>1</v>
      </c>
      <c r="M45" s="435">
        <f t="shared" si="21"/>
        <v>1</v>
      </c>
      <c r="N45" s="435">
        <f t="shared" si="21"/>
        <v>1</v>
      </c>
      <c r="O45" s="435">
        <f t="shared" si="21"/>
        <v>2</v>
      </c>
      <c r="P45" s="435">
        <f t="shared" si="21"/>
        <v>3</v>
      </c>
      <c r="Q45" s="435">
        <f t="shared" si="21"/>
        <v>5</v>
      </c>
      <c r="R45" s="435">
        <f t="shared" si="21"/>
        <v>7</v>
      </c>
      <c r="S45" s="435">
        <f t="shared" si="21"/>
        <v>10</v>
      </c>
      <c r="T45" s="435">
        <f t="shared" si="21"/>
        <v>6</v>
      </c>
      <c r="U45" s="435">
        <f t="shared" si="21"/>
        <v>1</v>
      </c>
      <c r="V45" s="435">
        <f t="shared" si="21"/>
        <v>1</v>
      </c>
      <c r="W45" s="435">
        <f t="shared" si="21"/>
        <v>1</v>
      </c>
      <c r="X45" s="435">
        <f t="shared" si="21"/>
        <v>1</v>
      </c>
      <c r="Y45" s="435">
        <f t="shared" si="21"/>
        <v>1</v>
      </c>
      <c r="Z45" s="435">
        <f t="shared" si="21"/>
        <v>1</v>
      </c>
      <c r="AA45" s="435">
        <f t="shared" si="21"/>
        <v>1</v>
      </c>
      <c r="AB45" s="435">
        <f t="shared" si="21"/>
        <v>1</v>
      </c>
      <c r="AC45" s="435">
        <f t="shared" si="21"/>
        <v>1</v>
      </c>
      <c r="AD45" s="435">
        <f t="shared" si="21"/>
        <v>1</v>
      </c>
      <c r="AE45" s="435">
        <f t="shared" si="21"/>
        <v>1</v>
      </c>
      <c r="AF45" s="435">
        <f t="shared" si="21"/>
        <v>1</v>
      </c>
      <c r="AG45" s="435">
        <f t="shared" si="21"/>
        <v>1</v>
      </c>
      <c r="AH45" s="435">
        <f t="shared" si="21"/>
        <v>1</v>
      </c>
      <c r="AI45" s="435">
        <f t="shared" si="21"/>
        <v>1</v>
      </c>
      <c r="AJ45" s="435">
        <f t="shared" si="21"/>
        <v>1</v>
      </c>
      <c r="AK45" s="435">
        <f t="shared" si="21"/>
        <v>1</v>
      </c>
      <c r="AL45" s="435">
        <f t="shared" si="21"/>
        <v>1</v>
      </c>
      <c r="AM45" s="435">
        <f t="shared" si="21"/>
        <v>0</v>
      </c>
      <c r="AN45" s="435">
        <f t="shared" si="21"/>
        <v>0</v>
      </c>
      <c r="AO45" s="90" t="s">
        <v>892</v>
      </c>
      <c r="AP45" s="90"/>
      <c r="AQ45" s="90"/>
      <c r="AR45" s="90"/>
      <c r="AS45" s="90"/>
      <c r="AT45" s="90"/>
      <c r="AU45" s="90"/>
      <c r="AV45" s="90"/>
      <c r="AW45" s="90"/>
      <c r="AX45" s="90"/>
      <c r="AY45" s="90"/>
      <c r="AZ45" s="90"/>
      <c r="BA45" s="90"/>
      <c r="BB45" s="90"/>
      <c r="BC45" s="90"/>
      <c r="BD45" s="90"/>
      <c r="BE45" s="90"/>
      <c r="BF45" s="90"/>
      <c r="BG45" s="90"/>
      <c r="BH45" s="90"/>
      <c r="BI45" s="90"/>
    </row>
    <row r="46" ht="12.75" customHeight="1">
      <c r="A46" s="143"/>
      <c r="B46" s="430" t="s">
        <v>893</v>
      </c>
      <c r="C46" s="143" t="s">
        <v>266</v>
      </c>
      <c r="D46" s="437" t="s">
        <v>127</v>
      </c>
      <c r="E46" s="432">
        <v>100000.0</v>
      </c>
      <c r="F46" s="433">
        <v>2012.0</v>
      </c>
      <c r="G46" s="433"/>
      <c r="H46" s="438">
        <v>8.01</v>
      </c>
      <c r="I46" s="433" t="s">
        <v>124</v>
      </c>
      <c r="J46" s="435"/>
      <c r="K46" s="435">
        <f t="shared" ref="K46:AN46" si="22">IF($F46="",IF(K47/$H46&lt;0.5,0,ROUNDUP(K47/$H46,0)),IF(K$32&lt;$F46,0,1)+ROUNDDOWN(SUM(K47)/$H46,0))</f>
        <v>0</v>
      </c>
      <c r="L46" s="435">
        <f t="shared" si="22"/>
        <v>1</v>
      </c>
      <c r="M46" s="435">
        <f t="shared" si="22"/>
        <v>1</v>
      </c>
      <c r="N46" s="435">
        <f t="shared" si="22"/>
        <v>1</v>
      </c>
      <c r="O46" s="435">
        <f t="shared" si="22"/>
        <v>1</v>
      </c>
      <c r="P46" s="435">
        <f t="shared" si="22"/>
        <v>1</v>
      </c>
      <c r="Q46" s="435">
        <f t="shared" si="22"/>
        <v>1</v>
      </c>
      <c r="R46" s="435">
        <f t="shared" si="22"/>
        <v>1</v>
      </c>
      <c r="S46" s="435">
        <f t="shared" si="22"/>
        <v>1</v>
      </c>
      <c r="T46" s="435">
        <f t="shared" si="22"/>
        <v>1</v>
      </c>
      <c r="U46" s="435">
        <f t="shared" si="22"/>
        <v>1</v>
      </c>
      <c r="V46" s="435">
        <f t="shared" si="22"/>
        <v>1</v>
      </c>
      <c r="W46" s="435">
        <f t="shared" si="22"/>
        <v>1</v>
      </c>
      <c r="X46" s="435">
        <f t="shared" si="22"/>
        <v>1</v>
      </c>
      <c r="Y46" s="435">
        <f t="shared" si="22"/>
        <v>1</v>
      </c>
      <c r="Z46" s="435">
        <f t="shared" si="22"/>
        <v>1</v>
      </c>
      <c r="AA46" s="435">
        <f t="shared" si="22"/>
        <v>1</v>
      </c>
      <c r="AB46" s="435">
        <f t="shared" si="22"/>
        <v>1</v>
      </c>
      <c r="AC46" s="435">
        <f t="shared" si="22"/>
        <v>1</v>
      </c>
      <c r="AD46" s="435">
        <f t="shared" si="22"/>
        <v>1</v>
      </c>
      <c r="AE46" s="435">
        <f t="shared" si="22"/>
        <v>1</v>
      </c>
      <c r="AF46" s="435">
        <f t="shared" si="22"/>
        <v>1</v>
      </c>
      <c r="AG46" s="435">
        <f t="shared" si="22"/>
        <v>1</v>
      </c>
      <c r="AH46" s="435">
        <f t="shared" si="22"/>
        <v>1</v>
      </c>
      <c r="AI46" s="435">
        <f t="shared" si="22"/>
        <v>1</v>
      </c>
      <c r="AJ46" s="435">
        <f t="shared" si="22"/>
        <v>1</v>
      </c>
      <c r="AK46" s="435">
        <f t="shared" si="22"/>
        <v>1</v>
      </c>
      <c r="AL46" s="435">
        <f t="shared" si="22"/>
        <v>1</v>
      </c>
      <c r="AM46" s="435">
        <f t="shared" si="22"/>
        <v>1</v>
      </c>
      <c r="AN46" s="435">
        <f t="shared" si="22"/>
        <v>1</v>
      </c>
      <c r="AO46" s="90" t="s">
        <v>894</v>
      </c>
      <c r="AP46" s="90"/>
      <c r="AQ46" s="90"/>
      <c r="AR46" s="90"/>
      <c r="AS46" s="90"/>
      <c r="AT46" s="90"/>
      <c r="AU46" s="90"/>
      <c r="AV46" s="90"/>
      <c r="AW46" s="90"/>
      <c r="AX46" s="90"/>
      <c r="AY46" s="90"/>
      <c r="AZ46" s="90"/>
      <c r="BA46" s="90"/>
      <c r="BB46" s="90"/>
      <c r="BC46" s="90"/>
      <c r="BD46" s="90"/>
      <c r="BE46" s="90"/>
      <c r="BF46" s="90"/>
      <c r="BG46" s="90"/>
      <c r="BH46" s="90"/>
      <c r="BI46" s="90"/>
    </row>
    <row r="47" ht="12.75" customHeight="1">
      <c r="A47" s="143"/>
      <c r="B47" s="430" t="s">
        <v>895</v>
      </c>
      <c r="C47" s="143" t="s">
        <v>266</v>
      </c>
      <c r="D47" s="437" t="s">
        <v>126</v>
      </c>
      <c r="E47" s="432">
        <v>80000.0</v>
      </c>
      <c r="F47" s="433"/>
      <c r="G47" s="433"/>
      <c r="H47" s="438">
        <v>8.01</v>
      </c>
      <c r="I47" s="433" t="s">
        <v>124</v>
      </c>
      <c r="J47" s="435"/>
      <c r="K47" s="435">
        <f t="shared" ref="K47:O47" si="23">IF($F47="",IF(K48/$H47&lt;0.5,0,ROUNDUP(K48/$H47,0)),IF(K$32&lt;$F47,0,1)+ROUNDDOWN(SUM(K48)/$H47,0))</f>
        <v>0</v>
      </c>
      <c r="L47" s="435">
        <f t="shared" si="23"/>
        <v>0</v>
      </c>
      <c r="M47" s="435">
        <f t="shared" si="23"/>
        <v>0</v>
      </c>
      <c r="N47" s="435">
        <f t="shared" si="23"/>
        <v>0</v>
      </c>
      <c r="O47" s="435">
        <f t="shared" si="23"/>
        <v>0</v>
      </c>
      <c r="P47" s="435">
        <v>0.0</v>
      </c>
      <c r="Q47" s="435">
        <f t="shared" ref="Q47:AN47" si="24">IF($F47="",IF(Q48/$H47&lt;0.5,0,ROUNDUP(Q48/$H47,0)),IF(Q$32&lt;$F47,0,1)+ROUNDDOWN(SUM(Q48)/$H47,0))</f>
        <v>0</v>
      </c>
      <c r="R47" s="435">
        <f t="shared" si="24"/>
        <v>0</v>
      </c>
      <c r="S47" s="435">
        <f t="shared" si="24"/>
        <v>0</v>
      </c>
      <c r="T47" s="435">
        <f t="shared" si="24"/>
        <v>0</v>
      </c>
      <c r="U47" s="435">
        <f t="shared" si="24"/>
        <v>1</v>
      </c>
      <c r="V47" s="435">
        <f t="shared" si="24"/>
        <v>1</v>
      </c>
      <c r="W47" s="435">
        <f t="shared" si="24"/>
        <v>2</v>
      </c>
      <c r="X47" s="435">
        <f t="shared" si="24"/>
        <v>2</v>
      </c>
      <c r="Y47" s="435">
        <f t="shared" si="24"/>
        <v>3</v>
      </c>
      <c r="Z47" s="435">
        <f t="shared" si="24"/>
        <v>3</v>
      </c>
      <c r="AA47" s="435">
        <f t="shared" si="24"/>
        <v>4</v>
      </c>
      <c r="AB47" s="435">
        <f t="shared" si="24"/>
        <v>5</v>
      </c>
      <c r="AC47" s="435">
        <f t="shared" si="24"/>
        <v>6</v>
      </c>
      <c r="AD47" s="435">
        <f t="shared" si="24"/>
        <v>7</v>
      </c>
      <c r="AE47" s="435">
        <f t="shared" si="24"/>
        <v>7</v>
      </c>
      <c r="AF47" s="435">
        <f t="shared" si="24"/>
        <v>7</v>
      </c>
      <c r="AG47" s="435">
        <f t="shared" si="24"/>
        <v>7</v>
      </c>
      <c r="AH47" s="435">
        <f t="shared" si="24"/>
        <v>7</v>
      </c>
      <c r="AI47" s="435">
        <f t="shared" si="24"/>
        <v>7</v>
      </c>
      <c r="AJ47" s="435">
        <f t="shared" si="24"/>
        <v>7</v>
      </c>
      <c r="AK47" s="435">
        <f t="shared" si="24"/>
        <v>7</v>
      </c>
      <c r="AL47" s="435">
        <f t="shared" si="24"/>
        <v>7</v>
      </c>
      <c r="AM47" s="435">
        <f t="shared" si="24"/>
        <v>7</v>
      </c>
      <c r="AN47" s="435">
        <f t="shared" si="24"/>
        <v>7</v>
      </c>
      <c r="AO47" s="90" t="s">
        <v>894</v>
      </c>
      <c r="AP47" s="90"/>
      <c r="AQ47" s="90"/>
      <c r="AR47" s="90"/>
      <c r="AS47" s="90"/>
      <c r="AT47" s="90"/>
      <c r="AU47" s="90"/>
      <c r="AV47" s="90"/>
      <c r="AW47" s="90"/>
      <c r="AX47" s="90"/>
      <c r="AY47" s="90"/>
      <c r="AZ47" s="90"/>
      <c r="BA47" s="90"/>
      <c r="BB47" s="90"/>
      <c r="BC47" s="90"/>
      <c r="BD47" s="90"/>
      <c r="BE47" s="90"/>
      <c r="BF47" s="90"/>
      <c r="BG47" s="90"/>
      <c r="BH47" s="90"/>
      <c r="BI47" s="90"/>
    </row>
    <row r="48" ht="12.75" customHeight="1">
      <c r="A48" s="143"/>
      <c r="B48" s="430" t="s">
        <v>896</v>
      </c>
      <c r="C48" s="143" t="s">
        <v>266</v>
      </c>
      <c r="D48" s="437" t="s">
        <v>124</v>
      </c>
      <c r="E48" s="432">
        <v>60000.0</v>
      </c>
      <c r="F48" s="433">
        <v>2014.0</v>
      </c>
      <c r="G48" s="433"/>
      <c r="H48" s="438">
        <v>50.01</v>
      </c>
      <c r="I48" s="433" t="s">
        <v>48</v>
      </c>
      <c r="J48" s="435"/>
      <c r="K48" s="435">
        <f t="shared" ref="K48:AN48" si="25">IF($F48="",IF(K$4/$H48&lt;0.5,0,ROUNDUP(K$4/$H48,0)),IF(K$32&lt;$F48,0,1)+ROUNDDOWN((K$4)/$H48,0))</f>
        <v>0</v>
      </c>
      <c r="L48" s="435">
        <f t="shared" si="25"/>
        <v>0</v>
      </c>
      <c r="M48" s="435">
        <f t="shared" si="25"/>
        <v>0</v>
      </c>
      <c r="N48" s="435">
        <f t="shared" si="25"/>
        <v>1</v>
      </c>
      <c r="O48" s="435">
        <f t="shared" si="25"/>
        <v>1</v>
      </c>
      <c r="P48" s="435">
        <f t="shared" si="25"/>
        <v>1</v>
      </c>
      <c r="Q48" s="435">
        <f t="shared" si="25"/>
        <v>2</v>
      </c>
      <c r="R48" s="435">
        <f t="shared" si="25"/>
        <v>2</v>
      </c>
      <c r="S48" s="435">
        <f t="shared" si="25"/>
        <v>3</v>
      </c>
      <c r="T48" s="435">
        <f t="shared" si="25"/>
        <v>4</v>
      </c>
      <c r="U48" s="435">
        <f t="shared" si="25"/>
        <v>5</v>
      </c>
      <c r="V48" s="435">
        <f t="shared" si="25"/>
        <v>7</v>
      </c>
      <c r="W48" s="435">
        <f t="shared" si="25"/>
        <v>10</v>
      </c>
      <c r="X48" s="435">
        <f t="shared" si="25"/>
        <v>14</v>
      </c>
      <c r="Y48" s="435">
        <f t="shared" si="25"/>
        <v>19</v>
      </c>
      <c r="Z48" s="435">
        <f t="shared" si="25"/>
        <v>24</v>
      </c>
      <c r="AA48" s="435">
        <f t="shared" si="25"/>
        <v>30</v>
      </c>
      <c r="AB48" s="435">
        <f t="shared" si="25"/>
        <v>37</v>
      </c>
      <c r="AC48" s="435">
        <f t="shared" si="25"/>
        <v>44</v>
      </c>
      <c r="AD48" s="435">
        <f t="shared" si="25"/>
        <v>50</v>
      </c>
      <c r="AE48" s="435">
        <f t="shared" si="25"/>
        <v>50</v>
      </c>
      <c r="AF48" s="435">
        <f t="shared" si="25"/>
        <v>50</v>
      </c>
      <c r="AG48" s="435">
        <f t="shared" si="25"/>
        <v>50</v>
      </c>
      <c r="AH48" s="435">
        <f t="shared" si="25"/>
        <v>50</v>
      </c>
      <c r="AI48" s="435">
        <f t="shared" si="25"/>
        <v>50</v>
      </c>
      <c r="AJ48" s="435">
        <f t="shared" si="25"/>
        <v>50</v>
      </c>
      <c r="AK48" s="435">
        <f t="shared" si="25"/>
        <v>50</v>
      </c>
      <c r="AL48" s="435">
        <f t="shared" si="25"/>
        <v>50</v>
      </c>
      <c r="AM48" s="435">
        <f t="shared" si="25"/>
        <v>50</v>
      </c>
      <c r="AN48" s="435">
        <f t="shared" si="25"/>
        <v>50</v>
      </c>
      <c r="AO48" s="90" t="s">
        <v>897</v>
      </c>
      <c r="AP48" s="90"/>
      <c r="AQ48" s="90"/>
      <c r="AR48" s="90"/>
      <c r="AS48" s="90"/>
      <c r="AT48" s="90"/>
      <c r="AU48" s="90"/>
      <c r="AV48" s="90"/>
      <c r="AW48" s="90"/>
      <c r="AX48" s="90"/>
      <c r="AY48" s="90"/>
      <c r="AZ48" s="90"/>
      <c r="BA48" s="90"/>
      <c r="BB48" s="90"/>
      <c r="BC48" s="90"/>
      <c r="BD48" s="90"/>
      <c r="BE48" s="90"/>
      <c r="BF48" s="90"/>
      <c r="BG48" s="90"/>
      <c r="BH48" s="90"/>
      <c r="BI48" s="90"/>
    </row>
    <row r="49" ht="12.75" customHeight="1">
      <c r="A49" s="143"/>
      <c r="B49" s="430" t="s">
        <v>898</v>
      </c>
      <c r="C49" s="143" t="s">
        <v>266</v>
      </c>
      <c r="D49" s="437" t="s">
        <v>128</v>
      </c>
      <c r="E49" s="432">
        <v>120000.0</v>
      </c>
      <c r="F49" s="433">
        <v>2013.0</v>
      </c>
      <c r="G49" s="433"/>
      <c r="H49" s="438">
        <v>8.01</v>
      </c>
      <c r="I49" s="433" t="s">
        <v>124</v>
      </c>
      <c r="J49" s="435"/>
      <c r="K49" s="435">
        <f t="shared" ref="K49:AN49" si="26">IF($F49="",IF(K50/$H49&lt;0.5,0,ROUNDUP(K50/$H49,0)),IF(K$32&lt;$F49,0,1)+ROUNDDOWN(SUM(K50)/$H49,0))</f>
        <v>0</v>
      </c>
      <c r="L49" s="435">
        <f t="shared" si="26"/>
        <v>0</v>
      </c>
      <c r="M49" s="435">
        <f t="shared" si="26"/>
        <v>1</v>
      </c>
      <c r="N49" s="435">
        <f t="shared" si="26"/>
        <v>1</v>
      </c>
      <c r="O49" s="435">
        <f t="shared" si="26"/>
        <v>1</v>
      </c>
      <c r="P49" s="435">
        <f t="shared" si="26"/>
        <v>1</v>
      </c>
      <c r="Q49" s="435">
        <f t="shared" si="26"/>
        <v>1</v>
      </c>
      <c r="R49" s="435">
        <f t="shared" si="26"/>
        <v>1</v>
      </c>
      <c r="S49" s="435">
        <f t="shared" si="26"/>
        <v>1</v>
      </c>
      <c r="T49" s="435">
        <f t="shared" si="26"/>
        <v>1</v>
      </c>
      <c r="U49" s="435">
        <f t="shared" si="26"/>
        <v>1</v>
      </c>
      <c r="V49" s="435">
        <f t="shared" si="26"/>
        <v>1</v>
      </c>
      <c r="W49" s="435">
        <f t="shared" si="26"/>
        <v>1</v>
      </c>
      <c r="X49" s="435">
        <f t="shared" si="26"/>
        <v>1</v>
      </c>
      <c r="Y49" s="435">
        <f t="shared" si="26"/>
        <v>1</v>
      </c>
      <c r="Z49" s="435">
        <f t="shared" si="26"/>
        <v>1</v>
      </c>
      <c r="AA49" s="435">
        <f t="shared" si="26"/>
        <v>1</v>
      </c>
      <c r="AB49" s="435">
        <f t="shared" si="26"/>
        <v>1</v>
      </c>
      <c r="AC49" s="435">
        <f t="shared" si="26"/>
        <v>1</v>
      </c>
      <c r="AD49" s="435">
        <f t="shared" si="26"/>
        <v>1</v>
      </c>
      <c r="AE49" s="435">
        <f t="shared" si="26"/>
        <v>1</v>
      </c>
      <c r="AF49" s="435">
        <f t="shared" si="26"/>
        <v>1</v>
      </c>
      <c r="AG49" s="435">
        <f t="shared" si="26"/>
        <v>1</v>
      </c>
      <c r="AH49" s="435">
        <f t="shared" si="26"/>
        <v>1</v>
      </c>
      <c r="AI49" s="435">
        <f t="shared" si="26"/>
        <v>1</v>
      </c>
      <c r="AJ49" s="435">
        <f t="shared" si="26"/>
        <v>1</v>
      </c>
      <c r="AK49" s="435">
        <f t="shared" si="26"/>
        <v>1</v>
      </c>
      <c r="AL49" s="435">
        <f t="shared" si="26"/>
        <v>1</v>
      </c>
      <c r="AM49" s="435">
        <f t="shared" si="26"/>
        <v>1</v>
      </c>
      <c r="AN49" s="435">
        <f t="shared" si="26"/>
        <v>1</v>
      </c>
      <c r="AO49" s="90" t="s">
        <v>899</v>
      </c>
      <c r="AP49" s="90"/>
      <c r="AQ49" s="90"/>
      <c r="AR49" s="90"/>
      <c r="AS49" s="90"/>
      <c r="AT49" s="90"/>
      <c r="AU49" s="90"/>
      <c r="AV49" s="90"/>
      <c r="AW49" s="90"/>
      <c r="AX49" s="90"/>
      <c r="AY49" s="90"/>
      <c r="AZ49" s="90"/>
      <c r="BA49" s="90"/>
      <c r="BB49" s="90"/>
      <c r="BC49" s="90"/>
      <c r="BD49" s="90"/>
      <c r="BE49" s="90"/>
      <c r="BF49" s="90"/>
      <c r="BG49" s="90"/>
      <c r="BH49" s="90"/>
      <c r="BI49" s="90"/>
    </row>
    <row r="50" ht="12.75" customHeight="1">
      <c r="A50" s="143"/>
      <c r="B50" s="430" t="s">
        <v>900</v>
      </c>
      <c r="C50" s="143" t="s">
        <v>266</v>
      </c>
      <c r="D50" s="437" t="s">
        <v>127</v>
      </c>
      <c r="E50" s="432">
        <v>100000.0</v>
      </c>
      <c r="F50" s="433">
        <v>2014.0</v>
      </c>
      <c r="G50" s="433"/>
      <c r="H50" s="433">
        <v>500.01</v>
      </c>
      <c r="I50" s="433" t="s">
        <v>48</v>
      </c>
      <c r="J50" s="435"/>
      <c r="K50" s="435">
        <f t="shared" ref="K50:AN50" si="27">IF($F50="",IF(K$4/$H50&lt;0.5,0,ROUNDUP(K$4/$H50,0)),IF(K$32&lt;$F50,0,1)+ROUNDDOWN((K$4)/$H50,0))</f>
        <v>0</v>
      </c>
      <c r="L50" s="435">
        <f t="shared" si="27"/>
        <v>0</v>
      </c>
      <c r="M50" s="435">
        <f t="shared" si="27"/>
        <v>0</v>
      </c>
      <c r="N50" s="435">
        <f t="shared" si="27"/>
        <v>1</v>
      </c>
      <c r="O50" s="435">
        <f t="shared" si="27"/>
        <v>1</v>
      </c>
      <c r="P50" s="435">
        <f t="shared" si="27"/>
        <v>1</v>
      </c>
      <c r="Q50" s="435">
        <f t="shared" si="27"/>
        <v>1</v>
      </c>
      <c r="R50" s="435">
        <f t="shared" si="27"/>
        <v>1</v>
      </c>
      <c r="S50" s="435">
        <f t="shared" si="27"/>
        <v>1</v>
      </c>
      <c r="T50" s="435">
        <f t="shared" si="27"/>
        <v>1</v>
      </c>
      <c r="U50" s="435">
        <f t="shared" si="27"/>
        <v>1</v>
      </c>
      <c r="V50" s="435">
        <f t="shared" si="27"/>
        <v>1</v>
      </c>
      <c r="W50" s="435">
        <f t="shared" si="27"/>
        <v>1</v>
      </c>
      <c r="X50" s="435">
        <f t="shared" si="27"/>
        <v>2</v>
      </c>
      <c r="Y50" s="435">
        <f t="shared" si="27"/>
        <v>2</v>
      </c>
      <c r="Z50" s="435">
        <f t="shared" si="27"/>
        <v>3</v>
      </c>
      <c r="AA50" s="435">
        <f t="shared" si="27"/>
        <v>3</v>
      </c>
      <c r="AB50" s="435">
        <f t="shared" si="27"/>
        <v>4</v>
      </c>
      <c r="AC50" s="435">
        <f t="shared" si="27"/>
        <v>5</v>
      </c>
      <c r="AD50" s="435">
        <f t="shared" si="27"/>
        <v>5</v>
      </c>
      <c r="AE50" s="435">
        <f t="shared" si="27"/>
        <v>5</v>
      </c>
      <c r="AF50" s="435">
        <f t="shared" si="27"/>
        <v>5</v>
      </c>
      <c r="AG50" s="435">
        <f t="shared" si="27"/>
        <v>5</v>
      </c>
      <c r="AH50" s="435">
        <f t="shared" si="27"/>
        <v>5</v>
      </c>
      <c r="AI50" s="435">
        <f t="shared" si="27"/>
        <v>5</v>
      </c>
      <c r="AJ50" s="435">
        <f t="shared" si="27"/>
        <v>5</v>
      </c>
      <c r="AK50" s="435">
        <f t="shared" si="27"/>
        <v>5</v>
      </c>
      <c r="AL50" s="435">
        <f t="shared" si="27"/>
        <v>5</v>
      </c>
      <c r="AM50" s="435">
        <f t="shared" si="27"/>
        <v>5</v>
      </c>
      <c r="AN50" s="435">
        <f t="shared" si="27"/>
        <v>5</v>
      </c>
      <c r="AO50" s="90" t="s">
        <v>899</v>
      </c>
      <c r="AP50" s="90"/>
      <c r="AQ50" s="90"/>
      <c r="AR50" s="90"/>
      <c r="AS50" s="90"/>
      <c r="AT50" s="90"/>
      <c r="AU50" s="90"/>
      <c r="AV50" s="90"/>
      <c r="AW50" s="90"/>
      <c r="AX50" s="90"/>
      <c r="AY50" s="90"/>
      <c r="AZ50" s="90"/>
      <c r="BA50" s="90"/>
      <c r="BB50" s="90"/>
      <c r="BC50" s="90"/>
      <c r="BD50" s="90"/>
      <c r="BE50" s="90"/>
      <c r="BF50" s="90"/>
      <c r="BG50" s="90"/>
      <c r="BH50" s="90"/>
      <c r="BI50" s="90"/>
    </row>
    <row r="51" ht="12.75" customHeight="1">
      <c r="A51" s="143"/>
      <c r="B51" s="430" t="s">
        <v>901</v>
      </c>
      <c r="C51" s="143" t="s">
        <v>266</v>
      </c>
      <c r="D51" s="437" t="s">
        <v>124</v>
      </c>
      <c r="E51" s="432">
        <v>60000.0</v>
      </c>
      <c r="F51" s="433">
        <v>2013.0</v>
      </c>
      <c r="G51" s="433"/>
      <c r="H51" s="433">
        <v>500.01</v>
      </c>
      <c r="I51" s="433" t="s">
        <v>48</v>
      </c>
      <c r="J51" s="435"/>
      <c r="K51" s="435">
        <f t="shared" ref="K51:AN51" si="28">IF($F51="",IF(K$4/$H51&lt;0.5,0,ROUNDUP(K$4/$H51,0)),IF(K$32&lt;$F51,0,1)+ROUNDDOWN((K$4)/$H51,0))</f>
        <v>0</v>
      </c>
      <c r="L51" s="435">
        <f t="shared" si="28"/>
        <v>0</v>
      </c>
      <c r="M51" s="435">
        <f t="shared" si="28"/>
        <v>1</v>
      </c>
      <c r="N51" s="435">
        <f t="shared" si="28"/>
        <v>1</v>
      </c>
      <c r="O51" s="435">
        <f t="shared" si="28"/>
        <v>1</v>
      </c>
      <c r="P51" s="435">
        <f t="shared" si="28"/>
        <v>1</v>
      </c>
      <c r="Q51" s="435">
        <f t="shared" si="28"/>
        <v>1</v>
      </c>
      <c r="R51" s="435">
        <f t="shared" si="28"/>
        <v>1</v>
      </c>
      <c r="S51" s="435">
        <f t="shared" si="28"/>
        <v>1</v>
      </c>
      <c r="T51" s="435">
        <f t="shared" si="28"/>
        <v>1</v>
      </c>
      <c r="U51" s="435">
        <f t="shared" si="28"/>
        <v>1</v>
      </c>
      <c r="V51" s="435">
        <f t="shared" si="28"/>
        <v>1</v>
      </c>
      <c r="W51" s="435">
        <f t="shared" si="28"/>
        <v>1</v>
      </c>
      <c r="X51" s="435">
        <f t="shared" si="28"/>
        <v>2</v>
      </c>
      <c r="Y51" s="435">
        <f t="shared" si="28"/>
        <v>2</v>
      </c>
      <c r="Z51" s="435">
        <f t="shared" si="28"/>
        <v>3</v>
      </c>
      <c r="AA51" s="435">
        <f t="shared" si="28"/>
        <v>3</v>
      </c>
      <c r="AB51" s="435">
        <f t="shared" si="28"/>
        <v>4</v>
      </c>
      <c r="AC51" s="435">
        <f t="shared" si="28"/>
        <v>5</v>
      </c>
      <c r="AD51" s="435">
        <f t="shared" si="28"/>
        <v>5</v>
      </c>
      <c r="AE51" s="435">
        <f t="shared" si="28"/>
        <v>5</v>
      </c>
      <c r="AF51" s="435">
        <f t="shared" si="28"/>
        <v>5</v>
      </c>
      <c r="AG51" s="435">
        <f t="shared" si="28"/>
        <v>5</v>
      </c>
      <c r="AH51" s="435">
        <f t="shared" si="28"/>
        <v>5</v>
      </c>
      <c r="AI51" s="435">
        <f t="shared" si="28"/>
        <v>5</v>
      </c>
      <c r="AJ51" s="435">
        <f t="shared" si="28"/>
        <v>5</v>
      </c>
      <c r="AK51" s="435">
        <f t="shared" si="28"/>
        <v>5</v>
      </c>
      <c r="AL51" s="435">
        <f t="shared" si="28"/>
        <v>5</v>
      </c>
      <c r="AM51" s="435">
        <f t="shared" si="28"/>
        <v>5</v>
      </c>
      <c r="AN51" s="435">
        <f t="shared" si="28"/>
        <v>5</v>
      </c>
      <c r="AO51" s="400" t="s">
        <v>902</v>
      </c>
      <c r="AP51" s="90"/>
      <c r="AQ51" s="90"/>
      <c r="AR51" s="90"/>
      <c r="AS51" s="90"/>
      <c r="AT51" s="90"/>
      <c r="AU51" s="90"/>
      <c r="AV51" s="90"/>
      <c r="AW51" s="90"/>
      <c r="AX51" s="90"/>
      <c r="AY51" s="90"/>
      <c r="AZ51" s="90"/>
      <c r="BA51" s="90"/>
      <c r="BB51" s="90"/>
      <c r="BC51" s="90"/>
      <c r="BD51" s="90"/>
      <c r="BE51" s="90"/>
      <c r="BF51" s="90"/>
      <c r="BG51" s="90"/>
      <c r="BH51" s="90"/>
      <c r="BI51" s="90"/>
    </row>
    <row r="52" ht="12.75" customHeight="1">
      <c r="A52" s="143"/>
      <c r="B52" s="430"/>
      <c r="C52" s="143"/>
      <c r="D52" s="437"/>
      <c r="E52" s="432"/>
      <c r="F52" s="433"/>
      <c r="G52" s="433"/>
      <c r="H52" s="433"/>
      <c r="I52" s="433"/>
      <c r="J52" s="434"/>
      <c r="K52" s="435"/>
      <c r="L52" s="435"/>
      <c r="M52" s="435"/>
      <c r="N52" s="435"/>
      <c r="O52" s="435"/>
      <c r="P52" s="435"/>
      <c r="Q52" s="435"/>
      <c r="R52" s="435"/>
      <c r="S52" s="435"/>
      <c r="T52" s="435"/>
      <c r="U52" s="435"/>
      <c r="V52" s="435"/>
      <c r="W52" s="435"/>
      <c r="X52" s="435"/>
      <c r="Y52" s="435"/>
      <c r="Z52" s="435"/>
      <c r="AA52" s="435"/>
      <c r="AB52" s="435"/>
      <c r="AC52" s="435"/>
      <c r="AD52" s="435"/>
      <c r="AE52" s="435"/>
      <c r="AF52" s="435"/>
      <c r="AG52" s="435"/>
      <c r="AH52" s="435"/>
      <c r="AI52" s="435"/>
      <c r="AJ52" s="435"/>
      <c r="AK52" s="435"/>
      <c r="AL52" s="435"/>
      <c r="AM52" s="435"/>
      <c r="AN52" s="435"/>
      <c r="AO52" s="400"/>
      <c r="AP52" s="90"/>
      <c r="AQ52" s="90"/>
      <c r="AR52" s="90"/>
      <c r="AS52" s="90"/>
      <c r="AT52" s="90"/>
      <c r="AU52" s="90"/>
      <c r="AV52" s="90"/>
      <c r="AW52" s="90"/>
      <c r="AX52" s="90"/>
      <c r="AY52" s="90"/>
      <c r="AZ52" s="90"/>
      <c r="BA52" s="90"/>
      <c r="BB52" s="90"/>
      <c r="BC52" s="90"/>
      <c r="BD52" s="90"/>
      <c r="BE52" s="90"/>
      <c r="BF52" s="90"/>
      <c r="BG52" s="90"/>
      <c r="BH52" s="90"/>
      <c r="BI52" s="90"/>
    </row>
    <row r="53" ht="12.75" customHeight="1">
      <c r="A53" s="109" t="s">
        <v>137</v>
      </c>
      <c r="B53" s="430"/>
      <c r="C53" s="143"/>
      <c r="D53" s="437"/>
      <c r="E53" s="432"/>
      <c r="F53" s="433"/>
      <c r="G53" s="433"/>
      <c r="H53" s="433"/>
      <c r="I53" s="433"/>
      <c r="J53" s="434"/>
      <c r="K53" s="435"/>
      <c r="L53" s="435"/>
      <c r="M53" s="435"/>
      <c r="N53" s="435"/>
      <c r="O53" s="435"/>
      <c r="P53" s="435"/>
      <c r="Q53" s="435"/>
      <c r="R53" s="435"/>
      <c r="S53" s="435"/>
      <c r="T53" s="435"/>
      <c r="U53" s="435"/>
      <c r="V53" s="435"/>
      <c r="W53" s="435"/>
      <c r="X53" s="435"/>
      <c r="Y53" s="435"/>
      <c r="Z53" s="435"/>
      <c r="AA53" s="435"/>
      <c r="AB53" s="435"/>
      <c r="AC53" s="435"/>
      <c r="AD53" s="435"/>
      <c r="AE53" s="435"/>
      <c r="AF53" s="435"/>
      <c r="AG53" s="435"/>
      <c r="AH53" s="435"/>
      <c r="AI53" s="435"/>
      <c r="AJ53" s="435"/>
      <c r="AK53" s="435"/>
      <c r="AL53" s="435"/>
      <c r="AM53" s="435"/>
      <c r="AN53" s="435"/>
      <c r="AO53" s="400"/>
      <c r="AP53" s="90"/>
      <c r="AQ53" s="90"/>
      <c r="AR53" s="90"/>
      <c r="AS53" s="90"/>
      <c r="AT53" s="90"/>
      <c r="AU53" s="90"/>
      <c r="AV53" s="90"/>
      <c r="AW53" s="90"/>
      <c r="AX53" s="90"/>
      <c r="AY53" s="90"/>
      <c r="AZ53" s="90"/>
      <c r="BA53" s="90"/>
      <c r="BB53" s="90"/>
      <c r="BC53" s="90"/>
      <c r="BD53" s="90"/>
      <c r="BE53" s="90"/>
      <c r="BF53" s="90"/>
      <c r="BG53" s="90"/>
      <c r="BH53" s="90"/>
      <c r="BI53" s="90"/>
    </row>
    <row r="54" ht="12.75" customHeight="1">
      <c r="A54" s="143"/>
      <c r="B54" s="143" t="s">
        <v>903</v>
      </c>
      <c r="C54" s="143" t="s">
        <v>137</v>
      </c>
      <c r="D54" s="437" t="s">
        <v>132</v>
      </c>
      <c r="E54" s="432">
        <v>140000.0</v>
      </c>
      <c r="F54" s="433">
        <v>2010.0</v>
      </c>
      <c r="G54" s="433"/>
      <c r="H54" s="433"/>
      <c r="I54" s="433"/>
      <c r="J54" s="434"/>
      <c r="K54" s="435">
        <f t="shared" ref="K54:AN54" si="29">IF($F54&gt;K$32,0,1)</f>
        <v>1</v>
      </c>
      <c r="L54" s="435">
        <f t="shared" si="29"/>
        <v>1</v>
      </c>
      <c r="M54" s="435">
        <f t="shared" si="29"/>
        <v>1</v>
      </c>
      <c r="N54" s="435">
        <f t="shared" si="29"/>
        <v>1</v>
      </c>
      <c r="O54" s="435">
        <f t="shared" si="29"/>
        <v>1</v>
      </c>
      <c r="P54" s="435">
        <f t="shared" si="29"/>
        <v>1</v>
      </c>
      <c r="Q54" s="435">
        <f t="shared" si="29"/>
        <v>1</v>
      </c>
      <c r="R54" s="435">
        <f t="shared" si="29"/>
        <v>1</v>
      </c>
      <c r="S54" s="435">
        <f t="shared" si="29"/>
        <v>1</v>
      </c>
      <c r="T54" s="435">
        <f t="shared" si="29"/>
        <v>1</v>
      </c>
      <c r="U54" s="435">
        <f t="shared" si="29"/>
        <v>1</v>
      </c>
      <c r="V54" s="435">
        <f t="shared" si="29"/>
        <v>1</v>
      </c>
      <c r="W54" s="435">
        <f t="shared" si="29"/>
        <v>1</v>
      </c>
      <c r="X54" s="435">
        <f t="shared" si="29"/>
        <v>1</v>
      </c>
      <c r="Y54" s="435">
        <f t="shared" si="29"/>
        <v>1</v>
      </c>
      <c r="Z54" s="435">
        <f t="shared" si="29"/>
        <v>1</v>
      </c>
      <c r="AA54" s="435">
        <f t="shared" si="29"/>
        <v>1</v>
      </c>
      <c r="AB54" s="435">
        <f t="shared" si="29"/>
        <v>1</v>
      </c>
      <c r="AC54" s="435">
        <f t="shared" si="29"/>
        <v>1</v>
      </c>
      <c r="AD54" s="435">
        <f t="shared" si="29"/>
        <v>1</v>
      </c>
      <c r="AE54" s="435">
        <f t="shared" si="29"/>
        <v>1</v>
      </c>
      <c r="AF54" s="435">
        <f t="shared" si="29"/>
        <v>1</v>
      </c>
      <c r="AG54" s="435">
        <f t="shared" si="29"/>
        <v>1</v>
      </c>
      <c r="AH54" s="435">
        <f t="shared" si="29"/>
        <v>1</v>
      </c>
      <c r="AI54" s="435">
        <f t="shared" si="29"/>
        <v>1</v>
      </c>
      <c r="AJ54" s="435">
        <f t="shared" si="29"/>
        <v>1</v>
      </c>
      <c r="AK54" s="435">
        <f t="shared" si="29"/>
        <v>1</v>
      </c>
      <c r="AL54" s="435">
        <f t="shared" si="29"/>
        <v>1</v>
      </c>
      <c r="AM54" s="435">
        <f t="shared" si="29"/>
        <v>1</v>
      </c>
      <c r="AN54" s="435">
        <f t="shared" si="29"/>
        <v>1</v>
      </c>
      <c r="AO54" s="90"/>
      <c r="AP54" s="90"/>
      <c r="AQ54" s="90"/>
      <c r="AR54" s="90"/>
      <c r="AS54" s="90"/>
      <c r="AT54" s="90"/>
      <c r="AU54" s="90"/>
      <c r="AV54" s="90"/>
      <c r="AW54" s="90"/>
      <c r="AX54" s="90"/>
      <c r="AY54" s="90"/>
      <c r="AZ54" s="90"/>
      <c r="BA54" s="90"/>
      <c r="BB54" s="90"/>
      <c r="BC54" s="90"/>
      <c r="BD54" s="90"/>
      <c r="BE54" s="90"/>
      <c r="BF54" s="90"/>
      <c r="BG54" s="90"/>
      <c r="BH54" s="90"/>
      <c r="BI54" s="90"/>
    </row>
    <row r="55" ht="12.75" customHeight="1">
      <c r="A55" s="143"/>
      <c r="B55" s="430" t="s">
        <v>904</v>
      </c>
      <c r="C55" s="143" t="s">
        <v>308</v>
      </c>
      <c r="D55" s="437" t="s">
        <v>127</v>
      </c>
      <c r="E55" s="432">
        <v>100000.0</v>
      </c>
      <c r="F55" s="433">
        <v>2011.0</v>
      </c>
      <c r="G55" s="433"/>
      <c r="H55" s="438">
        <v>8.01</v>
      </c>
      <c r="I55" s="433" t="s">
        <v>124</v>
      </c>
      <c r="J55" s="434"/>
      <c r="K55" s="435">
        <f t="shared" ref="K55:AN55" si="30">IF($F55="",IF(SUM(K56,K58,K60,K62,K63)/$H55&lt;0.5,0,ROUNDUP(SUM(K56,K58,K60,K62,K63)/$H55,0)),IF(K$32&lt;$F55,0,1)+ROUNDDOWN(SUM(SUM(K56,K58,K60,K62,K63))/$H55,0))</f>
        <v>1</v>
      </c>
      <c r="L55" s="435">
        <f t="shared" si="30"/>
        <v>1</v>
      </c>
      <c r="M55" s="435">
        <f t="shared" si="30"/>
        <v>1</v>
      </c>
      <c r="N55" s="435">
        <f t="shared" si="30"/>
        <v>1</v>
      </c>
      <c r="O55" s="435">
        <f t="shared" si="30"/>
        <v>1</v>
      </c>
      <c r="P55" s="435">
        <f t="shared" si="30"/>
        <v>1</v>
      </c>
      <c r="Q55" s="435">
        <f t="shared" si="30"/>
        <v>1</v>
      </c>
      <c r="R55" s="435">
        <f t="shared" si="30"/>
        <v>1</v>
      </c>
      <c r="S55" s="435">
        <f t="shared" si="30"/>
        <v>1</v>
      </c>
      <c r="T55" s="435">
        <f t="shared" si="30"/>
        <v>1</v>
      </c>
      <c r="U55" s="435">
        <f t="shared" si="30"/>
        <v>1</v>
      </c>
      <c r="V55" s="435">
        <f t="shared" si="30"/>
        <v>1</v>
      </c>
      <c r="W55" s="435">
        <f t="shared" si="30"/>
        <v>1</v>
      </c>
      <c r="X55" s="435">
        <f t="shared" si="30"/>
        <v>1</v>
      </c>
      <c r="Y55" s="435">
        <f t="shared" si="30"/>
        <v>1</v>
      </c>
      <c r="Z55" s="435">
        <f t="shared" si="30"/>
        <v>1</v>
      </c>
      <c r="AA55" s="435">
        <f t="shared" si="30"/>
        <v>1</v>
      </c>
      <c r="AB55" s="435">
        <f t="shared" si="30"/>
        <v>1</v>
      </c>
      <c r="AC55" s="435">
        <f t="shared" si="30"/>
        <v>1</v>
      </c>
      <c r="AD55" s="435">
        <f t="shared" si="30"/>
        <v>1</v>
      </c>
      <c r="AE55" s="435">
        <f t="shared" si="30"/>
        <v>1</v>
      </c>
      <c r="AF55" s="435">
        <f t="shared" si="30"/>
        <v>1</v>
      </c>
      <c r="AG55" s="435">
        <f t="shared" si="30"/>
        <v>1</v>
      </c>
      <c r="AH55" s="435">
        <f t="shared" si="30"/>
        <v>1</v>
      </c>
      <c r="AI55" s="435">
        <f t="shared" si="30"/>
        <v>1</v>
      </c>
      <c r="AJ55" s="435">
        <f t="shared" si="30"/>
        <v>1</v>
      </c>
      <c r="AK55" s="435">
        <f t="shared" si="30"/>
        <v>1</v>
      </c>
      <c r="AL55" s="435">
        <f t="shared" si="30"/>
        <v>1</v>
      </c>
      <c r="AM55" s="435">
        <f t="shared" si="30"/>
        <v>1</v>
      </c>
      <c r="AN55" s="435">
        <f t="shared" si="30"/>
        <v>1</v>
      </c>
      <c r="AO55" s="90" t="s">
        <v>905</v>
      </c>
      <c r="AP55" s="90"/>
      <c r="AQ55" s="90"/>
      <c r="AR55" s="90"/>
      <c r="AS55" s="90"/>
      <c r="AT55" s="90"/>
      <c r="AU55" s="90"/>
      <c r="AV55" s="90"/>
      <c r="AW55" s="90"/>
      <c r="AX55" s="90"/>
      <c r="AY55" s="90"/>
      <c r="AZ55" s="90"/>
      <c r="BA55" s="90"/>
      <c r="BB55" s="90"/>
      <c r="BC55" s="90"/>
      <c r="BD55" s="90"/>
      <c r="BE55" s="90"/>
      <c r="BF55" s="90"/>
      <c r="BG55" s="90"/>
      <c r="BH55" s="90"/>
      <c r="BI55" s="90"/>
    </row>
    <row r="56" ht="12.75" customHeight="1">
      <c r="A56" s="143"/>
      <c r="B56" s="430" t="s">
        <v>906</v>
      </c>
      <c r="C56" s="143" t="s">
        <v>308</v>
      </c>
      <c r="D56" s="437" t="s">
        <v>126</v>
      </c>
      <c r="E56" s="432">
        <v>80000.0</v>
      </c>
      <c r="F56" s="433"/>
      <c r="G56" s="433"/>
      <c r="H56" s="438">
        <v>8.01</v>
      </c>
      <c r="I56" s="433" t="s">
        <v>124</v>
      </c>
      <c r="J56" s="434"/>
      <c r="K56" s="435">
        <f t="shared" ref="K56:AN56" si="31">IF($F56="",IF(K57/$H56&lt;0.5,0,ROUNDUP(K57/$H56,0)),IF(K$32&lt;$F56,0,1)+ROUNDDOWN(SUM(K57)/$H56,0))</f>
        <v>0</v>
      </c>
      <c r="L56" s="435">
        <f t="shared" si="31"/>
        <v>0</v>
      </c>
      <c r="M56" s="435">
        <f t="shared" si="31"/>
        <v>0</v>
      </c>
      <c r="N56" s="435">
        <f t="shared" si="31"/>
        <v>0</v>
      </c>
      <c r="O56" s="435">
        <f t="shared" si="31"/>
        <v>0</v>
      </c>
      <c r="P56" s="435">
        <f t="shared" si="31"/>
        <v>0</v>
      </c>
      <c r="Q56" s="435">
        <f t="shared" si="31"/>
        <v>0</v>
      </c>
      <c r="R56" s="435">
        <f t="shared" si="31"/>
        <v>0</v>
      </c>
      <c r="S56" s="435">
        <f t="shared" si="31"/>
        <v>0</v>
      </c>
      <c r="T56" s="435">
        <f t="shared" si="31"/>
        <v>0</v>
      </c>
      <c r="U56" s="435">
        <f t="shared" si="31"/>
        <v>1</v>
      </c>
      <c r="V56" s="435">
        <f t="shared" si="31"/>
        <v>1</v>
      </c>
      <c r="W56" s="435">
        <f t="shared" si="31"/>
        <v>1</v>
      </c>
      <c r="X56" s="435">
        <f t="shared" si="31"/>
        <v>1</v>
      </c>
      <c r="Y56" s="435">
        <f t="shared" si="31"/>
        <v>1</v>
      </c>
      <c r="Z56" s="435">
        <f t="shared" si="31"/>
        <v>1</v>
      </c>
      <c r="AA56" s="435">
        <f t="shared" si="31"/>
        <v>1</v>
      </c>
      <c r="AB56" s="435">
        <f t="shared" si="31"/>
        <v>1</v>
      </c>
      <c r="AC56" s="435">
        <f t="shared" si="31"/>
        <v>1</v>
      </c>
      <c r="AD56" s="435">
        <f t="shared" si="31"/>
        <v>1</v>
      </c>
      <c r="AE56" s="435">
        <f t="shared" si="31"/>
        <v>1</v>
      </c>
      <c r="AF56" s="435">
        <f t="shared" si="31"/>
        <v>1</v>
      </c>
      <c r="AG56" s="435">
        <f t="shared" si="31"/>
        <v>1</v>
      </c>
      <c r="AH56" s="435">
        <f t="shared" si="31"/>
        <v>1</v>
      </c>
      <c r="AI56" s="435">
        <f t="shared" si="31"/>
        <v>1</v>
      </c>
      <c r="AJ56" s="435">
        <f t="shared" si="31"/>
        <v>1</v>
      </c>
      <c r="AK56" s="435">
        <f t="shared" si="31"/>
        <v>1</v>
      </c>
      <c r="AL56" s="435">
        <f t="shared" si="31"/>
        <v>1</v>
      </c>
      <c r="AM56" s="435">
        <f t="shared" si="31"/>
        <v>1</v>
      </c>
      <c r="AN56" s="435">
        <f t="shared" si="31"/>
        <v>1</v>
      </c>
      <c r="AO56" s="90" t="s">
        <v>907</v>
      </c>
      <c r="AP56" s="90"/>
      <c r="AQ56" s="90"/>
      <c r="AR56" s="90"/>
      <c r="AS56" s="90"/>
      <c r="AT56" s="90"/>
      <c r="AU56" s="90"/>
      <c r="AV56" s="90"/>
      <c r="AW56" s="90"/>
      <c r="AX56" s="90"/>
      <c r="AY56" s="90"/>
      <c r="AZ56" s="90"/>
      <c r="BA56" s="90"/>
      <c r="BB56" s="90"/>
      <c r="BC56" s="90"/>
      <c r="BD56" s="90"/>
      <c r="BE56" s="90"/>
      <c r="BF56" s="90"/>
      <c r="BG56" s="90"/>
      <c r="BH56" s="90"/>
      <c r="BI56" s="90"/>
    </row>
    <row r="57" ht="12.75" customHeight="1">
      <c r="A57" s="143"/>
      <c r="B57" s="430" t="s">
        <v>908</v>
      </c>
      <c r="C57" s="143" t="s">
        <v>308</v>
      </c>
      <c r="D57" s="437" t="s">
        <v>124</v>
      </c>
      <c r="E57" s="432">
        <v>60000.0</v>
      </c>
      <c r="F57" s="433">
        <v>2011.0</v>
      </c>
      <c r="G57" s="433"/>
      <c r="H57" s="433">
        <v>10.01</v>
      </c>
      <c r="I57" s="433" t="s">
        <v>89</v>
      </c>
      <c r="J57" s="434"/>
      <c r="K57" s="435">
        <f t="shared" ref="K57:AN57" si="32">IF($F57="",IF(K$6/$H57&lt;0.5,0,ROUNDUP(K$6/$H57,0)),IF(K$32&lt;$F57,0,1)+ROUNDDOWN((K$6)/$H57,0))</f>
        <v>1</v>
      </c>
      <c r="L57" s="435">
        <f t="shared" si="32"/>
        <v>1</v>
      </c>
      <c r="M57" s="435">
        <f t="shared" si="32"/>
        <v>1</v>
      </c>
      <c r="N57" s="435">
        <f t="shared" si="32"/>
        <v>1</v>
      </c>
      <c r="O57" s="435">
        <f t="shared" si="32"/>
        <v>1</v>
      </c>
      <c r="P57" s="435">
        <f t="shared" si="32"/>
        <v>1</v>
      </c>
      <c r="Q57" s="435">
        <f t="shared" si="32"/>
        <v>1</v>
      </c>
      <c r="R57" s="435">
        <f t="shared" si="32"/>
        <v>2</v>
      </c>
      <c r="S57" s="435">
        <f t="shared" si="32"/>
        <v>2</v>
      </c>
      <c r="T57" s="435">
        <f t="shared" si="32"/>
        <v>4</v>
      </c>
      <c r="U57" s="435">
        <f t="shared" si="32"/>
        <v>5</v>
      </c>
      <c r="V57" s="435">
        <f t="shared" si="32"/>
        <v>5</v>
      </c>
      <c r="W57" s="435">
        <f t="shared" si="32"/>
        <v>5</v>
      </c>
      <c r="X57" s="435">
        <f t="shared" si="32"/>
        <v>5</v>
      </c>
      <c r="Y57" s="435">
        <f t="shared" si="32"/>
        <v>5</v>
      </c>
      <c r="Z57" s="435">
        <f t="shared" si="32"/>
        <v>5</v>
      </c>
      <c r="AA57" s="435">
        <f t="shared" si="32"/>
        <v>5</v>
      </c>
      <c r="AB57" s="435">
        <f t="shared" si="32"/>
        <v>5</v>
      </c>
      <c r="AC57" s="435">
        <f t="shared" si="32"/>
        <v>5</v>
      </c>
      <c r="AD57" s="435">
        <f t="shared" si="32"/>
        <v>5</v>
      </c>
      <c r="AE57" s="435">
        <f t="shared" si="32"/>
        <v>5</v>
      </c>
      <c r="AF57" s="435">
        <f t="shared" si="32"/>
        <v>5</v>
      </c>
      <c r="AG57" s="435">
        <f t="shared" si="32"/>
        <v>5</v>
      </c>
      <c r="AH57" s="435">
        <f t="shared" si="32"/>
        <v>5</v>
      </c>
      <c r="AI57" s="435">
        <f t="shared" si="32"/>
        <v>5</v>
      </c>
      <c r="AJ57" s="435">
        <f t="shared" si="32"/>
        <v>5</v>
      </c>
      <c r="AK57" s="435">
        <f t="shared" si="32"/>
        <v>5</v>
      </c>
      <c r="AL57" s="435">
        <f t="shared" si="32"/>
        <v>5</v>
      </c>
      <c r="AM57" s="435">
        <f t="shared" si="32"/>
        <v>5</v>
      </c>
      <c r="AN57" s="435">
        <f t="shared" si="32"/>
        <v>5</v>
      </c>
      <c r="AO57" s="90" t="s">
        <v>909</v>
      </c>
      <c r="AP57" s="90"/>
      <c r="AQ57" s="90"/>
      <c r="AR57" s="90"/>
      <c r="AS57" s="90"/>
      <c r="AT57" s="90"/>
      <c r="AU57" s="90"/>
      <c r="AV57" s="90"/>
      <c r="AW57" s="90"/>
      <c r="AX57" s="90"/>
      <c r="AY57" s="90"/>
      <c r="AZ57" s="90"/>
      <c r="BA57" s="90"/>
      <c r="BB57" s="90"/>
      <c r="BC57" s="90"/>
      <c r="BD57" s="90"/>
      <c r="BE57" s="90"/>
      <c r="BF57" s="90"/>
      <c r="BG57" s="90"/>
      <c r="BH57" s="90"/>
      <c r="BI57" s="90"/>
    </row>
    <row r="58" ht="12.75" customHeight="1">
      <c r="A58" s="143"/>
      <c r="B58" s="430" t="s">
        <v>910</v>
      </c>
      <c r="C58" s="143" t="s">
        <v>308</v>
      </c>
      <c r="D58" s="437" t="s">
        <v>126</v>
      </c>
      <c r="E58" s="432">
        <v>80000.0</v>
      </c>
      <c r="F58" s="433"/>
      <c r="G58" s="433"/>
      <c r="H58" s="438">
        <v>8.01</v>
      </c>
      <c r="I58" s="433" t="s">
        <v>124</v>
      </c>
      <c r="J58" s="434"/>
      <c r="K58" s="435">
        <f t="shared" ref="K58:AN58" si="33">IF($F58="",IF(K59/$H58&lt;0.5,0,ROUNDUP(K59/$H58,0)),IF(K$32&lt;$F58,0,1)+ROUNDDOWN(SUM(K59)/$H58,0))</f>
        <v>0</v>
      </c>
      <c r="L58" s="435">
        <f t="shared" si="33"/>
        <v>0</v>
      </c>
      <c r="M58" s="435">
        <f t="shared" si="33"/>
        <v>0</v>
      </c>
      <c r="N58" s="435">
        <f t="shared" si="33"/>
        <v>0</v>
      </c>
      <c r="O58" s="435">
        <f t="shared" si="33"/>
        <v>0</v>
      </c>
      <c r="P58" s="435">
        <f t="shared" si="33"/>
        <v>0</v>
      </c>
      <c r="Q58" s="435">
        <f t="shared" si="33"/>
        <v>0</v>
      </c>
      <c r="R58" s="435">
        <f t="shared" si="33"/>
        <v>0</v>
      </c>
      <c r="S58" s="435">
        <f t="shared" si="33"/>
        <v>0</v>
      </c>
      <c r="T58" s="435">
        <f t="shared" si="33"/>
        <v>0</v>
      </c>
      <c r="U58" s="435">
        <f t="shared" si="33"/>
        <v>1</v>
      </c>
      <c r="V58" s="435">
        <f t="shared" si="33"/>
        <v>1</v>
      </c>
      <c r="W58" s="435">
        <f t="shared" si="33"/>
        <v>1</v>
      </c>
      <c r="X58" s="435">
        <f t="shared" si="33"/>
        <v>1</v>
      </c>
      <c r="Y58" s="435">
        <f t="shared" si="33"/>
        <v>1</v>
      </c>
      <c r="Z58" s="435">
        <f t="shared" si="33"/>
        <v>1</v>
      </c>
      <c r="AA58" s="435">
        <f t="shared" si="33"/>
        <v>1</v>
      </c>
      <c r="AB58" s="435">
        <f t="shared" si="33"/>
        <v>1</v>
      </c>
      <c r="AC58" s="435">
        <f t="shared" si="33"/>
        <v>1</v>
      </c>
      <c r="AD58" s="435">
        <f t="shared" si="33"/>
        <v>1</v>
      </c>
      <c r="AE58" s="435">
        <f t="shared" si="33"/>
        <v>1</v>
      </c>
      <c r="AF58" s="435">
        <f t="shared" si="33"/>
        <v>1</v>
      </c>
      <c r="AG58" s="435">
        <f t="shared" si="33"/>
        <v>1</v>
      </c>
      <c r="AH58" s="435">
        <f t="shared" si="33"/>
        <v>1</v>
      </c>
      <c r="AI58" s="435">
        <f t="shared" si="33"/>
        <v>1</v>
      </c>
      <c r="AJ58" s="435">
        <f t="shared" si="33"/>
        <v>1</v>
      </c>
      <c r="AK58" s="435">
        <f t="shared" si="33"/>
        <v>1</v>
      </c>
      <c r="AL58" s="435">
        <f t="shared" si="33"/>
        <v>1</v>
      </c>
      <c r="AM58" s="435">
        <f t="shared" si="33"/>
        <v>1</v>
      </c>
      <c r="AN58" s="435">
        <f t="shared" si="33"/>
        <v>1</v>
      </c>
      <c r="AO58" s="90" t="s">
        <v>911</v>
      </c>
      <c r="AP58" s="90"/>
      <c r="AQ58" s="90"/>
      <c r="AR58" s="90"/>
      <c r="AS58" s="90"/>
      <c r="AT58" s="90"/>
      <c r="AU58" s="90"/>
      <c r="AV58" s="90"/>
      <c r="AW58" s="90"/>
      <c r="AX58" s="90"/>
      <c r="AY58" s="90"/>
      <c r="AZ58" s="90"/>
      <c r="BA58" s="90"/>
      <c r="BB58" s="90"/>
      <c r="BC58" s="90"/>
      <c r="BD58" s="90"/>
      <c r="BE58" s="90"/>
      <c r="BF58" s="90"/>
      <c r="BG58" s="90"/>
      <c r="BH58" s="90"/>
      <c r="BI58" s="90"/>
    </row>
    <row r="59" ht="12.75" customHeight="1">
      <c r="A59" s="143"/>
      <c r="B59" s="430" t="s">
        <v>912</v>
      </c>
      <c r="C59" s="143" t="s">
        <v>308</v>
      </c>
      <c r="D59" s="437" t="s">
        <v>124</v>
      </c>
      <c r="E59" s="432">
        <v>60000.0</v>
      </c>
      <c r="F59" s="433">
        <v>2011.0</v>
      </c>
      <c r="G59" s="433"/>
      <c r="H59" s="433">
        <v>10.01</v>
      </c>
      <c r="I59" s="433" t="s">
        <v>89</v>
      </c>
      <c r="J59" s="434"/>
      <c r="K59" s="435">
        <f t="shared" ref="K59:AN59" si="34">IF($F59="",IF(K$6/$H59&lt;0.5,0,ROUNDUP(K$6/$H59,0)),IF(K$32&lt;$F59,0,1)+ROUNDDOWN((K$6)/$H59,0))</f>
        <v>1</v>
      </c>
      <c r="L59" s="435">
        <f t="shared" si="34"/>
        <v>1</v>
      </c>
      <c r="M59" s="435">
        <f t="shared" si="34"/>
        <v>1</v>
      </c>
      <c r="N59" s="435">
        <f t="shared" si="34"/>
        <v>1</v>
      </c>
      <c r="O59" s="435">
        <f t="shared" si="34"/>
        <v>1</v>
      </c>
      <c r="P59" s="435">
        <f t="shared" si="34"/>
        <v>1</v>
      </c>
      <c r="Q59" s="435">
        <f t="shared" si="34"/>
        <v>1</v>
      </c>
      <c r="R59" s="435">
        <f t="shared" si="34"/>
        <v>2</v>
      </c>
      <c r="S59" s="435">
        <f t="shared" si="34"/>
        <v>2</v>
      </c>
      <c r="T59" s="435">
        <f t="shared" si="34"/>
        <v>4</v>
      </c>
      <c r="U59" s="435">
        <f t="shared" si="34"/>
        <v>5</v>
      </c>
      <c r="V59" s="435">
        <f t="shared" si="34"/>
        <v>5</v>
      </c>
      <c r="W59" s="435">
        <f t="shared" si="34"/>
        <v>5</v>
      </c>
      <c r="X59" s="435">
        <f t="shared" si="34"/>
        <v>5</v>
      </c>
      <c r="Y59" s="435">
        <f t="shared" si="34"/>
        <v>5</v>
      </c>
      <c r="Z59" s="435">
        <f t="shared" si="34"/>
        <v>5</v>
      </c>
      <c r="AA59" s="435">
        <f t="shared" si="34"/>
        <v>5</v>
      </c>
      <c r="AB59" s="435">
        <f t="shared" si="34"/>
        <v>5</v>
      </c>
      <c r="AC59" s="435">
        <f t="shared" si="34"/>
        <v>5</v>
      </c>
      <c r="AD59" s="435">
        <f t="shared" si="34"/>
        <v>5</v>
      </c>
      <c r="AE59" s="435">
        <f t="shared" si="34"/>
        <v>5</v>
      </c>
      <c r="AF59" s="435">
        <f t="shared" si="34"/>
        <v>5</v>
      </c>
      <c r="AG59" s="435">
        <f t="shared" si="34"/>
        <v>5</v>
      </c>
      <c r="AH59" s="435">
        <f t="shared" si="34"/>
        <v>5</v>
      </c>
      <c r="AI59" s="435">
        <f t="shared" si="34"/>
        <v>5</v>
      </c>
      <c r="AJ59" s="435">
        <f t="shared" si="34"/>
        <v>5</v>
      </c>
      <c r="AK59" s="435">
        <f t="shared" si="34"/>
        <v>5</v>
      </c>
      <c r="AL59" s="435">
        <f t="shared" si="34"/>
        <v>5</v>
      </c>
      <c r="AM59" s="435">
        <f t="shared" si="34"/>
        <v>5</v>
      </c>
      <c r="AN59" s="435">
        <f t="shared" si="34"/>
        <v>5</v>
      </c>
      <c r="AO59" s="90" t="s">
        <v>911</v>
      </c>
      <c r="AP59" s="90"/>
      <c r="AQ59" s="90"/>
      <c r="AR59" s="90"/>
      <c r="AS59" s="90"/>
      <c r="AT59" s="90"/>
      <c r="AU59" s="90"/>
      <c r="AV59" s="90"/>
      <c r="AW59" s="90"/>
      <c r="AX59" s="90"/>
      <c r="AY59" s="90"/>
      <c r="AZ59" s="90"/>
      <c r="BA59" s="90"/>
      <c r="BB59" s="90"/>
      <c r="BC59" s="90"/>
      <c r="BD59" s="90"/>
      <c r="BE59" s="90"/>
      <c r="BF59" s="90"/>
      <c r="BG59" s="90"/>
      <c r="BH59" s="90"/>
      <c r="BI59" s="90"/>
    </row>
    <row r="60" ht="12.75" customHeight="1">
      <c r="A60" s="143"/>
      <c r="B60" s="430" t="s">
        <v>913</v>
      </c>
      <c r="C60" s="143" t="s">
        <v>308</v>
      </c>
      <c r="D60" s="437" t="s">
        <v>126</v>
      </c>
      <c r="E60" s="432">
        <v>80000.0</v>
      </c>
      <c r="F60" s="433">
        <v>2014.0</v>
      </c>
      <c r="G60" s="433"/>
      <c r="H60" s="438">
        <v>8.01</v>
      </c>
      <c r="I60" s="433" t="s">
        <v>124</v>
      </c>
      <c r="J60" s="434"/>
      <c r="K60" s="435">
        <f t="shared" ref="K60:AN60" si="35">IF($F60="",IF(K61/$H60&lt;0.5,0,ROUNDUP(K61/$H60,0)),IF(K$32&lt;$F60,0,1)+ROUNDDOWN(SUM(K61)/$H60,0))</f>
        <v>0</v>
      </c>
      <c r="L60" s="435">
        <f t="shared" si="35"/>
        <v>0</v>
      </c>
      <c r="M60" s="435">
        <f t="shared" si="35"/>
        <v>0</v>
      </c>
      <c r="N60" s="435">
        <f t="shared" si="35"/>
        <v>1</v>
      </c>
      <c r="O60" s="435">
        <f t="shared" si="35"/>
        <v>1</v>
      </c>
      <c r="P60" s="435">
        <f t="shared" si="35"/>
        <v>1</v>
      </c>
      <c r="Q60" s="435">
        <f t="shared" si="35"/>
        <v>1</v>
      </c>
      <c r="R60" s="435">
        <f t="shared" si="35"/>
        <v>1</v>
      </c>
      <c r="S60" s="435">
        <f t="shared" si="35"/>
        <v>1</v>
      </c>
      <c r="T60" s="435">
        <f t="shared" si="35"/>
        <v>1</v>
      </c>
      <c r="U60" s="435">
        <f t="shared" si="35"/>
        <v>1</v>
      </c>
      <c r="V60" s="435">
        <f t="shared" si="35"/>
        <v>1</v>
      </c>
      <c r="W60" s="435">
        <f t="shared" si="35"/>
        <v>1</v>
      </c>
      <c r="X60" s="435">
        <f t="shared" si="35"/>
        <v>1</v>
      </c>
      <c r="Y60" s="435">
        <f t="shared" si="35"/>
        <v>1</v>
      </c>
      <c r="Z60" s="435">
        <f t="shared" si="35"/>
        <v>1</v>
      </c>
      <c r="AA60" s="435">
        <f t="shared" si="35"/>
        <v>1</v>
      </c>
      <c r="AB60" s="435">
        <f t="shared" si="35"/>
        <v>1</v>
      </c>
      <c r="AC60" s="435">
        <f t="shared" si="35"/>
        <v>1</v>
      </c>
      <c r="AD60" s="435">
        <f t="shared" si="35"/>
        <v>1</v>
      </c>
      <c r="AE60" s="435">
        <f t="shared" si="35"/>
        <v>1</v>
      </c>
      <c r="AF60" s="435">
        <f t="shared" si="35"/>
        <v>1</v>
      </c>
      <c r="AG60" s="435">
        <f t="shared" si="35"/>
        <v>1</v>
      </c>
      <c r="AH60" s="435">
        <f t="shared" si="35"/>
        <v>1</v>
      </c>
      <c r="AI60" s="435">
        <f t="shared" si="35"/>
        <v>1</v>
      </c>
      <c r="AJ60" s="435">
        <f t="shared" si="35"/>
        <v>1</v>
      </c>
      <c r="AK60" s="435">
        <f t="shared" si="35"/>
        <v>1</v>
      </c>
      <c r="AL60" s="435">
        <f t="shared" si="35"/>
        <v>1</v>
      </c>
      <c r="AM60" s="435">
        <f t="shared" si="35"/>
        <v>1</v>
      </c>
      <c r="AN60" s="435">
        <f t="shared" si="35"/>
        <v>1</v>
      </c>
      <c r="AO60" s="90" t="s">
        <v>914</v>
      </c>
      <c r="AP60" s="90"/>
      <c r="AQ60" s="90"/>
      <c r="AR60" s="90"/>
      <c r="AS60" s="90"/>
      <c r="AT60" s="90"/>
      <c r="AU60" s="90"/>
      <c r="AV60" s="90"/>
      <c r="AW60" s="90"/>
      <c r="AX60" s="90"/>
      <c r="AY60" s="90"/>
      <c r="AZ60" s="90"/>
      <c r="BA60" s="90"/>
      <c r="BB60" s="90"/>
      <c r="BC60" s="90"/>
      <c r="BD60" s="90"/>
      <c r="BE60" s="90"/>
      <c r="BF60" s="90"/>
      <c r="BG60" s="90"/>
      <c r="BH60" s="90"/>
      <c r="BI60" s="90"/>
    </row>
    <row r="61" ht="12.75" customHeight="1">
      <c r="A61" s="143"/>
      <c r="B61" s="430" t="s">
        <v>915</v>
      </c>
      <c r="C61" s="143" t="s">
        <v>308</v>
      </c>
      <c r="D61" s="437" t="s">
        <v>124</v>
      </c>
      <c r="E61" s="432">
        <v>60000.0</v>
      </c>
      <c r="F61" s="433"/>
      <c r="G61" s="433"/>
      <c r="H61" s="433">
        <v>10.01</v>
      </c>
      <c r="I61" s="433" t="s">
        <v>89</v>
      </c>
      <c r="J61" s="434"/>
      <c r="K61" s="435">
        <f t="shared" ref="K61:AN61" si="36">IF($F61="",IF(K$6/$H61&lt;0.5,0,ROUNDUP(K$6/$H61,0)),IF(K$32&lt;$F61,0,1)+ROUNDDOWN((K$6)/$H61,0))</f>
        <v>0</v>
      </c>
      <c r="L61" s="435">
        <f t="shared" si="36"/>
        <v>0</v>
      </c>
      <c r="M61" s="435">
        <f t="shared" si="36"/>
        <v>0</v>
      </c>
      <c r="N61" s="435">
        <f t="shared" si="36"/>
        <v>0</v>
      </c>
      <c r="O61" s="435">
        <f t="shared" si="36"/>
        <v>0</v>
      </c>
      <c r="P61" s="435">
        <f t="shared" si="36"/>
        <v>0</v>
      </c>
      <c r="Q61" s="435">
        <f t="shared" si="36"/>
        <v>1</v>
      </c>
      <c r="R61" s="435">
        <f t="shared" si="36"/>
        <v>2</v>
      </c>
      <c r="S61" s="435">
        <f t="shared" si="36"/>
        <v>2</v>
      </c>
      <c r="T61" s="435">
        <f t="shared" si="36"/>
        <v>4</v>
      </c>
      <c r="U61" s="435">
        <f t="shared" si="36"/>
        <v>5</v>
      </c>
      <c r="V61" s="435">
        <f t="shared" si="36"/>
        <v>5</v>
      </c>
      <c r="W61" s="435">
        <f t="shared" si="36"/>
        <v>5</v>
      </c>
      <c r="X61" s="435">
        <f t="shared" si="36"/>
        <v>5</v>
      </c>
      <c r="Y61" s="435">
        <f t="shared" si="36"/>
        <v>5</v>
      </c>
      <c r="Z61" s="435">
        <f t="shared" si="36"/>
        <v>5</v>
      </c>
      <c r="AA61" s="435">
        <f t="shared" si="36"/>
        <v>5</v>
      </c>
      <c r="AB61" s="435">
        <f t="shared" si="36"/>
        <v>5</v>
      </c>
      <c r="AC61" s="435">
        <f t="shared" si="36"/>
        <v>5</v>
      </c>
      <c r="AD61" s="435">
        <f t="shared" si="36"/>
        <v>5</v>
      </c>
      <c r="AE61" s="435">
        <f t="shared" si="36"/>
        <v>5</v>
      </c>
      <c r="AF61" s="435">
        <f t="shared" si="36"/>
        <v>5</v>
      </c>
      <c r="AG61" s="435">
        <f t="shared" si="36"/>
        <v>5</v>
      </c>
      <c r="AH61" s="435">
        <f t="shared" si="36"/>
        <v>5</v>
      </c>
      <c r="AI61" s="435">
        <f t="shared" si="36"/>
        <v>5</v>
      </c>
      <c r="AJ61" s="435">
        <f t="shared" si="36"/>
        <v>5</v>
      </c>
      <c r="AK61" s="435">
        <f t="shared" si="36"/>
        <v>5</v>
      </c>
      <c r="AL61" s="435">
        <f t="shared" si="36"/>
        <v>5</v>
      </c>
      <c r="AM61" s="435">
        <f t="shared" si="36"/>
        <v>5</v>
      </c>
      <c r="AN61" s="435">
        <f t="shared" si="36"/>
        <v>5</v>
      </c>
      <c r="AO61" s="90" t="s">
        <v>914</v>
      </c>
      <c r="AP61" s="90"/>
      <c r="AQ61" s="90"/>
      <c r="AR61" s="90"/>
      <c r="AS61" s="90"/>
      <c r="AT61" s="90"/>
      <c r="AU61" s="90"/>
      <c r="AV61" s="90"/>
      <c r="AW61" s="90"/>
      <c r="AX61" s="90"/>
      <c r="AY61" s="90"/>
      <c r="AZ61" s="90"/>
      <c r="BA61" s="90"/>
      <c r="BB61" s="90"/>
      <c r="BC61" s="90"/>
      <c r="BD61" s="90"/>
      <c r="BE61" s="90"/>
      <c r="BF61" s="90"/>
      <c r="BG61" s="90"/>
      <c r="BH61" s="90"/>
      <c r="BI61" s="90"/>
    </row>
    <row r="62" ht="12.75" customHeight="1">
      <c r="A62" s="143"/>
      <c r="B62" s="430" t="s">
        <v>916</v>
      </c>
      <c r="C62" s="143" t="s">
        <v>308</v>
      </c>
      <c r="D62" s="437" t="s">
        <v>124</v>
      </c>
      <c r="E62" s="432">
        <v>60000.0</v>
      </c>
      <c r="F62" s="433">
        <v>2016.0</v>
      </c>
      <c r="G62" s="433"/>
      <c r="H62" s="433"/>
      <c r="I62" s="433"/>
      <c r="J62" s="434"/>
      <c r="K62" s="435">
        <f t="shared" ref="K62:AN62" si="37">IF($F62&gt;K$32,0,1)</f>
        <v>0</v>
      </c>
      <c r="L62" s="435">
        <f t="shared" si="37"/>
        <v>0</v>
      </c>
      <c r="M62" s="435">
        <f t="shared" si="37"/>
        <v>0</v>
      </c>
      <c r="N62" s="435">
        <f t="shared" si="37"/>
        <v>0</v>
      </c>
      <c r="O62" s="435">
        <f t="shared" si="37"/>
        <v>0</v>
      </c>
      <c r="P62" s="435">
        <f t="shared" si="37"/>
        <v>1</v>
      </c>
      <c r="Q62" s="435">
        <f t="shared" si="37"/>
        <v>1</v>
      </c>
      <c r="R62" s="435">
        <f t="shared" si="37"/>
        <v>1</v>
      </c>
      <c r="S62" s="435">
        <f t="shared" si="37"/>
        <v>1</v>
      </c>
      <c r="T62" s="435">
        <f t="shared" si="37"/>
        <v>1</v>
      </c>
      <c r="U62" s="435">
        <f t="shared" si="37"/>
        <v>1</v>
      </c>
      <c r="V62" s="435">
        <f t="shared" si="37"/>
        <v>1</v>
      </c>
      <c r="W62" s="435">
        <f t="shared" si="37"/>
        <v>1</v>
      </c>
      <c r="X62" s="435">
        <f t="shared" si="37"/>
        <v>1</v>
      </c>
      <c r="Y62" s="435">
        <f t="shared" si="37"/>
        <v>1</v>
      </c>
      <c r="Z62" s="435">
        <f t="shared" si="37"/>
        <v>1</v>
      </c>
      <c r="AA62" s="435">
        <f t="shared" si="37"/>
        <v>1</v>
      </c>
      <c r="AB62" s="435">
        <f t="shared" si="37"/>
        <v>1</v>
      </c>
      <c r="AC62" s="435">
        <f t="shared" si="37"/>
        <v>1</v>
      </c>
      <c r="AD62" s="435">
        <f t="shared" si="37"/>
        <v>1</v>
      </c>
      <c r="AE62" s="435">
        <f t="shared" si="37"/>
        <v>1</v>
      </c>
      <c r="AF62" s="435">
        <f t="shared" si="37"/>
        <v>1</v>
      </c>
      <c r="AG62" s="435">
        <f t="shared" si="37"/>
        <v>1</v>
      </c>
      <c r="AH62" s="435">
        <f t="shared" si="37"/>
        <v>1</v>
      </c>
      <c r="AI62" s="435">
        <f t="shared" si="37"/>
        <v>1</v>
      </c>
      <c r="AJ62" s="435">
        <f t="shared" si="37"/>
        <v>1</v>
      </c>
      <c r="AK62" s="435">
        <f t="shared" si="37"/>
        <v>1</v>
      </c>
      <c r="AL62" s="435">
        <f t="shared" si="37"/>
        <v>1</v>
      </c>
      <c r="AM62" s="435">
        <f t="shared" si="37"/>
        <v>1</v>
      </c>
      <c r="AN62" s="435">
        <f t="shared" si="37"/>
        <v>1</v>
      </c>
      <c r="AO62" s="439" t="s">
        <v>917</v>
      </c>
      <c r="AP62" s="90"/>
      <c r="AQ62" s="90"/>
      <c r="AR62" s="90"/>
      <c r="AS62" s="90"/>
      <c r="AT62" s="90"/>
      <c r="AU62" s="90"/>
      <c r="AV62" s="90"/>
      <c r="AW62" s="90"/>
      <c r="AX62" s="90"/>
      <c r="AY62" s="90"/>
      <c r="AZ62" s="90"/>
      <c r="BA62" s="90"/>
      <c r="BB62" s="90"/>
      <c r="BC62" s="90"/>
      <c r="BD62" s="90"/>
      <c r="BE62" s="90"/>
      <c r="BF62" s="90"/>
      <c r="BG62" s="90"/>
      <c r="BH62" s="90"/>
      <c r="BI62" s="90"/>
    </row>
    <row r="63" ht="12.75" customHeight="1">
      <c r="A63" s="143"/>
      <c r="B63" s="430" t="s">
        <v>918</v>
      </c>
      <c r="C63" s="143" t="s">
        <v>308</v>
      </c>
      <c r="D63" s="437" t="s">
        <v>126</v>
      </c>
      <c r="E63" s="432">
        <v>80000.0</v>
      </c>
      <c r="F63" s="433"/>
      <c r="G63" s="433"/>
      <c r="H63" s="438">
        <v>8.01</v>
      </c>
      <c r="I63" s="433" t="s">
        <v>124</v>
      </c>
      <c r="J63" s="434"/>
      <c r="K63" s="435">
        <f t="shared" ref="K63:AN63" si="38">IF($F63="",IF(K64/$H63&lt;0.5,0,ROUNDUP(K64/$H63,0)),IF(K$32&lt;$F63,0,1)+ROUNDDOWN(SUM(K64)/$H63,0))</f>
        <v>0</v>
      </c>
      <c r="L63" s="435">
        <f t="shared" si="38"/>
        <v>0</v>
      </c>
      <c r="M63" s="435">
        <f t="shared" si="38"/>
        <v>0</v>
      </c>
      <c r="N63" s="435">
        <f t="shared" si="38"/>
        <v>0</v>
      </c>
      <c r="O63" s="435">
        <f t="shared" si="38"/>
        <v>0</v>
      </c>
      <c r="P63" s="435">
        <f t="shared" si="38"/>
        <v>0</v>
      </c>
      <c r="Q63" s="435">
        <f t="shared" si="38"/>
        <v>0</v>
      </c>
      <c r="R63" s="435">
        <f t="shared" si="38"/>
        <v>0</v>
      </c>
      <c r="S63" s="435">
        <f t="shared" si="38"/>
        <v>0</v>
      </c>
      <c r="T63" s="435">
        <f t="shared" si="38"/>
        <v>1</v>
      </c>
      <c r="U63" s="435">
        <f t="shared" si="38"/>
        <v>2</v>
      </c>
      <c r="V63" s="435">
        <f t="shared" si="38"/>
        <v>2</v>
      </c>
      <c r="W63" s="435">
        <f t="shared" si="38"/>
        <v>2</v>
      </c>
      <c r="X63" s="435">
        <f t="shared" si="38"/>
        <v>2</v>
      </c>
      <c r="Y63" s="435">
        <f t="shared" si="38"/>
        <v>2</v>
      </c>
      <c r="Z63" s="435">
        <f t="shared" si="38"/>
        <v>2</v>
      </c>
      <c r="AA63" s="435">
        <f t="shared" si="38"/>
        <v>2</v>
      </c>
      <c r="AB63" s="435">
        <f t="shared" si="38"/>
        <v>2</v>
      </c>
      <c r="AC63" s="435">
        <f t="shared" si="38"/>
        <v>2</v>
      </c>
      <c r="AD63" s="435">
        <f t="shared" si="38"/>
        <v>2</v>
      </c>
      <c r="AE63" s="435">
        <f t="shared" si="38"/>
        <v>2</v>
      </c>
      <c r="AF63" s="435">
        <f t="shared" si="38"/>
        <v>2</v>
      </c>
      <c r="AG63" s="435">
        <f t="shared" si="38"/>
        <v>2</v>
      </c>
      <c r="AH63" s="435">
        <f t="shared" si="38"/>
        <v>2</v>
      </c>
      <c r="AI63" s="435">
        <f t="shared" si="38"/>
        <v>2</v>
      </c>
      <c r="AJ63" s="435">
        <f t="shared" si="38"/>
        <v>2</v>
      </c>
      <c r="AK63" s="435">
        <f t="shared" si="38"/>
        <v>2</v>
      </c>
      <c r="AL63" s="435">
        <f t="shared" si="38"/>
        <v>2</v>
      </c>
      <c r="AM63" s="435">
        <f t="shared" si="38"/>
        <v>2</v>
      </c>
      <c r="AN63" s="435">
        <f t="shared" si="38"/>
        <v>2</v>
      </c>
      <c r="AO63" s="90" t="s">
        <v>919</v>
      </c>
      <c r="AP63" s="90"/>
      <c r="AQ63" s="90"/>
      <c r="AR63" s="90"/>
      <c r="AS63" s="90"/>
      <c r="AT63" s="90"/>
      <c r="AU63" s="90"/>
      <c r="AV63" s="90"/>
      <c r="AW63" s="90"/>
      <c r="AX63" s="90"/>
      <c r="AY63" s="90"/>
      <c r="AZ63" s="90"/>
      <c r="BA63" s="90"/>
      <c r="BB63" s="90"/>
      <c r="BC63" s="90"/>
      <c r="BD63" s="90"/>
      <c r="BE63" s="90"/>
      <c r="BF63" s="90"/>
      <c r="BG63" s="90"/>
      <c r="BH63" s="90"/>
      <c r="BI63" s="90"/>
    </row>
    <row r="64" ht="12.75" customHeight="1">
      <c r="A64" s="143"/>
      <c r="B64" s="430" t="s">
        <v>920</v>
      </c>
      <c r="C64" s="143" t="s">
        <v>308</v>
      </c>
      <c r="D64" s="437" t="s">
        <v>124</v>
      </c>
      <c r="E64" s="432">
        <v>60000.0</v>
      </c>
      <c r="F64" s="433">
        <v>2012.0</v>
      </c>
      <c r="G64" s="433"/>
      <c r="H64" s="438">
        <v>5.01</v>
      </c>
      <c r="I64" s="433" t="s">
        <v>89</v>
      </c>
      <c r="J64" s="434"/>
      <c r="K64" s="435">
        <f t="shared" ref="K64:AN64" si="39">IF($F64="",IF(K$6/$H64&lt;0.5,0,ROUNDUP(K$6/$H64,0)),IF(K$32&lt;$F64,0,1)+ROUNDDOWN((K$6)/$H64,0))</f>
        <v>0</v>
      </c>
      <c r="L64" s="435">
        <f t="shared" si="39"/>
        <v>1</v>
      </c>
      <c r="M64" s="435">
        <f t="shared" si="39"/>
        <v>1</v>
      </c>
      <c r="N64" s="435">
        <f t="shared" si="39"/>
        <v>1</v>
      </c>
      <c r="O64" s="435">
        <f t="shared" si="39"/>
        <v>1</v>
      </c>
      <c r="P64" s="435">
        <f t="shared" si="39"/>
        <v>1</v>
      </c>
      <c r="Q64" s="435">
        <f t="shared" si="39"/>
        <v>2</v>
      </c>
      <c r="R64" s="435">
        <f t="shared" si="39"/>
        <v>3</v>
      </c>
      <c r="S64" s="435">
        <f t="shared" si="39"/>
        <v>4</v>
      </c>
      <c r="T64" s="435">
        <f t="shared" si="39"/>
        <v>7</v>
      </c>
      <c r="U64" s="435">
        <f t="shared" si="39"/>
        <v>10</v>
      </c>
      <c r="V64" s="435">
        <f t="shared" si="39"/>
        <v>10</v>
      </c>
      <c r="W64" s="435">
        <f t="shared" si="39"/>
        <v>10</v>
      </c>
      <c r="X64" s="435">
        <f t="shared" si="39"/>
        <v>10</v>
      </c>
      <c r="Y64" s="435">
        <f t="shared" si="39"/>
        <v>10</v>
      </c>
      <c r="Z64" s="435">
        <f t="shared" si="39"/>
        <v>10</v>
      </c>
      <c r="AA64" s="435">
        <f t="shared" si="39"/>
        <v>10</v>
      </c>
      <c r="AB64" s="435">
        <f t="shared" si="39"/>
        <v>10</v>
      </c>
      <c r="AC64" s="435">
        <f t="shared" si="39"/>
        <v>10</v>
      </c>
      <c r="AD64" s="435">
        <f t="shared" si="39"/>
        <v>10</v>
      </c>
      <c r="AE64" s="435">
        <f t="shared" si="39"/>
        <v>10</v>
      </c>
      <c r="AF64" s="435">
        <f t="shared" si="39"/>
        <v>10</v>
      </c>
      <c r="AG64" s="435">
        <f t="shared" si="39"/>
        <v>10</v>
      </c>
      <c r="AH64" s="435">
        <f t="shared" si="39"/>
        <v>10</v>
      </c>
      <c r="AI64" s="435">
        <f t="shared" si="39"/>
        <v>10</v>
      </c>
      <c r="AJ64" s="435">
        <f t="shared" si="39"/>
        <v>10</v>
      </c>
      <c r="AK64" s="435">
        <f t="shared" si="39"/>
        <v>10</v>
      </c>
      <c r="AL64" s="435">
        <f t="shared" si="39"/>
        <v>10</v>
      </c>
      <c r="AM64" s="435">
        <f t="shared" si="39"/>
        <v>10</v>
      </c>
      <c r="AN64" s="435">
        <f t="shared" si="39"/>
        <v>10</v>
      </c>
      <c r="AO64" s="90" t="s">
        <v>921</v>
      </c>
      <c r="AP64" s="90"/>
      <c r="AQ64" s="90"/>
      <c r="AR64" s="90"/>
      <c r="AS64" s="90"/>
      <c r="AT64" s="90"/>
      <c r="AU64" s="90"/>
      <c r="AV64" s="90"/>
      <c r="AW64" s="90"/>
      <c r="AX64" s="90"/>
      <c r="AY64" s="90"/>
      <c r="AZ64" s="90"/>
      <c r="BA64" s="90"/>
      <c r="BB64" s="90"/>
      <c r="BC64" s="90"/>
      <c r="BD64" s="90"/>
      <c r="BE64" s="90"/>
      <c r="BF64" s="90"/>
      <c r="BG64" s="90"/>
      <c r="BH64" s="90"/>
      <c r="BI64" s="90"/>
    </row>
    <row r="65" ht="12.75" customHeight="1">
      <c r="A65" s="143"/>
      <c r="B65" s="430"/>
      <c r="C65" s="143"/>
      <c r="D65" s="437"/>
      <c r="E65" s="432"/>
      <c r="F65" s="433"/>
      <c r="G65" s="433"/>
      <c r="H65" s="438"/>
      <c r="I65" s="433"/>
      <c r="J65" s="434"/>
      <c r="K65" s="435"/>
      <c r="L65" s="435"/>
      <c r="M65" s="435"/>
      <c r="N65" s="435"/>
      <c r="O65" s="435"/>
      <c r="P65" s="435"/>
      <c r="Q65" s="435"/>
      <c r="R65" s="435"/>
      <c r="S65" s="435"/>
      <c r="T65" s="435"/>
      <c r="U65" s="435"/>
      <c r="V65" s="435"/>
      <c r="W65" s="435"/>
      <c r="X65" s="435"/>
      <c r="Y65" s="435"/>
      <c r="Z65" s="435"/>
      <c r="AA65" s="435"/>
      <c r="AB65" s="435"/>
      <c r="AC65" s="435"/>
      <c r="AD65" s="435"/>
      <c r="AE65" s="435"/>
      <c r="AF65" s="435"/>
      <c r="AG65" s="435"/>
      <c r="AH65" s="435"/>
      <c r="AI65" s="435"/>
      <c r="AJ65" s="435"/>
      <c r="AK65" s="435"/>
      <c r="AL65" s="435"/>
      <c r="AM65" s="435"/>
      <c r="AN65" s="435"/>
      <c r="AO65" s="90"/>
      <c r="AP65" s="90"/>
      <c r="AQ65" s="90"/>
      <c r="AR65" s="90"/>
      <c r="AS65" s="90"/>
      <c r="AT65" s="90"/>
      <c r="AU65" s="90"/>
      <c r="AV65" s="90"/>
      <c r="AW65" s="90"/>
      <c r="AX65" s="90"/>
      <c r="AY65" s="90"/>
      <c r="AZ65" s="90"/>
      <c r="BA65" s="90"/>
      <c r="BB65" s="90"/>
      <c r="BC65" s="90"/>
      <c r="BD65" s="90"/>
      <c r="BE65" s="90"/>
      <c r="BF65" s="90"/>
      <c r="BG65" s="90"/>
      <c r="BH65" s="90"/>
      <c r="BI65" s="90"/>
    </row>
    <row r="66" ht="12.75" customHeight="1">
      <c r="A66" s="143"/>
      <c r="B66" s="430" t="s">
        <v>922</v>
      </c>
      <c r="C66" s="143" t="s">
        <v>923</v>
      </c>
      <c r="D66" s="437" t="s">
        <v>127</v>
      </c>
      <c r="E66" s="432">
        <v>100000.0</v>
      </c>
      <c r="F66" s="433"/>
      <c r="G66" s="433"/>
      <c r="H66" s="438">
        <v>8.01</v>
      </c>
      <c r="I66" s="433" t="s">
        <v>124</v>
      </c>
      <c r="J66" s="434"/>
      <c r="K66" s="435">
        <f t="shared" ref="K66:AN66" si="40">IF($F66="",IF(SUM(K67,K71,K74)/$H66&lt;0.5,0,ROUNDUP(SUM(K67,K71,K74)/$H66,0)),IF(K$32&lt;$F66,0,1)+ROUNDDOWN(SUM(K67,K71,K74)/$H66,0))</f>
        <v>0</v>
      </c>
      <c r="L66" s="435">
        <f t="shared" si="40"/>
        <v>0</v>
      </c>
      <c r="M66" s="435">
        <f t="shared" si="40"/>
        <v>0</v>
      </c>
      <c r="N66" s="435">
        <f t="shared" si="40"/>
        <v>0</v>
      </c>
      <c r="O66" s="435">
        <f t="shared" si="40"/>
        <v>0</v>
      </c>
      <c r="P66" s="435">
        <f t="shared" si="40"/>
        <v>0</v>
      </c>
      <c r="Q66" s="435">
        <f t="shared" si="40"/>
        <v>0</v>
      </c>
      <c r="R66" s="435">
        <f t="shared" si="40"/>
        <v>0</v>
      </c>
      <c r="S66" s="435">
        <f t="shared" si="40"/>
        <v>0</v>
      </c>
      <c r="T66" s="435">
        <f t="shared" si="40"/>
        <v>1</v>
      </c>
      <c r="U66" s="435">
        <f t="shared" si="40"/>
        <v>1</v>
      </c>
      <c r="V66" s="435">
        <f t="shared" si="40"/>
        <v>1</v>
      </c>
      <c r="W66" s="435">
        <f t="shared" si="40"/>
        <v>1</v>
      </c>
      <c r="X66" s="435">
        <f t="shared" si="40"/>
        <v>1</v>
      </c>
      <c r="Y66" s="435">
        <f t="shared" si="40"/>
        <v>1</v>
      </c>
      <c r="Z66" s="435">
        <f t="shared" si="40"/>
        <v>1</v>
      </c>
      <c r="AA66" s="435">
        <f t="shared" si="40"/>
        <v>1</v>
      </c>
      <c r="AB66" s="435">
        <f t="shared" si="40"/>
        <v>1</v>
      </c>
      <c r="AC66" s="435">
        <f t="shared" si="40"/>
        <v>1</v>
      </c>
      <c r="AD66" s="435">
        <f t="shared" si="40"/>
        <v>1</v>
      </c>
      <c r="AE66" s="435">
        <f t="shared" si="40"/>
        <v>1</v>
      </c>
      <c r="AF66" s="435">
        <f t="shared" si="40"/>
        <v>1</v>
      </c>
      <c r="AG66" s="435">
        <f t="shared" si="40"/>
        <v>1</v>
      </c>
      <c r="AH66" s="435">
        <f t="shared" si="40"/>
        <v>1</v>
      </c>
      <c r="AI66" s="435">
        <f t="shared" si="40"/>
        <v>1</v>
      </c>
      <c r="AJ66" s="435">
        <f t="shared" si="40"/>
        <v>1</v>
      </c>
      <c r="AK66" s="435">
        <f t="shared" si="40"/>
        <v>1</v>
      </c>
      <c r="AL66" s="435">
        <f t="shared" si="40"/>
        <v>1</v>
      </c>
      <c r="AM66" s="435">
        <f t="shared" si="40"/>
        <v>1</v>
      </c>
      <c r="AN66" s="435">
        <f t="shared" si="40"/>
        <v>1</v>
      </c>
      <c r="AO66" s="90" t="s">
        <v>924</v>
      </c>
      <c r="AP66" s="90"/>
      <c r="AQ66" s="90"/>
      <c r="AR66" s="90"/>
      <c r="AS66" s="90"/>
      <c r="AT66" s="90"/>
      <c r="AU66" s="90"/>
      <c r="AV66" s="90"/>
      <c r="AW66" s="90"/>
      <c r="AX66" s="90"/>
      <c r="AY66" s="90"/>
      <c r="AZ66" s="90"/>
      <c r="BA66" s="90"/>
      <c r="BB66" s="90"/>
      <c r="BC66" s="90"/>
      <c r="BD66" s="90"/>
      <c r="BE66" s="90"/>
      <c r="BF66" s="90"/>
      <c r="BG66" s="90"/>
      <c r="BH66" s="90"/>
      <c r="BI66" s="90"/>
    </row>
    <row r="67" ht="12.75" customHeight="1">
      <c r="A67" s="143"/>
      <c r="B67" s="430" t="s">
        <v>925</v>
      </c>
      <c r="C67" s="143" t="s">
        <v>923</v>
      </c>
      <c r="D67" s="437" t="s">
        <v>126</v>
      </c>
      <c r="E67" s="432">
        <v>80000.0</v>
      </c>
      <c r="F67" s="433">
        <v>2011.0</v>
      </c>
      <c r="G67" s="433"/>
      <c r="H67" s="438">
        <v>8.01</v>
      </c>
      <c r="I67" s="433" t="s">
        <v>318</v>
      </c>
      <c r="J67" s="434"/>
      <c r="K67" s="435">
        <f t="shared" ref="K67:AN67" si="41">IF($F67="",IF(SUM(K68:K70)/$H67&lt;0.5,0,ROUNDUP(SUM(K68:K70)/$H67,0)),IF(K$32&lt;$F67,0,1)+ROUNDDOWN(SUM(K68:K70)/$H67,0))</f>
        <v>1</v>
      </c>
      <c r="L67" s="435">
        <f t="shared" si="41"/>
        <v>1</v>
      </c>
      <c r="M67" s="435">
        <f t="shared" si="41"/>
        <v>1</v>
      </c>
      <c r="N67" s="435">
        <f t="shared" si="41"/>
        <v>1</v>
      </c>
      <c r="O67" s="435">
        <f t="shared" si="41"/>
        <v>1</v>
      </c>
      <c r="P67" s="435">
        <f t="shared" si="41"/>
        <v>1</v>
      </c>
      <c r="Q67" s="435">
        <f t="shared" si="41"/>
        <v>1</v>
      </c>
      <c r="R67" s="435">
        <f t="shared" si="41"/>
        <v>1</v>
      </c>
      <c r="S67" s="435">
        <f t="shared" si="41"/>
        <v>1</v>
      </c>
      <c r="T67" s="435">
        <f t="shared" si="41"/>
        <v>1</v>
      </c>
      <c r="U67" s="435">
        <f t="shared" si="41"/>
        <v>1</v>
      </c>
      <c r="V67" s="435">
        <f t="shared" si="41"/>
        <v>1</v>
      </c>
      <c r="W67" s="435">
        <f t="shared" si="41"/>
        <v>1</v>
      </c>
      <c r="X67" s="435">
        <f t="shared" si="41"/>
        <v>1</v>
      </c>
      <c r="Y67" s="435">
        <f t="shared" si="41"/>
        <v>1</v>
      </c>
      <c r="Z67" s="435">
        <f t="shared" si="41"/>
        <v>1</v>
      </c>
      <c r="AA67" s="435">
        <f t="shared" si="41"/>
        <v>1</v>
      </c>
      <c r="AB67" s="435">
        <f t="shared" si="41"/>
        <v>1</v>
      </c>
      <c r="AC67" s="435">
        <f t="shared" si="41"/>
        <v>1</v>
      </c>
      <c r="AD67" s="435">
        <f t="shared" si="41"/>
        <v>1</v>
      </c>
      <c r="AE67" s="435">
        <f t="shared" si="41"/>
        <v>1</v>
      </c>
      <c r="AF67" s="435">
        <f t="shared" si="41"/>
        <v>1</v>
      </c>
      <c r="AG67" s="435">
        <f t="shared" si="41"/>
        <v>1</v>
      </c>
      <c r="AH67" s="435">
        <f t="shared" si="41"/>
        <v>1</v>
      </c>
      <c r="AI67" s="435">
        <f t="shared" si="41"/>
        <v>1</v>
      </c>
      <c r="AJ67" s="435">
        <f t="shared" si="41"/>
        <v>1</v>
      </c>
      <c r="AK67" s="435">
        <f t="shared" si="41"/>
        <v>1</v>
      </c>
      <c r="AL67" s="435">
        <f t="shared" si="41"/>
        <v>1</v>
      </c>
      <c r="AM67" s="435">
        <f t="shared" si="41"/>
        <v>1</v>
      </c>
      <c r="AN67" s="435">
        <f t="shared" si="41"/>
        <v>1</v>
      </c>
      <c r="AO67" s="90" t="s">
        <v>926</v>
      </c>
      <c r="AP67" s="90"/>
      <c r="AQ67" s="90"/>
      <c r="AR67" s="90"/>
      <c r="AS67" s="90"/>
      <c r="AT67" s="90"/>
      <c r="AU67" s="90"/>
      <c r="AV67" s="90"/>
      <c r="AW67" s="90"/>
      <c r="AX67" s="90"/>
      <c r="AY67" s="90"/>
      <c r="AZ67" s="90"/>
      <c r="BA67" s="90"/>
      <c r="BB67" s="90"/>
      <c r="BC67" s="90"/>
      <c r="BD67" s="90"/>
      <c r="BE67" s="90"/>
      <c r="BF67" s="90"/>
      <c r="BG67" s="90"/>
      <c r="BH67" s="90"/>
      <c r="BI67" s="90"/>
    </row>
    <row r="68" ht="12.75" customHeight="1">
      <c r="A68" s="143"/>
      <c r="B68" s="430" t="s">
        <v>927</v>
      </c>
      <c r="C68" s="143" t="s">
        <v>923</v>
      </c>
      <c r="D68" s="437" t="s">
        <v>124</v>
      </c>
      <c r="E68" s="432">
        <v>60000.0</v>
      </c>
      <c r="F68" s="433">
        <v>2012.0</v>
      </c>
      <c r="G68" s="433"/>
      <c r="H68" s="438"/>
      <c r="I68" s="433"/>
      <c r="J68" s="434"/>
      <c r="K68" s="435">
        <f t="shared" ref="K68:AN68" si="42">IF($F68="",0,IF(K$32&lt;$F68,0,1))</f>
        <v>0</v>
      </c>
      <c r="L68" s="435">
        <f t="shared" si="42"/>
        <v>1</v>
      </c>
      <c r="M68" s="435">
        <f t="shared" si="42"/>
        <v>1</v>
      </c>
      <c r="N68" s="435">
        <f t="shared" si="42"/>
        <v>1</v>
      </c>
      <c r="O68" s="435">
        <f t="shared" si="42"/>
        <v>1</v>
      </c>
      <c r="P68" s="435">
        <f t="shared" si="42"/>
        <v>1</v>
      </c>
      <c r="Q68" s="435">
        <f t="shared" si="42"/>
        <v>1</v>
      </c>
      <c r="R68" s="435">
        <f t="shared" si="42"/>
        <v>1</v>
      </c>
      <c r="S68" s="435">
        <f t="shared" si="42"/>
        <v>1</v>
      </c>
      <c r="T68" s="435">
        <f t="shared" si="42"/>
        <v>1</v>
      </c>
      <c r="U68" s="435">
        <f t="shared" si="42"/>
        <v>1</v>
      </c>
      <c r="V68" s="435">
        <f t="shared" si="42"/>
        <v>1</v>
      </c>
      <c r="W68" s="435">
        <f t="shared" si="42"/>
        <v>1</v>
      </c>
      <c r="X68" s="435">
        <f t="shared" si="42"/>
        <v>1</v>
      </c>
      <c r="Y68" s="435">
        <f t="shared" si="42"/>
        <v>1</v>
      </c>
      <c r="Z68" s="435">
        <f t="shared" si="42"/>
        <v>1</v>
      </c>
      <c r="AA68" s="435">
        <f t="shared" si="42"/>
        <v>1</v>
      </c>
      <c r="AB68" s="435">
        <f t="shared" si="42"/>
        <v>1</v>
      </c>
      <c r="AC68" s="435">
        <f t="shared" si="42"/>
        <v>1</v>
      </c>
      <c r="AD68" s="435">
        <f t="shared" si="42"/>
        <v>1</v>
      </c>
      <c r="AE68" s="435">
        <f t="shared" si="42"/>
        <v>1</v>
      </c>
      <c r="AF68" s="435">
        <f t="shared" si="42"/>
        <v>1</v>
      </c>
      <c r="AG68" s="435">
        <f t="shared" si="42"/>
        <v>1</v>
      </c>
      <c r="AH68" s="435">
        <f t="shared" si="42"/>
        <v>1</v>
      </c>
      <c r="AI68" s="435">
        <f t="shared" si="42"/>
        <v>1</v>
      </c>
      <c r="AJ68" s="435">
        <f t="shared" si="42"/>
        <v>1</v>
      </c>
      <c r="AK68" s="435">
        <f t="shared" si="42"/>
        <v>1</v>
      </c>
      <c r="AL68" s="435">
        <f t="shared" si="42"/>
        <v>1</v>
      </c>
      <c r="AM68" s="435">
        <f t="shared" si="42"/>
        <v>1</v>
      </c>
      <c r="AN68" s="435">
        <f t="shared" si="42"/>
        <v>1</v>
      </c>
      <c r="AO68" s="90" t="s">
        <v>928</v>
      </c>
      <c r="AP68" s="90"/>
      <c r="AQ68" s="90"/>
      <c r="AR68" s="90"/>
      <c r="AS68" s="90"/>
      <c r="AT68" s="90"/>
      <c r="AU68" s="90"/>
      <c r="AV68" s="90"/>
      <c r="AW68" s="90"/>
      <c r="AX68" s="90"/>
      <c r="AY68" s="90"/>
      <c r="AZ68" s="90"/>
      <c r="BA68" s="90"/>
      <c r="BB68" s="90"/>
      <c r="BC68" s="90"/>
      <c r="BD68" s="90"/>
      <c r="BE68" s="90"/>
      <c r="BF68" s="90"/>
      <c r="BG68" s="90"/>
      <c r="BH68" s="90"/>
      <c r="BI68" s="90"/>
    </row>
    <row r="69" ht="12.75" customHeight="1">
      <c r="A69" s="143"/>
      <c r="B69" s="430" t="s">
        <v>929</v>
      </c>
      <c r="C69" s="143" t="s">
        <v>923</v>
      </c>
      <c r="D69" s="437" t="s">
        <v>124</v>
      </c>
      <c r="E69" s="432">
        <v>60000.0</v>
      </c>
      <c r="F69" s="433">
        <v>2014.0</v>
      </c>
      <c r="G69" s="433"/>
      <c r="H69" s="438"/>
      <c r="I69" s="433"/>
      <c r="J69" s="434"/>
      <c r="K69" s="435">
        <f t="shared" ref="K69:AN69" si="43">IF($F69="",0,IF(K$32&lt;$F69,0,1))</f>
        <v>0</v>
      </c>
      <c r="L69" s="435">
        <f t="shared" si="43"/>
        <v>0</v>
      </c>
      <c r="M69" s="435">
        <f t="shared" si="43"/>
        <v>0</v>
      </c>
      <c r="N69" s="435">
        <f t="shared" si="43"/>
        <v>1</v>
      </c>
      <c r="O69" s="435">
        <f t="shared" si="43"/>
        <v>1</v>
      </c>
      <c r="P69" s="435">
        <f t="shared" si="43"/>
        <v>1</v>
      </c>
      <c r="Q69" s="435">
        <f t="shared" si="43"/>
        <v>1</v>
      </c>
      <c r="R69" s="435">
        <f t="shared" si="43"/>
        <v>1</v>
      </c>
      <c r="S69" s="435">
        <f t="shared" si="43"/>
        <v>1</v>
      </c>
      <c r="T69" s="435">
        <f t="shared" si="43"/>
        <v>1</v>
      </c>
      <c r="U69" s="435">
        <f t="shared" si="43"/>
        <v>1</v>
      </c>
      <c r="V69" s="435">
        <f t="shared" si="43"/>
        <v>1</v>
      </c>
      <c r="W69" s="435">
        <f t="shared" si="43"/>
        <v>1</v>
      </c>
      <c r="X69" s="435">
        <f t="shared" si="43"/>
        <v>1</v>
      </c>
      <c r="Y69" s="435">
        <f t="shared" si="43"/>
        <v>1</v>
      </c>
      <c r="Z69" s="435">
        <f t="shared" si="43"/>
        <v>1</v>
      </c>
      <c r="AA69" s="435">
        <f t="shared" si="43"/>
        <v>1</v>
      </c>
      <c r="AB69" s="435">
        <f t="shared" si="43"/>
        <v>1</v>
      </c>
      <c r="AC69" s="435">
        <f t="shared" si="43"/>
        <v>1</v>
      </c>
      <c r="AD69" s="435">
        <f t="shared" si="43"/>
        <v>1</v>
      </c>
      <c r="AE69" s="435">
        <f t="shared" si="43"/>
        <v>1</v>
      </c>
      <c r="AF69" s="435">
        <f t="shared" si="43"/>
        <v>1</v>
      </c>
      <c r="AG69" s="435">
        <f t="shared" si="43"/>
        <v>1</v>
      </c>
      <c r="AH69" s="435">
        <f t="shared" si="43"/>
        <v>1</v>
      </c>
      <c r="AI69" s="435">
        <f t="shared" si="43"/>
        <v>1</v>
      </c>
      <c r="AJ69" s="435">
        <f t="shared" si="43"/>
        <v>1</v>
      </c>
      <c r="AK69" s="435">
        <f t="shared" si="43"/>
        <v>1</v>
      </c>
      <c r="AL69" s="435">
        <f t="shared" si="43"/>
        <v>1</v>
      </c>
      <c r="AM69" s="435">
        <f t="shared" si="43"/>
        <v>1</v>
      </c>
      <c r="AN69" s="435">
        <f t="shared" si="43"/>
        <v>1</v>
      </c>
      <c r="AO69" s="90" t="s">
        <v>930</v>
      </c>
      <c r="AP69" s="90"/>
      <c r="AQ69" s="90"/>
      <c r="AR69" s="90"/>
      <c r="AS69" s="90"/>
      <c r="AT69" s="90"/>
      <c r="AU69" s="90"/>
      <c r="AV69" s="90"/>
      <c r="AW69" s="90"/>
      <c r="AX69" s="90"/>
      <c r="AY69" s="90"/>
      <c r="AZ69" s="90"/>
      <c r="BA69" s="90"/>
      <c r="BB69" s="90"/>
      <c r="BC69" s="90"/>
      <c r="BD69" s="90"/>
      <c r="BE69" s="90"/>
      <c r="BF69" s="90"/>
      <c r="BG69" s="90"/>
      <c r="BH69" s="90"/>
      <c r="BI69" s="90"/>
    </row>
    <row r="70" ht="12.75" customHeight="1">
      <c r="A70" s="143"/>
      <c r="B70" s="430" t="s">
        <v>931</v>
      </c>
      <c r="C70" s="143" t="s">
        <v>923</v>
      </c>
      <c r="D70" s="437" t="s">
        <v>124</v>
      </c>
      <c r="E70" s="432">
        <v>60000.0</v>
      </c>
      <c r="F70" s="433">
        <v>2015.0</v>
      </c>
      <c r="G70" s="433"/>
      <c r="H70" s="438"/>
      <c r="I70" s="433"/>
      <c r="J70" s="434"/>
      <c r="K70" s="435">
        <f t="shared" ref="K70:AN70" si="44">IF($F70="",0,IF(K$32&lt;$F70,0,1))</f>
        <v>0</v>
      </c>
      <c r="L70" s="435">
        <f t="shared" si="44"/>
        <v>0</v>
      </c>
      <c r="M70" s="435">
        <f t="shared" si="44"/>
        <v>0</v>
      </c>
      <c r="N70" s="435">
        <f t="shared" si="44"/>
        <v>0</v>
      </c>
      <c r="O70" s="435">
        <f t="shared" si="44"/>
        <v>1</v>
      </c>
      <c r="P70" s="435">
        <f t="shared" si="44"/>
        <v>1</v>
      </c>
      <c r="Q70" s="435">
        <f t="shared" si="44"/>
        <v>1</v>
      </c>
      <c r="R70" s="435">
        <f t="shared" si="44"/>
        <v>1</v>
      </c>
      <c r="S70" s="435">
        <f t="shared" si="44"/>
        <v>1</v>
      </c>
      <c r="T70" s="435">
        <f t="shared" si="44"/>
        <v>1</v>
      </c>
      <c r="U70" s="435">
        <f t="shared" si="44"/>
        <v>1</v>
      </c>
      <c r="V70" s="435">
        <f t="shared" si="44"/>
        <v>1</v>
      </c>
      <c r="W70" s="435">
        <f t="shared" si="44"/>
        <v>1</v>
      </c>
      <c r="X70" s="435">
        <f t="shared" si="44"/>
        <v>1</v>
      </c>
      <c r="Y70" s="435">
        <f t="shared" si="44"/>
        <v>1</v>
      </c>
      <c r="Z70" s="435">
        <f t="shared" si="44"/>
        <v>1</v>
      </c>
      <c r="AA70" s="435">
        <f t="shared" si="44"/>
        <v>1</v>
      </c>
      <c r="AB70" s="435">
        <f t="shared" si="44"/>
        <v>1</v>
      </c>
      <c r="AC70" s="435">
        <f t="shared" si="44"/>
        <v>1</v>
      </c>
      <c r="AD70" s="435">
        <f t="shared" si="44"/>
        <v>1</v>
      </c>
      <c r="AE70" s="435">
        <f t="shared" si="44"/>
        <v>1</v>
      </c>
      <c r="AF70" s="435">
        <f t="shared" si="44"/>
        <v>1</v>
      </c>
      <c r="AG70" s="435">
        <f t="shared" si="44"/>
        <v>1</v>
      </c>
      <c r="AH70" s="435">
        <f t="shared" si="44"/>
        <v>1</v>
      </c>
      <c r="AI70" s="435">
        <f t="shared" si="44"/>
        <v>1</v>
      </c>
      <c r="AJ70" s="435">
        <f t="shared" si="44"/>
        <v>1</v>
      </c>
      <c r="AK70" s="435">
        <f t="shared" si="44"/>
        <v>1</v>
      </c>
      <c r="AL70" s="435">
        <f t="shared" si="44"/>
        <v>1</v>
      </c>
      <c r="AM70" s="435">
        <f t="shared" si="44"/>
        <v>1</v>
      </c>
      <c r="AN70" s="435">
        <f t="shared" si="44"/>
        <v>1</v>
      </c>
      <c r="AO70" s="90" t="s">
        <v>932</v>
      </c>
      <c r="AP70" s="90"/>
      <c r="AQ70" s="90"/>
      <c r="AR70" s="90"/>
      <c r="AS70" s="90"/>
      <c r="AT70" s="90"/>
      <c r="AU70" s="90"/>
      <c r="AV70" s="90"/>
      <c r="AW70" s="90"/>
      <c r="AX70" s="90"/>
      <c r="AY70" s="90"/>
      <c r="AZ70" s="90"/>
      <c r="BA70" s="90"/>
      <c r="BB70" s="90"/>
      <c r="BC70" s="90"/>
      <c r="BD70" s="90"/>
      <c r="BE70" s="90"/>
      <c r="BF70" s="90"/>
      <c r="BG70" s="90"/>
      <c r="BH70" s="90"/>
      <c r="BI70" s="90"/>
    </row>
    <row r="71" ht="12.75" customHeight="1">
      <c r="A71" s="143"/>
      <c r="B71" s="430" t="s">
        <v>933</v>
      </c>
      <c r="C71" s="143" t="s">
        <v>923</v>
      </c>
      <c r="D71" s="437" t="s">
        <v>126</v>
      </c>
      <c r="E71" s="432">
        <v>80000.0</v>
      </c>
      <c r="F71" s="433">
        <v>2011.0</v>
      </c>
      <c r="G71" s="433"/>
      <c r="H71" s="438">
        <v>8.01</v>
      </c>
      <c r="I71" s="433" t="s">
        <v>124</v>
      </c>
      <c r="J71" s="434"/>
      <c r="K71" s="435">
        <f t="shared" ref="K71:AN71" si="45">IF($F71="",IF(SUM(K72:K73)/$H71&lt;0.5,0,ROUNDUP(SUM(K72:K73)/$H71,0)),IF(K$32&lt;$F71,0,1)+ROUNDDOWN(SUM(K72:K73)/$H71,0))</f>
        <v>1</v>
      </c>
      <c r="L71" s="435">
        <f t="shared" si="45"/>
        <v>1</v>
      </c>
      <c r="M71" s="435">
        <f t="shared" si="45"/>
        <v>1</v>
      </c>
      <c r="N71" s="435">
        <f t="shared" si="45"/>
        <v>1</v>
      </c>
      <c r="O71" s="435">
        <f t="shared" si="45"/>
        <v>1</v>
      </c>
      <c r="P71" s="435">
        <f t="shared" si="45"/>
        <v>1</v>
      </c>
      <c r="Q71" s="435">
        <f t="shared" si="45"/>
        <v>1</v>
      </c>
      <c r="R71" s="435">
        <f t="shared" si="45"/>
        <v>1</v>
      </c>
      <c r="S71" s="435">
        <f t="shared" si="45"/>
        <v>1</v>
      </c>
      <c r="T71" s="435">
        <f t="shared" si="45"/>
        <v>1</v>
      </c>
      <c r="U71" s="435">
        <f t="shared" si="45"/>
        <v>1</v>
      </c>
      <c r="V71" s="435">
        <f t="shared" si="45"/>
        <v>1</v>
      </c>
      <c r="W71" s="435">
        <f t="shared" si="45"/>
        <v>1</v>
      </c>
      <c r="X71" s="435">
        <f t="shared" si="45"/>
        <v>1</v>
      </c>
      <c r="Y71" s="435">
        <f t="shared" si="45"/>
        <v>1</v>
      </c>
      <c r="Z71" s="435">
        <f t="shared" si="45"/>
        <v>1</v>
      </c>
      <c r="AA71" s="435">
        <f t="shared" si="45"/>
        <v>1</v>
      </c>
      <c r="AB71" s="435">
        <f t="shared" si="45"/>
        <v>1</v>
      </c>
      <c r="AC71" s="435">
        <f t="shared" si="45"/>
        <v>1</v>
      </c>
      <c r="AD71" s="435">
        <f t="shared" si="45"/>
        <v>1</v>
      </c>
      <c r="AE71" s="435">
        <f t="shared" si="45"/>
        <v>1</v>
      </c>
      <c r="AF71" s="435">
        <f t="shared" si="45"/>
        <v>1</v>
      </c>
      <c r="AG71" s="435">
        <f t="shared" si="45"/>
        <v>1</v>
      </c>
      <c r="AH71" s="435">
        <f t="shared" si="45"/>
        <v>1</v>
      </c>
      <c r="AI71" s="435">
        <f t="shared" si="45"/>
        <v>1</v>
      </c>
      <c r="AJ71" s="435">
        <f t="shared" si="45"/>
        <v>1</v>
      </c>
      <c r="AK71" s="435">
        <f t="shared" si="45"/>
        <v>1</v>
      </c>
      <c r="AL71" s="435">
        <f t="shared" si="45"/>
        <v>1</v>
      </c>
      <c r="AM71" s="435">
        <f t="shared" si="45"/>
        <v>1</v>
      </c>
      <c r="AN71" s="435">
        <f t="shared" si="45"/>
        <v>1</v>
      </c>
      <c r="AO71" s="90" t="s">
        <v>926</v>
      </c>
      <c r="AP71" s="90"/>
      <c r="AQ71" s="90"/>
      <c r="AR71" s="90"/>
      <c r="AS71" s="90"/>
      <c r="AT71" s="90"/>
      <c r="AU71" s="90"/>
      <c r="AV71" s="90"/>
      <c r="AW71" s="90"/>
      <c r="AX71" s="90"/>
      <c r="AY71" s="90"/>
      <c r="AZ71" s="90"/>
      <c r="BA71" s="90"/>
      <c r="BB71" s="90"/>
      <c r="BC71" s="90"/>
      <c r="BD71" s="90"/>
      <c r="BE71" s="90"/>
      <c r="BF71" s="90"/>
      <c r="BG71" s="90"/>
      <c r="BH71" s="90"/>
      <c r="BI71" s="90"/>
    </row>
    <row r="72" ht="12.75" customHeight="1">
      <c r="A72" s="143"/>
      <c r="B72" s="430" t="s">
        <v>934</v>
      </c>
      <c r="C72" s="143" t="s">
        <v>923</v>
      </c>
      <c r="D72" s="437" t="s">
        <v>124</v>
      </c>
      <c r="E72" s="432">
        <v>60000.0</v>
      </c>
      <c r="F72" s="433">
        <v>2016.0</v>
      </c>
      <c r="G72" s="433"/>
      <c r="H72" s="438"/>
      <c r="I72" s="433"/>
      <c r="J72" s="434"/>
      <c r="K72" s="435">
        <f t="shared" ref="K72:AN72" si="46">IF($F72="",0,IF(K$32&lt;$F72,0,1))</f>
        <v>0</v>
      </c>
      <c r="L72" s="435">
        <f t="shared" si="46"/>
        <v>0</v>
      </c>
      <c r="M72" s="435">
        <f t="shared" si="46"/>
        <v>0</v>
      </c>
      <c r="N72" s="435">
        <f t="shared" si="46"/>
        <v>0</v>
      </c>
      <c r="O72" s="435">
        <f t="shared" si="46"/>
        <v>0</v>
      </c>
      <c r="P72" s="435">
        <f t="shared" si="46"/>
        <v>1</v>
      </c>
      <c r="Q72" s="435">
        <f t="shared" si="46"/>
        <v>1</v>
      </c>
      <c r="R72" s="435">
        <f t="shared" si="46"/>
        <v>1</v>
      </c>
      <c r="S72" s="435">
        <f t="shared" si="46"/>
        <v>1</v>
      </c>
      <c r="T72" s="435">
        <f t="shared" si="46"/>
        <v>1</v>
      </c>
      <c r="U72" s="435">
        <f t="shared" si="46"/>
        <v>1</v>
      </c>
      <c r="V72" s="435">
        <f t="shared" si="46"/>
        <v>1</v>
      </c>
      <c r="W72" s="435">
        <f t="shared" si="46"/>
        <v>1</v>
      </c>
      <c r="X72" s="435">
        <f t="shared" si="46"/>
        <v>1</v>
      </c>
      <c r="Y72" s="435">
        <f t="shared" si="46"/>
        <v>1</v>
      </c>
      <c r="Z72" s="435">
        <f t="shared" si="46"/>
        <v>1</v>
      </c>
      <c r="AA72" s="435">
        <f t="shared" si="46"/>
        <v>1</v>
      </c>
      <c r="AB72" s="435">
        <f t="shared" si="46"/>
        <v>1</v>
      </c>
      <c r="AC72" s="435">
        <f t="shared" si="46"/>
        <v>1</v>
      </c>
      <c r="AD72" s="435">
        <f t="shared" si="46"/>
        <v>1</v>
      </c>
      <c r="AE72" s="435">
        <f t="shared" si="46"/>
        <v>1</v>
      </c>
      <c r="AF72" s="435">
        <f t="shared" si="46"/>
        <v>1</v>
      </c>
      <c r="AG72" s="435">
        <f t="shared" si="46"/>
        <v>1</v>
      </c>
      <c r="AH72" s="435">
        <f t="shared" si="46"/>
        <v>1</v>
      </c>
      <c r="AI72" s="435">
        <f t="shared" si="46"/>
        <v>1</v>
      </c>
      <c r="AJ72" s="435">
        <f t="shared" si="46"/>
        <v>1</v>
      </c>
      <c r="AK72" s="435">
        <f t="shared" si="46"/>
        <v>1</v>
      </c>
      <c r="AL72" s="435">
        <f t="shared" si="46"/>
        <v>1</v>
      </c>
      <c r="AM72" s="435">
        <f t="shared" si="46"/>
        <v>1</v>
      </c>
      <c r="AN72" s="435">
        <f t="shared" si="46"/>
        <v>1</v>
      </c>
      <c r="AO72" s="90" t="s">
        <v>935</v>
      </c>
      <c r="AP72" s="90"/>
      <c r="AQ72" s="90"/>
      <c r="AR72" s="90"/>
      <c r="AS72" s="90"/>
      <c r="AT72" s="90"/>
      <c r="AU72" s="90"/>
      <c r="AV72" s="90"/>
      <c r="AW72" s="90"/>
      <c r="AX72" s="90"/>
      <c r="AY72" s="90"/>
      <c r="AZ72" s="90"/>
      <c r="BA72" s="90"/>
      <c r="BB72" s="90"/>
      <c r="BC72" s="90"/>
      <c r="BD72" s="90"/>
      <c r="BE72" s="90"/>
      <c r="BF72" s="90"/>
      <c r="BG72" s="90"/>
      <c r="BH72" s="90"/>
      <c r="BI72" s="90"/>
    </row>
    <row r="73" ht="12.75" customHeight="1">
      <c r="A73" s="143"/>
      <c r="B73" s="430" t="s">
        <v>936</v>
      </c>
      <c r="C73" s="143" t="s">
        <v>923</v>
      </c>
      <c r="D73" s="437" t="s">
        <v>124</v>
      </c>
      <c r="E73" s="432">
        <v>60000.0</v>
      </c>
      <c r="F73" s="433">
        <v>2014.0</v>
      </c>
      <c r="G73" s="433"/>
      <c r="H73" s="438"/>
      <c r="I73" s="433"/>
      <c r="J73" s="434"/>
      <c r="K73" s="435">
        <f t="shared" ref="K73:AN73" si="47">IF($F73="",0,IF(K$32&lt;$F73,0,1))</f>
        <v>0</v>
      </c>
      <c r="L73" s="435">
        <f t="shared" si="47"/>
        <v>0</v>
      </c>
      <c r="M73" s="435">
        <f t="shared" si="47"/>
        <v>0</v>
      </c>
      <c r="N73" s="435">
        <f t="shared" si="47"/>
        <v>1</v>
      </c>
      <c r="O73" s="435">
        <f t="shared" si="47"/>
        <v>1</v>
      </c>
      <c r="P73" s="435">
        <f t="shared" si="47"/>
        <v>1</v>
      </c>
      <c r="Q73" s="435">
        <f t="shared" si="47"/>
        <v>1</v>
      </c>
      <c r="R73" s="435">
        <f t="shared" si="47"/>
        <v>1</v>
      </c>
      <c r="S73" s="435">
        <f t="shared" si="47"/>
        <v>1</v>
      </c>
      <c r="T73" s="435">
        <f t="shared" si="47"/>
        <v>1</v>
      </c>
      <c r="U73" s="435">
        <f t="shared" si="47"/>
        <v>1</v>
      </c>
      <c r="V73" s="435">
        <f t="shared" si="47"/>
        <v>1</v>
      </c>
      <c r="W73" s="435">
        <f t="shared" si="47"/>
        <v>1</v>
      </c>
      <c r="X73" s="435">
        <f t="shared" si="47"/>
        <v>1</v>
      </c>
      <c r="Y73" s="435">
        <f t="shared" si="47"/>
        <v>1</v>
      </c>
      <c r="Z73" s="435">
        <f t="shared" si="47"/>
        <v>1</v>
      </c>
      <c r="AA73" s="435">
        <f t="shared" si="47"/>
        <v>1</v>
      </c>
      <c r="AB73" s="435">
        <f t="shared" si="47"/>
        <v>1</v>
      </c>
      <c r="AC73" s="435">
        <f t="shared" si="47"/>
        <v>1</v>
      </c>
      <c r="AD73" s="435">
        <f t="shared" si="47"/>
        <v>1</v>
      </c>
      <c r="AE73" s="435">
        <f t="shared" si="47"/>
        <v>1</v>
      </c>
      <c r="AF73" s="435">
        <f t="shared" si="47"/>
        <v>1</v>
      </c>
      <c r="AG73" s="435">
        <f t="shared" si="47"/>
        <v>1</v>
      </c>
      <c r="AH73" s="435">
        <f t="shared" si="47"/>
        <v>1</v>
      </c>
      <c r="AI73" s="435">
        <f t="shared" si="47"/>
        <v>1</v>
      </c>
      <c r="AJ73" s="435">
        <f t="shared" si="47"/>
        <v>1</v>
      </c>
      <c r="AK73" s="435">
        <f t="shared" si="47"/>
        <v>1</v>
      </c>
      <c r="AL73" s="435">
        <f t="shared" si="47"/>
        <v>1</v>
      </c>
      <c r="AM73" s="435">
        <f t="shared" si="47"/>
        <v>1</v>
      </c>
      <c r="AN73" s="435">
        <f t="shared" si="47"/>
        <v>1</v>
      </c>
      <c r="AO73" s="90" t="s">
        <v>937</v>
      </c>
      <c r="AP73" s="90"/>
      <c r="AQ73" s="90"/>
      <c r="AR73" s="90"/>
      <c r="AS73" s="90"/>
      <c r="AT73" s="90"/>
      <c r="AU73" s="90"/>
      <c r="AV73" s="90"/>
      <c r="AW73" s="90"/>
      <c r="AX73" s="90"/>
      <c r="AY73" s="90"/>
      <c r="AZ73" s="90"/>
      <c r="BA73" s="90"/>
      <c r="BB73" s="90"/>
      <c r="BC73" s="90"/>
      <c r="BD73" s="90"/>
      <c r="BE73" s="90"/>
      <c r="BF73" s="90"/>
      <c r="BG73" s="90"/>
      <c r="BH73" s="90"/>
      <c r="BI73" s="90"/>
    </row>
    <row r="74" ht="12.75" customHeight="1">
      <c r="A74" s="143"/>
      <c r="B74" s="430" t="s">
        <v>938</v>
      </c>
      <c r="C74" s="143" t="s">
        <v>923</v>
      </c>
      <c r="D74" s="437" t="s">
        <v>126</v>
      </c>
      <c r="E74" s="432">
        <v>80000.0</v>
      </c>
      <c r="F74" s="433"/>
      <c r="G74" s="433"/>
      <c r="H74" s="438">
        <v>8.01</v>
      </c>
      <c r="I74" s="433" t="s">
        <v>124</v>
      </c>
      <c r="J74" s="434"/>
      <c r="K74" s="435">
        <f t="shared" ref="K74:AN74" si="48">IF($F74="",IF(K75/$H74&lt;0.5,0,ROUNDUP(K75/$H74,0)),IF(K$32&lt;$F74,0,1)+ROUNDDOWN(SUM(K75)/$H74,0))</f>
        <v>0</v>
      </c>
      <c r="L74" s="435">
        <f t="shared" si="48"/>
        <v>0</v>
      </c>
      <c r="M74" s="435">
        <f t="shared" si="48"/>
        <v>0</v>
      </c>
      <c r="N74" s="435">
        <f t="shared" si="48"/>
        <v>0</v>
      </c>
      <c r="O74" s="435">
        <f t="shared" si="48"/>
        <v>0</v>
      </c>
      <c r="P74" s="435">
        <f t="shared" si="48"/>
        <v>0</v>
      </c>
      <c r="Q74" s="435">
        <f t="shared" si="48"/>
        <v>0</v>
      </c>
      <c r="R74" s="435">
        <f t="shared" si="48"/>
        <v>1</v>
      </c>
      <c r="S74" s="435">
        <f t="shared" si="48"/>
        <v>2</v>
      </c>
      <c r="T74" s="435">
        <f t="shared" si="48"/>
        <v>3</v>
      </c>
      <c r="U74" s="435">
        <f t="shared" si="48"/>
        <v>4</v>
      </c>
      <c r="V74" s="435">
        <f t="shared" si="48"/>
        <v>4</v>
      </c>
      <c r="W74" s="435">
        <f t="shared" si="48"/>
        <v>4</v>
      </c>
      <c r="X74" s="435">
        <f t="shared" si="48"/>
        <v>4</v>
      </c>
      <c r="Y74" s="435">
        <f t="shared" si="48"/>
        <v>4</v>
      </c>
      <c r="Z74" s="435">
        <f t="shared" si="48"/>
        <v>4</v>
      </c>
      <c r="AA74" s="435">
        <f t="shared" si="48"/>
        <v>4</v>
      </c>
      <c r="AB74" s="435">
        <f t="shared" si="48"/>
        <v>4</v>
      </c>
      <c r="AC74" s="435">
        <f t="shared" si="48"/>
        <v>4</v>
      </c>
      <c r="AD74" s="435">
        <f t="shared" si="48"/>
        <v>4</v>
      </c>
      <c r="AE74" s="435">
        <f t="shared" si="48"/>
        <v>4</v>
      </c>
      <c r="AF74" s="435">
        <f t="shared" si="48"/>
        <v>4</v>
      </c>
      <c r="AG74" s="435">
        <f t="shared" si="48"/>
        <v>4</v>
      </c>
      <c r="AH74" s="435">
        <f t="shared" si="48"/>
        <v>4</v>
      </c>
      <c r="AI74" s="435">
        <f t="shared" si="48"/>
        <v>4</v>
      </c>
      <c r="AJ74" s="435">
        <f t="shared" si="48"/>
        <v>4</v>
      </c>
      <c r="AK74" s="435">
        <f t="shared" si="48"/>
        <v>4</v>
      </c>
      <c r="AL74" s="435">
        <f t="shared" si="48"/>
        <v>4</v>
      </c>
      <c r="AM74" s="435">
        <f t="shared" si="48"/>
        <v>4</v>
      </c>
      <c r="AN74" s="435">
        <f t="shared" si="48"/>
        <v>4</v>
      </c>
      <c r="AO74" s="90" t="s">
        <v>939</v>
      </c>
      <c r="AP74" s="90"/>
      <c r="AQ74" s="90"/>
      <c r="AR74" s="90"/>
      <c r="AS74" s="90"/>
      <c r="AT74" s="90"/>
      <c r="AU74" s="90"/>
      <c r="AV74" s="90"/>
      <c r="AW74" s="90"/>
      <c r="AX74" s="90"/>
      <c r="AY74" s="90"/>
      <c r="AZ74" s="90"/>
      <c r="BA74" s="90"/>
      <c r="BB74" s="90"/>
      <c r="BC74" s="90"/>
      <c r="BD74" s="90"/>
      <c r="BE74" s="90"/>
      <c r="BF74" s="90"/>
      <c r="BG74" s="90"/>
      <c r="BH74" s="90"/>
      <c r="BI74" s="90"/>
    </row>
    <row r="75" ht="12.75" customHeight="1">
      <c r="A75" s="143"/>
      <c r="B75" s="430" t="s">
        <v>940</v>
      </c>
      <c r="C75" s="143" t="s">
        <v>923</v>
      </c>
      <c r="D75" s="437" t="s">
        <v>124</v>
      </c>
      <c r="E75" s="432">
        <v>60000.0</v>
      </c>
      <c r="F75" s="433">
        <v>2011.0</v>
      </c>
      <c r="G75" s="433"/>
      <c r="H75" s="438">
        <v>2.01</v>
      </c>
      <c r="I75" s="433" t="s">
        <v>89</v>
      </c>
      <c r="J75" s="434"/>
      <c r="K75" s="435">
        <f t="shared" ref="K75:AN75" si="49">IF($F75="",IF(K$6/$H75&lt;0.5,0,ROUNDUP(K$6/$H75,0)),IF(K$32&lt;$F75,0,1)+ROUNDDOWN((K$6)/$H75,0))</f>
        <v>1</v>
      </c>
      <c r="L75" s="435">
        <f t="shared" si="49"/>
        <v>1</v>
      </c>
      <c r="M75" s="435">
        <f t="shared" si="49"/>
        <v>1</v>
      </c>
      <c r="N75" s="435">
        <f t="shared" si="49"/>
        <v>1</v>
      </c>
      <c r="O75" s="435">
        <f t="shared" si="49"/>
        <v>1</v>
      </c>
      <c r="P75" s="435">
        <f t="shared" si="49"/>
        <v>2</v>
      </c>
      <c r="Q75" s="435">
        <f t="shared" si="49"/>
        <v>4</v>
      </c>
      <c r="R75" s="435">
        <f t="shared" si="49"/>
        <v>6</v>
      </c>
      <c r="S75" s="435">
        <f t="shared" si="49"/>
        <v>10</v>
      </c>
      <c r="T75" s="435">
        <f t="shared" si="49"/>
        <v>17</v>
      </c>
      <c r="U75" s="435">
        <f t="shared" si="49"/>
        <v>25</v>
      </c>
      <c r="V75" s="435">
        <f t="shared" si="49"/>
        <v>25</v>
      </c>
      <c r="W75" s="435">
        <f t="shared" si="49"/>
        <v>25</v>
      </c>
      <c r="X75" s="435">
        <f t="shared" si="49"/>
        <v>25</v>
      </c>
      <c r="Y75" s="435">
        <f t="shared" si="49"/>
        <v>25</v>
      </c>
      <c r="Z75" s="435">
        <f t="shared" si="49"/>
        <v>25</v>
      </c>
      <c r="AA75" s="435">
        <f t="shared" si="49"/>
        <v>25</v>
      </c>
      <c r="AB75" s="435">
        <f t="shared" si="49"/>
        <v>25</v>
      </c>
      <c r="AC75" s="435">
        <f t="shared" si="49"/>
        <v>25</v>
      </c>
      <c r="AD75" s="435">
        <f t="shared" si="49"/>
        <v>25</v>
      </c>
      <c r="AE75" s="435">
        <f t="shared" si="49"/>
        <v>25</v>
      </c>
      <c r="AF75" s="435">
        <f t="shared" si="49"/>
        <v>25</v>
      </c>
      <c r="AG75" s="435">
        <f t="shared" si="49"/>
        <v>25</v>
      </c>
      <c r="AH75" s="435">
        <f t="shared" si="49"/>
        <v>25</v>
      </c>
      <c r="AI75" s="435">
        <f t="shared" si="49"/>
        <v>25</v>
      </c>
      <c r="AJ75" s="435">
        <f t="shared" si="49"/>
        <v>25</v>
      </c>
      <c r="AK75" s="435">
        <f t="shared" si="49"/>
        <v>25</v>
      </c>
      <c r="AL75" s="435">
        <f t="shared" si="49"/>
        <v>25</v>
      </c>
      <c r="AM75" s="435">
        <f t="shared" si="49"/>
        <v>25</v>
      </c>
      <c r="AN75" s="435">
        <f t="shared" si="49"/>
        <v>25</v>
      </c>
      <c r="AO75" s="90" t="s">
        <v>941</v>
      </c>
      <c r="AP75" s="90"/>
      <c r="AQ75" s="90"/>
      <c r="AR75" s="90"/>
      <c r="AS75" s="90"/>
      <c r="AT75" s="90"/>
      <c r="AU75" s="90"/>
      <c r="AV75" s="90"/>
      <c r="AW75" s="90"/>
      <c r="AX75" s="90"/>
      <c r="AY75" s="90"/>
      <c r="AZ75" s="90"/>
      <c r="BA75" s="90"/>
      <c r="BB75" s="90"/>
      <c r="BC75" s="90"/>
      <c r="BD75" s="90"/>
      <c r="BE75" s="90"/>
      <c r="BF75" s="90"/>
      <c r="BG75" s="90"/>
      <c r="BH75" s="90"/>
      <c r="BI75" s="90"/>
    </row>
    <row r="76" ht="12.75" customHeight="1">
      <c r="A76" s="143"/>
      <c r="B76" s="430" t="s">
        <v>942</v>
      </c>
      <c r="C76" s="143" t="s">
        <v>137</v>
      </c>
      <c r="D76" s="437" t="s">
        <v>124</v>
      </c>
      <c r="E76" s="432">
        <v>60000.0</v>
      </c>
      <c r="F76" s="433">
        <v>2013.0</v>
      </c>
      <c r="G76" s="433"/>
      <c r="H76" s="438"/>
      <c r="I76" s="433"/>
      <c r="J76" s="434"/>
      <c r="K76" s="435">
        <f t="shared" ref="K76:AN76" si="50">IF($F76&gt;K$32,0,1)</f>
        <v>0</v>
      </c>
      <c r="L76" s="435">
        <f t="shared" si="50"/>
        <v>0</v>
      </c>
      <c r="M76" s="435">
        <f t="shared" si="50"/>
        <v>1</v>
      </c>
      <c r="N76" s="435">
        <f t="shared" si="50"/>
        <v>1</v>
      </c>
      <c r="O76" s="435">
        <f t="shared" si="50"/>
        <v>1</v>
      </c>
      <c r="P76" s="435">
        <f t="shared" si="50"/>
        <v>1</v>
      </c>
      <c r="Q76" s="435">
        <f t="shared" si="50"/>
        <v>1</v>
      </c>
      <c r="R76" s="435">
        <f t="shared" si="50"/>
        <v>1</v>
      </c>
      <c r="S76" s="435">
        <f t="shared" si="50"/>
        <v>1</v>
      </c>
      <c r="T76" s="435">
        <f t="shared" si="50"/>
        <v>1</v>
      </c>
      <c r="U76" s="435">
        <f t="shared" si="50"/>
        <v>1</v>
      </c>
      <c r="V76" s="435">
        <f t="shared" si="50"/>
        <v>1</v>
      </c>
      <c r="W76" s="435">
        <f t="shared" si="50"/>
        <v>1</v>
      </c>
      <c r="X76" s="435">
        <f t="shared" si="50"/>
        <v>1</v>
      </c>
      <c r="Y76" s="435">
        <f t="shared" si="50"/>
        <v>1</v>
      </c>
      <c r="Z76" s="435">
        <f t="shared" si="50"/>
        <v>1</v>
      </c>
      <c r="AA76" s="435">
        <f t="shared" si="50"/>
        <v>1</v>
      </c>
      <c r="AB76" s="435">
        <f t="shared" si="50"/>
        <v>1</v>
      </c>
      <c r="AC76" s="435">
        <f t="shared" si="50"/>
        <v>1</v>
      </c>
      <c r="AD76" s="435">
        <f t="shared" si="50"/>
        <v>1</v>
      </c>
      <c r="AE76" s="435">
        <f t="shared" si="50"/>
        <v>1</v>
      </c>
      <c r="AF76" s="435">
        <f t="shared" si="50"/>
        <v>1</v>
      </c>
      <c r="AG76" s="435">
        <f t="shared" si="50"/>
        <v>1</v>
      </c>
      <c r="AH76" s="435">
        <f t="shared" si="50"/>
        <v>1</v>
      </c>
      <c r="AI76" s="435">
        <f t="shared" si="50"/>
        <v>1</v>
      </c>
      <c r="AJ76" s="435">
        <f t="shared" si="50"/>
        <v>1</v>
      </c>
      <c r="AK76" s="435">
        <f t="shared" si="50"/>
        <v>1</v>
      </c>
      <c r="AL76" s="435">
        <f t="shared" si="50"/>
        <v>1</v>
      </c>
      <c r="AM76" s="435">
        <f t="shared" si="50"/>
        <v>1</v>
      </c>
      <c r="AN76" s="435">
        <f t="shared" si="50"/>
        <v>1</v>
      </c>
      <c r="AO76" s="90" t="s">
        <v>941</v>
      </c>
      <c r="AP76" s="90"/>
      <c r="AQ76" s="90"/>
      <c r="AR76" s="90"/>
      <c r="AS76" s="90"/>
      <c r="AT76" s="90"/>
      <c r="AU76" s="90"/>
      <c r="AV76" s="90"/>
      <c r="AW76" s="90"/>
      <c r="AX76" s="90"/>
      <c r="AY76" s="90"/>
      <c r="AZ76" s="90"/>
      <c r="BA76" s="90"/>
      <c r="BB76" s="90"/>
      <c r="BC76" s="90"/>
      <c r="BD76" s="90"/>
      <c r="BE76" s="90"/>
      <c r="BF76" s="90"/>
      <c r="BG76" s="90"/>
      <c r="BH76" s="90"/>
      <c r="BI76" s="90"/>
    </row>
    <row r="77" ht="12.75" customHeight="1">
      <c r="A77" s="148"/>
      <c r="B77" s="362"/>
      <c r="C77" s="148"/>
      <c r="D77" s="440"/>
      <c r="E77" s="441"/>
      <c r="F77" s="442"/>
      <c r="G77" s="442"/>
      <c r="H77" s="438"/>
      <c r="I77" s="433"/>
      <c r="J77" s="443"/>
      <c r="K77" s="435"/>
      <c r="L77" s="435"/>
      <c r="M77" s="435"/>
      <c r="N77" s="435"/>
      <c r="O77" s="435"/>
      <c r="P77" s="435"/>
      <c r="Q77" s="435"/>
      <c r="R77" s="435"/>
      <c r="S77" s="435"/>
      <c r="T77" s="435"/>
      <c r="U77" s="435"/>
      <c r="V77" s="435"/>
      <c r="W77" s="435"/>
      <c r="X77" s="435"/>
      <c r="Y77" s="435"/>
      <c r="Z77" s="435"/>
      <c r="AA77" s="435"/>
      <c r="AB77" s="435"/>
      <c r="AC77" s="435"/>
      <c r="AD77" s="435"/>
      <c r="AE77" s="435"/>
      <c r="AF77" s="435"/>
      <c r="AG77" s="435"/>
      <c r="AH77" s="435"/>
      <c r="AI77" s="435"/>
      <c r="AJ77" s="435"/>
      <c r="AK77" s="435"/>
      <c r="AL77" s="435"/>
      <c r="AM77" s="435"/>
      <c r="AN77" s="435"/>
      <c r="AO77" s="90"/>
      <c r="AP77" s="90"/>
      <c r="AQ77" s="90"/>
      <c r="AR77" s="90"/>
      <c r="AS77" s="90"/>
      <c r="AT77" s="90"/>
      <c r="AU77" s="90"/>
      <c r="AV77" s="90"/>
      <c r="AW77" s="90"/>
      <c r="AX77" s="90"/>
      <c r="AY77" s="90"/>
      <c r="AZ77" s="90"/>
      <c r="BA77" s="90"/>
      <c r="BB77" s="90"/>
      <c r="BC77" s="90"/>
      <c r="BD77" s="90"/>
      <c r="BE77" s="90"/>
      <c r="BF77" s="90"/>
      <c r="BG77" s="90"/>
      <c r="BH77" s="90"/>
      <c r="BI77" s="90"/>
    </row>
    <row r="78" ht="12.75" customHeight="1">
      <c r="A78" s="134" t="s">
        <v>265</v>
      </c>
      <c r="B78" s="148"/>
      <c r="C78" s="148"/>
      <c r="D78" s="440"/>
      <c r="E78" s="441"/>
      <c r="F78" s="442"/>
      <c r="G78" s="442"/>
      <c r="H78" s="438"/>
      <c r="I78" s="433"/>
      <c r="J78" s="443"/>
      <c r="K78" s="435"/>
      <c r="L78" s="435"/>
      <c r="M78" s="435"/>
      <c r="N78" s="435"/>
      <c r="O78" s="435"/>
      <c r="P78" s="435"/>
      <c r="Q78" s="435"/>
      <c r="R78" s="435"/>
      <c r="S78" s="435"/>
      <c r="T78" s="435"/>
      <c r="U78" s="435"/>
      <c r="V78" s="435"/>
      <c r="W78" s="435"/>
      <c r="X78" s="435"/>
      <c r="Y78" s="435"/>
      <c r="Z78" s="435"/>
      <c r="AA78" s="435"/>
      <c r="AB78" s="435"/>
      <c r="AC78" s="435"/>
      <c r="AD78" s="435"/>
      <c r="AE78" s="435"/>
      <c r="AF78" s="435"/>
      <c r="AG78" s="435"/>
      <c r="AH78" s="435"/>
      <c r="AI78" s="435"/>
      <c r="AJ78" s="435"/>
      <c r="AK78" s="435"/>
      <c r="AL78" s="435"/>
      <c r="AM78" s="435"/>
      <c r="AN78" s="435"/>
      <c r="AO78" s="90"/>
      <c r="AP78" s="90"/>
      <c r="AQ78" s="90"/>
      <c r="AR78" s="90"/>
      <c r="AS78" s="90"/>
      <c r="AT78" s="90"/>
      <c r="AU78" s="90"/>
      <c r="AV78" s="90"/>
      <c r="AW78" s="90"/>
      <c r="AX78" s="90"/>
      <c r="AY78" s="90"/>
      <c r="AZ78" s="90"/>
      <c r="BA78" s="90"/>
      <c r="BB78" s="90"/>
      <c r="BC78" s="90"/>
      <c r="BD78" s="90"/>
      <c r="BE78" s="90"/>
      <c r="BF78" s="90"/>
      <c r="BG78" s="90"/>
      <c r="BH78" s="90"/>
      <c r="BI78" s="90"/>
    </row>
    <row r="79" ht="12.75" customHeight="1">
      <c r="A79" s="148"/>
      <c r="B79" s="148" t="s">
        <v>943</v>
      </c>
      <c r="C79" s="148" t="s">
        <v>265</v>
      </c>
      <c r="D79" s="440" t="s">
        <v>132</v>
      </c>
      <c r="E79" s="441">
        <v>140000.0</v>
      </c>
      <c r="F79" s="442">
        <v>2012.0</v>
      </c>
      <c r="G79" s="442"/>
      <c r="H79" s="438"/>
      <c r="I79" s="433" t="s">
        <v>48</v>
      </c>
      <c r="J79" s="443"/>
      <c r="K79" s="435">
        <f t="shared" ref="K79:AN79" si="51">IF($F79&gt;K$32,0,1)</f>
        <v>0</v>
      </c>
      <c r="L79" s="435">
        <f t="shared" si="51"/>
        <v>1</v>
      </c>
      <c r="M79" s="435">
        <f t="shared" si="51"/>
        <v>1</v>
      </c>
      <c r="N79" s="435">
        <f t="shared" si="51"/>
        <v>1</v>
      </c>
      <c r="O79" s="435">
        <f t="shared" si="51"/>
        <v>1</v>
      </c>
      <c r="P79" s="435">
        <f t="shared" si="51"/>
        <v>1</v>
      </c>
      <c r="Q79" s="435">
        <f t="shared" si="51"/>
        <v>1</v>
      </c>
      <c r="R79" s="435">
        <f t="shared" si="51"/>
        <v>1</v>
      </c>
      <c r="S79" s="435">
        <f t="shared" si="51"/>
        <v>1</v>
      </c>
      <c r="T79" s="435">
        <f t="shared" si="51"/>
        <v>1</v>
      </c>
      <c r="U79" s="435">
        <f t="shared" si="51"/>
        <v>1</v>
      </c>
      <c r="V79" s="435">
        <f t="shared" si="51"/>
        <v>1</v>
      </c>
      <c r="W79" s="435">
        <f t="shared" si="51"/>
        <v>1</v>
      </c>
      <c r="X79" s="435">
        <f t="shared" si="51"/>
        <v>1</v>
      </c>
      <c r="Y79" s="435">
        <f t="shared" si="51"/>
        <v>1</v>
      </c>
      <c r="Z79" s="435">
        <f t="shared" si="51"/>
        <v>1</v>
      </c>
      <c r="AA79" s="435">
        <f t="shared" si="51"/>
        <v>1</v>
      </c>
      <c r="AB79" s="435">
        <f t="shared" si="51"/>
        <v>1</v>
      </c>
      <c r="AC79" s="435">
        <f t="shared" si="51"/>
        <v>1</v>
      </c>
      <c r="AD79" s="435">
        <f t="shared" si="51"/>
        <v>1</v>
      </c>
      <c r="AE79" s="435">
        <f t="shared" si="51"/>
        <v>1</v>
      </c>
      <c r="AF79" s="435">
        <f t="shared" si="51"/>
        <v>1</v>
      </c>
      <c r="AG79" s="435">
        <f t="shared" si="51"/>
        <v>1</v>
      </c>
      <c r="AH79" s="435">
        <f t="shared" si="51"/>
        <v>1</v>
      </c>
      <c r="AI79" s="435">
        <f t="shared" si="51"/>
        <v>1</v>
      </c>
      <c r="AJ79" s="435">
        <f t="shared" si="51"/>
        <v>1</v>
      </c>
      <c r="AK79" s="435">
        <f t="shared" si="51"/>
        <v>1</v>
      </c>
      <c r="AL79" s="435">
        <f t="shared" si="51"/>
        <v>1</v>
      </c>
      <c r="AM79" s="435">
        <f t="shared" si="51"/>
        <v>1</v>
      </c>
      <c r="AN79" s="435">
        <f t="shared" si="51"/>
        <v>1</v>
      </c>
      <c r="AO79" s="90"/>
      <c r="AP79" s="90"/>
      <c r="AQ79" s="90"/>
      <c r="AR79" s="90"/>
      <c r="AS79" s="90"/>
      <c r="AT79" s="90"/>
      <c r="AU79" s="90"/>
      <c r="AV79" s="90"/>
      <c r="AW79" s="90"/>
      <c r="AX79" s="90"/>
      <c r="AY79" s="90"/>
      <c r="AZ79" s="90"/>
      <c r="BA79" s="90"/>
      <c r="BB79" s="90"/>
      <c r="BC79" s="90"/>
      <c r="BD79" s="90"/>
      <c r="BE79" s="90"/>
      <c r="BF79" s="90"/>
      <c r="BG79" s="90"/>
      <c r="BH79" s="90"/>
      <c r="BI79" s="90"/>
    </row>
    <row r="80" ht="12.75" customHeight="1">
      <c r="A80" s="148"/>
      <c r="B80" s="362" t="s">
        <v>944</v>
      </c>
      <c r="C80" s="148" t="s">
        <v>138</v>
      </c>
      <c r="D80" s="440" t="s">
        <v>127</v>
      </c>
      <c r="E80" s="441">
        <v>100000.0</v>
      </c>
      <c r="F80" s="442" t="str">
        <f t="shared" ref="F80:F83" si="53">IF(VLOOKUP(B80,'[7]Ratio Analysis'!$B$1:$C$1048576,2,0)="","",VLOOKUP(B80,'[7]Ratio Analysis'!$B$1:$C$1048576,2,0))</f>
        <v>#REF!</v>
      </c>
      <c r="G80" s="442"/>
      <c r="H80" s="438">
        <v>8.01</v>
      </c>
      <c r="I80" s="433" t="s">
        <v>124</v>
      </c>
      <c r="J80" s="443"/>
      <c r="K80" s="435" t="str">
        <f t="shared" ref="K80:AN80" si="52">IF($F80="",IF(SUM(K81,K83,K85,,K87,K89,K91,K93)/$H80&lt;0.5,0,ROUNDUP(SUM(K81,K83,K85,,K87,K89,K91,,K93)/$H80,0)),IF(K$32&lt;$F80,0,1)+ROUNDDOWN(SUM(K81,K83,K85,,K87,K89,K91,,K93)/$H80,0))</f>
        <v>#REF!</v>
      </c>
      <c r="L80" s="435" t="str">
        <f t="shared" si="52"/>
        <v>#REF!</v>
      </c>
      <c r="M80" s="435" t="str">
        <f t="shared" si="52"/>
        <v>#REF!</v>
      </c>
      <c r="N80" s="435" t="str">
        <f t="shared" si="52"/>
        <v>#REF!</v>
      </c>
      <c r="O80" s="435" t="str">
        <f t="shared" si="52"/>
        <v>#REF!</v>
      </c>
      <c r="P80" s="435" t="str">
        <f t="shared" si="52"/>
        <v>#REF!</v>
      </c>
      <c r="Q80" s="435" t="str">
        <f t="shared" si="52"/>
        <v>#REF!</v>
      </c>
      <c r="R80" s="435" t="str">
        <f t="shared" si="52"/>
        <v>#REF!</v>
      </c>
      <c r="S80" s="435" t="str">
        <f t="shared" si="52"/>
        <v>#REF!</v>
      </c>
      <c r="T80" s="435" t="str">
        <f t="shared" si="52"/>
        <v>#REF!</v>
      </c>
      <c r="U80" s="435" t="str">
        <f t="shared" si="52"/>
        <v>#REF!</v>
      </c>
      <c r="V80" s="435" t="str">
        <f t="shared" si="52"/>
        <v>#REF!</v>
      </c>
      <c r="W80" s="435" t="str">
        <f t="shared" si="52"/>
        <v>#REF!</v>
      </c>
      <c r="X80" s="435" t="str">
        <f t="shared" si="52"/>
        <v>#REF!</v>
      </c>
      <c r="Y80" s="435" t="str">
        <f t="shared" si="52"/>
        <v>#REF!</v>
      </c>
      <c r="Z80" s="435" t="str">
        <f t="shared" si="52"/>
        <v>#REF!</v>
      </c>
      <c r="AA80" s="435" t="str">
        <f t="shared" si="52"/>
        <v>#REF!</v>
      </c>
      <c r="AB80" s="435" t="str">
        <f t="shared" si="52"/>
        <v>#REF!</v>
      </c>
      <c r="AC80" s="435" t="str">
        <f t="shared" si="52"/>
        <v>#REF!</v>
      </c>
      <c r="AD80" s="435" t="str">
        <f t="shared" si="52"/>
        <v>#REF!</v>
      </c>
      <c r="AE80" s="435" t="str">
        <f t="shared" si="52"/>
        <v>#REF!</v>
      </c>
      <c r="AF80" s="435" t="str">
        <f t="shared" si="52"/>
        <v>#REF!</v>
      </c>
      <c r="AG80" s="435" t="str">
        <f t="shared" si="52"/>
        <v>#REF!</v>
      </c>
      <c r="AH80" s="435" t="str">
        <f t="shared" si="52"/>
        <v>#REF!</v>
      </c>
      <c r="AI80" s="435" t="str">
        <f t="shared" si="52"/>
        <v>#REF!</v>
      </c>
      <c r="AJ80" s="435" t="str">
        <f t="shared" si="52"/>
        <v>#REF!</v>
      </c>
      <c r="AK80" s="435" t="str">
        <f t="shared" si="52"/>
        <v>#REF!</v>
      </c>
      <c r="AL80" s="435" t="str">
        <f t="shared" si="52"/>
        <v>#REF!</v>
      </c>
      <c r="AM80" s="435" t="str">
        <f t="shared" si="52"/>
        <v>#REF!</v>
      </c>
      <c r="AN80" s="435" t="str">
        <f t="shared" si="52"/>
        <v>#REF!</v>
      </c>
      <c r="AO80" s="90"/>
      <c r="AP80" s="90"/>
      <c r="AQ80" s="90"/>
      <c r="AR80" s="90"/>
      <c r="AS80" s="90"/>
      <c r="AT80" s="90"/>
      <c r="AU80" s="90"/>
      <c r="AV80" s="90"/>
      <c r="AW80" s="90"/>
      <c r="AX80" s="90"/>
      <c r="AY80" s="90"/>
      <c r="AZ80" s="90"/>
      <c r="BA80" s="90"/>
      <c r="BB80" s="90"/>
      <c r="BC80" s="90"/>
      <c r="BD80" s="90"/>
      <c r="BE80" s="90"/>
      <c r="BF80" s="90"/>
      <c r="BG80" s="90"/>
      <c r="BH80" s="90"/>
      <c r="BI80" s="90"/>
    </row>
    <row r="81" ht="12.75" customHeight="1">
      <c r="A81" s="148"/>
      <c r="B81" s="430" t="s">
        <v>945</v>
      </c>
      <c r="C81" s="148" t="s">
        <v>138</v>
      </c>
      <c r="D81" s="437" t="s">
        <v>126</v>
      </c>
      <c r="E81" s="432">
        <v>80000.0</v>
      </c>
      <c r="F81" s="442" t="str">
        <f t="shared" si="53"/>
        <v>#REF!</v>
      </c>
      <c r="G81" s="433"/>
      <c r="H81" s="438">
        <v>8.01</v>
      </c>
      <c r="I81" s="433" t="s">
        <v>124</v>
      </c>
      <c r="J81" s="435"/>
      <c r="K81" s="435" t="str">
        <f t="shared" ref="K81:AN81" si="54">IF($F81="",IF(K82/$H81&lt;0.5,0,ROUNDUP(K82/$H81,0)),IF(K$32&lt;$F81,0,1)+ROUNDDOWN(SUM(K82)/$H81,0))</f>
        <v>#REF!</v>
      </c>
      <c r="L81" s="435" t="str">
        <f t="shared" si="54"/>
        <v>#REF!</v>
      </c>
      <c r="M81" s="435" t="str">
        <f t="shared" si="54"/>
        <v>#REF!</v>
      </c>
      <c r="N81" s="435" t="str">
        <f t="shared" si="54"/>
        <v>#REF!</v>
      </c>
      <c r="O81" s="435" t="str">
        <f t="shared" si="54"/>
        <v>#REF!</v>
      </c>
      <c r="P81" s="435" t="str">
        <f t="shared" si="54"/>
        <v>#REF!</v>
      </c>
      <c r="Q81" s="435" t="str">
        <f t="shared" si="54"/>
        <v>#REF!</v>
      </c>
      <c r="R81" s="435" t="str">
        <f t="shared" si="54"/>
        <v>#REF!</v>
      </c>
      <c r="S81" s="435" t="str">
        <f t="shared" si="54"/>
        <v>#REF!</v>
      </c>
      <c r="T81" s="435" t="str">
        <f t="shared" si="54"/>
        <v>#REF!</v>
      </c>
      <c r="U81" s="435" t="str">
        <f t="shared" si="54"/>
        <v>#REF!</v>
      </c>
      <c r="V81" s="435" t="str">
        <f t="shared" si="54"/>
        <v>#REF!</v>
      </c>
      <c r="W81" s="435" t="str">
        <f t="shared" si="54"/>
        <v>#REF!</v>
      </c>
      <c r="X81" s="435" t="str">
        <f t="shared" si="54"/>
        <v>#REF!</v>
      </c>
      <c r="Y81" s="435" t="str">
        <f t="shared" si="54"/>
        <v>#REF!</v>
      </c>
      <c r="Z81" s="435" t="str">
        <f t="shared" si="54"/>
        <v>#REF!</v>
      </c>
      <c r="AA81" s="435" t="str">
        <f t="shared" si="54"/>
        <v>#REF!</v>
      </c>
      <c r="AB81" s="435" t="str">
        <f t="shared" si="54"/>
        <v>#REF!</v>
      </c>
      <c r="AC81" s="435" t="str">
        <f t="shared" si="54"/>
        <v>#REF!</v>
      </c>
      <c r="AD81" s="435" t="str">
        <f t="shared" si="54"/>
        <v>#REF!</v>
      </c>
      <c r="AE81" s="435" t="str">
        <f t="shared" si="54"/>
        <v>#REF!</v>
      </c>
      <c r="AF81" s="435" t="str">
        <f t="shared" si="54"/>
        <v>#REF!</v>
      </c>
      <c r="AG81" s="435" t="str">
        <f t="shared" si="54"/>
        <v>#REF!</v>
      </c>
      <c r="AH81" s="435" t="str">
        <f t="shared" si="54"/>
        <v>#REF!</v>
      </c>
      <c r="AI81" s="435" t="str">
        <f t="shared" si="54"/>
        <v>#REF!</v>
      </c>
      <c r="AJ81" s="435" t="str">
        <f t="shared" si="54"/>
        <v>#REF!</v>
      </c>
      <c r="AK81" s="435" t="str">
        <f t="shared" si="54"/>
        <v>#REF!</v>
      </c>
      <c r="AL81" s="435" t="str">
        <f t="shared" si="54"/>
        <v>#REF!</v>
      </c>
      <c r="AM81" s="435" t="str">
        <f t="shared" si="54"/>
        <v>#REF!</v>
      </c>
      <c r="AN81" s="435" t="str">
        <f t="shared" si="54"/>
        <v>#REF!</v>
      </c>
      <c r="AO81" s="90" t="s">
        <v>946</v>
      </c>
      <c r="AP81" s="90"/>
      <c r="AQ81" s="90"/>
      <c r="AR81" s="90"/>
      <c r="AS81" s="90"/>
      <c r="AT81" s="90"/>
      <c r="AU81" s="90"/>
      <c r="AV81" s="90"/>
      <c r="AW81" s="90"/>
      <c r="AX81" s="90"/>
      <c r="AY81" s="90"/>
      <c r="AZ81" s="90"/>
      <c r="BA81" s="90"/>
      <c r="BB81" s="90"/>
      <c r="BC81" s="90"/>
      <c r="BD81" s="90"/>
      <c r="BE81" s="90"/>
      <c r="BF81" s="90"/>
      <c r="BG81" s="90"/>
      <c r="BH81" s="90"/>
      <c r="BI81" s="90"/>
    </row>
    <row r="82" ht="12.75" customHeight="1">
      <c r="A82" s="148"/>
      <c r="B82" s="430" t="s">
        <v>947</v>
      </c>
      <c r="C82" s="148" t="s">
        <v>138</v>
      </c>
      <c r="D82" s="437" t="s">
        <v>124</v>
      </c>
      <c r="E82" s="432">
        <v>60000.0</v>
      </c>
      <c r="F82" s="442" t="str">
        <f t="shared" si="53"/>
        <v>#REF!</v>
      </c>
      <c r="G82" s="433"/>
      <c r="H82" s="438">
        <v>50.01</v>
      </c>
      <c r="I82" s="433" t="s">
        <v>48</v>
      </c>
      <c r="J82" s="435"/>
      <c r="K82" s="435" t="str">
        <f t="shared" ref="K82:AN82" si="55">IF($F82="",IF(K$4/$H82&lt;0.5,0,ROUNDUP(K$4/$H82,0)),IF(K$32&lt;$F82,0,1)+ROUNDDOWN((K$4)/$H82,0))</f>
        <v>#REF!</v>
      </c>
      <c r="L82" s="435" t="str">
        <f t="shared" si="55"/>
        <v>#REF!</v>
      </c>
      <c r="M82" s="435" t="str">
        <f t="shared" si="55"/>
        <v>#REF!</v>
      </c>
      <c r="N82" s="435" t="str">
        <f t="shared" si="55"/>
        <v>#REF!</v>
      </c>
      <c r="O82" s="435" t="str">
        <f t="shared" si="55"/>
        <v>#REF!</v>
      </c>
      <c r="P82" s="435" t="str">
        <f t="shared" si="55"/>
        <v>#REF!</v>
      </c>
      <c r="Q82" s="435" t="str">
        <f t="shared" si="55"/>
        <v>#REF!</v>
      </c>
      <c r="R82" s="435" t="str">
        <f t="shared" si="55"/>
        <v>#REF!</v>
      </c>
      <c r="S82" s="435" t="str">
        <f t="shared" si="55"/>
        <v>#REF!</v>
      </c>
      <c r="T82" s="435" t="str">
        <f t="shared" si="55"/>
        <v>#REF!</v>
      </c>
      <c r="U82" s="435" t="str">
        <f t="shared" si="55"/>
        <v>#REF!</v>
      </c>
      <c r="V82" s="435" t="str">
        <f t="shared" si="55"/>
        <v>#REF!</v>
      </c>
      <c r="W82" s="435" t="str">
        <f t="shared" si="55"/>
        <v>#REF!</v>
      </c>
      <c r="X82" s="435" t="str">
        <f t="shared" si="55"/>
        <v>#REF!</v>
      </c>
      <c r="Y82" s="435" t="str">
        <f t="shared" si="55"/>
        <v>#REF!</v>
      </c>
      <c r="Z82" s="435" t="str">
        <f t="shared" si="55"/>
        <v>#REF!</v>
      </c>
      <c r="AA82" s="435" t="str">
        <f t="shared" si="55"/>
        <v>#REF!</v>
      </c>
      <c r="AB82" s="435" t="str">
        <f t="shared" si="55"/>
        <v>#REF!</v>
      </c>
      <c r="AC82" s="435" t="str">
        <f t="shared" si="55"/>
        <v>#REF!</v>
      </c>
      <c r="AD82" s="435" t="str">
        <f t="shared" si="55"/>
        <v>#REF!</v>
      </c>
      <c r="AE82" s="435" t="str">
        <f t="shared" si="55"/>
        <v>#REF!</v>
      </c>
      <c r="AF82" s="435" t="str">
        <f t="shared" si="55"/>
        <v>#REF!</v>
      </c>
      <c r="AG82" s="435" t="str">
        <f t="shared" si="55"/>
        <v>#REF!</v>
      </c>
      <c r="AH82" s="435" t="str">
        <f t="shared" si="55"/>
        <v>#REF!</v>
      </c>
      <c r="AI82" s="435" t="str">
        <f t="shared" si="55"/>
        <v>#REF!</v>
      </c>
      <c r="AJ82" s="435" t="str">
        <f t="shared" si="55"/>
        <v>#REF!</v>
      </c>
      <c r="AK82" s="435" t="str">
        <f t="shared" si="55"/>
        <v>#REF!</v>
      </c>
      <c r="AL82" s="435" t="str">
        <f t="shared" si="55"/>
        <v>#REF!</v>
      </c>
      <c r="AM82" s="435" t="str">
        <f t="shared" si="55"/>
        <v>#REF!</v>
      </c>
      <c r="AN82" s="435" t="str">
        <f t="shared" si="55"/>
        <v>#REF!</v>
      </c>
      <c r="AO82" s="90" t="s">
        <v>946</v>
      </c>
      <c r="AP82" s="90"/>
      <c r="AQ82" s="90"/>
      <c r="AR82" s="90"/>
      <c r="AS82" s="90"/>
      <c r="AT82" s="90"/>
      <c r="AU82" s="90"/>
      <c r="AV82" s="90"/>
      <c r="AW82" s="90"/>
      <c r="AX82" s="90"/>
      <c r="AY82" s="90"/>
      <c r="AZ82" s="90"/>
      <c r="BA82" s="90"/>
      <c r="BB82" s="90"/>
      <c r="BC82" s="90"/>
      <c r="BD82" s="90"/>
      <c r="BE82" s="90"/>
      <c r="BF82" s="90"/>
      <c r="BG82" s="90"/>
      <c r="BH82" s="90"/>
      <c r="BI82" s="90"/>
    </row>
    <row r="83" ht="12.75" customHeight="1">
      <c r="A83" s="148"/>
      <c r="B83" s="430" t="s">
        <v>948</v>
      </c>
      <c r="C83" s="148" t="s">
        <v>138</v>
      </c>
      <c r="D83" s="437" t="s">
        <v>126</v>
      </c>
      <c r="E83" s="432">
        <v>80000.0</v>
      </c>
      <c r="F83" s="442" t="str">
        <f t="shared" si="53"/>
        <v>#REF!</v>
      </c>
      <c r="G83" s="433"/>
      <c r="H83" s="438">
        <v>8.01</v>
      </c>
      <c r="I83" s="433" t="s">
        <v>124</v>
      </c>
      <c r="J83" s="435"/>
      <c r="K83" s="435" t="str">
        <f t="shared" ref="K83:AN83" si="56">IF($F83="",IF(K84/$H83&lt;0.5,0,ROUNDUP(K84/$H83,0)),IF(K$32&lt;$F83,0,1)+ROUNDDOWN(SUM(K84)/$H83,0))</f>
        <v>#REF!</v>
      </c>
      <c r="L83" s="435" t="str">
        <f t="shared" si="56"/>
        <v>#REF!</v>
      </c>
      <c r="M83" s="435" t="str">
        <f t="shared" si="56"/>
        <v>#REF!</v>
      </c>
      <c r="N83" s="435" t="str">
        <f t="shared" si="56"/>
        <v>#REF!</v>
      </c>
      <c r="O83" s="435" t="str">
        <f t="shared" si="56"/>
        <v>#REF!</v>
      </c>
      <c r="P83" s="435" t="str">
        <f t="shared" si="56"/>
        <v>#REF!</v>
      </c>
      <c r="Q83" s="435" t="str">
        <f t="shared" si="56"/>
        <v>#REF!</v>
      </c>
      <c r="R83" s="435" t="str">
        <f t="shared" si="56"/>
        <v>#REF!</v>
      </c>
      <c r="S83" s="435" t="str">
        <f t="shared" si="56"/>
        <v>#REF!</v>
      </c>
      <c r="T83" s="435" t="str">
        <f t="shared" si="56"/>
        <v>#REF!</v>
      </c>
      <c r="U83" s="435" t="str">
        <f t="shared" si="56"/>
        <v>#REF!</v>
      </c>
      <c r="V83" s="435" t="str">
        <f t="shared" si="56"/>
        <v>#REF!</v>
      </c>
      <c r="W83" s="435" t="str">
        <f t="shared" si="56"/>
        <v>#REF!</v>
      </c>
      <c r="X83" s="435" t="str">
        <f t="shared" si="56"/>
        <v>#REF!</v>
      </c>
      <c r="Y83" s="435" t="str">
        <f t="shared" si="56"/>
        <v>#REF!</v>
      </c>
      <c r="Z83" s="435" t="str">
        <f t="shared" si="56"/>
        <v>#REF!</v>
      </c>
      <c r="AA83" s="435" t="str">
        <f t="shared" si="56"/>
        <v>#REF!</v>
      </c>
      <c r="AB83" s="435" t="str">
        <f t="shared" si="56"/>
        <v>#REF!</v>
      </c>
      <c r="AC83" s="435" t="str">
        <f t="shared" si="56"/>
        <v>#REF!</v>
      </c>
      <c r="AD83" s="435" t="str">
        <f t="shared" si="56"/>
        <v>#REF!</v>
      </c>
      <c r="AE83" s="435" t="str">
        <f t="shared" si="56"/>
        <v>#REF!</v>
      </c>
      <c r="AF83" s="435" t="str">
        <f t="shared" si="56"/>
        <v>#REF!</v>
      </c>
      <c r="AG83" s="435" t="str">
        <f t="shared" si="56"/>
        <v>#REF!</v>
      </c>
      <c r="AH83" s="435" t="str">
        <f t="shared" si="56"/>
        <v>#REF!</v>
      </c>
      <c r="AI83" s="435" t="str">
        <f t="shared" si="56"/>
        <v>#REF!</v>
      </c>
      <c r="AJ83" s="435" t="str">
        <f t="shared" si="56"/>
        <v>#REF!</v>
      </c>
      <c r="AK83" s="435" t="str">
        <f t="shared" si="56"/>
        <v>#REF!</v>
      </c>
      <c r="AL83" s="435" t="str">
        <f t="shared" si="56"/>
        <v>#REF!</v>
      </c>
      <c r="AM83" s="435" t="str">
        <f t="shared" si="56"/>
        <v>#REF!</v>
      </c>
      <c r="AN83" s="435" t="str">
        <f t="shared" si="56"/>
        <v>#REF!</v>
      </c>
      <c r="AO83" s="90" t="s">
        <v>949</v>
      </c>
      <c r="AP83" s="90"/>
      <c r="AQ83" s="90"/>
      <c r="AR83" s="90"/>
      <c r="AS83" s="90"/>
      <c r="AT83" s="90"/>
      <c r="AU83" s="90"/>
      <c r="AV83" s="90"/>
      <c r="AW83" s="90"/>
      <c r="AX83" s="90"/>
      <c r="AY83" s="90"/>
      <c r="AZ83" s="90"/>
      <c r="BA83" s="90"/>
      <c r="BB83" s="90"/>
      <c r="BC83" s="90"/>
      <c r="BD83" s="90"/>
      <c r="BE83" s="90"/>
      <c r="BF83" s="90"/>
      <c r="BG83" s="90"/>
      <c r="BH83" s="90"/>
      <c r="BI83" s="90"/>
    </row>
    <row r="84" ht="12.75" customHeight="1">
      <c r="A84" s="148"/>
      <c r="B84" s="430" t="s">
        <v>950</v>
      </c>
      <c r="C84" s="148" t="s">
        <v>138</v>
      </c>
      <c r="D84" s="437" t="s">
        <v>124</v>
      </c>
      <c r="E84" s="432">
        <v>60000.0</v>
      </c>
      <c r="F84" s="442">
        <v>2015.0</v>
      </c>
      <c r="G84" s="433"/>
      <c r="H84" s="438">
        <v>50.01</v>
      </c>
      <c r="I84" s="433" t="s">
        <v>48</v>
      </c>
      <c r="J84" s="435"/>
      <c r="K84" s="435">
        <f t="shared" ref="K84:AN84" si="57">IF($F84="",IF(K$4/$H84&lt;0.5,0,ROUNDUP(K$4/$H84,0)),IF(K$32&lt;$F84,0,1)+ROUNDDOWN((K$4)/$H84,0))</f>
        <v>0</v>
      </c>
      <c r="L84" s="435">
        <f t="shared" si="57"/>
        <v>0</v>
      </c>
      <c r="M84" s="435">
        <f t="shared" si="57"/>
        <v>0</v>
      </c>
      <c r="N84" s="435">
        <f t="shared" si="57"/>
        <v>0</v>
      </c>
      <c r="O84" s="435">
        <f t="shared" si="57"/>
        <v>1</v>
      </c>
      <c r="P84" s="435">
        <f t="shared" si="57"/>
        <v>1</v>
      </c>
      <c r="Q84" s="435">
        <f t="shared" si="57"/>
        <v>2</v>
      </c>
      <c r="R84" s="435">
        <f t="shared" si="57"/>
        <v>2</v>
      </c>
      <c r="S84" s="435">
        <f t="shared" si="57"/>
        <v>3</v>
      </c>
      <c r="T84" s="435">
        <f t="shared" si="57"/>
        <v>4</v>
      </c>
      <c r="U84" s="435">
        <f t="shared" si="57"/>
        <v>5</v>
      </c>
      <c r="V84" s="435">
        <f t="shared" si="57"/>
        <v>7</v>
      </c>
      <c r="W84" s="435">
        <f t="shared" si="57"/>
        <v>10</v>
      </c>
      <c r="X84" s="435">
        <f t="shared" si="57"/>
        <v>14</v>
      </c>
      <c r="Y84" s="435">
        <f t="shared" si="57"/>
        <v>19</v>
      </c>
      <c r="Z84" s="435">
        <f t="shared" si="57"/>
        <v>24</v>
      </c>
      <c r="AA84" s="435">
        <f t="shared" si="57"/>
        <v>30</v>
      </c>
      <c r="AB84" s="435">
        <f t="shared" si="57"/>
        <v>37</v>
      </c>
      <c r="AC84" s="435">
        <f t="shared" si="57"/>
        <v>44</v>
      </c>
      <c r="AD84" s="435">
        <f t="shared" si="57"/>
        <v>50</v>
      </c>
      <c r="AE84" s="435">
        <f t="shared" si="57"/>
        <v>50</v>
      </c>
      <c r="AF84" s="435">
        <f t="shared" si="57"/>
        <v>50</v>
      </c>
      <c r="AG84" s="435">
        <f t="shared" si="57"/>
        <v>50</v>
      </c>
      <c r="AH84" s="435">
        <f t="shared" si="57"/>
        <v>50</v>
      </c>
      <c r="AI84" s="435">
        <f t="shared" si="57"/>
        <v>50</v>
      </c>
      <c r="AJ84" s="435">
        <f t="shared" si="57"/>
        <v>50</v>
      </c>
      <c r="AK84" s="435">
        <f t="shared" si="57"/>
        <v>50</v>
      </c>
      <c r="AL84" s="435">
        <f t="shared" si="57"/>
        <v>50</v>
      </c>
      <c r="AM84" s="435">
        <f t="shared" si="57"/>
        <v>50</v>
      </c>
      <c r="AN84" s="435">
        <f t="shared" si="57"/>
        <v>50</v>
      </c>
      <c r="AO84" s="90" t="s">
        <v>949</v>
      </c>
      <c r="AP84" s="90"/>
      <c r="AQ84" s="90"/>
      <c r="AR84" s="90"/>
      <c r="AS84" s="90"/>
      <c r="AT84" s="90"/>
      <c r="AU84" s="90"/>
      <c r="AV84" s="90"/>
      <c r="AW84" s="90"/>
      <c r="AX84" s="90"/>
      <c r="AY84" s="90"/>
      <c r="AZ84" s="90"/>
      <c r="BA84" s="90"/>
      <c r="BB84" s="90"/>
      <c r="BC84" s="90"/>
      <c r="BD84" s="90"/>
      <c r="BE84" s="90"/>
      <c r="BF84" s="90"/>
      <c r="BG84" s="90"/>
      <c r="BH84" s="90"/>
      <c r="BI84" s="90"/>
    </row>
    <row r="85" ht="12.75" customHeight="1">
      <c r="A85" s="148"/>
      <c r="B85" s="430" t="s">
        <v>951</v>
      </c>
      <c r="C85" s="148" t="s">
        <v>138</v>
      </c>
      <c r="D85" s="437" t="s">
        <v>126</v>
      </c>
      <c r="E85" s="432">
        <v>80000.0</v>
      </c>
      <c r="F85" s="442" t="str">
        <f t="shared" ref="F85:F88" si="59">IF(VLOOKUP(B85,'[7]Ratio Analysis'!$B$1:$C$1048576,2,0)="","",VLOOKUP(B85,'[7]Ratio Analysis'!$B$1:$C$1048576,2,0))</f>
        <v>#REF!</v>
      </c>
      <c r="G85" s="433"/>
      <c r="H85" s="438">
        <v>8.01</v>
      </c>
      <c r="I85" s="433" t="s">
        <v>124</v>
      </c>
      <c r="J85" s="435"/>
      <c r="K85" s="435" t="str">
        <f t="shared" ref="K85:AN85" si="58">IF($F85="",IF(K86/$H85&lt;0.5,0,ROUNDUP(K86/$H85,0)),IF(K$32&lt;$F85,0,1)+ROUNDDOWN(SUM(K86)/$H85,0))</f>
        <v>#REF!</v>
      </c>
      <c r="L85" s="435" t="str">
        <f t="shared" si="58"/>
        <v>#REF!</v>
      </c>
      <c r="M85" s="435" t="str">
        <f t="shared" si="58"/>
        <v>#REF!</v>
      </c>
      <c r="N85" s="435" t="str">
        <f t="shared" si="58"/>
        <v>#REF!</v>
      </c>
      <c r="O85" s="435" t="str">
        <f t="shared" si="58"/>
        <v>#REF!</v>
      </c>
      <c r="P85" s="435" t="str">
        <f t="shared" si="58"/>
        <v>#REF!</v>
      </c>
      <c r="Q85" s="435" t="str">
        <f t="shared" si="58"/>
        <v>#REF!</v>
      </c>
      <c r="R85" s="435" t="str">
        <f t="shared" si="58"/>
        <v>#REF!</v>
      </c>
      <c r="S85" s="435" t="str">
        <f t="shared" si="58"/>
        <v>#REF!</v>
      </c>
      <c r="T85" s="435" t="str">
        <f t="shared" si="58"/>
        <v>#REF!</v>
      </c>
      <c r="U85" s="435" t="str">
        <f t="shared" si="58"/>
        <v>#REF!</v>
      </c>
      <c r="V85" s="435" t="str">
        <f t="shared" si="58"/>
        <v>#REF!</v>
      </c>
      <c r="W85" s="435" t="str">
        <f t="shared" si="58"/>
        <v>#REF!</v>
      </c>
      <c r="X85" s="435" t="str">
        <f t="shared" si="58"/>
        <v>#REF!</v>
      </c>
      <c r="Y85" s="435" t="str">
        <f t="shared" si="58"/>
        <v>#REF!</v>
      </c>
      <c r="Z85" s="435" t="str">
        <f t="shared" si="58"/>
        <v>#REF!</v>
      </c>
      <c r="AA85" s="435" t="str">
        <f t="shared" si="58"/>
        <v>#REF!</v>
      </c>
      <c r="AB85" s="435" t="str">
        <f t="shared" si="58"/>
        <v>#REF!</v>
      </c>
      <c r="AC85" s="435" t="str">
        <f t="shared" si="58"/>
        <v>#REF!</v>
      </c>
      <c r="AD85" s="435" t="str">
        <f t="shared" si="58"/>
        <v>#REF!</v>
      </c>
      <c r="AE85" s="435" t="str">
        <f t="shared" si="58"/>
        <v>#REF!</v>
      </c>
      <c r="AF85" s="435" t="str">
        <f t="shared" si="58"/>
        <v>#REF!</v>
      </c>
      <c r="AG85" s="435" t="str">
        <f t="shared" si="58"/>
        <v>#REF!</v>
      </c>
      <c r="AH85" s="435" t="str">
        <f t="shared" si="58"/>
        <v>#REF!</v>
      </c>
      <c r="AI85" s="435" t="str">
        <f t="shared" si="58"/>
        <v>#REF!</v>
      </c>
      <c r="AJ85" s="435" t="str">
        <f t="shared" si="58"/>
        <v>#REF!</v>
      </c>
      <c r="AK85" s="435" t="str">
        <f t="shared" si="58"/>
        <v>#REF!</v>
      </c>
      <c r="AL85" s="435" t="str">
        <f t="shared" si="58"/>
        <v>#REF!</v>
      </c>
      <c r="AM85" s="435" t="str">
        <f t="shared" si="58"/>
        <v>#REF!</v>
      </c>
      <c r="AN85" s="435" t="str">
        <f t="shared" si="58"/>
        <v>#REF!</v>
      </c>
      <c r="AO85" s="90" t="s">
        <v>952</v>
      </c>
      <c r="AP85" s="90"/>
      <c r="AQ85" s="90"/>
      <c r="AR85" s="90"/>
      <c r="AS85" s="90"/>
      <c r="AT85" s="90"/>
      <c r="AU85" s="90"/>
      <c r="AV85" s="90"/>
      <c r="AW85" s="90"/>
      <c r="AX85" s="90"/>
      <c r="AY85" s="90"/>
      <c r="AZ85" s="90"/>
      <c r="BA85" s="90"/>
      <c r="BB85" s="90"/>
      <c r="BC85" s="90"/>
      <c r="BD85" s="90"/>
      <c r="BE85" s="90"/>
      <c r="BF85" s="90"/>
      <c r="BG85" s="90"/>
      <c r="BH85" s="90"/>
      <c r="BI85" s="90"/>
    </row>
    <row r="86" ht="12.75" customHeight="1">
      <c r="A86" s="148"/>
      <c r="B86" s="430" t="s">
        <v>953</v>
      </c>
      <c r="C86" s="148" t="s">
        <v>138</v>
      </c>
      <c r="D86" s="437" t="s">
        <v>124</v>
      </c>
      <c r="E86" s="432">
        <v>60000.0</v>
      </c>
      <c r="F86" s="442" t="str">
        <f t="shared" si="59"/>
        <v>#REF!</v>
      </c>
      <c r="G86" s="433"/>
      <c r="H86" s="438">
        <v>50.01</v>
      </c>
      <c r="I86" s="433" t="s">
        <v>48</v>
      </c>
      <c r="J86" s="435"/>
      <c r="K86" s="435" t="str">
        <f t="shared" ref="K86:AN86" si="60">IF($F86="",IF(K$4/$H86&lt;0.5,0,ROUNDUP(K$4/$H86,0)),IF(K$32&lt;$F86,0,1)+ROUNDDOWN((K$4)/$H86,0))</f>
        <v>#REF!</v>
      </c>
      <c r="L86" s="435" t="str">
        <f t="shared" si="60"/>
        <v>#REF!</v>
      </c>
      <c r="M86" s="435" t="str">
        <f t="shared" si="60"/>
        <v>#REF!</v>
      </c>
      <c r="N86" s="435" t="str">
        <f t="shared" si="60"/>
        <v>#REF!</v>
      </c>
      <c r="O86" s="435" t="str">
        <f t="shared" si="60"/>
        <v>#REF!</v>
      </c>
      <c r="P86" s="435" t="str">
        <f t="shared" si="60"/>
        <v>#REF!</v>
      </c>
      <c r="Q86" s="435" t="str">
        <f t="shared" si="60"/>
        <v>#REF!</v>
      </c>
      <c r="R86" s="435" t="str">
        <f t="shared" si="60"/>
        <v>#REF!</v>
      </c>
      <c r="S86" s="435" t="str">
        <f t="shared" si="60"/>
        <v>#REF!</v>
      </c>
      <c r="T86" s="435" t="str">
        <f t="shared" si="60"/>
        <v>#REF!</v>
      </c>
      <c r="U86" s="435" t="str">
        <f t="shared" si="60"/>
        <v>#REF!</v>
      </c>
      <c r="V86" s="435" t="str">
        <f t="shared" si="60"/>
        <v>#REF!</v>
      </c>
      <c r="W86" s="435" t="str">
        <f t="shared" si="60"/>
        <v>#REF!</v>
      </c>
      <c r="X86" s="435" t="str">
        <f t="shared" si="60"/>
        <v>#REF!</v>
      </c>
      <c r="Y86" s="435" t="str">
        <f t="shared" si="60"/>
        <v>#REF!</v>
      </c>
      <c r="Z86" s="435" t="str">
        <f t="shared" si="60"/>
        <v>#REF!</v>
      </c>
      <c r="AA86" s="435" t="str">
        <f t="shared" si="60"/>
        <v>#REF!</v>
      </c>
      <c r="AB86" s="435" t="str">
        <f t="shared" si="60"/>
        <v>#REF!</v>
      </c>
      <c r="AC86" s="435" t="str">
        <f t="shared" si="60"/>
        <v>#REF!</v>
      </c>
      <c r="AD86" s="435" t="str">
        <f t="shared" si="60"/>
        <v>#REF!</v>
      </c>
      <c r="AE86" s="435" t="str">
        <f t="shared" si="60"/>
        <v>#REF!</v>
      </c>
      <c r="AF86" s="435" t="str">
        <f t="shared" si="60"/>
        <v>#REF!</v>
      </c>
      <c r="AG86" s="435" t="str">
        <f t="shared" si="60"/>
        <v>#REF!</v>
      </c>
      <c r="AH86" s="435" t="str">
        <f t="shared" si="60"/>
        <v>#REF!</v>
      </c>
      <c r="AI86" s="435" t="str">
        <f t="shared" si="60"/>
        <v>#REF!</v>
      </c>
      <c r="AJ86" s="435" t="str">
        <f t="shared" si="60"/>
        <v>#REF!</v>
      </c>
      <c r="AK86" s="435" t="str">
        <f t="shared" si="60"/>
        <v>#REF!</v>
      </c>
      <c r="AL86" s="435" t="str">
        <f t="shared" si="60"/>
        <v>#REF!</v>
      </c>
      <c r="AM86" s="435" t="str">
        <f t="shared" si="60"/>
        <v>#REF!</v>
      </c>
      <c r="AN86" s="435" t="str">
        <f t="shared" si="60"/>
        <v>#REF!</v>
      </c>
      <c r="AO86" s="90" t="s">
        <v>952</v>
      </c>
      <c r="AP86" s="90"/>
      <c r="AQ86" s="90"/>
      <c r="AR86" s="90"/>
      <c r="AS86" s="90"/>
      <c r="AT86" s="90"/>
      <c r="AU86" s="90"/>
      <c r="AV86" s="90"/>
      <c r="AW86" s="90"/>
      <c r="AX86" s="90"/>
      <c r="AY86" s="90"/>
      <c r="AZ86" s="90"/>
      <c r="BA86" s="90"/>
      <c r="BB86" s="90"/>
      <c r="BC86" s="90"/>
      <c r="BD86" s="90"/>
      <c r="BE86" s="90"/>
      <c r="BF86" s="90"/>
      <c r="BG86" s="90"/>
      <c r="BH86" s="90"/>
      <c r="BI86" s="90"/>
    </row>
    <row r="87" ht="12.75" customHeight="1">
      <c r="A87" s="148"/>
      <c r="B87" s="430" t="s">
        <v>954</v>
      </c>
      <c r="C87" s="148" t="s">
        <v>138</v>
      </c>
      <c r="D87" s="437" t="s">
        <v>126</v>
      </c>
      <c r="E87" s="432">
        <v>80000.0</v>
      </c>
      <c r="F87" s="442" t="str">
        <f t="shared" si="59"/>
        <v>#REF!</v>
      </c>
      <c r="G87" s="433"/>
      <c r="H87" s="438">
        <v>8.01</v>
      </c>
      <c r="I87" s="433" t="s">
        <v>124</v>
      </c>
      <c r="J87" s="435"/>
      <c r="K87" s="435" t="str">
        <f t="shared" ref="K87:AN87" si="61">IF($F87="",IF(K88/$H87&lt;0.5,0,ROUNDUP(K88/$H87,0)),IF(K$32&lt;$F87,0,1)+ROUNDDOWN(SUM(K88)/$H87,0))</f>
        <v>#REF!</v>
      </c>
      <c r="L87" s="435" t="str">
        <f t="shared" si="61"/>
        <v>#REF!</v>
      </c>
      <c r="M87" s="435" t="str">
        <f t="shared" si="61"/>
        <v>#REF!</v>
      </c>
      <c r="N87" s="435" t="str">
        <f t="shared" si="61"/>
        <v>#REF!</v>
      </c>
      <c r="O87" s="435" t="str">
        <f t="shared" si="61"/>
        <v>#REF!</v>
      </c>
      <c r="P87" s="435" t="str">
        <f t="shared" si="61"/>
        <v>#REF!</v>
      </c>
      <c r="Q87" s="435" t="str">
        <f t="shared" si="61"/>
        <v>#REF!</v>
      </c>
      <c r="R87" s="435" t="str">
        <f t="shared" si="61"/>
        <v>#REF!</v>
      </c>
      <c r="S87" s="435" t="str">
        <f t="shared" si="61"/>
        <v>#REF!</v>
      </c>
      <c r="T87" s="435" t="str">
        <f t="shared" si="61"/>
        <v>#REF!</v>
      </c>
      <c r="U87" s="435" t="str">
        <f t="shared" si="61"/>
        <v>#REF!</v>
      </c>
      <c r="V87" s="435" t="str">
        <f t="shared" si="61"/>
        <v>#REF!</v>
      </c>
      <c r="W87" s="435" t="str">
        <f t="shared" si="61"/>
        <v>#REF!</v>
      </c>
      <c r="X87" s="435" t="str">
        <f t="shared" si="61"/>
        <v>#REF!</v>
      </c>
      <c r="Y87" s="435" t="str">
        <f t="shared" si="61"/>
        <v>#REF!</v>
      </c>
      <c r="Z87" s="435" t="str">
        <f t="shared" si="61"/>
        <v>#REF!</v>
      </c>
      <c r="AA87" s="435" t="str">
        <f t="shared" si="61"/>
        <v>#REF!</v>
      </c>
      <c r="AB87" s="435" t="str">
        <f t="shared" si="61"/>
        <v>#REF!</v>
      </c>
      <c r="AC87" s="435" t="str">
        <f t="shared" si="61"/>
        <v>#REF!</v>
      </c>
      <c r="AD87" s="435" t="str">
        <f t="shared" si="61"/>
        <v>#REF!</v>
      </c>
      <c r="AE87" s="435" t="str">
        <f t="shared" si="61"/>
        <v>#REF!</v>
      </c>
      <c r="AF87" s="435" t="str">
        <f t="shared" si="61"/>
        <v>#REF!</v>
      </c>
      <c r="AG87" s="435" t="str">
        <f t="shared" si="61"/>
        <v>#REF!</v>
      </c>
      <c r="AH87" s="435" t="str">
        <f t="shared" si="61"/>
        <v>#REF!</v>
      </c>
      <c r="AI87" s="435" t="str">
        <f t="shared" si="61"/>
        <v>#REF!</v>
      </c>
      <c r="AJ87" s="435" t="str">
        <f t="shared" si="61"/>
        <v>#REF!</v>
      </c>
      <c r="AK87" s="435" t="str">
        <f t="shared" si="61"/>
        <v>#REF!</v>
      </c>
      <c r="AL87" s="435" t="str">
        <f t="shared" si="61"/>
        <v>#REF!</v>
      </c>
      <c r="AM87" s="435" t="str">
        <f t="shared" si="61"/>
        <v>#REF!</v>
      </c>
      <c r="AN87" s="435" t="str">
        <f t="shared" si="61"/>
        <v>#REF!</v>
      </c>
      <c r="AO87" s="90" t="s">
        <v>955</v>
      </c>
      <c r="AP87" s="90"/>
      <c r="AQ87" s="90"/>
      <c r="AR87" s="90"/>
      <c r="AS87" s="90"/>
      <c r="AT87" s="90"/>
      <c r="AU87" s="90"/>
      <c r="AV87" s="90"/>
      <c r="AW87" s="90"/>
      <c r="AX87" s="90"/>
      <c r="AY87" s="90"/>
      <c r="AZ87" s="90"/>
      <c r="BA87" s="90"/>
      <c r="BB87" s="90"/>
      <c r="BC87" s="90"/>
      <c r="BD87" s="90"/>
      <c r="BE87" s="90"/>
      <c r="BF87" s="90"/>
      <c r="BG87" s="90"/>
      <c r="BH87" s="90"/>
      <c r="BI87" s="90"/>
    </row>
    <row r="88" ht="12.75" customHeight="1">
      <c r="A88" s="148"/>
      <c r="B88" s="430" t="s">
        <v>956</v>
      </c>
      <c r="C88" s="148" t="s">
        <v>138</v>
      </c>
      <c r="D88" s="437" t="s">
        <v>124</v>
      </c>
      <c r="E88" s="432">
        <v>60000.0</v>
      </c>
      <c r="F88" s="442" t="str">
        <f t="shared" si="59"/>
        <v>#REF!</v>
      </c>
      <c r="G88" s="433"/>
      <c r="H88" s="438">
        <v>50.01</v>
      </c>
      <c r="I88" s="433" t="s">
        <v>48</v>
      </c>
      <c r="J88" s="435"/>
      <c r="K88" s="435" t="str">
        <f t="shared" ref="K88:AN88" si="62">IF($F88="",IF(K$4/$H88&lt;0.5,0,ROUNDUP(K$4/$H88,0)),IF(K$32&lt;$F88,0,1)+ROUNDDOWN((K$4)/$H88,0))</f>
        <v>#REF!</v>
      </c>
      <c r="L88" s="435" t="str">
        <f t="shared" si="62"/>
        <v>#REF!</v>
      </c>
      <c r="M88" s="435" t="str">
        <f t="shared" si="62"/>
        <v>#REF!</v>
      </c>
      <c r="N88" s="435" t="str">
        <f t="shared" si="62"/>
        <v>#REF!</v>
      </c>
      <c r="O88" s="435" t="str">
        <f t="shared" si="62"/>
        <v>#REF!</v>
      </c>
      <c r="P88" s="435" t="str">
        <f t="shared" si="62"/>
        <v>#REF!</v>
      </c>
      <c r="Q88" s="435" t="str">
        <f t="shared" si="62"/>
        <v>#REF!</v>
      </c>
      <c r="R88" s="435" t="str">
        <f t="shared" si="62"/>
        <v>#REF!</v>
      </c>
      <c r="S88" s="435" t="str">
        <f t="shared" si="62"/>
        <v>#REF!</v>
      </c>
      <c r="T88" s="435" t="str">
        <f t="shared" si="62"/>
        <v>#REF!</v>
      </c>
      <c r="U88" s="435" t="str">
        <f t="shared" si="62"/>
        <v>#REF!</v>
      </c>
      <c r="V88" s="435" t="str">
        <f t="shared" si="62"/>
        <v>#REF!</v>
      </c>
      <c r="W88" s="435" t="str">
        <f t="shared" si="62"/>
        <v>#REF!</v>
      </c>
      <c r="X88" s="435" t="str">
        <f t="shared" si="62"/>
        <v>#REF!</v>
      </c>
      <c r="Y88" s="435" t="str">
        <f t="shared" si="62"/>
        <v>#REF!</v>
      </c>
      <c r="Z88" s="435" t="str">
        <f t="shared" si="62"/>
        <v>#REF!</v>
      </c>
      <c r="AA88" s="435" t="str">
        <f t="shared" si="62"/>
        <v>#REF!</v>
      </c>
      <c r="AB88" s="435" t="str">
        <f t="shared" si="62"/>
        <v>#REF!</v>
      </c>
      <c r="AC88" s="435" t="str">
        <f t="shared" si="62"/>
        <v>#REF!</v>
      </c>
      <c r="AD88" s="435" t="str">
        <f t="shared" si="62"/>
        <v>#REF!</v>
      </c>
      <c r="AE88" s="435" t="str">
        <f t="shared" si="62"/>
        <v>#REF!</v>
      </c>
      <c r="AF88" s="435" t="str">
        <f t="shared" si="62"/>
        <v>#REF!</v>
      </c>
      <c r="AG88" s="435" t="str">
        <f t="shared" si="62"/>
        <v>#REF!</v>
      </c>
      <c r="AH88" s="435" t="str">
        <f t="shared" si="62"/>
        <v>#REF!</v>
      </c>
      <c r="AI88" s="435" t="str">
        <f t="shared" si="62"/>
        <v>#REF!</v>
      </c>
      <c r="AJ88" s="435" t="str">
        <f t="shared" si="62"/>
        <v>#REF!</v>
      </c>
      <c r="AK88" s="435" t="str">
        <f t="shared" si="62"/>
        <v>#REF!</v>
      </c>
      <c r="AL88" s="435" t="str">
        <f t="shared" si="62"/>
        <v>#REF!</v>
      </c>
      <c r="AM88" s="435" t="str">
        <f t="shared" si="62"/>
        <v>#REF!</v>
      </c>
      <c r="AN88" s="435" t="str">
        <f t="shared" si="62"/>
        <v>#REF!</v>
      </c>
      <c r="AO88" s="90" t="s">
        <v>955</v>
      </c>
      <c r="AP88" s="90"/>
      <c r="AQ88" s="90"/>
      <c r="AR88" s="90"/>
      <c r="AS88" s="90"/>
      <c r="AT88" s="90"/>
      <c r="AU88" s="90"/>
      <c r="AV88" s="90"/>
      <c r="AW88" s="90"/>
      <c r="AX88" s="90"/>
      <c r="AY88" s="90"/>
      <c r="AZ88" s="90"/>
      <c r="BA88" s="90"/>
      <c r="BB88" s="90"/>
      <c r="BC88" s="90"/>
      <c r="BD88" s="90"/>
      <c r="BE88" s="90"/>
      <c r="BF88" s="90"/>
      <c r="BG88" s="90"/>
      <c r="BH88" s="90"/>
      <c r="BI88" s="90"/>
    </row>
    <row r="89" ht="12.75" customHeight="1">
      <c r="A89" s="148"/>
      <c r="B89" s="430" t="s">
        <v>957</v>
      </c>
      <c r="C89" s="148" t="s">
        <v>138</v>
      </c>
      <c r="D89" s="437" t="s">
        <v>126</v>
      </c>
      <c r="E89" s="432">
        <v>80000.0</v>
      </c>
      <c r="F89" s="442">
        <v>2017.0</v>
      </c>
      <c r="G89" s="433"/>
      <c r="H89" s="438">
        <v>8.01</v>
      </c>
      <c r="I89" s="433" t="s">
        <v>124</v>
      </c>
      <c r="J89" s="435"/>
      <c r="K89" s="435" t="str">
        <f t="shared" ref="K89:AN89" si="63">IF($F89="",IF(K90/$H89&lt;0.5,0,ROUNDUP(K90/$H89,0)),IF(K$32&lt;$F89,0,1)+ROUNDDOWN(SUM(K90)/$H89,0))</f>
        <v>#REF!</v>
      </c>
      <c r="L89" s="435" t="str">
        <f t="shared" si="63"/>
        <v>#REF!</v>
      </c>
      <c r="M89" s="435" t="str">
        <f t="shared" si="63"/>
        <v>#REF!</v>
      </c>
      <c r="N89" s="435" t="str">
        <f t="shared" si="63"/>
        <v>#REF!</v>
      </c>
      <c r="O89" s="435" t="str">
        <f t="shared" si="63"/>
        <v>#REF!</v>
      </c>
      <c r="P89" s="435" t="str">
        <f t="shared" si="63"/>
        <v>#REF!</v>
      </c>
      <c r="Q89" s="435" t="str">
        <f t="shared" si="63"/>
        <v>#REF!</v>
      </c>
      <c r="R89" s="435" t="str">
        <f t="shared" si="63"/>
        <v>#REF!</v>
      </c>
      <c r="S89" s="435" t="str">
        <f t="shared" si="63"/>
        <v>#REF!</v>
      </c>
      <c r="T89" s="435" t="str">
        <f t="shared" si="63"/>
        <v>#REF!</v>
      </c>
      <c r="U89" s="435" t="str">
        <f t="shared" si="63"/>
        <v>#REF!</v>
      </c>
      <c r="V89" s="435" t="str">
        <f t="shared" si="63"/>
        <v>#REF!</v>
      </c>
      <c r="W89" s="435" t="str">
        <f t="shared" si="63"/>
        <v>#REF!</v>
      </c>
      <c r="X89" s="435" t="str">
        <f t="shared" si="63"/>
        <v>#REF!</v>
      </c>
      <c r="Y89" s="435" t="str">
        <f t="shared" si="63"/>
        <v>#REF!</v>
      </c>
      <c r="Z89" s="435" t="str">
        <f t="shared" si="63"/>
        <v>#REF!</v>
      </c>
      <c r="AA89" s="435" t="str">
        <f t="shared" si="63"/>
        <v>#REF!</v>
      </c>
      <c r="AB89" s="435" t="str">
        <f t="shared" si="63"/>
        <v>#REF!</v>
      </c>
      <c r="AC89" s="435" t="str">
        <f t="shared" si="63"/>
        <v>#REF!</v>
      </c>
      <c r="AD89" s="435" t="str">
        <f t="shared" si="63"/>
        <v>#REF!</v>
      </c>
      <c r="AE89" s="435" t="str">
        <f t="shared" si="63"/>
        <v>#REF!</v>
      </c>
      <c r="AF89" s="435" t="str">
        <f t="shared" si="63"/>
        <v>#REF!</v>
      </c>
      <c r="AG89" s="435" t="str">
        <f t="shared" si="63"/>
        <v>#REF!</v>
      </c>
      <c r="AH89" s="435" t="str">
        <f t="shared" si="63"/>
        <v>#REF!</v>
      </c>
      <c r="AI89" s="435" t="str">
        <f t="shared" si="63"/>
        <v>#REF!</v>
      </c>
      <c r="AJ89" s="435" t="str">
        <f t="shared" si="63"/>
        <v>#REF!</v>
      </c>
      <c r="AK89" s="435" t="str">
        <f t="shared" si="63"/>
        <v>#REF!</v>
      </c>
      <c r="AL89" s="435" t="str">
        <f t="shared" si="63"/>
        <v>#REF!</v>
      </c>
      <c r="AM89" s="435" t="str">
        <f t="shared" si="63"/>
        <v>#REF!</v>
      </c>
      <c r="AN89" s="435" t="str">
        <f t="shared" si="63"/>
        <v>#REF!</v>
      </c>
      <c r="AO89" s="90" t="s">
        <v>958</v>
      </c>
      <c r="AP89" s="90"/>
      <c r="AQ89" s="90"/>
      <c r="AR89" s="90"/>
      <c r="AS89" s="90"/>
      <c r="AT89" s="90"/>
      <c r="AU89" s="90"/>
      <c r="AV89" s="90"/>
      <c r="AW89" s="90"/>
      <c r="AX89" s="90"/>
      <c r="AY89" s="90"/>
      <c r="AZ89" s="90"/>
      <c r="BA89" s="90"/>
      <c r="BB89" s="90"/>
      <c r="BC89" s="90"/>
      <c r="BD89" s="90"/>
      <c r="BE89" s="90"/>
      <c r="BF89" s="90"/>
      <c r="BG89" s="90"/>
      <c r="BH89" s="90"/>
      <c r="BI89" s="90"/>
    </row>
    <row r="90" ht="12.75" customHeight="1">
      <c r="A90" s="148"/>
      <c r="B90" s="430" t="s">
        <v>959</v>
      </c>
      <c r="C90" s="148" t="s">
        <v>138</v>
      </c>
      <c r="D90" s="437" t="s">
        <v>124</v>
      </c>
      <c r="E90" s="432">
        <v>60000.0</v>
      </c>
      <c r="F90" s="442" t="str">
        <f t="shared" ref="F90:F92" si="65">IF(VLOOKUP(B90,'[7]Ratio Analysis'!$B$1:$C$1048576,2,0)="","",VLOOKUP(B90,'[7]Ratio Analysis'!$B$1:$C$1048576,2,0))</f>
        <v>#REF!</v>
      </c>
      <c r="G90" s="433"/>
      <c r="H90" s="438">
        <v>50.01</v>
      </c>
      <c r="I90" s="433" t="s">
        <v>48</v>
      </c>
      <c r="J90" s="435"/>
      <c r="K90" s="435" t="str">
        <f t="shared" ref="K90:AN90" si="64">IF($F90="",IF(K$4/$H90&lt;0.5,0,ROUNDUP(K$4/$H90,0)),IF(K$32&lt;$F90,0,1)+ROUNDDOWN((K$4)/$H90,0))</f>
        <v>#REF!</v>
      </c>
      <c r="L90" s="435" t="str">
        <f t="shared" si="64"/>
        <v>#REF!</v>
      </c>
      <c r="M90" s="435" t="str">
        <f t="shared" si="64"/>
        <v>#REF!</v>
      </c>
      <c r="N90" s="435" t="str">
        <f t="shared" si="64"/>
        <v>#REF!</v>
      </c>
      <c r="O90" s="435" t="str">
        <f t="shared" si="64"/>
        <v>#REF!</v>
      </c>
      <c r="P90" s="435" t="str">
        <f t="shared" si="64"/>
        <v>#REF!</v>
      </c>
      <c r="Q90" s="435" t="str">
        <f t="shared" si="64"/>
        <v>#REF!</v>
      </c>
      <c r="R90" s="435" t="str">
        <f t="shared" si="64"/>
        <v>#REF!</v>
      </c>
      <c r="S90" s="435" t="str">
        <f t="shared" si="64"/>
        <v>#REF!</v>
      </c>
      <c r="T90" s="435" t="str">
        <f t="shared" si="64"/>
        <v>#REF!</v>
      </c>
      <c r="U90" s="435" t="str">
        <f t="shared" si="64"/>
        <v>#REF!</v>
      </c>
      <c r="V90" s="435" t="str">
        <f t="shared" si="64"/>
        <v>#REF!</v>
      </c>
      <c r="W90" s="435" t="str">
        <f t="shared" si="64"/>
        <v>#REF!</v>
      </c>
      <c r="X90" s="435" t="str">
        <f t="shared" si="64"/>
        <v>#REF!</v>
      </c>
      <c r="Y90" s="435" t="str">
        <f t="shared" si="64"/>
        <v>#REF!</v>
      </c>
      <c r="Z90" s="435" t="str">
        <f t="shared" si="64"/>
        <v>#REF!</v>
      </c>
      <c r="AA90" s="435" t="str">
        <f t="shared" si="64"/>
        <v>#REF!</v>
      </c>
      <c r="AB90" s="435" t="str">
        <f t="shared" si="64"/>
        <v>#REF!</v>
      </c>
      <c r="AC90" s="435" t="str">
        <f t="shared" si="64"/>
        <v>#REF!</v>
      </c>
      <c r="AD90" s="435" t="str">
        <f t="shared" si="64"/>
        <v>#REF!</v>
      </c>
      <c r="AE90" s="435" t="str">
        <f t="shared" si="64"/>
        <v>#REF!</v>
      </c>
      <c r="AF90" s="435" t="str">
        <f t="shared" si="64"/>
        <v>#REF!</v>
      </c>
      <c r="AG90" s="435" t="str">
        <f t="shared" si="64"/>
        <v>#REF!</v>
      </c>
      <c r="AH90" s="435" t="str">
        <f t="shared" si="64"/>
        <v>#REF!</v>
      </c>
      <c r="AI90" s="435" t="str">
        <f t="shared" si="64"/>
        <v>#REF!</v>
      </c>
      <c r="AJ90" s="435" t="str">
        <f t="shared" si="64"/>
        <v>#REF!</v>
      </c>
      <c r="AK90" s="435" t="str">
        <f t="shared" si="64"/>
        <v>#REF!</v>
      </c>
      <c r="AL90" s="435" t="str">
        <f t="shared" si="64"/>
        <v>#REF!</v>
      </c>
      <c r="AM90" s="435" t="str">
        <f t="shared" si="64"/>
        <v>#REF!</v>
      </c>
      <c r="AN90" s="435" t="str">
        <f t="shared" si="64"/>
        <v>#REF!</v>
      </c>
      <c r="AO90" s="90" t="s">
        <v>958</v>
      </c>
      <c r="AP90" s="90"/>
      <c r="AQ90" s="90"/>
      <c r="AR90" s="90"/>
      <c r="AS90" s="90"/>
      <c r="AT90" s="90"/>
      <c r="AU90" s="90"/>
      <c r="AV90" s="90"/>
      <c r="AW90" s="90"/>
      <c r="AX90" s="90"/>
      <c r="AY90" s="90"/>
      <c r="AZ90" s="90"/>
      <c r="BA90" s="90"/>
      <c r="BB90" s="90"/>
      <c r="BC90" s="90"/>
      <c r="BD90" s="90"/>
      <c r="BE90" s="90"/>
      <c r="BF90" s="90"/>
      <c r="BG90" s="90"/>
      <c r="BH90" s="90"/>
      <c r="BI90" s="90"/>
    </row>
    <row r="91" ht="12.75" customHeight="1">
      <c r="A91" s="148"/>
      <c r="B91" s="430" t="s">
        <v>960</v>
      </c>
      <c r="C91" s="148" t="s">
        <v>138</v>
      </c>
      <c r="D91" s="437" t="s">
        <v>126</v>
      </c>
      <c r="E91" s="432">
        <v>80000.0</v>
      </c>
      <c r="F91" s="442" t="str">
        <f t="shared" si="65"/>
        <v>#REF!</v>
      </c>
      <c r="G91" s="433"/>
      <c r="H91" s="438">
        <v>8.01</v>
      </c>
      <c r="I91" s="433" t="s">
        <v>124</v>
      </c>
      <c r="J91" s="435"/>
      <c r="K91" s="435" t="str">
        <f t="shared" ref="K91:AN91" si="66">IF($F91="",IF(K92/$H91&lt;0.5,0,ROUNDUP(K92/$H91,0)),IF(K$32&lt;$F91,0,1)+ROUNDDOWN(SUM(K92)/$H91,0))</f>
        <v>#REF!</v>
      </c>
      <c r="L91" s="435" t="str">
        <f t="shared" si="66"/>
        <v>#REF!</v>
      </c>
      <c r="M91" s="435" t="str">
        <f t="shared" si="66"/>
        <v>#REF!</v>
      </c>
      <c r="N91" s="435" t="str">
        <f t="shared" si="66"/>
        <v>#REF!</v>
      </c>
      <c r="O91" s="435" t="str">
        <f t="shared" si="66"/>
        <v>#REF!</v>
      </c>
      <c r="P91" s="435" t="str">
        <f t="shared" si="66"/>
        <v>#REF!</v>
      </c>
      <c r="Q91" s="435" t="str">
        <f t="shared" si="66"/>
        <v>#REF!</v>
      </c>
      <c r="R91" s="435" t="str">
        <f t="shared" si="66"/>
        <v>#REF!</v>
      </c>
      <c r="S91" s="435" t="str">
        <f t="shared" si="66"/>
        <v>#REF!</v>
      </c>
      <c r="T91" s="435" t="str">
        <f t="shared" si="66"/>
        <v>#REF!</v>
      </c>
      <c r="U91" s="435" t="str">
        <f t="shared" si="66"/>
        <v>#REF!</v>
      </c>
      <c r="V91" s="435" t="str">
        <f t="shared" si="66"/>
        <v>#REF!</v>
      </c>
      <c r="W91" s="435" t="str">
        <f t="shared" si="66"/>
        <v>#REF!</v>
      </c>
      <c r="X91" s="435" t="str">
        <f t="shared" si="66"/>
        <v>#REF!</v>
      </c>
      <c r="Y91" s="435" t="str">
        <f t="shared" si="66"/>
        <v>#REF!</v>
      </c>
      <c r="Z91" s="435" t="str">
        <f t="shared" si="66"/>
        <v>#REF!</v>
      </c>
      <c r="AA91" s="435" t="str">
        <f t="shared" si="66"/>
        <v>#REF!</v>
      </c>
      <c r="AB91" s="435" t="str">
        <f t="shared" si="66"/>
        <v>#REF!</v>
      </c>
      <c r="AC91" s="435" t="str">
        <f t="shared" si="66"/>
        <v>#REF!</v>
      </c>
      <c r="AD91" s="435" t="str">
        <f t="shared" si="66"/>
        <v>#REF!</v>
      </c>
      <c r="AE91" s="435" t="str">
        <f t="shared" si="66"/>
        <v>#REF!</v>
      </c>
      <c r="AF91" s="435" t="str">
        <f t="shared" si="66"/>
        <v>#REF!</v>
      </c>
      <c r="AG91" s="435" t="str">
        <f t="shared" si="66"/>
        <v>#REF!</v>
      </c>
      <c r="AH91" s="435" t="str">
        <f t="shared" si="66"/>
        <v>#REF!</v>
      </c>
      <c r="AI91" s="435" t="str">
        <f t="shared" si="66"/>
        <v>#REF!</v>
      </c>
      <c r="AJ91" s="435" t="str">
        <f t="shared" si="66"/>
        <v>#REF!</v>
      </c>
      <c r="AK91" s="435" t="str">
        <f t="shared" si="66"/>
        <v>#REF!</v>
      </c>
      <c r="AL91" s="435" t="str">
        <f t="shared" si="66"/>
        <v>#REF!</v>
      </c>
      <c r="AM91" s="435" t="str">
        <f t="shared" si="66"/>
        <v>#REF!</v>
      </c>
      <c r="AN91" s="435" t="str">
        <f t="shared" si="66"/>
        <v>#REF!</v>
      </c>
      <c r="AO91" s="90" t="s">
        <v>961</v>
      </c>
      <c r="AP91" s="90"/>
      <c r="AQ91" s="90"/>
      <c r="AR91" s="90"/>
      <c r="AS91" s="90"/>
      <c r="AT91" s="90"/>
      <c r="AU91" s="90"/>
      <c r="AV91" s="90"/>
      <c r="AW91" s="90"/>
      <c r="AX91" s="90"/>
      <c r="AY91" s="90"/>
      <c r="AZ91" s="90"/>
      <c r="BA91" s="90"/>
      <c r="BB91" s="90"/>
      <c r="BC91" s="90"/>
      <c r="BD91" s="90"/>
      <c r="BE91" s="90"/>
      <c r="BF91" s="90"/>
      <c r="BG91" s="90"/>
      <c r="BH91" s="90"/>
      <c r="BI91" s="90"/>
    </row>
    <row r="92" ht="12.75" customHeight="1">
      <c r="A92" s="148"/>
      <c r="B92" s="430" t="s">
        <v>962</v>
      </c>
      <c r="C92" s="148" t="s">
        <v>138</v>
      </c>
      <c r="D92" s="437" t="s">
        <v>124</v>
      </c>
      <c r="E92" s="432">
        <v>60000.0</v>
      </c>
      <c r="F92" s="442" t="str">
        <f t="shared" si="65"/>
        <v>#REF!</v>
      </c>
      <c r="G92" s="433"/>
      <c r="H92" s="438">
        <v>50.0</v>
      </c>
      <c r="I92" s="433" t="s">
        <v>48</v>
      </c>
      <c r="J92" s="435"/>
      <c r="K92" s="435" t="str">
        <f t="shared" ref="K92:AN92" si="67">IF($F92="",IF(K$4/$H92&lt;0.5,0,ROUNDUP(K$4/$H92,0)),IF(K$32&lt;$F92,0,1)+ROUNDDOWN((K$4)/$H92,0))</f>
        <v>#REF!</v>
      </c>
      <c r="L92" s="435" t="str">
        <f t="shared" si="67"/>
        <v>#REF!</v>
      </c>
      <c r="M92" s="435" t="str">
        <f t="shared" si="67"/>
        <v>#REF!</v>
      </c>
      <c r="N92" s="435" t="str">
        <f t="shared" si="67"/>
        <v>#REF!</v>
      </c>
      <c r="O92" s="435" t="str">
        <f t="shared" si="67"/>
        <v>#REF!</v>
      </c>
      <c r="P92" s="435" t="str">
        <f t="shared" si="67"/>
        <v>#REF!</v>
      </c>
      <c r="Q92" s="435" t="str">
        <f t="shared" si="67"/>
        <v>#REF!</v>
      </c>
      <c r="R92" s="435" t="str">
        <f t="shared" si="67"/>
        <v>#REF!</v>
      </c>
      <c r="S92" s="435" t="str">
        <f t="shared" si="67"/>
        <v>#REF!</v>
      </c>
      <c r="T92" s="435" t="str">
        <f t="shared" si="67"/>
        <v>#REF!</v>
      </c>
      <c r="U92" s="435" t="str">
        <f t="shared" si="67"/>
        <v>#REF!</v>
      </c>
      <c r="V92" s="435" t="str">
        <f t="shared" si="67"/>
        <v>#REF!</v>
      </c>
      <c r="W92" s="435" t="str">
        <f t="shared" si="67"/>
        <v>#REF!</v>
      </c>
      <c r="X92" s="435" t="str">
        <f t="shared" si="67"/>
        <v>#REF!</v>
      </c>
      <c r="Y92" s="435" t="str">
        <f t="shared" si="67"/>
        <v>#REF!</v>
      </c>
      <c r="Z92" s="435" t="str">
        <f t="shared" si="67"/>
        <v>#REF!</v>
      </c>
      <c r="AA92" s="435" t="str">
        <f t="shared" si="67"/>
        <v>#REF!</v>
      </c>
      <c r="AB92" s="435" t="str">
        <f t="shared" si="67"/>
        <v>#REF!</v>
      </c>
      <c r="AC92" s="435" t="str">
        <f t="shared" si="67"/>
        <v>#REF!</v>
      </c>
      <c r="AD92" s="435" t="str">
        <f t="shared" si="67"/>
        <v>#REF!</v>
      </c>
      <c r="AE92" s="435" t="str">
        <f t="shared" si="67"/>
        <v>#REF!</v>
      </c>
      <c r="AF92" s="435" t="str">
        <f t="shared" si="67"/>
        <v>#REF!</v>
      </c>
      <c r="AG92" s="435" t="str">
        <f t="shared" si="67"/>
        <v>#REF!</v>
      </c>
      <c r="AH92" s="435" t="str">
        <f t="shared" si="67"/>
        <v>#REF!</v>
      </c>
      <c r="AI92" s="435" t="str">
        <f t="shared" si="67"/>
        <v>#REF!</v>
      </c>
      <c r="AJ92" s="435" t="str">
        <f t="shared" si="67"/>
        <v>#REF!</v>
      </c>
      <c r="AK92" s="435" t="str">
        <f t="shared" si="67"/>
        <v>#REF!</v>
      </c>
      <c r="AL92" s="435" t="str">
        <f t="shared" si="67"/>
        <v>#REF!</v>
      </c>
      <c r="AM92" s="435" t="str">
        <f t="shared" si="67"/>
        <v>#REF!</v>
      </c>
      <c r="AN92" s="435" t="str">
        <f t="shared" si="67"/>
        <v>#REF!</v>
      </c>
      <c r="AO92" s="90" t="s">
        <v>961</v>
      </c>
      <c r="AP92" s="90"/>
      <c r="AQ92" s="90"/>
      <c r="AR92" s="90"/>
      <c r="AS92" s="90"/>
      <c r="AT92" s="90"/>
      <c r="AU92" s="90"/>
      <c r="AV92" s="90"/>
      <c r="AW92" s="90"/>
      <c r="AX92" s="90"/>
      <c r="AY92" s="90"/>
      <c r="AZ92" s="90"/>
      <c r="BA92" s="90"/>
      <c r="BB92" s="90"/>
      <c r="BC92" s="90"/>
      <c r="BD92" s="90"/>
      <c r="BE92" s="90"/>
      <c r="BF92" s="90"/>
      <c r="BG92" s="90"/>
      <c r="BH92" s="90"/>
      <c r="BI92" s="90"/>
    </row>
    <row r="93" ht="12.75" customHeight="1">
      <c r="A93" s="148"/>
      <c r="B93" s="430" t="s">
        <v>942</v>
      </c>
      <c r="C93" s="148" t="s">
        <v>138</v>
      </c>
      <c r="D93" s="437" t="s">
        <v>124</v>
      </c>
      <c r="E93" s="432">
        <v>60000.0</v>
      </c>
      <c r="F93" s="442">
        <v>2014.0</v>
      </c>
      <c r="G93" s="433"/>
      <c r="H93" s="438">
        <v>3.01</v>
      </c>
      <c r="I93" s="433" t="s">
        <v>963</v>
      </c>
      <c r="J93" s="435"/>
      <c r="K93" s="435">
        <f t="shared" ref="K93:AN93" si="68">MAX(0,IF($F93="",IF((M$6-K$6)/$H93&lt;0.5,0,ROUNDUP((M$6-K$6)/$H93,0)),IF(K$32&lt;$F93,0,1))+ROUNDDOWN((M$6-K$6)/$H93,0))</f>
        <v>0</v>
      </c>
      <c r="L93" s="435">
        <f t="shared" si="68"/>
        <v>0</v>
      </c>
      <c r="M93" s="435">
        <f t="shared" si="68"/>
        <v>0</v>
      </c>
      <c r="N93" s="435">
        <f t="shared" si="68"/>
        <v>1</v>
      </c>
      <c r="O93" s="435">
        <f t="shared" si="68"/>
        <v>2</v>
      </c>
      <c r="P93" s="435">
        <f t="shared" si="68"/>
        <v>3</v>
      </c>
      <c r="Q93" s="435">
        <f t="shared" si="68"/>
        <v>5</v>
      </c>
      <c r="R93" s="435">
        <f t="shared" si="68"/>
        <v>7</v>
      </c>
      <c r="S93" s="435">
        <f t="shared" si="68"/>
        <v>10</v>
      </c>
      <c r="T93" s="435">
        <f t="shared" si="68"/>
        <v>6</v>
      </c>
      <c r="U93" s="435">
        <f t="shared" si="68"/>
        <v>1</v>
      </c>
      <c r="V93" s="435">
        <f t="shared" si="68"/>
        <v>1</v>
      </c>
      <c r="W93" s="435">
        <f t="shared" si="68"/>
        <v>1</v>
      </c>
      <c r="X93" s="435">
        <f t="shared" si="68"/>
        <v>1</v>
      </c>
      <c r="Y93" s="435">
        <f t="shared" si="68"/>
        <v>1</v>
      </c>
      <c r="Z93" s="435">
        <f t="shared" si="68"/>
        <v>1</v>
      </c>
      <c r="AA93" s="435">
        <f t="shared" si="68"/>
        <v>1</v>
      </c>
      <c r="AB93" s="435">
        <f t="shared" si="68"/>
        <v>1</v>
      </c>
      <c r="AC93" s="435">
        <f t="shared" si="68"/>
        <v>1</v>
      </c>
      <c r="AD93" s="435">
        <f t="shared" si="68"/>
        <v>1</v>
      </c>
      <c r="AE93" s="435">
        <f t="shared" si="68"/>
        <v>1</v>
      </c>
      <c r="AF93" s="435">
        <f t="shared" si="68"/>
        <v>1</v>
      </c>
      <c r="AG93" s="435">
        <f t="shared" si="68"/>
        <v>1</v>
      </c>
      <c r="AH93" s="435">
        <f t="shared" si="68"/>
        <v>1</v>
      </c>
      <c r="AI93" s="435">
        <f t="shared" si="68"/>
        <v>1</v>
      </c>
      <c r="AJ93" s="435">
        <f t="shared" si="68"/>
        <v>1</v>
      </c>
      <c r="AK93" s="435">
        <f t="shared" si="68"/>
        <v>1</v>
      </c>
      <c r="AL93" s="435">
        <f t="shared" si="68"/>
        <v>1</v>
      </c>
      <c r="AM93" s="435">
        <f t="shared" si="68"/>
        <v>0</v>
      </c>
      <c r="AN93" s="435">
        <f t="shared" si="68"/>
        <v>0</v>
      </c>
      <c r="AO93" s="90" t="s">
        <v>964</v>
      </c>
      <c r="AP93" s="90"/>
      <c r="AQ93" s="90"/>
      <c r="AR93" s="90"/>
      <c r="AS93" s="90"/>
      <c r="AT93" s="90"/>
      <c r="AU93" s="90"/>
      <c r="AV93" s="90"/>
      <c r="AW93" s="90"/>
      <c r="AX93" s="90"/>
      <c r="AY93" s="90"/>
      <c r="AZ93" s="90"/>
      <c r="BA93" s="90"/>
      <c r="BB93" s="90"/>
      <c r="BC93" s="90"/>
      <c r="BD93" s="90"/>
      <c r="BE93" s="90"/>
      <c r="BF93" s="90"/>
      <c r="BG93" s="90"/>
      <c r="BH93" s="90"/>
      <c r="BI93" s="90"/>
    </row>
    <row r="94" ht="12.75" customHeight="1" outlineLevel="1">
      <c r="A94" s="148"/>
      <c r="B94" s="148"/>
      <c r="C94" s="148"/>
      <c r="D94" s="440"/>
      <c r="E94" s="441"/>
      <c r="F94" s="442"/>
      <c r="G94" s="442"/>
      <c r="H94" s="438"/>
      <c r="I94" s="433"/>
      <c r="J94" s="443"/>
      <c r="K94" s="435"/>
      <c r="L94" s="435"/>
      <c r="M94" s="435"/>
      <c r="N94" s="435"/>
      <c r="O94" s="435"/>
      <c r="P94" s="435"/>
      <c r="Q94" s="435"/>
      <c r="R94" s="435"/>
      <c r="S94" s="435"/>
      <c r="T94" s="435"/>
      <c r="U94" s="435"/>
      <c r="V94" s="435"/>
      <c r="W94" s="435"/>
      <c r="X94" s="435"/>
      <c r="Y94" s="435"/>
      <c r="Z94" s="435"/>
      <c r="AA94" s="435"/>
      <c r="AB94" s="435"/>
      <c r="AC94" s="435"/>
      <c r="AD94" s="435"/>
      <c r="AE94" s="435"/>
      <c r="AF94" s="435"/>
      <c r="AG94" s="435"/>
      <c r="AH94" s="435"/>
      <c r="AI94" s="435"/>
      <c r="AJ94" s="435"/>
      <c r="AK94" s="435"/>
      <c r="AL94" s="435"/>
      <c r="AM94" s="435"/>
      <c r="AN94" s="435"/>
      <c r="AO94" s="90"/>
      <c r="AP94" s="90"/>
      <c r="AQ94" s="90"/>
      <c r="AR94" s="90"/>
      <c r="AS94" s="90"/>
      <c r="AT94" s="90"/>
      <c r="AU94" s="90"/>
      <c r="AV94" s="90"/>
      <c r="AW94" s="90"/>
      <c r="AX94" s="90"/>
      <c r="AY94" s="90"/>
      <c r="AZ94" s="90"/>
      <c r="BA94" s="90"/>
      <c r="BB94" s="90"/>
      <c r="BC94" s="90"/>
      <c r="BD94" s="90"/>
      <c r="BE94" s="90"/>
      <c r="BF94" s="90"/>
      <c r="BG94" s="90"/>
      <c r="BH94" s="90"/>
      <c r="BI94" s="90"/>
    </row>
    <row r="95" ht="12.75" customHeight="1">
      <c r="A95" s="148"/>
      <c r="B95" s="362" t="s">
        <v>965</v>
      </c>
      <c r="C95" s="148" t="s">
        <v>268</v>
      </c>
      <c r="D95" s="440" t="s">
        <v>127</v>
      </c>
      <c r="E95" s="441">
        <v>100000.0</v>
      </c>
      <c r="F95" s="442">
        <v>2010.0</v>
      </c>
      <c r="G95" s="442"/>
      <c r="H95" s="438">
        <v>8.01</v>
      </c>
      <c r="I95" s="433" t="s">
        <v>124</v>
      </c>
      <c r="J95" s="443"/>
      <c r="K95" s="435">
        <v>1.0</v>
      </c>
      <c r="L95" s="435">
        <f t="shared" ref="L95:AN95" si="69">IF($F95="",IF(SUM(L96:L97)/$H95&lt;0.5,0,ROUNDUP(SUM(L96:L97)/$H95,0)),IF(L$32&lt;$F95,0,1)+ROUNDDOWN(SUM(L96:L97)/$H95,0))</f>
        <v>1</v>
      </c>
      <c r="M95" s="435">
        <f t="shared" si="69"/>
        <v>1</v>
      </c>
      <c r="N95" s="435">
        <f t="shared" si="69"/>
        <v>1</v>
      </c>
      <c r="O95" s="435">
        <f t="shared" si="69"/>
        <v>1</v>
      </c>
      <c r="P95" s="435">
        <f t="shared" si="69"/>
        <v>1</v>
      </c>
      <c r="Q95" s="435">
        <f t="shared" si="69"/>
        <v>1</v>
      </c>
      <c r="R95" s="435">
        <f t="shared" si="69"/>
        <v>1</v>
      </c>
      <c r="S95" s="435">
        <f t="shared" si="69"/>
        <v>1</v>
      </c>
      <c r="T95" s="435">
        <f t="shared" si="69"/>
        <v>2</v>
      </c>
      <c r="U95" s="435">
        <f t="shared" si="69"/>
        <v>2</v>
      </c>
      <c r="V95" s="435">
        <f t="shared" si="69"/>
        <v>2</v>
      </c>
      <c r="W95" s="435">
        <f t="shared" si="69"/>
        <v>2</v>
      </c>
      <c r="X95" s="435">
        <f t="shared" si="69"/>
        <v>3</v>
      </c>
      <c r="Y95" s="435">
        <f t="shared" si="69"/>
        <v>3</v>
      </c>
      <c r="Z95" s="435">
        <f t="shared" si="69"/>
        <v>3</v>
      </c>
      <c r="AA95" s="435">
        <f t="shared" si="69"/>
        <v>4</v>
      </c>
      <c r="AB95" s="435">
        <f t="shared" si="69"/>
        <v>4</v>
      </c>
      <c r="AC95" s="435">
        <f t="shared" si="69"/>
        <v>4</v>
      </c>
      <c r="AD95" s="435">
        <f t="shared" si="69"/>
        <v>5</v>
      </c>
      <c r="AE95" s="435">
        <f t="shared" si="69"/>
        <v>5</v>
      </c>
      <c r="AF95" s="435">
        <f t="shared" si="69"/>
        <v>5</v>
      </c>
      <c r="AG95" s="435">
        <f t="shared" si="69"/>
        <v>5</v>
      </c>
      <c r="AH95" s="435">
        <f t="shared" si="69"/>
        <v>5</v>
      </c>
      <c r="AI95" s="435">
        <f t="shared" si="69"/>
        <v>5</v>
      </c>
      <c r="AJ95" s="435">
        <f t="shared" si="69"/>
        <v>5</v>
      </c>
      <c r="AK95" s="435">
        <f t="shared" si="69"/>
        <v>5</v>
      </c>
      <c r="AL95" s="435">
        <f t="shared" si="69"/>
        <v>5</v>
      </c>
      <c r="AM95" s="435">
        <f t="shared" si="69"/>
        <v>5</v>
      </c>
      <c r="AN95" s="435">
        <f t="shared" si="69"/>
        <v>5</v>
      </c>
      <c r="AO95" s="90" t="s">
        <v>966</v>
      </c>
      <c r="AP95" s="90"/>
      <c r="AQ95" s="90"/>
      <c r="AR95" s="90"/>
      <c r="AS95" s="90"/>
      <c r="AT95" s="90"/>
      <c r="AU95" s="90"/>
      <c r="AV95" s="90"/>
      <c r="AW95" s="90"/>
      <c r="AX95" s="90"/>
      <c r="AY95" s="90"/>
      <c r="AZ95" s="90"/>
      <c r="BA95" s="90"/>
      <c r="BB95" s="90"/>
      <c r="BC95" s="90"/>
      <c r="BD95" s="90"/>
      <c r="BE95" s="90"/>
      <c r="BF95" s="90"/>
      <c r="BG95" s="90"/>
      <c r="BH95" s="90"/>
      <c r="BI95" s="90"/>
    </row>
    <row r="96" ht="12.75" customHeight="1">
      <c r="A96" s="148"/>
      <c r="B96" s="362" t="s">
        <v>967</v>
      </c>
      <c r="C96" s="148" t="s">
        <v>268</v>
      </c>
      <c r="D96" s="440" t="s">
        <v>126</v>
      </c>
      <c r="E96" s="441">
        <v>80000.0</v>
      </c>
      <c r="F96" s="442">
        <v>2011.0</v>
      </c>
      <c r="G96" s="442"/>
      <c r="H96" s="438">
        <v>5.01</v>
      </c>
      <c r="I96" s="433" t="s">
        <v>89</v>
      </c>
      <c r="J96" s="443"/>
      <c r="K96" s="435">
        <f t="shared" ref="K96:AN96" si="70">IF($F96="",IF(K$6/$H96&lt;0.5,0,ROUNDUP(K$6/$H96,0)),IF(K$32&lt;$F96,0,1)+ROUNDDOWN((K$6)/$H96,0))</f>
        <v>1</v>
      </c>
      <c r="L96" s="435">
        <f t="shared" si="70"/>
        <v>1</v>
      </c>
      <c r="M96" s="435">
        <f t="shared" si="70"/>
        <v>1</v>
      </c>
      <c r="N96" s="435">
        <f t="shared" si="70"/>
        <v>1</v>
      </c>
      <c r="O96" s="435">
        <f t="shared" si="70"/>
        <v>1</v>
      </c>
      <c r="P96" s="435">
        <f t="shared" si="70"/>
        <v>1</v>
      </c>
      <c r="Q96" s="435">
        <f t="shared" si="70"/>
        <v>2</v>
      </c>
      <c r="R96" s="435">
        <f t="shared" si="70"/>
        <v>3</v>
      </c>
      <c r="S96" s="435">
        <f t="shared" si="70"/>
        <v>4</v>
      </c>
      <c r="T96" s="435">
        <f t="shared" si="70"/>
        <v>7</v>
      </c>
      <c r="U96" s="435">
        <f t="shared" si="70"/>
        <v>10</v>
      </c>
      <c r="V96" s="435">
        <f t="shared" si="70"/>
        <v>10</v>
      </c>
      <c r="W96" s="435">
        <f t="shared" si="70"/>
        <v>10</v>
      </c>
      <c r="X96" s="435">
        <f t="shared" si="70"/>
        <v>10</v>
      </c>
      <c r="Y96" s="435">
        <f t="shared" si="70"/>
        <v>10</v>
      </c>
      <c r="Z96" s="435">
        <f t="shared" si="70"/>
        <v>10</v>
      </c>
      <c r="AA96" s="435">
        <f t="shared" si="70"/>
        <v>10</v>
      </c>
      <c r="AB96" s="435">
        <f t="shared" si="70"/>
        <v>10</v>
      </c>
      <c r="AC96" s="435">
        <f t="shared" si="70"/>
        <v>10</v>
      </c>
      <c r="AD96" s="435">
        <f t="shared" si="70"/>
        <v>10</v>
      </c>
      <c r="AE96" s="435">
        <f t="shared" si="70"/>
        <v>10</v>
      </c>
      <c r="AF96" s="435">
        <f t="shared" si="70"/>
        <v>10</v>
      </c>
      <c r="AG96" s="435">
        <f t="shared" si="70"/>
        <v>10</v>
      </c>
      <c r="AH96" s="435">
        <f t="shared" si="70"/>
        <v>10</v>
      </c>
      <c r="AI96" s="435">
        <f t="shared" si="70"/>
        <v>10</v>
      </c>
      <c r="AJ96" s="435">
        <f t="shared" si="70"/>
        <v>10</v>
      </c>
      <c r="AK96" s="435">
        <f t="shared" si="70"/>
        <v>10</v>
      </c>
      <c r="AL96" s="435">
        <f t="shared" si="70"/>
        <v>10</v>
      </c>
      <c r="AM96" s="435">
        <f t="shared" si="70"/>
        <v>10</v>
      </c>
      <c r="AN96" s="435">
        <f t="shared" si="70"/>
        <v>10</v>
      </c>
      <c r="AO96" s="90" t="s">
        <v>968</v>
      </c>
      <c r="AP96" s="90"/>
      <c r="AQ96" s="90"/>
      <c r="AR96" s="90"/>
      <c r="AS96" s="90"/>
      <c r="AT96" s="90"/>
      <c r="AU96" s="90"/>
      <c r="AV96" s="90"/>
      <c r="AW96" s="90"/>
      <c r="AX96" s="90"/>
      <c r="AY96" s="90"/>
      <c r="AZ96" s="90"/>
      <c r="BA96" s="90"/>
      <c r="BB96" s="90"/>
      <c r="BC96" s="90"/>
      <c r="BD96" s="90"/>
      <c r="BE96" s="90"/>
      <c r="BF96" s="90"/>
      <c r="BG96" s="90"/>
      <c r="BH96" s="90"/>
      <c r="BI96" s="90"/>
    </row>
    <row r="97" ht="12.75" customHeight="1">
      <c r="A97" s="148"/>
      <c r="B97" s="362" t="s">
        <v>969</v>
      </c>
      <c r="C97" s="148" t="s">
        <v>268</v>
      </c>
      <c r="D97" s="440" t="s">
        <v>124</v>
      </c>
      <c r="E97" s="441">
        <v>60000.0</v>
      </c>
      <c r="F97" s="442">
        <v>2011.0</v>
      </c>
      <c r="G97" s="442"/>
      <c r="H97" s="438">
        <v>100.01</v>
      </c>
      <c r="I97" s="433" t="s">
        <v>48</v>
      </c>
      <c r="J97" s="443"/>
      <c r="K97" s="435">
        <f t="shared" ref="K97:AN97" si="71">IF($F97="",IF(K$4/$H97&lt;0.5,0,ROUNDUP(K$4/$H97,0)),IF(K$32&lt;$F97,0,1)+ROUNDDOWN((K$4)/$H97,0))</f>
        <v>1</v>
      </c>
      <c r="L97" s="435">
        <f t="shared" si="71"/>
        <v>1</v>
      </c>
      <c r="M97" s="435">
        <f t="shared" si="71"/>
        <v>1</v>
      </c>
      <c r="N97" s="435">
        <f t="shared" si="71"/>
        <v>1</v>
      </c>
      <c r="O97" s="435">
        <f t="shared" si="71"/>
        <v>1</v>
      </c>
      <c r="P97" s="435">
        <f t="shared" si="71"/>
        <v>1</v>
      </c>
      <c r="Q97" s="435">
        <f t="shared" si="71"/>
        <v>1</v>
      </c>
      <c r="R97" s="435">
        <f t="shared" si="71"/>
        <v>1</v>
      </c>
      <c r="S97" s="435">
        <f t="shared" si="71"/>
        <v>2</v>
      </c>
      <c r="T97" s="435">
        <f t="shared" si="71"/>
        <v>2</v>
      </c>
      <c r="U97" s="435">
        <f t="shared" si="71"/>
        <v>3</v>
      </c>
      <c r="V97" s="435">
        <f t="shared" si="71"/>
        <v>4</v>
      </c>
      <c r="W97" s="435">
        <f t="shared" si="71"/>
        <v>5</v>
      </c>
      <c r="X97" s="435">
        <f t="shared" si="71"/>
        <v>7</v>
      </c>
      <c r="Y97" s="435">
        <f t="shared" si="71"/>
        <v>10</v>
      </c>
      <c r="Z97" s="435">
        <f t="shared" si="71"/>
        <v>12</v>
      </c>
      <c r="AA97" s="435">
        <f t="shared" si="71"/>
        <v>15</v>
      </c>
      <c r="AB97" s="435">
        <f t="shared" si="71"/>
        <v>19</v>
      </c>
      <c r="AC97" s="435">
        <f t="shared" si="71"/>
        <v>22</v>
      </c>
      <c r="AD97" s="435">
        <f t="shared" si="71"/>
        <v>25</v>
      </c>
      <c r="AE97" s="435">
        <f t="shared" si="71"/>
        <v>25</v>
      </c>
      <c r="AF97" s="435">
        <f t="shared" si="71"/>
        <v>25</v>
      </c>
      <c r="AG97" s="435">
        <f t="shared" si="71"/>
        <v>25</v>
      </c>
      <c r="AH97" s="435">
        <f t="shared" si="71"/>
        <v>25</v>
      </c>
      <c r="AI97" s="435">
        <f t="shared" si="71"/>
        <v>25</v>
      </c>
      <c r="AJ97" s="435">
        <f t="shared" si="71"/>
        <v>25</v>
      </c>
      <c r="AK97" s="435">
        <f t="shared" si="71"/>
        <v>25</v>
      </c>
      <c r="AL97" s="435">
        <f t="shared" si="71"/>
        <v>25</v>
      </c>
      <c r="AM97" s="435">
        <f t="shared" si="71"/>
        <v>25</v>
      </c>
      <c r="AN97" s="435">
        <f t="shared" si="71"/>
        <v>25</v>
      </c>
      <c r="AO97" s="90" t="s">
        <v>970</v>
      </c>
      <c r="AP97" s="90"/>
      <c r="AQ97" s="90"/>
      <c r="AR97" s="90"/>
      <c r="AS97" s="90"/>
      <c r="AT97" s="90"/>
      <c r="AU97" s="90"/>
      <c r="AV97" s="90"/>
      <c r="AW97" s="90"/>
      <c r="AX97" s="90"/>
      <c r="AY97" s="90"/>
      <c r="AZ97" s="90"/>
      <c r="BA97" s="90"/>
      <c r="BB97" s="90"/>
      <c r="BC97" s="90"/>
      <c r="BD97" s="90"/>
      <c r="BE97" s="90"/>
      <c r="BF97" s="90"/>
      <c r="BG97" s="90"/>
      <c r="BH97" s="90"/>
      <c r="BI97" s="90"/>
    </row>
    <row r="98" ht="12.75" customHeight="1">
      <c r="A98" s="148"/>
      <c r="B98" s="362"/>
      <c r="C98" s="148"/>
      <c r="D98" s="440"/>
      <c r="E98" s="441"/>
      <c r="F98" s="442"/>
      <c r="G98" s="442"/>
      <c r="H98" s="438"/>
      <c r="I98" s="433"/>
      <c r="J98" s="443"/>
      <c r="K98" s="435"/>
      <c r="L98" s="435"/>
      <c r="M98" s="435"/>
      <c r="N98" s="435"/>
      <c r="O98" s="435"/>
      <c r="P98" s="435"/>
      <c r="Q98" s="435"/>
      <c r="R98" s="435"/>
      <c r="S98" s="435"/>
      <c r="T98" s="435"/>
      <c r="U98" s="435"/>
      <c r="V98" s="435"/>
      <c r="W98" s="435"/>
      <c r="X98" s="435"/>
      <c r="Y98" s="435"/>
      <c r="Z98" s="435"/>
      <c r="AA98" s="435"/>
      <c r="AB98" s="435"/>
      <c r="AC98" s="435"/>
      <c r="AD98" s="435"/>
      <c r="AE98" s="435"/>
      <c r="AF98" s="435"/>
      <c r="AG98" s="435"/>
      <c r="AH98" s="435"/>
      <c r="AI98" s="435"/>
      <c r="AJ98" s="435"/>
      <c r="AK98" s="435"/>
      <c r="AL98" s="435"/>
      <c r="AM98" s="435"/>
      <c r="AN98" s="435"/>
      <c r="AO98" s="90"/>
      <c r="AP98" s="90"/>
      <c r="AQ98" s="90"/>
      <c r="AR98" s="90"/>
      <c r="AS98" s="90"/>
      <c r="AT98" s="90"/>
      <c r="AU98" s="90"/>
      <c r="AV98" s="90"/>
      <c r="AW98" s="90"/>
      <c r="AX98" s="90"/>
      <c r="AY98" s="90"/>
      <c r="AZ98" s="90"/>
      <c r="BA98" s="90"/>
      <c r="BB98" s="90"/>
      <c r="BC98" s="90"/>
      <c r="BD98" s="90"/>
      <c r="BE98" s="90"/>
      <c r="BF98" s="90"/>
      <c r="BG98" s="90"/>
      <c r="BH98" s="90"/>
      <c r="BI98" s="90"/>
    </row>
    <row r="99" ht="12.75" customHeight="1">
      <c r="A99" s="148"/>
      <c r="B99" s="362" t="s">
        <v>971</v>
      </c>
      <c r="C99" s="148" t="s">
        <v>309</v>
      </c>
      <c r="D99" s="440" t="s">
        <v>132</v>
      </c>
      <c r="E99" s="441">
        <v>140000.0</v>
      </c>
      <c r="F99" s="442">
        <v>2015.0</v>
      </c>
      <c r="G99" s="442"/>
      <c r="H99" s="438"/>
      <c r="I99" s="433"/>
      <c r="J99" s="435"/>
      <c r="K99" s="435">
        <f t="shared" ref="K99:AN99" si="72">IF(K$32&lt;$F99,0,1)</f>
        <v>0</v>
      </c>
      <c r="L99" s="435">
        <f t="shared" si="72"/>
        <v>0</v>
      </c>
      <c r="M99" s="435">
        <f t="shared" si="72"/>
        <v>0</v>
      </c>
      <c r="N99" s="435">
        <f t="shared" si="72"/>
        <v>0</v>
      </c>
      <c r="O99" s="435">
        <f t="shared" si="72"/>
        <v>1</v>
      </c>
      <c r="P99" s="435">
        <f t="shared" si="72"/>
        <v>1</v>
      </c>
      <c r="Q99" s="435">
        <f t="shared" si="72"/>
        <v>1</v>
      </c>
      <c r="R99" s="435">
        <f t="shared" si="72"/>
        <v>1</v>
      </c>
      <c r="S99" s="435">
        <f t="shared" si="72"/>
        <v>1</v>
      </c>
      <c r="T99" s="435">
        <f t="shared" si="72"/>
        <v>1</v>
      </c>
      <c r="U99" s="435">
        <f t="shared" si="72"/>
        <v>1</v>
      </c>
      <c r="V99" s="435">
        <f t="shared" si="72"/>
        <v>1</v>
      </c>
      <c r="W99" s="435">
        <f t="shared" si="72"/>
        <v>1</v>
      </c>
      <c r="X99" s="435">
        <f t="shared" si="72"/>
        <v>1</v>
      </c>
      <c r="Y99" s="435">
        <f t="shared" si="72"/>
        <v>1</v>
      </c>
      <c r="Z99" s="435">
        <f t="shared" si="72"/>
        <v>1</v>
      </c>
      <c r="AA99" s="435">
        <f t="shared" si="72"/>
        <v>1</v>
      </c>
      <c r="AB99" s="435">
        <f t="shared" si="72"/>
        <v>1</v>
      </c>
      <c r="AC99" s="435">
        <f t="shared" si="72"/>
        <v>1</v>
      </c>
      <c r="AD99" s="435">
        <f t="shared" si="72"/>
        <v>1</v>
      </c>
      <c r="AE99" s="435">
        <f t="shared" si="72"/>
        <v>1</v>
      </c>
      <c r="AF99" s="435">
        <f t="shared" si="72"/>
        <v>1</v>
      </c>
      <c r="AG99" s="435">
        <f t="shared" si="72"/>
        <v>1</v>
      </c>
      <c r="AH99" s="435">
        <f t="shared" si="72"/>
        <v>1</v>
      </c>
      <c r="AI99" s="435">
        <f t="shared" si="72"/>
        <v>1</v>
      </c>
      <c r="AJ99" s="435">
        <f t="shared" si="72"/>
        <v>1</v>
      </c>
      <c r="AK99" s="435">
        <f t="shared" si="72"/>
        <v>1</v>
      </c>
      <c r="AL99" s="435">
        <f t="shared" si="72"/>
        <v>1</v>
      </c>
      <c r="AM99" s="435">
        <f t="shared" si="72"/>
        <v>1</v>
      </c>
      <c r="AN99" s="435">
        <f t="shared" si="72"/>
        <v>1</v>
      </c>
      <c r="AO99" s="90" t="s">
        <v>972</v>
      </c>
      <c r="AP99" s="90"/>
      <c r="AQ99" s="90"/>
      <c r="AR99" s="90"/>
      <c r="AS99" s="90"/>
      <c r="AT99" s="90"/>
      <c r="AU99" s="90"/>
      <c r="AV99" s="90"/>
      <c r="AW99" s="90"/>
      <c r="AX99" s="90"/>
      <c r="AY99" s="90"/>
      <c r="AZ99" s="90"/>
      <c r="BA99" s="90"/>
      <c r="BB99" s="90"/>
      <c r="BC99" s="90"/>
      <c r="BD99" s="90"/>
      <c r="BE99" s="90"/>
      <c r="BF99" s="90"/>
      <c r="BG99" s="90"/>
      <c r="BH99" s="90"/>
      <c r="BI99" s="90"/>
    </row>
    <row r="100" ht="12.75" customHeight="1">
      <c r="A100" s="148"/>
      <c r="B100" s="362" t="s">
        <v>973</v>
      </c>
      <c r="C100" s="148" t="s">
        <v>309</v>
      </c>
      <c r="D100" s="440" t="s">
        <v>974</v>
      </c>
      <c r="E100" s="441">
        <v>120000.0</v>
      </c>
      <c r="F100" s="442">
        <v>2010.0</v>
      </c>
      <c r="G100" s="442"/>
      <c r="H100" s="438">
        <v>8.01</v>
      </c>
      <c r="I100" s="433" t="s">
        <v>124</v>
      </c>
      <c r="J100" s="443"/>
      <c r="K100" s="435">
        <f t="shared" ref="K100:AN100" si="73">IF($F100="",IF(K101/$H100&lt;0.5,0,ROUNDUP(K101/$H100,0)),IF(K$32&lt;$F100,0,1)+ROUNDDOWN(SUM(K101)/$H100,0))</f>
        <v>1</v>
      </c>
      <c r="L100" s="435">
        <f t="shared" si="73"/>
        <v>1</v>
      </c>
      <c r="M100" s="435">
        <f t="shared" si="73"/>
        <v>1</v>
      </c>
      <c r="N100" s="435">
        <f t="shared" si="73"/>
        <v>1</v>
      </c>
      <c r="O100" s="435">
        <f t="shared" si="73"/>
        <v>1</v>
      </c>
      <c r="P100" s="435">
        <f t="shared" si="73"/>
        <v>1</v>
      </c>
      <c r="Q100" s="435">
        <f t="shared" si="73"/>
        <v>1</v>
      </c>
      <c r="R100" s="435">
        <f t="shared" si="73"/>
        <v>1</v>
      </c>
      <c r="S100" s="435">
        <f t="shared" si="73"/>
        <v>1</v>
      </c>
      <c r="T100" s="435">
        <f t="shared" si="73"/>
        <v>1</v>
      </c>
      <c r="U100" s="435">
        <f t="shared" si="73"/>
        <v>1</v>
      </c>
      <c r="V100" s="435">
        <f t="shared" si="73"/>
        <v>1</v>
      </c>
      <c r="W100" s="435">
        <f t="shared" si="73"/>
        <v>1</v>
      </c>
      <c r="X100" s="435">
        <f t="shared" si="73"/>
        <v>1</v>
      </c>
      <c r="Y100" s="435">
        <f t="shared" si="73"/>
        <v>1</v>
      </c>
      <c r="Z100" s="435">
        <f t="shared" si="73"/>
        <v>1</v>
      </c>
      <c r="AA100" s="435">
        <f t="shared" si="73"/>
        <v>1</v>
      </c>
      <c r="AB100" s="435">
        <f t="shared" si="73"/>
        <v>2</v>
      </c>
      <c r="AC100" s="435">
        <f t="shared" si="73"/>
        <v>2</v>
      </c>
      <c r="AD100" s="435">
        <f t="shared" si="73"/>
        <v>2</v>
      </c>
      <c r="AE100" s="435">
        <f t="shared" si="73"/>
        <v>2</v>
      </c>
      <c r="AF100" s="435">
        <f t="shared" si="73"/>
        <v>2</v>
      </c>
      <c r="AG100" s="435">
        <f t="shared" si="73"/>
        <v>2</v>
      </c>
      <c r="AH100" s="435">
        <f t="shared" si="73"/>
        <v>2</v>
      </c>
      <c r="AI100" s="435">
        <f t="shared" si="73"/>
        <v>2</v>
      </c>
      <c r="AJ100" s="435">
        <f t="shared" si="73"/>
        <v>2</v>
      </c>
      <c r="AK100" s="435">
        <f t="shared" si="73"/>
        <v>2</v>
      </c>
      <c r="AL100" s="435">
        <f t="shared" si="73"/>
        <v>2</v>
      </c>
      <c r="AM100" s="435">
        <f t="shared" si="73"/>
        <v>2</v>
      </c>
      <c r="AN100" s="435">
        <f t="shared" si="73"/>
        <v>2</v>
      </c>
      <c r="AO100" s="90" t="s">
        <v>975</v>
      </c>
      <c r="AP100" s="90"/>
      <c r="AQ100" s="90"/>
      <c r="AR100" s="90"/>
      <c r="AS100" s="90"/>
      <c r="AT100" s="90"/>
      <c r="AU100" s="90"/>
      <c r="AV100" s="90"/>
      <c r="AW100" s="90"/>
      <c r="AX100" s="90"/>
      <c r="AY100" s="90"/>
      <c r="AZ100" s="90"/>
      <c r="BA100" s="90"/>
      <c r="BB100" s="90"/>
      <c r="BC100" s="90"/>
      <c r="BD100" s="90"/>
      <c r="BE100" s="90"/>
      <c r="BF100" s="90"/>
      <c r="BG100" s="90"/>
      <c r="BH100" s="90"/>
      <c r="BI100" s="90"/>
    </row>
    <row r="101" ht="12.75" customHeight="1">
      <c r="A101" s="148"/>
      <c r="B101" s="362" t="s">
        <v>976</v>
      </c>
      <c r="C101" s="148" t="s">
        <v>309</v>
      </c>
      <c r="D101" s="440" t="s">
        <v>126</v>
      </c>
      <c r="E101" s="441">
        <v>80000.0</v>
      </c>
      <c r="F101" s="442"/>
      <c r="G101" s="442"/>
      <c r="H101" s="438">
        <v>8.01</v>
      </c>
      <c r="I101" s="433" t="s">
        <v>124</v>
      </c>
      <c r="J101" s="443"/>
      <c r="K101" s="435">
        <f t="shared" ref="K101:AN101" si="74">IF($F101="",IF(SUM(K102:K104)/$H101&lt;0.5,0,ROUNDUP(SUM(K102:K104)/$H101,0)),IF(K$32&lt;$F101,0,1)+ROUNDDOWN(SUM(K102:K104)/$H101,0))</f>
        <v>0</v>
      </c>
      <c r="L101" s="435">
        <f t="shared" si="74"/>
        <v>0</v>
      </c>
      <c r="M101" s="435">
        <f t="shared" si="74"/>
        <v>0</v>
      </c>
      <c r="N101" s="435">
        <f t="shared" si="74"/>
        <v>0</v>
      </c>
      <c r="O101" s="435">
        <f t="shared" si="74"/>
        <v>0</v>
      </c>
      <c r="P101" s="435">
        <f t="shared" si="74"/>
        <v>0</v>
      </c>
      <c r="Q101" s="435">
        <f t="shared" si="74"/>
        <v>1</v>
      </c>
      <c r="R101" s="435">
        <f t="shared" si="74"/>
        <v>2</v>
      </c>
      <c r="S101" s="435">
        <f t="shared" si="74"/>
        <v>2</v>
      </c>
      <c r="T101" s="435">
        <f t="shared" si="74"/>
        <v>2</v>
      </c>
      <c r="U101" s="435">
        <f t="shared" si="74"/>
        <v>2</v>
      </c>
      <c r="V101" s="435">
        <f t="shared" si="74"/>
        <v>2</v>
      </c>
      <c r="W101" s="435">
        <f t="shared" si="74"/>
        <v>3</v>
      </c>
      <c r="X101" s="435">
        <f t="shared" si="74"/>
        <v>4</v>
      </c>
      <c r="Y101" s="435">
        <f t="shared" si="74"/>
        <v>5</v>
      </c>
      <c r="Z101" s="435">
        <f t="shared" si="74"/>
        <v>6</v>
      </c>
      <c r="AA101" s="435">
        <f t="shared" si="74"/>
        <v>8</v>
      </c>
      <c r="AB101" s="435">
        <f t="shared" si="74"/>
        <v>9</v>
      </c>
      <c r="AC101" s="435">
        <f t="shared" si="74"/>
        <v>10</v>
      </c>
      <c r="AD101" s="435">
        <f t="shared" si="74"/>
        <v>11</v>
      </c>
      <c r="AE101" s="435">
        <f t="shared" si="74"/>
        <v>10</v>
      </c>
      <c r="AF101" s="435">
        <f t="shared" si="74"/>
        <v>10</v>
      </c>
      <c r="AG101" s="435">
        <f t="shared" si="74"/>
        <v>10</v>
      </c>
      <c r="AH101" s="435">
        <f t="shared" si="74"/>
        <v>10</v>
      </c>
      <c r="AI101" s="435">
        <f t="shared" si="74"/>
        <v>10</v>
      </c>
      <c r="AJ101" s="435">
        <f t="shared" si="74"/>
        <v>10</v>
      </c>
      <c r="AK101" s="435">
        <f t="shared" si="74"/>
        <v>10</v>
      </c>
      <c r="AL101" s="435">
        <f t="shared" si="74"/>
        <v>10</v>
      </c>
      <c r="AM101" s="435">
        <f t="shared" si="74"/>
        <v>9</v>
      </c>
      <c r="AN101" s="435">
        <f t="shared" si="74"/>
        <v>9</v>
      </c>
      <c r="AO101" s="90" t="s">
        <v>977</v>
      </c>
      <c r="AP101" s="90"/>
      <c r="AQ101" s="90"/>
      <c r="AR101" s="90"/>
      <c r="AS101" s="90"/>
      <c r="AT101" s="90"/>
      <c r="AU101" s="90"/>
      <c r="AV101" s="90"/>
      <c r="AW101" s="90"/>
      <c r="AX101" s="90"/>
      <c r="AY101" s="90"/>
      <c r="AZ101" s="90"/>
      <c r="BA101" s="90"/>
      <c r="BB101" s="90"/>
      <c r="BC101" s="90"/>
      <c r="BD101" s="90"/>
      <c r="BE101" s="90"/>
      <c r="BF101" s="90"/>
      <c r="BG101" s="90"/>
      <c r="BH101" s="90"/>
      <c r="BI101" s="90"/>
    </row>
    <row r="102" ht="12.75" customHeight="1">
      <c r="A102" s="148"/>
      <c r="B102" s="362" t="s">
        <v>978</v>
      </c>
      <c r="C102" s="148" t="s">
        <v>309</v>
      </c>
      <c r="D102" s="440" t="s">
        <v>124</v>
      </c>
      <c r="E102" s="441">
        <v>60000.0</v>
      </c>
      <c r="F102" s="442"/>
      <c r="G102" s="442"/>
      <c r="H102" s="438">
        <v>50.0</v>
      </c>
      <c r="I102" s="433" t="s">
        <v>979</v>
      </c>
      <c r="J102" s="443"/>
      <c r="K102" s="435">
        <f t="shared" ref="K102:AN102" si="75">IF($F102="",IF((K$4-J$4)/$H102&lt;0.5,0,ROUNDUP((K$4-J$4)/$H102,0)),IF(K$32&lt;$F102,0,1))+ROUNDDOWN((K$4-J$4)/$H102,0)</f>
        <v>0</v>
      </c>
      <c r="L102" s="435">
        <f t="shared" si="75"/>
        <v>0</v>
      </c>
      <c r="M102" s="435">
        <f t="shared" si="75"/>
        <v>0</v>
      </c>
      <c r="N102" s="435">
        <f t="shared" si="75"/>
        <v>0</v>
      </c>
      <c r="O102" s="435">
        <f t="shared" si="75"/>
        <v>0</v>
      </c>
      <c r="P102" s="435">
        <f t="shared" si="75"/>
        <v>0</v>
      </c>
      <c r="Q102" s="435">
        <f t="shared" si="75"/>
        <v>0</v>
      </c>
      <c r="R102" s="435">
        <f t="shared" si="75"/>
        <v>1</v>
      </c>
      <c r="S102" s="435">
        <f t="shared" si="75"/>
        <v>1</v>
      </c>
      <c r="T102" s="435">
        <f t="shared" si="75"/>
        <v>1</v>
      </c>
      <c r="U102" s="435">
        <f t="shared" si="75"/>
        <v>3</v>
      </c>
      <c r="V102" s="435">
        <f t="shared" si="75"/>
        <v>3</v>
      </c>
      <c r="W102" s="435">
        <f t="shared" si="75"/>
        <v>5</v>
      </c>
      <c r="X102" s="435">
        <f t="shared" si="75"/>
        <v>7</v>
      </c>
      <c r="Y102" s="435">
        <f t="shared" si="75"/>
        <v>9</v>
      </c>
      <c r="Z102" s="435">
        <f t="shared" si="75"/>
        <v>11</v>
      </c>
      <c r="AA102" s="435">
        <f t="shared" si="75"/>
        <v>13</v>
      </c>
      <c r="AB102" s="435">
        <f t="shared" si="75"/>
        <v>14</v>
      </c>
      <c r="AC102" s="435">
        <f t="shared" si="75"/>
        <v>13</v>
      </c>
      <c r="AD102" s="435">
        <f t="shared" si="75"/>
        <v>11</v>
      </c>
      <c r="AE102" s="435">
        <f t="shared" si="75"/>
        <v>1</v>
      </c>
      <c r="AF102" s="435">
        <f t="shared" si="75"/>
        <v>0</v>
      </c>
      <c r="AG102" s="435">
        <f t="shared" si="75"/>
        <v>0</v>
      </c>
      <c r="AH102" s="435">
        <f t="shared" si="75"/>
        <v>0</v>
      </c>
      <c r="AI102" s="435">
        <f t="shared" si="75"/>
        <v>0</v>
      </c>
      <c r="AJ102" s="435">
        <f t="shared" si="75"/>
        <v>0</v>
      </c>
      <c r="AK102" s="435">
        <f t="shared" si="75"/>
        <v>0</v>
      </c>
      <c r="AL102" s="435">
        <f t="shared" si="75"/>
        <v>0</v>
      </c>
      <c r="AM102" s="435">
        <f t="shared" si="75"/>
        <v>0</v>
      </c>
      <c r="AN102" s="435">
        <f t="shared" si="75"/>
        <v>0</v>
      </c>
      <c r="AO102" s="90" t="s">
        <v>980</v>
      </c>
      <c r="AP102" s="90"/>
      <c r="AQ102" s="90"/>
      <c r="AR102" s="90"/>
      <c r="AS102" s="90"/>
      <c r="AT102" s="90"/>
      <c r="AU102" s="90"/>
      <c r="AV102" s="90"/>
      <c r="AW102" s="90"/>
      <c r="AX102" s="90"/>
      <c r="AY102" s="90"/>
      <c r="AZ102" s="90"/>
      <c r="BA102" s="90"/>
      <c r="BB102" s="90"/>
      <c r="BC102" s="90"/>
      <c r="BD102" s="90"/>
      <c r="BE102" s="90"/>
      <c r="BF102" s="90"/>
      <c r="BG102" s="90"/>
      <c r="BH102" s="90"/>
      <c r="BI102" s="90"/>
    </row>
    <row r="103" ht="12.75" customHeight="1">
      <c r="A103" s="148"/>
      <c r="B103" s="362" t="s">
        <v>981</v>
      </c>
      <c r="C103" s="148" t="s">
        <v>309</v>
      </c>
      <c r="D103" s="440" t="s">
        <v>124</v>
      </c>
      <c r="E103" s="441">
        <v>60000.0</v>
      </c>
      <c r="F103" s="442">
        <v>2013.0</v>
      </c>
      <c r="G103" s="442"/>
      <c r="H103" s="438">
        <v>3.01</v>
      </c>
      <c r="I103" s="433" t="s">
        <v>982</v>
      </c>
      <c r="J103" s="443"/>
      <c r="K103" s="435">
        <f t="shared" ref="K103:AN103" si="76">MAX(0,IF($F103="",IF((M$6-K$6)/$H103&lt;0.5,0,ROUNDUP((M$6-K$6)/$H103,0)),IF(K$32&lt;$F103,0,1))+ROUNDDOWN((M$6-K$6)/$H103,0))</f>
        <v>0</v>
      </c>
      <c r="L103" s="435">
        <f t="shared" si="76"/>
        <v>0</v>
      </c>
      <c r="M103" s="435">
        <f t="shared" si="76"/>
        <v>1</v>
      </c>
      <c r="N103" s="435">
        <f t="shared" si="76"/>
        <v>1</v>
      </c>
      <c r="O103" s="435">
        <f t="shared" si="76"/>
        <v>2</v>
      </c>
      <c r="P103" s="435">
        <f t="shared" si="76"/>
        <v>3</v>
      </c>
      <c r="Q103" s="435">
        <f t="shared" si="76"/>
        <v>5</v>
      </c>
      <c r="R103" s="435">
        <f t="shared" si="76"/>
        <v>7</v>
      </c>
      <c r="S103" s="435">
        <f t="shared" si="76"/>
        <v>10</v>
      </c>
      <c r="T103" s="435">
        <f t="shared" si="76"/>
        <v>6</v>
      </c>
      <c r="U103" s="435">
        <f t="shared" si="76"/>
        <v>1</v>
      </c>
      <c r="V103" s="435">
        <f t="shared" si="76"/>
        <v>1</v>
      </c>
      <c r="W103" s="435">
        <f t="shared" si="76"/>
        <v>1</v>
      </c>
      <c r="X103" s="435">
        <f t="shared" si="76"/>
        <v>1</v>
      </c>
      <c r="Y103" s="435">
        <f t="shared" si="76"/>
        <v>1</v>
      </c>
      <c r="Z103" s="435">
        <f t="shared" si="76"/>
        <v>1</v>
      </c>
      <c r="AA103" s="435">
        <f t="shared" si="76"/>
        <v>1</v>
      </c>
      <c r="AB103" s="435">
        <f t="shared" si="76"/>
        <v>1</v>
      </c>
      <c r="AC103" s="435">
        <f t="shared" si="76"/>
        <v>1</v>
      </c>
      <c r="AD103" s="435">
        <f t="shared" si="76"/>
        <v>1</v>
      </c>
      <c r="AE103" s="435">
        <f t="shared" si="76"/>
        <v>1</v>
      </c>
      <c r="AF103" s="435">
        <f t="shared" si="76"/>
        <v>1</v>
      </c>
      <c r="AG103" s="435">
        <f t="shared" si="76"/>
        <v>1</v>
      </c>
      <c r="AH103" s="435">
        <f t="shared" si="76"/>
        <v>1</v>
      </c>
      <c r="AI103" s="435">
        <f t="shared" si="76"/>
        <v>1</v>
      </c>
      <c r="AJ103" s="435">
        <f t="shared" si="76"/>
        <v>1</v>
      </c>
      <c r="AK103" s="435">
        <f t="shared" si="76"/>
        <v>1</v>
      </c>
      <c r="AL103" s="435">
        <f t="shared" si="76"/>
        <v>1</v>
      </c>
      <c r="AM103" s="435">
        <f t="shared" si="76"/>
        <v>0</v>
      </c>
      <c r="AN103" s="435">
        <f t="shared" si="76"/>
        <v>0</v>
      </c>
      <c r="AO103" s="90" t="s">
        <v>983</v>
      </c>
      <c r="AP103" s="90"/>
      <c r="AQ103" s="90"/>
      <c r="AR103" s="90"/>
      <c r="AS103" s="90"/>
      <c r="AT103" s="90"/>
      <c r="AU103" s="90"/>
      <c r="AV103" s="90"/>
      <c r="AW103" s="90"/>
      <c r="AX103" s="90"/>
      <c r="AY103" s="90"/>
      <c r="AZ103" s="90"/>
      <c r="BA103" s="90"/>
      <c r="BB103" s="90"/>
      <c r="BC103" s="90"/>
      <c r="BD103" s="90"/>
      <c r="BE103" s="90"/>
      <c r="BF103" s="90"/>
      <c r="BG103" s="90"/>
      <c r="BH103" s="90"/>
      <c r="BI103" s="90"/>
    </row>
    <row r="104" ht="12.75" customHeight="1">
      <c r="A104" s="148"/>
      <c r="B104" s="362" t="s">
        <v>984</v>
      </c>
      <c r="C104" s="148" t="s">
        <v>309</v>
      </c>
      <c r="D104" s="440" t="s">
        <v>124</v>
      </c>
      <c r="E104" s="441">
        <v>60000.0</v>
      </c>
      <c r="F104" s="442">
        <v>2017.0</v>
      </c>
      <c r="G104" s="442"/>
      <c r="H104" s="438">
        <v>35.0</v>
      </c>
      <c r="I104" s="433" t="s">
        <v>48</v>
      </c>
      <c r="J104" s="443"/>
      <c r="K104" s="435">
        <f t="shared" ref="K104:AN104" si="77">IF($F104="",IF(K$4/$H104&lt;0.5,0,ROUNDUP(K$4/$H104,0)),IF(K$32&lt;$F104,0,1)+ROUNDDOWN((K$4)/$H104,0))</f>
        <v>0</v>
      </c>
      <c r="L104" s="435">
        <f t="shared" si="77"/>
        <v>0</v>
      </c>
      <c r="M104" s="435">
        <f t="shared" si="77"/>
        <v>0</v>
      </c>
      <c r="N104" s="435">
        <f t="shared" si="77"/>
        <v>0</v>
      </c>
      <c r="O104" s="435">
        <f t="shared" si="77"/>
        <v>0</v>
      </c>
      <c r="P104" s="435">
        <f t="shared" si="77"/>
        <v>0</v>
      </c>
      <c r="Q104" s="435">
        <f t="shared" si="77"/>
        <v>2</v>
      </c>
      <c r="R104" s="435">
        <f t="shared" si="77"/>
        <v>3</v>
      </c>
      <c r="S104" s="435">
        <f t="shared" si="77"/>
        <v>4</v>
      </c>
      <c r="T104" s="435">
        <f t="shared" si="77"/>
        <v>6</v>
      </c>
      <c r="U104" s="435">
        <f t="shared" si="77"/>
        <v>8</v>
      </c>
      <c r="V104" s="435">
        <f t="shared" si="77"/>
        <v>10</v>
      </c>
      <c r="W104" s="435">
        <f t="shared" si="77"/>
        <v>14</v>
      </c>
      <c r="X104" s="435">
        <f t="shared" si="77"/>
        <v>19</v>
      </c>
      <c r="Y104" s="435">
        <f t="shared" si="77"/>
        <v>26</v>
      </c>
      <c r="Z104" s="435">
        <f t="shared" si="77"/>
        <v>34</v>
      </c>
      <c r="AA104" s="435">
        <f t="shared" si="77"/>
        <v>43</v>
      </c>
      <c r="AB104" s="435">
        <f t="shared" si="77"/>
        <v>53</v>
      </c>
      <c r="AC104" s="435">
        <f t="shared" si="77"/>
        <v>63</v>
      </c>
      <c r="AD104" s="435">
        <f t="shared" si="77"/>
        <v>71</v>
      </c>
      <c r="AE104" s="435">
        <f t="shared" si="77"/>
        <v>72</v>
      </c>
      <c r="AF104" s="435">
        <f t="shared" si="77"/>
        <v>72</v>
      </c>
      <c r="AG104" s="435">
        <f t="shared" si="77"/>
        <v>72</v>
      </c>
      <c r="AH104" s="435">
        <f t="shared" si="77"/>
        <v>72</v>
      </c>
      <c r="AI104" s="435">
        <f t="shared" si="77"/>
        <v>72</v>
      </c>
      <c r="AJ104" s="435">
        <f t="shared" si="77"/>
        <v>72</v>
      </c>
      <c r="AK104" s="435">
        <f t="shared" si="77"/>
        <v>72</v>
      </c>
      <c r="AL104" s="435">
        <f t="shared" si="77"/>
        <v>72</v>
      </c>
      <c r="AM104" s="435">
        <f t="shared" si="77"/>
        <v>72</v>
      </c>
      <c r="AN104" s="435">
        <f t="shared" si="77"/>
        <v>72</v>
      </c>
      <c r="AO104" s="90" t="s">
        <v>985</v>
      </c>
      <c r="AP104" s="90"/>
      <c r="AQ104" s="90"/>
      <c r="AR104" s="90"/>
      <c r="AS104" s="90"/>
      <c r="AT104" s="90"/>
      <c r="AU104" s="90"/>
      <c r="AV104" s="90"/>
      <c r="AW104" s="90"/>
      <c r="AX104" s="90"/>
      <c r="AY104" s="90"/>
      <c r="AZ104" s="90"/>
      <c r="BA104" s="90"/>
      <c r="BB104" s="90"/>
      <c r="BC104" s="90"/>
      <c r="BD104" s="90"/>
      <c r="BE104" s="90"/>
      <c r="BF104" s="90"/>
      <c r="BG104" s="90"/>
      <c r="BH104" s="90"/>
      <c r="BI104" s="90"/>
    </row>
    <row r="105" ht="12.75" customHeight="1">
      <c r="A105" s="148"/>
      <c r="B105" s="362" t="s">
        <v>986</v>
      </c>
      <c r="C105" s="148" t="s">
        <v>309</v>
      </c>
      <c r="D105" s="440" t="s">
        <v>127</v>
      </c>
      <c r="E105" s="441">
        <v>100000.0</v>
      </c>
      <c r="F105" s="442">
        <v>2016.0</v>
      </c>
      <c r="G105" s="442"/>
      <c r="H105" s="438">
        <v>8.01</v>
      </c>
      <c r="I105" s="433" t="s">
        <v>124</v>
      </c>
      <c r="J105" s="443"/>
      <c r="K105" s="435">
        <f t="shared" ref="K105:AN105" si="78">IF($F105="",IF(K106/$H105&lt;0.5,0,ROUNDUP(K106/$H105,0)),IF(K$32&lt;$F105,0,1)+ROUNDDOWN(SUM(K106)/$H105,0))</f>
        <v>0</v>
      </c>
      <c r="L105" s="435">
        <f t="shared" si="78"/>
        <v>0</v>
      </c>
      <c r="M105" s="435">
        <f t="shared" si="78"/>
        <v>0</v>
      </c>
      <c r="N105" s="435">
        <f t="shared" si="78"/>
        <v>0</v>
      </c>
      <c r="O105" s="435">
        <f t="shared" si="78"/>
        <v>0</v>
      </c>
      <c r="P105" s="435">
        <f t="shared" si="78"/>
        <v>1</v>
      </c>
      <c r="Q105" s="435">
        <f t="shared" si="78"/>
        <v>1</v>
      </c>
      <c r="R105" s="435">
        <f t="shared" si="78"/>
        <v>1</v>
      </c>
      <c r="S105" s="435">
        <f t="shared" si="78"/>
        <v>1</v>
      </c>
      <c r="T105" s="435">
        <f t="shared" si="78"/>
        <v>1</v>
      </c>
      <c r="U105" s="435">
        <f t="shared" si="78"/>
        <v>1</v>
      </c>
      <c r="V105" s="435">
        <f t="shared" si="78"/>
        <v>1</v>
      </c>
      <c r="W105" s="435">
        <f t="shared" si="78"/>
        <v>1</v>
      </c>
      <c r="X105" s="435">
        <f t="shared" si="78"/>
        <v>1</v>
      </c>
      <c r="Y105" s="435">
        <f t="shared" si="78"/>
        <v>1</v>
      </c>
      <c r="Z105" s="435">
        <f t="shared" si="78"/>
        <v>1</v>
      </c>
      <c r="AA105" s="435">
        <f t="shared" si="78"/>
        <v>2</v>
      </c>
      <c r="AB105" s="435">
        <f t="shared" si="78"/>
        <v>2</v>
      </c>
      <c r="AC105" s="435">
        <f t="shared" si="78"/>
        <v>2</v>
      </c>
      <c r="AD105" s="435">
        <f t="shared" si="78"/>
        <v>2</v>
      </c>
      <c r="AE105" s="435">
        <f t="shared" si="78"/>
        <v>2</v>
      </c>
      <c r="AF105" s="435">
        <f t="shared" si="78"/>
        <v>2</v>
      </c>
      <c r="AG105" s="435">
        <f t="shared" si="78"/>
        <v>2</v>
      </c>
      <c r="AH105" s="435">
        <f t="shared" si="78"/>
        <v>2</v>
      </c>
      <c r="AI105" s="435">
        <f t="shared" si="78"/>
        <v>2</v>
      </c>
      <c r="AJ105" s="435">
        <f t="shared" si="78"/>
        <v>2</v>
      </c>
      <c r="AK105" s="435">
        <f t="shared" si="78"/>
        <v>2</v>
      </c>
      <c r="AL105" s="435">
        <f t="shared" si="78"/>
        <v>2</v>
      </c>
      <c r="AM105" s="435">
        <f t="shared" si="78"/>
        <v>2</v>
      </c>
      <c r="AN105" s="435">
        <f t="shared" si="78"/>
        <v>2</v>
      </c>
      <c r="AO105" s="90" t="s">
        <v>987</v>
      </c>
      <c r="AP105" s="90"/>
      <c r="AQ105" s="90"/>
      <c r="AR105" s="90"/>
      <c r="AS105" s="90"/>
      <c r="AT105" s="90"/>
      <c r="AU105" s="90"/>
      <c r="AV105" s="90"/>
      <c r="AW105" s="90"/>
      <c r="AX105" s="90"/>
      <c r="AY105" s="90"/>
      <c r="AZ105" s="90"/>
      <c r="BA105" s="90"/>
      <c r="BB105" s="90"/>
      <c r="BC105" s="90"/>
      <c r="BD105" s="90"/>
      <c r="BE105" s="90"/>
      <c r="BF105" s="90"/>
      <c r="BG105" s="90"/>
      <c r="BH105" s="90"/>
      <c r="BI105" s="90"/>
    </row>
    <row r="106" ht="12.75" customHeight="1">
      <c r="A106" s="148"/>
      <c r="B106" s="362" t="s">
        <v>988</v>
      </c>
      <c r="C106" s="148" t="s">
        <v>309</v>
      </c>
      <c r="D106" s="440" t="s">
        <v>126</v>
      </c>
      <c r="E106" s="441">
        <v>80000.0</v>
      </c>
      <c r="F106" s="442">
        <v>2011.0</v>
      </c>
      <c r="G106" s="442"/>
      <c r="H106" s="438">
        <v>8.01</v>
      </c>
      <c r="I106" s="433" t="s">
        <v>124</v>
      </c>
      <c r="J106" s="443"/>
      <c r="K106" s="435">
        <f t="shared" ref="K106:AN106" si="79">IF($F106="",IF(K107/$H106&lt;0.5,0,ROUNDUP(K107/$H106,0)),IF(K$32&lt;$F106,0,1)+ROUNDDOWN(SUM(K107)/$H106,0))</f>
        <v>1</v>
      </c>
      <c r="L106" s="435">
        <f t="shared" si="79"/>
        <v>1</v>
      </c>
      <c r="M106" s="435">
        <f t="shared" si="79"/>
        <v>1</v>
      </c>
      <c r="N106" s="435">
        <f t="shared" si="79"/>
        <v>1</v>
      </c>
      <c r="O106" s="435">
        <f t="shared" si="79"/>
        <v>1</v>
      </c>
      <c r="P106" s="435">
        <f t="shared" si="79"/>
        <v>1</v>
      </c>
      <c r="Q106" s="435">
        <f t="shared" si="79"/>
        <v>1</v>
      </c>
      <c r="R106" s="435">
        <f t="shared" si="79"/>
        <v>1</v>
      </c>
      <c r="S106" s="435">
        <f t="shared" si="79"/>
        <v>1</v>
      </c>
      <c r="T106" s="435">
        <f t="shared" si="79"/>
        <v>2</v>
      </c>
      <c r="U106" s="435">
        <f t="shared" si="79"/>
        <v>2</v>
      </c>
      <c r="V106" s="435">
        <f t="shared" si="79"/>
        <v>3</v>
      </c>
      <c r="W106" s="435">
        <f t="shared" si="79"/>
        <v>3</v>
      </c>
      <c r="X106" s="435">
        <f t="shared" si="79"/>
        <v>5</v>
      </c>
      <c r="Y106" s="435">
        <f t="shared" si="79"/>
        <v>6</v>
      </c>
      <c r="Z106" s="435">
        <f t="shared" si="79"/>
        <v>8</v>
      </c>
      <c r="AA106" s="435">
        <f t="shared" si="79"/>
        <v>10</v>
      </c>
      <c r="AB106" s="435">
        <f t="shared" si="79"/>
        <v>12</v>
      </c>
      <c r="AC106" s="435">
        <f t="shared" si="79"/>
        <v>14</v>
      </c>
      <c r="AD106" s="435">
        <f t="shared" si="79"/>
        <v>16</v>
      </c>
      <c r="AE106" s="435">
        <f t="shared" si="79"/>
        <v>16</v>
      </c>
      <c r="AF106" s="435">
        <f t="shared" si="79"/>
        <v>16</v>
      </c>
      <c r="AG106" s="435">
        <f t="shared" si="79"/>
        <v>16</v>
      </c>
      <c r="AH106" s="435">
        <f t="shared" si="79"/>
        <v>16</v>
      </c>
      <c r="AI106" s="435">
        <f t="shared" si="79"/>
        <v>16</v>
      </c>
      <c r="AJ106" s="435">
        <f t="shared" si="79"/>
        <v>16</v>
      </c>
      <c r="AK106" s="435">
        <f t="shared" si="79"/>
        <v>16</v>
      </c>
      <c r="AL106" s="435">
        <f t="shared" si="79"/>
        <v>16</v>
      </c>
      <c r="AM106" s="435">
        <f t="shared" si="79"/>
        <v>16</v>
      </c>
      <c r="AN106" s="435">
        <f t="shared" si="79"/>
        <v>16</v>
      </c>
      <c r="AO106" s="90" t="s">
        <v>989</v>
      </c>
      <c r="AP106" s="90"/>
      <c r="AQ106" s="90"/>
      <c r="AR106" s="90"/>
      <c r="AS106" s="90"/>
      <c r="AT106" s="90"/>
      <c r="AU106" s="90"/>
      <c r="AV106" s="90"/>
      <c r="AW106" s="90"/>
      <c r="AX106" s="90"/>
      <c r="AY106" s="90"/>
      <c r="AZ106" s="90"/>
      <c r="BA106" s="90"/>
      <c r="BB106" s="90"/>
      <c r="BC106" s="90"/>
      <c r="BD106" s="90"/>
      <c r="BE106" s="90"/>
      <c r="BF106" s="90"/>
      <c r="BG106" s="90"/>
      <c r="BH106" s="90"/>
      <c r="BI106" s="90"/>
    </row>
    <row r="107" ht="12.75" customHeight="1">
      <c r="A107" s="148"/>
      <c r="B107" s="362" t="s">
        <v>990</v>
      </c>
      <c r="C107" s="148" t="s">
        <v>309</v>
      </c>
      <c r="D107" s="440" t="s">
        <v>124</v>
      </c>
      <c r="E107" s="441">
        <v>60000.0</v>
      </c>
      <c r="F107" s="442">
        <v>2010.0</v>
      </c>
      <c r="G107" s="442"/>
      <c r="H107" s="438">
        <v>20.01</v>
      </c>
      <c r="I107" s="433" t="s">
        <v>48</v>
      </c>
      <c r="J107" s="443"/>
      <c r="K107" s="435">
        <f t="shared" ref="K107:AN107" si="80">IF($F107="",IF(K$4/$H107&lt;0.5,0,ROUNDUP(K$4/$H107,0)),IF(K$32&lt;$F107,0,1)+ROUNDDOWN((K$4)/$H107,0))</f>
        <v>1</v>
      </c>
      <c r="L107" s="435">
        <f t="shared" si="80"/>
        <v>1</v>
      </c>
      <c r="M107" s="435">
        <f t="shared" si="80"/>
        <v>1</v>
      </c>
      <c r="N107" s="435">
        <f t="shared" si="80"/>
        <v>1</v>
      </c>
      <c r="O107" s="435">
        <f t="shared" si="80"/>
        <v>2</v>
      </c>
      <c r="P107" s="435">
        <f t="shared" si="80"/>
        <v>2</v>
      </c>
      <c r="Q107" s="435">
        <f t="shared" si="80"/>
        <v>3</v>
      </c>
      <c r="R107" s="435">
        <f t="shared" si="80"/>
        <v>5</v>
      </c>
      <c r="S107" s="435">
        <f t="shared" si="80"/>
        <v>7</v>
      </c>
      <c r="T107" s="435">
        <f t="shared" si="80"/>
        <v>9</v>
      </c>
      <c r="U107" s="435">
        <f t="shared" si="80"/>
        <v>13</v>
      </c>
      <c r="V107" s="435">
        <f t="shared" si="80"/>
        <v>17</v>
      </c>
      <c r="W107" s="435">
        <f t="shared" si="80"/>
        <v>24</v>
      </c>
      <c r="X107" s="435">
        <f t="shared" si="80"/>
        <v>34</v>
      </c>
      <c r="Y107" s="435">
        <f t="shared" si="80"/>
        <v>46</v>
      </c>
      <c r="Z107" s="435">
        <f t="shared" si="80"/>
        <v>59</v>
      </c>
      <c r="AA107" s="435">
        <f t="shared" si="80"/>
        <v>75</v>
      </c>
      <c r="AB107" s="435">
        <f t="shared" si="80"/>
        <v>93</v>
      </c>
      <c r="AC107" s="435">
        <f t="shared" si="80"/>
        <v>110</v>
      </c>
      <c r="AD107" s="435">
        <f t="shared" si="80"/>
        <v>124</v>
      </c>
      <c r="AE107" s="435">
        <f t="shared" si="80"/>
        <v>125</v>
      </c>
      <c r="AF107" s="435">
        <f t="shared" si="80"/>
        <v>125</v>
      </c>
      <c r="AG107" s="435">
        <f t="shared" si="80"/>
        <v>125</v>
      </c>
      <c r="AH107" s="435">
        <f t="shared" si="80"/>
        <v>125</v>
      </c>
      <c r="AI107" s="435">
        <f t="shared" si="80"/>
        <v>125</v>
      </c>
      <c r="AJ107" s="435">
        <f t="shared" si="80"/>
        <v>125</v>
      </c>
      <c r="AK107" s="435">
        <f t="shared" si="80"/>
        <v>125</v>
      </c>
      <c r="AL107" s="435">
        <f t="shared" si="80"/>
        <v>125</v>
      </c>
      <c r="AM107" s="435">
        <f t="shared" si="80"/>
        <v>125</v>
      </c>
      <c r="AN107" s="435">
        <f t="shared" si="80"/>
        <v>125</v>
      </c>
      <c r="AO107" s="90" t="s">
        <v>991</v>
      </c>
      <c r="AP107" s="90"/>
      <c r="AQ107" s="90"/>
      <c r="AR107" s="90"/>
      <c r="AS107" s="90"/>
      <c r="AT107" s="90"/>
      <c r="AU107" s="90"/>
      <c r="AV107" s="90"/>
      <c r="AW107" s="90"/>
      <c r="AX107" s="90"/>
      <c r="AY107" s="90"/>
      <c r="AZ107" s="90"/>
      <c r="BA107" s="90"/>
      <c r="BB107" s="90"/>
      <c r="BC107" s="90"/>
      <c r="BD107" s="90"/>
      <c r="BE107" s="90"/>
      <c r="BF107" s="90"/>
      <c r="BG107" s="90"/>
      <c r="BH107" s="90"/>
      <c r="BI107" s="90"/>
    </row>
    <row r="108" ht="12.75" customHeight="1">
      <c r="A108" s="148"/>
      <c r="B108" s="362" t="s">
        <v>992</v>
      </c>
      <c r="C108" s="148" t="s">
        <v>309</v>
      </c>
      <c r="D108" s="440" t="s">
        <v>127</v>
      </c>
      <c r="E108" s="441">
        <v>100000.0</v>
      </c>
      <c r="F108" s="442"/>
      <c r="G108" s="442"/>
      <c r="H108" s="438">
        <v>8.01</v>
      </c>
      <c r="I108" s="433" t="s">
        <v>124</v>
      </c>
      <c r="J108" s="443"/>
      <c r="K108" s="435">
        <f t="shared" ref="K108:AN108" si="81">IF($F108="",IF(K109/$H108&lt;0.5,0,ROUNDUP(K109/$H108,0)),IF(K$32&lt;$F108,0,1)+ROUNDDOWN(SUM(K109)/$H108,0))</f>
        <v>0</v>
      </c>
      <c r="L108" s="435">
        <f t="shared" si="81"/>
        <v>0</v>
      </c>
      <c r="M108" s="435">
        <f t="shared" si="81"/>
        <v>0</v>
      </c>
      <c r="N108" s="435">
        <f t="shared" si="81"/>
        <v>0</v>
      </c>
      <c r="O108" s="435">
        <f t="shared" si="81"/>
        <v>0</v>
      </c>
      <c r="P108" s="435">
        <f t="shared" si="81"/>
        <v>0</v>
      </c>
      <c r="Q108" s="435">
        <f t="shared" si="81"/>
        <v>0</v>
      </c>
      <c r="R108" s="435">
        <f t="shared" si="81"/>
        <v>0</v>
      </c>
      <c r="S108" s="435">
        <f t="shared" si="81"/>
        <v>0</v>
      </c>
      <c r="T108" s="435">
        <f t="shared" si="81"/>
        <v>0</v>
      </c>
      <c r="U108" s="435">
        <f t="shared" si="81"/>
        <v>0</v>
      </c>
      <c r="V108" s="435">
        <f t="shared" si="81"/>
        <v>0</v>
      </c>
      <c r="W108" s="435">
        <f t="shared" si="81"/>
        <v>1</v>
      </c>
      <c r="X108" s="435">
        <f t="shared" si="81"/>
        <v>1</v>
      </c>
      <c r="Y108" s="435">
        <f t="shared" si="81"/>
        <v>2</v>
      </c>
      <c r="Z108" s="435">
        <f t="shared" si="81"/>
        <v>2</v>
      </c>
      <c r="AA108" s="435">
        <f t="shared" si="81"/>
        <v>2</v>
      </c>
      <c r="AB108" s="435">
        <f t="shared" si="81"/>
        <v>3</v>
      </c>
      <c r="AC108" s="435">
        <f t="shared" si="81"/>
        <v>3</v>
      </c>
      <c r="AD108" s="435">
        <f t="shared" si="81"/>
        <v>3</v>
      </c>
      <c r="AE108" s="435">
        <f t="shared" si="81"/>
        <v>3</v>
      </c>
      <c r="AF108" s="435">
        <f t="shared" si="81"/>
        <v>3</v>
      </c>
      <c r="AG108" s="435">
        <f t="shared" si="81"/>
        <v>3</v>
      </c>
      <c r="AH108" s="435">
        <f t="shared" si="81"/>
        <v>3</v>
      </c>
      <c r="AI108" s="435">
        <f t="shared" si="81"/>
        <v>3</v>
      </c>
      <c r="AJ108" s="435">
        <f t="shared" si="81"/>
        <v>3</v>
      </c>
      <c r="AK108" s="435">
        <f t="shared" si="81"/>
        <v>3</v>
      </c>
      <c r="AL108" s="435">
        <f t="shared" si="81"/>
        <v>3</v>
      </c>
      <c r="AM108" s="435">
        <f t="shared" si="81"/>
        <v>3</v>
      </c>
      <c r="AN108" s="435">
        <f t="shared" si="81"/>
        <v>3</v>
      </c>
      <c r="AO108" s="90" t="s">
        <v>993</v>
      </c>
      <c r="AP108" s="90"/>
      <c r="AQ108" s="90"/>
      <c r="AR108" s="90"/>
      <c r="AS108" s="90"/>
      <c r="AT108" s="90"/>
      <c r="AU108" s="90"/>
      <c r="AV108" s="90"/>
      <c r="AW108" s="90"/>
      <c r="AX108" s="90"/>
      <c r="AY108" s="90"/>
      <c r="AZ108" s="90"/>
      <c r="BA108" s="90"/>
      <c r="BB108" s="90"/>
      <c r="BC108" s="90"/>
      <c r="BD108" s="90"/>
      <c r="BE108" s="90"/>
      <c r="BF108" s="90"/>
      <c r="BG108" s="90"/>
      <c r="BH108" s="90"/>
      <c r="BI108" s="90"/>
    </row>
    <row r="109" ht="12.75" customHeight="1">
      <c r="A109" s="148"/>
      <c r="B109" s="362" t="s">
        <v>994</v>
      </c>
      <c r="C109" s="148" t="s">
        <v>309</v>
      </c>
      <c r="D109" s="440" t="s">
        <v>126</v>
      </c>
      <c r="E109" s="441">
        <v>80000.0</v>
      </c>
      <c r="F109" s="442">
        <v>2014.0</v>
      </c>
      <c r="G109" s="442"/>
      <c r="H109" s="438">
        <v>8.01</v>
      </c>
      <c r="I109" s="433" t="s">
        <v>124</v>
      </c>
      <c r="J109" s="443"/>
      <c r="K109" s="435">
        <f t="shared" ref="K109:AN109" si="82">IF($F109="",IF(SUM(K110:K112)/$H109&lt;0.5,0,ROUNDUP(SUM(K110:K112)/$H109,0)),IF(K$32&lt;$F109,0,1)+ROUNDDOWN(SUM(K110:K112)/$H109,0))</f>
        <v>0</v>
      </c>
      <c r="L109" s="435">
        <f t="shared" si="82"/>
        <v>0</v>
      </c>
      <c r="M109" s="435">
        <f t="shared" si="82"/>
        <v>0</v>
      </c>
      <c r="N109" s="435">
        <f t="shared" si="82"/>
        <v>1</v>
      </c>
      <c r="O109" s="435">
        <f t="shared" si="82"/>
        <v>1</v>
      </c>
      <c r="P109" s="435">
        <f t="shared" si="82"/>
        <v>1</v>
      </c>
      <c r="Q109" s="435">
        <f t="shared" si="82"/>
        <v>1</v>
      </c>
      <c r="R109" s="435">
        <f t="shared" si="82"/>
        <v>1</v>
      </c>
      <c r="S109" s="435">
        <f t="shared" si="82"/>
        <v>2</v>
      </c>
      <c r="T109" s="435">
        <f t="shared" si="82"/>
        <v>2</v>
      </c>
      <c r="U109" s="435">
        <f t="shared" si="82"/>
        <v>3</v>
      </c>
      <c r="V109" s="435">
        <f t="shared" si="82"/>
        <v>3</v>
      </c>
      <c r="W109" s="435">
        <f t="shared" si="82"/>
        <v>5</v>
      </c>
      <c r="X109" s="435">
        <f t="shared" si="82"/>
        <v>6</v>
      </c>
      <c r="Y109" s="435">
        <f t="shared" si="82"/>
        <v>9</v>
      </c>
      <c r="Z109" s="435">
        <f t="shared" si="82"/>
        <v>11</v>
      </c>
      <c r="AA109" s="435">
        <f t="shared" si="82"/>
        <v>14</v>
      </c>
      <c r="AB109" s="435">
        <f t="shared" si="82"/>
        <v>17</v>
      </c>
      <c r="AC109" s="435">
        <f t="shared" si="82"/>
        <v>20</v>
      </c>
      <c r="AD109" s="435">
        <f t="shared" si="82"/>
        <v>22</v>
      </c>
      <c r="AE109" s="435">
        <f t="shared" si="82"/>
        <v>22</v>
      </c>
      <c r="AF109" s="435">
        <f t="shared" si="82"/>
        <v>22</v>
      </c>
      <c r="AG109" s="435">
        <f t="shared" si="82"/>
        <v>22</v>
      </c>
      <c r="AH109" s="435">
        <f t="shared" si="82"/>
        <v>22</v>
      </c>
      <c r="AI109" s="435">
        <f t="shared" si="82"/>
        <v>22</v>
      </c>
      <c r="AJ109" s="435">
        <f t="shared" si="82"/>
        <v>22</v>
      </c>
      <c r="AK109" s="435">
        <f t="shared" si="82"/>
        <v>22</v>
      </c>
      <c r="AL109" s="435">
        <f t="shared" si="82"/>
        <v>22</v>
      </c>
      <c r="AM109" s="435">
        <f t="shared" si="82"/>
        <v>22</v>
      </c>
      <c r="AN109" s="435">
        <f t="shared" si="82"/>
        <v>22</v>
      </c>
      <c r="AO109" s="90" t="s">
        <v>995</v>
      </c>
      <c r="AP109" s="90"/>
      <c r="AQ109" s="90"/>
      <c r="AR109" s="90"/>
      <c r="AS109" s="90"/>
      <c r="AT109" s="90"/>
      <c r="AU109" s="90"/>
      <c r="AV109" s="90"/>
      <c r="AW109" s="90"/>
      <c r="AX109" s="90"/>
      <c r="AY109" s="90"/>
      <c r="AZ109" s="90"/>
      <c r="BA109" s="90"/>
      <c r="BB109" s="90"/>
      <c r="BC109" s="90"/>
      <c r="BD109" s="90"/>
      <c r="BE109" s="90"/>
      <c r="BF109" s="90"/>
      <c r="BG109" s="90"/>
      <c r="BH109" s="90"/>
      <c r="BI109" s="90"/>
    </row>
    <row r="110" ht="12.75" customHeight="1">
      <c r="A110" s="148"/>
      <c r="B110" s="362" t="s">
        <v>996</v>
      </c>
      <c r="C110" s="148" t="s">
        <v>309</v>
      </c>
      <c r="D110" s="440" t="s">
        <v>124</v>
      </c>
      <c r="E110" s="441">
        <v>60000.0</v>
      </c>
      <c r="F110" s="442">
        <v>2011.0</v>
      </c>
      <c r="G110" s="442"/>
      <c r="H110" s="438">
        <v>20.01</v>
      </c>
      <c r="I110" s="433" t="s">
        <v>48</v>
      </c>
      <c r="J110" s="443"/>
      <c r="K110" s="435">
        <f t="shared" ref="K110:AN110" si="83">IF($F110="",IF(K$4/$H110&lt;0.5,0,ROUNDUP(K$4/$H110,0)),IF(K$32&lt;$F110,0,1)+ROUNDDOWN((K$4)/$H110,0))</f>
        <v>1</v>
      </c>
      <c r="L110" s="435">
        <f t="shared" si="83"/>
        <v>1</v>
      </c>
      <c r="M110" s="435">
        <f t="shared" si="83"/>
        <v>1</v>
      </c>
      <c r="N110" s="435">
        <f t="shared" si="83"/>
        <v>1</v>
      </c>
      <c r="O110" s="435">
        <f t="shared" si="83"/>
        <v>2</v>
      </c>
      <c r="P110" s="435">
        <f t="shared" si="83"/>
        <v>2</v>
      </c>
      <c r="Q110" s="435">
        <f t="shared" si="83"/>
        <v>3</v>
      </c>
      <c r="R110" s="435">
        <f t="shared" si="83"/>
        <v>5</v>
      </c>
      <c r="S110" s="435">
        <f t="shared" si="83"/>
        <v>7</v>
      </c>
      <c r="T110" s="435">
        <f t="shared" si="83"/>
        <v>9</v>
      </c>
      <c r="U110" s="435">
        <f t="shared" si="83"/>
        <v>13</v>
      </c>
      <c r="V110" s="435">
        <f t="shared" si="83"/>
        <v>17</v>
      </c>
      <c r="W110" s="435">
        <f t="shared" si="83"/>
        <v>24</v>
      </c>
      <c r="X110" s="435">
        <f t="shared" si="83"/>
        <v>34</v>
      </c>
      <c r="Y110" s="435">
        <f t="shared" si="83"/>
        <v>46</v>
      </c>
      <c r="Z110" s="435">
        <f t="shared" si="83"/>
        <v>59</v>
      </c>
      <c r="AA110" s="435">
        <f t="shared" si="83"/>
        <v>75</v>
      </c>
      <c r="AB110" s="435">
        <f t="shared" si="83"/>
        <v>93</v>
      </c>
      <c r="AC110" s="435">
        <f t="shared" si="83"/>
        <v>110</v>
      </c>
      <c r="AD110" s="435">
        <f t="shared" si="83"/>
        <v>124</v>
      </c>
      <c r="AE110" s="435">
        <f t="shared" si="83"/>
        <v>125</v>
      </c>
      <c r="AF110" s="435">
        <f t="shared" si="83"/>
        <v>125</v>
      </c>
      <c r="AG110" s="435">
        <f t="shared" si="83"/>
        <v>125</v>
      </c>
      <c r="AH110" s="435">
        <f t="shared" si="83"/>
        <v>125</v>
      </c>
      <c r="AI110" s="435">
        <f t="shared" si="83"/>
        <v>125</v>
      </c>
      <c r="AJ110" s="435">
        <f t="shared" si="83"/>
        <v>125</v>
      </c>
      <c r="AK110" s="435">
        <f t="shared" si="83"/>
        <v>125</v>
      </c>
      <c r="AL110" s="435">
        <f t="shared" si="83"/>
        <v>125</v>
      </c>
      <c r="AM110" s="435">
        <f t="shared" si="83"/>
        <v>125</v>
      </c>
      <c r="AN110" s="435">
        <f t="shared" si="83"/>
        <v>125</v>
      </c>
      <c r="AO110" s="90" t="s">
        <v>997</v>
      </c>
      <c r="AP110" s="90"/>
      <c r="AQ110" s="90"/>
      <c r="AR110" s="90"/>
      <c r="AS110" s="90"/>
      <c r="AT110" s="90"/>
      <c r="AU110" s="90"/>
      <c r="AV110" s="90"/>
      <c r="AW110" s="90"/>
      <c r="AX110" s="90"/>
      <c r="AY110" s="90"/>
      <c r="AZ110" s="90"/>
      <c r="BA110" s="90"/>
      <c r="BB110" s="90"/>
      <c r="BC110" s="90"/>
      <c r="BD110" s="90"/>
      <c r="BE110" s="90"/>
      <c r="BF110" s="90"/>
      <c r="BG110" s="90"/>
      <c r="BH110" s="90"/>
      <c r="BI110" s="90"/>
    </row>
    <row r="111" ht="12.75" customHeight="1">
      <c r="A111" s="148"/>
      <c r="B111" s="362" t="s">
        <v>998</v>
      </c>
      <c r="C111" s="148" t="s">
        <v>309</v>
      </c>
      <c r="D111" s="440" t="s">
        <v>124</v>
      </c>
      <c r="E111" s="441">
        <v>60000.0</v>
      </c>
      <c r="F111" s="442">
        <v>2015.0</v>
      </c>
      <c r="G111" s="442"/>
      <c r="H111" s="438">
        <v>50.01</v>
      </c>
      <c r="I111" s="433" t="s">
        <v>48</v>
      </c>
      <c r="J111" s="443"/>
      <c r="K111" s="435">
        <f t="shared" ref="K111:AN111" si="84">IF($F111="",IF(K$4/$H111&lt;0.5,0,ROUNDUP(K$4/$H111,0)),IF(K$32&lt;$F111,0,1)+ROUNDDOWN((K$4)/$H111,0))</f>
        <v>0</v>
      </c>
      <c r="L111" s="435">
        <f t="shared" si="84"/>
        <v>0</v>
      </c>
      <c r="M111" s="435">
        <f t="shared" si="84"/>
        <v>0</v>
      </c>
      <c r="N111" s="435">
        <f t="shared" si="84"/>
        <v>0</v>
      </c>
      <c r="O111" s="435">
        <f t="shared" si="84"/>
        <v>1</v>
      </c>
      <c r="P111" s="435">
        <f t="shared" si="84"/>
        <v>1</v>
      </c>
      <c r="Q111" s="435">
        <f t="shared" si="84"/>
        <v>2</v>
      </c>
      <c r="R111" s="435">
        <f t="shared" si="84"/>
        <v>2</v>
      </c>
      <c r="S111" s="435">
        <f t="shared" si="84"/>
        <v>3</v>
      </c>
      <c r="T111" s="435">
        <f t="shared" si="84"/>
        <v>4</v>
      </c>
      <c r="U111" s="435">
        <f t="shared" si="84"/>
        <v>5</v>
      </c>
      <c r="V111" s="435">
        <f t="shared" si="84"/>
        <v>7</v>
      </c>
      <c r="W111" s="435">
        <f t="shared" si="84"/>
        <v>10</v>
      </c>
      <c r="X111" s="435">
        <f t="shared" si="84"/>
        <v>14</v>
      </c>
      <c r="Y111" s="435">
        <f t="shared" si="84"/>
        <v>19</v>
      </c>
      <c r="Z111" s="435">
        <f t="shared" si="84"/>
        <v>24</v>
      </c>
      <c r="AA111" s="435">
        <f t="shared" si="84"/>
        <v>30</v>
      </c>
      <c r="AB111" s="435">
        <f t="shared" si="84"/>
        <v>37</v>
      </c>
      <c r="AC111" s="435">
        <f t="shared" si="84"/>
        <v>44</v>
      </c>
      <c r="AD111" s="435">
        <f t="shared" si="84"/>
        <v>50</v>
      </c>
      <c r="AE111" s="435">
        <f t="shared" si="84"/>
        <v>50</v>
      </c>
      <c r="AF111" s="435">
        <f t="shared" si="84"/>
        <v>50</v>
      </c>
      <c r="AG111" s="435">
        <f t="shared" si="84"/>
        <v>50</v>
      </c>
      <c r="AH111" s="435">
        <f t="shared" si="84"/>
        <v>50</v>
      </c>
      <c r="AI111" s="435">
        <f t="shared" si="84"/>
        <v>50</v>
      </c>
      <c r="AJ111" s="435">
        <f t="shared" si="84"/>
        <v>50</v>
      </c>
      <c r="AK111" s="435">
        <f t="shared" si="84"/>
        <v>50</v>
      </c>
      <c r="AL111" s="435">
        <f t="shared" si="84"/>
        <v>50</v>
      </c>
      <c r="AM111" s="435">
        <f t="shared" si="84"/>
        <v>50</v>
      </c>
      <c r="AN111" s="435">
        <f t="shared" si="84"/>
        <v>50</v>
      </c>
      <c r="AO111" s="90" t="s">
        <v>999</v>
      </c>
      <c r="AP111" s="90"/>
      <c r="AQ111" s="90"/>
      <c r="AR111" s="90"/>
      <c r="AS111" s="90"/>
      <c r="AT111" s="90"/>
      <c r="AU111" s="90"/>
      <c r="AV111" s="90"/>
      <c r="AW111" s="90"/>
      <c r="AX111" s="90"/>
      <c r="AY111" s="90"/>
      <c r="AZ111" s="90"/>
      <c r="BA111" s="90"/>
      <c r="BB111" s="90"/>
      <c r="BC111" s="90"/>
      <c r="BD111" s="90"/>
      <c r="BE111" s="90"/>
      <c r="BF111" s="90"/>
      <c r="BG111" s="90"/>
      <c r="BH111" s="90"/>
      <c r="BI111" s="90"/>
    </row>
    <row r="112" ht="12.75" customHeight="1">
      <c r="A112" s="148"/>
      <c r="B112" s="362"/>
      <c r="C112" s="148"/>
      <c r="D112" s="440"/>
      <c r="E112" s="441"/>
      <c r="F112" s="442"/>
      <c r="G112" s="442"/>
      <c r="H112" s="438"/>
      <c r="I112" s="433"/>
      <c r="J112" s="443"/>
      <c r="K112" s="435"/>
      <c r="L112" s="435"/>
      <c r="M112" s="435"/>
      <c r="N112" s="435"/>
      <c r="O112" s="435"/>
      <c r="P112" s="435"/>
      <c r="Q112" s="435"/>
      <c r="R112" s="435"/>
      <c r="S112" s="435"/>
      <c r="T112" s="435"/>
      <c r="U112" s="435"/>
      <c r="V112" s="435"/>
      <c r="W112" s="435"/>
      <c r="X112" s="435"/>
      <c r="Y112" s="435"/>
      <c r="Z112" s="435"/>
      <c r="AA112" s="435"/>
      <c r="AB112" s="435"/>
      <c r="AC112" s="435"/>
      <c r="AD112" s="435"/>
      <c r="AE112" s="435"/>
      <c r="AF112" s="435"/>
      <c r="AG112" s="435"/>
      <c r="AH112" s="435"/>
      <c r="AI112" s="435"/>
      <c r="AJ112" s="435"/>
      <c r="AK112" s="435"/>
      <c r="AL112" s="435"/>
      <c r="AM112" s="435"/>
      <c r="AN112" s="435"/>
      <c r="AO112" s="90"/>
      <c r="AP112" s="90"/>
      <c r="AQ112" s="90"/>
      <c r="AR112" s="90"/>
      <c r="AS112" s="90"/>
      <c r="AT112" s="90"/>
      <c r="AU112" s="90"/>
      <c r="AV112" s="90"/>
      <c r="AW112" s="90"/>
      <c r="AX112" s="90"/>
      <c r="AY112" s="90"/>
      <c r="AZ112" s="90"/>
      <c r="BA112" s="90"/>
      <c r="BB112" s="90"/>
      <c r="BC112" s="90"/>
      <c r="BD112" s="90"/>
      <c r="BE112" s="90"/>
      <c r="BF112" s="90"/>
      <c r="BG112" s="90"/>
      <c r="BH112" s="90"/>
      <c r="BI112" s="90"/>
    </row>
    <row r="113" ht="12.75" customHeight="1">
      <c r="A113" s="148"/>
      <c r="B113" s="362"/>
      <c r="C113" s="148"/>
      <c r="D113" s="440"/>
      <c r="E113" s="441"/>
      <c r="F113" s="442"/>
      <c r="G113" s="442"/>
      <c r="H113" s="438"/>
      <c r="I113" s="433"/>
      <c r="J113" s="443"/>
      <c r="K113" s="435"/>
      <c r="L113" s="435"/>
      <c r="M113" s="435"/>
      <c r="N113" s="435"/>
      <c r="O113" s="435"/>
      <c r="P113" s="435"/>
      <c r="Q113" s="435"/>
      <c r="R113" s="435"/>
      <c r="S113" s="435"/>
      <c r="T113" s="435"/>
      <c r="U113" s="435"/>
      <c r="V113" s="435"/>
      <c r="W113" s="435"/>
      <c r="X113" s="435"/>
      <c r="Y113" s="435"/>
      <c r="Z113" s="435"/>
      <c r="AA113" s="435"/>
      <c r="AB113" s="435"/>
      <c r="AC113" s="435"/>
      <c r="AD113" s="435"/>
      <c r="AE113" s="435"/>
      <c r="AF113" s="435"/>
      <c r="AG113" s="435"/>
      <c r="AH113" s="435"/>
      <c r="AI113" s="435"/>
      <c r="AJ113" s="435"/>
      <c r="AK113" s="435"/>
      <c r="AL113" s="435"/>
      <c r="AM113" s="435"/>
      <c r="AN113" s="435"/>
      <c r="AO113" s="90"/>
      <c r="AP113" s="90"/>
      <c r="AQ113" s="90"/>
      <c r="AR113" s="90"/>
      <c r="AS113" s="90"/>
      <c r="AT113" s="90"/>
      <c r="AU113" s="90"/>
      <c r="AV113" s="90"/>
      <c r="AW113" s="90"/>
      <c r="AX113" s="90"/>
      <c r="AY113" s="90"/>
      <c r="AZ113" s="90"/>
      <c r="BA113" s="90"/>
      <c r="BB113" s="90"/>
      <c r="BC113" s="90"/>
      <c r="BD113" s="90"/>
      <c r="BE113" s="90"/>
      <c r="BF113" s="90"/>
      <c r="BG113" s="90"/>
      <c r="BH113" s="90"/>
      <c r="BI113" s="90"/>
    </row>
    <row r="114" ht="12.75" customHeight="1">
      <c r="A114" s="148"/>
      <c r="B114" s="362" t="s">
        <v>1000</v>
      </c>
      <c r="C114" s="148" t="s">
        <v>310</v>
      </c>
      <c r="D114" s="440" t="s">
        <v>127</v>
      </c>
      <c r="E114" s="441">
        <v>100000.0</v>
      </c>
      <c r="F114" s="442">
        <v>2011.0</v>
      </c>
      <c r="G114" s="442"/>
      <c r="H114" s="438">
        <v>8.01</v>
      </c>
      <c r="I114" s="433" t="s">
        <v>124</v>
      </c>
      <c r="J114" s="443"/>
      <c r="K114" s="435">
        <f t="shared" ref="K114:AN114" si="85">IF($F114="",IF(SUM(K115,K117,K119)/$H114&lt;0.5,0,ROUNDUP(SUM(K115,K117,K119)/$H114,0)),IF(K$32&lt;$F114,0,1)+ROUNDDOWN(SUM(K115,K117,K119)/$H114,0))</f>
        <v>1</v>
      </c>
      <c r="L114" s="435">
        <f t="shared" si="85"/>
        <v>1</v>
      </c>
      <c r="M114" s="435">
        <f t="shared" si="85"/>
        <v>1</v>
      </c>
      <c r="N114" s="435">
        <f t="shared" si="85"/>
        <v>1</v>
      </c>
      <c r="O114" s="435">
        <f t="shared" si="85"/>
        <v>1</v>
      </c>
      <c r="P114" s="435">
        <f t="shared" si="85"/>
        <v>1</v>
      </c>
      <c r="Q114" s="435">
        <f t="shared" si="85"/>
        <v>1</v>
      </c>
      <c r="R114" s="435">
        <f t="shared" si="85"/>
        <v>1</v>
      </c>
      <c r="S114" s="435">
        <f t="shared" si="85"/>
        <v>1</v>
      </c>
      <c r="T114" s="435">
        <f t="shared" si="85"/>
        <v>1</v>
      </c>
      <c r="U114" s="435">
        <f t="shared" si="85"/>
        <v>1</v>
      </c>
      <c r="V114" s="435">
        <f t="shared" si="85"/>
        <v>1</v>
      </c>
      <c r="W114" s="435">
        <f t="shared" si="85"/>
        <v>1</v>
      </c>
      <c r="X114" s="435">
        <f t="shared" si="85"/>
        <v>2</v>
      </c>
      <c r="Y114" s="435">
        <f t="shared" si="85"/>
        <v>2</v>
      </c>
      <c r="Z114" s="435">
        <f t="shared" si="85"/>
        <v>2</v>
      </c>
      <c r="AA114" s="435">
        <f t="shared" si="85"/>
        <v>2</v>
      </c>
      <c r="AB114" s="435">
        <f t="shared" si="85"/>
        <v>2</v>
      </c>
      <c r="AC114" s="435">
        <f t="shared" si="85"/>
        <v>1</v>
      </c>
      <c r="AD114" s="435">
        <f t="shared" si="85"/>
        <v>1</v>
      </c>
      <c r="AE114" s="435">
        <f t="shared" si="85"/>
        <v>1</v>
      </c>
      <c r="AF114" s="435">
        <f t="shared" si="85"/>
        <v>1</v>
      </c>
      <c r="AG114" s="435">
        <f t="shared" si="85"/>
        <v>1</v>
      </c>
      <c r="AH114" s="435">
        <f t="shared" si="85"/>
        <v>1</v>
      </c>
      <c r="AI114" s="435">
        <f t="shared" si="85"/>
        <v>1</v>
      </c>
      <c r="AJ114" s="435">
        <f t="shared" si="85"/>
        <v>1</v>
      </c>
      <c r="AK114" s="435">
        <f t="shared" si="85"/>
        <v>1</v>
      </c>
      <c r="AL114" s="435">
        <f t="shared" si="85"/>
        <v>1</v>
      </c>
      <c r="AM114" s="435">
        <f t="shared" si="85"/>
        <v>1</v>
      </c>
      <c r="AN114" s="435">
        <f t="shared" si="85"/>
        <v>1</v>
      </c>
      <c r="AO114" s="90"/>
      <c r="AP114" s="90"/>
      <c r="AQ114" s="90"/>
      <c r="AR114" s="90"/>
      <c r="AS114" s="90"/>
      <c r="AT114" s="90"/>
      <c r="AU114" s="90"/>
      <c r="AV114" s="90"/>
      <c r="AW114" s="90"/>
      <c r="AX114" s="90"/>
      <c r="AY114" s="90"/>
      <c r="AZ114" s="90"/>
      <c r="BA114" s="90"/>
      <c r="BB114" s="90"/>
      <c r="BC114" s="90"/>
      <c r="BD114" s="90"/>
      <c r="BE114" s="90"/>
      <c r="BF114" s="90"/>
      <c r="BG114" s="90"/>
      <c r="BH114" s="90"/>
      <c r="BI114" s="90"/>
    </row>
    <row r="115" ht="12.75" customHeight="1">
      <c r="A115" s="148"/>
      <c r="B115" s="362" t="s">
        <v>1001</v>
      </c>
      <c r="C115" s="148" t="s">
        <v>310</v>
      </c>
      <c r="D115" s="440" t="s">
        <v>126</v>
      </c>
      <c r="E115" s="441">
        <v>80000.0</v>
      </c>
      <c r="F115" s="442"/>
      <c r="G115" s="442"/>
      <c r="H115" s="438">
        <v>8.01</v>
      </c>
      <c r="I115" s="433" t="s">
        <v>124</v>
      </c>
      <c r="J115" s="443"/>
      <c r="K115" s="435">
        <f>IF($F115="",IF(K116/$H115&lt;0.5,0,ROUNDUP(K116/$H115,0)),IF(K$32&lt;$F115,0,1)+ROUNDDOWN(SUM(K116)/$H115,0))</f>
        <v>0</v>
      </c>
      <c r="L115" s="435">
        <f t="shared" ref="L115:AN115" si="86">IF($F115="",0,IF(L$32&lt;$F115,0,1))+MAX(0,ROUNDDOWN(SUM(L116)/$H115,0))</f>
        <v>0</v>
      </c>
      <c r="M115" s="435">
        <f t="shared" si="86"/>
        <v>0</v>
      </c>
      <c r="N115" s="435">
        <f t="shared" si="86"/>
        <v>0</v>
      </c>
      <c r="O115" s="435">
        <f t="shared" si="86"/>
        <v>0</v>
      </c>
      <c r="P115" s="435">
        <f t="shared" si="86"/>
        <v>0</v>
      </c>
      <c r="Q115" s="435">
        <f t="shared" si="86"/>
        <v>0</v>
      </c>
      <c r="R115" s="435">
        <f t="shared" si="86"/>
        <v>1</v>
      </c>
      <c r="S115" s="435">
        <f t="shared" si="86"/>
        <v>1</v>
      </c>
      <c r="T115" s="435">
        <f t="shared" si="86"/>
        <v>1</v>
      </c>
      <c r="U115" s="435">
        <f t="shared" si="86"/>
        <v>2</v>
      </c>
      <c r="V115" s="435">
        <f t="shared" si="86"/>
        <v>4</v>
      </c>
      <c r="W115" s="435">
        <f t="shared" si="86"/>
        <v>5</v>
      </c>
      <c r="X115" s="435">
        <f t="shared" si="86"/>
        <v>6</v>
      </c>
      <c r="Y115" s="435">
        <f t="shared" si="86"/>
        <v>7</v>
      </c>
      <c r="Z115" s="435">
        <f t="shared" si="86"/>
        <v>8</v>
      </c>
      <c r="AA115" s="435">
        <f t="shared" si="86"/>
        <v>8</v>
      </c>
      <c r="AB115" s="435">
        <f t="shared" si="86"/>
        <v>7</v>
      </c>
      <c r="AC115" s="435">
        <f t="shared" si="86"/>
        <v>3</v>
      </c>
      <c r="AD115" s="435">
        <f t="shared" si="86"/>
        <v>0</v>
      </c>
      <c r="AE115" s="435">
        <f t="shared" si="86"/>
        <v>0</v>
      </c>
      <c r="AF115" s="435">
        <f t="shared" si="86"/>
        <v>0</v>
      </c>
      <c r="AG115" s="435">
        <f t="shared" si="86"/>
        <v>0</v>
      </c>
      <c r="AH115" s="435">
        <f t="shared" si="86"/>
        <v>0</v>
      </c>
      <c r="AI115" s="435">
        <f t="shared" si="86"/>
        <v>0</v>
      </c>
      <c r="AJ115" s="435">
        <f t="shared" si="86"/>
        <v>0</v>
      </c>
      <c r="AK115" s="435">
        <f t="shared" si="86"/>
        <v>0</v>
      </c>
      <c r="AL115" s="435">
        <f t="shared" si="86"/>
        <v>0</v>
      </c>
      <c r="AM115" s="435">
        <f t="shared" si="86"/>
        <v>0</v>
      </c>
      <c r="AN115" s="435">
        <f t="shared" si="86"/>
        <v>0</v>
      </c>
      <c r="AO115" s="90" t="s">
        <v>1002</v>
      </c>
      <c r="AP115" s="90"/>
      <c r="AQ115" s="90"/>
      <c r="AR115" s="90"/>
      <c r="AS115" s="90"/>
      <c r="AT115" s="90"/>
      <c r="AU115" s="90"/>
      <c r="AV115" s="90"/>
      <c r="AW115" s="90"/>
      <c r="AX115" s="90"/>
      <c r="AY115" s="90"/>
      <c r="AZ115" s="90"/>
      <c r="BA115" s="90"/>
      <c r="BB115" s="90"/>
      <c r="BC115" s="90"/>
      <c r="BD115" s="90"/>
      <c r="BE115" s="90"/>
      <c r="BF115" s="90"/>
      <c r="BG115" s="90"/>
      <c r="BH115" s="90"/>
      <c r="BI115" s="90"/>
    </row>
    <row r="116" ht="12.75" customHeight="1">
      <c r="A116" s="148"/>
      <c r="B116" s="362" t="s">
        <v>1003</v>
      </c>
      <c r="C116" s="148" t="s">
        <v>310</v>
      </c>
      <c r="D116" s="440" t="s">
        <v>124</v>
      </c>
      <c r="E116" s="441">
        <v>60000.0</v>
      </c>
      <c r="F116" s="442">
        <v>2012.0</v>
      </c>
      <c r="G116" s="442"/>
      <c r="H116" s="438">
        <v>10.01</v>
      </c>
      <c r="I116" s="433" t="s">
        <v>979</v>
      </c>
      <c r="J116" s="443"/>
      <c r="K116" s="435">
        <f>IF($F116="",IF((K$4-J$4)/$H116&lt;0.5,0,ROUNDUP((K$4-J$4)/$H116,0)),IF(K$32&lt;$F116,0,1))+ROUNDDOWN((K$4-J$4)/$H116,0)</f>
        <v>0</v>
      </c>
      <c r="L116" s="435">
        <f t="shared" ref="L116:AN116" si="87">MAX(0,IF($F116="",IF((N$4-L$4)/$H116&lt;0.5,0,ROUNDUP((N$4-L$4)/$H116,0)),IF(L$32&lt;$F116,0,1))+ROUNDDOWN((N$4-L$4)/$H116,0))</f>
        <v>1</v>
      </c>
      <c r="M116" s="435">
        <f t="shared" si="87"/>
        <v>2</v>
      </c>
      <c r="N116" s="435">
        <f t="shared" si="87"/>
        <v>3</v>
      </c>
      <c r="O116" s="435">
        <f t="shared" si="87"/>
        <v>4</v>
      </c>
      <c r="P116" s="435">
        <f t="shared" si="87"/>
        <v>6</v>
      </c>
      <c r="Q116" s="435">
        <f t="shared" si="87"/>
        <v>8</v>
      </c>
      <c r="R116" s="435">
        <f t="shared" si="87"/>
        <v>9</v>
      </c>
      <c r="S116" s="435">
        <f t="shared" si="87"/>
        <v>12</v>
      </c>
      <c r="T116" s="435">
        <f t="shared" si="87"/>
        <v>15</v>
      </c>
      <c r="U116" s="435">
        <f t="shared" si="87"/>
        <v>23</v>
      </c>
      <c r="V116" s="435">
        <f t="shared" si="87"/>
        <v>34</v>
      </c>
      <c r="W116" s="435">
        <f t="shared" si="87"/>
        <v>44</v>
      </c>
      <c r="X116" s="435">
        <f t="shared" si="87"/>
        <v>52</v>
      </c>
      <c r="Y116" s="435">
        <f t="shared" si="87"/>
        <v>60</v>
      </c>
      <c r="Z116" s="435">
        <f t="shared" si="87"/>
        <v>68</v>
      </c>
      <c r="AA116" s="435">
        <f t="shared" si="87"/>
        <v>70</v>
      </c>
      <c r="AB116" s="435">
        <f t="shared" si="87"/>
        <v>62</v>
      </c>
      <c r="AC116" s="435">
        <f t="shared" si="87"/>
        <v>31</v>
      </c>
      <c r="AD116" s="435">
        <f t="shared" si="87"/>
        <v>4</v>
      </c>
      <c r="AE116" s="435">
        <f t="shared" si="87"/>
        <v>1</v>
      </c>
      <c r="AF116" s="435">
        <f t="shared" si="87"/>
        <v>1</v>
      </c>
      <c r="AG116" s="435">
        <f t="shared" si="87"/>
        <v>1</v>
      </c>
      <c r="AH116" s="435">
        <f t="shared" si="87"/>
        <v>1</v>
      </c>
      <c r="AI116" s="435">
        <f t="shared" si="87"/>
        <v>1</v>
      </c>
      <c r="AJ116" s="435">
        <f t="shared" si="87"/>
        <v>1</v>
      </c>
      <c r="AK116" s="435">
        <f t="shared" si="87"/>
        <v>1</v>
      </c>
      <c r="AL116" s="435">
        <f t="shared" si="87"/>
        <v>1</v>
      </c>
      <c r="AM116" s="435">
        <f t="shared" si="87"/>
        <v>0</v>
      </c>
      <c r="AN116" s="435">
        <f t="shared" si="87"/>
        <v>0</v>
      </c>
      <c r="AO116" s="90" t="s">
        <v>1004</v>
      </c>
      <c r="AP116" s="90"/>
      <c r="AQ116" s="90"/>
      <c r="AR116" s="90"/>
      <c r="AS116" s="90"/>
      <c r="AT116" s="90"/>
      <c r="AU116" s="90"/>
      <c r="AV116" s="90"/>
      <c r="AW116" s="90"/>
      <c r="AX116" s="90"/>
      <c r="AY116" s="90"/>
      <c r="AZ116" s="90"/>
      <c r="BA116" s="90"/>
      <c r="BB116" s="90"/>
      <c r="BC116" s="90"/>
      <c r="BD116" s="90"/>
      <c r="BE116" s="90"/>
      <c r="BF116" s="90"/>
      <c r="BG116" s="90"/>
      <c r="BH116" s="90"/>
      <c r="BI116" s="90"/>
    </row>
    <row r="117" ht="12.75" customHeight="1">
      <c r="A117" s="148"/>
      <c r="B117" s="362" t="s">
        <v>1005</v>
      </c>
      <c r="C117" s="148" t="s">
        <v>310</v>
      </c>
      <c r="D117" s="440" t="s">
        <v>126</v>
      </c>
      <c r="E117" s="441">
        <v>80000.0</v>
      </c>
      <c r="F117" s="442">
        <v>2017.0</v>
      </c>
      <c r="G117" s="442"/>
      <c r="H117" s="438">
        <v>8.01</v>
      </c>
      <c r="I117" s="433" t="s">
        <v>124</v>
      </c>
      <c r="J117" s="443"/>
      <c r="K117" s="435">
        <f t="shared" ref="K117:AN117" si="88">IF($F117="",IF(K118/$H117&lt;0.5,0,ROUNDUP(K118/$H117,0)),IF(K$32&lt;$F117,0,1)+ROUNDDOWN(SUM(K118)/$H117,0))</f>
        <v>0</v>
      </c>
      <c r="L117" s="435">
        <f t="shared" si="88"/>
        <v>0</v>
      </c>
      <c r="M117" s="435">
        <f t="shared" si="88"/>
        <v>0</v>
      </c>
      <c r="N117" s="435">
        <f t="shared" si="88"/>
        <v>0</v>
      </c>
      <c r="O117" s="435">
        <f t="shared" si="88"/>
        <v>0</v>
      </c>
      <c r="P117" s="435">
        <f t="shared" si="88"/>
        <v>0</v>
      </c>
      <c r="Q117" s="435">
        <f t="shared" si="88"/>
        <v>2</v>
      </c>
      <c r="R117" s="435">
        <f t="shared" si="88"/>
        <v>2</v>
      </c>
      <c r="S117" s="435">
        <f t="shared" si="88"/>
        <v>2</v>
      </c>
      <c r="T117" s="435">
        <f t="shared" si="88"/>
        <v>1</v>
      </c>
      <c r="U117" s="435">
        <f t="shared" si="88"/>
        <v>1</v>
      </c>
      <c r="V117" s="435">
        <f t="shared" si="88"/>
        <v>1</v>
      </c>
      <c r="W117" s="435">
        <f t="shared" si="88"/>
        <v>1</v>
      </c>
      <c r="X117" s="435">
        <f t="shared" si="88"/>
        <v>1</v>
      </c>
      <c r="Y117" s="435">
        <f t="shared" si="88"/>
        <v>1</v>
      </c>
      <c r="Z117" s="435">
        <f t="shared" si="88"/>
        <v>1</v>
      </c>
      <c r="AA117" s="435">
        <f t="shared" si="88"/>
        <v>1</v>
      </c>
      <c r="AB117" s="435">
        <f t="shared" si="88"/>
        <v>1</v>
      </c>
      <c r="AC117" s="435">
        <f t="shared" si="88"/>
        <v>1</v>
      </c>
      <c r="AD117" s="435">
        <f t="shared" si="88"/>
        <v>1</v>
      </c>
      <c r="AE117" s="435">
        <f t="shared" si="88"/>
        <v>1</v>
      </c>
      <c r="AF117" s="435">
        <f t="shared" si="88"/>
        <v>1</v>
      </c>
      <c r="AG117" s="435">
        <f t="shared" si="88"/>
        <v>1</v>
      </c>
      <c r="AH117" s="435">
        <f t="shared" si="88"/>
        <v>1</v>
      </c>
      <c r="AI117" s="435">
        <f t="shared" si="88"/>
        <v>1</v>
      </c>
      <c r="AJ117" s="435">
        <f t="shared" si="88"/>
        <v>1</v>
      </c>
      <c r="AK117" s="435">
        <f t="shared" si="88"/>
        <v>1</v>
      </c>
      <c r="AL117" s="435">
        <f t="shared" si="88"/>
        <v>1</v>
      </c>
      <c r="AM117" s="435">
        <f t="shared" si="88"/>
        <v>1</v>
      </c>
      <c r="AN117" s="435">
        <f t="shared" si="88"/>
        <v>1</v>
      </c>
      <c r="AO117" s="90" t="s">
        <v>1006</v>
      </c>
      <c r="AP117" s="90"/>
      <c r="AQ117" s="90"/>
      <c r="AR117" s="90"/>
      <c r="AS117" s="90"/>
      <c r="AT117" s="90"/>
      <c r="AU117" s="90"/>
      <c r="AV117" s="90"/>
      <c r="AW117" s="90"/>
      <c r="AX117" s="90"/>
      <c r="AY117" s="90"/>
      <c r="AZ117" s="90"/>
      <c r="BA117" s="90"/>
      <c r="BB117" s="90"/>
      <c r="BC117" s="90"/>
      <c r="BD117" s="90"/>
      <c r="BE117" s="90"/>
      <c r="BF117" s="90"/>
      <c r="BG117" s="90"/>
      <c r="BH117" s="90"/>
      <c r="BI117" s="90"/>
    </row>
    <row r="118" ht="12.75" customHeight="1">
      <c r="A118" s="148"/>
      <c r="B118" s="362" t="s">
        <v>1007</v>
      </c>
      <c r="C118" s="148" t="s">
        <v>310</v>
      </c>
      <c r="D118" s="440" t="s">
        <v>124</v>
      </c>
      <c r="E118" s="441">
        <v>60000.0</v>
      </c>
      <c r="F118" s="442">
        <v>2011.0</v>
      </c>
      <c r="G118" s="442"/>
      <c r="H118" s="438">
        <v>3.01</v>
      </c>
      <c r="I118" s="433" t="s">
        <v>963</v>
      </c>
      <c r="J118" s="443"/>
      <c r="K118" s="435">
        <f t="shared" ref="K118:AN118" si="89">MAX(0,IF($F118="",IF((N$6-K$6)/$H118&lt;0.5,0,ROUNDUP((N$6-K$6)/$H118,0)),IF(K$32&lt;$F118,0,1))+ROUNDDOWN((N$6-K$6)/$H118,0))</f>
        <v>1</v>
      </c>
      <c r="L118" s="435">
        <f t="shared" si="89"/>
        <v>1</v>
      </c>
      <c r="M118" s="435">
        <f t="shared" si="89"/>
        <v>1</v>
      </c>
      <c r="N118" s="435">
        <f t="shared" si="89"/>
        <v>2</v>
      </c>
      <c r="O118" s="435">
        <f t="shared" si="89"/>
        <v>4</v>
      </c>
      <c r="P118" s="435">
        <f t="shared" si="89"/>
        <v>6</v>
      </c>
      <c r="Q118" s="435">
        <f t="shared" si="89"/>
        <v>9</v>
      </c>
      <c r="R118" s="435">
        <f t="shared" si="89"/>
        <v>13</v>
      </c>
      <c r="S118" s="435">
        <f t="shared" si="89"/>
        <v>10</v>
      </c>
      <c r="T118" s="435">
        <f t="shared" si="89"/>
        <v>6</v>
      </c>
      <c r="U118" s="435">
        <f t="shared" si="89"/>
        <v>1</v>
      </c>
      <c r="V118" s="435">
        <f t="shared" si="89"/>
        <v>1</v>
      </c>
      <c r="W118" s="435">
        <f t="shared" si="89"/>
        <v>1</v>
      </c>
      <c r="X118" s="435">
        <f t="shared" si="89"/>
        <v>1</v>
      </c>
      <c r="Y118" s="435">
        <f t="shared" si="89"/>
        <v>1</v>
      </c>
      <c r="Z118" s="435">
        <f t="shared" si="89"/>
        <v>1</v>
      </c>
      <c r="AA118" s="435">
        <f t="shared" si="89"/>
        <v>1</v>
      </c>
      <c r="AB118" s="435">
        <f t="shared" si="89"/>
        <v>1</v>
      </c>
      <c r="AC118" s="435">
        <f t="shared" si="89"/>
        <v>1</v>
      </c>
      <c r="AD118" s="435">
        <f t="shared" si="89"/>
        <v>1</v>
      </c>
      <c r="AE118" s="435">
        <f t="shared" si="89"/>
        <v>1</v>
      </c>
      <c r="AF118" s="435">
        <f t="shared" si="89"/>
        <v>1</v>
      </c>
      <c r="AG118" s="435">
        <f t="shared" si="89"/>
        <v>1</v>
      </c>
      <c r="AH118" s="435">
        <f t="shared" si="89"/>
        <v>1</v>
      </c>
      <c r="AI118" s="435">
        <f t="shared" si="89"/>
        <v>1</v>
      </c>
      <c r="AJ118" s="435">
        <f t="shared" si="89"/>
        <v>1</v>
      </c>
      <c r="AK118" s="435">
        <f t="shared" si="89"/>
        <v>1</v>
      </c>
      <c r="AL118" s="435">
        <f t="shared" si="89"/>
        <v>0</v>
      </c>
      <c r="AM118" s="435">
        <f t="shared" si="89"/>
        <v>0</v>
      </c>
      <c r="AN118" s="435">
        <f t="shared" si="89"/>
        <v>0</v>
      </c>
      <c r="AO118" s="90"/>
      <c r="AP118" s="90"/>
      <c r="AQ118" s="90"/>
      <c r="AR118" s="90"/>
      <c r="AS118" s="90"/>
      <c r="AT118" s="90"/>
      <c r="AU118" s="90"/>
      <c r="AV118" s="90"/>
      <c r="AW118" s="90"/>
      <c r="AX118" s="90"/>
      <c r="AY118" s="90"/>
      <c r="AZ118" s="90"/>
      <c r="BA118" s="90"/>
      <c r="BB118" s="90"/>
      <c r="BC118" s="90"/>
      <c r="BD118" s="90"/>
      <c r="BE118" s="90"/>
      <c r="BF118" s="90"/>
      <c r="BG118" s="90"/>
      <c r="BH118" s="90"/>
      <c r="BI118" s="90"/>
    </row>
    <row r="119" ht="12.75" customHeight="1">
      <c r="A119" s="148"/>
      <c r="B119" s="362" t="s">
        <v>1008</v>
      </c>
      <c r="C119" s="148" t="s">
        <v>310</v>
      </c>
      <c r="D119" s="440" t="s">
        <v>126</v>
      </c>
      <c r="E119" s="441">
        <v>80000.0</v>
      </c>
      <c r="F119" s="442"/>
      <c r="G119" s="442"/>
      <c r="H119" s="438">
        <v>8.01</v>
      </c>
      <c r="I119" s="433" t="s">
        <v>124</v>
      </c>
      <c r="J119" s="443"/>
      <c r="K119" s="435">
        <f t="shared" ref="K119:AN119" si="90">IF($F119="",IF(K120/$H119&lt;0.5,0,ROUNDUP(K120/$H119,0)),IF(K$32&lt;$F119,0,1)+ROUNDDOWN(SUM(K120)/$H119,0))</f>
        <v>0</v>
      </c>
      <c r="L119" s="435">
        <f t="shared" si="90"/>
        <v>0</v>
      </c>
      <c r="M119" s="435">
        <f t="shared" si="90"/>
        <v>0</v>
      </c>
      <c r="N119" s="435">
        <f t="shared" si="90"/>
        <v>0</v>
      </c>
      <c r="O119" s="435">
        <f t="shared" si="90"/>
        <v>0</v>
      </c>
      <c r="P119" s="435">
        <f t="shared" si="90"/>
        <v>0</v>
      </c>
      <c r="Q119" s="435">
        <f t="shared" si="90"/>
        <v>0</v>
      </c>
      <c r="R119" s="435">
        <f t="shared" si="90"/>
        <v>0</v>
      </c>
      <c r="S119" s="435">
        <f t="shared" si="90"/>
        <v>0</v>
      </c>
      <c r="T119" s="435">
        <f t="shared" si="90"/>
        <v>1</v>
      </c>
      <c r="U119" s="435">
        <f t="shared" si="90"/>
        <v>2</v>
      </c>
      <c r="V119" s="435">
        <f t="shared" si="90"/>
        <v>2</v>
      </c>
      <c r="W119" s="435">
        <f t="shared" si="90"/>
        <v>2</v>
      </c>
      <c r="X119" s="435">
        <f t="shared" si="90"/>
        <v>2</v>
      </c>
      <c r="Y119" s="435">
        <f t="shared" si="90"/>
        <v>2</v>
      </c>
      <c r="Z119" s="435">
        <f t="shared" si="90"/>
        <v>2</v>
      </c>
      <c r="AA119" s="435">
        <f t="shared" si="90"/>
        <v>2</v>
      </c>
      <c r="AB119" s="435">
        <f t="shared" si="90"/>
        <v>2</v>
      </c>
      <c r="AC119" s="435">
        <f t="shared" si="90"/>
        <v>2</v>
      </c>
      <c r="AD119" s="435">
        <f t="shared" si="90"/>
        <v>2</v>
      </c>
      <c r="AE119" s="435">
        <f t="shared" si="90"/>
        <v>2</v>
      </c>
      <c r="AF119" s="435">
        <f t="shared" si="90"/>
        <v>2</v>
      </c>
      <c r="AG119" s="435">
        <f t="shared" si="90"/>
        <v>2</v>
      </c>
      <c r="AH119" s="435">
        <f t="shared" si="90"/>
        <v>2</v>
      </c>
      <c r="AI119" s="435">
        <f t="shared" si="90"/>
        <v>2</v>
      </c>
      <c r="AJ119" s="435">
        <f t="shared" si="90"/>
        <v>2</v>
      </c>
      <c r="AK119" s="435">
        <f t="shared" si="90"/>
        <v>2</v>
      </c>
      <c r="AL119" s="435">
        <f t="shared" si="90"/>
        <v>2</v>
      </c>
      <c r="AM119" s="435">
        <f t="shared" si="90"/>
        <v>2</v>
      </c>
      <c r="AN119" s="435">
        <f t="shared" si="90"/>
        <v>2</v>
      </c>
      <c r="AO119" s="90" t="s">
        <v>1009</v>
      </c>
      <c r="AP119" s="90"/>
      <c r="AQ119" s="90"/>
      <c r="AR119" s="90"/>
      <c r="AS119" s="90"/>
      <c r="AT119" s="90"/>
      <c r="AU119" s="90"/>
      <c r="AV119" s="90"/>
      <c r="AW119" s="90"/>
      <c r="AX119" s="90"/>
      <c r="AY119" s="90"/>
      <c r="AZ119" s="90"/>
      <c r="BA119" s="90"/>
      <c r="BB119" s="90"/>
      <c r="BC119" s="90"/>
      <c r="BD119" s="90"/>
      <c r="BE119" s="90"/>
      <c r="BF119" s="90"/>
      <c r="BG119" s="90"/>
      <c r="BH119" s="90"/>
      <c r="BI119" s="90"/>
    </row>
    <row r="120" ht="12.75" customHeight="1">
      <c r="A120" s="148"/>
      <c r="B120" s="362" t="s">
        <v>1010</v>
      </c>
      <c r="C120" s="148" t="s">
        <v>310</v>
      </c>
      <c r="D120" s="440" t="s">
        <v>124</v>
      </c>
      <c r="E120" s="441">
        <v>60000.0</v>
      </c>
      <c r="F120" s="442">
        <v>2014.0</v>
      </c>
      <c r="G120" s="442"/>
      <c r="H120" s="438">
        <v>5.01</v>
      </c>
      <c r="I120" s="433" t="s">
        <v>89</v>
      </c>
      <c r="J120" s="443"/>
      <c r="K120" s="435">
        <f t="shared" ref="K120:AN120" si="91">IF($F120="",IF(K$6/$H120&lt;0.5,0,ROUNDUP(K$6/$H120,0)),IF(K$32&lt;$F120,0,1)+ROUNDDOWN((K$6)/$H120,0))</f>
        <v>0</v>
      </c>
      <c r="L120" s="435">
        <f t="shared" si="91"/>
        <v>0</v>
      </c>
      <c r="M120" s="435">
        <f t="shared" si="91"/>
        <v>0</v>
      </c>
      <c r="N120" s="435">
        <f t="shared" si="91"/>
        <v>1</v>
      </c>
      <c r="O120" s="435">
        <f t="shared" si="91"/>
        <v>1</v>
      </c>
      <c r="P120" s="435">
        <f t="shared" si="91"/>
        <v>1</v>
      </c>
      <c r="Q120" s="435">
        <f t="shared" si="91"/>
        <v>2</v>
      </c>
      <c r="R120" s="435">
        <f t="shared" si="91"/>
        <v>3</v>
      </c>
      <c r="S120" s="435">
        <f t="shared" si="91"/>
        <v>4</v>
      </c>
      <c r="T120" s="435">
        <f t="shared" si="91"/>
        <v>7</v>
      </c>
      <c r="U120" s="435">
        <f t="shared" si="91"/>
        <v>10</v>
      </c>
      <c r="V120" s="435">
        <f t="shared" si="91"/>
        <v>10</v>
      </c>
      <c r="W120" s="435">
        <f t="shared" si="91"/>
        <v>10</v>
      </c>
      <c r="X120" s="435">
        <f t="shared" si="91"/>
        <v>10</v>
      </c>
      <c r="Y120" s="435">
        <f t="shared" si="91"/>
        <v>10</v>
      </c>
      <c r="Z120" s="435">
        <f t="shared" si="91"/>
        <v>10</v>
      </c>
      <c r="AA120" s="435">
        <f t="shared" si="91"/>
        <v>10</v>
      </c>
      <c r="AB120" s="435">
        <f t="shared" si="91"/>
        <v>10</v>
      </c>
      <c r="AC120" s="435">
        <f t="shared" si="91"/>
        <v>10</v>
      </c>
      <c r="AD120" s="435">
        <f t="shared" si="91"/>
        <v>10</v>
      </c>
      <c r="AE120" s="435">
        <f t="shared" si="91"/>
        <v>10</v>
      </c>
      <c r="AF120" s="435">
        <f t="shared" si="91"/>
        <v>10</v>
      </c>
      <c r="AG120" s="435">
        <f t="shared" si="91"/>
        <v>10</v>
      </c>
      <c r="AH120" s="435">
        <f t="shared" si="91"/>
        <v>10</v>
      </c>
      <c r="AI120" s="435">
        <f t="shared" si="91"/>
        <v>10</v>
      </c>
      <c r="AJ120" s="435">
        <f t="shared" si="91"/>
        <v>10</v>
      </c>
      <c r="AK120" s="435">
        <f t="shared" si="91"/>
        <v>10</v>
      </c>
      <c r="AL120" s="435">
        <f t="shared" si="91"/>
        <v>10</v>
      </c>
      <c r="AM120" s="435">
        <f t="shared" si="91"/>
        <v>10</v>
      </c>
      <c r="AN120" s="435">
        <f t="shared" si="91"/>
        <v>10</v>
      </c>
      <c r="AO120" s="90" t="s">
        <v>1011</v>
      </c>
      <c r="AP120" s="90"/>
      <c r="AQ120" s="90"/>
      <c r="AR120" s="90"/>
      <c r="AS120" s="90"/>
      <c r="AT120" s="90"/>
      <c r="AU120" s="90"/>
      <c r="AV120" s="90"/>
      <c r="AW120" s="90"/>
      <c r="AX120" s="90"/>
      <c r="AY120" s="90"/>
      <c r="AZ120" s="90"/>
      <c r="BA120" s="90"/>
      <c r="BB120" s="90"/>
      <c r="BC120" s="90"/>
      <c r="BD120" s="90"/>
      <c r="BE120" s="90"/>
      <c r="BF120" s="90"/>
      <c r="BG120" s="90"/>
      <c r="BH120" s="90"/>
      <c r="BI120" s="90"/>
    </row>
    <row r="121" ht="12.75" customHeight="1">
      <c r="A121" s="148"/>
      <c r="B121" s="148"/>
      <c r="C121" s="148"/>
      <c r="D121" s="440"/>
      <c r="E121" s="441"/>
      <c r="F121" s="442"/>
      <c r="G121" s="442"/>
      <c r="H121" s="444"/>
      <c r="I121" s="442"/>
      <c r="J121" s="443"/>
      <c r="K121" s="445"/>
      <c r="L121" s="445"/>
      <c r="M121" s="445"/>
      <c r="N121" s="445"/>
      <c r="O121" s="445"/>
      <c r="P121" s="445"/>
      <c r="Q121" s="196"/>
      <c r="R121" s="196"/>
      <c r="S121" s="196"/>
      <c r="T121" s="196"/>
      <c r="U121" s="196"/>
      <c r="V121" s="196"/>
      <c r="W121" s="196"/>
      <c r="X121" s="196"/>
      <c r="Y121" s="196"/>
      <c r="Z121" s="196"/>
      <c r="AA121" s="196"/>
      <c r="AB121" s="196"/>
      <c r="AC121" s="196"/>
      <c r="AD121" s="196"/>
      <c r="AE121" s="196"/>
      <c r="AF121" s="196"/>
      <c r="AG121" s="196"/>
      <c r="AH121" s="196"/>
      <c r="AI121" s="196"/>
      <c r="AJ121" s="196"/>
      <c r="AK121" s="196"/>
      <c r="AL121" s="196"/>
      <c r="AM121" s="196"/>
      <c r="AN121" s="196"/>
      <c r="AO121" s="90"/>
      <c r="AS121" s="90"/>
    </row>
    <row r="122" ht="12.75" customHeight="1">
      <c r="A122" s="139" t="s">
        <v>1012</v>
      </c>
      <c r="B122" s="87"/>
      <c r="C122" s="87"/>
      <c r="D122" s="446"/>
      <c r="E122" s="447"/>
      <c r="F122" s="448"/>
      <c r="G122" s="448"/>
      <c r="H122" s="449"/>
      <c r="I122" s="448"/>
      <c r="J122" s="181"/>
      <c r="K122" s="197"/>
      <c r="L122" s="197"/>
      <c r="M122" s="197"/>
      <c r="N122" s="197"/>
      <c r="O122" s="197"/>
      <c r="P122" s="196"/>
      <c r="Q122" s="196"/>
      <c r="R122" s="196"/>
      <c r="S122" s="196"/>
      <c r="T122" s="196"/>
      <c r="U122" s="196"/>
      <c r="V122" s="196"/>
      <c r="W122" s="196"/>
      <c r="X122" s="196"/>
      <c r="Y122" s="196"/>
      <c r="Z122" s="196"/>
      <c r="AA122" s="196"/>
      <c r="AB122" s="196"/>
      <c r="AC122" s="196"/>
      <c r="AD122" s="196"/>
      <c r="AE122" s="196"/>
      <c r="AF122" s="196"/>
      <c r="AG122" s="196"/>
      <c r="AH122" s="196"/>
      <c r="AI122" s="196"/>
      <c r="AJ122" s="196"/>
      <c r="AK122" s="196"/>
      <c r="AL122" s="196"/>
      <c r="AM122" s="196"/>
      <c r="AN122" s="196"/>
      <c r="AO122" s="90"/>
      <c r="AS122" s="90"/>
    </row>
    <row r="123" ht="12.75" customHeight="1">
      <c r="A123" s="143"/>
      <c r="B123" s="143" t="s">
        <v>41</v>
      </c>
      <c r="C123" s="143"/>
      <c r="D123" s="437" t="s">
        <v>130</v>
      </c>
      <c r="E123" s="432">
        <v>160000.0</v>
      </c>
      <c r="F123" s="433">
        <v>2015.0</v>
      </c>
      <c r="G123" s="433"/>
      <c r="H123" s="438">
        <f>IF('Region Staffing'!G12="","",'Region Staffing'!G12-0.02)</f>
        <v>7.99</v>
      </c>
      <c r="I123" s="433" t="s">
        <v>124</v>
      </c>
      <c r="J123" s="434"/>
      <c r="K123" s="435">
        <v>0.0</v>
      </c>
      <c r="L123" s="435">
        <v>0.0</v>
      </c>
      <c r="M123" s="435">
        <f>'Region Staffing'!O12</f>
        <v>0</v>
      </c>
      <c r="N123" s="435">
        <f t="shared" ref="N123:AN123" si="92">IF(N$32&lt;$F123,0,1)+ROUNDDOWN(SUM(N124,N125,N128,N132)/$H123,0)</f>
        <v>0</v>
      </c>
      <c r="O123" s="435">
        <f t="shared" si="92"/>
        <v>1</v>
      </c>
      <c r="P123" s="435">
        <f t="shared" si="92"/>
        <v>1</v>
      </c>
      <c r="Q123" s="435">
        <f t="shared" si="92"/>
        <v>2</v>
      </c>
      <c r="R123" s="435">
        <f t="shared" si="92"/>
        <v>2</v>
      </c>
      <c r="S123" s="435">
        <f t="shared" si="92"/>
        <v>2</v>
      </c>
      <c r="T123" s="435">
        <f t="shared" si="92"/>
        <v>3</v>
      </c>
      <c r="U123" s="435">
        <f t="shared" si="92"/>
        <v>3</v>
      </c>
      <c r="V123" s="435">
        <f t="shared" si="92"/>
        <v>3</v>
      </c>
      <c r="W123" s="435">
        <f t="shared" si="92"/>
        <v>3</v>
      </c>
      <c r="X123" s="435">
        <f t="shared" si="92"/>
        <v>3</v>
      </c>
      <c r="Y123" s="435">
        <f t="shared" si="92"/>
        <v>3</v>
      </c>
      <c r="Z123" s="435">
        <f t="shared" si="92"/>
        <v>3</v>
      </c>
      <c r="AA123" s="435">
        <f t="shared" si="92"/>
        <v>3</v>
      </c>
      <c r="AB123" s="435">
        <f t="shared" si="92"/>
        <v>3</v>
      </c>
      <c r="AC123" s="435">
        <f t="shared" si="92"/>
        <v>3</v>
      </c>
      <c r="AD123" s="435">
        <f t="shared" si="92"/>
        <v>3</v>
      </c>
      <c r="AE123" s="435">
        <f t="shared" si="92"/>
        <v>3</v>
      </c>
      <c r="AF123" s="435">
        <f t="shared" si="92"/>
        <v>3</v>
      </c>
      <c r="AG123" s="435">
        <f t="shared" si="92"/>
        <v>3</v>
      </c>
      <c r="AH123" s="435">
        <f t="shared" si="92"/>
        <v>3</v>
      </c>
      <c r="AI123" s="435">
        <f t="shared" si="92"/>
        <v>3</v>
      </c>
      <c r="AJ123" s="435">
        <f t="shared" si="92"/>
        <v>3</v>
      </c>
      <c r="AK123" s="435">
        <f t="shared" si="92"/>
        <v>3</v>
      </c>
      <c r="AL123" s="435">
        <f t="shared" si="92"/>
        <v>3</v>
      </c>
      <c r="AM123" s="435">
        <f t="shared" si="92"/>
        <v>3</v>
      </c>
      <c r="AN123" s="435">
        <f t="shared" si="92"/>
        <v>3</v>
      </c>
      <c r="AO123" s="90" t="s">
        <v>1013</v>
      </c>
      <c r="AP123" s="90"/>
      <c r="AQ123" s="90"/>
      <c r="AR123" s="90"/>
      <c r="AS123" s="90"/>
      <c r="AT123" s="90"/>
      <c r="AU123" s="90"/>
      <c r="AV123" s="90"/>
      <c r="AW123" s="90"/>
      <c r="AX123" s="90"/>
      <c r="AY123" s="90"/>
      <c r="AZ123" s="90"/>
      <c r="BA123" s="90"/>
      <c r="BB123" s="90"/>
      <c r="BC123" s="90"/>
      <c r="BD123" s="90"/>
      <c r="BE123" s="90"/>
      <c r="BF123" s="90"/>
      <c r="BG123" s="90"/>
      <c r="BH123" s="90"/>
      <c r="BI123" s="90"/>
    </row>
    <row r="124" ht="12.75" customHeight="1">
      <c r="A124" s="143"/>
      <c r="B124" s="430" t="s">
        <v>44</v>
      </c>
      <c r="C124" s="143"/>
      <c r="D124" s="437" t="s">
        <v>129</v>
      </c>
      <c r="E124" s="432">
        <v>140000.0</v>
      </c>
      <c r="F124" s="438"/>
      <c r="G124" s="433"/>
      <c r="H124" s="438">
        <f>IF('Region Staffing'!G13="","",'Region Staffing'!G13-0.02)</f>
        <v>7.99</v>
      </c>
      <c r="I124" s="433" t="s">
        <v>124</v>
      </c>
      <c r="J124" s="434"/>
      <c r="K124" s="435">
        <v>0.0</v>
      </c>
      <c r="L124" s="450">
        <v>1.0</v>
      </c>
      <c r="M124" s="435">
        <f>'Region Staffing'!O13</f>
        <v>1</v>
      </c>
      <c r="N124" s="435">
        <f t="shared" ref="N124:AN124" si="93">IF($F124="",IF(N$2/$H124&lt;0.5,0,ROUNDUP(N$2/$H124,0)),IF(N$32&lt;$F124,0,1)+ROUNDDOWN(N4/$H124,0))</f>
        <v>2</v>
      </c>
      <c r="O124" s="435">
        <f t="shared" si="93"/>
        <v>3</v>
      </c>
      <c r="P124" s="435">
        <f t="shared" si="93"/>
        <v>4</v>
      </c>
      <c r="Q124" s="435">
        <f t="shared" si="93"/>
        <v>6</v>
      </c>
      <c r="R124" s="435">
        <f t="shared" si="93"/>
        <v>9</v>
      </c>
      <c r="S124" s="435">
        <f t="shared" si="93"/>
        <v>12</v>
      </c>
      <c r="T124" s="435">
        <f t="shared" si="93"/>
        <v>13</v>
      </c>
      <c r="U124" s="435">
        <f t="shared" si="93"/>
        <v>13</v>
      </c>
      <c r="V124" s="435">
        <f t="shared" si="93"/>
        <v>13</v>
      </c>
      <c r="W124" s="435">
        <f t="shared" si="93"/>
        <v>13</v>
      </c>
      <c r="X124" s="435">
        <f t="shared" si="93"/>
        <v>13</v>
      </c>
      <c r="Y124" s="435">
        <f t="shared" si="93"/>
        <v>13</v>
      </c>
      <c r="Z124" s="435">
        <f t="shared" si="93"/>
        <v>13</v>
      </c>
      <c r="AA124" s="435">
        <f t="shared" si="93"/>
        <v>13</v>
      </c>
      <c r="AB124" s="435">
        <f t="shared" si="93"/>
        <v>13</v>
      </c>
      <c r="AC124" s="435">
        <f t="shared" si="93"/>
        <v>13</v>
      </c>
      <c r="AD124" s="435">
        <f t="shared" si="93"/>
        <v>13</v>
      </c>
      <c r="AE124" s="435">
        <f t="shared" si="93"/>
        <v>13</v>
      </c>
      <c r="AF124" s="435">
        <f t="shared" si="93"/>
        <v>13</v>
      </c>
      <c r="AG124" s="435">
        <f t="shared" si="93"/>
        <v>13</v>
      </c>
      <c r="AH124" s="435">
        <f t="shared" si="93"/>
        <v>13</v>
      </c>
      <c r="AI124" s="435">
        <f t="shared" si="93"/>
        <v>13</v>
      </c>
      <c r="AJ124" s="435">
        <f t="shared" si="93"/>
        <v>13</v>
      </c>
      <c r="AK124" s="435">
        <f t="shared" si="93"/>
        <v>13</v>
      </c>
      <c r="AL124" s="435">
        <f t="shared" si="93"/>
        <v>13</v>
      </c>
      <c r="AM124" s="435">
        <f t="shared" si="93"/>
        <v>13</v>
      </c>
      <c r="AN124" s="435">
        <f t="shared" si="93"/>
        <v>13</v>
      </c>
      <c r="AO124" s="400" t="s">
        <v>1014</v>
      </c>
      <c r="AS124" s="90"/>
    </row>
    <row r="125" ht="12.75" customHeight="1">
      <c r="A125" s="143"/>
      <c r="B125" s="430" t="s">
        <v>1015</v>
      </c>
      <c r="C125" s="143"/>
      <c r="D125" s="437" t="s">
        <v>127</v>
      </c>
      <c r="E125" s="432">
        <v>100000.0</v>
      </c>
      <c r="F125" s="433">
        <v>2013.0</v>
      </c>
      <c r="G125" s="433"/>
      <c r="H125" s="438" t="str">
        <f>IF('Region Staffing'!G14="","",'Region Staffing'!G14-0.02)</f>
        <v/>
      </c>
      <c r="I125" s="433" t="s">
        <v>124</v>
      </c>
      <c r="J125" s="434"/>
      <c r="K125" s="435">
        <v>0.0</v>
      </c>
      <c r="L125" s="435">
        <v>0.0</v>
      </c>
      <c r="M125" s="435">
        <f>'Region Staffing'!O14</f>
        <v>1</v>
      </c>
      <c r="N125" s="435">
        <f t="shared" ref="N125:AN125" si="94">IF(N$32&lt;$F125,0,1)</f>
        <v>1</v>
      </c>
      <c r="O125" s="435">
        <f t="shared" si="94"/>
        <v>1</v>
      </c>
      <c r="P125" s="435">
        <f t="shared" si="94"/>
        <v>1</v>
      </c>
      <c r="Q125" s="435">
        <f t="shared" si="94"/>
        <v>1</v>
      </c>
      <c r="R125" s="435">
        <f t="shared" si="94"/>
        <v>1</v>
      </c>
      <c r="S125" s="435">
        <f t="shared" si="94"/>
        <v>1</v>
      </c>
      <c r="T125" s="435">
        <f t="shared" si="94"/>
        <v>1</v>
      </c>
      <c r="U125" s="435">
        <f t="shared" si="94"/>
        <v>1</v>
      </c>
      <c r="V125" s="435">
        <f t="shared" si="94"/>
        <v>1</v>
      </c>
      <c r="W125" s="435">
        <f t="shared" si="94"/>
        <v>1</v>
      </c>
      <c r="X125" s="435">
        <f t="shared" si="94"/>
        <v>1</v>
      </c>
      <c r="Y125" s="435">
        <f t="shared" si="94"/>
        <v>1</v>
      </c>
      <c r="Z125" s="435">
        <f t="shared" si="94"/>
        <v>1</v>
      </c>
      <c r="AA125" s="435">
        <f t="shared" si="94"/>
        <v>1</v>
      </c>
      <c r="AB125" s="435">
        <f t="shared" si="94"/>
        <v>1</v>
      </c>
      <c r="AC125" s="435">
        <f t="shared" si="94"/>
        <v>1</v>
      </c>
      <c r="AD125" s="435">
        <f t="shared" si="94"/>
        <v>1</v>
      </c>
      <c r="AE125" s="435">
        <f t="shared" si="94"/>
        <v>1</v>
      </c>
      <c r="AF125" s="435">
        <f t="shared" si="94"/>
        <v>1</v>
      </c>
      <c r="AG125" s="435">
        <f t="shared" si="94"/>
        <v>1</v>
      </c>
      <c r="AH125" s="435">
        <f t="shared" si="94"/>
        <v>1</v>
      </c>
      <c r="AI125" s="435">
        <f t="shared" si="94"/>
        <v>1</v>
      </c>
      <c r="AJ125" s="435">
        <f t="shared" si="94"/>
        <v>1</v>
      </c>
      <c r="AK125" s="435">
        <f t="shared" si="94"/>
        <v>1</v>
      </c>
      <c r="AL125" s="435">
        <f t="shared" si="94"/>
        <v>1</v>
      </c>
      <c r="AM125" s="435">
        <f t="shared" si="94"/>
        <v>1</v>
      </c>
      <c r="AN125" s="435">
        <f t="shared" si="94"/>
        <v>1</v>
      </c>
      <c r="AO125" s="90" t="s">
        <v>1016</v>
      </c>
      <c r="AS125" s="90"/>
    </row>
    <row r="126" ht="12.75" customHeight="1">
      <c r="A126" s="143"/>
      <c r="B126" s="430" t="s">
        <v>1017</v>
      </c>
      <c r="C126" s="143"/>
      <c r="D126" s="437" t="s">
        <v>126</v>
      </c>
      <c r="E126" s="432">
        <v>80000.0</v>
      </c>
      <c r="F126" s="433"/>
      <c r="G126" s="433"/>
      <c r="H126" s="438">
        <f>IF('Region Staffing'!G15="","",'Region Staffing'!G15-0.02)</f>
        <v>7.99</v>
      </c>
      <c r="I126" s="433" t="s">
        <v>124</v>
      </c>
      <c r="J126" s="434"/>
      <c r="K126" s="435">
        <v>0.0</v>
      </c>
      <c r="L126" s="435">
        <v>0.0</v>
      </c>
      <c r="M126" s="435">
        <f>'Region Staffing'!O15</f>
        <v>0</v>
      </c>
      <c r="N126" s="435">
        <f t="shared" ref="N126:AN126" si="95">IF($F126="",IF(N127/$H126&lt;0.5,0,ROUNDUP(N127/$H126,0)),IF(N$32&lt;$F126,0,1)+ROUNDDOWN(N127/$H126,0))</f>
        <v>0</v>
      </c>
      <c r="O126" s="435">
        <f t="shared" si="95"/>
        <v>0</v>
      </c>
      <c r="P126" s="435">
        <f t="shared" si="95"/>
        <v>1</v>
      </c>
      <c r="Q126" s="435">
        <f t="shared" si="95"/>
        <v>1</v>
      </c>
      <c r="R126" s="435">
        <f t="shared" si="95"/>
        <v>2</v>
      </c>
      <c r="S126" s="435">
        <f t="shared" si="95"/>
        <v>2</v>
      </c>
      <c r="T126" s="435">
        <f t="shared" si="95"/>
        <v>2</v>
      </c>
      <c r="U126" s="435">
        <f t="shared" si="95"/>
        <v>2</v>
      </c>
      <c r="V126" s="435">
        <f t="shared" si="95"/>
        <v>2</v>
      </c>
      <c r="W126" s="435">
        <f t="shared" si="95"/>
        <v>2</v>
      </c>
      <c r="X126" s="435">
        <f t="shared" si="95"/>
        <v>2</v>
      </c>
      <c r="Y126" s="435">
        <f t="shared" si="95"/>
        <v>2</v>
      </c>
      <c r="Z126" s="435">
        <f t="shared" si="95"/>
        <v>2</v>
      </c>
      <c r="AA126" s="435">
        <f t="shared" si="95"/>
        <v>2</v>
      </c>
      <c r="AB126" s="435">
        <f t="shared" si="95"/>
        <v>2</v>
      </c>
      <c r="AC126" s="435">
        <f t="shared" si="95"/>
        <v>2</v>
      </c>
      <c r="AD126" s="435">
        <f t="shared" si="95"/>
        <v>2</v>
      </c>
      <c r="AE126" s="435">
        <f t="shared" si="95"/>
        <v>2</v>
      </c>
      <c r="AF126" s="435">
        <f t="shared" si="95"/>
        <v>2</v>
      </c>
      <c r="AG126" s="435">
        <f t="shared" si="95"/>
        <v>2</v>
      </c>
      <c r="AH126" s="435">
        <f t="shared" si="95"/>
        <v>2</v>
      </c>
      <c r="AI126" s="435">
        <f t="shared" si="95"/>
        <v>2</v>
      </c>
      <c r="AJ126" s="435">
        <f t="shared" si="95"/>
        <v>2</v>
      </c>
      <c r="AK126" s="435">
        <f t="shared" si="95"/>
        <v>2</v>
      </c>
      <c r="AL126" s="435">
        <f t="shared" si="95"/>
        <v>2</v>
      </c>
      <c r="AM126" s="435">
        <f t="shared" si="95"/>
        <v>2</v>
      </c>
      <c r="AN126" s="435">
        <f t="shared" si="95"/>
        <v>2</v>
      </c>
      <c r="AO126" s="90" t="s">
        <v>1018</v>
      </c>
      <c r="AP126" s="90"/>
      <c r="AQ126" s="90"/>
      <c r="AR126" s="90"/>
      <c r="AS126" s="90"/>
      <c r="AT126" s="90"/>
      <c r="AU126" s="90"/>
      <c r="AV126" s="90"/>
      <c r="AW126" s="90"/>
      <c r="AX126" s="90"/>
      <c r="AY126" s="90"/>
      <c r="AZ126" s="90"/>
      <c r="BA126" s="90"/>
      <c r="BB126" s="90"/>
      <c r="BC126" s="90"/>
      <c r="BD126" s="90"/>
      <c r="BE126" s="90"/>
      <c r="BF126" s="90"/>
      <c r="BG126" s="90"/>
      <c r="BH126" s="90"/>
      <c r="BI126" s="90"/>
    </row>
    <row r="127" ht="12.75" customHeight="1">
      <c r="A127" s="143"/>
      <c r="B127" s="430" t="s">
        <v>1019</v>
      </c>
      <c r="C127" s="143"/>
      <c r="D127" s="437" t="s">
        <v>124</v>
      </c>
      <c r="E127" s="432">
        <v>60000.0</v>
      </c>
      <c r="F127" s="433">
        <v>2011.0</v>
      </c>
      <c r="G127" s="433"/>
      <c r="H127" s="438">
        <f>IF('Region Staffing'!G16="","",'Region Staffing'!G16-0.02)</f>
        <v>9.99</v>
      </c>
      <c r="I127" s="433" t="s">
        <v>48</v>
      </c>
      <c r="J127" s="434"/>
      <c r="K127" s="435">
        <v>1.0</v>
      </c>
      <c r="L127" s="435">
        <v>1.0</v>
      </c>
      <c r="M127" s="435">
        <f>'Region Staffing'!O16</f>
        <v>1</v>
      </c>
      <c r="N127" s="435">
        <f t="shared" ref="N127:AN127" si="96">IF($F127="",IF(N$2/$H127&lt;0.5,0,ROUNDUP(N$2/$H127,0)),IF(N$32&lt;$F127,0,1)+ROUNDDOWN(N$2/$H127,0))</f>
        <v>2</v>
      </c>
      <c r="O127" s="435">
        <f t="shared" si="96"/>
        <v>3</v>
      </c>
      <c r="P127" s="435">
        <f t="shared" si="96"/>
        <v>4</v>
      </c>
      <c r="Q127" s="435">
        <f t="shared" si="96"/>
        <v>5</v>
      </c>
      <c r="R127" s="435">
        <f t="shared" si="96"/>
        <v>8</v>
      </c>
      <c r="S127" s="435">
        <f t="shared" si="96"/>
        <v>10</v>
      </c>
      <c r="T127" s="435">
        <f t="shared" si="96"/>
        <v>11</v>
      </c>
      <c r="U127" s="435">
        <f t="shared" si="96"/>
        <v>11</v>
      </c>
      <c r="V127" s="435">
        <f t="shared" si="96"/>
        <v>11</v>
      </c>
      <c r="W127" s="435">
        <f t="shared" si="96"/>
        <v>11</v>
      </c>
      <c r="X127" s="435">
        <f t="shared" si="96"/>
        <v>11</v>
      </c>
      <c r="Y127" s="435">
        <f t="shared" si="96"/>
        <v>11</v>
      </c>
      <c r="Z127" s="435">
        <f t="shared" si="96"/>
        <v>11</v>
      </c>
      <c r="AA127" s="435">
        <f t="shared" si="96"/>
        <v>11</v>
      </c>
      <c r="AB127" s="435">
        <f t="shared" si="96"/>
        <v>11</v>
      </c>
      <c r="AC127" s="435">
        <f t="shared" si="96"/>
        <v>11</v>
      </c>
      <c r="AD127" s="435">
        <f t="shared" si="96"/>
        <v>11</v>
      </c>
      <c r="AE127" s="435">
        <f t="shared" si="96"/>
        <v>11</v>
      </c>
      <c r="AF127" s="435">
        <f t="shared" si="96"/>
        <v>11</v>
      </c>
      <c r="AG127" s="435">
        <f t="shared" si="96"/>
        <v>11</v>
      </c>
      <c r="AH127" s="435">
        <f t="shared" si="96"/>
        <v>11</v>
      </c>
      <c r="AI127" s="435">
        <f t="shared" si="96"/>
        <v>11</v>
      </c>
      <c r="AJ127" s="435">
        <f t="shared" si="96"/>
        <v>11</v>
      </c>
      <c r="AK127" s="435">
        <f t="shared" si="96"/>
        <v>11</v>
      </c>
      <c r="AL127" s="435">
        <f t="shared" si="96"/>
        <v>11</v>
      </c>
      <c r="AM127" s="435">
        <f t="shared" si="96"/>
        <v>11</v>
      </c>
      <c r="AN127" s="435">
        <f t="shared" si="96"/>
        <v>11</v>
      </c>
      <c r="AO127" s="90" t="s">
        <v>1020</v>
      </c>
      <c r="AP127" s="90"/>
      <c r="AQ127" s="90"/>
      <c r="AR127" s="90"/>
      <c r="AS127" s="90"/>
      <c r="AT127" s="90"/>
      <c r="AU127" s="90"/>
      <c r="AV127" s="90"/>
      <c r="AW127" s="90"/>
      <c r="AX127" s="90"/>
      <c r="AY127" s="90"/>
      <c r="AZ127" s="90"/>
      <c r="BA127" s="90"/>
      <c r="BB127" s="90"/>
      <c r="BC127" s="90"/>
      <c r="BD127" s="90"/>
      <c r="BE127" s="90"/>
      <c r="BF127" s="90"/>
      <c r="BG127" s="90"/>
      <c r="BH127" s="90"/>
      <c r="BI127" s="90"/>
    </row>
    <row r="128" ht="12.75" customHeight="1">
      <c r="A128" s="143"/>
      <c r="B128" s="430" t="s">
        <v>1021</v>
      </c>
      <c r="C128" s="143"/>
      <c r="D128" s="437" t="s">
        <v>127</v>
      </c>
      <c r="E128" s="432">
        <v>100000.0</v>
      </c>
      <c r="F128" s="433">
        <v>2013.0</v>
      </c>
      <c r="G128" s="433"/>
      <c r="H128" s="438">
        <f>IF('Region Staffing'!G17="","",'Region Staffing'!G17-0.02)</f>
        <v>7.99</v>
      </c>
      <c r="I128" s="433" t="s">
        <v>124</v>
      </c>
      <c r="J128" s="434"/>
      <c r="K128" s="435">
        <v>0.0</v>
      </c>
      <c r="L128" s="435">
        <v>0.0</v>
      </c>
      <c r="M128" s="435">
        <f>'Region Staffing'!O17</f>
        <v>1</v>
      </c>
      <c r="N128" s="435">
        <f t="shared" ref="N128:AN128" si="97">IF($F128="",IF(N129/$H128&lt;0.5,0,ROUNDUP(N129/$H128,0)),IF(N$32&lt;$F128,0,1)+ROUNDDOWN(N129/$H128,0))</f>
        <v>1</v>
      </c>
      <c r="O128" s="435">
        <f t="shared" si="97"/>
        <v>1</v>
      </c>
      <c r="P128" s="435">
        <f t="shared" si="97"/>
        <v>1</v>
      </c>
      <c r="Q128" s="435">
        <f t="shared" si="97"/>
        <v>1</v>
      </c>
      <c r="R128" s="435">
        <f t="shared" si="97"/>
        <v>1</v>
      </c>
      <c r="S128" s="435">
        <f t="shared" si="97"/>
        <v>1</v>
      </c>
      <c r="T128" s="435">
        <f t="shared" si="97"/>
        <v>1</v>
      </c>
      <c r="U128" s="435">
        <f t="shared" si="97"/>
        <v>1</v>
      </c>
      <c r="V128" s="435">
        <f t="shared" si="97"/>
        <v>1</v>
      </c>
      <c r="W128" s="435">
        <f t="shared" si="97"/>
        <v>1</v>
      </c>
      <c r="X128" s="435">
        <f t="shared" si="97"/>
        <v>1</v>
      </c>
      <c r="Y128" s="435">
        <f t="shared" si="97"/>
        <v>1</v>
      </c>
      <c r="Z128" s="435">
        <f t="shared" si="97"/>
        <v>1</v>
      </c>
      <c r="AA128" s="435">
        <f t="shared" si="97"/>
        <v>1</v>
      </c>
      <c r="AB128" s="435">
        <f t="shared" si="97"/>
        <v>1</v>
      </c>
      <c r="AC128" s="435">
        <f t="shared" si="97"/>
        <v>1</v>
      </c>
      <c r="AD128" s="435">
        <f t="shared" si="97"/>
        <v>1</v>
      </c>
      <c r="AE128" s="435">
        <f t="shared" si="97"/>
        <v>1</v>
      </c>
      <c r="AF128" s="435">
        <f t="shared" si="97"/>
        <v>1</v>
      </c>
      <c r="AG128" s="435">
        <f t="shared" si="97"/>
        <v>1</v>
      </c>
      <c r="AH128" s="435">
        <f t="shared" si="97"/>
        <v>1</v>
      </c>
      <c r="AI128" s="435">
        <f t="shared" si="97"/>
        <v>1</v>
      </c>
      <c r="AJ128" s="435">
        <f t="shared" si="97"/>
        <v>1</v>
      </c>
      <c r="AK128" s="435">
        <f t="shared" si="97"/>
        <v>1</v>
      </c>
      <c r="AL128" s="435">
        <f t="shared" si="97"/>
        <v>1</v>
      </c>
      <c r="AM128" s="435">
        <f t="shared" si="97"/>
        <v>1</v>
      </c>
      <c r="AN128" s="435">
        <f t="shared" si="97"/>
        <v>1</v>
      </c>
      <c r="AO128" s="90" t="s">
        <v>1022</v>
      </c>
      <c r="AP128" s="90"/>
      <c r="AQ128" s="90"/>
      <c r="AR128" s="90"/>
      <c r="AS128" s="90"/>
      <c r="AT128" s="90"/>
      <c r="AU128" s="90"/>
      <c r="AV128" s="90"/>
      <c r="AW128" s="90"/>
      <c r="AX128" s="90"/>
      <c r="AY128" s="90"/>
      <c r="AZ128" s="90"/>
      <c r="BA128" s="90"/>
      <c r="BB128" s="90"/>
      <c r="BC128" s="90"/>
      <c r="BD128" s="90"/>
      <c r="BE128" s="90"/>
      <c r="BF128" s="90"/>
      <c r="BG128" s="90"/>
      <c r="BH128" s="90"/>
      <c r="BI128" s="90"/>
    </row>
    <row r="129" ht="12.75" customHeight="1">
      <c r="A129" s="143"/>
      <c r="B129" s="430" t="s">
        <v>1023</v>
      </c>
      <c r="C129" s="143"/>
      <c r="D129" s="437" t="s">
        <v>126</v>
      </c>
      <c r="E129" s="432">
        <v>80000.0</v>
      </c>
      <c r="F129" s="433"/>
      <c r="G129" s="433"/>
      <c r="H129" s="438">
        <f>IF('Region Staffing'!G18="","",'Region Staffing'!G18-0.02)</f>
        <v>7.99</v>
      </c>
      <c r="I129" s="433" t="s">
        <v>124</v>
      </c>
      <c r="J129" s="434"/>
      <c r="K129" s="435">
        <v>0.0</v>
      </c>
      <c r="L129" s="435">
        <v>0.0</v>
      </c>
      <c r="M129" s="435">
        <f>'Region Staffing'!O18</f>
        <v>0</v>
      </c>
      <c r="N129" s="435">
        <f t="shared" ref="N129:AN129" si="98">IF($F129="",IF(SUM(N130:N131)/$H129&lt;0.5,0,ROUNDUP(SUM(N130:N131)/$H129,0)),IF(N$32&lt;$F129,0,1)+ROUNDDOWN(SUM(N130:N131)/$H129,0))</f>
        <v>0</v>
      </c>
      <c r="O129" s="435">
        <f t="shared" si="98"/>
        <v>1</v>
      </c>
      <c r="P129" s="435">
        <f t="shared" si="98"/>
        <v>1</v>
      </c>
      <c r="Q129" s="435">
        <f t="shared" si="98"/>
        <v>1</v>
      </c>
      <c r="R129" s="435">
        <f t="shared" si="98"/>
        <v>2</v>
      </c>
      <c r="S129" s="435">
        <f t="shared" si="98"/>
        <v>2</v>
      </c>
      <c r="T129" s="435">
        <f t="shared" si="98"/>
        <v>2</v>
      </c>
      <c r="U129" s="435">
        <f t="shared" si="98"/>
        <v>2</v>
      </c>
      <c r="V129" s="435">
        <f t="shared" si="98"/>
        <v>2</v>
      </c>
      <c r="W129" s="435">
        <f t="shared" si="98"/>
        <v>2</v>
      </c>
      <c r="X129" s="435">
        <f t="shared" si="98"/>
        <v>2</v>
      </c>
      <c r="Y129" s="435">
        <f t="shared" si="98"/>
        <v>2</v>
      </c>
      <c r="Z129" s="435">
        <f t="shared" si="98"/>
        <v>2</v>
      </c>
      <c r="AA129" s="435">
        <f t="shared" si="98"/>
        <v>2</v>
      </c>
      <c r="AB129" s="435">
        <f t="shared" si="98"/>
        <v>2</v>
      </c>
      <c r="AC129" s="435">
        <f t="shared" si="98"/>
        <v>2</v>
      </c>
      <c r="AD129" s="435">
        <f t="shared" si="98"/>
        <v>2</v>
      </c>
      <c r="AE129" s="435">
        <f t="shared" si="98"/>
        <v>2</v>
      </c>
      <c r="AF129" s="435">
        <f t="shared" si="98"/>
        <v>2</v>
      </c>
      <c r="AG129" s="435">
        <f t="shared" si="98"/>
        <v>2</v>
      </c>
      <c r="AH129" s="435">
        <f t="shared" si="98"/>
        <v>2</v>
      </c>
      <c r="AI129" s="435">
        <f t="shared" si="98"/>
        <v>2</v>
      </c>
      <c r="AJ129" s="435">
        <f t="shared" si="98"/>
        <v>2</v>
      </c>
      <c r="AK129" s="435">
        <f t="shared" si="98"/>
        <v>2</v>
      </c>
      <c r="AL129" s="435">
        <f t="shared" si="98"/>
        <v>2</v>
      </c>
      <c r="AM129" s="435">
        <f t="shared" si="98"/>
        <v>2</v>
      </c>
      <c r="AN129" s="435">
        <f t="shared" si="98"/>
        <v>2</v>
      </c>
      <c r="AO129" s="90" t="s">
        <v>1018</v>
      </c>
      <c r="AP129" s="90"/>
      <c r="AQ129" s="90"/>
      <c r="AR129" s="90"/>
      <c r="AS129" s="90"/>
      <c r="AT129" s="90"/>
      <c r="AU129" s="90"/>
      <c r="AV129" s="90"/>
      <c r="AW129" s="90"/>
      <c r="AX129" s="90"/>
      <c r="AY129" s="90"/>
      <c r="AZ129" s="90"/>
      <c r="BA129" s="90"/>
      <c r="BB129" s="90"/>
      <c r="BC129" s="90"/>
      <c r="BD129" s="90"/>
      <c r="BE129" s="90"/>
      <c r="BF129" s="90"/>
      <c r="BG129" s="90"/>
      <c r="BH129" s="90"/>
      <c r="BI129" s="90"/>
    </row>
    <row r="130" ht="12.75" customHeight="1">
      <c r="A130" s="143"/>
      <c r="B130" s="430" t="s">
        <v>1024</v>
      </c>
      <c r="C130" s="143"/>
      <c r="D130" s="437" t="s">
        <v>124</v>
      </c>
      <c r="E130" s="432">
        <v>60000.0</v>
      </c>
      <c r="F130" s="433">
        <v>2010.0</v>
      </c>
      <c r="G130" s="433"/>
      <c r="H130" s="438">
        <f>IF('Region Staffing'!G19="","",'Region Staffing'!G19-0.02)</f>
        <v>7.99</v>
      </c>
      <c r="I130" s="433" t="s">
        <v>88</v>
      </c>
      <c r="J130" s="434"/>
      <c r="K130" s="435">
        <v>1.0</v>
      </c>
      <c r="L130" s="435">
        <v>1.0</v>
      </c>
      <c r="M130" s="435">
        <f>'Region Staffing'!O19</f>
        <v>1</v>
      </c>
      <c r="N130" s="435">
        <f t="shared" ref="N130:AN130" si="99">IF($F130="",IF((N$2-M$2)/$H130&lt;0.5,0,ROUNDUP((N$2-M$2)/$H130,0)),IF(N$32&lt;$F130,0,1)+ROUNDDOWN((N$2-M$2)/$H130,0))</f>
        <v>1</v>
      </c>
      <c r="O130" s="435">
        <f t="shared" si="99"/>
        <v>2</v>
      </c>
      <c r="P130" s="435">
        <f t="shared" si="99"/>
        <v>2</v>
      </c>
      <c r="Q130" s="435">
        <f t="shared" si="99"/>
        <v>3</v>
      </c>
      <c r="R130" s="435">
        <f t="shared" si="99"/>
        <v>3</v>
      </c>
      <c r="S130" s="435">
        <f t="shared" si="99"/>
        <v>4</v>
      </c>
      <c r="T130" s="435">
        <f t="shared" si="99"/>
        <v>1</v>
      </c>
      <c r="U130" s="435">
        <f t="shared" si="99"/>
        <v>1</v>
      </c>
      <c r="V130" s="435">
        <f t="shared" si="99"/>
        <v>1</v>
      </c>
      <c r="W130" s="435">
        <f t="shared" si="99"/>
        <v>1</v>
      </c>
      <c r="X130" s="435">
        <f t="shared" si="99"/>
        <v>1</v>
      </c>
      <c r="Y130" s="435">
        <f t="shared" si="99"/>
        <v>1</v>
      </c>
      <c r="Z130" s="435">
        <f t="shared" si="99"/>
        <v>1</v>
      </c>
      <c r="AA130" s="435">
        <f t="shared" si="99"/>
        <v>1</v>
      </c>
      <c r="AB130" s="435">
        <f t="shared" si="99"/>
        <v>1</v>
      </c>
      <c r="AC130" s="435">
        <f t="shared" si="99"/>
        <v>1</v>
      </c>
      <c r="AD130" s="435">
        <f t="shared" si="99"/>
        <v>1</v>
      </c>
      <c r="AE130" s="435">
        <f t="shared" si="99"/>
        <v>1</v>
      </c>
      <c r="AF130" s="435">
        <f t="shared" si="99"/>
        <v>1</v>
      </c>
      <c r="AG130" s="435">
        <f t="shared" si="99"/>
        <v>1</v>
      </c>
      <c r="AH130" s="435">
        <f t="shared" si="99"/>
        <v>1</v>
      </c>
      <c r="AI130" s="435">
        <f t="shared" si="99"/>
        <v>1</v>
      </c>
      <c r="AJ130" s="435">
        <f t="shared" si="99"/>
        <v>1</v>
      </c>
      <c r="AK130" s="435">
        <f t="shared" si="99"/>
        <v>1</v>
      </c>
      <c r="AL130" s="435">
        <f t="shared" si="99"/>
        <v>1</v>
      </c>
      <c r="AM130" s="435">
        <f t="shared" si="99"/>
        <v>1</v>
      </c>
      <c r="AN130" s="435">
        <f t="shared" si="99"/>
        <v>1</v>
      </c>
      <c r="AO130" s="90" t="s">
        <v>1025</v>
      </c>
      <c r="AP130" s="90"/>
      <c r="AQ130" s="90"/>
      <c r="AR130" s="90"/>
      <c r="AS130" s="90"/>
      <c r="AT130" s="90"/>
      <c r="AU130" s="90"/>
      <c r="AV130" s="90"/>
      <c r="AW130" s="90"/>
      <c r="AX130" s="90"/>
      <c r="AY130" s="90"/>
      <c r="AZ130" s="90"/>
      <c r="BA130" s="90"/>
      <c r="BB130" s="90"/>
      <c r="BC130" s="90"/>
      <c r="BD130" s="90"/>
      <c r="BE130" s="90"/>
      <c r="BF130" s="90"/>
      <c r="BG130" s="90"/>
      <c r="BH130" s="90"/>
      <c r="BI130" s="90"/>
    </row>
    <row r="131" ht="12.75" customHeight="1">
      <c r="A131" s="143"/>
      <c r="B131" s="430" t="s">
        <v>1026</v>
      </c>
      <c r="C131" s="143"/>
      <c r="D131" s="437" t="s">
        <v>124</v>
      </c>
      <c r="E131" s="432">
        <v>60000.0</v>
      </c>
      <c r="F131" s="433"/>
      <c r="G131" s="433"/>
      <c r="H131" s="438">
        <f>IF('Region Staffing'!G20="","",'Region Staffing'!G20-0.02)</f>
        <v>11.98</v>
      </c>
      <c r="I131" s="433" t="s">
        <v>48</v>
      </c>
      <c r="J131" s="434"/>
      <c r="K131" s="435">
        <v>0.0</v>
      </c>
      <c r="L131" s="435">
        <v>0.0</v>
      </c>
      <c r="M131" s="435">
        <f>'Region Staffing'!O20</f>
        <v>0</v>
      </c>
      <c r="N131" s="435">
        <f t="shared" ref="N131:AN131" si="100">IF($F131="",IF(N$2/$H131&lt;0.5,0,ROUNDUP(N$2/$H131,0)),IF(N$32&lt;$F131,0,1)+ROUNDDOWN(N$2/$H131,0))</f>
        <v>2</v>
      </c>
      <c r="O131" s="435">
        <f t="shared" si="100"/>
        <v>2</v>
      </c>
      <c r="P131" s="435">
        <f t="shared" si="100"/>
        <v>3</v>
      </c>
      <c r="Q131" s="435">
        <f t="shared" si="100"/>
        <v>4</v>
      </c>
      <c r="R131" s="435">
        <f t="shared" si="100"/>
        <v>6</v>
      </c>
      <c r="S131" s="435">
        <f t="shared" si="100"/>
        <v>8</v>
      </c>
      <c r="T131" s="435">
        <f t="shared" si="100"/>
        <v>9</v>
      </c>
      <c r="U131" s="435">
        <f t="shared" si="100"/>
        <v>9</v>
      </c>
      <c r="V131" s="435">
        <f t="shared" si="100"/>
        <v>9</v>
      </c>
      <c r="W131" s="435">
        <f t="shared" si="100"/>
        <v>9</v>
      </c>
      <c r="X131" s="435">
        <f t="shared" si="100"/>
        <v>9</v>
      </c>
      <c r="Y131" s="435">
        <f t="shared" si="100"/>
        <v>9</v>
      </c>
      <c r="Z131" s="435">
        <f t="shared" si="100"/>
        <v>9</v>
      </c>
      <c r="AA131" s="435">
        <f t="shared" si="100"/>
        <v>9</v>
      </c>
      <c r="AB131" s="435">
        <f t="shared" si="100"/>
        <v>9</v>
      </c>
      <c r="AC131" s="435">
        <f t="shared" si="100"/>
        <v>9</v>
      </c>
      <c r="AD131" s="435">
        <f t="shared" si="100"/>
        <v>9</v>
      </c>
      <c r="AE131" s="435">
        <f t="shared" si="100"/>
        <v>9</v>
      </c>
      <c r="AF131" s="435">
        <f t="shared" si="100"/>
        <v>9</v>
      </c>
      <c r="AG131" s="435">
        <f t="shared" si="100"/>
        <v>9</v>
      </c>
      <c r="AH131" s="435">
        <f t="shared" si="100"/>
        <v>9</v>
      </c>
      <c r="AI131" s="435">
        <f t="shared" si="100"/>
        <v>9</v>
      </c>
      <c r="AJ131" s="435">
        <f t="shared" si="100"/>
        <v>9</v>
      </c>
      <c r="AK131" s="435">
        <f t="shared" si="100"/>
        <v>9</v>
      </c>
      <c r="AL131" s="435">
        <f t="shared" si="100"/>
        <v>9</v>
      </c>
      <c r="AM131" s="435">
        <f t="shared" si="100"/>
        <v>9</v>
      </c>
      <c r="AN131" s="435">
        <f t="shared" si="100"/>
        <v>9</v>
      </c>
      <c r="AO131" s="90" t="s">
        <v>1027</v>
      </c>
      <c r="AS131" s="90"/>
    </row>
    <row r="132" ht="12.75" customHeight="1">
      <c r="A132" s="143"/>
      <c r="B132" s="430" t="s">
        <v>1028</v>
      </c>
      <c r="C132" s="451"/>
      <c r="D132" s="437" t="s">
        <v>127</v>
      </c>
      <c r="E132" s="309">
        <v>100000.0</v>
      </c>
      <c r="F132" s="433">
        <v>2013.0</v>
      </c>
      <c r="G132" s="143"/>
      <c r="H132" s="438" t="str">
        <f>IF('Region Staffing'!G21="","",'Region Staffing'!G21-0.02)</f>
        <v/>
      </c>
      <c r="I132" s="433" t="s">
        <v>124</v>
      </c>
      <c r="J132" s="434"/>
      <c r="K132" s="435">
        <v>0.0</v>
      </c>
      <c r="L132" s="435">
        <v>0.0</v>
      </c>
      <c r="M132" s="435">
        <f>'Region Staffing'!O21</f>
        <v>1</v>
      </c>
      <c r="N132" s="435">
        <f t="shared" ref="N132:AN132" si="101">IF($F132="",0,IF(N$32&lt;$F132,0,1))</f>
        <v>1</v>
      </c>
      <c r="O132" s="435">
        <f t="shared" si="101"/>
        <v>1</v>
      </c>
      <c r="P132" s="435">
        <f t="shared" si="101"/>
        <v>1</v>
      </c>
      <c r="Q132" s="435">
        <f t="shared" si="101"/>
        <v>1</v>
      </c>
      <c r="R132" s="435">
        <f t="shared" si="101"/>
        <v>1</v>
      </c>
      <c r="S132" s="435">
        <f t="shared" si="101"/>
        <v>1</v>
      </c>
      <c r="T132" s="435">
        <f t="shared" si="101"/>
        <v>1</v>
      </c>
      <c r="U132" s="435">
        <f t="shared" si="101"/>
        <v>1</v>
      </c>
      <c r="V132" s="435">
        <f t="shared" si="101"/>
        <v>1</v>
      </c>
      <c r="W132" s="435">
        <f t="shared" si="101"/>
        <v>1</v>
      </c>
      <c r="X132" s="435">
        <f t="shared" si="101"/>
        <v>1</v>
      </c>
      <c r="Y132" s="435">
        <f t="shared" si="101"/>
        <v>1</v>
      </c>
      <c r="Z132" s="435">
        <f t="shared" si="101"/>
        <v>1</v>
      </c>
      <c r="AA132" s="435">
        <f t="shared" si="101"/>
        <v>1</v>
      </c>
      <c r="AB132" s="435">
        <f t="shared" si="101"/>
        <v>1</v>
      </c>
      <c r="AC132" s="435">
        <f t="shared" si="101"/>
        <v>1</v>
      </c>
      <c r="AD132" s="435">
        <f t="shared" si="101"/>
        <v>1</v>
      </c>
      <c r="AE132" s="435">
        <f t="shared" si="101"/>
        <v>1</v>
      </c>
      <c r="AF132" s="435">
        <f t="shared" si="101"/>
        <v>1</v>
      </c>
      <c r="AG132" s="435">
        <f t="shared" si="101"/>
        <v>1</v>
      </c>
      <c r="AH132" s="435">
        <f t="shared" si="101"/>
        <v>1</v>
      </c>
      <c r="AI132" s="435">
        <f t="shared" si="101"/>
        <v>1</v>
      </c>
      <c r="AJ132" s="435">
        <f t="shared" si="101"/>
        <v>1</v>
      </c>
      <c r="AK132" s="435">
        <f t="shared" si="101"/>
        <v>1</v>
      </c>
      <c r="AL132" s="435">
        <f t="shared" si="101"/>
        <v>1</v>
      </c>
      <c r="AM132" s="435">
        <f t="shared" si="101"/>
        <v>1</v>
      </c>
      <c r="AN132" s="435">
        <f t="shared" si="101"/>
        <v>1</v>
      </c>
      <c r="AO132" s="400" t="s">
        <v>1029</v>
      </c>
      <c r="AS132" s="90"/>
    </row>
    <row r="133" ht="12.75" customHeight="1">
      <c r="A133" s="143"/>
      <c r="B133" s="430" t="s">
        <v>1030</v>
      </c>
      <c r="C133" s="143"/>
      <c r="D133" s="437" t="s">
        <v>126</v>
      </c>
      <c r="E133" s="432">
        <v>80000.0</v>
      </c>
      <c r="F133" s="433"/>
      <c r="G133" s="433"/>
      <c r="H133" s="438">
        <f>IF('Region Staffing'!G22="","",'Region Staffing'!G22-0.02)</f>
        <v>7.99</v>
      </c>
      <c r="I133" s="433" t="s">
        <v>124</v>
      </c>
      <c r="J133" s="434"/>
      <c r="K133" s="435">
        <v>0.0</v>
      </c>
      <c r="L133" s="435">
        <v>0.0</v>
      </c>
      <c r="M133" s="435">
        <f>'Region Staffing'!O22</f>
        <v>0</v>
      </c>
      <c r="N133" s="435">
        <f t="shared" ref="N133:AN133" si="102">IF($F133="",IF(N134/$H133&lt;0.5,0,ROUNDUP(N134/$H133,0)),IF(N$32&lt;$F133,0,1)+ROUNDDOWN(N134/$H133,0))</f>
        <v>0</v>
      </c>
      <c r="O133" s="435">
        <f t="shared" si="102"/>
        <v>0</v>
      </c>
      <c r="P133" s="435">
        <f t="shared" si="102"/>
        <v>1</v>
      </c>
      <c r="Q133" s="435">
        <f t="shared" si="102"/>
        <v>1</v>
      </c>
      <c r="R133" s="435">
        <f t="shared" si="102"/>
        <v>2</v>
      </c>
      <c r="S133" s="435">
        <f t="shared" si="102"/>
        <v>2</v>
      </c>
      <c r="T133" s="435">
        <f t="shared" si="102"/>
        <v>2</v>
      </c>
      <c r="U133" s="435">
        <f t="shared" si="102"/>
        <v>2</v>
      </c>
      <c r="V133" s="435">
        <f t="shared" si="102"/>
        <v>2</v>
      </c>
      <c r="W133" s="435">
        <f t="shared" si="102"/>
        <v>2</v>
      </c>
      <c r="X133" s="435">
        <f t="shared" si="102"/>
        <v>2</v>
      </c>
      <c r="Y133" s="435">
        <f t="shared" si="102"/>
        <v>2</v>
      </c>
      <c r="Z133" s="435">
        <f t="shared" si="102"/>
        <v>2</v>
      </c>
      <c r="AA133" s="435">
        <f t="shared" si="102"/>
        <v>2</v>
      </c>
      <c r="AB133" s="435">
        <f t="shared" si="102"/>
        <v>2</v>
      </c>
      <c r="AC133" s="435">
        <f t="shared" si="102"/>
        <v>2</v>
      </c>
      <c r="AD133" s="435">
        <f t="shared" si="102"/>
        <v>2</v>
      </c>
      <c r="AE133" s="435">
        <f t="shared" si="102"/>
        <v>2</v>
      </c>
      <c r="AF133" s="435">
        <f t="shared" si="102"/>
        <v>2</v>
      </c>
      <c r="AG133" s="435">
        <f t="shared" si="102"/>
        <v>2</v>
      </c>
      <c r="AH133" s="435">
        <f t="shared" si="102"/>
        <v>2</v>
      </c>
      <c r="AI133" s="435">
        <f t="shared" si="102"/>
        <v>2</v>
      </c>
      <c r="AJ133" s="435">
        <f t="shared" si="102"/>
        <v>2</v>
      </c>
      <c r="AK133" s="435">
        <f t="shared" si="102"/>
        <v>2</v>
      </c>
      <c r="AL133" s="435">
        <f t="shared" si="102"/>
        <v>2</v>
      </c>
      <c r="AM133" s="435">
        <f t="shared" si="102"/>
        <v>2</v>
      </c>
      <c r="AN133" s="435">
        <f t="shared" si="102"/>
        <v>2</v>
      </c>
      <c r="AO133" s="90" t="s">
        <v>1031</v>
      </c>
      <c r="AP133" s="90"/>
      <c r="AQ133" s="90"/>
      <c r="AR133" s="90"/>
      <c r="AS133" s="90"/>
      <c r="AT133" s="90"/>
      <c r="AU133" s="90"/>
      <c r="AV133" s="90"/>
      <c r="AW133" s="90"/>
      <c r="AX133" s="90"/>
      <c r="AY133" s="90"/>
      <c r="AZ133" s="90"/>
      <c r="BA133" s="90"/>
      <c r="BB133" s="90"/>
      <c r="BC133" s="90"/>
      <c r="BD133" s="90"/>
      <c r="BE133" s="90"/>
      <c r="BF133" s="90"/>
      <c r="BG133" s="90"/>
      <c r="BH133" s="90"/>
      <c r="BI133" s="90"/>
    </row>
    <row r="134" ht="12.75" customHeight="1">
      <c r="A134" s="143"/>
      <c r="B134" s="430" t="s">
        <v>1032</v>
      </c>
      <c r="C134" s="143"/>
      <c r="D134" s="437" t="s">
        <v>124</v>
      </c>
      <c r="E134" s="432">
        <v>60000.0</v>
      </c>
      <c r="F134" s="433"/>
      <c r="G134" s="433"/>
      <c r="H134" s="438">
        <f>IF('Region Staffing'!G23="","",'Region Staffing'!G23-0.02)</f>
        <v>9.99</v>
      </c>
      <c r="I134" s="433" t="s">
        <v>151</v>
      </c>
      <c r="J134" s="434"/>
      <c r="K134" s="435">
        <v>0.0</v>
      </c>
      <c r="L134" s="435">
        <v>0.0</v>
      </c>
      <c r="M134" s="435">
        <f>'Region Staffing'!O23</f>
        <v>1</v>
      </c>
      <c r="N134" s="435">
        <f t="shared" ref="N134:AN134" si="103">IF($F134="",IF(N$2/$H134&lt;0.5,0,ROUNDUP(N$2/$H134,0)),IF(N$32&lt;$F134,0,1)+ROUNDDOWN(N$2/$H134,0))</f>
        <v>2</v>
      </c>
      <c r="O134" s="435">
        <f t="shared" si="103"/>
        <v>3</v>
      </c>
      <c r="P134" s="435">
        <f t="shared" si="103"/>
        <v>4</v>
      </c>
      <c r="Q134" s="435">
        <f t="shared" si="103"/>
        <v>5</v>
      </c>
      <c r="R134" s="435">
        <f t="shared" si="103"/>
        <v>8</v>
      </c>
      <c r="S134" s="435">
        <f t="shared" si="103"/>
        <v>10</v>
      </c>
      <c r="T134" s="435">
        <f t="shared" si="103"/>
        <v>11</v>
      </c>
      <c r="U134" s="435">
        <f t="shared" si="103"/>
        <v>11</v>
      </c>
      <c r="V134" s="435">
        <f t="shared" si="103"/>
        <v>11</v>
      </c>
      <c r="W134" s="435">
        <f t="shared" si="103"/>
        <v>11</v>
      </c>
      <c r="X134" s="435">
        <f t="shared" si="103"/>
        <v>11</v>
      </c>
      <c r="Y134" s="435">
        <f t="shared" si="103"/>
        <v>11</v>
      </c>
      <c r="Z134" s="435">
        <f t="shared" si="103"/>
        <v>11</v>
      </c>
      <c r="AA134" s="435">
        <f t="shared" si="103"/>
        <v>11</v>
      </c>
      <c r="AB134" s="435">
        <f t="shared" si="103"/>
        <v>11</v>
      </c>
      <c r="AC134" s="435">
        <f t="shared" si="103"/>
        <v>11</v>
      </c>
      <c r="AD134" s="435">
        <f t="shared" si="103"/>
        <v>11</v>
      </c>
      <c r="AE134" s="435">
        <f t="shared" si="103"/>
        <v>11</v>
      </c>
      <c r="AF134" s="435">
        <f t="shared" si="103"/>
        <v>11</v>
      </c>
      <c r="AG134" s="435">
        <f t="shared" si="103"/>
        <v>11</v>
      </c>
      <c r="AH134" s="435">
        <f t="shared" si="103"/>
        <v>11</v>
      </c>
      <c r="AI134" s="435">
        <f t="shared" si="103"/>
        <v>11</v>
      </c>
      <c r="AJ134" s="435">
        <f t="shared" si="103"/>
        <v>11</v>
      </c>
      <c r="AK134" s="435">
        <f t="shared" si="103"/>
        <v>11</v>
      </c>
      <c r="AL134" s="435">
        <f t="shared" si="103"/>
        <v>11</v>
      </c>
      <c r="AM134" s="435">
        <f t="shared" si="103"/>
        <v>11</v>
      </c>
      <c r="AN134" s="435">
        <f t="shared" si="103"/>
        <v>11</v>
      </c>
      <c r="AO134" s="90" t="s">
        <v>1033</v>
      </c>
      <c r="AP134" s="90"/>
      <c r="AQ134" s="90"/>
      <c r="AR134" s="90"/>
      <c r="AS134" s="90"/>
      <c r="AT134" s="90"/>
      <c r="AU134" s="90"/>
      <c r="AV134" s="90"/>
      <c r="AW134" s="90"/>
      <c r="AX134" s="90"/>
      <c r="AY134" s="90"/>
      <c r="AZ134" s="90"/>
      <c r="BA134" s="90"/>
      <c r="BB134" s="90"/>
      <c r="BC134" s="90"/>
      <c r="BD134" s="90"/>
      <c r="BE134" s="90"/>
      <c r="BF134" s="90"/>
      <c r="BG134" s="90"/>
      <c r="BH134" s="90"/>
      <c r="BI134" s="90"/>
    </row>
    <row r="135" ht="12.75" customHeight="1">
      <c r="A135" s="143"/>
      <c r="B135" s="430" t="s">
        <v>1034</v>
      </c>
      <c r="C135" s="143"/>
      <c r="D135" s="437" t="s">
        <v>124</v>
      </c>
      <c r="E135" s="432">
        <v>30000.0</v>
      </c>
      <c r="F135" s="433"/>
      <c r="G135" s="433"/>
      <c r="H135" s="438">
        <f>IF('Region Staffing'!G24="","",'Region Staffing'!G24-0.02)</f>
        <v>999.98</v>
      </c>
      <c r="I135" s="433" t="s">
        <v>151</v>
      </c>
      <c r="J135" s="434"/>
      <c r="K135" s="435">
        <v>0.0</v>
      </c>
      <c r="L135" s="435">
        <v>0.0</v>
      </c>
      <c r="M135" s="435">
        <f>'Region Staffing'!O24</f>
        <v>0</v>
      </c>
      <c r="N135" s="435">
        <f t="shared" ref="N135:AN135" si="104">IF($F135="",IF(N$2/$H135&lt;0.5,0,ROUNDUP(N$2/$H135,0)),IF(N$32&lt;$F135,0,1)+ROUNDDOWN(N$2/$H135,0))</f>
        <v>0</v>
      </c>
      <c r="O135" s="435">
        <f t="shared" si="104"/>
        <v>0</v>
      </c>
      <c r="P135" s="435">
        <f t="shared" si="104"/>
        <v>0</v>
      </c>
      <c r="Q135" s="435">
        <f t="shared" si="104"/>
        <v>0</v>
      </c>
      <c r="R135" s="435">
        <f t="shared" si="104"/>
        <v>0</v>
      </c>
      <c r="S135" s="435">
        <f t="shared" si="104"/>
        <v>0</v>
      </c>
      <c r="T135" s="435">
        <f t="shared" si="104"/>
        <v>0</v>
      </c>
      <c r="U135" s="435">
        <f t="shared" si="104"/>
        <v>0</v>
      </c>
      <c r="V135" s="435">
        <f t="shared" si="104"/>
        <v>0</v>
      </c>
      <c r="W135" s="435">
        <f t="shared" si="104"/>
        <v>0</v>
      </c>
      <c r="X135" s="435">
        <f t="shared" si="104"/>
        <v>0</v>
      </c>
      <c r="Y135" s="435">
        <f t="shared" si="104"/>
        <v>0</v>
      </c>
      <c r="Z135" s="435">
        <f t="shared" si="104"/>
        <v>0</v>
      </c>
      <c r="AA135" s="435">
        <f t="shared" si="104"/>
        <v>0</v>
      </c>
      <c r="AB135" s="435">
        <f t="shared" si="104"/>
        <v>0</v>
      </c>
      <c r="AC135" s="435">
        <f t="shared" si="104"/>
        <v>0</v>
      </c>
      <c r="AD135" s="435">
        <f t="shared" si="104"/>
        <v>0</v>
      </c>
      <c r="AE135" s="435">
        <f t="shared" si="104"/>
        <v>0</v>
      </c>
      <c r="AF135" s="435">
        <f t="shared" si="104"/>
        <v>0</v>
      </c>
      <c r="AG135" s="435">
        <f t="shared" si="104"/>
        <v>0</v>
      </c>
      <c r="AH135" s="435">
        <f t="shared" si="104"/>
        <v>0</v>
      </c>
      <c r="AI135" s="435">
        <f t="shared" si="104"/>
        <v>0</v>
      </c>
      <c r="AJ135" s="435">
        <f t="shared" si="104"/>
        <v>0</v>
      </c>
      <c r="AK135" s="435">
        <f t="shared" si="104"/>
        <v>0</v>
      </c>
      <c r="AL135" s="435">
        <f t="shared" si="104"/>
        <v>0</v>
      </c>
      <c r="AM135" s="435">
        <f t="shared" si="104"/>
        <v>0</v>
      </c>
      <c r="AN135" s="435">
        <f t="shared" si="104"/>
        <v>0</v>
      </c>
      <c r="AO135" s="90" t="s">
        <v>1035</v>
      </c>
      <c r="AP135" s="90"/>
      <c r="AQ135" s="90"/>
      <c r="AR135" s="90"/>
      <c r="AS135" s="90"/>
      <c r="AT135" s="90"/>
      <c r="AU135" s="90"/>
      <c r="AV135" s="90"/>
      <c r="AW135" s="90"/>
      <c r="AX135" s="90"/>
      <c r="AY135" s="90"/>
      <c r="AZ135" s="90"/>
      <c r="BA135" s="90"/>
      <c r="BB135" s="90"/>
      <c r="BC135" s="90"/>
      <c r="BD135" s="90"/>
      <c r="BE135" s="90"/>
      <c r="BF135" s="90"/>
      <c r="BG135" s="90"/>
      <c r="BH135" s="90"/>
      <c r="BI135" s="90"/>
    </row>
    <row r="136" ht="12.75" customHeight="1">
      <c r="A136" s="143"/>
      <c r="B136" s="430" t="s">
        <v>1036</v>
      </c>
      <c r="C136" s="143"/>
      <c r="D136" s="437" t="s">
        <v>126</v>
      </c>
      <c r="E136" s="432">
        <v>80000.0</v>
      </c>
      <c r="F136" s="433"/>
      <c r="G136" s="433"/>
      <c r="H136" s="438">
        <f>IF('Region Staffing'!G25="","",'Region Staffing'!G25-0.02)</f>
        <v>7.99</v>
      </c>
      <c r="I136" s="433" t="s">
        <v>124</v>
      </c>
      <c r="J136" s="434"/>
      <c r="K136" s="435">
        <v>0.0</v>
      </c>
      <c r="L136" s="435">
        <v>0.0</v>
      </c>
      <c r="M136" s="435">
        <f>'Region Staffing'!O25</f>
        <v>0</v>
      </c>
      <c r="N136" s="435">
        <f t="shared" ref="N136:AN136" si="105">IF($F136="",IF(N137/$H136&lt;0.5,0,ROUNDUP(N137/$H136,0)),IF(N$32&lt;$F136,0,1)+ROUNDDOWN(N137/$H136,0))</f>
        <v>0</v>
      </c>
      <c r="O136" s="435">
        <f t="shared" si="105"/>
        <v>0</v>
      </c>
      <c r="P136" s="435">
        <f t="shared" si="105"/>
        <v>0</v>
      </c>
      <c r="Q136" s="435">
        <f t="shared" si="105"/>
        <v>1</v>
      </c>
      <c r="R136" s="435">
        <f t="shared" si="105"/>
        <v>1</v>
      </c>
      <c r="S136" s="435">
        <f t="shared" si="105"/>
        <v>2</v>
      </c>
      <c r="T136" s="435">
        <f t="shared" si="105"/>
        <v>2</v>
      </c>
      <c r="U136" s="435">
        <f t="shared" si="105"/>
        <v>2</v>
      </c>
      <c r="V136" s="435">
        <f t="shared" si="105"/>
        <v>2</v>
      </c>
      <c r="W136" s="435">
        <f t="shared" si="105"/>
        <v>2</v>
      </c>
      <c r="X136" s="435">
        <f t="shared" si="105"/>
        <v>2</v>
      </c>
      <c r="Y136" s="435">
        <f t="shared" si="105"/>
        <v>2</v>
      </c>
      <c r="Z136" s="435">
        <f t="shared" si="105"/>
        <v>2</v>
      </c>
      <c r="AA136" s="435">
        <f t="shared" si="105"/>
        <v>2</v>
      </c>
      <c r="AB136" s="435">
        <f t="shared" si="105"/>
        <v>2</v>
      </c>
      <c r="AC136" s="435">
        <f t="shared" si="105"/>
        <v>2</v>
      </c>
      <c r="AD136" s="435">
        <f t="shared" si="105"/>
        <v>2</v>
      </c>
      <c r="AE136" s="435">
        <f t="shared" si="105"/>
        <v>2</v>
      </c>
      <c r="AF136" s="435">
        <f t="shared" si="105"/>
        <v>2</v>
      </c>
      <c r="AG136" s="435">
        <f t="shared" si="105"/>
        <v>2</v>
      </c>
      <c r="AH136" s="435">
        <f t="shared" si="105"/>
        <v>2</v>
      </c>
      <c r="AI136" s="435">
        <f t="shared" si="105"/>
        <v>2</v>
      </c>
      <c r="AJ136" s="435">
        <f t="shared" si="105"/>
        <v>2</v>
      </c>
      <c r="AK136" s="435">
        <f t="shared" si="105"/>
        <v>2</v>
      </c>
      <c r="AL136" s="435">
        <f t="shared" si="105"/>
        <v>2</v>
      </c>
      <c r="AM136" s="435">
        <f t="shared" si="105"/>
        <v>2</v>
      </c>
      <c r="AN136" s="435">
        <f t="shared" si="105"/>
        <v>2</v>
      </c>
      <c r="AO136" s="90" t="s">
        <v>1037</v>
      </c>
      <c r="AP136" s="90"/>
      <c r="AQ136" s="90"/>
      <c r="AR136" s="90"/>
      <c r="AS136" s="90"/>
      <c r="AT136" s="90"/>
      <c r="AU136" s="90"/>
      <c r="AV136" s="90"/>
      <c r="AW136" s="90"/>
      <c r="AX136" s="90"/>
      <c r="AY136" s="90"/>
      <c r="AZ136" s="90"/>
      <c r="BA136" s="90"/>
      <c r="BB136" s="90"/>
      <c r="BC136" s="90"/>
      <c r="BD136" s="90"/>
      <c r="BE136" s="90"/>
      <c r="BF136" s="90"/>
      <c r="BG136" s="90"/>
      <c r="BH136" s="90"/>
      <c r="BI136" s="90"/>
    </row>
    <row r="137" ht="12.75" customHeight="1">
      <c r="A137" s="143"/>
      <c r="B137" s="430" t="s">
        <v>1038</v>
      </c>
      <c r="C137" s="143"/>
      <c r="D137" s="437" t="s">
        <v>124</v>
      </c>
      <c r="E137" s="432">
        <v>60000.0</v>
      </c>
      <c r="F137" s="433"/>
      <c r="G137" s="433"/>
      <c r="H137" s="438">
        <f>IF('Region Staffing'!G26="","",'Region Staffing'!G26-0.02)</f>
        <v>11.99</v>
      </c>
      <c r="I137" s="433" t="s">
        <v>48</v>
      </c>
      <c r="J137" s="434"/>
      <c r="K137" s="435">
        <v>0.0</v>
      </c>
      <c r="L137" s="435">
        <v>0.0</v>
      </c>
      <c r="M137" s="435">
        <f>'Region Staffing'!O26</f>
        <v>0</v>
      </c>
      <c r="N137" s="435">
        <f t="shared" ref="N137:AN137" si="106">IF($F137="",IF(N$2/$H137&lt;0.5,0,ROUNDUP(N$2/$H137,0)),IF(N$32&lt;$F137,0,1)+ROUNDDOWN(N$2/$H137,0))</f>
        <v>2</v>
      </c>
      <c r="O137" s="435">
        <f t="shared" si="106"/>
        <v>2</v>
      </c>
      <c r="P137" s="435">
        <f t="shared" si="106"/>
        <v>3</v>
      </c>
      <c r="Q137" s="435">
        <f t="shared" si="106"/>
        <v>4</v>
      </c>
      <c r="R137" s="435">
        <f t="shared" si="106"/>
        <v>6</v>
      </c>
      <c r="S137" s="435">
        <f t="shared" si="106"/>
        <v>8</v>
      </c>
      <c r="T137" s="435">
        <f t="shared" si="106"/>
        <v>9</v>
      </c>
      <c r="U137" s="435">
        <f t="shared" si="106"/>
        <v>9</v>
      </c>
      <c r="V137" s="435">
        <f t="shared" si="106"/>
        <v>9</v>
      </c>
      <c r="W137" s="435">
        <f t="shared" si="106"/>
        <v>9</v>
      </c>
      <c r="X137" s="435">
        <f t="shared" si="106"/>
        <v>9</v>
      </c>
      <c r="Y137" s="435">
        <f t="shared" si="106"/>
        <v>9</v>
      </c>
      <c r="Z137" s="435">
        <f t="shared" si="106"/>
        <v>9</v>
      </c>
      <c r="AA137" s="435">
        <f t="shared" si="106"/>
        <v>9</v>
      </c>
      <c r="AB137" s="435">
        <f t="shared" si="106"/>
        <v>9</v>
      </c>
      <c r="AC137" s="435">
        <f t="shared" si="106"/>
        <v>9</v>
      </c>
      <c r="AD137" s="435">
        <f t="shared" si="106"/>
        <v>9</v>
      </c>
      <c r="AE137" s="435">
        <f t="shared" si="106"/>
        <v>9</v>
      </c>
      <c r="AF137" s="435">
        <f t="shared" si="106"/>
        <v>9</v>
      </c>
      <c r="AG137" s="435">
        <f t="shared" si="106"/>
        <v>9</v>
      </c>
      <c r="AH137" s="435">
        <f t="shared" si="106"/>
        <v>9</v>
      </c>
      <c r="AI137" s="435">
        <f t="shared" si="106"/>
        <v>9</v>
      </c>
      <c r="AJ137" s="435">
        <f t="shared" si="106"/>
        <v>9</v>
      </c>
      <c r="AK137" s="435">
        <f t="shared" si="106"/>
        <v>9</v>
      </c>
      <c r="AL137" s="435">
        <f t="shared" si="106"/>
        <v>9</v>
      </c>
      <c r="AM137" s="435">
        <f t="shared" si="106"/>
        <v>9</v>
      </c>
      <c r="AN137" s="435">
        <f t="shared" si="106"/>
        <v>9</v>
      </c>
      <c r="AO137" s="90" t="s">
        <v>941</v>
      </c>
      <c r="AP137" s="90"/>
      <c r="AQ137" s="90"/>
      <c r="AR137" s="90"/>
      <c r="AS137" s="90"/>
      <c r="AT137" s="90"/>
      <c r="AU137" s="90"/>
      <c r="AV137" s="90"/>
      <c r="AW137" s="90"/>
      <c r="AX137" s="90"/>
      <c r="AY137" s="90"/>
      <c r="AZ137" s="90"/>
      <c r="BA137" s="90"/>
      <c r="BB137" s="90"/>
      <c r="BC137" s="90"/>
      <c r="BD137" s="90"/>
      <c r="BE137" s="90"/>
      <c r="BF137" s="90"/>
      <c r="BG137" s="90"/>
      <c r="BH137" s="90"/>
      <c r="BI137" s="90"/>
    </row>
    <row r="138" ht="12.75" customHeight="1">
      <c r="A138" s="143"/>
      <c r="B138" s="430" t="s">
        <v>1039</v>
      </c>
      <c r="C138" s="143"/>
      <c r="D138" s="437" t="s">
        <v>126</v>
      </c>
      <c r="E138" s="432">
        <v>80000.0</v>
      </c>
      <c r="F138" s="433"/>
      <c r="G138" s="433"/>
      <c r="H138" s="438">
        <f>IF('Region Staffing'!G27="","",'Region Staffing'!G27-0.02)</f>
        <v>7.99</v>
      </c>
      <c r="I138" s="433" t="s">
        <v>124</v>
      </c>
      <c r="J138" s="434"/>
      <c r="K138" s="435">
        <v>0.0</v>
      </c>
      <c r="L138" s="435">
        <v>0.0</v>
      </c>
      <c r="M138" s="435">
        <f>'Region Staffing'!O27</f>
        <v>0</v>
      </c>
      <c r="N138" s="435">
        <f t="shared" ref="N138:AN138" si="107">IF($F138="",IF(N139/$H138&lt;0.5,0,ROUNDUP(N139/$H138,0)),IF(N$32&lt;$F138,0,1)+ROUNDDOWN(N139/$H138,0))</f>
        <v>0</v>
      </c>
      <c r="O138" s="435">
        <f t="shared" si="107"/>
        <v>0</v>
      </c>
      <c r="P138" s="435">
        <f t="shared" si="107"/>
        <v>0</v>
      </c>
      <c r="Q138" s="435">
        <f t="shared" si="107"/>
        <v>0</v>
      </c>
      <c r="R138" s="435">
        <f t="shared" si="107"/>
        <v>0</v>
      </c>
      <c r="S138" s="435">
        <f t="shared" si="107"/>
        <v>1</v>
      </c>
      <c r="T138" s="435">
        <f t="shared" si="107"/>
        <v>1</v>
      </c>
      <c r="U138" s="435">
        <f t="shared" si="107"/>
        <v>1</v>
      </c>
      <c r="V138" s="435">
        <f t="shared" si="107"/>
        <v>1</v>
      </c>
      <c r="W138" s="435">
        <f t="shared" si="107"/>
        <v>1</v>
      </c>
      <c r="X138" s="435">
        <f t="shared" si="107"/>
        <v>1</v>
      </c>
      <c r="Y138" s="435">
        <f t="shared" si="107"/>
        <v>1</v>
      </c>
      <c r="Z138" s="435">
        <f t="shared" si="107"/>
        <v>1</v>
      </c>
      <c r="AA138" s="435">
        <f t="shared" si="107"/>
        <v>1</v>
      </c>
      <c r="AB138" s="435">
        <f t="shared" si="107"/>
        <v>1</v>
      </c>
      <c r="AC138" s="435">
        <f t="shared" si="107"/>
        <v>1</v>
      </c>
      <c r="AD138" s="435">
        <f t="shared" si="107"/>
        <v>1</v>
      </c>
      <c r="AE138" s="435">
        <f t="shared" si="107"/>
        <v>1</v>
      </c>
      <c r="AF138" s="435">
        <f t="shared" si="107"/>
        <v>1</v>
      </c>
      <c r="AG138" s="435">
        <f t="shared" si="107"/>
        <v>1</v>
      </c>
      <c r="AH138" s="435">
        <f t="shared" si="107"/>
        <v>1</v>
      </c>
      <c r="AI138" s="435">
        <f t="shared" si="107"/>
        <v>1</v>
      </c>
      <c r="AJ138" s="435">
        <f t="shared" si="107"/>
        <v>1</v>
      </c>
      <c r="AK138" s="435">
        <f t="shared" si="107"/>
        <v>1</v>
      </c>
      <c r="AL138" s="435">
        <f t="shared" si="107"/>
        <v>1</v>
      </c>
      <c r="AM138" s="435">
        <f t="shared" si="107"/>
        <v>1</v>
      </c>
      <c r="AN138" s="435">
        <f t="shared" si="107"/>
        <v>1</v>
      </c>
      <c r="AO138" s="90" t="s">
        <v>1040</v>
      </c>
      <c r="AS138" s="90"/>
    </row>
    <row r="139" ht="12.75" customHeight="1">
      <c r="A139" s="143"/>
      <c r="B139" s="430" t="s">
        <v>1041</v>
      </c>
      <c r="C139" s="143"/>
      <c r="D139" s="437" t="s">
        <v>124</v>
      </c>
      <c r="E139" s="432">
        <v>60000.0</v>
      </c>
      <c r="F139" s="433"/>
      <c r="G139" s="433"/>
      <c r="H139" s="438">
        <f>IF('Region Staffing'!G28="","",'Region Staffing'!G28-0.02)</f>
        <v>29.99</v>
      </c>
      <c r="I139" s="433" t="s">
        <v>151</v>
      </c>
      <c r="J139" s="434"/>
      <c r="K139" s="435">
        <v>0.0</v>
      </c>
      <c r="L139" s="435">
        <v>0.0</v>
      </c>
      <c r="M139" s="435">
        <f>'Region Staffing'!O28</f>
        <v>0</v>
      </c>
      <c r="N139" s="435">
        <f t="shared" ref="N139:AN139" si="108">IF($F139="",IF(N$2/$H139&lt;0.5,0,ROUNDUP(N$2/$H139,0)),IF(N$32&lt;$F139,0,1)+ROUNDDOWN(N$2/$H139,0))</f>
        <v>0</v>
      </c>
      <c r="O139" s="435">
        <f t="shared" si="108"/>
        <v>1</v>
      </c>
      <c r="P139" s="435">
        <f t="shared" si="108"/>
        <v>2</v>
      </c>
      <c r="Q139" s="435">
        <f t="shared" si="108"/>
        <v>2</v>
      </c>
      <c r="R139" s="435">
        <f t="shared" si="108"/>
        <v>3</v>
      </c>
      <c r="S139" s="435">
        <f t="shared" si="108"/>
        <v>4</v>
      </c>
      <c r="T139" s="435">
        <f t="shared" si="108"/>
        <v>4</v>
      </c>
      <c r="U139" s="435">
        <f t="shared" si="108"/>
        <v>4</v>
      </c>
      <c r="V139" s="435">
        <f t="shared" si="108"/>
        <v>4</v>
      </c>
      <c r="W139" s="435">
        <f t="shared" si="108"/>
        <v>4</v>
      </c>
      <c r="X139" s="435">
        <f t="shared" si="108"/>
        <v>4</v>
      </c>
      <c r="Y139" s="435">
        <f t="shared" si="108"/>
        <v>4</v>
      </c>
      <c r="Z139" s="435">
        <f t="shared" si="108"/>
        <v>4</v>
      </c>
      <c r="AA139" s="435">
        <f t="shared" si="108"/>
        <v>4</v>
      </c>
      <c r="AB139" s="435">
        <f t="shared" si="108"/>
        <v>4</v>
      </c>
      <c r="AC139" s="435">
        <f t="shared" si="108"/>
        <v>4</v>
      </c>
      <c r="AD139" s="435">
        <f t="shared" si="108"/>
        <v>4</v>
      </c>
      <c r="AE139" s="435">
        <f t="shared" si="108"/>
        <v>4</v>
      </c>
      <c r="AF139" s="435">
        <f t="shared" si="108"/>
        <v>4</v>
      </c>
      <c r="AG139" s="435">
        <f t="shared" si="108"/>
        <v>4</v>
      </c>
      <c r="AH139" s="435">
        <f t="shared" si="108"/>
        <v>4</v>
      </c>
      <c r="AI139" s="435">
        <f t="shared" si="108"/>
        <v>4</v>
      </c>
      <c r="AJ139" s="435">
        <f t="shared" si="108"/>
        <v>4</v>
      </c>
      <c r="AK139" s="435">
        <f t="shared" si="108"/>
        <v>4</v>
      </c>
      <c r="AL139" s="435">
        <f t="shared" si="108"/>
        <v>4</v>
      </c>
      <c r="AM139" s="435">
        <f t="shared" si="108"/>
        <v>4</v>
      </c>
      <c r="AN139" s="435">
        <f t="shared" si="108"/>
        <v>4</v>
      </c>
      <c r="AO139" s="90" t="s">
        <v>1042</v>
      </c>
      <c r="AS139" s="90"/>
    </row>
    <row r="140" ht="12.75" customHeight="1">
      <c r="A140" s="90"/>
      <c r="B140" s="90"/>
      <c r="C140" s="400"/>
      <c r="D140" s="90"/>
      <c r="E140" s="102"/>
      <c r="F140" s="67" t="s">
        <v>172</v>
      </c>
      <c r="G140" s="90"/>
      <c r="H140" s="67" t="s">
        <v>172</v>
      </c>
      <c r="I140" s="67"/>
      <c r="J140" s="186"/>
      <c r="K140" s="86" t="str">
        <f t="shared" ref="K140:AN140" si="109">SUM(K37:K139)</f>
        <v>#REF!</v>
      </c>
      <c r="L140" s="86" t="str">
        <f t="shared" si="109"/>
        <v>#REF!</v>
      </c>
      <c r="M140" s="86" t="str">
        <f t="shared" si="109"/>
        <v>#REF!</v>
      </c>
      <c r="N140" s="86" t="str">
        <f t="shared" si="109"/>
        <v>#REF!</v>
      </c>
      <c r="O140" s="86" t="str">
        <f t="shared" si="109"/>
        <v>#REF!</v>
      </c>
      <c r="P140" s="86" t="str">
        <f t="shared" si="109"/>
        <v>#REF!</v>
      </c>
      <c r="Q140" s="86" t="str">
        <f t="shared" si="109"/>
        <v>#REF!</v>
      </c>
      <c r="R140" s="86" t="str">
        <f t="shared" si="109"/>
        <v>#REF!</v>
      </c>
      <c r="S140" s="86" t="str">
        <f t="shared" si="109"/>
        <v>#REF!</v>
      </c>
      <c r="T140" s="86" t="str">
        <f t="shared" si="109"/>
        <v>#REF!</v>
      </c>
      <c r="U140" s="86" t="str">
        <f t="shared" si="109"/>
        <v>#REF!</v>
      </c>
      <c r="V140" s="86" t="str">
        <f t="shared" si="109"/>
        <v>#REF!</v>
      </c>
      <c r="W140" s="86" t="str">
        <f t="shared" si="109"/>
        <v>#REF!</v>
      </c>
      <c r="X140" s="86" t="str">
        <f t="shared" si="109"/>
        <v>#REF!</v>
      </c>
      <c r="Y140" s="86" t="str">
        <f t="shared" si="109"/>
        <v>#REF!</v>
      </c>
      <c r="Z140" s="86" t="str">
        <f t="shared" si="109"/>
        <v>#REF!</v>
      </c>
      <c r="AA140" s="86" t="str">
        <f t="shared" si="109"/>
        <v>#REF!</v>
      </c>
      <c r="AB140" s="86" t="str">
        <f t="shared" si="109"/>
        <v>#REF!</v>
      </c>
      <c r="AC140" s="86" t="str">
        <f t="shared" si="109"/>
        <v>#REF!</v>
      </c>
      <c r="AD140" s="86" t="str">
        <f t="shared" si="109"/>
        <v>#REF!</v>
      </c>
      <c r="AE140" s="86" t="str">
        <f t="shared" si="109"/>
        <v>#REF!</v>
      </c>
      <c r="AF140" s="86" t="str">
        <f t="shared" si="109"/>
        <v>#REF!</v>
      </c>
      <c r="AG140" s="86" t="str">
        <f t="shared" si="109"/>
        <v>#REF!</v>
      </c>
      <c r="AH140" s="86" t="str">
        <f t="shared" si="109"/>
        <v>#REF!</v>
      </c>
      <c r="AI140" s="86" t="str">
        <f t="shared" si="109"/>
        <v>#REF!</v>
      </c>
      <c r="AJ140" s="86" t="str">
        <f t="shared" si="109"/>
        <v>#REF!</v>
      </c>
      <c r="AK140" s="86" t="str">
        <f t="shared" si="109"/>
        <v>#REF!</v>
      </c>
      <c r="AL140" s="86" t="str">
        <f t="shared" si="109"/>
        <v>#REF!</v>
      </c>
      <c r="AM140" s="86" t="str">
        <f t="shared" si="109"/>
        <v>#REF!</v>
      </c>
      <c r="AN140" s="86" t="str">
        <f t="shared" si="109"/>
        <v>#REF!</v>
      </c>
      <c r="AO140" s="400"/>
    </row>
    <row r="141" ht="12.75" customHeight="1">
      <c r="A141" s="90"/>
      <c r="B141" s="90"/>
      <c r="C141" s="400"/>
      <c r="D141" s="90"/>
      <c r="E141" s="102"/>
      <c r="F141" s="90"/>
      <c r="G141" s="90"/>
      <c r="H141" s="90"/>
      <c r="I141" s="90"/>
      <c r="J141" s="102"/>
      <c r="K141" s="102"/>
      <c r="L141" s="102"/>
      <c r="M141" s="102"/>
      <c r="N141" s="102"/>
      <c r="O141" s="102"/>
      <c r="P141" s="102"/>
      <c r="Q141" s="102"/>
      <c r="R141" s="102"/>
      <c r="S141" s="102"/>
      <c r="T141" s="102"/>
      <c r="U141" s="102"/>
      <c r="V141" s="102"/>
      <c r="W141" s="102"/>
      <c r="X141" s="102"/>
      <c r="Y141" s="102"/>
      <c r="Z141" s="102"/>
      <c r="AA141" s="102"/>
      <c r="AB141" s="102"/>
      <c r="AC141" s="102"/>
      <c r="AD141" s="102"/>
      <c r="AE141" s="102"/>
      <c r="AF141" s="102"/>
      <c r="AG141" s="102"/>
      <c r="AH141" s="102"/>
      <c r="AI141" s="102"/>
      <c r="AJ141" s="102"/>
      <c r="AK141" s="102"/>
      <c r="AL141" s="102"/>
      <c r="AM141" s="102"/>
      <c r="AN141" s="102"/>
      <c r="AO141" s="400"/>
    </row>
    <row r="142" ht="12.75" customHeight="1">
      <c r="A142" s="90"/>
      <c r="B142" s="90"/>
      <c r="C142" s="400"/>
      <c r="D142" s="90"/>
      <c r="E142" s="102"/>
      <c r="F142" s="90"/>
      <c r="G142" s="90"/>
      <c r="H142" s="90"/>
      <c r="I142" s="90"/>
      <c r="J142" s="102"/>
      <c r="K142" s="102">
        <f>60*1.25/4</f>
        <v>18.75</v>
      </c>
      <c r="L142" s="102"/>
      <c r="M142" s="102"/>
      <c r="N142" s="102"/>
      <c r="O142" s="102"/>
      <c r="P142" s="102"/>
      <c r="Q142" s="102"/>
      <c r="R142" s="102"/>
      <c r="S142" s="102"/>
      <c r="T142" s="102"/>
      <c r="U142" s="102"/>
      <c r="V142" s="102"/>
      <c r="W142" s="102"/>
      <c r="X142" s="102"/>
      <c r="Y142" s="102"/>
      <c r="Z142" s="102"/>
      <c r="AA142" s="102"/>
      <c r="AB142" s="102"/>
      <c r="AC142" s="102"/>
      <c r="AD142" s="102"/>
      <c r="AE142" s="102"/>
      <c r="AF142" s="102"/>
      <c r="AG142" s="102"/>
      <c r="AH142" s="102"/>
      <c r="AI142" s="102"/>
      <c r="AJ142" s="102"/>
      <c r="AK142" s="102"/>
      <c r="AL142" s="102"/>
      <c r="AM142" s="102"/>
      <c r="AN142" s="102"/>
      <c r="AO142" s="400"/>
    </row>
    <row r="143" ht="12.75" customHeight="1">
      <c r="A143" s="90"/>
      <c r="B143" s="90"/>
      <c r="C143" s="400"/>
      <c r="D143" s="90"/>
      <c r="E143" s="102"/>
      <c r="F143" s="90"/>
      <c r="G143" s="90"/>
      <c r="H143" s="90"/>
      <c r="I143" s="90"/>
      <c r="J143" s="102"/>
      <c r="K143" s="102"/>
      <c r="L143" s="102"/>
      <c r="M143" s="102"/>
      <c r="N143" s="102"/>
      <c r="O143" s="102"/>
      <c r="P143" s="102"/>
      <c r="Q143" s="102"/>
      <c r="R143" s="102"/>
      <c r="S143" s="102"/>
      <c r="T143" s="102"/>
      <c r="U143" s="102"/>
      <c r="V143" s="102"/>
      <c r="W143" s="102"/>
      <c r="X143" s="102"/>
      <c r="Y143" s="102"/>
      <c r="Z143" s="102"/>
      <c r="AA143" s="102"/>
      <c r="AB143" s="102"/>
      <c r="AC143" s="102"/>
      <c r="AD143" s="102"/>
      <c r="AE143" s="102"/>
      <c r="AF143" s="102"/>
      <c r="AG143" s="102"/>
      <c r="AH143" s="102"/>
      <c r="AI143" s="102"/>
      <c r="AJ143" s="102"/>
      <c r="AK143" s="102"/>
      <c r="AL143" s="102"/>
      <c r="AM143" s="102"/>
      <c r="AN143" s="102"/>
      <c r="AO143" s="400"/>
    </row>
    <row r="144" ht="12.75" customHeight="1">
      <c r="A144" s="90"/>
      <c r="B144" s="90"/>
      <c r="C144" s="400"/>
      <c r="D144" s="90"/>
      <c r="E144" s="102"/>
      <c r="F144" s="90"/>
      <c r="G144" s="90"/>
      <c r="H144" s="90"/>
      <c r="I144" s="90"/>
      <c r="J144" s="102"/>
      <c r="K144" s="102"/>
      <c r="L144" s="102"/>
      <c r="M144" s="102"/>
      <c r="N144" s="102"/>
      <c r="O144" s="102"/>
      <c r="P144" s="102"/>
      <c r="Q144" s="102"/>
      <c r="R144" s="102"/>
      <c r="S144" s="102"/>
      <c r="T144" s="102"/>
      <c r="U144" s="102"/>
      <c r="V144" s="102"/>
      <c r="W144" s="102"/>
      <c r="X144" s="102"/>
      <c r="Y144" s="102"/>
      <c r="Z144" s="102"/>
      <c r="AA144" s="102"/>
      <c r="AB144" s="102"/>
      <c r="AC144" s="102"/>
      <c r="AD144" s="102"/>
      <c r="AE144" s="102"/>
      <c r="AF144" s="102"/>
      <c r="AG144" s="102"/>
      <c r="AH144" s="102"/>
      <c r="AI144" s="102"/>
      <c r="AJ144" s="102"/>
      <c r="AK144" s="102"/>
      <c r="AL144" s="102"/>
      <c r="AM144" s="102"/>
      <c r="AN144" s="102"/>
      <c r="AO144" s="400"/>
      <c r="AP144" s="90"/>
      <c r="AQ144" s="90"/>
      <c r="AR144" s="90"/>
      <c r="AS144" s="90"/>
      <c r="AT144" s="90"/>
      <c r="AU144" s="90"/>
      <c r="AV144" s="90"/>
      <c r="AW144" s="90"/>
      <c r="AX144" s="90"/>
      <c r="AY144" s="90"/>
      <c r="AZ144" s="90"/>
      <c r="BA144" s="90"/>
      <c r="BB144" s="90"/>
      <c r="BC144" s="90"/>
      <c r="BD144" s="90"/>
      <c r="BE144" s="90"/>
      <c r="BF144" s="90"/>
      <c r="BG144" s="90"/>
      <c r="BH144" s="90"/>
      <c r="BI144" s="90"/>
    </row>
    <row r="145" ht="12.75" customHeight="1">
      <c r="A145" s="90"/>
      <c r="B145" s="90"/>
      <c r="C145" s="400"/>
      <c r="D145" s="90"/>
      <c r="E145" s="102"/>
      <c r="F145" s="90"/>
      <c r="G145" s="90"/>
      <c r="H145" s="90"/>
      <c r="I145" s="90"/>
      <c r="J145" s="102"/>
      <c r="K145" s="102"/>
      <c r="L145" s="102"/>
      <c r="M145" s="102"/>
      <c r="N145" s="102"/>
      <c r="O145" s="102"/>
      <c r="P145" s="102"/>
      <c r="Q145" s="102"/>
      <c r="R145" s="102"/>
      <c r="S145" s="102"/>
      <c r="T145" s="102"/>
      <c r="U145" s="102"/>
      <c r="V145" s="102"/>
      <c r="W145" s="102"/>
      <c r="X145" s="102"/>
      <c r="Y145" s="102"/>
      <c r="Z145" s="102"/>
      <c r="AA145" s="102"/>
      <c r="AB145" s="102"/>
      <c r="AC145" s="102"/>
      <c r="AD145" s="102"/>
      <c r="AE145" s="102"/>
      <c r="AF145" s="102"/>
      <c r="AG145" s="102"/>
      <c r="AH145" s="102"/>
      <c r="AI145" s="102"/>
      <c r="AJ145" s="102"/>
      <c r="AK145" s="102"/>
      <c r="AL145" s="102"/>
      <c r="AM145" s="102"/>
      <c r="AN145" s="102"/>
      <c r="AO145" s="400"/>
      <c r="AP145" s="90"/>
      <c r="AQ145" s="90"/>
      <c r="AR145" s="90"/>
      <c r="AS145" s="90"/>
      <c r="AT145" s="90"/>
      <c r="AU145" s="90"/>
      <c r="AV145" s="90"/>
      <c r="AW145" s="90"/>
      <c r="AX145" s="90"/>
      <c r="AY145" s="90"/>
      <c r="AZ145" s="90"/>
      <c r="BA145" s="90"/>
      <c r="BB145" s="90"/>
      <c r="BC145" s="90"/>
      <c r="BD145" s="90"/>
      <c r="BE145" s="90"/>
      <c r="BF145" s="90"/>
      <c r="BG145" s="90"/>
      <c r="BH145" s="90"/>
      <c r="BI145" s="90"/>
    </row>
    <row r="146" ht="12.75" customHeight="1">
      <c r="A146" s="90"/>
      <c r="B146" s="90"/>
      <c r="C146" s="400"/>
      <c r="D146" s="90"/>
      <c r="E146" s="102"/>
      <c r="F146" s="90"/>
      <c r="G146" s="90"/>
      <c r="H146" s="90"/>
      <c r="I146" s="90"/>
      <c r="J146" s="102"/>
      <c r="K146" s="102"/>
      <c r="L146" s="102"/>
      <c r="M146" s="102"/>
      <c r="N146" s="102"/>
      <c r="O146" s="102"/>
      <c r="P146" s="102"/>
      <c r="Q146" s="102"/>
      <c r="R146" s="102"/>
      <c r="S146" s="102"/>
      <c r="T146" s="102"/>
      <c r="U146" s="102"/>
      <c r="V146" s="102"/>
      <c r="W146" s="102"/>
      <c r="X146" s="102"/>
      <c r="Y146" s="102"/>
      <c r="Z146" s="102"/>
      <c r="AA146" s="102"/>
      <c r="AB146" s="102"/>
      <c r="AC146" s="102"/>
      <c r="AD146" s="102"/>
      <c r="AE146" s="102"/>
      <c r="AF146" s="102"/>
      <c r="AG146" s="102"/>
      <c r="AH146" s="102"/>
      <c r="AI146" s="102"/>
      <c r="AJ146" s="102"/>
      <c r="AK146" s="102"/>
      <c r="AL146" s="102"/>
      <c r="AM146" s="102"/>
      <c r="AN146" s="102"/>
      <c r="AO146" s="400"/>
      <c r="AP146" s="90"/>
      <c r="AQ146" s="90"/>
      <c r="AR146" s="90"/>
      <c r="AS146" s="90"/>
      <c r="AT146" s="90"/>
      <c r="AU146" s="90"/>
      <c r="AV146" s="90"/>
      <c r="AW146" s="90"/>
      <c r="AX146" s="90"/>
      <c r="AY146" s="90"/>
      <c r="AZ146" s="90"/>
      <c r="BA146" s="90"/>
      <c r="BB146" s="90"/>
      <c r="BC146" s="90"/>
      <c r="BD146" s="90"/>
      <c r="BE146" s="90"/>
      <c r="BF146" s="90"/>
      <c r="BG146" s="90"/>
      <c r="BH146" s="90"/>
      <c r="BI146" s="90"/>
    </row>
    <row r="147" ht="12.75" customHeight="1">
      <c r="A147" s="90"/>
      <c r="B147" s="90"/>
      <c r="C147" s="400"/>
      <c r="D147" s="90"/>
      <c r="E147" s="102"/>
      <c r="F147" s="90"/>
      <c r="G147" s="90"/>
      <c r="H147" s="90"/>
      <c r="I147" s="90"/>
      <c r="J147" s="102"/>
      <c r="K147" s="102"/>
      <c r="L147" s="102"/>
      <c r="M147" s="102"/>
      <c r="N147" s="102"/>
      <c r="O147" s="102"/>
      <c r="P147" s="102"/>
      <c r="Q147" s="102"/>
      <c r="R147" s="102"/>
      <c r="S147" s="102"/>
      <c r="T147" s="102"/>
      <c r="U147" s="102"/>
      <c r="V147" s="102"/>
      <c r="W147" s="102"/>
      <c r="X147" s="102"/>
      <c r="Y147" s="102"/>
      <c r="Z147" s="102"/>
      <c r="AA147" s="102"/>
      <c r="AB147" s="102"/>
      <c r="AC147" s="102"/>
      <c r="AD147" s="102"/>
      <c r="AE147" s="102"/>
      <c r="AF147" s="102"/>
      <c r="AG147" s="102"/>
      <c r="AH147" s="102"/>
      <c r="AI147" s="102"/>
      <c r="AJ147" s="102"/>
      <c r="AK147" s="102"/>
      <c r="AL147" s="102"/>
      <c r="AM147" s="102"/>
      <c r="AN147" s="102"/>
      <c r="AO147" s="400"/>
      <c r="AP147" s="90"/>
      <c r="AQ147" s="90"/>
      <c r="AR147" s="90"/>
      <c r="AS147" s="90"/>
      <c r="AT147" s="90"/>
      <c r="AU147" s="90"/>
      <c r="AV147" s="90"/>
      <c r="AW147" s="90"/>
      <c r="AX147" s="90"/>
      <c r="AY147" s="90"/>
      <c r="AZ147" s="90"/>
      <c r="BA147" s="90"/>
      <c r="BB147" s="90"/>
      <c r="BC147" s="90"/>
      <c r="BD147" s="90"/>
      <c r="BE147" s="90"/>
      <c r="BF147" s="90"/>
      <c r="BG147" s="90"/>
      <c r="BH147" s="90"/>
      <c r="BI147" s="90"/>
    </row>
    <row r="148" ht="12.75" customHeight="1">
      <c r="A148" s="90"/>
      <c r="B148" s="90"/>
      <c r="C148" s="400"/>
      <c r="D148" s="90"/>
      <c r="E148" s="102"/>
      <c r="F148" s="90"/>
      <c r="G148" s="90"/>
      <c r="H148" s="90"/>
      <c r="I148" s="90"/>
      <c r="J148" s="102"/>
      <c r="K148" s="102"/>
      <c r="L148" s="102"/>
      <c r="M148" s="102"/>
      <c r="N148" s="102"/>
      <c r="O148" s="102"/>
      <c r="P148" s="102"/>
      <c r="Q148" s="102"/>
      <c r="R148" s="102"/>
      <c r="S148" s="102"/>
      <c r="T148" s="102"/>
      <c r="U148" s="102"/>
      <c r="V148" s="102"/>
      <c r="W148" s="102"/>
      <c r="X148" s="102"/>
      <c r="Y148" s="102"/>
      <c r="Z148" s="102"/>
      <c r="AA148" s="102"/>
      <c r="AB148" s="102"/>
      <c r="AC148" s="102"/>
      <c r="AD148" s="102"/>
      <c r="AE148" s="102"/>
      <c r="AF148" s="102"/>
      <c r="AG148" s="102"/>
      <c r="AH148" s="102"/>
      <c r="AI148" s="102"/>
      <c r="AJ148" s="102"/>
      <c r="AK148" s="102"/>
      <c r="AL148" s="102"/>
      <c r="AM148" s="102"/>
      <c r="AN148" s="102"/>
      <c r="AO148" s="400"/>
      <c r="AP148" s="90"/>
      <c r="AQ148" s="90"/>
      <c r="AR148" s="90"/>
      <c r="AS148" s="90"/>
      <c r="AT148" s="90"/>
      <c r="AU148" s="90"/>
      <c r="AV148" s="90"/>
      <c r="AW148" s="90"/>
      <c r="AX148" s="90"/>
      <c r="AY148" s="90"/>
      <c r="AZ148" s="90"/>
      <c r="BA148" s="90"/>
      <c r="BB148" s="90"/>
      <c r="BC148" s="90"/>
      <c r="BD148" s="90"/>
      <c r="BE148" s="90"/>
      <c r="BF148" s="90"/>
      <c r="BG148" s="90"/>
      <c r="BH148" s="90"/>
      <c r="BI148" s="90"/>
    </row>
    <row r="149" ht="12.75" customHeight="1">
      <c r="A149" s="90"/>
      <c r="B149" s="90"/>
      <c r="C149" s="400"/>
      <c r="D149" s="90"/>
      <c r="E149" s="102"/>
      <c r="F149" s="90"/>
      <c r="G149" s="90"/>
      <c r="H149" s="90"/>
      <c r="I149" s="90"/>
      <c r="J149" s="102"/>
      <c r="K149" s="102"/>
      <c r="L149" s="102"/>
      <c r="M149" s="102"/>
      <c r="N149" s="102"/>
      <c r="O149" s="102"/>
      <c r="P149" s="102"/>
      <c r="Q149" s="102"/>
      <c r="R149" s="102"/>
      <c r="S149" s="102"/>
      <c r="T149" s="102"/>
      <c r="U149" s="102"/>
      <c r="V149" s="102"/>
      <c r="W149" s="102"/>
      <c r="X149" s="102"/>
      <c r="Y149" s="102"/>
      <c r="Z149" s="102"/>
      <c r="AA149" s="102"/>
      <c r="AB149" s="102"/>
      <c r="AC149" s="102"/>
      <c r="AD149" s="102"/>
      <c r="AE149" s="102"/>
      <c r="AF149" s="102"/>
      <c r="AG149" s="102"/>
      <c r="AH149" s="102"/>
      <c r="AI149" s="102"/>
      <c r="AJ149" s="102"/>
      <c r="AK149" s="102"/>
      <c r="AL149" s="102"/>
      <c r="AM149" s="102"/>
      <c r="AN149" s="102"/>
      <c r="AO149" s="400"/>
      <c r="AP149" s="90"/>
      <c r="AQ149" s="90"/>
      <c r="AR149" s="90"/>
      <c r="AS149" s="90"/>
      <c r="AT149" s="90"/>
      <c r="AU149" s="90"/>
      <c r="AV149" s="90"/>
      <c r="AW149" s="90"/>
      <c r="AX149" s="90"/>
      <c r="AY149" s="90"/>
      <c r="AZ149" s="90"/>
      <c r="BA149" s="90"/>
      <c r="BB149" s="90"/>
      <c r="BC149" s="90"/>
      <c r="BD149" s="90"/>
      <c r="BE149" s="90"/>
      <c r="BF149" s="90"/>
      <c r="BG149" s="90"/>
      <c r="BH149" s="90"/>
      <c r="BI149" s="90"/>
    </row>
    <row r="150" ht="12.75" customHeight="1">
      <c r="A150" s="90"/>
      <c r="B150" s="90"/>
      <c r="C150" s="400"/>
      <c r="D150" s="90"/>
      <c r="E150" s="102"/>
      <c r="F150" s="90"/>
      <c r="G150" s="90"/>
      <c r="H150" s="90"/>
      <c r="I150" s="90"/>
      <c r="J150" s="102"/>
      <c r="K150" s="102"/>
      <c r="L150" s="102"/>
      <c r="M150" s="102"/>
      <c r="N150" s="102"/>
      <c r="O150" s="102"/>
      <c r="P150" s="102"/>
      <c r="Q150" s="102"/>
      <c r="R150" s="102"/>
      <c r="S150" s="102"/>
      <c r="T150" s="102"/>
      <c r="U150" s="102"/>
      <c r="V150" s="102"/>
      <c r="W150" s="102"/>
      <c r="X150" s="102"/>
      <c r="Y150" s="102"/>
      <c r="Z150" s="102"/>
      <c r="AA150" s="102"/>
      <c r="AB150" s="102"/>
      <c r="AC150" s="102"/>
      <c r="AD150" s="102"/>
      <c r="AE150" s="102"/>
      <c r="AF150" s="102"/>
      <c r="AG150" s="102"/>
      <c r="AH150" s="102"/>
      <c r="AI150" s="102"/>
      <c r="AJ150" s="102"/>
      <c r="AK150" s="102"/>
      <c r="AL150" s="102"/>
      <c r="AM150" s="102"/>
      <c r="AN150" s="102"/>
      <c r="AO150" s="400"/>
      <c r="AP150" s="90"/>
      <c r="AQ150" s="90"/>
      <c r="AR150" s="90"/>
      <c r="AS150" s="90"/>
      <c r="AT150" s="90"/>
      <c r="AU150" s="90"/>
      <c r="AV150" s="90"/>
      <c r="AW150" s="90"/>
      <c r="AX150" s="90"/>
      <c r="AY150" s="90"/>
      <c r="AZ150" s="90"/>
      <c r="BA150" s="90"/>
      <c r="BB150" s="90"/>
      <c r="BC150" s="90"/>
      <c r="BD150" s="90"/>
      <c r="BE150" s="90"/>
      <c r="BF150" s="90"/>
      <c r="BG150" s="90"/>
      <c r="BH150" s="90"/>
      <c r="BI150" s="90"/>
    </row>
    <row r="151" ht="12.75" customHeight="1">
      <c r="A151" s="90"/>
      <c r="B151" s="90"/>
      <c r="C151" s="400"/>
      <c r="D151" s="90"/>
      <c r="E151" s="102"/>
      <c r="F151" s="90"/>
      <c r="G151" s="90"/>
      <c r="H151" s="90"/>
      <c r="I151" s="90"/>
      <c r="J151" s="102"/>
      <c r="K151" s="102"/>
      <c r="L151" s="102"/>
      <c r="M151" s="102"/>
      <c r="N151" s="102"/>
      <c r="O151" s="102"/>
      <c r="P151" s="102"/>
      <c r="Q151" s="102"/>
      <c r="R151" s="102"/>
      <c r="S151" s="102"/>
      <c r="T151" s="102"/>
      <c r="U151" s="102"/>
      <c r="V151" s="102"/>
      <c r="W151" s="102"/>
      <c r="X151" s="102"/>
      <c r="Y151" s="102"/>
      <c r="Z151" s="102"/>
      <c r="AA151" s="102"/>
      <c r="AB151" s="102"/>
      <c r="AC151" s="102"/>
      <c r="AD151" s="102"/>
      <c r="AE151" s="102"/>
      <c r="AF151" s="102"/>
      <c r="AG151" s="102"/>
      <c r="AH151" s="102"/>
      <c r="AI151" s="102"/>
      <c r="AJ151" s="102"/>
      <c r="AK151" s="102"/>
      <c r="AL151" s="102"/>
      <c r="AM151" s="102"/>
      <c r="AN151" s="102"/>
      <c r="AO151" s="400"/>
      <c r="AP151" s="90"/>
      <c r="AQ151" s="90"/>
      <c r="AR151" s="90"/>
      <c r="AS151" s="90"/>
      <c r="AT151" s="90"/>
      <c r="AU151" s="90"/>
      <c r="AV151" s="90"/>
      <c r="AW151" s="90"/>
      <c r="AX151" s="90"/>
      <c r="AY151" s="90"/>
      <c r="AZ151" s="90"/>
      <c r="BA151" s="90"/>
      <c r="BB151" s="90"/>
      <c r="BC151" s="90"/>
      <c r="BD151" s="90"/>
      <c r="BE151" s="90"/>
      <c r="BF151" s="90"/>
      <c r="BG151" s="90"/>
      <c r="BH151" s="90"/>
      <c r="BI151" s="90"/>
    </row>
    <row r="152" ht="12.75" customHeight="1">
      <c r="A152" s="90"/>
      <c r="B152" s="90"/>
      <c r="C152" s="400"/>
      <c r="D152" s="90"/>
      <c r="E152" s="102"/>
      <c r="F152" s="90"/>
      <c r="G152" s="90"/>
      <c r="H152" s="90"/>
      <c r="I152" s="90"/>
      <c r="J152" s="102"/>
      <c r="K152" s="102"/>
      <c r="L152" s="102"/>
      <c r="M152" s="102"/>
      <c r="N152" s="102"/>
      <c r="O152" s="102"/>
      <c r="P152" s="102"/>
      <c r="Q152" s="102"/>
      <c r="R152" s="102"/>
      <c r="S152" s="102"/>
      <c r="T152" s="102"/>
      <c r="U152" s="102"/>
      <c r="V152" s="102"/>
      <c r="W152" s="102"/>
      <c r="X152" s="102"/>
      <c r="Y152" s="102"/>
      <c r="Z152" s="102"/>
      <c r="AA152" s="102"/>
      <c r="AB152" s="102"/>
      <c r="AC152" s="102"/>
      <c r="AD152" s="102"/>
      <c r="AE152" s="102"/>
      <c r="AF152" s="102"/>
      <c r="AG152" s="102"/>
      <c r="AH152" s="102"/>
      <c r="AI152" s="102"/>
      <c r="AJ152" s="102"/>
      <c r="AK152" s="102"/>
      <c r="AL152" s="102"/>
      <c r="AM152" s="102"/>
      <c r="AN152" s="102"/>
      <c r="AO152" s="400"/>
      <c r="AP152" s="90"/>
      <c r="AQ152" s="90"/>
      <c r="AR152" s="90"/>
      <c r="AS152" s="90"/>
      <c r="AT152" s="90"/>
      <c r="AU152" s="90"/>
      <c r="AV152" s="90"/>
      <c r="AW152" s="90"/>
      <c r="AX152" s="90"/>
      <c r="AY152" s="90"/>
      <c r="AZ152" s="90"/>
      <c r="BA152" s="90"/>
      <c r="BB152" s="90"/>
      <c r="BC152" s="90"/>
      <c r="BD152" s="90"/>
      <c r="BE152" s="90"/>
      <c r="BF152" s="90"/>
      <c r="BG152" s="90"/>
      <c r="BH152" s="90"/>
      <c r="BI152" s="90"/>
    </row>
    <row r="153" ht="12.75" customHeight="1">
      <c r="A153" s="90"/>
      <c r="B153" s="90"/>
      <c r="C153" s="400"/>
      <c r="D153" s="90"/>
      <c r="E153" s="102"/>
      <c r="F153" s="90"/>
      <c r="G153" s="90"/>
      <c r="H153" s="90"/>
      <c r="I153" s="90"/>
      <c r="J153" s="102"/>
      <c r="K153" s="102"/>
      <c r="L153" s="102"/>
      <c r="M153" s="102"/>
      <c r="N153" s="102"/>
      <c r="O153" s="102"/>
      <c r="P153" s="102"/>
      <c r="Q153" s="102"/>
      <c r="R153" s="102"/>
      <c r="S153" s="102"/>
      <c r="T153" s="102"/>
      <c r="U153" s="102"/>
      <c r="V153" s="102"/>
      <c r="W153" s="102"/>
      <c r="X153" s="102"/>
      <c r="Y153" s="102"/>
      <c r="Z153" s="102"/>
      <c r="AA153" s="102"/>
      <c r="AB153" s="102"/>
      <c r="AC153" s="102"/>
      <c r="AD153" s="102"/>
      <c r="AE153" s="102"/>
      <c r="AF153" s="102"/>
      <c r="AG153" s="102"/>
      <c r="AH153" s="102"/>
      <c r="AI153" s="102"/>
      <c r="AJ153" s="102"/>
      <c r="AK153" s="102"/>
      <c r="AL153" s="102"/>
      <c r="AM153" s="102"/>
      <c r="AN153" s="102"/>
      <c r="AO153" s="400"/>
      <c r="AP153" s="90"/>
      <c r="AQ153" s="90"/>
      <c r="AR153" s="90"/>
      <c r="AS153" s="90"/>
      <c r="AT153" s="90"/>
      <c r="AU153" s="90"/>
      <c r="AV153" s="90"/>
      <c r="AW153" s="90"/>
      <c r="AX153" s="90"/>
      <c r="AY153" s="90"/>
      <c r="AZ153" s="90"/>
      <c r="BA153" s="90"/>
      <c r="BB153" s="90"/>
      <c r="BC153" s="90"/>
      <c r="BD153" s="90"/>
      <c r="BE153" s="90"/>
      <c r="BF153" s="90"/>
      <c r="BG153" s="90"/>
      <c r="BH153" s="90"/>
      <c r="BI153" s="90"/>
    </row>
    <row r="154" ht="12.75" customHeight="1">
      <c r="A154" s="90"/>
      <c r="B154" s="90"/>
      <c r="C154" s="400"/>
      <c r="D154" s="90"/>
      <c r="E154" s="102"/>
      <c r="F154" s="90"/>
      <c r="G154" s="90"/>
      <c r="H154" s="90"/>
      <c r="I154" s="90"/>
      <c r="J154" s="102"/>
      <c r="K154" s="102"/>
      <c r="L154" s="102"/>
      <c r="M154" s="102"/>
      <c r="N154" s="102"/>
      <c r="O154" s="102"/>
      <c r="P154" s="102"/>
      <c r="Q154" s="102"/>
      <c r="R154" s="102"/>
      <c r="S154" s="102"/>
      <c r="T154" s="102"/>
      <c r="U154" s="102"/>
      <c r="V154" s="102"/>
      <c r="W154" s="102"/>
      <c r="X154" s="102"/>
      <c r="Y154" s="102"/>
      <c r="Z154" s="102"/>
      <c r="AA154" s="102"/>
      <c r="AB154" s="102"/>
      <c r="AC154" s="102"/>
      <c r="AD154" s="102"/>
      <c r="AE154" s="102"/>
      <c r="AF154" s="102"/>
      <c r="AG154" s="102"/>
      <c r="AH154" s="102"/>
      <c r="AI154" s="102"/>
      <c r="AJ154" s="102"/>
      <c r="AK154" s="102"/>
      <c r="AL154" s="102"/>
      <c r="AM154" s="102"/>
      <c r="AN154" s="102"/>
      <c r="AO154" s="400"/>
      <c r="AP154" s="90"/>
      <c r="AQ154" s="90"/>
      <c r="AR154" s="90"/>
      <c r="AS154" s="90"/>
      <c r="AT154" s="90"/>
      <c r="AU154" s="90"/>
      <c r="AV154" s="90"/>
      <c r="AW154" s="90"/>
      <c r="AX154" s="90"/>
      <c r="AY154" s="90"/>
      <c r="AZ154" s="90"/>
      <c r="BA154" s="90"/>
      <c r="BB154" s="90"/>
      <c r="BC154" s="90"/>
      <c r="BD154" s="90"/>
      <c r="BE154" s="90"/>
      <c r="BF154" s="90"/>
      <c r="BG154" s="90"/>
      <c r="BH154" s="90"/>
      <c r="BI154" s="90"/>
    </row>
    <row r="155" ht="12.75" customHeight="1">
      <c r="A155" s="90"/>
      <c r="B155" s="90"/>
      <c r="C155" s="400"/>
      <c r="D155" s="90"/>
      <c r="E155" s="102"/>
      <c r="F155" s="90"/>
      <c r="G155" s="90"/>
      <c r="H155" s="90"/>
      <c r="I155" s="90"/>
      <c r="J155" s="102"/>
      <c r="K155" s="102"/>
      <c r="L155" s="102"/>
      <c r="M155" s="102"/>
      <c r="N155" s="102"/>
      <c r="O155" s="102"/>
      <c r="P155" s="102"/>
      <c r="Q155" s="102"/>
      <c r="R155" s="102"/>
      <c r="S155" s="102"/>
      <c r="T155" s="102"/>
      <c r="U155" s="102"/>
      <c r="V155" s="102"/>
      <c r="W155" s="102"/>
      <c r="X155" s="102"/>
      <c r="Y155" s="102"/>
      <c r="Z155" s="102"/>
      <c r="AA155" s="102"/>
      <c r="AB155" s="102"/>
      <c r="AC155" s="102"/>
      <c r="AD155" s="102"/>
      <c r="AE155" s="102"/>
      <c r="AF155" s="102"/>
      <c r="AG155" s="102"/>
      <c r="AH155" s="102"/>
      <c r="AI155" s="102"/>
      <c r="AJ155" s="102"/>
      <c r="AK155" s="102"/>
      <c r="AL155" s="102"/>
      <c r="AM155" s="102"/>
      <c r="AN155" s="102"/>
      <c r="AO155" s="400"/>
      <c r="AP155" s="90"/>
      <c r="AQ155" s="90"/>
      <c r="AR155" s="90"/>
      <c r="AS155" s="90"/>
      <c r="AT155" s="90"/>
      <c r="AU155" s="90"/>
      <c r="AV155" s="90"/>
      <c r="AW155" s="90"/>
      <c r="AX155" s="90"/>
      <c r="AY155" s="90"/>
      <c r="AZ155" s="90"/>
      <c r="BA155" s="90"/>
      <c r="BB155" s="90"/>
      <c r="BC155" s="90"/>
      <c r="BD155" s="90"/>
      <c r="BE155" s="90"/>
      <c r="BF155" s="90"/>
      <c r="BG155" s="90"/>
      <c r="BH155" s="90"/>
      <c r="BI155" s="90"/>
    </row>
    <row r="156" ht="12.75" customHeight="1">
      <c r="A156" s="90"/>
      <c r="B156" s="90"/>
      <c r="C156" s="400"/>
      <c r="D156" s="90"/>
      <c r="E156" s="102"/>
      <c r="F156" s="90"/>
      <c r="G156" s="90"/>
      <c r="H156" s="90"/>
      <c r="I156" s="90"/>
      <c r="J156" s="102"/>
      <c r="K156" s="102"/>
      <c r="L156" s="102"/>
      <c r="M156" s="102"/>
      <c r="N156" s="102"/>
      <c r="O156" s="102"/>
      <c r="P156" s="102"/>
      <c r="Q156" s="102"/>
      <c r="R156" s="102"/>
      <c r="S156" s="102"/>
      <c r="T156" s="102"/>
      <c r="U156" s="102"/>
      <c r="V156" s="102"/>
      <c r="W156" s="102"/>
      <c r="X156" s="102"/>
      <c r="Y156" s="102"/>
      <c r="Z156" s="102"/>
      <c r="AA156" s="102"/>
      <c r="AB156" s="102"/>
      <c r="AC156" s="102"/>
      <c r="AD156" s="102"/>
      <c r="AE156" s="102"/>
      <c r="AF156" s="102"/>
      <c r="AG156" s="102"/>
      <c r="AH156" s="102"/>
      <c r="AI156" s="102"/>
      <c r="AJ156" s="102"/>
      <c r="AK156" s="102"/>
      <c r="AL156" s="102"/>
      <c r="AM156" s="102"/>
      <c r="AN156" s="102"/>
      <c r="AO156" s="400"/>
      <c r="AP156" s="90"/>
      <c r="AQ156" s="90"/>
      <c r="AR156" s="90"/>
      <c r="AS156" s="90"/>
      <c r="AT156" s="90"/>
      <c r="AU156" s="90"/>
      <c r="AV156" s="90"/>
      <c r="AW156" s="90"/>
      <c r="AX156" s="90"/>
      <c r="AY156" s="90"/>
      <c r="AZ156" s="90"/>
      <c r="BA156" s="90"/>
      <c r="BB156" s="90"/>
      <c r="BC156" s="90"/>
      <c r="BD156" s="90"/>
      <c r="BE156" s="90"/>
      <c r="BF156" s="90"/>
      <c r="BG156" s="90"/>
      <c r="BH156" s="90"/>
      <c r="BI156" s="90"/>
    </row>
    <row r="157" ht="12.75" customHeight="1">
      <c r="A157" s="90"/>
      <c r="B157" s="90"/>
      <c r="C157" s="400"/>
      <c r="D157" s="90"/>
      <c r="E157" s="102"/>
      <c r="F157" s="90"/>
      <c r="G157" s="90"/>
      <c r="H157" s="90"/>
      <c r="I157" s="90"/>
      <c r="J157" s="102"/>
      <c r="K157" s="102"/>
      <c r="L157" s="102"/>
      <c r="M157" s="102"/>
      <c r="N157" s="102"/>
      <c r="O157" s="102"/>
      <c r="P157" s="102"/>
      <c r="Q157" s="102"/>
      <c r="R157" s="102"/>
      <c r="S157" s="102"/>
      <c r="T157" s="102"/>
      <c r="U157" s="102"/>
      <c r="V157" s="102"/>
      <c r="W157" s="102"/>
      <c r="X157" s="102"/>
      <c r="Y157" s="102"/>
      <c r="Z157" s="102"/>
      <c r="AA157" s="102"/>
      <c r="AB157" s="102"/>
      <c r="AC157" s="102"/>
      <c r="AD157" s="102"/>
      <c r="AE157" s="102"/>
      <c r="AF157" s="102"/>
      <c r="AG157" s="102"/>
      <c r="AH157" s="102"/>
      <c r="AI157" s="102"/>
      <c r="AJ157" s="102"/>
      <c r="AK157" s="102"/>
      <c r="AL157" s="102"/>
      <c r="AM157" s="102"/>
      <c r="AN157" s="102"/>
      <c r="AO157" s="400"/>
      <c r="AP157" s="90"/>
      <c r="AQ157" s="90"/>
      <c r="AR157" s="90"/>
      <c r="AS157" s="90"/>
      <c r="AT157" s="90"/>
      <c r="AU157" s="90"/>
      <c r="AV157" s="90"/>
      <c r="AW157" s="90"/>
      <c r="AX157" s="90"/>
      <c r="AY157" s="90"/>
      <c r="AZ157" s="90"/>
      <c r="BA157" s="90"/>
      <c r="BB157" s="90"/>
      <c r="BC157" s="90"/>
      <c r="BD157" s="90"/>
      <c r="BE157" s="90"/>
      <c r="BF157" s="90"/>
      <c r="BG157" s="90"/>
      <c r="BH157" s="90"/>
      <c r="BI157" s="90"/>
    </row>
    <row r="158" ht="12.75" customHeight="1">
      <c r="A158" s="90"/>
      <c r="B158" s="90"/>
      <c r="C158" s="400"/>
      <c r="D158" s="90"/>
      <c r="E158" s="102"/>
      <c r="F158" s="90"/>
      <c r="G158" s="90"/>
      <c r="H158" s="90"/>
      <c r="I158" s="90"/>
      <c r="J158" s="102"/>
      <c r="K158" s="102"/>
      <c r="L158" s="102"/>
      <c r="M158" s="102"/>
      <c r="N158" s="102"/>
      <c r="O158" s="102"/>
      <c r="P158" s="102"/>
      <c r="Q158" s="102"/>
      <c r="R158" s="102"/>
      <c r="S158" s="102"/>
      <c r="T158" s="102"/>
      <c r="U158" s="102"/>
      <c r="V158" s="102"/>
      <c r="W158" s="102"/>
      <c r="X158" s="102"/>
      <c r="Y158" s="102"/>
      <c r="Z158" s="102"/>
      <c r="AA158" s="102"/>
      <c r="AB158" s="102"/>
      <c r="AC158" s="102"/>
      <c r="AD158" s="102"/>
      <c r="AE158" s="102"/>
      <c r="AF158" s="102"/>
      <c r="AG158" s="102"/>
      <c r="AH158" s="102"/>
      <c r="AI158" s="102"/>
      <c r="AJ158" s="102"/>
      <c r="AK158" s="102"/>
      <c r="AL158" s="102"/>
      <c r="AM158" s="102"/>
      <c r="AN158" s="102"/>
      <c r="AO158" s="400"/>
      <c r="AP158" s="90"/>
      <c r="AQ158" s="90"/>
      <c r="AR158" s="90"/>
      <c r="AS158" s="90"/>
      <c r="AT158" s="90"/>
      <c r="AU158" s="90"/>
      <c r="AV158" s="90"/>
      <c r="AW158" s="90"/>
      <c r="AX158" s="90"/>
      <c r="AY158" s="90"/>
      <c r="AZ158" s="90"/>
      <c r="BA158" s="90"/>
      <c r="BB158" s="90"/>
      <c r="BC158" s="90"/>
      <c r="BD158" s="90"/>
      <c r="BE158" s="90"/>
      <c r="BF158" s="90"/>
      <c r="BG158" s="90"/>
      <c r="BH158" s="90"/>
      <c r="BI158" s="90"/>
    </row>
    <row r="159" ht="12.75" customHeight="1">
      <c r="A159" s="90"/>
      <c r="B159" s="90"/>
      <c r="C159" s="400"/>
      <c r="D159" s="90"/>
      <c r="E159" s="102"/>
      <c r="F159" s="90"/>
      <c r="G159" s="90"/>
      <c r="H159" s="90"/>
      <c r="I159" s="90"/>
      <c r="J159" s="102"/>
      <c r="K159" s="102"/>
      <c r="L159" s="102"/>
      <c r="M159" s="102"/>
      <c r="N159" s="102"/>
      <c r="O159" s="102"/>
      <c r="P159" s="102"/>
      <c r="Q159" s="102"/>
      <c r="R159" s="102"/>
      <c r="S159" s="102"/>
      <c r="T159" s="102"/>
      <c r="U159" s="102"/>
      <c r="V159" s="102"/>
      <c r="W159" s="102"/>
      <c r="X159" s="102"/>
      <c r="Y159" s="102"/>
      <c r="Z159" s="102"/>
      <c r="AA159" s="102"/>
      <c r="AB159" s="102"/>
      <c r="AC159" s="102"/>
      <c r="AD159" s="102"/>
      <c r="AE159" s="102"/>
      <c r="AF159" s="102"/>
      <c r="AG159" s="102"/>
      <c r="AH159" s="102"/>
      <c r="AI159" s="102"/>
      <c r="AJ159" s="102"/>
      <c r="AK159" s="102"/>
      <c r="AL159" s="102"/>
      <c r="AM159" s="102"/>
      <c r="AN159" s="102"/>
      <c r="AO159" s="400"/>
      <c r="AP159" s="90"/>
      <c r="AQ159" s="90"/>
      <c r="AR159" s="90"/>
      <c r="AS159" s="90"/>
      <c r="AT159" s="90"/>
      <c r="AU159" s="90"/>
      <c r="AV159" s="90"/>
      <c r="AW159" s="90"/>
      <c r="AX159" s="90"/>
      <c r="AY159" s="90"/>
      <c r="AZ159" s="90"/>
      <c r="BA159" s="90"/>
      <c r="BB159" s="90"/>
      <c r="BC159" s="90"/>
      <c r="BD159" s="90"/>
      <c r="BE159" s="90"/>
      <c r="BF159" s="90"/>
      <c r="BG159" s="90"/>
      <c r="BH159" s="90"/>
      <c r="BI159" s="90"/>
    </row>
    <row r="160" ht="12.75" customHeight="1">
      <c r="A160" s="90"/>
      <c r="B160" s="90"/>
      <c r="C160" s="400"/>
      <c r="D160" s="90"/>
      <c r="E160" s="102"/>
      <c r="F160" s="90"/>
      <c r="G160" s="90"/>
      <c r="H160" s="90"/>
      <c r="I160" s="90"/>
      <c r="J160" s="102"/>
      <c r="K160" s="102"/>
      <c r="L160" s="102"/>
      <c r="M160" s="102"/>
      <c r="N160" s="102"/>
      <c r="O160" s="102"/>
      <c r="P160" s="102"/>
      <c r="Q160" s="102"/>
      <c r="R160" s="102"/>
      <c r="S160" s="102"/>
      <c r="T160" s="102"/>
      <c r="U160" s="102"/>
      <c r="V160" s="102"/>
      <c r="W160" s="102"/>
      <c r="X160" s="102"/>
      <c r="Y160" s="102"/>
      <c r="Z160" s="102"/>
      <c r="AA160" s="102"/>
      <c r="AB160" s="102"/>
      <c r="AC160" s="102"/>
      <c r="AD160" s="102"/>
      <c r="AE160" s="102"/>
      <c r="AF160" s="102"/>
      <c r="AG160" s="102"/>
      <c r="AH160" s="102"/>
      <c r="AI160" s="102"/>
      <c r="AJ160" s="102"/>
      <c r="AK160" s="102"/>
      <c r="AL160" s="102"/>
      <c r="AM160" s="102"/>
      <c r="AN160" s="102"/>
      <c r="AO160" s="400"/>
      <c r="AP160" s="90"/>
      <c r="AQ160" s="90"/>
      <c r="AR160" s="90"/>
      <c r="AS160" s="90"/>
      <c r="AT160" s="90"/>
      <c r="AU160" s="90"/>
      <c r="AV160" s="90"/>
      <c r="AW160" s="90"/>
      <c r="AX160" s="90"/>
      <c r="AY160" s="90"/>
      <c r="AZ160" s="90"/>
      <c r="BA160" s="90"/>
      <c r="BB160" s="90"/>
      <c r="BC160" s="90"/>
      <c r="BD160" s="90"/>
      <c r="BE160" s="90"/>
      <c r="BF160" s="90"/>
      <c r="BG160" s="90"/>
      <c r="BH160" s="90"/>
      <c r="BI160" s="90"/>
    </row>
    <row r="161" ht="12.75" customHeight="1">
      <c r="A161" s="90"/>
      <c r="B161" s="90"/>
      <c r="C161" s="400"/>
      <c r="D161" s="90"/>
      <c r="E161" s="102"/>
      <c r="F161" s="90"/>
      <c r="G161" s="90"/>
      <c r="H161" s="90"/>
      <c r="I161" s="90"/>
      <c r="J161" s="102"/>
      <c r="K161" s="102"/>
      <c r="L161" s="102"/>
      <c r="M161" s="102"/>
      <c r="N161" s="102"/>
      <c r="O161" s="102"/>
      <c r="P161" s="102"/>
      <c r="Q161" s="102"/>
      <c r="R161" s="102"/>
      <c r="S161" s="102"/>
      <c r="T161" s="102"/>
      <c r="U161" s="102"/>
      <c r="V161" s="102"/>
      <c r="W161" s="102"/>
      <c r="X161" s="102"/>
      <c r="Y161" s="102"/>
      <c r="Z161" s="102"/>
      <c r="AA161" s="102"/>
      <c r="AB161" s="102"/>
      <c r="AC161" s="102"/>
      <c r="AD161" s="102"/>
      <c r="AE161" s="102"/>
      <c r="AF161" s="102"/>
      <c r="AG161" s="102"/>
      <c r="AH161" s="102"/>
      <c r="AI161" s="102"/>
      <c r="AJ161" s="102"/>
      <c r="AK161" s="102"/>
      <c r="AL161" s="102"/>
      <c r="AM161" s="102"/>
      <c r="AN161" s="102"/>
      <c r="AO161" s="400"/>
      <c r="AP161" s="90"/>
      <c r="AQ161" s="90"/>
      <c r="AR161" s="90"/>
      <c r="AS161" s="90"/>
      <c r="AT161" s="90"/>
      <c r="AU161" s="90"/>
      <c r="AV161" s="90"/>
      <c r="AW161" s="90"/>
      <c r="AX161" s="90"/>
      <c r="AY161" s="90"/>
      <c r="AZ161" s="90"/>
      <c r="BA161" s="90"/>
      <c r="BB161" s="90"/>
      <c r="BC161" s="90"/>
      <c r="BD161" s="90"/>
      <c r="BE161" s="90"/>
      <c r="BF161" s="90"/>
      <c r="BG161" s="90"/>
      <c r="BH161" s="90"/>
      <c r="BI161" s="90"/>
    </row>
    <row r="162" ht="12.75" customHeight="1">
      <c r="A162" s="90"/>
      <c r="B162" s="90"/>
      <c r="C162" s="400"/>
      <c r="D162" s="90"/>
      <c r="E162" s="102"/>
      <c r="F162" s="90"/>
      <c r="G162" s="90"/>
      <c r="H162" s="90"/>
      <c r="I162" s="90"/>
      <c r="J162" s="102"/>
      <c r="K162" s="102"/>
      <c r="L162" s="102"/>
      <c r="M162" s="102"/>
      <c r="N162" s="102"/>
      <c r="O162" s="102"/>
      <c r="P162" s="102"/>
      <c r="Q162" s="102"/>
      <c r="R162" s="102"/>
      <c r="S162" s="102"/>
      <c r="T162" s="102"/>
      <c r="U162" s="102"/>
      <c r="V162" s="102"/>
      <c r="W162" s="102"/>
      <c r="X162" s="102"/>
      <c r="Y162" s="102"/>
      <c r="Z162" s="102"/>
      <c r="AA162" s="102"/>
      <c r="AB162" s="102"/>
      <c r="AC162" s="102"/>
      <c r="AD162" s="102"/>
      <c r="AE162" s="102"/>
      <c r="AF162" s="102"/>
      <c r="AG162" s="102"/>
      <c r="AH162" s="102"/>
      <c r="AI162" s="102"/>
      <c r="AJ162" s="102"/>
      <c r="AK162" s="102"/>
      <c r="AL162" s="102"/>
      <c r="AM162" s="102"/>
      <c r="AN162" s="102"/>
      <c r="AO162" s="400"/>
      <c r="AP162" s="90"/>
      <c r="AQ162" s="90"/>
      <c r="AR162" s="90"/>
      <c r="AS162" s="90"/>
      <c r="AT162" s="90"/>
      <c r="AU162" s="90"/>
      <c r="AV162" s="90"/>
      <c r="AW162" s="90"/>
      <c r="AX162" s="90"/>
      <c r="AY162" s="90"/>
      <c r="AZ162" s="90"/>
      <c r="BA162" s="90"/>
      <c r="BB162" s="90"/>
      <c r="BC162" s="90"/>
      <c r="BD162" s="90"/>
      <c r="BE162" s="90"/>
      <c r="BF162" s="90"/>
      <c r="BG162" s="90"/>
      <c r="BH162" s="90"/>
      <c r="BI162" s="90"/>
    </row>
    <row r="163" ht="12.75" customHeight="1">
      <c r="A163" s="90"/>
      <c r="B163" s="90"/>
      <c r="C163" s="400"/>
      <c r="D163" s="90"/>
      <c r="E163" s="102"/>
      <c r="F163" s="90"/>
      <c r="G163" s="90"/>
      <c r="H163" s="90"/>
      <c r="I163" s="90"/>
      <c r="J163" s="102"/>
      <c r="K163" s="102"/>
      <c r="L163" s="102"/>
      <c r="M163" s="102"/>
      <c r="N163" s="102"/>
      <c r="O163" s="102"/>
      <c r="P163" s="102"/>
      <c r="Q163" s="102"/>
      <c r="R163" s="102"/>
      <c r="S163" s="102"/>
      <c r="T163" s="102"/>
      <c r="U163" s="102"/>
      <c r="V163" s="102"/>
      <c r="W163" s="102"/>
      <c r="X163" s="102"/>
      <c r="Y163" s="102"/>
      <c r="Z163" s="102"/>
      <c r="AA163" s="102"/>
      <c r="AB163" s="102"/>
      <c r="AC163" s="102"/>
      <c r="AD163" s="102"/>
      <c r="AE163" s="102"/>
      <c r="AF163" s="102"/>
      <c r="AG163" s="102"/>
      <c r="AH163" s="102"/>
      <c r="AI163" s="102"/>
      <c r="AJ163" s="102"/>
      <c r="AK163" s="102"/>
      <c r="AL163" s="102"/>
      <c r="AM163" s="102"/>
      <c r="AN163" s="102"/>
      <c r="AO163" s="400"/>
      <c r="AP163" s="90"/>
      <c r="AQ163" s="90"/>
      <c r="AR163" s="90"/>
      <c r="AS163" s="90"/>
      <c r="AT163" s="90"/>
      <c r="AU163" s="90"/>
      <c r="AV163" s="90"/>
      <c r="AW163" s="90"/>
      <c r="AX163" s="90"/>
      <c r="AY163" s="90"/>
      <c r="AZ163" s="90"/>
      <c r="BA163" s="90"/>
      <c r="BB163" s="90"/>
      <c r="BC163" s="90"/>
      <c r="BD163" s="90"/>
      <c r="BE163" s="90"/>
      <c r="BF163" s="90"/>
      <c r="BG163" s="90"/>
      <c r="BH163" s="90"/>
      <c r="BI163" s="90"/>
    </row>
    <row r="164" ht="12.75" customHeight="1">
      <c r="A164" s="90"/>
      <c r="B164" s="90"/>
      <c r="C164" s="400"/>
      <c r="D164" s="90"/>
      <c r="E164" s="102"/>
      <c r="F164" s="90"/>
      <c r="G164" s="90"/>
      <c r="H164" s="90"/>
      <c r="I164" s="90"/>
      <c r="J164" s="102"/>
      <c r="K164" s="102"/>
      <c r="L164" s="102"/>
      <c r="M164" s="102"/>
      <c r="N164" s="102"/>
      <c r="O164" s="102"/>
      <c r="P164" s="102"/>
      <c r="Q164" s="102"/>
      <c r="R164" s="102"/>
      <c r="S164" s="102"/>
      <c r="T164" s="102"/>
      <c r="U164" s="102"/>
      <c r="V164" s="102"/>
      <c r="W164" s="102"/>
      <c r="X164" s="102"/>
      <c r="Y164" s="102"/>
      <c r="Z164" s="102"/>
      <c r="AA164" s="102"/>
      <c r="AB164" s="102"/>
      <c r="AC164" s="102"/>
      <c r="AD164" s="102"/>
      <c r="AE164" s="102"/>
      <c r="AF164" s="102"/>
      <c r="AG164" s="102"/>
      <c r="AH164" s="102"/>
      <c r="AI164" s="102"/>
      <c r="AJ164" s="102"/>
      <c r="AK164" s="102"/>
      <c r="AL164" s="102"/>
      <c r="AM164" s="102"/>
      <c r="AN164" s="102"/>
      <c r="AO164" s="400"/>
      <c r="AP164" s="90"/>
      <c r="AQ164" s="90"/>
      <c r="AR164" s="90"/>
      <c r="AS164" s="90"/>
      <c r="AT164" s="90"/>
      <c r="AU164" s="90"/>
      <c r="AV164" s="90"/>
      <c r="AW164" s="90"/>
      <c r="AX164" s="90"/>
      <c r="AY164" s="90"/>
      <c r="AZ164" s="90"/>
      <c r="BA164" s="90"/>
      <c r="BB164" s="90"/>
      <c r="BC164" s="90"/>
      <c r="BD164" s="90"/>
      <c r="BE164" s="90"/>
      <c r="BF164" s="90"/>
      <c r="BG164" s="90"/>
      <c r="BH164" s="90"/>
      <c r="BI164" s="90"/>
    </row>
    <row r="165" ht="12.75" customHeight="1">
      <c r="A165" s="90"/>
      <c r="B165" s="90"/>
      <c r="C165" s="400"/>
      <c r="D165" s="90"/>
      <c r="E165" s="102"/>
      <c r="F165" s="90"/>
      <c r="G165" s="90"/>
      <c r="H165" s="102"/>
      <c r="I165" s="102"/>
      <c r="J165" s="102"/>
      <c r="K165" s="102"/>
      <c r="L165" s="102"/>
      <c r="M165" s="102"/>
      <c r="N165" s="102"/>
      <c r="O165" s="102"/>
      <c r="P165" s="102"/>
      <c r="Q165" s="102"/>
      <c r="R165" s="102"/>
      <c r="S165" s="102"/>
      <c r="T165" s="102"/>
      <c r="U165" s="102"/>
      <c r="V165" s="102"/>
      <c r="W165" s="102"/>
      <c r="X165" s="102"/>
      <c r="Y165" s="102"/>
      <c r="Z165" s="102"/>
      <c r="AA165" s="102"/>
      <c r="AB165" s="102"/>
      <c r="AC165" s="102"/>
      <c r="AD165" s="102"/>
      <c r="AE165" s="102"/>
      <c r="AF165" s="102"/>
      <c r="AG165" s="102"/>
      <c r="AH165" s="102"/>
      <c r="AI165" s="102"/>
      <c r="AJ165" s="102"/>
      <c r="AK165" s="102"/>
      <c r="AL165" s="102"/>
      <c r="AM165" s="102"/>
      <c r="AN165" s="102"/>
      <c r="AO165" s="400"/>
      <c r="AP165" s="90"/>
      <c r="AQ165" s="90"/>
      <c r="AR165" s="90"/>
      <c r="AS165" s="90"/>
      <c r="AT165" s="90"/>
      <c r="AU165" s="90"/>
      <c r="AV165" s="90"/>
      <c r="AW165" s="90"/>
      <c r="AX165" s="90"/>
      <c r="AY165" s="90"/>
      <c r="AZ165" s="90"/>
      <c r="BA165" s="90"/>
      <c r="BB165" s="90"/>
      <c r="BC165" s="90"/>
      <c r="BD165" s="90"/>
      <c r="BE165" s="90"/>
      <c r="BF165" s="90"/>
      <c r="BG165" s="90"/>
      <c r="BH165" s="90"/>
      <c r="BI165" s="90"/>
    </row>
    <row r="166" ht="12.75" customHeight="1">
      <c r="A166" s="90"/>
      <c r="B166" s="90"/>
      <c r="C166" s="400"/>
      <c r="D166" s="90"/>
      <c r="E166" s="102"/>
      <c r="F166" s="90"/>
      <c r="G166" s="90"/>
      <c r="H166" s="102"/>
      <c r="I166" s="102"/>
      <c r="J166" s="102"/>
      <c r="K166" s="102"/>
      <c r="L166" s="102"/>
      <c r="M166" s="102"/>
      <c r="N166" s="102"/>
      <c r="O166" s="102"/>
      <c r="P166" s="102"/>
      <c r="Q166" s="102"/>
      <c r="R166" s="102"/>
      <c r="S166" s="102"/>
      <c r="T166" s="102"/>
      <c r="U166" s="102"/>
      <c r="V166" s="102"/>
      <c r="W166" s="102"/>
      <c r="X166" s="102"/>
      <c r="Y166" s="102"/>
      <c r="Z166" s="102"/>
      <c r="AA166" s="102"/>
      <c r="AB166" s="102"/>
      <c r="AC166" s="102"/>
      <c r="AD166" s="102"/>
      <c r="AE166" s="102"/>
      <c r="AF166" s="102"/>
      <c r="AG166" s="102"/>
      <c r="AH166" s="102"/>
      <c r="AI166" s="102"/>
      <c r="AJ166" s="102"/>
      <c r="AK166" s="102"/>
      <c r="AL166" s="102"/>
      <c r="AM166" s="102"/>
      <c r="AN166" s="102"/>
      <c r="AO166" s="400"/>
      <c r="AP166" s="90"/>
      <c r="AQ166" s="90"/>
      <c r="AR166" s="90"/>
      <c r="AS166" s="90"/>
      <c r="AT166" s="90"/>
      <c r="AU166" s="90"/>
      <c r="AV166" s="90"/>
      <c r="AW166" s="90"/>
      <c r="AX166" s="90"/>
      <c r="AY166" s="90"/>
      <c r="AZ166" s="90"/>
      <c r="BA166" s="90"/>
      <c r="BB166" s="90"/>
      <c r="BC166" s="90"/>
      <c r="BD166" s="90"/>
      <c r="BE166" s="90"/>
      <c r="BF166" s="90"/>
      <c r="BG166" s="90"/>
      <c r="BH166" s="90"/>
      <c r="BI166" s="90"/>
    </row>
    <row r="167" ht="12.75" customHeight="1">
      <c r="A167" s="90"/>
      <c r="B167" s="90"/>
      <c r="C167" s="400"/>
      <c r="D167" s="90"/>
      <c r="E167" s="102"/>
      <c r="F167" s="90"/>
      <c r="G167" s="90"/>
      <c r="H167" s="102"/>
      <c r="I167" s="102"/>
      <c r="J167" s="102"/>
      <c r="K167" s="102"/>
      <c r="L167" s="102"/>
      <c r="M167" s="102"/>
      <c r="N167" s="102"/>
      <c r="O167" s="102"/>
      <c r="P167" s="102"/>
      <c r="Q167" s="102"/>
      <c r="R167" s="102"/>
      <c r="S167" s="102"/>
      <c r="T167" s="102"/>
      <c r="U167" s="102"/>
      <c r="V167" s="102"/>
      <c r="W167" s="102"/>
      <c r="X167" s="102"/>
      <c r="Y167" s="102"/>
      <c r="Z167" s="102"/>
      <c r="AA167" s="102"/>
      <c r="AB167" s="102"/>
      <c r="AC167" s="102"/>
      <c r="AD167" s="102"/>
      <c r="AE167" s="102"/>
      <c r="AF167" s="102"/>
      <c r="AG167" s="102"/>
      <c r="AH167" s="102"/>
      <c r="AI167" s="102"/>
      <c r="AJ167" s="102"/>
      <c r="AK167" s="102"/>
      <c r="AL167" s="102"/>
      <c r="AM167" s="102"/>
      <c r="AN167" s="102"/>
      <c r="AO167" s="400"/>
      <c r="AP167" s="90"/>
      <c r="AQ167" s="90"/>
      <c r="AR167" s="90"/>
      <c r="AS167" s="90"/>
      <c r="AT167" s="90"/>
      <c r="AU167" s="90"/>
      <c r="AV167" s="90"/>
      <c r="AW167" s="90"/>
      <c r="AX167" s="90"/>
      <c r="AY167" s="90"/>
      <c r="AZ167" s="90"/>
      <c r="BA167" s="90"/>
      <c r="BB167" s="90"/>
      <c r="BC167" s="90"/>
      <c r="BD167" s="90"/>
      <c r="BE167" s="90"/>
      <c r="BF167" s="90"/>
      <c r="BG167" s="90"/>
      <c r="BH167" s="90"/>
      <c r="BI167" s="90"/>
    </row>
    <row r="168" ht="12.75" customHeight="1">
      <c r="A168" s="90"/>
      <c r="B168" s="90"/>
      <c r="C168" s="400"/>
      <c r="D168" s="90"/>
      <c r="E168" s="102"/>
      <c r="F168" s="90"/>
      <c r="G168" s="90"/>
      <c r="H168" s="102"/>
      <c r="I168" s="102"/>
      <c r="J168" s="102"/>
      <c r="K168" s="102"/>
      <c r="L168" s="102"/>
      <c r="M168" s="102"/>
      <c r="N168" s="102"/>
      <c r="O168" s="102"/>
      <c r="P168" s="102"/>
      <c r="Q168" s="102"/>
      <c r="R168" s="102"/>
      <c r="S168" s="102"/>
      <c r="T168" s="102"/>
      <c r="U168" s="102"/>
      <c r="V168" s="102"/>
      <c r="W168" s="102"/>
      <c r="X168" s="102"/>
      <c r="Y168" s="102"/>
      <c r="Z168" s="102"/>
      <c r="AA168" s="102"/>
      <c r="AB168" s="102"/>
      <c r="AC168" s="102"/>
      <c r="AD168" s="102"/>
      <c r="AE168" s="102"/>
      <c r="AF168" s="102"/>
      <c r="AG168" s="102"/>
      <c r="AH168" s="102"/>
      <c r="AI168" s="102"/>
      <c r="AJ168" s="102"/>
      <c r="AK168" s="102"/>
      <c r="AL168" s="102"/>
      <c r="AM168" s="102"/>
      <c r="AN168" s="102"/>
      <c r="AO168" s="400"/>
      <c r="AP168" s="90"/>
      <c r="AQ168" s="90"/>
      <c r="AR168" s="90"/>
      <c r="AS168" s="90"/>
      <c r="AT168" s="90"/>
      <c r="AU168" s="90"/>
      <c r="AV168" s="90"/>
      <c r="AW168" s="90"/>
      <c r="AX168" s="90"/>
      <c r="AY168" s="90"/>
      <c r="AZ168" s="90"/>
      <c r="BA168" s="90"/>
      <c r="BB168" s="90"/>
      <c r="BC168" s="90"/>
      <c r="BD168" s="90"/>
      <c r="BE168" s="90"/>
      <c r="BF168" s="90"/>
      <c r="BG168" s="90"/>
      <c r="BH168" s="90"/>
      <c r="BI168" s="90"/>
    </row>
    <row r="169" ht="12.75" customHeight="1">
      <c r="A169" s="90"/>
      <c r="B169" s="90"/>
      <c r="C169" s="400"/>
      <c r="D169" s="90"/>
      <c r="E169" s="102"/>
      <c r="F169" s="90"/>
      <c r="G169" s="90"/>
      <c r="H169" s="102"/>
      <c r="I169" s="102"/>
      <c r="J169" s="102"/>
      <c r="K169" s="102"/>
      <c r="L169" s="102"/>
      <c r="M169" s="102"/>
      <c r="N169" s="102"/>
      <c r="O169" s="102"/>
      <c r="P169" s="102"/>
      <c r="Q169" s="102"/>
      <c r="R169" s="102"/>
      <c r="S169" s="102"/>
      <c r="T169" s="102"/>
      <c r="U169" s="102"/>
      <c r="V169" s="102"/>
      <c r="W169" s="102"/>
      <c r="X169" s="102"/>
      <c r="Y169" s="102"/>
      <c r="Z169" s="102"/>
      <c r="AA169" s="102"/>
      <c r="AB169" s="102"/>
      <c r="AC169" s="102"/>
      <c r="AD169" s="102"/>
      <c r="AE169" s="102"/>
      <c r="AF169" s="102"/>
      <c r="AG169" s="102"/>
      <c r="AH169" s="102"/>
      <c r="AI169" s="102"/>
      <c r="AJ169" s="102"/>
      <c r="AK169" s="102"/>
      <c r="AL169" s="102"/>
      <c r="AM169" s="102"/>
      <c r="AN169" s="102"/>
      <c r="AO169" s="400"/>
      <c r="AP169" s="90"/>
      <c r="AQ169" s="90"/>
      <c r="AR169" s="90"/>
      <c r="AS169" s="90"/>
      <c r="AT169" s="90"/>
      <c r="AU169" s="90"/>
      <c r="AV169" s="90"/>
      <c r="AW169" s="90"/>
      <c r="AX169" s="90"/>
      <c r="AY169" s="90"/>
      <c r="AZ169" s="90"/>
      <c r="BA169" s="90"/>
      <c r="BB169" s="90"/>
      <c r="BC169" s="90"/>
      <c r="BD169" s="90"/>
      <c r="BE169" s="90"/>
      <c r="BF169" s="90"/>
      <c r="BG169" s="90"/>
      <c r="BH169" s="90"/>
      <c r="BI169" s="90"/>
    </row>
    <row r="170" ht="12.75" customHeight="1">
      <c r="A170" s="90"/>
      <c r="B170" s="90"/>
      <c r="C170" s="400"/>
      <c r="D170" s="90"/>
      <c r="E170" s="102"/>
      <c r="F170" s="90"/>
      <c r="G170" s="90"/>
      <c r="H170" s="102"/>
      <c r="I170" s="102"/>
      <c r="J170" s="102"/>
      <c r="K170" s="102"/>
      <c r="L170" s="102"/>
      <c r="M170" s="102"/>
      <c r="N170" s="102"/>
      <c r="O170" s="102"/>
      <c r="P170" s="102"/>
      <c r="Q170" s="102"/>
      <c r="R170" s="102"/>
      <c r="S170" s="102"/>
      <c r="T170" s="102"/>
      <c r="U170" s="102"/>
      <c r="V170" s="102"/>
      <c r="W170" s="102"/>
      <c r="X170" s="102"/>
      <c r="Y170" s="102"/>
      <c r="Z170" s="102"/>
      <c r="AA170" s="102"/>
      <c r="AB170" s="102"/>
      <c r="AC170" s="102"/>
      <c r="AD170" s="102"/>
      <c r="AE170" s="102"/>
      <c r="AF170" s="102"/>
      <c r="AG170" s="102"/>
      <c r="AH170" s="102"/>
      <c r="AI170" s="102"/>
      <c r="AJ170" s="102"/>
      <c r="AK170" s="102"/>
      <c r="AL170" s="102"/>
      <c r="AM170" s="102"/>
      <c r="AN170" s="102"/>
      <c r="AO170" s="400"/>
      <c r="AP170" s="90"/>
      <c r="AQ170" s="90"/>
      <c r="AR170" s="90"/>
      <c r="AS170" s="90"/>
      <c r="AT170" s="90"/>
      <c r="AU170" s="90"/>
      <c r="AV170" s="90"/>
      <c r="AW170" s="90"/>
      <c r="AX170" s="90"/>
      <c r="AY170" s="90"/>
      <c r="AZ170" s="90"/>
      <c r="BA170" s="90"/>
      <c r="BB170" s="90"/>
      <c r="BC170" s="90"/>
      <c r="BD170" s="90"/>
      <c r="BE170" s="90"/>
      <c r="BF170" s="90"/>
      <c r="BG170" s="90"/>
      <c r="BH170" s="90"/>
      <c r="BI170" s="90"/>
    </row>
    <row r="171" ht="12.75" customHeight="1">
      <c r="A171" s="90"/>
      <c r="B171" s="90"/>
      <c r="C171" s="400"/>
      <c r="D171" s="90"/>
      <c r="E171" s="102"/>
      <c r="F171" s="90"/>
      <c r="G171" s="90"/>
      <c r="H171" s="102"/>
      <c r="I171" s="102"/>
      <c r="J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H171" s="102"/>
      <c r="AI171" s="102"/>
      <c r="AJ171" s="102"/>
      <c r="AK171" s="102"/>
      <c r="AL171" s="102"/>
      <c r="AM171" s="102"/>
      <c r="AN171" s="102"/>
      <c r="AO171" s="400"/>
      <c r="AP171" s="90"/>
      <c r="AQ171" s="90"/>
      <c r="AR171" s="90"/>
      <c r="AS171" s="90"/>
      <c r="AT171" s="90"/>
      <c r="AU171" s="90"/>
      <c r="AV171" s="90"/>
      <c r="AW171" s="90"/>
      <c r="AX171" s="90"/>
      <c r="AY171" s="90"/>
      <c r="AZ171" s="90"/>
      <c r="BA171" s="90"/>
      <c r="BB171" s="90"/>
      <c r="BC171" s="90"/>
      <c r="BD171" s="90"/>
      <c r="BE171" s="90"/>
      <c r="BF171" s="90"/>
      <c r="BG171" s="90"/>
      <c r="BH171" s="90"/>
      <c r="BI171" s="90"/>
    </row>
    <row r="172" ht="12.75" customHeight="1">
      <c r="A172" s="90"/>
      <c r="B172" s="90"/>
      <c r="C172" s="400"/>
      <c r="D172" s="90"/>
      <c r="E172" s="102"/>
      <c r="F172" s="90"/>
      <c r="G172" s="90"/>
      <c r="H172" s="102"/>
      <c r="I172" s="102"/>
      <c r="J172" s="102"/>
      <c r="K172" s="102"/>
      <c r="L172" s="102"/>
      <c r="M172" s="102"/>
      <c r="N172" s="102"/>
      <c r="O172" s="102"/>
      <c r="P172" s="102"/>
      <c r="Q172" s="102"/>
      <c r="R172" s="102"/>
      <c r="S172" s="102"/>
      <c r="T172" s="102"/>
      <c r="U172" s="102"/>
      <c r="V172" s="102"/>
      <c r="W172" s="102"/>
      <c r="X172" s="102"/>
      <c r="Y172" s="102"/>
      <c r="Z172" s="102"/>
      <c r="AA172" s="102"/>
      <c r="AB172" s="102"/>
      <c r="AC172" s="102"/>
      <c r="AD172" s="102"/>
      <c r="AE172" s="102"/>
      <c r="AF172" s="102"/>
      <c r="AG172" s="102"/>
      <c r="AH172" s="102"/>
      <c r="AI172" s="102"/>
      <c r="AJ172" s="102"/>
      <c r="AK172" s="102"/>
      <c r="AL172" s="102"/>
      <c r="AM172" s="102"/>
      <c r="AN172" s="102"/>
      <c r="AO172" s="400"/>
      <c r="AP172" s="90"/>
      <c r="AQ172" s="90"/>
      <c r="AR172" s="90"/>
      <c r="AS172" s="90"/>
      <c r="AT172" s="90"/>
      <c r="AU172" s="90"/>
      <c r="AV172" s="90"/>
      <c r="AW172" s="90"/>
      <c r="AX172" s="90"/>
      <c r="AY172" s="90"/>
      <c r="AZ172" s="90"/>
      <c r="BA172" s="90"/>
      <c r="BB172" s="90"/>
      <c r="BC172" s="90"/>
      <c r="BD172" s="90"/>
      <c r="BE172" s="90"/>
      <c r="BF172" s="90"/>
      <c r="BG172" s="90"/>
      <c r="BH172" s="90"/>
      <c r="BI172" s="90"/>
    </row>
    <row r="173" ht="12.75" customHeight="1">
      <c r="A173" s="90"/>
      <c r="B173" s="90"/>
      <c r="C173" s="400"/>
      <c r="D173" s="90"/>
      <c r="E173" s="102"/>
      <c r="F173" s="90"/>
      <c r="G173" s="90"/>
      <c r="H173" s="102"/>
      <c r="I173" s="102"/>
      <c r="J173" s="102"/>
      <c r="K173" s="102"/>
      <c r="L173" s="102"/>
      <c r="M173" s="102"/>
      <c r="N173" s="102"/>
      <c r="O173" s="102"/>
      <c r="P173" s="102"/>
      <c r="Q173" s="102"/>
      <c r="R173" s="102"/>
      <c r="S173" s="102"/>
      <c r="T173" s="102"/>
      <c r="U173" s="102"/>
      <c r="V173" s="102"/>
      <c r="W173" s="102"/>
      <c r="X173" s="102"/>
      <c r="Y173" s="102"/>
      <c r="Z173" s="102"/>
      <c r="AA173" s="102"/>
      <c r="AB173" s="102"/>
      <c r="AC173" s="102"/>
      <c r="AD173" s="102"/>
      <c r="AE173" s="102"/>
      <c r="AF173" s="102"/>
      <c r="AG173" s="102"/>
      <c r="AH173" s="102"/>
      <c r="AI173" s="102"/>
      <c r="AJ173" s="102"/>
      <c r="AK173" s="102"/>
      <c r="AL173" s="102"/>
      <c r="AM173" s="102"/>
      <c r="AN173" s="102"/>
      <c r="AO173" s="400"/>
      <c r="AP173" s="90"/>
      <c r="AQ173" s="90"/>
      <c r="AR173" s="90"/>
      <c r="AS173" s="90"/>
      <c r="AT173" s="90"/>
      <c r="AU173" s="90"/>
      <c r="AV173" s="90"/>
      <c r="AW173" s="90"/>
      <c r="AX173" s="90"/>
      <c r="AY173" s="90"/>
      <c r="AZ173" s="90"/>
      <c r="BA173" s="90"/>
      <c r="BB173" s="90"/>
      <c r="BC173" s="90"/>
      <c r="BD173" s="90"/>
      <c r="BE173" s="90"/>
      <c r="BF173" s="90"/>
      <c r="BG173" s="90"/>
      <c r="BH173" s="90"/>
      <c r="BI173" s="90"/>
    </row>
    <row r="174" ht="12.75" customHeight="1">
      <c r="A174" s="90"/>
      <c r="B174" s="90"/>
      <c r="C174" s="400"/>
      <c r="D174" s="90"/>
      <c r="E174" s="102"/>
      <c r="F174" s="90"/>
      <c r="G174" s="90"/>
      <c r="H174" s="102"/>
      <c r="I174" s="102"/>
      <c r="J174" s="102"/>
      <c r="K174" s="102"/>
      <c r="L174" s="102"/>
      <c r="M174" s="102"/>
      <c r="N174" s="102"/>
      <c r="O174" s="102"/>
      <c r="P174" s="102"/>
      <c r="Q174" s="102"/>
      <c r="R174" s="102"/>
      <c r="S174" s="102"/>
      <c r="T174" s="102"/>
      <c r="U174" s="102"/>
      <c r="V174" s="102"/>
      <c r="W174" s="102"/>
      <c r="X174" s="102"/>
      <c r="Y174" s="102"/>
      <c r="Z174" s="102"/>
      <c r="AA174" s="102"/>
      <c r="AB174" s="102"/>
      <c r="AC174" s="102"/>
      <c r="AD174" s="102"/>
      <c r="AE174" s="102"/>
      <c r="AF174" s="102"/>
      <c r="AG174" s="102"/>
      <c r="AH174" s="102"/>
      <c r="AI174" s="102"/>
      <c r="AJ174" s="102"/>
      <c r="AK174" s="102"/>
      <c r="AL174" s="102"/>
      <c r="AM174" s="102"/>
      <c r="AN174" s="102"/>
      <c r="AO174" s="400"/>
      <c r="AP174" s="90"/>
      <c r="AQ174" s="90"/>
      <c r="AR174" s="90"/>
      <c r="AS174" s="90"/>
      <c r="AT174" s="90"/>
      <c r="AU174" s="90"/>
      <c r="AV174" s="90"/>
      <c r="AW174" s="90"/>
      <c r="AX174" s="90"/>
      <c r="AY174" s="90"/>
      <c r="AZ174" s="90"/>
      <c r="BA174" s="90"/>
      <c r="BB174" s="90"/>
      <c r="BC174" s="90"/>
      <c r="BD174" s="90"/>
      <c r="BE174" s="90"/>
      <c r="BF174" s="90"/>
      <c r="BG174" s="90"/>
      <c r="BH174" s="90"/>
      <c r="BI174" s="90"/>
    </row>
    <row r="175" ht="12.75" customHeight="1">
      <c r="A175" s="90"/>
      <c r="B175" s="90"/>
      <c r="C175" s="400"/>
      <c r="D175" s="90"/>
      <c r="E175" s="102"/>
      <c r="F175" s="90"/>
      <c r="G175" s="90"/>
      <c r="H175" s="102"/>
      <c r="I175" s="102"/>
      <c r="J175" s="102"/>
      <c r="K175" s="102"/>
      <c r="L175" s="102"/>
      <c r="M175" s="102"/>
      <c r="N175" s="102"/>
      <c r="O175" s="102"/>
      <c r="P175" s="102"/>
      <c r="Q175" s="102"/>
      <c r="R175" s="102"/>
      <c r="S175" s="102"/>
      <c r="T175" s="102"/>
      <c r="U175" s="102"/>
      <c r="V175" s="102"/>
      <c r="W175" s="102"/>
      <c r="X175" s="102"/>
      <c r="Y175" s="102"/>
      <c r="Z175" s="102"/>
      <c r="AA175" s="102"/>
      <c r="AB175" s="102"/>
      <c r="AC175" s="102"/>
      <c r="AD175" s="102"/>
      <c r="AE175" s="102"/>
      <c r="AF175" s="102"/>
      <c r="AG175" s="102"/>
      <c r="AH175" s="102"/>
      <c r="AI175" s="102"/>
      <c r="AJ175" s="102"/>
      <c r="AK175" s="102"/>
      <c r="AL175" s="102"/>
      <c r="AM175" s="102"/>
      <c r="AN175" s="102"/>
      <c r="AO175" s="400"/>
      <c r="AP175" s="90"/>
      <c r="AQ175" s="90"/>
      <c r="AR175" s="90"/>
      <c r="AS175" s="90"/>
      <c r="AT175" s="90"/>
      <c r="AU175" s="90"/>
      <c r="AV175" s="90"/>
      <c r="AW175" s="90"/>
      <c r="AX175" s="90"/>
      <c r="AY175" s="90"/>
      <c r="AZ175" s="90"/>
      <c r="BA175" s="90"/>
      <c r="BB175" s="90"/>
      <c r="BC175" s="90"/>
      <c r="BD175" s="90"/>
      <c r="BE175" s="90"/>
      <c r="BF175" s="90"/>
      <c r="BG175" s="90"/>
      <c r="BH175" s="90"/>
      <c r="BI175" s="90"/>
    </row>
    <row r="176" ht="12.75" customHeight="1">
      <c r="A176" s="90"/>
      <c r="B176" s="90"/>
      <c r="C176" s="400"/>
      <c r="D176" s="90"/>
      <c r="E176" s="102"/>
      <c r="F176" s="90"/>
      <c r="G176" s="90"/>
      <c r="H176" s="102"/>
      <c r="I176" s="102"/>
      <c r="J176" s="102"/>
      <c r="K176" s="102"/>
      <c r="L176" s="102"/>
      <c r="M176" s="102"/>
      <c r="N176" s="102"/>
      <c r="O176" s="102"/>
      <c r="P176" s="102"/>
      <c r="Q176" s="102"/>
      <c r="R176" s="102"/>
      <c r="S176" s="102"/>
      <c r="T176" s="102"/>
      <c r="U176" s="102"/>
      <c r="V176" s="102"/>
      <c r="W176" s="102"/>
      <c r="X176" s="102"/>
      <c r="Y176" s="102"/>
      <c r="Z176" s="102"/>
      <c r="AA176" s="102"/>
      <c r="AB176" s="102"/>
      <c r="AC176" s="102"/>
      <c r="AD176" s="102"/>
      <c r="AE176" s="102"/>
      <c r="AF176" s="102"/>
      <c r="AG176" s="102"/>
      <c r="AH176" s="102"/>
      <c r="AI176" s="102"/>
      <c r="AJ176" s="102"/>
      <c r="AK176" s="102"/>
      <c r="AL176" s="102"/>
      <c r="AM176" s="102"/>
      <c r="AN176" s="102"/>
      <c r="AO176" s="400"/>
      <c r="AP176" s="90"/>
      <c r="AQ176" s="90"/>
      <c r="AR176" s="90"/>
      <c r="AS176" s="90"/>
      <c r="AT176" s="90"/>
      <c r="AU176" s="90"/>
      <c r="AV176" s="90"/>
      <c r="AW176" s="90"/>
      <c r="AX176" s="90"/>
      <c r="AY176" s="90"/>
      <c r="AZ176" s="90"/>
      <c r="BA176" s="90"/>
      <c r="BB176" s="90"/>
      <c r="BC176" s="90"/>
      <c r="BD176" s="90"/>
      <c r="BE176" s="90"/>
      <c r="BF176" s="90"/>
      <c r="BG176" s="90"/>
      <c r="BH176" s="90"/>
      <c r="BI176" s="90"/>
    </row>
    <row r="177" ht="12.75" customHeight="1">
      <c r="A177" s="90"/>
      <c r="B177" s="90"/>
      <c r="C177" s="400"/>
      <c r="D177" s="90"/>
      <c r="E177" s="102"/>
      <c r="F177" s="90"/>
      <c r="G177" s="90"/>
      <c r="H177" s="102"/>
      <c r="I177" s="102"/>
      <c r="J177" s="102"/>
      <c r="K177" s="102"/>
      <c r="L177" s="102"/>
      <c r="M177" s="102"/>
      <c r="N177" s="102"/>
      <c r="O177" s="102"/>
      <c r="P177" s="102"/>
      <c r="Q177" s="102"/>
      <c r="R177" s="102"/>
      <c r="S177" s="102"/>
      <c r="T177" s="102"/>
      <c r="U177" s="102"/>
      <c r="V177" s="102"/>
      <c r="W177" s="102"/>
      <c r="X177" s="102"/>
      <c r="Y177" s="102"/>
      <c r="Z177" s="102"/>
      <c r="AA177" s="102"/>
      <c r="AB177" s="102"/>
      <c r="AC177" s="102"/>
      <c r="AD177" s="102"/>
      <c r="AE177" s="102"/>
      <c r="AF177" s="102"/>
      <c r="AG177" s="102"/>
      <c r="AH177" s="102"/>
      <c r="AI177" s="102"/>
      <c r="AJ177" s="102"/>
      <c r="AK177" s="102"/>
      <c r="AL177" s="102"/>
      <c r="AM177" s="102"/>
      <c r="AN177" s="102"/>
      <c r="AO177" s="400"/>
      <c r="AP177" s="90"/>
      <c r="AQ177" s="90"/>
      <c r="AR177" s="90"/>
      <c r="AS177" s="90"/>
      <c r="AT177" s="90"/>
      <c r="AU177" s="90"/>
      <c r="AV177" s="90"/>
      <c r="AW177" s="90"/>
      <c r="AX177" s="90"/>
      <c r="AY177" s="90"/>
      <c r="AZ177" s="90"/>
      <c r="BA177" s="90"/>
      <c r="BB177" s="90"/>
      <c r="BC177" s="90"/>
      <c r="BD177" s="90"/>
      <c r="BE177" s="90"/>
      <c r="BF177" s="90"/>
      <c r="BG177" s="90"/>
      <c r="BH177" s="90"/>
      <c r="BI177" s="90"/>
    </row>
    <row r="178" ht="12.75" customHeight="1">
      <c r="A178" s="90"/>
      <c r="B178" s="90"/>
      <c r="C178" s="400"/>
      <c r="D178" s="90"/>
      <c r="E178" s="102"/>
      <c r="F178" s="90"/>
      <c r="G178" s="90"/>
      <c r="H178" s="102"/>
      <c r="I178" s="102"/>
      <c r="J178" s="102"/>
      <c r="K178" s="102"/>
      <c r="L178" s="102"/>
      <c r="M178" s="102"/>
      <c r="N178" s="102"/>
      <c r="O178" s="102"/>
      <c r="P178" s="102"/>
      <c r="Q178" s="102"/>
      <c r="R178" s="102"/>
      <c r="S178" s="102"/>
      <c r="T178" s="102"/>
      <c r="U178" s="102"/>
      <c r="V178" s="102"/>
      <c r="W178" s="102"/>
      <c r="X178" s="102"/>
      <c r="Y178" s="102"/>
      <c r="Z178" s="102"/>
      <c r="AA178" s="102"/>
      <c r="AB178" s="102"/>
      <c r="AC178" s="102"/>
      <c r="AD178" s="102"/>
      <c r="AE178" s="102"/>
      <c r="AF178" s="102"/>
      <c r="AG178" s="102"/>
      <c r="AH178" s="102"/>
      <c r="AI178" s="102"/>
      <c r="AJ178" s="102"/>
      <c r="AK178" s="102"/>
      <c r="AL178" s="102"/>
      <c r="AM178" s="102"/>
      <c r="AN178" s="102"/>
      <c r="AO178" s="400"/>
      <c r="AP178" s="90"/>
      <c r="AQ178" s="90"/>
      <c r="AR178" s="90"/>
      <c r="AS178" s="90"/>
      <c r="AT178" s="90"/>
      <c r="AU178" s="90"/>
      <c r="AV178" s="90"/>
      <c r="AW178" s="90"/>
      <c r="AX178" s="90"/>
      <c r="AY178" s="90"/>
      <c r="AZ178" s="90"/>
      <c r="BA178" s="90"/>
      <c r="BB178" s="90"/>
      <c r="BC178" s="90"/>
      <c r="BD178" s="90"/>
      <c r="BE178" s="90"/>
      <c r="BF178" s="90"/>
      <c r="BG178" s="90"/>
      <c r="BH178" s="90"/>
      <c r="BI178" s="90"/>
    </row>
    <row r="179" ht="12.75" customHeight="1">
      <c r="A179" s="90"/>
      <c r="B179" s="90"/>
      <c r="C179" s="400"/>
      <c r="D179" s="90"/>
      <c r="E179" s="102"/>
      <c r="F179" s="90"/>
      <c r="G179" s="90"/>
      <c r="H179" s="102"/>
      <c r="I179" s="102"/>
      <c r="J179" s="102"/>
      <c r="K179" s="102"/>
      <c r="L179" s="102"/>
      <c r="M179" s="102"/>
      <c r="N179" s="102"/>
      <c r="O179" s="102"/>
      <c r="P179" s="102"/>
      <c r="Q179" s="102"/>
      <c r="R179" s="102"/>
      <c r="S179" s="102"/>
      <c r="T179" s="102"/>
      <c r="U179" s="102"/>
      <c r="V179" s="102"/>
      <c r="W179" s="102"/>
      <c r="X179" s="102"/>
      <c r="Y179" s="102"/>
      <c r="Z179" s="102"/>
      <c r="AA179" s="102"/>
      <c r="AB179" s="102"/>
      <c r="AC179" s="102"/>
      <c r="AD179" s="102"/>
      <c r="AE179" s="102"/>
      <c r="AF179" s="102"/>
      <c r="AG179" s="102"/>
      <c r="AH179" s="102"/>
      <c r="AI179" s="102"/>
      <c r="AJ179" s="102"/>
      <c r="AK179" s="102"/>
      <c r="AL179" s="102"/>
      <c r="AM179" s="102"/>
      <c r="AN179" s="102"/>
      <c r="AO179" s="400"/>
      <c r="AP179" s="90"/>
      <c r="AQ179" s="90"/>
      <c r="AR179" s="90"/>
      <c r="AS179" s="90"/>
      <c r="AT179" s="90"/>
      <c r="AU179" s="90"/>
      <c r="AV179" s="90"/>
      <c r="AW179" s="90"/>
      <c r="AX179" s="90"/>
      <c r="AY179" s="90"/>
      <c r="AZ179" s="90"/>
      <c r="BA179" s="90"/>
      <c r="BB179" s="90"/>
      <c r="BC179" s="90"/>
      <c r="BD179" s="90"/>
      <c r="BE179" s="90"/>
      <c r="BF179" s="90"/>
      <c r="BG179" s="90"/>
      <c r="BH179" s="90"/>
      <c r="BI179" s="90"/>
    </row>
    <row r="180" ht="12.75" customHeight="1">
      <c r="A180" s="90"/>
      <c r="B180" s="90"/>
      <c r="C180" s="400"/>
      <c r="D180" s="90"/>
      <c r="E180" s="102"/>
      <c r="F180" s="90"/>
      <c r="G180" s="90"/>
      <c r="H180" s="102"/>
      <c r="I180" s="102"/>
      <c r="J180" s="102"/>
      <c r="K180" s="102"/>
      <c r="L180" s="102"/>
      <c r="M180" s="102"/>
      <c r="N180" s="102"/>
      <c r="O180" s="102"/>
      <c r="P180" s="102"/>
      <c r="Q180" s="102"/>
      <c r="R180" s="102"/>
      <c r="S180" s="102"/>
      <c r="T180" s="102"/>
      <c r="U180" s="102"/>
      <c r="V180" s="102"/>
      <c r="W180" s="102"/>
      <c r="X180" s="102"/>
      <c r="Y180" s="102"/>
      <c r="Z180" s="102"/>
      <c r="AA180" s="102"/>
      <c r="AB180" s="102"/>
      <c r="AC180" s="102"/>
      <c r="AD180" s="102"/>
      <c r="AE180" s="102"/>
      <c r="AF180" s="102"/>
      <c r="AG180" s="102"/>
      <c r="AH180" s="102"/>
      <c r="AI180" s="102"/>
      <c r="AJ180" s="102"/>
      <c r="AK180" s="102"/>
      <c r="AL180" s="102"/>
      <c r="AM180" s="102"/>
      <c r="AN180" s="102"/>
      <c r="AO180" s="400"/>
      <c r="AP180" s="90"/>
      <c r="AQ180" s="90"/>
      <c r="AR180" s="90"/>
      <c r="AS180" s="90"/>
      <c r="AT180" s="90"/>
      <c r="AU180" s="90"/>
      <c r="AV180" s="90"/>
      <c r="AW180" s="90"/>
      <c r="AX180" s="90"/>
      <c r="AY180" s="90"/>
      <c r="AZ180" s="90"/>
      <c r="BA180" s="90"/>
      <c r="BB180" s="90"/>
      <c r="BC180" s="90"/>
      <c r="BD180" s="90"/>
      <c r="BE180" s="90"/>
      <c r="BF180" s="90"/>
      <c r="BG180" s="90"/>
      <c r="BH180" s="90"/>
      <c r="BI180" s="90"/>
    </row>
    <row r="181" ht="12.75" customHeight="1">
      <c r="A181" s="90"/>
      <c r="B181" s="90"/>
      <c r="C181" s="400"/>
      <c r="D181" s="90"/>
      <c r="E181" s="102"/>
      <c r="F181" s="90"/>
      <c r="G181" s="90"/>
      <c r="H181" s="102"/>
      <c r="I181" s="102"/>
      <c r="J181" s="102"/>
      <c r="K181" s="102"/>
      <c r="L181" s="102"/>
      <c r="M181" s="102"/>
      <c r="N181" s="102"/>
      <c r="O181" s="102"/>
      <c r="P181" s="102"/>
      <c r="Q181" s="102"/>
      <c r="R181" s="102"/>
      <c r="S181" s="102"/>
      <c r="T181" s="102"/>
      <c r="U181" s="102"/>
      <c r="V181" s="102"/>
      <c r="W181" s="102"/>
      <c r="X181" s="102"/>
      <c r="Y181" s="102"/>
      <c r="Z181" s="102"/>
      <c r="AA181" s="102"/>
      <c r="AB181" s="102"/>
      <c r="AC181" s="102"/>
      <c r="AD181" s="102"/>
      <c r="AE181" s="102"/>
      <c r="AF181" s="102"/>
      <c r="AG181" s="102"/>
      <c r="AH181" s="102"/>
      <c r="AI181" s="102"/>
      <c r="AJ181" s="102"/>
      <c r="AK181" s="102"/>
      <c r="AL181" s="102"/>
      <c r="AM181" s="102"/>
      <c r="AN181" s="102"/>
      <c r="AO181" s="400"/>
      <c r="AP181" s="90"/>
      <c r="AQ181" s="90"/>
      <c r="AR181" s="90"/>
      <c r="AS181" s="90"/>
      <c r="AT181" s="90"/>
      <c r="AU181" s="90"/>
      <c r="AV181" s="90"/>
      <c r="AW181" s="90"/>
      <c r="AX181" s="90"/>
      <c r="AY181" s="90"/>
      <c r="AZ181" s="90"/>
      <c r="BA181" s="90"/>
      <c r="BB181" s="90"/>
      <c r="BC181" s="90"/>
      <c r="BD181" s="90"/>
      <c r="BE181" s="90"/>
      <c r="BF181" s="90"/>
      <c r="BG181" s="90"/>
      <c r="BH181" s="90"/>
      <c r="BI181" s="90"/>
    </row>
    <row r="182" ht="12.75" customHeight="1">
      <c r="A182" s="90"/>
      <c r="B182" s="90"/>
      <c r="C182" s="400"/>
      <c r="D182" s="90"/>
      <c r="E182" s="102"/>
      <c r="F182" s="90"/>
      <c r="G182" s="90"/>
      <c r="H182" s="102"/>
      <c r="I182" s="102"/>
      <c r="J182" s="102"/>
      <c r="K182" s="102"/>
      <c r="L182" s="102"/>
      <c r="M182" s="102"/>
      <c r="N182" s="102"/>
      <c r="O182" s="102"/>
      <c r="P182" s="102"/>
      <c r="Q182" s="102"/>
      <c r="R182" s="102"/>
      <c r="S182" s="102"/>
      <c r="T182" s="102"/>
      <c r="U182" s="102"/>
      <c r="V182" s="102"/>
      <c r="W182" s="102"/>
      <c r="X182" s="102"/>
      <c r="Y182" s="102"/>
      <c r="Z182" s="102"/>
      <c r="AA182" s="102"/>
      <c r="AB182" s="102"/>
      <c r="AC182" s="102"/>
      <c r="AD182" s="102"/>
      <c r="AE182" s="102"/>
      <c r="AF182" s="102"/>
      <c r="AG182" s="102"/>
      <c r="AH182" s="102"/>
      <c r="AI182" s="102"/>
      <c r="AJ182" s="102"/>
      <c r="AK182" s="102"/>
      <c r="AL182" s="102"/>
      <c r="AM182" s="102"/>
      <c r="AN182" s="102"/>
      <c r="AO182" s="400"/>
      <c r="AP182" s="90"/>
      <c r="AQ182" s="90"/>
      <c r="AR182" s="90"/>
      <c r="AS182" s="90"/>
      <c r="AT182" s="90"/>
      <c r="AU182" s="90"/>
      <c r="AV182" s="90"/>
      <c r="AW182" s="90"/>
      <c r="AX182" s="90"/>
      <c r="AY182" s="90"/>
      <c r="AZ182" s="90"/>
      <c r="BA182" s="90"/>
      <c r="BB182" s="90"/>
      <c r="BC182" s="90"/>
      <c r="BD182" s="90"/>
      <c r="BE182" s="90"/>
      <c r="BF182" s="90"/>
      <c r="BG182" s="90"/>
      <c r="BH182" s="90"/>
      <c r="BI182" s="90"/>
    </row>
    <row r="183" ht="12.75" customHeight="1">
      <c r="A183" s="90"/>
      <c r="B183" s="90"/>
      <c r="C183" s="400"/>
      <c r="D183" s="90"/>
      <c r="E183" s="102"/>
      <c r="F183" s="90"/>
      <c r="G183" s="90"/>
      <c r="H183" s="102"/>
      <c r="I183" s="102"/>
      <c r="J183" s="102"/>
      <c r="K183" s="102"/>
      <c r="L183" s="102"/>
      <c r="M183" s="102"/>
      <c r="N183" s="102"/>
      <c r="O183" s="102"/>
      <c r="P183" s="102"/>
      <c r="Q183" s="102"/>
      <c r="R183" s="102"/>
      <c r="S183" s="102"/>
      <c r="T183" s="102"/>
      <c r="U183" s="102"/>
      <c r="V183" s="102"/>
      <c r="W183" s="102"/>
      <c r="X183" s="102"/>
      <c r="Y183" s="102"/>
      <c r="Z183" s="102"/>
      <c r="AA183" s="102"/>
      <c r="AB183" s="102"/>
      <c r="AC183" s="102"/>
      <c r="AD183" s="102"/>
      <c r="AE183" s="102"/>
      <c r="AF183" s="102"/>
      <c r="AG183" s="102"/>
      <c r="AH183" s="102"/>
      <c r="AI183" s="102"/>
      <c r="AJ183" s="102"/>
      <c r="AK183" s="102"/>
      <c r="AL183" s="102"/>
      <c r="AM183" s="102"/>
      <c r="AN183" s="102"/>
      <c r="AO183" s="400"/>
      <c r="AP183" s="90"/>
      <c r="AQ183" s="90"/>
      <c r="AR183" s="90"/>
      <c r="AS183" s="90"/>
      <c r="AT183" s="90"/>
      <c r="AU183" s="90"/>
      <c r="AV183" s="90"/>
      <c r="AW183" s="90"/>
      <c r="AX183" s="90"/>
      <c r="AY183" s="90"/>
      <c r="AZ183" s="90"/>
      <c r="BA183" s="90"/>
      <c r="BB183" s="90"/>
      <c r="BC183" s="90"/>
      <c r="BD183" s="90"/>
      <c r="BE183" s="90"/>
      <c r="BF183" s="90"/>
      <c r="BG183" s="90"/>
      <c r="BH183" s="90"/>
      <c r="BI183" s="90"/>
    </row>
    <row r="184" ht="12.75" customHeight="1">
      <c r="A184" s="90"/>
      <c r="B184" s="90"/>
      <c r="C184" s="400"/>
      <c r="D184" s="90"/>
      <c r="E184" s="102"/>
      <c r="F184" s="90"/>
      <c r="G184" s="90"/>
      <c r="H184" s="102"/>
      <c r="I184" s="102"/>
      <c r="J184" s="102"/>
      <c r="K184" s="102"/>
      <c r="L184" s="102"/>
      <c r="M184" s="102"/>
      <c r="N184" s="102"/>
      <c r="O184" s="102"/>
      <c r="P184" s="102"/>
      <c r="Q184" s="102"/>
      <c r="R184" s="102"/>
      <c r="S184" s="102"/>
      <c r="T184" s="102"/>
      <c r="U184" s="102"/>
      <c r="V184" s="102"/>
      <c r="W184" s="102"/>
      <c r="X184" s="102"/>
      <c r="Y184" s="102"/>
      <c r="Z184" s="102"/>
      <c r="AA184" s="102"/>
      <c r="AB184" s="102"/>
      <c r="AC184" s="102"/>
      <c r="AD184" s="102"/>
      <c r="AE184" s="102"/>
      <c r="AF184" s="102"/>
      <c r="AG184" s="102"/>
      <c r="AH184" s="102"/>
      <c r="AI184" s="102"/>
      <c r="AJ184" s="102"/>
      <c r="AK184" s="102"/>
      <c r="AL184" s="102"/>
      <c r="AM184" s="102"/>
      <c r="AN184" s="102"/>
      <c r="AO184" s="400"/>
      <c r="AP184" s="90"/>
      <c r="AQ184" s="90"/>
      <c r="AR184" s="90"/>
      <c r="AS184" s="90"/>
      <c r="AT184" s="90"/>
      <c r="AU184" s="90"/>
      <c r="AV184" s="90"/>
      <c r="AW184" s="90"/>
      <c r="AX184" s="90"/>
      <c r="AY184" s="90"/>
      <c r="AZ184" s="90"/>
      <c r="BA184" s="90"/>
      <c r="BB184" s="90"/>
      <c r="BC184" s="90"/>
      <c r="BD184" s="90"/>
      <c r="BE184" s="90"/>
      <c r="BF184" s="90"/>
      <c r="BG184" s="90"/>
      <c r="BH184" s="90"/>
      <c r="BI184" s="90"/>
    </row>
    <row r="185" ht="12.75" customHeight="1">
      <c r="A185" s="90"/>
      <c r="B185" s="90"/>
      <c r="C185" s="400"/>
      <c r="D185" s="90"/>
      <c r="E185" s="102"/>
      <c r="F185" s="90"/>
      <c r="G185" s="90"/>
      <c r="H185" s="102"/>
      <c r="I185" s="102"/>
      <c r="J185" s="102"/>
      <c r="K185" s="102"/>
      <c r="L185" s="102"/>
      <c r="M185" s="102"/>
      <c r="N185" s="102"/>
      <c r="O185" s="102"/>
      <c r="P185" s="102"/>
      <c r="Q185" s="102"/>
      <c r="R185" s="102"/>
      <c r="S185" s="102"/>
      <c r="T185" s="102"/>
      <c r="U185" s="102"/>
      <c r="V185" s="102"/>
      <c r="W185" s="102"/>
      <c r="X185" s="102"/>
      <c r="Y185" s="102"/>
      <c r="Z185" s="102"/>
      <c r="AA185" s="102"/>
      <c r="AB185" s="102"/>
      <c r="AC185" s="102"/>
      <c r="AD185" s="102"/>
      <c r="AE185" s="102"/>
      <c r="AF185" s="102"/>
      <c r="AG185" s="102"/>
      <c r="AH185" s="102"/>
      <c r="AI185" s="102"/>
      <c r="AJ185" s="102"/>
      <c r="AK185" s="102"/>
      <c r="AL185" s="102"/>
      <c r="AM185" s="102"/>
      <c r="AN185" s="102"/>
      <c r="AO185" s="400"/>
      <c r="AP185" s="90"/>
      <c r="AQ185" s="90"/>
      <c r="AR185" s="90"/>
      <c r="AS185" s="90"/>
      <c r="AT185" s="90"/>
      <c r="AU185" s="90"/>
      <c r="AV185" s="90"/>
      <c r="AW185" s="90"/>
      <c r="AX185" s="90"/>
      <c r="AY185" s="90"/>
      <c r="AZ185" s="90"/>
      <c r="BA185" s="90"/>
      <c r="BB185" s="90"/>
      <c r="BC185" s="90"/>
      <c r="BD185" s="90"/>
      <c r="BE185" s="90"/>
      <c r="BF185" s="90"/>
      <c r="BG185" s="90"/>
      <c r="BH185" s="90"/>
      <c r="BI185" s="90"/>
    </row>
    <row r="186" ht="12.75" customHeight="1">
      <c r="A186" s="90"/>
      <c r="B186" s="90"/>
      <c r="C186" s="400"/>
      <c r="D186" s="90"/>
      <c r="E186" s="102"/>
      <c r="F186" s="90"/>
      <c r="G186" s="90"/>
      <c r="H186" s="102"/>
      <c r="I186" s="102"/>
      <c r="J186" s="102"/>
      <c r="K186" s="102"/>
      <c r="L186" s="102"/>
      <c r="M186" s="102"/>
      <c r="N186" s="102"/>
      <c r="O186" s="102"/>
      <c r="P186" s="102"/>
      <c r="Q186" s="102"/>
      <c r="R186" s="102"/>
      <c r="S186" s="102"/>
      <c r="T186" s="102"/>
      <c r="U186" s="102"/>
      <c r="V186" s="102"/>
      <c r="W186" s="102"/>
      <c r="X186" s="102"/>
      <c r="Y186" s="102"/>
      <c r="Z186" s="102"/>
      <c r="AA186" s="102"/>
      <c r="AB186" s="102"/>
      <c r="AC186" s="102"/>
      <c r="AD186" s="102"/>
      <c r="AE186" s="102"/>
      <c r="AF186" s="102"/>
      <c r="AG186" s="102"/>
      <c r="AH186" s="102"/>
      <c r="AI186" s="102"/>
      <c r="AJ186" s="102"/>
      <c r="AK186" s="102"/>
      <c r="AL186" s="102"/>
      <c r="AM186" s="102"/>
      <c r="AN186" s="102"/>
      <c r="AO186" s="400"/>
      <c r="AP186" s="90"/>
      <c r="AQ186" s="90"/>
      <c r="AR186" s="90"/>
      <c r="AS186" s="90"/>
      <c r="AT186" s="90"/>
      <c r="AU186" s="90"/>
      <c r="AV186" s="90"/>
      <c r="AW186" s="90"/>
      <c r="AX186" s="90"/>
      <c r="AY186" s="90"/>
      <c r="AZ186" s="90"/>
      <c r="BA186" s="90"/>
      <c r="BB186" s="90"/>
      <c r="BC186" s="90"/>
      <c r="BD186" s="90"/>
      <c r="BE186" s="90"/>
      <c r="BF186" s="90"/>
      <c r="BG186" s="90"/>
      <c r="BH186" s="90"/>
      <c r="BI186" s="90"/>
    </row>
    <row r="187" ht="12.75" customHeight="1">
      <c r="A187" s="90"/>
      <c r="B187" s="90"/>
      <c r="C187" s="400"/>
      <c r="D187" s="90"/>
      <c r="E187" s="102"/>
      <c r="F187" s="90"/>
      <c r="G187" s="90"/>
      <c r="H187" s="102"/>
      <c r="I187" s="102"/>
      <c r="J187" s="102"/>
      <c r="K187" s="102"/>
      <c r="L187" s="102"/>
      <c r="M187" s="102"/>
      <c r="N187" s="102"/>
      <c r="O187" s="102"/>
      <c r="P187" s="102"/>
      <c r="Q187" s="102"/>
      <c r="R187" s="102"/>
      <c r="S187" s="102"/>
      <c r="T187" s="102"/>
      <c r="U187" s="102"/>
      <c r="V187" s="102"/>
      <c r="W187" s="102"/>
      <c r="X187" s="102"/>
      <c r="Y187" s="102"/>
      <c r="Z187" s="102"/>
      <c r="AA187" s="102"/>
      <c r="AB187" s="102"/>
      <c r="AC187" s="102"/>
      <c r="AD187" s="102"/>
      <c r="AE187" s="102"/>
      <c r="AF187" s="102"/>
      <c r="AG187" s="102"/>
      <c r="AH187" s="102"/>
      <c r="AI187" s="102"/>
      <c r="AJ187" s="102"/>
      <c r="AK187" s="102"/>
      <c r="AL187" s="102"/>
      <c r="AM187" s="102"/>
      <c r="AN187" s="102"/>
      <c r="AO187" s="400"/>
      <c r="AP187" s="90"/>
      <c r="AQ187" s="90"/>
      <c r="AR187" s="90"/>
      <c r="AS187" s="90"/>
      <c r="AT187" s="90"/>
      <c r="AU187" s="90"/>
      <c r="AV187" s="90"/>
      <c r="AW187" s="90"/>
      <c r="AX187" s="90"/>
      <c r="AY187" s="90"/>
      <c r="AZ187" s="90"/>
      <c r="BA187" s="90"/>
      <c r="BB187" s="90"/>
      <c r="BC187" s="90"/>
      <c r="BD187" s="90"/>
      <c r="BE187" s="90"/>
      <c r="BF187" s="90"/>
      <c r="BG187" s="90"/>
      <c r="BH187" s="90"/>
      <c r="BI187" s="90"/>
    </row>
    <row r="188" ht="12.75" customHeight="1">
      <c r="A188" s="90"/>
      <c r="B188" s="90"/>
      <c r="C188" s="400"/>
      <c r="D188" s="90"/>
      <c r="E188" s="102"/>
      <c r="F188" s="90"/>
      <c r="G188" s="90"/>
      <c r="H188" s="102"/>
      <c r="I188" s="102"/>
      <c r="J188" s="102"/>
      <c r="K188" s="102"/>
      <c r="L188" s="102"/>
      <c r="M188" s="102"/>
      <c r="N188" s="102"/>
      <c r="O188" s="102"/>
      <c r="P188" s="102"/>
      <c r="Q188" s="102"/>
      <c r="R188" s="102"/>
      <c r="S188" s="102"/>
      <c r="T188" s="102"/>
      <c r="U188" s="102"/>
      <c r="V188" s="102"/>
      <c r="W188" s="102"/>
      <c r="X188" s="102"/>
      <c r="Y188" s="102"/>
      <c r="Z188" s="102"/>
      <c r="AA188" s="102"/>
      <c r="AB188" s="102"/>
      <c r="AC188" s="102"/>
      <c r="AD188" s="102"/>
      <c r="AE188" s="102"/>
      <c r="AF188" s="102"/>
      <c r="AG188" s="102"/>
      <c r="AH188" s="102"/>
      <c r="AI188" s="102"/>
      <c r="AJ188" s="102"/>
      <c r="AK188" s="102"/>
      <c r="AL188" s="102"/>
      <c r="AM188" s="102"/>
      <c r="AN188" s="102"/>
      <c r="AO188" s="400"/>
      <c r="AP188" s="90"/>
      <c r="AQ188" s="90"/>
      <c r="AR188" s="90"/>
      <c r="AS188" s="90"/>
      <c r="AT188" s="90"/>
      <c r="AU188" s="90"/>
      <c r="AV188" s="90"/>
      <c r="AW188" s="90"/>
      <c r="AX188" s="90"/>
      <c r="AY188" s="90"/>
      <c r="AZ188" s="90"/>
      <c r="BA188" s="90"/>
      <c r="BB188" s="90"/>
      <c r="BC188" s="90"/>
      <c r="BD188" s="90"/>
      <c r="BE188" s="90"/>
      <c r="BF188" s="90"/>
      <c r="BG188" s="90"/>
      <c r="BH188" s="90"/>
      <c r="BI188" s="90"/>
    </row>
    <row r="189" ht="12.75" customHeight="1">
      <c r="A189" s="90"/>
      <c r="B189" s="90"/>
      <c r="C189" s="400"/>
      <c r="D189" s="90"/>
      <c r="E189" s="102"/>
      <c r="F189" s="90"/>
      <c r="G189" s="90"/>
      <c r="H189" s="102"/>
      <c r="I189" s="102"/>
      <c r="J189" s="102"/>
      <c r="K189" s="102"/>
      <c r="L189" s="102"/>
      <c r="M189" s="102"/>
      <c r="N189" s="102"/>
      <c r="O189" s="102"/>
      <c r="P189" s="102"/>
      <c r="Q189" s="102"/>
      <c r="R189" s="102"/>
      <c r="S189" s="102"/>
      <c r="T189" s="102"/>
      <c r="U189" s="102"/>
      <c r="V189" s="102"/>
      <c r="W189" s="102"/>
      <c r="X189" s="102"/>
      <c r="Y189" s="102"/>
      <c r="Z189" s="102"/>
      <c r="AA189" s="102"/>
      <c r="AB189" s="102"/>
      <c r="AC189" s="102"/>
      <c r="AD189" s="102"/>
      <c r="AE189" s="102"/>
      <c r="AF189" s="102"/>
      <c r="AG189" s="102"/>
      <c r="AH189" s="102"/>
      <c r="AI189" s="102"/>
      <c r="AJ189" s="102"/>
      <c r="AK189" s="102"/>
      <c r="AL189" s="102"/>
      <c r="AM189" s="102"/>
      <c r="AN189" s="102"/>
      <c r="AO189" s="400"/>
      <c r="AP189" s="90"/>
      <c r="AQ189" s="90"/>
      <c r="AR189" s="90"/>
      <c r="AS189" s="90"/>
      <c r="AT189" s="90"/>
      <c r="AU189" s="90"/>
      <c r="AV189" s="90"/>
      <c r="AW189" s="90"/>
      <c r="AX189" s="90"/>
      <c r="AY189" s="90"/>
      <c r="AZ189" s="90"/>
      <c r="BA189" s="90"/>
      <c r="BB189" s="90"/>
      <c r="BC189" s="90"/>
      <c r="BD189" s="90"/>
      <c r="BE189" s="90"/>
      <c r="BF189" s="90"/>
      <c r="BG189" s="90"/>
      <c r="BH189" s="90"/>
      <c r="BI189" s="90"/>
    </row>
    <row r="190" ht="12.75" customHeight="1">
      <c r="A190" s="90"/>
      <c r="B190" s="90"/>
      <c r="C190" s="400"/>
      <c r="D190" s="90"/>
      <c r="E190" s="102"/>
      <c r="F190" s="90"/>
      <c r="G190" s="90"/>
      <c r="H190" s="102"/>
      <c r="I190" s="102"/>
      <c r="J190" s="102"/>
      <c r="K190" s="102"/>
      <c r="L190" s="102"/>
      <c r="M190" s="102"/>
      <c r="N190" s="102"/>
      <c r="O190" s="102"/>
      <c r="P190" s="102"/>
      <c r="Q190" s="102"/>
      <c r="R190" s="102"/>
      <c r="S190" s="102"/>
      <c r="T190" s="102"/>
      <c r="U190" s="102"/>
      <c r="V190" s="102"/>
      <c r="W190" s="102"/>
      <c r="X190" s="102"/>
      <c r="Y190" s="102"/>
      <c r="Z190" s="102"/>
      <c r="AA190" s="102"/>
      <c r="AB190" s="102"/>
      <c r="AC190" s="102"/>
      <c r="AD190" s="102"/>
      <c r="AE190" s="102"/>
      <c r="AF190" s="102"/>
      <c r="AG190" s="102"/>
      <c r="AH190" s="102"/>
      <c r="AI190" s="102"/>
      <c r="AJ190" s="102"/>
      <c r="AK190" s="102"/>
      <c r="AL190" s="102"/>
      <c r="AM190" s="102"/>
      <c r="AN190" s="102"/>
      <c r="AO190" s="400"/>
      <c r="AP190" s="90"/>
      <c r="AQ190" s="90"/>
      <c r="AR190" s="90"/>
      <c r="AS190" s="90"/>
      <c r="AT190" s="90"/>
      <c r="AU190" s="90"/>
      <c r="AV190" s="90"/>
      <c r="AW190" s="90"/>
      <c r="AX190" s="90"/>
      <c r="AY190" s="90"/>
      <c r="AZ190" s="90"/>
      <c r="BA190" s="90"/>
      <c r="BB190" s="90"/>
      <c r="BC190" s="90"/>
      <c r="BD190" s="90"/>
      <c r="BE190" s="90"/>
      <c r="BF190" s="90"/>
      <c r="BG190" s="90"/>
      <c r="BH190" s="90"/>
      <c r="BI190" s="90"/>
    </row>
    <row r="191" ht="12.75" customHeight="1">
      <c r="A191" s="90"/>
      <c r="B191" s="90"/>
      <c r="C191" s="400"/>
      <c r="D191" s="90"/>
      <c r="E191" s="102"/>
      <c r="F191" s="90"/>
      <c r="G191" s="90"/>
      <c r="H191" s="102"/>
      <c r="I191" s="102"/>
      <c r="J191" s="102"/>
      <c r="K191" s="102"/>
      <c r="L191" s="102"/>
      <c r="M191" s="102"/>
      <c r="N191" s="102"/>
      <c r="O191" s="102"/>
      <c r="P191" s="102"/>
      <c r="Q191" s="102"/>
      <c r="R191" s="102"/>
      <c r="S191" s="102"/>
      <c r="T191" s="102"/>
      <c r="U191" s="102"/>
      <c r="V191" s="102"/>
      <c r="W191" s="102"/>
      <c r="X191" s="102"/>
      <c r="Y191" s="102"/>
      <c r="Z191" s="102"/>
      <c r="AA191" s="102"/>
      <c r="AB191" s="102"/>
      <c r="AC191" s="102"/>
      <c r="AD191" s="102"/>
      <c r="AE191" s="102"/>
      <c r="AF191" s="102"/>
      <c r="AG191" s="102"/>
      <c r="AH191" s="102"/>
      <c r="AI191" s="102"/>
      <c r="AJ191" s="102"/>
      <c r="AK191" s="102"/>
      <c r="AL191" s="102"/>
      <c r="AM191" s="102"/>
      <c r="AN191" s="102"/>
      <c r="AO191" s="400"/>
      <c r="AP191" s="90"/>
      <c r="AQ191" s="90"/>
      <c r="AR191" s="90"/>
      <c r="AS191" s="90"/>
      <c r="AT191" s="90"/>
      <c r="AU191" s="90"/>
      <c r="AV191" s="90"/>
      <c r="AW191" s="90"/>
      <c r="AX191" s="90"/>
      <c r="AY191" s="90"/>
      <c r="AZ191" s="90"/>
      <c r="BA191" s="90"/>
      <c r="BB191" s="90"/>
      <c r="BC191" s="90"/>
      <c r="BD191" s="90"/>
      <c r="BE191" s="90"/>
      <c r="BF191" s="90"/>
      <c r="BG191" s="90"/>
      <c r="BH191" s="90"/>
      <c r="BI191" s="90"/>
    </row>
    <row r="192" ht="12.75" customHeight="1">
      <c r="A192" s="90"/>
      <c r="B192" s="90"/>
      <c r="C192" s="400"/>
      <c r="D192" s="90"/>
      <c r="E192" s="102"/>
      <c r="F192" s="90"/>
      <c r="G192" s="90"/>
      <c r="H192" s="102"/>
      <c r="I192" s="102"/>
      <c r="J192" s="102"/>
      <c r="K192" s="102"/>
      <c r="L192" s="102"/>
      <c r="M192" s="102"/>
      <c r="N192" s="102"/>
      <c r="O192" s="102"/>
      <c r="P192" s="102"/>
      <c r="Q192" s="102"/>
      <c r="R192" s="102"/>
      <c r="S192" s="102"/>
      <c r="T192" s="102"/>
      <c r="U192" s="102"/>
      <c r="V192" s="102"/>
      <c r="W192" s="102"/>
      <c r="X192" s="102"/>
      <c r="Y192" s="102"/>
      <c r="Z192" s="102"/>
      <c r="AA192" s="102"/>
      <c r="AB192" s="102"/>
      <c r="AC192" s="102"/>
      <c r="AD192" s="102"/>
      <c r="AE192" s="102"/>
      <c r="AF192" s="102"/>
      <c r="AG192" s="102"/>
      <c r="AH192" s="102"/>
      <c r="AI192" s="102"/>
      <c r="AJ192" s="102"/>
      <c r="AK192" s="102"/>
      <c r="AL192" s="102"/>
      <c r="AM192" s="102"/>
      <c r="AN192" s="102"/>
      <c r="AO192" s="400"/>
      <c r="AP192" s="90"/>
      <c r="AQ192" s="90"/>
      <c r="AR192" s="90"/>
      <c r="AS192" s="90"/>
      <c r="AT192" s="90"/>
      <c r="AU192" s="90"/>
      <c r="AV192" s="90"/>
      <c r="AW192" s="90"/>
      <c r="AX192" s="90"/>
      <c r="AY192" s="90"/>
      <c r="AZ192" s="90"/>
      <c r="BA192" s="90"/>
      <c r="BB192" s="90"/>
      <c r="BC192" s="90"/>
      <c r="BD192" s="90"/>
      <c r="BE192" s="90"/>
      <c r="BF192" s="90"/>
      <c r="BG192" s="90"/>
      <c r="BH192" s="90"/>
      <c r="BI192" s="90"/>
    </row>
    <row r="193" ht="12.75" customHeight="1">
      <c r="A193" s="90"/>
      <c r="B193" s="90"/>
      <c r="C193" s="400"/>
      <c r="D193" s="90"/>
      <c r="E193" s="102"/>
      <c r="F193" s="90"/>
      <c r="G193" s="90"/>
      <c r="H193" s="102"/>
      <c r="I193" s="102"/>
      <c r="J193" s="102"/>
      <c r="K193" s="102"/>
      <c r="L193" s="102"/>
      <c r="M193" s="102"/>
      <c r="N193" s="102"/>
      <c r="O193" s="102"/>
      <c r="P193" s="102"/>
      <c r="Q193" s="102"/>
      <c r="R193" s="102"/>
      <c r="S193" s="102"/>
      <c r="T193" s="102"/>
      <c r="U193" s="102"/>
      <c r="V193" s="102"/>
      <c r="W193" s="102"/>
      <c r="X193" s="102"/>
      <c r="Y193" s="102"/>
      <c r="Z193" s="102"/>
      <c r="AA193" s="102"/>
      <c r="AB193" s="102"/>
      <c r="AC193" s="102"/>
      <c r="AD193" s="102"/>
      <c r="AE193" s="102"/>
      <c r="AF193" s="102"/>
      <c r="AG193" s="102"/>
      <c r="AH193" s="102"/>
      <c r="AI193" s="102"/>
      <c r="AJ193" s="102"/>
      <c r="AK193" s="102"/>
      <c r="AL193" s="102"/>
      <c r="AM193" s="102"/>
      <c r="AN193" s="102"/>
      <c r="AO193" s="400"/>
      <c r="AP193" s="90"/>
      <c r="AQ193" s="90"/>
      <c r="AR193" s="90"/>
      <c r="AS193" s="90"/>
      <c r="AT193" s="90"/>
      <c r="AU193" s="90"/>
      <c r="AV193" s="90"/>
      <c r="AW193" s="90"/>
      <c r="AX193" s="90"/>
      <c r="AY193" s="90"/>
      <c r="AZ193" s="90"/>
      <c r="BA193" s="90"/>
      <c r="BB193" s="90"/>
      <c r="BC193" s="90"/>
      <c r="BD193" s="90"/>
      <c r="BE193" s="90"/>
      <c r="BF193" s="90"/>
      <c r="BG193" s="90"/>
      <c r="BH193" s="90"/>
      <c r="BI193" s="90"/>
    </row>
    <row r="194" ht="12.75" customHeight="1">
      <c r="A194" s="90"/>
      <c r="B194" s="90"/>
      <c r="C194" s="400"/>
      <c r="D194" s="90"/>
      <c r="E194" s="102"/>
      <c r="F194" s="90"/>
      <c r="G194" s="90"/>
      <c r="H194" s="102"/>
      <c r="I194" s="102"/>
      <c r="J194" s="102"/>
      <c r="K194" s="102"/>
      <c r="L194" s="102"/>
      <c r="M194" s="102"/>
      <c r="N194" s="102"/>
      <c r="O194" s="102"/>
      <c r="P194" s="102"/>
      <c r="Q194" s="102"/>
      <c r="R194" s="102"/>
      <c r="S194" s="102"/>
      <c r="T194" s="102"/>
      <c r="U194" s="102"/>
      <c r="V194" s="102"/>
      <c r="W194" s="102"/>
      <c r="X194" s="102"/>
      <c r="Y194" s="102"/>
      <c r="Z194" s="102"/>
      <c r="AA194" s="102"/>
      <c r="AB194" s="102"/>
      <c r="AC194" s="102"/>
      <c r="AD194" s="102"/>
      <c r="AE194" s="102"/>
      <c r="AF194" s="102"/>
      <c r="AG194" s="102"/>
      <c r="AH194" s="102"/>
      <c r="AI194" s="102"/>
      <c r="AJ194" s="102"/>
      <c r="AK194" s="102"/>
      <c r="AL194" s="102"/>
      <c r="AM194" s="102"/>
      <c r="AN194" s="102"/>
      <c r="AO194" s="400"/>
      <c r="AP194" s="90"/>
      <c r="AQ194" s="90"/>
      <c r="AR194" s="90"/>
      <c r="AS194" s="90"/>
      <c r="AT194" s="90"/>
      <c r="AU194" s="90"/>
      <c r="AV194" s="90"/>
      <c r="AW194" s="90"/>
      <c r="AX194" s="90"/>
      <c r="AY194" s="90"/>
      <c r="AZ194" s="90"/>
      <c r="BA194" s="90"/>
      <c r="BB194" s="90"/>
      <c r="BC194" s="90"/>
      <c r="BD194" s="90"/>
      <c r="BE194" s="90"/>
      <c r="BF194" s="90"/>
      <c r="BG194" s="90"/>
      <c r="BH194" s="90"/>
      <c r="BI194" s="90"/>
    </row>
    <row r="195" ht="12.75" customHeight="1">
      <c r="A195" s="90"/>
      <c r="B195" s="90"/>
      <c r="C195" s="400"/>
      <c r="D195" s="90"/>
      <c r="E195" s="102"/>
      <c r="F195" s="90"/>
      <c r="G195" s="90"/>
      <c r="H195" s="102"/>
      <c r="I195" s="102"/>
      <c r="J195" s="102"/>
      <c r="K195" s="102"/>
      <c r="L195" s="102"/>
      <c r="M195" s="102"/>
      <c r="N195" s="102"/>
      <c r="O195" s="102"/>
      <c r="P195" s="102"/>
      <c r="Q195" s="102"/>
      <c r="R195" s="102"/>
      <c r="S195" s="102"/>
      <c r="T195" s="102"/>
      <c r="U195" s="102"/>
      <c r="V195" s="102"/>
      <c r="W195" s="102"/>
      <c r="X195" s="102"/>
      <c r="Y195" s="102"/>
      <c r="Z195" s="102"/>
      <c r="AA195" s="102"/>
      <c r="AB195" s="102"/>
      <c r="AC195" s="102"/>
      <c r="AD195" s="102"/>
      <c r="AE195" s="102"/>
      <c r="AF195" s="102"/>
      <c r="AG195" s="102"/>
      <c r="AH195" s="102"/>
      <c r="AI195" s="102"/>
      <c r="AJ195" s="102"/>
      <c r="AK195" s="102"/>
      <c r="AL195" s="102"/>
      <c r="AM195" s="102"/>
      <c r="AN195" s="102"/>
      <c r="AO195" s="400"/>
      <c r="AP195" s="90"/>
      <c r="AQ195" s="90"/>
      <c r="AR195" s="90"/>
      <c r="AS195" s="90"/>
      <c r="AT195" s="90"/>
      <c r="AU195" s="90"/>
      <c r="AV195" s="90"/>
      <c r="AW195" s="90"/>
      <c r="AX195" s="90"/>
      <c r="AY195" s="90"/>
      <c r="AZ195" s="90"/>
      <c r="BA195" s="90"/>
      <c r="BB195" s="90"/>
      <c r="BC195" s="90"/>
      <c r="BD195" s="90"/>
      <c r="BE195" s="90"/>
      <c r="BF195" s="90"/>
      <c r="BG195" s="90"/>
      <c r="BH195" s="90"/>
      <c r="BI195" s="90"/>
    </row>
    <row r="196" ht="12.75" customHeight="1">
      <c r="A196" s="90"/>
      <c r="B196" s="90"/>
      <c r="C196" s="400"/>
      <c r="D196" s="90"/>
      <c r="E196" s="102"/>
      <c r="F196" s="90"/>
      <c r="G196" s="90"/>
      <c r="H196" s="102"/>
      <c r="I196" s="102"/>
      <c r="J196" s="102"/>
      <c r="K196" s="102"/>
      <c r="L196" s="102"/>
      <c r="M196" s="102"/>
      <c r="N196" s="102"/>
      <c r="O196" s="102"/>
      <c r="P196" s="102"/>
      <c r="Q196" s="102"/>
      <c r="R196" s="102"/>
      <c r="S196" s="102"/>
      <c r="T196" s="102"/>
      <c r="U196" s="102"/>
      <c r="V196" s="102"/>
      <c r="W196" s="102"/>
      <c r="X196" s="102"/>
      <c r="Y196" s="102"/>
      <c r="Z196" s="102"/>
      <c r="AA196" s="102"/>
      <c r="AB196" s="102"/>
      <c r="AC196" s="102"/>
      <c r="AD196" s="102"/>
      <c r="AE196" s="102"/>
      <c r="AF196" s="102"/>
      <c r="AG196" s="102"/>
      <c r="AH196" s="102"/>
      <c r="AI196" s="102"/>
      <c r="AJ196" s="102"/>
      <c r="AK196" s="102"/>
      <c r="AL196" s="102"/>
      <c r="AM196" s="102"/>
      <c r="AN196" s="102"/>
      <c r="AO196" s="400"/>
      <c r="AP196" s="90"/>
      <c r="AQ196" s="90"/>
      <c r="AR196" s="90"/>
      <c r="AS196" s="90"/>
      <c r="AT196" s="90"/>
      <c r="AU196" s="90"/>
      <c r="AV196" s="90"/>
      <c r="AW196" s="90"/>
      <c r="AX196" s="90"/>
      <c r="AY196" s="90"/>
      <c r="AZ196" s="90"/>
      <c r="BA196" s="90"/>
      <c r="BB196" s="90"/>
      <c r="BC196" s="90"/>
      <c r="BD196" s="90"/>
      <c r="BE196" s="90"/>
      <c r="BF196" s="90"/>
      <c r="BG196" s="90"/>
      <c r="BH196" s="90"/>
      <c r="BI196" s="90"/>
    </row>
    <row r="197" ht="12.75" customHeight="1">
      <c r="A197" s="90"/>
      <c r="B197" s="90"/>
      <c r="C197" s="400"/>
      <c r="D197" s="90"/>
      <c r="E197" s="102"/>
      <c r="F197" s="90"/>
      <c r="G197" s="90"/>
      <c r="H197" s="102"/>
      <c r="I197" s="102"/>
      <c r="J197" s="102"/>
      <c r="K197" s="102"/>
      <c r="L197" s="102"/>
      <c r="M197" s="102"/>
      <c r="N197" s="102"/>
      <c r="O197" s="102"/>
      <c r="P197" s="102"/>
      <c r="Q197" s="102"/>
      <c r="R197" s="102"/>
      <c r="S197" s="102"/>
      <c r="T197" s="102"/>
      <c r="U197" s="102"/>
      <c r="V197" s="102"/>
      <c r="W197" s="102"/>
      <c r="X197" s="102"/>
      <c r="Y197" s="102"/>
      <c r="Z197" s="102"/>
      <c r="AA197" s="102"/>
      <c r="AB197" s="102"/>
      <c r="AC197" s="102"/>
      <c r="AD197" s="102"/>
      <c r="AE197" s="102"/>
      <c r="AF197" s="102"/>
      <c r="AG197" s="102"/>
      <c r="AH197" s="102"/>
      <c r="AI197" s="102"/>
      <c r="AJ197" s="102"/>
      <c r="AK197" s="102"/>
      <c r="AL197" s="102"/>
      <c r="AM197" s="102"/>
      <c r="AN197" s="102"/>
      <c r="AO197" s="400"/>
      <c r="AP197" s="90"/>
      <c r="AQ197" s="90"/>
      <c r="AR197" s="90"/>
      <c r="AS197" s="90"/>
      <c r="AT197" s="90"/>
      <c r="AU197" s="90"/>
      <c r="AV197" s="90"/>
      <c r="AW197" s="90"/>
      <c r="AX197" s="90"/>
      <c r="AY197" s="90"/>
      <c r="AZ197" s="90"/>
      <c r="BA197" s="90"/>
      <c r="BB197" s="90"/>
      <c r="BC197" s="90"/>
      <c r="BD197" s="90"/>
      <c r="BE197" s="90"/>
      <c r="BF197" s="90"/>
      <c r="BG197" s="90"/>
      <c r="BH197" s="90"/>
      <c r="BI197" s="90"/>
    </row>
    <row r="198" ht="12.75" customHeight="1">
      <c r="A198" s="90"/>
      <c r="B198" s="90"/>
      <c r="C198" s="400"/>
      <c r="D198" s="90"/>
      <c r="E198" s="102"/>
      <c r="F198" s="90"/>
      <c r="G198" s="90"/>
      <c r="H198" s="102"/>
      <c r="I198" s="102"/>
      <c r="J198" s="102"/>
      <c r="K198" s="102"/>
      <c r="L198" s="102"/>
      <c r="M198" s="102"/>
      <c r="N198" s="102"/>
      <c r="O198" s="102"/>
      <c r="P198" s="102"/>
      <c r="Q198" s="102"/>
      <c r="R198" s="102"/>
      <c r="S198" s="102"/>
      <c r="T198" s="102"/>
      <c r="U198" s="102"/>
      <c r="V198" s="102"/>
      <c r="W198" s="102"/>
      <c r="X198" s="102"/>
      <c r="Y198" s="102"/>
      <c r="Z198" s="102"/>
      <c r="AA198" s="102"/>
      <c r="AB198" s="102"/>
      <c r="AC198" s="102"/>
      <c r="AD198" s="102"/>
      <c r="AE198" s="102"/>
      <c r="AF198" s="102"/>
      <c r="AG198" s="102"/>
      <c r="AH198" s="102"/>
      <c r="AI198" s="102"/>
      <c r="AJ198" s="102"/>
      <c r="AK198" s="102"/>
      <c r="AL198" s="102"/>
      <c r="AM198" s="102"/>
      <c r="AN198" s="102"/>
      <c r="AO198" s="400"/>
      <c r="AP198" s="90"/>
      <c r="AQ198" s="90"/>
      <c r="AR198" s="90"/>
      <c r="AS198" s="90"/>
      <c r="AT198" s="90"/>
      <c r="AU198" s="90"/>
      <c r="AV198" s="90"/>
      <c r="AW198" s="90"/>
      <c r="AX198" s="90"/>
      <c r="AY198" s="90"/>
      <c r="AZ198" s="90"/>
      <c r="BA198" s="90"/>
      <c r="BB198" s="90"/>
      <c r="BC198" s="90"/>
      <c r="BD198" s="90"/>
      <c r="BE198" s="90"/>
      <c r="BF198" s="90"/>
      <c r="BG198" s="90"/>
      <c r="BH198" s="90"/>
      <c r="BI198" s="90"/>
    </row>
    <row r="199" ht="12.75" customHeight="1">
      <c r="A199" s="90"/>
      <c r="B199" s="90"/>
      <c r="C199" s="400"/>
      <c r="D199" s="90"/>
      <c r="E199" s="102"/>
      <c r="F199" s="90"/>
      <c r="G199" s="90"/>
      <c r="H199" s="102"/>
      <c r="I199" s="102"/>
      <c r="J199" s="102"/>
      <c r="K199" s="102"/>
      <c r="L199" s="102"/>
      <c r="M199" s="102"/>
      <c r="N199" s="102"/>
      <c r="O199" s="102"/>
      <c r="P199" s="102"/>
      <c r="Q199" s="102"/>
      <c r="R199" s="102"/>
      <c r="S199" s="102"/>
      <c r="T199" s="102"/>
      <c r="U199" s="102"/>
      <c r="V199" s="102"/>
      <c r="W199" s="102"/>
      <c r="X199" s="102"/>
      <c r="Y199" s="102"/>
      <c r="Z199" s="102"/>
      <c r="AA199" s="102"/>
      <c r="AB199" s="102"/>
      <c r="AC199" s="102"/>
      <c r="AD199" s="102"/>
      <c r="AE199" s="102"/>
      <c r="AF199" s="102"/>
      <c r="AG199" s="102"/>
      <c r="AH199" s="102"/>
      <c r="AI199" s="102"/>
      <c r="AJ199" s="102"/>
      <c r="AK199" s="102"/>
      <c r="AL199" s="102"/>
      <c r="AM199" s="102"/>
      <c r="AN199" s="102"/>
      <c r="AO199" s="400"/>
      <c r="AP199" s="90"/>
      <c r="AQ199" s="90"/>
      <c r="AR199" s="90"/>
      <c r="AS199" s="90"/>
      <c r="AT199" s="90"/>
      <c r="AU199" s="90"/>
      <c r="AV199" s="90"/>
      <c r="AW199" s="90"/>
      <c r="AX199" s="90"/>
      <c r="AY199" s="90"/>
      <c r="AZ199" s="90"/>
      <c r="BA199" s="90"/>
      <c r="BB199" s="90"/>
      <c r="BC199" s="90"/>
      <c r="BD199" s="90"/>
      <c r="BE199" s="90"/>
      <c r="BF199" s="90"/>
      <c r="BG199" s="90"/>
      <c r="BH199" s="90"/>
      <c r="BI199" s="90"/>
    </row>
    <row r="200" ht="12.75" customHeight="1">
      <c r="A200" s="90"/>
      <c r="B200" s="90"/>
      <c r="C200" s="400"/>
      <c r="D200" s="90"/>
      <c r="E200" s="102"/>
      <c r="F200" s="90"/>
      <c r="G200" s="90"/>
      <c r="H200" s="102"/>
      <c r="I200" s="102"/>
      <c r="J200" s="102"/>
      <c r="K200" s="102"/>
      <c r="L200" s="102"/>
      <c r="M200" s="102"/>
      <c r="N200" s="102"/>
      <c r="O200" s="102"/>
      <c r="P200" s="102"/>
      <c r="Q200" s="102"/>
      <c r="R200" s="102"/>
      <c r="S200" s="102"/>
      <c r="T200" s="102"/>
      <c r="U200" s="102"/>
      <c r="V200" s="102"/>
      <c r="W200" s="102"/>
      <c r="X200" s="102"/>
      <c r="Y200" s="102"/>
      <c r="Z200" s="102"/>
      <c r="AA200" s="102"/>
      <c r="AB200" s="102"/>
      <c r="AC200" s="102"/>
      <c r="AD200" s="102"/>
      <c r="AE200" s="102"/>
      <c r="AF200" s="102"/>
      <c r="AG200" s="102"/>
      <c r="AH200" s="102"/>
      <c r="AI200" s="102"/>
      <c r="AJ200" s="102"/>
      <c r="AK200" s="102"/>
      <c r="AL200" s="102"/>
      <c r="AM200" s="102"/>
      <c r="AN200" s="102"/>
      <c r="AO200" s="400"/>
      <c r="AP200" s="90"/>
      <c r="AQ200" s="90"/>
      <c r="AR200" s="90"/>
      <c r="AS200" s="90"/>
      <c r="AT200" s="90"/>
      <c r="AU200" s="90"/>
      <c r="AV200" s="90"/>
      <c r="AW200" s="90"/>
      <c r="AX200" s="90"/>
      <c r="AY200" s="90"/>
      <c r="AZ200" s="90"/>
      <c r="BA200" s="90"/>
      <c r="BB200" s="90"/>
      <c r="BC200" s="90"/>
      <c r="BD200" s="90"/>
      <c r="BE200" s="90"/>
      <c r="BF200" s="90"/>
      <c r="BG200" s="90"/>
      <c r="BH200" s="90"/>
      <c r="BI200" s="90"/>
    </row>
    <row r="201" ht="12.75" customHeight="1">
      <c r="A201" s="90"/>
      <c r="B201" s="90"/>
      <c r="C201" s="400"/>
      <c r="D201" s="90"/>
      <c r="E201" s="102"/>
      <c r="F201" s="90"/>
      <c r="G201" s="90"/>
      <c r="H201" s="102"/>
      <c r="I201" s="102"/>
      <c r="J201" s="102"/>
      <c r="K201" s="102"/>
      <c r="L201" s="102"/>
      <c r="M201" s="102"/>
      <c r="N201" s="102"/>
      <c r="O201" s="102"/>
      <c r="P201" s="102"/>
      <c r="Q201" s="102"/>
      <c r="R201" s="102"/>
      <c r="S201" s="102"/>
      <c r="T201" s="102"/>
      <c r="U201" s="102"/>
      <c r="V201" s="102"/>
      <c r="W201" s="102"/>
      <c r="X201" s="102"/>
      <c r="Y201" s="102"/>
      <c r="Z201" s="102"/>
      <c r="AA201" s="102"/>
      <c r="AB201" s="102"/>
      <c r="AC201" s="102"/>
      <c r="AD201" s="102"/>
      <c r="AE201" s="102"/>
      <c r="AF201" s="102"/>
      <c r="AG201" s="102"/>
      <c r="AH201" s="102"/>
      <c r="AI201" s="102"/>
      <c r="AJ201" s="102"/>
      <c r="AK201" s="102"/>
      <c r="AL201" s="102"/>
      <c r="AM201" s="102"/>
      <c r="AN201" s="102"/>
      <c r="AO201" s="400"/>
      <c r="AP201" s="90"/>
      <c r="AQ201" s="90"/>
      <c r="AR201" s="90"/>
      <c r="AS201" s="90"/>
      <c r="AT201" s="90"/>
      <c r="AU201" s="90"/>
      <c r="AV201" s="90"/>
      <c r="AW201" s="90"/>
      <c r="AX201" s="90"/>
      <c r="AY201" s="90"/>
      <c r="AZ201" s="90"/>
      <c r="BA201" s="90"/>
      <c r="BB201" s="90"/>
      <c r="BC201" s="90"/>
      <c r="BD201" s="90"/>
      <c r="BE201" s="90"/>
      <c r="BF201" s="90"/>
      <c r="BG201" s="90"/>
      <c r="BH201" s="90"/>
      <c r="BI201" s="90"/>
    </row>
    <row r="202" ht="12.75" customHeight="1">
      <c r="A202" s="90"/>
      <c r="B202" s="90"/>
      <c r="C202" s="400"/>
      <c r="D202" s="90"/>
      <c r="E202" s="102"/>
      <c r="F202" s="90"/>
      <c r="G202" s="90"/>
      <c r="H202" s="102"/>
      <c r="I202" s="102"/>
      <c r="J202" s="102"/>
      <c r="K202" s="102"/>
      <c r="L202" s="102"/>
      <c r="M202" s="102"/>
      <c r="N202" s="102"/>
      <c r="O202" s="102"/>
      <c r="P202" s="102"/>
      <c r="Q202" s="102"/>
      <c r="R202" s="102"/>
      <c r="S202" s="102"/>
      <c r="T202" s="102"/>
      <c r="U202" s="102"/>
      <c r="V202" s="102"/>
      <c r="W202" s="102"/>
      <c r="X202" s="102"/>
      <c r="Y202" s="102"/>
      <c r="Z202" s="102"/>
      <c r="AA202" s="102"/>
      <c r="AB202" s="102"/>
      <c r="AC202" s="102"/>
      <c r="AD202" s="102"/>
      <c r="AE202" s="102"/>
      <c r="AF202" s="102"/>
      <c r="AG202" s="102"/>
      <c r="AH202" s="102"/>
      <c r="AI202" s="102"/>
      <c r="AJ202" s="102"/>
      <c r="AK202" s="102"/>
      <c r="AL202" s="102"/>
      <c r="AM202" s="102"/>
      <c r="AN202" s="102"/>
      <c r="AO202" s="400"/>
      <c r="AP202" s="90"/>
      <c r="AQ202" s="90"/>
      <c r="AR202" s="90"/>
      <c r="AS202" s="90"/>
      <c r="AT202" s="90"/>
      <c r="AU202" s="90"/>
      <c r="AV202" s="90"/>
      <c r="AW202" s="90"/>
      <c r="AX202" s="90"/>
      <c r="AY202" s="90"/>
      <c r="AZ202" s="90"/>
      <c r="BA202" s="90"/>
      <c r="BB202" s="90"/>
      <c r="BC202" s="90"/>
      <c r="BD202" s="90"/>
      <c r="BE202" s="90"/>
      <c r="BF202" s="90"/>
      <c r="BG202" s="90"/>
      <c r="BH202" s="90"/>
      <c r="BI202" s="90"/>
    </row>
    <row r="203" ht="12.75" customHeight="1">
      <c r="A203" s="90"/>
      <c r="B203" s="90"/>
      <c r="C203" s="400"/>
      <c r="D203" s="90"/>
      <c r="E203" s="102"/>
      <c r="F203" s="90"/>
      <c r="G203" s="90"/>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102"/>
      <c r="AJ203" s="102"/>
      <c r="AK203" s="102"/>
      <c r="AL203" s="102"/>
      <c r="AM203" s="102"/>
      <c r="AN203" s="102"/>
      <c r="AO203" s="400"/>
      <c r="AP203" s="90"/>
      <c r="AQ203" s="90"/>
      <c r="AR203" s="90"/>
      <c r="AS203" s="90"/>
      <c r="AT203" s="90"/>
      <c r="AU203" s="90"/>
      <c r="AV203" s="90"/>
      <c r="AW203" s="90"/>
      <c r="AX203" s="90"/>
      <c r="AY203" s="90"/>
      <c r="AZ203" s="90"/>
      <c r="BA203" s="90"/>
      <c r="BB203" s="90"/>
      <c r="BC203" s="90"/>
      <c r="BD203" s="90"/>
      <c r="BE203" s="90"/>
      <c r="BF203" s="90"/>
      <c r="BG203" s="90"/>
      <c r="BH203" s="90"/>
      <c r="BI203" s="90"/>
    </row>
    <row r="204" ht="12.75" customHeight="1">
      <c r="A204" s="90"/>
      <c r="B204" s="90"/>
      <c r="C204" s="400"/>
      <c r="D204" s="90"/>
      <c r="E204" s="102"/>
      <c r="F204" s="90"/>
      <c r="G204" s="90"/>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400"/>
      <c r="AP204" s="90"/>
      <c r="AQ204" s="90"/>
      <c r="AR204" s="90"/>
      <c r="AS204" s="90"/>
      <c r="AT204" s="90"/>
      <c r="AU204" s="90"/>
      <c r="AV204" s="90"/>
      <c r="AW204" s="90"/>
      <c r="AX204" s="90"/>
      <c r="AY204" s="90"/>
      <c r="AZ204" s="90"/>
      <c r="BA204" s="90"/>
      <c r="BB204" s="90"/>
      <c r="BC204" s="90"/>
      <c r="BD204" s="90"/>
      <c r="BE204" s="90"/>
      <c r="BF204" s="90"/>
      <c r="BG204" s="90"/>
      <c r="BH204" s="90"/>
      <c r="BI204" s="90"/>
    </row>
    <row r="205" ht="12.75" customHeight="1">
      <c r="A205" s="90"/>
      <c r="B205" s="90"/>
      <c r="C205" s="400"/>
      <c r="D205" s="90"/>
      <c r="E205" s="102"/>
      <c r="F205" s="90"/>
      <c r="G205" s="90"/>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c r="AK205" s="102"/>
      <c r="AL205" s="102"/>
      <c r="AM205" s="102"/>
      <c r="AN205" s="102"/>
      <c r="AO205" s="400"/>
      <c r="AP205" s="90"/>
      <c r="AQ205" s="90"/>
      <c r="AR205" s="90"/>
      <c r="AS205" s="90"/>
      <c r="AT205" s="90"/>
      <c r="AU205" s="90"/>
      <c r="AV205" s="90"/>
      <c r="AW205" s="90"/>
      <c r="AX205" s="90"/>
      <c r="AY205" s="90"/>
      <c r="AZ205" s="90"/>
      <c r="BA205" s="90"/>
      <c r="BB205" s="90"/>
      <c r="BC205" s="90"/>
      <c r="BD205" s="90"/>
      <c r="BE205" s="90"/>
      <c r="BF205" s="90"/>
      <c r="BG205" s="90"/>
      <c r="BH205" s="90"/>
      <c r="BI205" s="90"/>
    </row>
    <row r="206" ht="12.75" customHeight="1">
      <c r="A206" s="90"/>
      <c r="B206" s="90"/>
      <c r="C206" s="400"/>
      <c r="D206" s="90"/>
      <c r="E206" s="102"/>
      <c r="F206" s="90"/>
      <c r="G206" s="90"/>
      <c r="H206" s="102"/>
      <c r="I206" s="102"/>
      <c r="J206" s="102"/>
      <c r="K206" s="102"/>
      <c r="L206" s="102"/>
      <c r="M206" s="102"/>
      <c r="N206" s="102"/>
      <c r="O206" s="102"/>
      <c r="P206" s="102"/>
      <c r="Q206" s="102"/>
      <c r="R206" s="102"/>
      <c r="S206" s="102"/>
      <c r="T206" s="102"/>
      <c r="U206" s="102"/>
      <c r="V206" s="102"/>
      <c r="W206" s="102"/>
      <c r="X206" s="102"/>
      <c r="Y206" s="102"/>
      <c r="Z206" s="102"/>
      <c r="AA206" s="102"/>
      <c r="AB206" s="102"/>
      <c r="AC206" s="102"/>
      <c r="AD206" s="102"/>
      <c r="AE206" s="102"/>
      <c r="AF206" s="102"/>
      <c r="AG206" s="102"/>
      <c r="AH206" s="102"/>
      <c r="AI206" s="102"/>
      <c r="AJ206" s="102"/>
      <c r="AK206" s="102"/>
      <c r="AL206" s="102"/>
      <c r="AM206" s="102"/>
      <c r="AN206" s="102"/>
      <c r="AO206" s="400"/>
      <c r="AP206" s="90"/>
      <c r="AQ206" s="90"/>
      <c r="AR206" s="90"/>
      <c r="AS206" s="90"/>
      <c r="AT206" s="90"/>
      <c r="AU206" s="90"/>
      <c r="AV206" s="90"/>
      <c r="AW206" s="90"/>
      <c r="AX206" s="90"/>
      <c r="AY206" s="90"/>
      <c r="AZ206" s="90"/>
      <c r="BA206" s="90"/>
      <c r="BB206" s="90"/>
      <c r="BC206" s="90"/>
      <c r="BD206" s="90"/>
      <c r="BE206" s="90"/>
      <c r="BF206" s="90"/>
      <c r="BG206" s="90"/>
      <c r="BH206" s="90"/>
      <c r="BI206" s="90"/>
    </row>
    <row r="207" ht="12.75" customHeight="1">
      <c r="A207" s="90"/>
      <c r="B207" s="90"/>
      <c r="C207" s="400"/>
      <c r="D207" s="90"/>
      <c r="E207" s="102"/>
      <c r="F207" s="90"/>
      <c r="G207" s="90"/>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400"/>
      <c r="AP207" s="90"/>
      <c r="AQ207" s="90"/>
      <c r="AR207" s="90"/>
      <c r="AS207" s="90"/>
      <c r="AT207" s="90"/>
      <c r="AU207" s="90"/>
      <c r="AV207" s="90"/>
      <c r="AW207" s="90"/>
      <c r="AX207" s="90"/>
      <c r="AY207" s="90"/>
      <c r="AZ207" s="90"/>
      <c r="BA207" s="90"/>
      <c r="BB207" s="90"/>
      <c r="BC207" s="90"/>
      <c r="BD207" s="90"/>
      <c r="BE207" s="90"/>
      <c r="BF207" s="90"/>
      <c r="BG207" s="90"/>
      <c r="BH207" s="90"/>
      <c r="BI207" s="90"/>
    </row>
    <row r="208" ht="12.75" customHeight="1">
      <c r="A208" s="90"/>
      <c r="B208" s="90"/>
      <c r="C208" s="400"/>
      <c r="D208" s="90"/>
      <c r="E208" s="102"/>
      <c r="F208" s="90"/>
      <c r="G208" s="90"/>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102"/>
      <c r="AN208" s="102"/>
      <c r="AO208" s="400"/>
      <c r="AP208" s="90"/>
      <c r="AQ208" s="90"/>
      <c r="AR208" s="90"/>
      <c r="AS208" s="90"/>
      <c r="AT208" s="90"/>
      <c r="AU208" s="90"/>
      <c r="AV208" s="90"/>
      <c r="AW208" s="90"/>
      <c r="AX208" s="90"/>
      <c r="AY208" s="90"/>
      <c r="AZ208" s="90"/>
      <c r="BA208" s="90"/>
      <c r="BB208" s="90"/>
      <c r="BC208" s="90"/>
      <c r="BD208" s="90"/>
      <c r="BE208" s="90"/>
      <c r="BF208" s="90"/>
      <c r="BG208" s="90"/>
      <c r="BH208" s="90"/>
      <c r="BI208" s="90"/>
    </row>
    <row r="209" ht="12.75" customHeight="1">
      <c r="A209" s="90"/>
      <c r="B209" s="90"/>
      <c r="C209" s="400"/>
      <c r="D209" s="90"/>
      <c r="E209" s="102"/>
      <c r="F209" s="90"/>
      <c r="G209" s="90"/>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400"/>
      <c r="AP209" s="90"/>
      <c r="AQ209" s="90"/>
      <c r="AR209" s="90"/>
      <c r="AS209" s="90"/>
      <c r="AT209" s="90"/>
      <c r="AU209" s="90"/>
      <c r="AV209" s="90"/>
      <c r="AW209" s="90"/>
      <c r="AX209" s="90"/>
      <c r="AY209" s="90"/>
      <c r="AZ209" s="90"/>
      <c r="BA209" s="90"/>
      <c r="BB209" s="90"/>
      <c r="BC209" s="90"/>
      <c r="BD209" s="90"/>
      <c r="BE209" s="90"/>
      <c r="BF209" s="90"/>
      <c r="BG209" s="90"/>
      <c r="BH209" s="90"/>
      <c r="BI209" s="90"/>
    </row>
    <row r="210" ht="12.75" customHeight="1">
      <c r="A210" s="90"/>
      <c r="B210" s="90"/>
      <c r="C210" s="400"/>
      <c r="D210" s="90"/>
      <c r="E210" s="102"/>
      <c r="F210" s="90"/>
      <c r="G210" s="90"/>
      <c r="H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400"/>
      <c r="AP210" s="90"/>
      <c r="AQ210" s="90"/>
      <c r="AR210" s="90"/>
      <c r="AS210" s="90"/>
      <c r="AT210" s="90"/>
      <c r="AU210" s="90"/>
      <c r="AV210" s="90"/>
      <c r="AW210" s="90"/>
      <c r="AX210" s="90"/>
      <c r="AY210" s="90"/>
      <c r="AZ210" s="90"/>
      <c r="BA210" s="90"/>
      <c r="BB210" s="90"/>
      <c r="BC210" s="90"/>
      <c r="BD210" s="90"/>
      <c r="BE210" s="90"/>
      <c r="BF210" s="90"/>
      <c r="BG210" s="90"/>
      <c r="BH210" s="90"/>
      <c r="BI210" s="90"/>
    </row>
    <row r="211" ht="12.75" customHeight="1">
      <c r="A211" s="90"/>
      <c r="B211" s="90"/>
      <c r="C211" s="400"/>
      <c r="D211" s="90"/>
      <c r="E211" s="102"/>
      <c r="F211" s="90"/>
      <c r="G211" s="90"/>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400"/>
      <c r="AP211" s="90"/>
      <c r="AQ211" s="90"/>
      <c r="AR211" s="90"/>
      <c r="AS211" s="90"/>
      <c r="AT211" s="90"/>
      <c r="AU211" s="90"/>
      <c r="AV211" s="90"/>
      <c r="AW211" s="90"/>
      <c r="AX211" s="90"/>
      <c r="AY211" s="90"/>
      <c r="AZ211" s="90"/>
      <c r="BA211" s="90"/>
      <c r="BB211" s="90"/>
      <c r="BC211" s="90"/>
      <c r="BD211" s="90"/>
      <c r="BE211" s="90"/>
      <c r="BF211" s="90"/>
      <c r="BG211" s="90"/>
      <c r="BH211" s="90"/>
      <c r="BI211" s="90"/>
    </row>
    <row r="212" ht="12.75" customHeight="1">
      <c r="A212" s="90"/>
      <c r="B212" s="90"/>
      <c r="C212" s="400"/>
      <c r="D212" s="90"/>
      <c r="E212" s="102"/>
      <c r="F212" s="90"/>
      <c r="G212" s="90"/>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400"/>
      <c r="AP212" s="90"/>
      <c r="AQ212" s="90"/>
      <c r="AR212" s="90"/>
      <c r="AS212" s="90"/>
      <c r="AT212" s="90"/>
      <c r="AU212" s="90"/>
      <c r="AV212" s="90"/>
      <c r="AW212" s="90"/>
      <c r="AX212" s="90"/>
      <c r="AY212" s="90"/>
      <c r="AZ212" s="90"/>
      <c r="BA212" s="90"/>
      <c r="BB212" s="90"/>
      <c r="BC212" s="90"/>
      <c r="BD212" s="90"/>
      <c r="BE212" s="90"/>
      <c r="BF212" s="90"/>
      <c r="BG212" s="90"/>
      <c r="BH212" s="90"/>
      <c r="BI212" s="90"/>
    </row>
    <row r="213" ht="12.75" customHeight="1">
      <c r="A213" s="90"/>
      <c r="B213" s="90"/>
      <c r="C213" s="400"/>
      <c r="D213" s="90"/>
      <c r="E213" s="102"/>
      <c r="F213" s="90"/>
      <c r="G213" s="90"/>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400"/>
      <c r="AP213" s="90"/>
      <c r="AQ213" s="90"/>
      <c r="AR213" s="90"/>
      <c r="AS213" s="90"/>
      <c r="AT213" s="90"/>
      <c r="AU213" s="90"/>
      <c r="AV213" s="90"/>
      <c r="AW213" s="90"/>
      <c r="AX213" s="90"/>
      <c r="AY213" s="90"/>
      <c r="AZ213" s="90"/>
      <c r="BA213" s="90"/>
      <c r="BB213" s="90"/>
      <c r="BC213" s="90"/>
      <c r="BD213" s="90"/>
      <c r="BE213" s="90"/>
      <c r="BF213" s="90"/>
      <c r="BG213" s="90"/>
      <c r="BH213" s="90"/>
      <c r="BI213" s="90"/>
    </row>
    <row r="214" ht="12.75" customHeight="1">
      <c r="A214" s="90"/>
      <c r="B214" s="90"/>
      <c r="C214" s="400"/>
      <c r="D214" s="90"/>
      <c r="E214" s="102"/>
      <c r="F214" s="90"/>
      <c r="G214" s="90"/>
      <c r="H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400"/>
      <c r="AP214" s="90"/>
      <c r="AQ214" s="90"/>
      <c r="AR214" s="90"/>
      <c r="AS214" s="90"/>
      <c r="AT214" s="90"/>
      <c r="AU214" s="90"/>
      <c r="AV214" s="90"/>
      <c r="AW214" s="90"/>
      <c r="AX214" s="90"/>
      <c r="AY214" s="90"/>
      <c r="AZ214" s="90"/>
      <c r="BA214" s="90"/>
      <c r="BB214" s="90"/>
      <c r="BC214" s="90"/>
      <c r="BD214" s="90"/>
      <c r="BE214" s="90"/>
      <c r="BF214" s="90"/>
      <c r="BG214" s="90"/>
      <c r="BH214" s="90"/>
      <c r="BI214" s="90"/>
    </row>
    <row r="215" ht="12.75" customHeight="1">
      <c r="A215" s="90"/>
      <c r="B215" s="90"/>
      <c r="C215" s="400"/>
      <c r="D215" s="90"/>
      <c r="E215" s="102"/>
      <c r="F215" s="90"/>
      <c r="G215" s="90"/>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400"/>
      <c r="AP215" s="90"/>
      <c r="AQ215" s="90"/>
      <c r="AR215" s="90"/>
      <c r="AS215" s="90"/>
      <c r="AT215" s="90"/>
      <c r="AU215" s="90"/>
      <c r="AV215" s="90"/>
      <c r="AW215" s="90"/>
      <c r="AX215" s="90"/>
      <c r="AY215" s="90"/>
      <c r="AZ215" s="90"/>
      <c r="BA215" s="90"/>
      <c r="BB215" s="90"/>
      <c r="BC215" s="90"/>
      <c r="BD215" s="90"/>
      <c r="BE215" s="90"/>
      <c r="BF215" s="90"/>
      <c r="BG215" s="90"/>
      <c r="BH215" s="90"/>
      <c r="BI215" s="90"/>
    </row>
    <row r="216" ht="12.75" customHeight="1">
      <c r="A216" s="90"/>
      <c r="B216" s="90"/>
      <c r="C216" s="400"/>
      <c r="D216" s="90"/>
      <c r="E216" s="102"/>
      <c r="F216" s="90"/>
      <c r="G216" s="90"/>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400"/>
      <c r="AP216" s="90"/>
      <c r="AQ216" s="90"/>
      <c r="AR216" s="90"/>
      <c r="AS216" s="90"/>
      <c r="AT216" s="90"/>
      <c r="AU216" s="90"/>
      <c r="AV216" s="90"/>
      <c r="AW216" s="90"/>
      <c r="AX216" s="90"/>
      <c r="AY216" s="90"/>
      <c r="AZ216" s="90"/>
      <c r="BA216" s="90"/>
      <c r="BB216" s="90"/>
      <c r="BC216" s="90"/>
      <c r="BD216" s="90"/>
      <c r="BE216" s="90"/>
      <c r="BF216" s="90"/>
      <c r="BG216" s="90"/>
      <c r="BH216" s="90"/>
      <c r="BI216" s="90"/>
    </row>
    <row r="217" ht="12.75" customHeight="1">
      <c r="A217" s="90"/>
      <c r="B217" s="90"/>
      <c r="C217" s="400"/>
      <c r="D217" s="90"/>
      <c r="E217" s="102"/>
      <c r="F217" s="90"/>
      <c r="G217" s="90"/>
      <c r="H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400"/>
      <c r="AP217" s="90"/>
      <c r="AQ217" s="90"/>
      <c r="AR217" s="90"/>
      <c r="AS217" s="90"/>
      <c r="AT217" s="90"/>
      <c r="AU217" s="90"/>
      <c r="AV217" s="90"/>
      <c r="AW217" s="90"/>
      <c r="AX217" s="90"/>
      <c r="AY217" s="90"/>
      <c r="AZ217" s="90"/>
      <c r="BA217" s="90"/>
      <c r="BB217" s="90"/>
      <c r="BC217" s="90"/>
      <c r="BD217" s="90"/>
      <c r="BE217" s="90"/>
      <c r="BF217" s="90"/>
      <c r="BG217" s="90"/>
      <c r="BH217" s="90"/>
      <c r="BI217" s="90"/>
    </row>
    <row r="218" ht="12.75" customHeight="1">
      <c r="A218" s="90"/>
      <c r="B218" s="90"/>
      <c r="C218" s="400"/>
      <c r="D218" s="90"/>
      <c r="E218" s="102"/>
      <c r="F218" s="90"/>
      <c r="G218" s="90"/>
      <c r="H218" s="102"/>
      <c r="I218" s="102"/>
      <c r="J218" s="102"/>
      <c r="K218" s="102"/>
      <c r="L218" s="102"/>
      <c r="M218" s="102"/>
      <c r="N218" s="102"/>
      <c r="O218" s="102"/>
      <c r="P218" s="102"/>
      <c r="Q218" s="102"/>
      <c r="R218" s="102"/>
      <c r="S218" s="102"/>
      <c r="T218" s="102"/>
      <c r="U218" s="102"/>
      <c r="V218" s="102"/>
      <c r="W218" s="102"/>
      <c r="X218" s="102"/>
      <c r="Y218" s="102"/>
      <c r="Z218" s="102"/>
      <c r="AA218" s="102"/>
      <c r="AB218" s="102"/>
      <c r="AC218" s="102"/>
      <c r="AD218" s="102"/>
      <c r="AE218" s="102"/>
      <c r="AF218" s="102"/>
      <c r="AG218" s="102"/>
      <c r="AH218" s="102"/>
      <c r="AI218" s="102"/>
      <c r="AJ218" s="102"/>
      <c r="AK218" s="102"/>
      <c r="AL218" s="102"/>
      <c r="AM218" s="102"/>
      <c r="AN218" s="102"/>
      <c r="AO218" s="400"/>
      <c r="AP218" s="90"/>
      <c r="AQ218" s="90"/>
      <c r="AR218" s="90"/>
      <c r="AS218" s="90"/>
      <c r="AT218" s="90"/>
      <c r="AU218" s="90"/>
      <c r="AV218" s="90"/>
      <c r="AW218" s="90"/>
      <c r="AX218" s="90"/>
      <c r="AY218" s="90"/>
      <c r="AZ218" s="90"/>
      <c r="BA218" s="90"/>
      <c r="BB218" s="90"/>
      <c r="BC218" s="90"/>
      <c r="BD218" s="90"/>
      <c r="BE218" s="90"/>
      <c r="BF218" s="90"/>
      <c r="BG218" s="90"/>
      <c r="BH218" s="90"/>
      <c r="BI218" s="90"/>
    </row>
    <row r="219" ht="12.75" customHeight="1">
      <c r="A219" s="90"/>
      <c r="B219" s="90"/>
      <c r="C219" s="400"/>
      <c r="D219" s="90"/>
      <c r="E219" s="102"/>
      <c r="F219" s="90"/>
      <c r="G219" s="90"/>
      <c r="H219" s="102"/>
      <c r="I219" s="102"/>
      <c r="J219" s="102"/>
      <c r="K219" s="102"/>
      <c r="L219" s="102"/>
      <c r="M219" s="102"/>
      <c r="N219" s="102"/>
      <c r="O219" s="102"/>
      <c r="P219" s="102"/>
      <c r="Q219" s="102"/>
      <c r="R219" s="102"/>
      <c r="S219" s="102"/>
      <c r="T219" s="102"/>
      <c r="U219" s="102"/>
      <c r="V219" s="102"/>
      <c r="W219" s="102"/>
      <c r="X219" s="102"/>
      <c r="Y219" s="102"/>
      <c r="Z219" s="102"/>
      <c r="AA219" s="102"/>
      <c r="AB219" s="102"/>
      <c r="AC219" s="102"/>
      <c r="AD219" s="102"/>
      <c r="AE219" s="102"/>
      <c r="AF219" s="102"/>
      <c r="AG219" s="102"/>
      <c r="AH219" s="102"/>
      <c r="AI219" s="102"/>
      <c r="AJ219" s="102"/>
      <c r="AK219" s="102"/>
      <c r="AL219" s="102"/>
      <c r="AM219" s="102"/>
      <c r="AN219" s="102"/>
      <c r="AO219" s="400"/>
      <c r="AP219" s="90"/>
      <c r="AQ219" s="90"/>
      <c r="AR219" s="90"/>
      <c r="AS219" s="90"/>
      <c r="AT219" s="90"/>
      <c r="AU219" s="90"/>
      <c r="AV219" s="90"/>
      <c r="AW219" s="90"/>
      <c r="AX219" s="90"/>
      <c r="AY219" s="90"/>
      <c r="AZ219" s="90"/>
      <c r="BA219" s="90"/>
      <c r="BB219" s="90"/>
      <c r="BC219" s="90"/>
      <c r="BD219" s="90"/>
      <c r="BE219" s="90"/>
      <c r="BF219" s="90"/>
      <c r="BG219" s="90"/>
      <c r="BH219" s="90"/>
      <c r="BI219" s="90"/>
    </row>
    <row r="220" ht="12.75" customHeight="1">
      <c r="A220" s="90"/>
      <c r="B220" s="90"/>
      <c r="C220" s="400"/>
      <c r="D220" s="90"/>
      <c r="E220" s="102"/>
      <c r="F220" s="90"/>
      <c r="G220" s="90"/>
      <c r="H220" s="102"/>
      <c r="I220" s="102"/>
      <c r="J220" s="102"/>
      <c r="K220" s="102"/>
      <c r="L220" s="102"/>
      <c r="M220" s="102"/>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400"/>
      <c r="AP220" s="90"/>
      <c r="AQ220" s="90"/>
      <c r="AR220" s="90"/>
      <c r="AS220" s="90"/>
      <c r="AT220" s="90"/>
      <c r="AU220" s="90"/>
      <c r="AV220" s="90"/>
      <c r="AW220" s="90"/>
      <c r="AX220" s="90"/>
      <c r="AY220" s="90"/>
      <c r="AZ220" s="90"/>
      <c r="BA220" s="90"/>
      <c r="BB220" s="90"/>
      <c r="BC220" s="90"/>
      <c r="BD220" s="90"/>
      <c r="BE220" s="90"/>
      <c r="BF220" s="90"/>
      <c r="BG220" s="90"/>
      <c r="BH220" s="90"/>
      <c r="BI220" s="90"/>
    </row>
    <row r="221" ht="12.75" customHeight="1">
      <c r="A221" s="90"/>
      <c r="B221" s="90"/>
      <c r="C221" s="400"/>
      <c r="D221" s="90"/>
      <c r="E221" s="102"/>
      <c r="F221" s="90"/>
      <c r="G221" s="90"/>
      <c r="H221" s="102"/>
      <c r="I221" s="102"/>
      <c r="J221" s="102"/>
      <c r="K221" s="102"/>
      <c r="L221" s="102"/>
      <c r="M221" s="102"/>
      <c r="N221" s="102"/>
      <c r="O221" s="102"/>
      <c r="P221" s="102"/>
      <c r="Q221" s="102"/>
      <c r="R221" s="102"/>
      <c r="S221" s="102"/>
      <c r="T221" s="102"/>
      <c r="U221" s="102"/>
      <c r="V221" s="102"/>
      <c r="W221" s="102"/>
      <c r="X221" s="102"/>
      <c r="Y221" s="102"/>
      <c r="Z221" s="102"/>
      <c r="AA221" s="102"/>
      <c r="AB221" s="102"/>
      <c r="AC221" s="102"/>
      <c r="AD221" s="102"/>
      <c r="AE221" s="102"/>
      <c r="AF221" s="102"/>
      <c r="AG221" s="102"/>
      <c r="AH221" s="102"/>
      <c r="AI221" s="102"/>
      <c r="AJ221" s="102"/>
      <c r="AK221" s="102"/>
      <c r="AL221" s="102"/>
      <c r="AM221" s="102"/>
      <c r="AN221" s="102"/>
      <c r="AO221" s="400"/>
      <c r="AP221" s="90"/>
      <c r="AQ221" s="90"/>
      <c r="AR221" s="90"/>
      <c r="AS221" s="90"/>
      <c r="AT221" s="90"/>
      <c r="AU221" s="90"/>
      <c r="AV221" s="90"/>
      <c r="AW221" s="90"/>
      <c r="AX221" s="90"/>
      <c r="AY221" s="90"/>
      <c r="AZ221" s="90"/>
      <c r="BA221" s="90"/>
      <c r="BB221" s="90"/>
      <c r="BC221" s="90"/>
      <c r="BD221" s="90"/>
      <c r="BE221" s="90"/>
      <c r="BF221" s="90"/>
      <c r="BG221" s="90"/>
      <c r="BH221" s="90"/>
      <c r="BI221" s="90"/>
    </row>
    <row r="222" ht="12.75" customHeight="1">
      <c r="A222" s="90"/>
      <c r="B222" s="90"/>
      <c r="C222" s="400"/>
      <c r="D222" s="90"/>
      <c r="E222" s="102"/>
      <c r="F222" s="90"/>
      <c r="G222" s="90"/>
      <c r="H222" s="102"/>
      <c r="I222" s="102"/>
      <c r="J222" s="102"/>
      <c r="K222" s="102"/>
      <c r="L222" s="102"/>
      <c r="M222" s="102"/>
      <c r="N222" s="102"/>
      <c r="O222" s="102"/>
      <c r="P222" s="102"/>
      <c r="Q222" s="102"/>
      <c r="R222" s="102"/>
      <c r="S222" s="102"/>
      <c r="T222" s="102"/>
      <c r="U222" s="102"/>
      <c r="V222" s="102"/>
      <c r="W222" s="102"/>
      <c r="X222" s="102"/>
      <c r="Y222" s="102"/>
      <c r="Z222" s="102"/>
      <c r="AA222" s="102"/>
      <c r="AB222" s="102"/>
      <c r="AC222" s="102"/>
      <c r="AD222" s="102"/>
      <c r="AE222" s="102"/>
      <c r="AF222" s="102"/>
      <c r="AG222" s="102"/>
      <c r="AH222" s="102"/>
      <c r="AI222" s="102"/>
      <c r="AJ222" s="102"/>
      <c r="AK222" s="102"/>
      <c r="AL222" s="102"/>
      <c r="AM222" s="102"/>
      <c r="AN222" s="102"/>
      <c r="AO222" s="400"/>
      <c r="AP222" s="90"/>
      <c r="AQ222" s="90"/>
      <c r="AR222" s="90"/>
      <c r="AS222" s="90"/>
      <c r="AT222" s="90"/>
      <c r="AU222" s="90"/>
      <c r="AV222" s="90"/>
      <c r="AW222" s="90"/>
      <c r="AX222" s="90"/>
      <c r="AY222" s="90"/>
      <c r="AZ222" s="90"/>
      <c r="BA222" s="90"/>
      <c r="BB222" s="90"/>
      <c r="BC222" s="90"/>
      <c r="BD222" s="90"/>
      <c r="BE222" s="90"/>
      <c r="BF222" s="90"/>
      <c r="BG222" s="90"/>
      <c r="BH222" s="90"/>
      <c r="BI222" s="90"/>
    </row>
    <row r="223" ht="12.75" customHeight="1">
      <c r="A223" s="90"/>
      <c r="B223" s="90"/>
      <c r="C223" s="400"/>
      <c r="D223" s="90"/>
      <c r="E223" s="102"/>
      <c r="F223" s="90"/>
      <c r="G223" s="90"/>
      <c r="H223" s="102"/>
      <c r="I223" s="102"/>
      <c r="J223" s="102"/>
      <c r="K223" s="102"/>
      <c r="L223" s="102"/>
      <c r="M223" s="102"/>
      <c r="N223" s="102"/>
      <c r="O223" s="102"/>
      <c r="P223" s="102"/>
      <c r="Q223" s="102"/>
      <c r="R223" s="102"/>
      <c r="S223" s="102"/>
      <c r="T223" s="102"/>
      <c r="U223" s="102"/>
      <c r="V223" s="102"/>
      <c r="W223" s="102"/>
      <c r="X223" s="102"/>
      <c r="Y223" s="102"/>
      <c r="Z223" s="102"/>
      <c r="AA223" s="102"/>
      <c r="AB223" s="102"/>
      <c r="AC223" s="102"/>
      <c r="AD223" s="102"/>
      <c r="AE223" s="102"/>
      <c r="AF223" s="102"/>
      <c r="AG223" s="102"/>
      <c r="AH223" s="102"/>
      <c r="AI223" s="102"/>
      <c r="AJ223" s="102"/>
      <c r="AK223" s="102"/>
      <c r="AL223" s="102"/>
      <c r="AM223" s="102"/>
      <c r="AN223" s="102"/>
      <c r="AO223" s="400"/>
      <c r="AP223" s="90"/>
      <c r="AQ223" s="90"/>
      <c r="AR223" s="90"/>
      <c r="AS223" s="90"/>
      <c r="AT223" s="90"/>
      <c r="AU223" s="90"/>
      <c r="AV223" s="90"/>
      <c r="AW223" s="90"/>
      <c r="AX223" s="90"/>
      <c r="AY223" s="90"/>
      <c r="AZ223" s="90"/>
      <c r="BA223" s="90"/>
      <c r="BB223" s="90"/>
      <c r="BC223" s="90"/>
      <c r="BD223" s="90"/>
      <c r="BE223" s="90"/>
      <c r="BF223" s="90"/>
      <c r="BG223" s="90"/>
      <c r="BH223" s="90"/>
      <c r="BI223" s="90"/>
    </row>
    <row r="224" ht="12.75" customHeight="1">
      <c r="A224" s="90"/>
      <c r="B224" s="90"/>
      <c r="C224" s="400"/>
      <c r="D224" s="90"/>
      <c r="E224" s="102"/>
      <c r="F224" s="90"/>
      <c r="G224" s="90"/>
      <c r="H224" s="102"/>
      <c r="I224" s="102"/>
      <c r="J224" s="102"/>
      <c r="K224" s="102"/>
      <c r="L224" s="102"/>
      <c r="M224" s="102"/>
      <c r="N224" s="102"/>
      <c r="O224" s="102"/>
      <c r="P224" s="102"/>
      <c r="Q224" s="102"/>
      <c r="R224" s="102"/>
      <c r="S224" s="102"/>
      <c r="T224" s="102"/>
      <c r="U224" s="102"/>
      <c r="V224" s="102"/>
      <c r="W224" s="102"/>
      <c r="X224" s="102"/>
      <c r="Y224" s="102"/>
      <c r="Z224" s="102"/>
      <c r="AA224" s="102"/>
      <c r="AB224" s="102"/>
      <c r="AC224" s="102"/>
      <c r="AD224" s="102"/>
      <c r="AE224" s="102"/>
      <c r="AF224" s="102"/>
      <c r="AG224" s="102"/>
      <c r="AH224" s="102"/>
      <c r="AI224" s="102"/>
      <c r="AJ224" s="102"/>
      <c r="AK224" s="102"/>
      <c r="AL224" s="102"/>
      <c r="AM224" s="102"/>
      <c r="AN224" s="102"/>
      <c r="AO224" s="400"/>
      <c r="AP224" s="90"/>
      <c r="AQ224" s="90"/>
      <c r="AR224" s="90"/>
      <c r="AS224" s="90"/>
      <c r="AT224" s="90"/>
      <c r="AU224" s="90"/>
      <c r="AV224" s="90"/>
      <c r="AW224" s="90"/>
      <c r="AX224" s="90"/>
      <c r="AY224" s="90"/>
      <c r="AZ224" s="90"/>
      <c r="BA224" s="90"/>
      <c r="BB224" s="90"/>
      <c r="BC224" s="90"/>
      <c r="BD224" s="90"/>
      <c r="BE224" s="90"/>
      <c r="BF224" s="90"/>
      <c r="BG224" s="90"/>
      <c r="BH224" s="90"/>
      <c r="BI224" s="90"/>
    </row>
    <row r="225" ht="12.75" customHeight="1">
      <c r="A225" s="90"/>
      <c r="B225" s="90"/>
      <c r="C225" s="400"/>
      <c r="D225" s="90"/>
      <c r="E225" s="102"/>
      <c r="F225" s="90"/>
      <c r="G225" s="90"/>
      <c r="H225" s="102"/>
      <c r="I225" s="102"/>
      <c r="J225" s="102"/>
      <c r="K225" s="102"/>
      <c r="L225" s="102"/>
      <c r="M225" s="102"/>
      <c r="N225" s="102"/>
      <c r="O225" s="102"/>
      <c r="P225" s="102"/>
      <c r="Q225" s="102"/>
      <c r="R225" s="102"/>
      <c r="S225" s="102"/>
      <c r="T225" s="102"/>
      <c r="U225" s="102"/>
      <c r="V225" s="102"/>
      <c r="W225" s="102"/>
      <c r="X225" s="102"/>
      <c r="Y225" s="102"/>
      <c r="Z225" s="102"/>
      <c r="AA225" s="102"/>
      <c r="AB225" s="102"/>
      <c r="AC225" s="102"/>
      <c r="AD225" s="102"/>
      <c r="AE225" s="102"/>
      <c r="AF225" s="102"/>
      <c r="AG225" s="102"/>
      <c r="AH225" s="102"/>
      <c r="AI225" s="102"/>
      <c r="AJ225" s="102"/>
      <c r="AK225" s="102"/>
      <c r="AL225" s="102"/>
      <c r="AM225" s="102"/>
      <c r="AN225" s="102"/>
      <c r="AO225" s="400"/>
      <c r="AP225" s="90"/>
      <c r="AQ225" s="90"/>
      <c r="AR225" s="90"/>
      <c r="AS225" s="90"/>
      <c r="AT225" s="90"/>
      <c r="AU225" s="90"/>
      <c r="AV225" s="90"/>
      <c r="AW225" s="90"/>
      <c r="AX225" s="90"/>
      <c r="AY225" s="90"/>
      <c r="AZ225" s="90"/>
      <c r="BA225" s="90"/>
      <c r="BB225" s="90"/>
      <c r="BC225" s="90"/>
      <c r="BD225" s="90"/>
      <c r="BE225" s="90"/>
      <c r="BF225" s="90"/>
      <c r="BG225" s="90"/>
      <c r="BH225" s="90"/>
      <c r="BI225" s="90"/>
    </row>
    <row r="226" ht="12.75" customHeight="1">
      <c r="A226" s="90"/>
      <c r="B226" s="90"/>
      <c r="C226" s="400"/>
      <c r="D226" s="90"/>
      <c r="E226" s="102"/>
      <c r="F226" s="90"/>
      <c r="G226" s="90"/>
      <c r="H226" s="102"/>
      <c r="I226" s="102"/>
      <c r="J226" s="102"/>
      <c r="K226" s="102"/>
      <c r="L226" s="102"/>
      <c r="M226" s="102"/>
      <c r="N226" s="102"/>
      <c r="O226" s="102"/>
      <c r="P226" s="102"/>
      <c r="Q226" s="102"/>
      <c r="R226" s="102"/>
      <c r="S226" s="102"/>
      <c r="T226" s="102"/>
      <c r="U226" s="102"/>
      <c r="V226" s="102"/>
      <c r="W226" s="102"/>
      <c r="X226" s="102"/>
      <c r="Y226" s="102"/>
      <c r="Z226" s="102"/>
      <c r="AA226" s="102"/>
      <c r="AB226" s="102"/>
      <c r="AC226" s="102"/>
      <c r="AD226" s="102"/>
      <c r="AE226" s="102"/>
      <c r="AF226" s="102"/>
      <c r="AG226" s="102"/>
      <c r="AH226" s="102"/>
      <c r="AI226" s="102"/>
      <c r="AJ226" s="102"/>
      <c r="AK226" s="102"/>
      <c r="AL226" s="102"/>
      <c r="AM226" s="102"/>
      <c r="AN226" s="102"/>
      <c r="AO226" s="400"/>
      <c r="AP226" s="90"/>
      <c r="AQ226" s="90"/>
      <c r="AR226" s="90"/>
      <c r="AS226" s="90"/>
      <c r="AT226" s="90"/>
      <c r="AU226" s="90"/>
      <c r="AV226" s="90"/>
      <c r="AW226" s="90"/>
      <c r="AX226" s="90"/>
      <c r="AY226" s="90"/>
      <c r="AZ226" s="90"/>
      <c r="BA226" s="90"/>
      <c r="BB226" s="90"/>
      <c r="BC226" s="90"/>
      <c r="BD226" s="90"/>
      <c r="BE226" s="90"/>
      <c r="BF226" s="90"/>
      <c r="BG226" s="90"/>
      <c r="BH226" s="90"/>
      <c r="BI226" s="90"/>
    </row>
    <row r="227" ht="12.75" customHeight="1">
      <c r="A227" s="90"/>
      <c r="B227" s="90"/>
      <c r="C227" s="400"/>
      <c r="D227" s="90"/>
      <c r="E227" s="102"/>
      <c r="F227" s="90"/>
      <c r="G227" s="90"/>
      <c r="H227" s="102"/>
      <c r="I227" s="102"/>
      <c r="J227" s="102"/>
      <c r="K227" s="102"/>
      <c r="L227" s="102"/>
      <c r="M227" s="102"/>
      <c r="N227" s="102"/>
      <c r="O227" s="102"/>
      <c r="P227" s="102"/>
      <c r="Q227" s="102"/>
      <c r="R227" s="102"/>
      <c r="S227" s="102"/>
      <c r="T227" s="102"/>
      <c r="U227" s="102"/>
      <c r="V227" s="102"/>
      <c r="W227" s="102"/>
      <c r="X227" s="102"/>
      <c r="Y227" s="102"/>
      <c r="Z227" s="102"/>
      <c r="AA227" s="102"/>
      <c r="AB227" s="102"/>
      <c r="AC227" s="102"/>
      <c r="AD227" s="102"/>
      <c r="AE227" s="102"/>
      <c r="AF227" s="102"/>
      <c r="AG227" s="102"/>
      <c r="AH227" s="102"/>
      <c r="AI227" s="102"/>
      <c r="AJ227" s="102"/>
      <c r="AK227" s="102"/>
      <c r="AL227" s="102"/>
      <c r="AM227" s="102"/>
      <c r="AN227" s="102"/>
      <c r="AO227" s="400"/>
      <c r="AP227" s="90"/>
      <c r="AQ227" s="90"/>
      <c r="AR227" s="90"/>
      <c r="AS227" s="90"/>
      <c r="AT227" s="90"/>
      <c r="AU227" s="90"/>
      <c r="AV227" s="90"/>
      <c r="AW227" s="90"/>
      <c r="AX227" s="90"/>
      <c r="AY227" s="90"/>
      <c r="AZ227" s="90"/>
      <c r="BA227" s="90"/>
      <c r="BB227" s="90"/>
      <c r="BC227" s="90"/>
      <c r="BD227" s="90"/>
      <c r="BE227" s="90"/>
      <c r="BF227" s="90"/>
      <c r="BG227" s="90"/>
      <c r="BH227" s="90"/>
      <c r="BI227" s="90"/>
    </row>
    <row r="228" ht="12.75" customHeight="1">
      <c r="A228" s="90"/>
      <c r="B228" s="90"/>
      <c r="C228" s="400"/>
      <c r="D228" s="90"/>
      <c r="E228" s="102"/>
      <c r="F228" s="90"/>
      <c r="G228" s="90"/>
      <c r="H228" s="102"/>
      <c r="I228" s="102"/>
      <c r="J228" s="102"/>
      <c r="K228" s="102"/>
      <c r="L228" s="102"/>
      <c r="M228" s="102"/>
      <c r="N228" s="102"/>
      <c r="O228" s="102"/>
      <c r="P228" s="102"/>
      <c r="Q228" s="102"/>
      <c r="R228" s="102"/>
      <c r="S228" s="102"/>
      <c r="T228" s="102"/>
      <c r="U228" s="102"/>
      <c r="V228" s="102"/>
      <c r="W228" s="102"/>
      <c r="X228" s="102"/>
      <c r="Y228" s="102"/>
      <c r="Z228" s="102"/>
      <c r="AA228" s="102"/>
      <c r="AB228" s="102"/>
      <c r="AC228" s="102"/>
      <c r="AD228" s="102"/>
      <c r="AE228" s="102"/>
      <c r="AF228" s="102"/>
      <c r="AG228" s="102"/>
      <c r="AH228" s="102"/>
      <c r="AI228" s="102"/>
      <c r="AJ228" s="102"/>
      <c r="AK228" s="102"/>
      <c r="AL228" s="102"/>
      <c r="AM228" s="102"/>
      <c r="AN228" s="102"/>
      <c r="AO228" s="400"/>
      <c r="AP228" s="90"/>
      <c r="AQ228" s="90"/>
      <c r="AR228" s="90"/>
      <c r="AS228" s="90"/>
      <c r="AT228" s="90"/>
      <c r="AU228" s="90"/>
      <c r="AV228" s="90"/>
      <c r="AW228" s="90"/>
      <c r="AX228" s="90"/>
      <c r="AY228" s="90"/>
      <c r="AZ228" s="90"/>
      <c r="BA228" s="90"/>
      <c r="BB228" s="90"/>
      <c r="BC228" s="90"/>
      <c r="BD228" s="90"/>
      <c r="BE228" s="90"/>
      <c r="BF228" s="90"/>
      <c r="BG228" s="90"/>
      <c r="BH228" s="90"/>
      <c r="BI228" s="90"/>
    </row>
    <row r="229" ht="12.75" customHeight="1">
      <c r="A229" s="90"/>
      <c r="B229" s="90"/>
      <c r="C229" s="400"/>
      <c r="D229" s="90"/>
      <c r="E229" s="102"/>
      <c r="F229" s="90"/>
      <c r="G229" s="90"/>
      <c r="H229" s="102"/>
      <c r="I229" s="102"/>
      <c r="J229" s="102"/>
      <c r="K229" s="102"/>
      <c r="L229" s="102"/>
      <c r="M229" s="102"/>
      <c r="N229" s="102"/>
      <c r="O229" s="102"/>
      <c r="P229" s="102"/>
      <c r="Q229" s="102"/>
      <c r="R229" s="102"/>
      <c r="S229" s="102"/>
      <c r="T229" s="102"/>
      <c r="U229" s="102"/>
      <c r="V229" s="102"/>
      <c r="W229" s="102"/>
      <c r="X229" s="102"/>
      <c r="Y229" s="102"/>
      <c r="Z229" s="102"/>
      <c r="AA229" s="102"/>
      <c r="AB229" s="102"/>
      <c r="AC229" s="102"/>
      <c r="AD229" s="102"/>
      <c r="AE229" s="102"/>
      <c r="AF229" s="102"/>
      <c r="AG229" s="102"/>
      <c r="AH229" s="102"/>
      <c r="AI229" s="102"/>
      <c r="AJ229" s="102"/>
      <c r="AK229" s="102"/>
      <c r="AL229" s="102"/>
      <c r="AM229" s="102"/>
      <c r="AN229" s="102"/>
      <c r="AO229" s="400"/>
      <c r="AP229" s="90"/>
      <c r="AQ229" s="90"/>
      <c r="AR229" s="90"/>
      <c r="AS229" s="90"/>
      <c r="AT229" s="90"/>
      <c r="AU229" s="90"/>
      <c r="AV229" s="90"/>
      <c r="AW229" s="90"/>
      <c r="AX229" s="90"/>
      <c r="AY229" s="90"/>
      <c r="AZ229" s="90"/>
      <c r="BA229" s="90"/>
      <c r="BB229" s="90"/>
      <c r="BC229" s="90"/>
      <c r="BD229" s="90"/>
      <c r="BE229" s="90"/>
      <c r="BF229" s="90"/>
      <c r="BG229" s="90"/>
      <c r="BH229" s="90"/>
      <c r="BI229" s="90"/>
    </row>
    <row r="230" ht="12.75" customHeight="1">
      <c r="A230" s="90"/>
      <c r="B230" s="90"/>
      <c r="C230" s="400"/>
      <c r="D230" s="90"/>
      <c r="E230" s="102"/>
      <c r="F230" s="90"/>
      <c r="G230" s="90"/>
      <c r="H230" s="102"/>
      <c r="I230" s="102"/>
      <c r="J230" s="102"/>
      <c r="K230" s="102"/>
      <c r="L230" s="102"/>
      <c r="M230" s="102"/>
      <c r="N230" s="102"/>
      <c r="O230" s="102"/>
      <c r="P230" s="102"/>
      <c r="Q230" s="102"/>
      <c r="R230" s="102"/>
      <c r="S230" s="102"/>
      <c r="T230" s="102"/>
      <c r="U230" s="102"/>
      <c r="V230" s="102"/>
      <c r="W230" s="102"/>
      <c r="X230" s="102"/>
      <c r="Y230" s="102"/>
      <c r="Z230" s="102"/>
      <c r="AA230" s="102"/>
      <c r="AB230" s="102"/>
      <c r="AC230" s="102"/>
      <c r="AD230" s="102"/>
      <c r="AE230" s="102"/>
      <c r="AF230" s="102"/>
      <c r="AG230" s="102"/>
      <c r="AH230" s="102"/>
      <c r="AI230" s="102"/>
      <c r="AJ230" s="102"/>
      <c r="AK230" s="102"/>
      <c r="AL230" s="102"/>
      <c r="AM230" s="102"/>
      <c r="AN230" s="102"/>
      <c r="AO230" s="400"/>
      <c r="AP230" s="90"/>
      <c r="AQ230" s="90"/>
      <c r="AR230" s="90"/>
      <c r="AS230" s="90"/>
      <c r="AT230" s="90"/>
      <c r="AU230" s="90"/>
      <c r="AV230" s="90"/>
      <c r="AW230" s="90"/>
      <c r="AX230" s="90"/>
      <c r="AY230" s="90"/>
      <c r="AZ230" s="90"/>
      <c r="BA230" s="90"/>
      <c r="BB230" s="90"/>
      <c r="BC230" s="90"/>
      <c r="BD230" s="90"/>
      <c r="BE230" s="90"/>
      <c r="BF230" s="90"/>
      <c r="BG230" s="90"/>
      <c r="BH230" s="90"/>
      <c r="BI230" s="90"/>
    </row>
    <row r="231" ht="12.75" customHeight="1">
      <c r="A231" s="90"/>
      <c r="B231" s="90"/>
      <c r="C231" s="400"/>
      <c r="D231" s="90"/>
      <c r="E231" s="102"/>
      <c r="F231" s="90"/>
      <c r="G231" s="90"/>
      <c r="H231" s="102"/>
      <c r="I231" s="102"/>
      <c r="J231" s="102"/>
      <c r="K231" s="102"/>
      <c r="L231" s="102"/>
      <c r="M231" s="102"/>
      <c r="N231" s="102"/>
      <c r="O231" s="102"/>
      <c r="P231" s="102"/>
      <c r="Q231" s="102"/>
      <c r="R231" s="102"/>
      <c r="S231" s="102"/>
      <c r="T231" s="102"/>
      <c r="U231" s="102"/>
      <c r="V231" s="102"/>
      <c r="W231" s="102"/>
      <c r="X231" s="102"/>
      <c r="Y231" s="102"/>
      <c r="Z231" s="102"/>
      <c r="AA231" s="102"/>
      <c r="AB231" s="102"/>
      <c r="AC231" s="102"/>
      <c r="AD231" s="102"/>
      <c r="AE231" s="102"/>
      <c r="AF231" s="102"/>
      <c r="AG231" s="102"/>
      <c r="AH231" s="102"/>
      <c r="AI231" s="102"/>
      <c r="AJ231" s="102"/>
      <c r="AK231" s="102"/>
      <c r="AL231" s="102"/>
      <c r="AM231" s="102"/>
      <c r="AN231" s="102"/>
      <c r="AO231" s="400"/>
      <c r="AP231" s="90"/>
      <c r="AQ231" s="90"/>
      <c r="AR231" s="90"/>
      <c r="AS231" s="90"/>
      <c r="AT231" s="90"/>
      <c r="AU231" s="90"/>
      <c r="AV231" s="90"/>
      <c r="AW231" s="90"/>
      <c r="AX231" s="90"/>
      <c r="AY231" s="90"/>
      <c r="AZ231" s="90"/>
      <c r="BA231" s="90"/>
      <c r="BB231" s="90"/>
      <c r="BC231" s="90"/>
      <c r="BD231" s="90"/>
      <c r="BE231" s="90"/>
      <c r="BF231" s="90"/>
      <c r="BG231" s="90"/>
      <c r="BH231" s="90"/>
      <c r="BI231" s="90"/>
    </row>
    <row r="232" ht="12.75" customHeight="1">
      <c r="A232" s="90"/>
      <c r="B232" s="90"/>
      <c r="C232" s="400"/>
      <c r="D232" s="90"/>
      <c r="E232" s="102"/>
      <c r="F232" s="90"/>
      <c r="G232" s="90"/>
      <c r="H232" s="102"/>
      <c r="I232" s="102"/>
      <c r="J232" s="102"/>
      <c r="K232" s="102"/>
      <c r="L232" s="102"/>
      <c r="M232" s="102"/>
      <c r="N232" s="102"/>
      <c r="O232" s="102"/>
      <c r="P232" s="102"/>
      <c r="Q232" s="102"/>
      <c r="R232" s="102"/>
      <c r="S232" s="102"/>
      <c r="T232" s="102"/>
      <c r="U232" s="102"/>
      <c r="V232" s="102"/>
      <c r="W232" s="102"/>
      <c r="X232" s="102"/>
      <c r="Y232" s="102"/>
      <c r="Z232" s="102"/>
      <c r="AA232" s="102"/>
      <c r="AB232" s="102"/>
      <c r="AC232" s="102"/>
      <c r="AD232" s="102"/>
      <c r="AE232" s="102"/>
      <c r="AF232" s="102"/>
      <c r="AG232" s="102"/>
      <c r="AH232" s="102"/>
      <c r="AI232" s="102"/>
      <c r="AJ232" s="102"/>
      <c r="AK232" s="102"/>
      <c r="AL232" s="102"/>
      <c r="AM232" s="102"/>
      <c r="AN232" s="102"/>
      <c r="AO232" s="400"/>
      <c r="AP232" s="90"/>
      <c r="AQ232" s="90"/>
      <c r="AR232" s="90"/>
      <c r="AS232" s="90"/>
      <c r="AT232" s="90"/>
      <c r="AU232" s="90"/>
      <c r="AV232" s="90"/>
      <c r="AW232" s="90"/>
      <c r="AX232" s="90"/>
      <c r="AY232" s="90"/>
      <c r="AZ232" s="90"/>
      <c r="BA232" s="90"/>
      <c r="BB232" s="90"/>
      <c r="BC232" s="90"/>
      <c r="BD232" s="90"/>
      <c r="BE232" s="90"/>
      <c r="BF232" s="90"/>
      <c r="BG232" s="90"/>
      <c r="BH232" s="90"/>
      <c r="BI232" s="90"/>
    </row>
    <row r="233" ht="12.75" customHeight="1">
      <c r="A233" s="90"/>
      <c r="B233" s="90"/>
      <c r="C233" s="400"/>
      <c r="D233" s="90"/>
      <c r="E233" s="102"/>
      <c r="F233" s="90"/>
      <c r="G233" s="90"/>
      <c r="H233" s="102"/>
      <c r="I233" s="102"/>
      <c r="J233" s="102"/>
      <c r="K233" s="102"/>
      <c r="L233" s="102"/>
      <c r="M233" s="102"/>
      <c r="N233" s="102"/>
      <c r="O233" s="102"/>
      <c r="P233" s="102"/>
      <c r="Q233" s="102"/>
      <c r="R233" s="102"/>
      <c r="S233" s="102"/>
      <c r="T233" s="102"/>
      <c r="U233" s="102"/>
      <c r="V233" s="102"/>
      <c r="W233" s="102"/>
      <c r="X233" s="102"/>
      <c r="Y233" s="102"/>
      <c r="Z233" s="102"/>
      <c r="AA233" s="102"/>
      <c r="AB233" s="102"/>
      <c r="AC233" s="102"/>
      <c r="AD233" s="102"/>
      <c r="AE233" s="102"/>
      <c r="AF233" s="102"/>
      <c r="AG233" s="102"/>
      <c r="AH233" s="102"/>
      <c r="AI233" s="102"/>
      <c r="AJ233" s="102"/>
      <c r="AK233" s="102"/>
      <c r="AL233" s="102"/>
      <c r="AM233" s="102"/>
      <c r="AN233" s="102"/>
      <c r="AO233" s="400"/>
      <c r="AP233" s="90"/>
      <c r="AQ233" s="90"/>
      <c r="AR233" s="90"/>
      <c r="AS233" s="90"/>
      <c r="AT233" s="90"/>
      <c r="AU233" s="90"/>
      <c r="AV233" s="90"/>
      <c r="AW233" s="90"/>
      <c r="AX233" s="90"/>
      <c r="AY233" s="90"/>
      <c r="AZ233" s="90"/>
      <c r="BA233" s="90"/>
      <c r="BB233" s="90"/>
      <c r="BC233" s="90"/>
      <c r="BD233" s="90"/>
      <c r="BE233" s="90"/>
      <c r="BF233" s="90"/>
      <c r="BG233" s="90"/>
      <c r="BH233" s="90"/>
      <c r="BI233" s="90"/>
    </row>
    <row r="234" ht="12.75" customHeight="1">
      <c r="A234" s="90"/>
      <c r="B234" s="90"/>
      <c r="C234" s="400"/>
      <c r="D234" s="90"/>
      <c r="E234" s="102"/>
      <c r="F234" s="90"/>
      <c r="G234" s="90"/>
      <c r="H234" s="102"/>
      <c r="I234" s="102"/>
      <c r="J234" s="102"/>
      <c r="K234" s="102"/>
      <c r="L234" s="102"/>
      <c r="M234" s="102"/>
      <c r="N234" s="102"/>
      <c r="O234" s="102"/>
      <c r="P234" s="102"/>
      <c r="Q234" s="102"/>
      <c r="R234" s="102"/>
      <c r="S234" s="102"/>
      <c r="T234" s="102"/>
      <c r="U234" s="102"/>
      <c r="V234" s="102"/>
      <c r="W234" s="102"/>
      <c r="X234" s="102"/>
      <c r="Y234" s="102"/>
      <c r="Z234" s="102"/>
      <c r="AA234" s="102"/>
      <c r="AB234" s="102"/>
      <c r="AC234" s="102"/>
      <c r="AD234" s="102"/>
      <c r="AE234" s="102"/>
      <c r="AF234" s="102"/>
      <c r="AG234" s="102"/>
      <c r="AH234" s="102"/>
      <c r="AI234" s="102"/>
      <c r="AJ234" s="102"/>
      <c r="AK234" s="102"/>
      <c r="AL234" s="102"/>
      <c r="AM234" s="102"/>
      <c r="AN234" s="102"/>
      <c r="AO234" s="400"/>
      <c r="AP234" s="90"/>
      <c r="AQ234" s="90"/>
      <c r="AR234" s="90"/>
      <c r="AS234" s="90"/>
      <c r="AT234" s="90"/>
      <c r="AU234" s="90"/>
      <c r="AV234" s="90"/>
      <c r="AW234" s="90"/>
      <c r="AX234" s="90"/>
      <c r="AY234" s="90"/>
      <c r="AZ234" s="90"/>
      <c r="BA234" s="90"/>
      <c r="BB234" s="90"/>
      <c r="BC234" s="90"/>
      <c r="BD234" s="90"/>
      <c r="BE234" s="90"/>
      <c r="BF234" s="90"/>
      <c r="BG234" s="90"/>
      <c r="BH234" s="90"/>
      <c r="BI234" s="90"/>
    </row>
    <row r="235" ht="12.75" customHeight="1">
      <c r="A235" s="90"/>
      <c r="B235" s="90"/>
      <c r="C235" s="400"/>
      <c r="D235" s="90"/>
      <c r="E235" s="102"/>
      <c r="F235" s="90"/>
      <c r="G235" s="90"/>
      <c r="H235" s="102"/>
      <c r="I235" s="102"/>
      <c r="J235" s="102"/>
      <c r="K235" s="102"/>
      <c r="L235" s="102"/>
      <c r="M235" s="102"/>
      <c r="N235" s="102"/>
      <c r="O235" s="102"/>
      <c r="P235" s="102"/>
      <c r="Q235" s="102"/>
      <c r="R235" s="102"/>
      <c r="S235" s="102"/>
      <c r="T235" s="102"/>
      <c r="U235" s="102"/>
      <c r="V235" s="102"/>
      <c r="W235" s="102"/>
      <c r="X235" s="102"/>
      <c r="Y235" s="102"/>
      <c r="Z235" s="102"/>
      <c r="AA235" s="102"/>
      <c r="AB235" s="102"/>
      <c r="AC235" s="102"/>
      <c r="AD235" s="102"/>
      <c r="AE235" s="102"/>
      <c r="AF235" s="102"/>
      <c r="AG235" s="102"/>
      <c r="AH235" s="102"/>
      <c r="AI235" s="102"/>
      <c r="AJ235" s="102"/>
      <c r="AK235" s="102"/>
      <c r="AL235" s="102"/>
      <c r="AM235" s="102"/>
      <c r="AN235" s="102"/>
      <c r="AO235" s="400"/>
      <c r="AP235" s="90"/>
      <c r="AQ235" s="90"/>
      <c r="AR235" s="90"/>
      <c r="AS235" s="90"/>
      <c r="AT235" s="90"/>
      <c r="AU235" s="90"/>
      <c r="AV235" s="90"/>
      <c r="AW235" s="90"/>
      <c r="AX235" s="90"/>
      <c r="AY235" s="90"/>
      <c r="AZ235" s="90"/>
      <c r="BA235" s="90"/>
      <c r="BB235" s="90"/>
      <c r="BC235" s="90"/>
      <c r="BD235" s="90"/>
      <c r="BE235" s="90"/>
      <c r="BF235" s="90"/>
      <c r="BG235" s="90"/>
      <c r="BH235" s="90"/>
      <c r="BI235" s="90"/>
    </row>
    <row r="236" ht="12.75" customHeight="1">
      <c r="A236" s="90"/>
      <c r="B236" s="90"/>
      <c r="C236" s="400"/>
      <c r="D236" s="90"/>
      <c r="E236" s="102"/>
      <c r="F236" s="90"/>
      <c r="G236" s="90"/>
      <c r="H236" s="102"/>
      <c r="I236" s="102"/>
      <c r="J236" s="102"/>
      <c r="K236" s="102"/>
      <c r="L236" s="102"/>
      <c r="M236" s="102"/>
      <c r="N236" s="102"/>
      <c r="O236" s="102"/>
      <c r="P236" s="102"/>
      <c r="Q236" s="102"/>
      <c r="R236" s="102"/>
      <c r="S236" s="102"/>
      <c r="T236" s="102"/>
      <c r="U236" s="102"/>
      <c r="V236" s="102"/>
      <c r="W236" s="102"/>
      <c r="X236" s="102"/>
      <c r="Y236" s="102"/>
      <c r="Z236" s="102"/>
      <c r="AA236" s="102"/>
      <c r="AB236" s="102"/>
      <c r="AC236" s="102"/>
      <c r="AD236" s="102"/>
      <c r="AE236" s="102"/>
      <c r="AF236" s="102"/>
      <c r="AG236" s="102"/>
      <c r="AH236" s="102"/>
      <c r="AI236" s="102"/>
      <c r="AJ236" s="102"/>
      <c r="AK236" s="102"/>
      <c r="AL236" s="102"/>
      <c r="AM236" s="102"/>
      <c r="AN236" s="102"/>
      <c r="AO236" s="400"/>
      <c r="AP236" s="90"/>
      <c r="AQ236" s="90"/>
      <c r="AR236" s="90"/>
      <c r="AS236" s="90"/>
      <c r="AT236" s="90"/>
      <c r="AU236" s="90"/>
      <c r="AV236" s="90"/>
      <c r="AW236" s="90"/>
      <c r="AX236" s="90"/>
      <c r="AY236" s="90"/>
      <c r="AZ236" s="90"/>
      <c r="BA236" s="90"/>
      <c r="BB236" s="90"/>
      <c r="BC236" s="90"/>
      <c r="BD236" s="90"/>
      <c r="BE236" s="90"/>
      <c r="BF236" s="90"/>
      <c r="BG236" s="90"/>
      <c r="BH236" s="90"/>
      <c r="BI236" s="90"/>
    </row>
    <row r="237" ht="12.75" customHeight="1">
      <c r="A237" s="90"/>
      <c r="B237" s="90"/>
      <c r="C237" s="400"/>
      <c r="D237" s="90"/>
      <c r="E237" s="102"/>
      <c r="F237" s="90"/>
      <c r="G237" s="90"/>
      <c r="H237" s="102"/>
      <c r="I237" s="102"/>
      <c r="J237" s="102"/>
      <c r="K237" s="102"/>
      <c r="L237" s="102"/>
      <c r="M237" s="102"/>
      <c r="N237" s="102"/>
      <c r="O237" s="102"/>
      <c r="P237" s="102"/>
      <c r="Q237" s="102"/>
      <c r="R237" s="102"/>
      <c r="S237" s="102"/>
      <c r="T237" s="102"/>
      <c r="U237" s="102"/>
      <c r="V237" s="102"/>
      <c r="W237" s="102"/>
      <c r="X237" s="102"/>
      <c r="Y237" s="102"/>
      <c r="Z237" s="102"/>
      <c r="AA237" s="102"/>
      <c r="AB237" s="102"/>
      <c r="AC237" s="102"/>
      <c r="AD237" s="102"/>
      <c r="AE237" s="102"/>
      <c r="AF237" s="102"/>
      <c r="AG237" s="102"/>
      <c r="AH237" s="102"/>
      <c r="AI237" s="102"/>
      <c r="AJ237" s="102"/>
      <c r="AK237" s="102"/>
      <c r="AL237" s="102"/>
      <c r="AM237" s="102"/>
      <c r="AN237" s="102"/>
      <c r="AO237" s="400"/>
      <c r="AP237" s="90"/>
      <c r="AQ237" s="90"/>
      <c r="AR237" s="90"/>
      <c r="AS237" s="90"/>
      <c r="AT237" s="90"/>
      <c r="AU237" s="90"/>
      <c r="AV237" s="90"/>
      <c r="AW237" s="90"/>
      <c r="AX237" s="90"/>
      <c r="AY237" s="90"/>
      <c r="AZ237" s="90"/>
      <c r="BA237" s="90"/>
      <c r="BB237" s="90"/>
      <c r="BC237" s="90"/>
      <c r="BD237" s="90"/>
      <c r="BE237" s="90"/>
      <c r="BF237" s="90"/>
      <c r="BG237" s="90"/>
      <c r="BH237" s="90"/>
      <c r="BI237" s="90"/>
    </row>
    <row r="238" ht="12.75" customHeight="1">
      <c r="A238" s="90"/>
      <c r="B238" s="90"/>
      <c r="C238" s="400"/>
      <c r="D238" s="90"/>
      <c r="E238" s="102"/>
      <c r="F238" s="90"/>
      <c r="G238" s="90"/>
      <c r="H238" s="102"/>
      <c r="I238" s="102"/>
      <c r="J238" s="102"/>
      <c r="K238" s="102"/>
      <c r="L238" s="102"/>
      <c r="M238" s="102"/>
      <c r="N238" s="102"/>
      <c r="O238" s="102"/>
      <c r="P238" s="102"/>
      <c r="Q238" s="102"/>
      <c r="R238" s="102"/>
      <c r="S238" s="102"/>
      <c r="T238" s="102"/>
      <c r="U238" s="102"/>
      <c r="V238" s="102"/>
      <c r="W238" s="102"/>
      <c r="X238" s="102"/>
      <c r="Y238" s="102"/>
      <c r="Z238" s="102"/>
      <c r="AA238" s="102"/>
      <c r="AB238" s="102"/>
      <c r="AC238" s="102"/>
      <c r="AD238" s="102"/>
      <c r="AE238" s="102"/>
      <c r="AF238" s="102"/>
      <c r="AG238" s="102"/>
      <c r="AH238" s="102"/>
      <c r="AI238" s="102"/>
      <c r="AJ238" s="102"/>
      <c r="AK238" s="102"/>
      <c r="AL238" s="102"/>
      <c r="AM238" s="102"/>
      <c r="AN238" s="102"/>
      <c r="AO238" s="400"/>
      <c r="AP238" s="90"/>
      <c r="AQ238" s="90"/>
      <c r="AR238" s="90"/>
      <c r="AS238" s="90"/>
      <c r="AT238" s="90"/>
      <c r="AU238" s="90"/>
      <c r="AV238" s="90"/>
      <c r="AW238" s="90"/>
      <c r="AX238" s="90"/>
      <c r="AY238" s="90"/>
      <c r="AZ238" s="90"/>
      <c r="BA238" s="90"/>
      <c r="BB238" s="90"/>
      <c r="BC238" s="90"/>
      <c r="BD238" s="90"/>
      <c r="BE238" s="90"/>
      <c r="BF238" s="90"/>
      <c r="BG238" s="90"/>
      <c r="BH238" s="90"/>
      <c r="BI238" s="90"/>
    </row>
    <row r="239" ht="12.75" customHeight="1">
      <c r="A239" s="90"/>
      <c r="B239" s="90"/>
      <c r="C239" s="400"/>
      <c r="D239" s="90"/>
      <c r="E239" s="102"/>
      <c r="F239" s="90"/>
      <c r="G239" s="90"/>
      <c r="H239" s="102"/>
      <c r="I239" s="102"/>
      <c r="J239" s="102"/>
      <c r="K239" s="102"/>
      <c r="L239" s="102"/>
      <c r="M239" s="102"/>
      <c r="N239" s="102"/>
      <c r="O239" s="102"/>
      <c r="P239" s="102"/>
      <c r="Q239" s="102"/>
      <c r="R239" s="102"/>
      <c r="S239" s="102"/>
      <c r="T239" s="102"/>
      <c r="U239" s="102"/>
      <c r="V239" s="102"/>
      <c r="W239" s="102"/>
      <c r="X239" s="102"/>
      <c r="Y239" s="102"/>
      <c r="Z239" s="102"/>
      <c r="AA239" s="102"/>
      <c r="AB239" s="102"/>
      <c r="AC239" s="102"/>
      <c r="AD239" s="102"/>
      <c r="AE239" s="102"/>
      <c r="AF239" s="102"/>
      <c r="AG239" s="102"/>
      <c r="AH239" s="102"/>
      <c r="AI239" s="102"/>
      <c r="AJ239" s="102"/>
      <c r="AK239" s="102"/>
      <c r="AL239" s="102"/>
      <c r="AM239" s="102"/>
      <c r="AN239" s="102"/>
      <c r="AO239" s="400"/>
      <c r="AP239" s="90"/>
      <c r="AQ239" s="90"/>
      <c r="AR239" s="90"/>
      <c r="AS239" s="90"/>
      <c r="AT239" s="90"/>
      <c r="AU239" s="90"/>
      <c r="AV239" s="90"/>
      <c r="AW239" s="90"/>
      <c r="AX239" s="90"/>
      <c r="AY239" s="90"/>
      <c r="AZ239" s="90"/>
      <c r="BA239" s="90"/>
      <c r="BB239" s="90"/>
      <c r="BC239" s="90"/>
      <c r="BD239" s="90"/>
      <c r="BE239" s="90"/>
      <c r="BF239" s="90"/>
      <c r="BG239" s="90"/>
      <c r="BH239" s="90"/>
      <c r="BI239" s="90"/>
    </row>
    <row r="240" ht="12.75" customHeight="1">
      <c r="A240" s="90"/>
      <c r="B240" s="90"/>
      <c r="C240" s="400"/>
      <c r="D240" s="90"/>
      <c r="E240" s="102"/>
      <c r="F240" s="90"/>
      <c r="G240" s="90"/>
      <c r="H240" s="102"/>
      <c r="I240" s="102"/>
      <c r="J240" s="102"/>
      <c r="K240" s="102"/>
      <c r="L240" s="102"/>
      <c r="M240" s="102"/>
      <c r="N240" s="102"/>
      <c r="O240" s="102"/>
      <c r="P240" s="102"/>
      <c r="Q240" s="102"/>
      <c r="R240" s="102"/>
      <c r="S240" s="102"/>
      <c r="T240" s="102"/>
      <c r="U240" s="102"/>
      <c r="V240" s="102"/>
      <c r="W240" s="102"/>
      <c r="X240" s="102"/>
      <c r="Y240" s="102"/>
      <c r="Z240" s="102"/>
      <c r="AA240" s="102"/>
      <c r="AB240" s="102"/>
      <c r="AC240" s="102"/>
      <c r="AD240" s="102"/>
      <c r="AE240" s="102"/>
      <c r="AF240" s="102"/>
      <c r="AG240" s="102"/>
      <c r="AH240" s="102"/>
      <c r="AI240" s="102"/>
      <c r="AJ240" s="102"/>
      <c r="AK240" s="102"/>
      <c r="AL240" s="102"/>
      <c r="AM240" s="102"/>
      <c r="AN240" s="102"/>
      <c r="AO240" s="400"/>
      <c r="AP240" s="90"/>
      <c r="AQ240" s="90"/>
      <c r="AR240" s="90"/>
      <c r="AS240" s="90"/>
      <c r="AT240" s="90"/>
      <c r="AU240" s="90"/>
      <c r="AV240" s="90"/>
      <c r="AW240" s="90"/>
      <c r="AX240" s="90"/>
      <c r="AY240" s="90"/>
      <c r="AZ240" s="90"/>
      <c r="BA240" s="90"/>
      <c r="BB240" s="90"/>
      <c r="BC240" s="90"/>
      <c r="BD240" s="90"/>
      <c r="BE240" s="90"/>
      <c r="BF240" s="90"/>
      <c r="BG240" s="90"/>
      <c r="BH240" s="90"/>
      <c r="BI240" s="90"/>
    </row>
    <row r="241" ht="12.75" customHeight="1">
      <c r="A241" s="90"/>
      <c r="B241" s="90"/>
      <c r="C241" s="400"/>
      <c r="D241" s="90"/>
      <c r="E241" s="102"/>
      <c r="F241" s="90"/>
      <c r="G241" s="90"/>
      <c r="H241" s="102"/>
      <c r="I241" s="102"/>
      <c r="J241" s="102"/>
      <c r="K241" s="102"/>
      <c r="L241" s="102"/>
      <c r="M241" s="102"/>
      <c r="N241" s="102"/>
      <c r="O241" s="102"/>
      <c r="P241" s="102"/>
      <c r="Q241" s="102"/>
      <c r="R241" s="102"/>
      <c r="S241" s="102"/>
      <c r="T241" s="102"/>
      <c r="U241" s="102"/>
      <c r="V241" s="102"/>
      <c r="W241" s="102"/>
      <c r="X241" s="102"/>
      <c r="Y241" s="102"/>
      <c r="Z241" s="102"/>
      <c r="AA241" s="102"/>
      <c r="AB241" s="102"/>
      <c r="AC241" s="102"/>
      <c r="AD241" s="102"/>
      <c r="AE241" s="102"/>
      <c r="AF241" s="102"/>
      <c r="AG241" s="102"/>
      <c r="AH241" s="102"/>
      <c r="AI241" s="102"/>
      <c r="AJ241" s="102"/>
      <c r="AK241" s="102"/>
      <c r="AL241" s="102"/>
      <c r="AM241" s="102"/>
      <c r="AN241" s="102"/>
      <c r="AO241" s="400"/>
      <c r="AP241" s="90"/>
      <c r="AQ241" s="90"/>
      <c r="AR241" s="90"/>
      <c r="AS241" s="90"/>
      <c r="AT241" s="90"/>
      <c r="AU241" s="90"/>
      <c r="AV241" s="90"/>
      <c r="AW241" s="90"/>
      <c r="AX241" s="90"/>
      <c r="AY241" s="90"/>
      <c r="AZ241" s="90"/>
      <c r="BA241" s="90"/>
      <c r="BB241" s="90"/>
      <c r="BC241" s="90"/>
      <c r="BD241" s="90"/>
      <c r="BE241" s="90"/>
      <c r="BF241" s="90"/>
      <c r="BG241" s="90"/>
      <c r="BH241" s="90"/>
      <c r="BI241" s="90"/>
    </row>
    <row r="242" ht="12.75" customHeight="1">
      <c r="A242" s="90"/>
      <c r="B242" s="90"/>
      <c r="C242" s="400"/>
      <c r="D242" s="90"/>
      <c r="E242" s="102"/>
      <c r="F242" s="90"/>
      <c r="G242" s="90"/>
      <c r="H242" s="102"/>
      <c r="I242" s="102"/>
      <c r="J242" s="102"/>
      <c r="K242" s="102"/>
      <c r="L242" s="102"/>
      <c r="M242" s="102"/>
      <c r="N242" s="102"/>
      <c r="O242" s="102"/>
      <c r="P242" s="102"/>
      <c r="Q242" s="102"/>
      <c r="R242" s="102"/>
      <c r="S242" s="102"/>
      <c r="T242" s="102"/>
      <c r="U242" s="102"/>
      <c r="V242" s="102"/>
      <c r="W242" s="102"/>
      <c r="X242" s="102"/>
      <c r="Y242" s="102"/>
      <c r="Z242" s="102"/>
      <c r="AA242" s="102"/>
      <c r="AB242" s="102"/>
      <c r="AC242" s="102"/>
      <c r="AD242" s="102"/>
      <c r="AE242" s="102"/>
      <c r="AF242" s="102"/>
      <c r="AG242" s="102"/>
      <c r="AH242" s="102"/>
      <c r="AI242" s="102"/>
      <c r="AJ242" s="102"/>
      <c r="AK242" s="102"/>
      <c r="AL242" s="102"/>
      <c r="AM242" s="102"/>
      <c r="AN242" s="102"/>
      <c r="AO242" s="400"/>
      <c r="AP242" s="90"/>
      <c r="AQ242" s="90"/>
      <c r="AR242" s="90"/>
      <c r="AS242" s="90"/>
      <c r="AT242" s="90"/>
      <c r="AU242" s="90"/>
      <c r="AV242" s="90"/>
      <c r="AW242" s="90"/>
      <c r="AX242" s="90"/>
      <c r="AY242" s="90"/>
      <c r="AZ242" s="90"/>
      <c r="BA242" s="90"/>
      <c r="BB242" s="90"/>
      <c r="BC242" s="90"/>
      <c r="BD242" s="90"/>
      <c r="BE242" s="90"/>
      <c r="BF242" s="90"/>
      <c r="BG242" s="90"/>
      <c r="BH242" s="90"/>
      <c r="BI242" s="90"/>
    </row>
    <row r="243" ht="12.75" customHeight="1">
      <c r="A243" s="90"/>
      <c r="B243" s="90"/>
      <c r="C243" s="400"/>
      <c r="D243" s="90"/>
      <c r="E243" s="102"/>
      <c r="F243" s="90"/>
      <c r="G243" s="90"/>
      <c r="H243" s="102"/>
      <c r="I243" s="102"/>
      <c r="J243" s="102"/>
      <c r="K243" s="102"/>
      <c r="L243" s="102"/>
      <c r="M243" s="102"/>
      <c r="N243" s="102"/>
      <c r="O243" s="102"/>
      <c r="P243" s="102"/>
      <c r="Q243" s="102"/>
      <c r="R243" s="102"/>
      <c r="S243" s="102"/>
      <c r="T243" s="102"/>
      <c r="U243" s="102"/>
      <c r="V243" s="102"/>
      <c r="W243" s="102"/>
      <c r="X243" s="102"/>
      <c r="Y243" s="102"/>
      <c r="Z243" s="102"/>
      <c r="AA243" s="102"/>
      <c r="AB243" s="102"/>
      <c r="AC243" s="102"/>
      <c r="AD243" s="102"/>
      <c r="AE243" s="102"/>
      <c r="AF243" s="102"/>
      <c r="AG243" s="102"/>
      <c r="AH243" s="102"/>
      <c r="AI243" s="102"/>
      <c r="AJ243" s="102"/>
      <c r="AK243" s="102"/>
      <c r="AL243" s="102"/>
      <c r="AM243" s="102"/>
      <c r="AN243" s="102"/>
      <c r="AO243" s="400"/>
      <c r="AP243" s="90"/>
      <c r="AQ243" s="90"/>
      <c r="AR243" s="90"/>
      <c r="AS243" s="90"/>
      <c r="AT243" s="90"/>
      <c r="AU243" s="90"/>
      <c r="AV243" s="90"/>
      <c r="AW243" s="90"/>
      <c r="AX243" s="90"/>
      <c r="AY243" s="90"/>
      <c r="AZ243" s="90"/>
      <c r="BA243" s="90"/>
      <c r="BB243" s="90"/>
      <c r="BC243" s="90"/>
      <c r="BD243" s="90"/>
      <c r="BE243" s="90"/>
      <c r="BF243" s="90"/>
      <c r="BG243" s="90"/>
      <c r="BH243" s="90"/>
      <c r="BI243" s="90"/>
    </row>
    <row r="244" ht="12.75" customHeight="1">
      <c r="A244" s="90"/>
      <c r="B244" s="90"/>
      <c r="C244" s="400"/>
      <c r="D244" s="90"/>
      <c r="E244" s="102"/>
      <c r="F244" s="90"/>
      <c r="G244" s="90"/>
      <c r="H244" s="102"/>
      <c r="I244" s="102"/>
      <c r="J244" s="102"/>
      <c r="K244" s="102"/>
      <c r="L244" s="102"/>
      <c r="M244" s="102"/>
      <c r="N244" s="102"/>
      <c r="O244" s="102"/>
      <c r="P244" s="102"/>
      <c r="Q244" s="102"/>
      <c r="R244" s="102"/>
      <c r="S244" s="102"/>
      <c r="T244" s="102"/>
      <c r="U244" s="102"/>
      <c r="V244" s="102"/>
      <c r="W244" s="102"/>
      <c r="X244" s="102"/>
      <c r="Y244" s="102"/>
      <c r="Z244" s="102"/>
      <c r="AA244" s="102"/>
      <c r="AB244" s="102"/>
      <c r="AC244" s="102"/>
      <c r="AD244" s="102"/>
      <c r="AE244" s="102"/>
      <c r="AF244" s="102"/>
      <c r="AG244" s="102"/>
      <c r="AH244" s="102"/>
      <c r="AI244" s="102"/>
      <c r="AJ244" s="102"/>
      <c r="AK244" s="102"/>
      <c r="AL244" s="102"/>
      <c r="AM244" s="102"/>
      <c r="AN244" s="102"/>
      <c r="AO244" s="400"/>
      <c r="AP244" s="90"/>
      <c r="AQ244" s="90"/>
      <c r="AR244" s="90"/>
      <c r="AS244" s="90"/>
      <c r="AT244" s="90"/>
      <c r="AU244" s="90"/>
      <c r="AV244" s="90"/>
      <c r="AW244" s="90"/>
      <c r="AX244" s="90"/>
      <c r="AY244" s="90"/>
      <c r="AZ244" s="90"/>
      <c r="BA244" s="90"/>
      <c r="BB244" s="90"/>
      <c r="BC244" s="90"/>
      <c r="BD244" s="90"/>
      <c r="BE244" s="90"/>
      <c r="BF244" s="90"/>
      <c r="BG244" s="90"/>
      <c r="BH244" s="90"/>
      <c r="BI244" s="90"/>
    </row>
    <row r="245" ht="12.75" customHeight="1">
      <c r="A245" s="90"/>
      <c r="B245" s="90"/>
      <c r="C245" s="400"/>
      <c r="D245" s="90"/>
      <c r="E245" s="102"/>
      <c r="F245" s="90"/>
      <c r="G245" s="90"/>
      <c r="H245" s="102"/>
      <c r="I245" s="102"/>
      <c r="J245" s="102"/>
      <c r="K245" s="102"/>
      <c r="L245" s="102"/>
      <c r="M245" s="102"/>
      <c r="N245" s="102"/>
      <c r="O245" s="102"/>
      <c r="P245" s="102"/>
      <c r="Q245" s="102"/>
      <c r="R245" s="102"/>
      <c r="S245" s="102"/>
      <c r="T245" s="102"/>
      <c r="U245" s="102"/>
      <c r="V245" s="102"/>
      <c r="W245" s="102"/>
      <c r="X245" s="102"/>
      <c r="Y245" s="102"/>
      <c r="Z245" s="102"/>
      <c r="AA245" s="102"/>
      <c r="AB245" s="102"/>
      <c r="AC245" s="102"/>
      <c r="AD245" s="102"/>
      <c r="AE245" s="102"/>
      <c r="AF245" s="102"/>
      <c r="AG245" s="102"/>
      <c r="AH245" s="102"/>
      <c r="AI245" s="102"/>
      <c r="AJ245" s="102"/>
      <c r="AK245" s="102"/>
      <c r="AL245" s="102"/>
      <c r="AM245" s="102"/>
      <c r="AN245" s="102"/>
      <c r="AO245" s="400"/>
      <c r="AP245" s="90"/>
      <c r="AQ245" s="90"/>
      <c r="AR245" s="90"/>
      <c r="AS245" s="90"/>
      <c r="AT245" s="90"/>
      <c r="AU245" s="90"/>
      <c r="AV245" s="90"/>
      <c r="AW245" s="90"/>
      <c r="AX245" s="90"/>
      <c r="AY245" s="90"/>
      <c r="AZ245" s="90"/>
      <c r="BA245" s="90"/>
      <c r="BB245" s="90"/>
      <c r="BC245" s="90"/>
      <c r="BD245" s="90"/>
      <c r="BE245" s="90"/>
      <c r="BF245" s="90"/>
      <c r="BG245" s="90"/>
      <c r="BH245" s="90"/>
      <c r="BI245" s="90"/>
    </row>
    <row r="246" ht="12.75" customHeight="1">
      <c r="A246" s="90"/>
      <c r="B246" s="90"/>
      <c r="C246" s="400"/>
      <c r="D246" s="90"/>
      <c r="E246" s="102"/>
      <c r="F246" s="90"/>
      <c r="G246" s="90"/>
      <c r="H246" s="102"/>
      <c r="I246" s="102"/>
      <c r="J246" s="102"/>
      <c r="K246" s="102"/>
      <c r="L246" s="102"/>
      <c r="M246" s="102"/>
      <c r="N246" s="102"/>
      <c r="O246" s="102"/>
      <c r="P246" s="102"/>
      <c r="Q246" s="102"/>
      <c r="R246" s="102"/>
      <c r="S246" s="102"/>
      <c r="T246" s="102"/>
      <c r="U246" s="102"/>
      <c r="V246" s="102"/>
      <c r="W246" s="102"/>
      <c r="X246" s="102"/>
      <c r="Y246" s="102"/>
      <c r="Z246" s="102"/>
      <c r="AA246" s="102"/>
      <c r="AB246" s="102"/>
      <c r="AC246" s="102"/>
      <c r="AD246" s="102"/>
      <c r="AE246" s="102"/>
      <c r="AF246" s="102"/>
      <c r="AG246" s="102"/>
      <c r="AH246" s="102"/>
      <c r="AI246" s="102"/>
      <c r="AJ246" s="102"/>
      <c r="AK246" s="102"/>
      <c r="AL246" s="102"/>
      <c r="AM246" s="102"/>
      <c r="AN246" s="102"/>
      <c r="AO246" s="400"/>
      <c r="AP246" s="90"/>
      <c r="AQ246" s="90"/>
      <c r="AR246" s="90"/>
      <c r="AS246" s="90"/>
      <c r="AT246" s="90"/>
      <c r="AU246" s="90"/>
      <c r="AV246" s="90"/>
      <c r="AW246" s="90"/>
      <c r="AX246" s="90"/>
      <c r="AY246" s="90"/>
      <c r="AZ246" s="90"/>
      <c r="BA246" s="90"/>
      <c r="BB246" s="90"/>
      <c r="BC246" s="90"/>
      <c r="BD246" s="90"/>
      <c r="BE246" s="90"/>
      <c r="BF246" s="90"/>
      <c r="BG246" s="90"/>
      <c r="BH246" s="90"/>
      <c r="BI246" s="90"/>
    </row>
    <row r="247" ht="12.75" customHeight="1">
      <c r="A247" s="90"/>
      <c r="B247" s="90"/>
      <c r="C247" s="400"/>
      <c r="D247" s="90"/>
      <c r="E247" s="102"/>
      <c r="F247" s="90"/>
      <c r="G247" s="90"/>
      <c r="H247" s="102"/>
      <c r="I247" s="102"/>
      <c r="J247" s="102"/>
      <c r="K247" s="102"/>
      <c r="L247" s="102"/>
      <c r="M247" s="102"/>
      <c r="N247" s="102"/>
      <c r="O247" s="102"/>
      <c r="P247" s="102"/>
      <c r="Q247" s="102"/>
      <c r="R247" s="102"/>
      <c r="S247" s="102"/>
      <c r="T247" s="102"/>
      <c r="U247" s="102"/>
      <c r="V247" s="102"/>
      <c r="W247" s="102"/>
      <c r="X247" s="102"/>
      <c r="Y247" s="102"/>
      <c r="Z247" s="102"/>
      <c r="AA247" s="102"/>
      <c r="AB247" s="102"/>
      <c r="AC247" s="102"/>
      <c r="AD247" s="102"/>
      <c r="AE247" s="102"/>
      <c r="AF247" s="102"/>
      <c r="AG247" s="102"/>
      <c r="AH247" s="102"/>
      <c r="AI247" s="102"/>
      <c r="AJ247" s="102"/>
      <c r="AK247" s="102"/>
      <c r="AL247" s="102"/>
      <c r="AM247" s="102"/>
      <c r="AN247" s="102"/>
      <c r="AO247" s="400"/>
      <c r="AP247" s="90"/>
      <c r="AQ247" s="90"/>
      <c r="AR247" s="90"/>
      <c r="AS247" s="90"/>
      <c r="AT247" s="90"/>
      <c r="AU247" s="90"/>
      <c r="AV247" s="90"/>
      <c r="AW247" s="90"/>
      <c r="AX247" s="90"/>
      <c r="AY247" s="90"/>
      <c r="AZ247" s="90"/>
      <c r="BA247" s="90"/>
      <c r="BB247" s="90"/>
      <c r="BC247" s="90"/>
      <c r="BD247" s="90"/>
      <c r="BE247" s="90"/>
      <c r="BF247" s="90"/>
      <c r="BG247" s="90"/>
      <c r="BH247" s="90"/>
      <c r="BI247" s="90"/>
    </row>
    <row r="248" ht="12.75" customHeight="1">
      <c r="A248" s="90"/>
      <c r="B248" s="90"/>
      <c r="C248" s="400"/>
      <c r="D248" s="90"/>
      <c r="E248" s="102"/>
      <c r="F248" s="90"/>
      <c r="G248" s="90"/>
      <c r="H248" s="102"/>
      <c r="I248" s="102"/>
      <c r="J248" s="102"/>
      <c r="K248" s="102"/>
      <c r="L248" s="102"/>
      <c r="M248" s="102"/>
      <c r="N248" s="102"/>
      <c r="O248" s="102"/>
      <c r="P248" s="102"/>
      <c r="Q248" s="102"/>
      <c r="R248" s="102"/>
      <c r="S248" s="102"/>
      <c r="T248" s="102"/>
      <c r="U248" s="102"/>
      <c r="V248" s="102"/>
      <c r="W248" s="102"/>
      <c r="X248" s="102"/>
      <c r="Y248" s="102"/>
      <c r="Z248" s="102"/>
      <c r="AA248" s="102"/>
      <c r="AB248" s="102"/>
      <c r="AC248" s="102"/>
      <c r="AD248" s="102"/>
      <c r="AE248" s="102"/>
      <c r="AF248" s="102"/>
      <c r="AG248" s="102"/>
      <c r="AH248" s="102"/>
      <c r="AI248" s="102"/>
      <c r="AJ248" s="102"/>
      <c r="AK248" s="102"/>
      <c r="AL248" s="102"/>
      <c r="AM248" s="102"/>
      <c r="AN248" s="102"/>
      <c r="AO248" s="400"/>
      <c r="AP248" s="90"/>
      <c r="AQ248" s="90"/>
      <c r="AR248" s="90"/>
      <c r="AS248" s="90"/>
      <c r="AT248" s="90"/>
      <c r="AU248" s="90"/>
      <c r="AV248" s="90"/>
      <c r="AW248" s="90"/>
      <c r="AX248" s="90"/>
      <c r="AY248" s="90"/>
      <c r="AZ248" s="90"/>
      <c r="BA248" s="90"/>
      <c r="BB248" s="90"/>
      <c r="BC248" s="90"/>
      <c r="BD248" s="90"/>
      <c r="BE248" s="90"/>
      <c r="BF248" s="90"/>
      <c r="BG248" s="90"/>
      <c r="BH248" s="90"/>
      <c r="BI248" s="90"/>
    </row>
    <row r="249" ht="12.75" customHeight="1">
      <c r="A249" s="90"/>
      <c r="B249" s="90"/>
      <c r="C249" s="400"/>
      <c r="D249" s="90"/>
      <c r="E249" s="102"/>
      <c r="F249" s="90"/>
      <c r="G249" s="90"/>
      <c r="H249" s="102"/>
      <c r="I249" s="102"/>
      <c r="J249" s="102"/>
      <c r="K249" s="102"/>
      <c r="L249" s="102"/>
      <c r="M249" s="102"/>
      <c r="N249" s="102"/>
      <c r="O249" s="102"/>
      <c r="P249" s="102"/>
      <c r="Q249" s="102"/>
      <c r="R249" s="102"/>
      <c r="S249" s="102"/>
      <c r="T249" s="102"/>
      <c r="U249" s="102"/>
      <c r="V249" s="102"/>
      <c r="W249" s="102"/>
      <c r="X249" s="102"/>
      <c r="Y249" s="102"/>
      <c r="Z249" s="102"/>
      <c r="AA249" s="102"/>
      <c r="AB249" s="102"/>
      <c r="AC249" s="102"/>
      <c r="AD249" s="102"/>
      <c r="AE249" s="102"/>
      <c r="AF249" s="102"/>
      <c r="AG249" s="102"/>
      <c r="AH249" s="102"/>
      <c r="AI249" s="102"/>
      <c r="AJ249" s="102"/>
      <c r="AK249" s="102"/>
      <c r="AL249" s="102"/>
      <c r="AM249" s="102"/>
      <c r="AN249" s="102"/>
      <c r="AO249" s="400"/>
      <c r="AP249" s="90"/>
      <c r="AQ249" s="90"/>
      <c r="AR249" s="90"/>
      <c r="AS249" s="90"/>
      <c r="AT249" s="90"/>
      <c r="AU249" s="90"/>
      <c r="AV249" s="90"/>
      <c r="AW249" s="90"/>
      <c r="AX249" s="90"/>
      <c r="AY249" s="90"/>
      <c r="AZ249" s="90"/>
      <c r="BA249" s="90"/>
      <c r="BB249" s="90"/>
      <c r="BC249" s="90"/>
      <c r="BD249" s="90"/>
      <c r="BE249" s="90"/>
      <c r="BF249" s="90"/>
      <c r="BG249" s="90"/>
      <c r="BH249" s="90"/>
      <c r="BI249" s="90"/>
    </row>
    <row r="250" ht="12.75" customHeight="1">
      <c r="A250" s="90"/>
      <c r="B250" s="90"/>
      <c r="C250" s="400"/>
      <c r="D250" s="90"/>
      <c r="E250" s="102"/>
      <c r="F250" s="90"/>
      <c r="G250" s="90"/>
      <c r="H250" s="102"/>
      <c r="I250" s="102"/>
      <c r="J250" s="102"/>
      <c r="K250" s="102"/>
      <c r="L250" s="102"/>
      <c r="M250" s="102"/>
      <c r="N250" s="102"/>
      <c r="O250" s="102"/>
      <c r="P250" s="102"/>
      <c r="Q250" s="102"/>
      <c r="R250" s="102"/>
      <c r="S250" s="102"/>
      <c r="T250" s="102"/>
      <c r="U250" s="102"/>
      <c r="V250" s="102"/>
      <c r="W250" s="102"/>
      <c r="X250" s="102"/>
      <c r="Y250" s="102"/>
      <c r="Z250" s="102"/>
      <c r="AA250" s="102"/>
      <c r="AB250" s="102"/>
      <c r="AC250" s="102"/>
      <c r="AD250" s="102"/>
      <c r="AE250" s="102"/>
      <c r="AF250" s="102"/>
      <c r="AG250" s="102"/>
      <c r="AH250" s="102"/>
      <c r="AI250" s="102"/>
      <c r="AJ250" s="102"/>
      <c r="AK250" s="102"/>
      <c r="AL250" s="102"/>
      <c r="AM250" s="102"/>
      <c r="AN250" s="102"/>
      <c r="AO250" s="400"/>
      <c r="AP250" s="90"/>
      <c r="AQ250" s="90"/>
      <c r="AR250" s="90"/>
      <c r="AS250" s="90"/>
      <c r="AT250" s="90"/>
      <c r="AU250" s="90"/>
      <c r="AV250" s="90"/>
      <c r="AW250" s="90"/>
      <c r="AX250" s="90"/>
      <c r="AY250" s="90"/>
      <c r="AZ250" s="90"/>
      <c r="BA250" s="90"/>
      <c r="BB250" s="90"/>
      <c r="BC250" s="90"/>
      <c r="BD250" s="90"/>
      <c r="BE250" s="90"/>
      <c r="BF250" s="90"/>
      <c r="BG250" s="90"/>
      <c r="BH250" s="90"/>
      <c r="BI250" s="90"/>
    </row>
    <row r="251" ht="12.75" customHeight="1">
      <c r="A251" s="90"/>
      <c r="B251" s="90"/>
      <c r="C251" s="400"/>
      <c r="D251" s="90"/>
      <c r="E251" s="102"/>
      <c r="F251" s="90"/>
      <c r="G251" s="90"/>
      <c r="H251" s="102"/>
      <c r="I251" s="102"/>
      <c r="J251" s="102"/>
      <c r="K251" s="102"/>
      <c r="L251" s="102"/>
      <c r="M251" s="102"/>
      <c r="N251" s="102"/>
      <c r="O251" s="102"/>
      <c r="P251" s="102"/>
      <c r="Q251" s="102"/>
      <c r="R251" s="102"/>
      <c r="S251" s="102"/>
      <c r="T251" s="102"/>
      <c r="U251" s="102"/>
      <c r="V251" s="102"/>
      <c r="W251" s="102"/>
      <c r="X251" s="102"/>
      <c r="Y251" s="102"/>
      <c r="Z251" s="102"/>
      <c r="AA251" s="102"/>
      <c r="AB251" s="102"/>
      <c r="AC251" s="102"/>
      <c r="AD251" s="102"/>
      <c r="AE251" s="102"/>
      <c r="AF251" s="102"/>
      <c r="AG251" s="102"/>
      <c r="AH251" s="102"/>
      <c r="AI251" s="102"/>
      <c r="AJ251" s="102"/>
      <c r="AK251" s="102"/>
      <c r="AL251" s="102"/>
      <c r="AM251" s="102"/>
      <c r="AN251" s="102"/>
      <c r="AO251" s="400"/>
      <c r="AP251" s="90"/>
      <c r="AQ251" s="90"/>
      <c r="AR251" s="90"/>
      <c r="AS251" s="90"/>
      <c r="AT251" s="90"/>
      <c r="AU251" s="90"/>
      <c r="AV251" s="90"/>
      <c r="AW251" s="90"/>
      <c r="AX251" s="90"/>
      <c r="AY251" s="90"/>
      <c r="AZ251" s="90"/>
      <c r="BA251" s="90"/>
      <c r="BB251" s="90"/>
      <c r="BC251" s="90"/>
      <c r="BD251" s="90"/>
      <c r="BE251" s="90"/>
      <c r="BF251" s="90"/>
      <c r="BG251" s="90"/>
      <c r="BH251" s="90"/>
      <c r="BI251" s="90"/>
    </row>
    <row r="252" ht="12.75" customHeight="1">
      <c r="A252" s="90"/>
      <c r="B252" s="90"/>
      <c r="C252" s="400"/>
      <c r="D252" s="90"/>
      <c r="E252" s="102"/>
      <c r="F252" s="90"/>
      <c r="G252" s="90"/>
      <c r="H252" s="102"/>
      <c r="I252" s="102"/>
      <c r="J252" s="102"/>
      <c r="K252" s="102"/>
      <c r="L252" s="102"/>
      <c r="M252" s="102"/>
      <c r="N252" s="102"/>
      <c r="O252" s="102"/>
      <c r="P252" s="102"/>
      <c r="Q252" s="102"/>
      <c r="R252" s="102"/>
      <c r="S252" s="102"/>
      <c r="T252" s="102"/>
      <c r="U252" s="102"/>
      <c r="V252" s="102"/>
      <c r="W252" s="102"/>
      <c r="X252" s="102"/>
      <c r="Y252" s="102"/>
      <c r="Z252" s="102"/>
      <c r="AA252" s="102"/>
      <c r="AB252" s="102"/>
      <c r="AC252" s="102"/>
      <c r="AD252" s="102"/>
      <c r="AE252" s="102"/>
      <c r="AF252" s="102"/>
      <c r="AG252" s="102"/>
      <c r="AH252" s="102"/>
      <c r="AI252" s="102"/>
      <c r="AJ252" s="102"/>
      <c r="AK252" s="102"/>
      <c r="AL252" s="102"/>
      <c r="AM252" s="102"/>
      <c r="AN252" s="102"/>
      <c r="AO252" s="400"/>
      <c r="AP252" s="90"/>
      <c r="AQ252" s="90"/>
      <c r="AR252" s="90"/>
      <c r="AS252" s="90"/>
      <c r="AT252" s="90"/>
      <c r="AU252" s="90"/>
      <c r="AV252" s="90"/>
      <c r="AW252" s="90"/>
      <c r="AX252" s="90"/>
      <c r="AY252" s="90"/>
      <c r="AZ252" s="90"/>
      <c r="BA252" s="90"/>
      <c r="BB252" s="90"/>
      <c r="BC252" s="90"/>
      <c r="BD252" s="90"/>
      <c r="BE252" s="90"/>
      <c r="BF252" s="90"/>
      <c r="BG252" s="90"/>
      <c r="BH252" s="90"/>
      <c r="BI252" s="90"/>
    </row>
    <row r="253" ht="12.75" customHeight="1">
      <c r="A253" s="90"/>
      <c r="B253" s="90"/>
      <c r="C253" s="400"/>
      <c r="D253" s="90"/>
      <c r="E253" s="102"/>
      <c r="F253" s="90"/>
      <c r="G253" s="90"/>
      <c r="H253" s="102"/>
      <c r="I253" s="102"/>
      <c r="J253" s="102"/>
      <c r="K253" s="102"/>
      <c r="L253" s="102"/>
      <c r="M253" s="102"/>
      <c r="N253" s="102"/>
      <c r="O253" s="102"/>
      <c r="P253" s="102"/>
      <c r="Q253" s="102"/>
      <c r="R253" s="102"/>
      <c r="S253" s="102"/>
      <c r="T253" s="102"/>
      <c r="U253" s="102"/>
      <c r="V253" s="102"/>
      <c r="W253" s="102"/>
      <c r="X253" s="102"/>
      <c r="Y253" s="102"/>
      <c r="Z253" s="102"/>
      <c r="AA253" s="102"/>
      <c r="AB253" s="102"/>
      <c r="AC253" s="102"/>
      <c r="AD253" s="102"/>
      <c r="AE253" s="102"/>
      <c r="AF253" s="102"/>
      <c r="AG253" s="102"/>
      <c r="AH253" s="102"/>
      <c r="AI253" s="102"/>
      <c r="AJ253" s="102"/>
      <c r="AK253" s="102"/>
      <c r="AL253" s="102"/>
      <c r="AM253" s="102"/>
      <c r="AN253" s="102"/>
      <c r="AO253" s="400"/>
      <c r="AP253" s="90"/>
      <c r="AQ253" s="90"/>
      <c r="AR253" s="90"/>
      <c r="AS253" s="90"/>
      <c r="AT253" s="90"/>
      <c r="AU253" s="90"/>
      <c r="AV253" s="90"/>
      <c r="AW253" s="90"/>
      <c r="AX253" s="90"/>
      <c r="AY253" s="90"/>
      <c r="AZ253" s="90"/>
      <c r="BA253" s="90"/>
      <c r="BB253" s="90"/>
      <c r="BC253" s="90"/>
      <c r="BD253" s="90"/>
      <c r="BE253" s="90"/>
      <c r="BF253" s="90"/>
      <c r="BG253" s="90"/>
      <c r="BH253" s="90"/>
      <c r="BI253" s="90"/>
    </row>
    <row r="254" ht="12.75" customHeight="1">
      <c r="A254" s="90"/>
      <c r="B254" s="90"/>
      <c r="C254" s="400"/>
      <c r="D254" s="90"/>
      <c r="E254" s="102"/>
      <c r="F254" s="90"/>
      <c r="G254" s="90"/>
      <c r="H254" s="102"/>
      <c r="I254" s="102"/>
      <c r="J254" s="102"/>
      <c r="K254" s="102"/>
      <c r="L254" s="102"/>
      <c r="M254" s="102"/>
      <c r="N254" s="102"/>
      <c r="O254" s="102"/>
      <c r="P254" s="102"/>
      <c r="Q254" s="102"/>
      <c r="R254" s="102"/>
      <c r="S254" s="102"/>
      <c r="T254" s="102"/>
      <c r="U254" s="102"/>
      <c r="V254" s="102"/>
      <c r="W254" s="102"/>
      <c r="X254" s="102"/>
      <c r="Y254" s="102"/>
      <c r="Z254" s="102"/>
      <c r="AA254" s="102"/>
      <c r="AB254" s="102"/>
      <c r="AC254" s="102"/>
      <c r="AD254" s="102"/>
      <c r="AE254" s="102"/>
      <c r="AF254" s="102"/>
      <c r="AG254" s="102"/>
      <c r="AH254" s="102"/>
      <c r="AI254" s="102"/>
      <c r="AJ254" s="102"/>
      <c r="AK254" s="102"/>
      <c r="AL254" s="102"/>
      <c r="AM254" s="102"/>
      <c r="AN254" s="102"/>
      <c r="AO254" s="400"/>
      <c r="AP254" s="90"/>
      <c r="AQ254" s="90"/>
      <c r="AR254" s="90"/>
      <c r="AS254" s="90"/>
      <c r="AT254" s="90"/>
      <c r="AU254" s="90"/>
      <c r="AV254" s="90"/>
      <c r="AW254" s="90"/>
      <c r="AX254" s="90"/>
      <c r="AY254" s="90"/>
      <c r="AZ254" s="90"/>
      <c r="BA254" s="90"/>
      <c r="BB254" s="90"/>
      <c r="BC254" s="90"/>
      <c r="BD254" s="90"/>
      <c r="BE254" s="90"/>
      <c r="BF254" s="90"/>
      <c r="BG254" s="90"/>
      <c r="BH254" s="90"/>
      <c r="BI254" s="90"/>
    </row>
    <row r="255" ht="12.75" customHeight="1">
      <c r="A255" s="90"/>
      <c r="B255" s="90"/>
      <c r="C255" s="400"/>
      <c r="D255" s="90"/>
      <c r="E255" s="102"/>
      <c r="F255" s="90"/>
      <c r="G255" s="90"/>
      <c r="H255" s="102"/>
      <c r="I255" s="102"/>
      <c r="J255" s="102"/>
      <c r="K255" s="102"/>
      <c r="L255" s="102"/>
      <c r="M255" s="102"/>
      <c r="N255" s="102"/>
      <c r="O255" s="102"/>
      <c r="P255" s="102"/>
      <c r="Q255" s="102"/>
      <c r="R255" s="102"/>
      <c r="S255" s="102"/>
      <c r="T255" s="102"/>
      <c r="U255" s="102"/>
      <c r="V255" s="102"/>
      <c r="W255" s="102"/>
      <c r="X255" s="102"/>
      <c r="Y255" s="102"/>
      <c r="Z255" s="102"/>
      <c r="AA255" s="102"/>
      <c r="AB255" s="102"/>
      <c r="AC255" s="102"/>
      <c r="AD255" s="102"/>
      <c r="AE255" s="102"/>
      <c r="AF255" s="102"/>
      <c r="AG255" s="102"/>
      <c r="AH255" s="102"/>
      <c r="AI255" s="102"/>
      <c r="AJ255" s="102"/>
      <c r="AK255" s="102"/>
      <c r="AL255" s="102"/>
      <c r="AM255" s="102"/>
      <c r="AN255" s="102"/>
      <c r="AO255" s="400"/>
      <c r="AP255" s="90"/>
      <c r="AQ255" s="90"/>
      <c r="AR255" s="90"/>
      <c r="AS255" s="90"/>
      <c r="AT255" s="90"/>
      <c r="AU255" s="90"/>
      <c r="AV255" s="90"/>
      <c r="AW255" s="90"/>
      <c r="AX255" s="90"/>
      <c r="AY255" s="90"/>
      <c r="AZ255" s="90"/>
      <c r="BA255" s="90"/>
      <c r="BB255" s="90"/>
      <c r="BC255" s="90"/>
      <c r="BD255" s="90"/>
      <c r="BE255" s="90"/>
      <c r="BF255" s="90"/>
      <c r="BG255" s="90"/>
      <c r="BH255" s="90"/>
      <c r="BI255" s="90"/>
    </row>
    <row r="256" ht="12.75" customHeight="1">
      <c r="A256" s="90"/>
      <c r="B256" s="90"/>
      <c r="C256" s="400"/>
      <c r="D256" s="90"/>
      <c r="E256" s="102"/>
      <c r="F256" s="90"/>
      <c r="G256" s="90"/>
      <c r="H256" s="102"/>
      <c r="I256" s="102"/>
      <c r="J256" s="102"/>
      <c r="K256" s="102"/>
      <c r="L256" s="102"/>
      <c r="M256" s="102"/>
      <c r="N256" s="102"/>
      <c r="O256" s="102"/>
      <c r="P256" s="102"/>
      <c r="Q256" s="102"/>
      <c r="R256" s="102"/>
      <c r="S256" s="102"/>
      <c r="T256" s="102"/>
      <c r="U256" s="102"/>
      <c r="V256" s="102"/>
      <c r="W256" s="102"/>
      <c r="X256" s="102"/>
      <c r="Y256" s="102"/>
      <c r="Z256" s="102"/>
      <c r="AA256" s="102"/>
      <c r="AB256" s="102"/>
      <c r="AC256" s="102"/>
      <c r="AD256" s="102"/>
      <c r="AE256" s="102"/>
      <c r="AF256" s="102"/>
      <c r="AG256" s="102"/>
      <c r="AH256" s="102"/>
      <c r="AI256" s="102"/>
      <c r="AJ256" s="102"/>
      <c r="AK256" s="102"/>
      <c r="AL256" s="102"/>
      <c r="AM256" s="102"/>
      <c r="AN256" s="102"/>
      <c r="AO256" s="400"/>
      <c r="AP256" s="90"/>
      <c r="AQ256" s="90"/>
      <c r="AR256" s="90"/>
      <c r="AS256" s="90"/>
      <c r="AT256" s="90"/>
      <c r="AU256" s="90"/>
      <c r="AV256" s="90"/>
      <c r="AW256" s="90"/>
      <c r="AX256" s="90"/>
      <c r="AY256" s="90"/>
      <c r="AZ256" s="90"/>
      <c r="BA256" s="90"/>
      <c r="BB256" s="90"/>
      <c r="BC256" s="90"/>
      <c r="BD256" s="90"/>
      <c r="BE256" s="90"/>
      <c r="BF256" s="90"/>
      <c r="BG256" s="90"/>
      <c r="BH256" s="90"/>
      <c r="BI256" s="90"/>
    </row>
    <row r="257" ht="12.75" customHeight="1">
      <c r="A257" s="90"/>
      <c r="B257" s="90"/>
      <c r="C257" s="400"/>
      <c r="D257" s="90"/>
      <c r="E257" s="102"/>
      <c r="F257" s="90"/>
      <c r="G257" s="90"/>
      <c r="H257" s="102"/>
      <c r="I257" s="102"/>
      <c r="J257" s="102"/>
      <c r="K257" s="102"/>
      <c r="L257" s="102"/>
      <c r="M257" s="102"/>
      <c r="N257" s="102"/>
      <c r="O257" s="102"/>
      <c r="P257" s="102"/>
      <c r="Q257" s="102"/>
      <c r="R257" s="102"/>
      <c r="S257" s="102"/>
      <c r="T257" s="102"/>
      <c r="U257" s="102"/>
      <c r="V257" s="102"/>
      <c r="W257" s="102"/>
      <c r="X257" s="102"/>
      <c r="Y257" s="102"/>
      <c r="Z257" s="102"/>
      <c r="AA257" s="102"/>
      <c r="AB257" s="102"/>
      <c r="AC257" s="102"/>
      <c r="AD257" s="102"/>
      <c r="AE257" s="102"/>
      <c r="AF257" s="102"/>
      <c r="AG257" s="102"/>
      <c r="AH257" s="102"/>
      <c r="AI257" s="102"/>
      <c r="AJ257" s="102"/>
      <c r="AK257" s="102"/>
      <c r="AL257" s="102"/>
      <c r="AM257" s="102"/>
      <c r="AN257" s="102"/>
      <c r="AO257" s="400"/>
      <c r="AP257" s="90"/>
      <c r="AQ257" s="90"/>
      <c r="AR257" s="90"/>
      <c r="AS257" s="90"/>
      <c r="AT257" s="90"/>
      <c r="AU257" s="90"/>
      <c r="AV257" s="90"/>
      <c r="AW257" s="90"/>
      <c r="AX257" s="90"/>
      <c r="AY257" s="90"/>
      <c r="AZ257" s="90"/>
      <c r="BA257" s="90"/>
      <c r="BB257" s="90"/>
      <c r="BC257" s="90"/>
      <c r="BD257" s="90"/>
      <c r="BE257" s="90"/>
      <c r="BF257" s="90"/>
      <c r="BG257" s="90"/>
      <c r="BH257" s="90"/>
      <c r="BI257" s="90"/>
    </row>
    <row r="258" ht="12.75" customHeight="1">
      <c r="A258" s="90"/>
      <c r="B258" s="90"/>
      <c r="C258" s="400"/>
      <c r="D258" s="90"/>
      <c r="E258" s="102"/>
      <c r="F258" s="90"/>
      <c r="G258" s="90"/>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02"/>
      <c r="AH258" s="102"/>
      <c r="AI258" s="102"/>
      <c r="AJ258" s="102"/>
      <c r="AK258" s="102"/>
      <c r="AL258" s="102"/>
      <c r="AM258" s="102"/>
      <c r="AN258" s="102"/>
      <c r="AO258" s="400"/>
      <c r="AP258" s="90"/>
      <c r="AQ258" s="90"/>
      <c r="AR258" s="90"/>
      <c r="AS258" s="90"/>
      <c r="AT258" s="90"/>
      <c r="AU258" s="90"/>
      <c r="AV258" s="90"/>
      <c r="AW258" s="90"/>
      <c r="AX258" s="90"/>
      <c r="AY258" s="90"/>
      <c r="AZ258" s="90"/>
      <c r="BA258" s="90"/>
      <c r="BB258" s="90"/>
      <c r="BC258" s="90"/>
      <c r="BD258" s="90"/>
      <c r="BE258" s="90"/>
      <c r="BF258" s="90"/>
      <c r="BG258" s="90"/>
      <c r="BH258" s="90"/>
      <c r="BI258" s="90"/>
    </row>
    <row r="259" ht="12.75" customHeight="1">
      <c r="A259" s="90"/>
      <c r="B259" s="90"/>
      <c r="C259" s="400"/>
      <c r="D259" s="90"/>
      <c r="E259" s="102"/>
      <c r="F259" s="90"/>
      <c r="G259" s="90"/>
      <c r="H259" s="102"/>
      <c r="I259" s="102"/>
      <c r="J259" s="102"/>
      <c r="K259" s="102"/>
      <c r="L259" s="102"/>
      <c r="M259" s="102"/>
      <c r="N259" s="102"/>
      <c r="O259" s="102"/>
      <c r="P259" s="102"/>
      <c r="Q259" s="102"/>
      <c r="R259" s="102"/>
      <c r="S259" s="102"/>
      <c r="T259" s="102"/>
      <c r="U259" s="102"/>
      <c r="V259" s="102"/>
      <c r="W259" s="102"/>
      <c r="X259" s="102"/>
      <c r="Y259" s="102"/>
      <c r="Z259" s="102"/>
      <c r="AA259" s="102"/>
      <c r="AB259" s="102"/>
      <c r="AC259" s="102"/>
      <c r="AD259" s="102"/>
      <c r="AE259" s="102"/>
      <c r="AF259" s="102"/>
      <c r="AG259" s="102"/>
      <c r="AH259" s="102"/>
      <c r="AI259" s="102"/>
      <c r="AJ259" s="102"/>
      <c r="AK259" s="102"/>
      <c r="AL259" s="102"/>
      <c r="AM259" s="102"/>
      <c r="AN259" s="102"/>
      <c r="AO259" s="400"/>
      <c r="AP259" s="90"/>
      <c r="AQ259" s="90"/>
      <c r="AR259" s="90"/>
      <c r="AS259" s="90"/>
      <c r="AT259" s="90"/>
      <c r="AU259" s="90"/>
      <c r="AV259" s="90"/>
      <c r="AW259" s="90"/>
      <c r="AX259" s="90"/>
      <c r="AY259" s="90"/>
      <c r="AZ259" s="90"/>
      <c r="BA259" s="90"/>
      <c r="BB259" s="90"/>
      <c r="BC259" s="90"/>
      <c r="BD259" s="90"/>
      <c r="BE259" s="90"/>
      <c r="BF259" s="90"/>
      <c r="BG259" s="90"/>
      <c r="BH259" s="90"/>
      <c r="BI259" s="90"/>
    </row>
    <row r="260" ht="12.75" customHeight="1">
      <c r="A260" s="90"/>
      <c r="B260" s="90"/>
      <c r="C260" s="400"/>
      <c r="D260" s="90"/>
      <c r="E260" s="102"/>
      <c r="F260" s="90"/>
      <c r="G260" s="90"/>
      <c r="H260" s="102"/>
      <c r="I260" s="102"/>
      <c r="J260" s="102"/>
      <c r="K260" s="102"/>
      <c r="L260" s="102"/>
      <c r="M260" s="102"/>
      <c r="N260" s="102"/>
      <c r="O260" s="102"/>
      <c r="P260" s="102"/>
      <c r="Q260" s="102"/>
      <c r="R260" s="102"/>
      <c r="S260" s="102"/>
      <c r="T260" s="102"/>
      <c r="U260" s="102"/>
      <c r="V260" s="102"/>
      <c r="W260" s="102"/>
      <c r="X260" s="102"/>
      <c r="Y260" s="102"/>
      <c r="Z260" s="102"/>
      <c r="AA260" s="102"/>
      <c r="AB260" s="102"/>
      <c r="AC260" s="102"/>
      <c r="AD260" s="102"/>
      <c r="AE260" s="102"/>
      <c r="AF260" s="102"/>
      <c r="AG260" s="102"/>
      <c r="AH260" s="102"/>
      <c r="AI260" s="102"/>
      <c r="AJ260" s="102"/>
      <c r="AK260" s="102"/>
      <c r="AL260" s="102"/>
      <c r="AM260" s="102"/>
      <c r="AN260" s="102"/>
      <c r="AO260" s="400"/>
      <c r="AP260" s="90"/>
      <c r="AQ260" s="90"/>
      <c r="AR260" s="90"/>
      <c r="AS260" s="90"/>
      <c r="AT260" s="90"/>
      <c r="AU260" s="90"/>
      <c r="AV260" s="90"/>
      <c r="AW260" s="90"/>
      <c r="AX260" s="90"/>
      <c r="AY260" s="90"/>
      <c r="AZ260" s="90"/>
      <c r="BA260" s="90"/>
      <c r="BB260" s="90"/>
      <c r="BC260" s="90"/>
      <c r="BD260" s="90"/>
      <c r="BE260" s="90"/>
      <c r="BF260" s="90"/>
      <c r="BG260" s="90"/>
      <c r="BH260" s="90"/>
      <c r="BI260" s="90"/>
    </row>
    <row r="261" ht="12.75" customHeight="1">
      <c r="A261" s="90"/>
      <c r="B261" s="90"/>
      <c r="C261" s="400"/>
      <c r="D261" s="90"/>
      <c r="E261" s="102"/>
      <c r="F261" s="90"/>
      <c r="G261" s="90"/>
      <c r="H261" s="102"/>
      <c r="I261" s="102"/>
      <c r="J261" s="102"/>
      <c r="K261" s="102"/>
      <c r="L261" s="102"/>
      <c r="M261" s="102"/>
      <c r="N261" s="102"/>
      <c r="O261" s="102"/>
      <c r="P261" s="102"/>
      <c r="Q261" s="102"/>
      <c r="R261" s="102"/>
      <c r="S261" s="102"/>
      <c r="T261" s="102"/>
      <c r="U261" s="102"/>
      <c r="V261" s="102"/>
      <c r="W261" s="102"/>
      <c r="X261" s="102"/>
      <c r="Y261" s="102"/>
      <c r="Z261" s="102"/>
      <c r="AA261" s="102"/>
      <c r="AB261" s="102"/>
      <c r="AC261" s="102"/>
      <c r="AD261" s="102"/>
      <c r="AE261" s="102"/>
      <c r="AF261" s="102"/>
      <c r="AG261" s="102"/>
      <c r="AH261" s="102"/>
      <c r="AI261" s="102"/>
      <c r="AJ261" s="102"/>
      <c r="AK261" s="102"/>
      <c r="AL261" s="102"/>
      <c r="AM261" s="102"/>
      <c r="AN261" s="102"/>
      <c r="AO261" s="400"/>
      <c r="AP261" s="90"/>
      <c r="AQ261" s="90"/>
      <c r="AR261" s="90"/>
      <c r="AS261" s="90"/>
      <c r="AT261" s="90"/>
      <c r="AU261" s="90"/>
      <c r="AV261" s="90"/>
      <c r="AW261" s="90"/>
      <c r="AX261" s="90"/>
      <c r="AY261" s="90"/>
      <c r="AZ261" s="90"/>
      <c r="BA261" s="90"/>
      <c r="BB261" s="90"/>
      <c r="BC261" s="90"/>
      <c r="BD261" s="90"/>
      <c r="BE261" s="90"/>
      <c r="BF261" s="90"/>
      <c r="BG261" s="90"/>
      <c r="BH261" s="90"/>
      <c r="BI261" s="90"/>
    </row>
    <row r="262" ht="12.75" customHeight="1">
      <c r="A262" s="90"/>
      <c r="B262" s="90"/>
      <c r="C262" s="400"/>
      <c r="D262" s="90"/>
      <c r="E262" s="102"/>
      <c r="F262" s="90"/>
      <c r="G262" s="90"/>
      <c r="H262" s="102"/>
      <c r="I262" s="102"/>
      <c r="J262" s="102"/>
      <c r="K262" s="102"/>
      <c r="L262" s="102"/>
      <c r="M262" s="102"/>
      <c r="N262" s="102"/>
      <c r="O262" s="102"/>
      <c r="P262" s="102"/>
      <c r="Q262" s="102"/>
      <c r="R262" s="102"/>
      <c r="S262" s="102"/>
      <c r="T262" s="102"/>
      <c r="U262" s="102"/>
      <c r="V262" s="102"/>
      <c r="W262" s="102"/>
      <c r="X262" s="102"/>
      <c r="Y262" s="102"/>
      <c r="Z262" s="102"/>
      <c r="AA262" s="102"/>
      <c r="AB262" s="102"/>
      <c r="AC262" s="102"/>
      <c r="AD262" s="102"/>
      <c r="AE262" s="102"/>
      <c r="AF262" s="102"/>
      <c r="AG262" s="102"/>
      <c r="AH262" s="102"/>
      <c r="AI262" s="102"/>
      <c r="AJ262" s="102"/>
      <c r="AK262" s="102"/>
      <c r="AL262" s="102"/>
      <c r="AM262" s="102"/>
      <c r="AN262" s="102"/>
      <c r="AO262" s="400"/>
      <c r="AP262" s="90"/>
      <c r="AQ262" s="90"/>
      <c r="AR262" s="90"/>
      <c r="AS262" s="90"/>
      <c r="AT262" s="90"/>
      <c r="AU262" s="90"/>
      <c r="AV262" s="90"/>
      <c r="AW262" s="90"/>
      <c r="AX262" s="90"/>
      <c r="AY262" s="90"/>
      <c r="AZ262" s="90"/>
      <c r="BA262" s="90"/>
      <c r="BB262" s="90"/>
      <c r="BC262" s="90"/>
      <c r="BD262" s="90"/>
      <c r="BE262" s="90"/>
      <c r="BF262" s="90"/>
      <c r="BG262" s="90"/>
      <c r="BH262" s="90"/>
      <c r="BI262" s="90"/>
    </row>
    <row r="263" ht="12.75" customHeight="1">
      <c r="A263" s="90"/>
      <c r="B263" s="90"/>
      <c r="C263" s="400"/>
      <c r="D263" s="90"/>
      <c r="E263" s="102"/>
      <c r="F263" s="90"/>
      <c r="G263" s="90"/>
      <c r="H263" s="102"/>
      <c r="I263" s="102"/>
      <c r="J263" s="102"/>
      <c r="K263" s="102"/>
      <c r="L263" s="102"/>
      <c r="M263" s="102"/>
      <c r="N263" s="102"/>
      <c r="O263" s="102"/>
      <c r="P263" s="102"/>
      <c r="Q263" s="102"/>
      <c r="R263" s="102"/>
      <c r="S263" s="102"/>
      <c r="T263" s="102"/>
      <c r="U263" s="102"/>
      <c r="V263" s="102"/>
      <c r="W263" s="102"/>
      <c r="X263" s="102"/>
      <c r="Y263" s="102"/>
      <c r="Z263" s="102"/>
      <c r="AA263" s="102"/>
      <c r="AB263" s="102"/>
      <c r="AC263" s="102"/>
      <c r="AD263" s="102"/>
      <c r="AE263" s="102"/>
      <c r="AF263" s="102"/>
      <c r="AG263" s="102"/>
      <c r="AH263" s="102"/>
      <c r="AI263" s="102"/>
      <c r="AJ263" s="102"/>
      <c r="AK263" s="102"/>
      <c r="AL263" s="102"/>
      <c r="AM263" s="102"/>
      <c r="AN263" s="102"/>
      <c r="AO263" s="400"/>
      <c r="AP263" s="90"/>
      <c r="AQ263" s="90"/>
      <c r="AR263" s="90"/>
      <c r="AS263" s="90"/>
      <c r="AT263" s="90"/>
      <c r="AU263" s="90"/>
      <c r="AV263" s="90"/>
      <c r="AW263" s="90"/>
      <c r="AX263" s="90"/>
      <c r="AY263" s="90"/>
      <c r="AZ263" s="90"/>
      <c r="BA263" s="90"/>
      <c r="BB263" s="90"/>
      <c r="BC263" s="90"/>
      <c r="BD263" s="90"/>
      <c r="BE263" s="90"/>
      <c r="BF263" s="90"/>
      <c r="BG263" s="90"/>
      <c r="BH263" s="90"/>
      <c r="BI263" s="90"/>
    </row>
    <row r="264" ht="12.75" customHeight="1">
      <c r="A264" s="90"/>
      <c r="B264" s="90"/>
      <c r="C264" s="400"/>
      <c r="D264" s="90"/>
      <c r="E264" s="102"/>
      <c r="F264" s="90"/>
      <c r="G264" s="90"/>
      <c r="H264" s="102"/>
      <c r="I264" s="102"/>
      <c r="J264" s="102"/>
      <c r="K264" s="102"/>
      <c r="L264" s="102"/>
      <c r="M264" s="102"/>
      <c r="N264" s="102"/>
      <c r="O264" s="102"/>
      <c r="P264" s="102"/>
      <c r="Q264" s="102"/>
      <c r="R264" s="102"/>
      <c r="S264" s="102"/>
      <c r="T264" s="102"/>
      <c r="U264" s="102"/>
      <c r="V264" s="102"/>
      <c r="W264" s="102"/>
      <c r="X264" s="102"/>
      <c r="Y264" s="102"/>
      <c r="Z264" s="102"/>
      <c r="AA264" s="102"/>
      <c r="AB264" s="102"/>
      <c r="AC264" s="102"/>
      <c r="AD264" s="102"/>
      <c r="AE264" s="102"/>
      <c r="AF264" s="102"/>
      <c r="AG264" s="102"/>
      <c r="AH264" s="102"/>
      <c r="AI264" s="102"/>
      <c r="AJ264" s="102"/>
      <c r="AK264" s="102"/>
      <c r="AL264" s="102"/>
      <c r="AM264" s="102"/>
      <c r="AN264" s="102"/>
      <c r="AO264" s="400"/>
      <c r="AP264" s="90"/>
      <c r="AQ264" s="90"/>
      <c r="AR264" s="90"/>
      <c r="AS264" s="90"/>
      <c r="AT264" s="90"/>
      <c r="AU264" s="90"/>
      <c r="AV264" s="90"/>
      <c r="AW264" s="90"/>
      <c r="AX264" s="90"/>
      <c r="AY264" s="90"/>
      <c r="AZ264" s="90"/>
      <c r="BA264" s="90"/>
      <c r="BB264" s="90"/>
      <c r="BC264" s="90"/>
      <c r="BD264" s="90"/>
      <c r="BE264" s="90"/>
      <c r="BF264" s="90"/>
      <c r="BG264" s="90"/>
      <c r="BH264" s="90"/>
      <c r="BI264" s="90"/>
    </row>
    <row r="265" ht="12.75" customHeight="1">
      <c r="A265" s="90"/>
      <c r="B265" s="90"/>
      <c r="C265" s="400"/>
      <c r="D265" s="90"/>
      <c r="E265" s="102"/>
      <c r="F265" s="90"/>
      <c r="G265" s="90"/>
      <c r="H265" s="102"/>
      <c r="I265" s="102"/>
      <c r="J265" s="102"/>
      <c r="K265" s="102"/>
      <c r="L265" s="102"/>
      <c r="M265" s="102"/>
      <c r="N265" s="102"/>
      <c r="O265" s="102"/>
      <c r="P265" s="102"/>
      <c r="Q265" s="102"/>
      <c r="R265" s="102"/>
      <c r="S265" s="102"/>
      <c r="T265" s="102"/>
      <c r="U265" s="102"/>
      <c r="V265" s="102"/>
      <c r="W265" s="102"/>
      <c r="X265" s="102"/>
      <c r="Y265" s="102"/>
      <c r="Z265" s="102"/>
      <c r="AA265" s="102"/>
      <c r="AB265" s="102"/>
      <c r="AC265" s="102"/>
      <c r="AD265" s="102"/>
      <c r="AE265" s="102"/>
      <c r="AF265" s="102"/>
      <c r="AG265" s="102"/>
      <c r="AH265" s="102"/>
      <c r="AI265" s="102"/>
      <c r="AJ265" s="102"/>
      <c r="AK265" s="102"/>
      <c r="AL265" s="102"/>
      <c r="AM265" s="102"/>
      <c r="AN265" s="102"/>
      <c r="AO265" s="400"/>
      <c r="AP265" s="90"/>
      <c r="AQ265" s="90"/>
      <c r="AR265" s="90"/>
      <c r="AS265" s="90"/>
      <c r="AT265" s="90"/>
      <c r="AU265" s="90"/>
      <c r="AV265" s="90"/>
      <c r="AW265" s="90"/>
      <c r="AX265" s="90"/>
      <c r="AY265" s="90"/>
      <c r="AZ265" s="90"/>
      <c r="BA265" s="90"/>
      <c r="BB265" s="90"/>
      <c r="BC265" s="90"/>
      <c r="BD265" s="90"/>
      <c r="BE265" s="90"/>
      <c r="BF265" s="90"/>
      <c r="BG265" s="90"/>
      <c r="BH265" s="90"/>
      <c r="BI265" s="90"/>
    </row>
    <row r="266" ht="12.75" customHeight="1">
      <c r="A266" s="90"/>
      <c r="B266" s="90"/>
      <c r="C266" s="400"/>
      <c r="D266" s="90"/>
      <c r="E266" s="102"/>
      <c r="F266" s="90"/>
      <c r="G266" s="90"/>
      <c r="H266" s="102"/>
      <c r="I266" s="102"/>
      <c r="J266" s="102"/>
      <c r="K266" s="102"/>
      <c r="L266" s="102"/>
      <c r="M266" s="102"/>
      <c r="N266" s="102"/>
      <c r="O266" s="102"/>
      <c r="P266" s="102"/>
      <c r="Q266" s="102"/>
      <c r="R266" s="102"/>
      <c r="S266" s="102"/>
      <c r="T266" s="102"/>
      <c r="U266" s="102"/>
      <c r="V266" s="102"/>
      <c r="W266" s="102"/>
      <c r="X266" s="102"/>
      <c r="Y266" s="102"/>
      <c r="Z266" s="102"/>
      <c r="AA266" s="102"/>
      <c r="AB266" s="102"/>
      <c r="AC266" s="102"/>
      <c r="AD266" s="102"/>
      <c r="AE266" s="102"/>
      <c r="AF266" s="102"/>
      <c r="AG266" s="102"/>
      <c r="AH266" s="102"/>
      <c r="AI266" s="102"/>
      <c r="AJ266" s="102"/>
      <c r="AK266" s="102"/>
      <c r="AL266" s="102"/>
      <c r="AM266" s="102"/>
      <c r="AN266" s="102"/>
      <c r="AO266" s="400"/>
      <c r="AP266" s="90"/>
      <c r="AQ266" s="90"/>
      <c r="AR266" s="90"/>
      <c r="AS266" s="90"/>
      <c r="AT266" s="90"/>
      <c r="AU266" s="90"/>
      <c r="AV266" s="90"/>
      <c r="AW266" s="90"/>
      <c r="AX266" s="90"/>
      <c r="AY266" s="90"/>
      <c r="AZ266" s="90"/>
      <c r="BA266" s="90"/>
      <c r="BB266" s="90"/>
      <c r="BC266" s="90"/>
      <c r="BD266" s="90"/>
      <c r="BE266" s="90"/>
      <c r="BF266" s="90"/>
      <c r="BG266" s="90"/>
      <c r="BH266" s="90"/>
      <c r="BI266" s="90"/>
    </row>
    <row r="267" ht="12.75" customHeight="1">
      <c r="A267" s="90"/>
      <c r="B267" s="90"/>
      <c r="C267" s="400"/>
      <c r="D267" s="90"/>
      <c r="E267" s="102"/>
      <c r="F267" s="90"/>
      <c r="G267" s="90"/>
      <c r="H267" s="102"/>
      <c r="I267" s="102"/>
      <c r="J267" s="102"/>
      <c r="K267" s="102"/>
      <c r="L267" s="102"/>
      <c r="M267" s="102"/>
      <c r="N267" s="102"/>
      <c r="O267" s="102"/>
      <c r="P267" s="102"/>
      <c r="Q267" s="102"/>
      <c r="R267" s="102"/>
      <c r="S267" s="102"/>
      <c r="T267" s="102"/>
      <c r="U267" s="102"/>
      <c r="V267" s="102"/>
      <c r="W267" s="102"/>
      <c r="X267" s="102"/>
      <c r="Y267" s="102"/>
      <c r="Z267" s="102"/>
      <c r="AA267" s="102"/>
      <c r="AB267" s="102"/>
      <c r="AC267" s="102"/>
      <c r="AD267" s="102"/>
      <c r="AE267" s="102"/>
      <c r="AF267" s="102"/>
      <c r="AG267" s="102"/>
      <c r="AH267" s="102"/>
      <c r="AI267" s="102"/>
      <c r="AJ267" s="102"/>
      <c r="AK267" s="102"/>
      <c r="AL267" s="102"/>
      <c r="AM267" s="102"/>
      <c r="AN267" s="102"/>
      <c r="AO267" s="400"/>
      <c r="AP267" s="90"/>
      <c r="AQ267" s="90"/>
      <c r="AR267" s="90"/>
      <c r="AS267" s="90"/>
      <c r="AT267" s="90"/>
      <c r="AU267" s="90"/>
      <c r="AV267" s="90"/>
      <c r="AW267" s="90"/>
      <c r="AX267" s="90"/>
      <c r="AY267" s="90"/>
      <c r="AZ267" s="90"/>
      <c r="BA267" s="90"/>
      <c r="BB267" s="90"/>
      <c r="BC267" s="90"/>
      <c r="BD267" s="90"/>
      <c r="BE267" s="90"/>
      <c r="BF267" s="90"/>
      <c r="BG267" s="90"/>
      <c r="BH267" s="90"/>
      <c r="BI267" s="90"/>
    </row>
    <row r="268" ht="12.75" customHeight="1">
      <c r="A268" s="90"/>
      <c r="B268" s="90"/>
      <c r="C268" s="400"/>
      <c r="D268" s="90"/>
      <c r="E268" s="102"/>
      <c r="F268" s="90"/>
      <c r="G268" s="90"/>
      <c r="H268" s="102"/>
      <c r="I268" s="102"/>
      <c r="J268" s="102"/>
      <c r="K268" s="102"/>
      <c r="L268" s="102"/>
      <c r="M268" s="102"/>
      <c r="N268" s="102"/>
      <c r="O268" s="102"/>
      <c r="P268" s="102"/>
      <c r="Q268" s="102"/>
      <c r="R268" s="102"/>
      <c r="S268" s="102"/>
      <c r="T268" s="102"/>
      <c r="U268" s="102"/>
      <c r="V268" s="102"/>
      <c r="W268" s="102"/>
      <c r="X268" s="102"/>
      <c r="Y268" s="102"/>
      <c r="Z268" s="102"/>
      <c r="AA268" s="102"/>
      <c r="AB268" s="102"/>
      <c r="AC268" s="102"/>
      <c r="AD268" s="102"/>
      <c r="AE268" s="102"/>
      <c r="AF268" s="102"/>
      <c r="AG268" s="102"/>
      <c r="AH268" s="102"/>
      <c r="AI268" s="102"/>
      <c r="AJ268" s="102"/>
      <c r="AK268" s="102"/>
      <c r="AL268" s="102"/>
      <c r="AM268" s="102"/>
      <c r="AN268" s="102"/>
      <c r="AO268" s="400"/>
      <c r="AP268" s="90"/>
      <c r="AQ268" s="90"/>
      <c r="AR268" s="90"/>
      <c r="AS268" s="90"/>
      <c r="AT268" s="90"/>
      <c r="AU268" s="90"/>
      <c r="AV268" s="90"/>
      <c r="AW268" s="90"/>
      <c r="AX268" s="90"/>
      <c r="AY268" s="90"/>
      <c r="AZ268" s="90"/>
      <c r="BA268" s="90"/>
      <c r="BB268" s="90"/>
      <c r="BC268" s="90"/>
      <c r="BD268" s="90"/>
      <c r="BE268" s="90"/>
      <c r="BF268" s="90"/>
      <c r="BG268" s="90"/>
      <c r="BH268" s="90"/>
      <c r="BI268" s="90"/>
    </row>
    <row r="269" ht="12.75" customHeight="1">
      <c r="A269" s="90"/>
      <c r="B269" s="90"/>
      <c r="C269" s="400"/>
      <c r="D269" s="90"/>
      <c r="E269" s="102"/>
      <c r="F269" s="90"/>
      <c r="G269" s="90"/>
      <c r="H269" s="102"/>
      <c r="I269" s="102"/>
      <c r="J269" s="102"/>
      <c r="K269" s="102"/>
      <c r="L269" s="102"/>
      <c r="M269" s="102"/>
      <c r="N269" s="102"/>
      <c r="O269" s="102"/>
      <c r="P269" s="102"/>
      <c r="Q269" s="102"/>
      <c r="R269" s="102"/>
      <c r="S269" s="102"/>
      <c r="T269" s="102"/>
      <c r="U269" s="102"/>
      <c r="V269" s="102"/>
      <c r="W269" s="102"/>
      <c r="X269" s="102"/>
      <c r="Y269" s="102"/>
      <c r="Z269" s="102"/>
      <c r="AA269" s="102"/>
      <c r="AB269" s="102"/>
      <c r="AC269" s="102"/>
      <c r="AD269" s="102"/>
      <c r="AE269" s="102"/>
      <c r="AF269" s="102"/>
      <c r="AG269" s="102"/>
      <c r="AH269" s="102"/>
      <c r="AI269" s="102"/>
      <c r="AJ269" s="102"/>
      <c r="AK269" s="102"/>
      <c r="AL269" s="102"/>
      <c r="AM269" s="102"/>
      <c r="AN269" s="102"/>
      <c r="AO269" s="400"/>
      <c r="AP269" s="90"/>
      <c r="AQ269" s="90"/>
      <c r="AR269" s="90"/>
      <c r="AS269" s="90"/>
      <c r="AT269" s="90"/>
      <c r="AU269" s="90"/>
      <c r="AV269" s="90"/>
      <c r="AW269" s="90"/>
      <c r="AX269" s="90"/>
      <c r="AY269" s="90"/>
      <c r="AZ269" s="90"/>
      <c r="BA269" s="90"/>
      <c r="BB269" s="90"/>
      <c r="BC269" s="90"/>
      <c r="BD269" s="90"/>
      <c r="BE269" s="90"/>
      <c r="BF269" s="90"/>
      <c r="BG269" s="90"/>
      <c r="BH269" s="90"/>
      <c r="BI269" s="90"/>
    </row>
    <row r="270" ht="12.75" customHeight="1">
      <c r="A270" s="90"/>
      <c r="B270" s="90"/>
      <c r="C270" s="400"/>
      <c r="D270" s="90"/>
      <c r="E270" s="102"/>
      <c r="F270" s="90"/>
      <c r="G270" s="90"/>
      <c r="H270" s="102"/>
      <c r="I270" s="102"/>
      <c r="J270" s="102"/>
      <c r="K270" s="102"/>
      <c r="L270" s="102"/>
      <c r="M270" s="102"/>
      <c r="N270" s="102"/>
      <c r="O270" s="102"/>
      <c r="P270" s="102"/>
      <c r="Q270" s="102"/>
      <c r="R270" s="102"/>
      <c r="S270" s="102"/>
      <c r="T270" s="102"/>
      <c r="U270" s="102"/>
      <c r="V270" s="102"/>
      <c r="W270" s="102"/>
      <c r="X270" s="102"/>
      <c r="Y270" s="102"/>
      <c r="Z270" s="102"/>
      <c r="AA270" s="102"/>
      <c r="AB270" s="102"/>
      <c r="AC270" s="102"/>
      <c r="AD270" s="102"/>
      <c r="AE270" s="102"/>
      <c r="AF270" s="102"/>
      <c r="AG270" s="102"/>
      <c r="AH270" s="102"/>
      <c r="AI270" s="102"/>
      <c r="AJ270" s="102"/>
      <c r="AK270" s="102"/>
      <c r="AL270" s="102"/>
      <c r="AM270" s="102"/>
      <c r="AN270" s="102"/>
      <c r="AO270" s="400"/>
      <c r="AP270" s="90"/>
      <c r="AQ270" s="90"/>
      <c r="AR270" s="90"/>
      <c r="AS270" s="90"/>
      <c r="AT270" s="90"/>
      <c r="AU270" s="90"/>
      <c r="AV270" s="90"/>
      <c r="AW270" s="90"/>
      <c r="AX270" s="90"/>
      <c r="AY270" s="90"/>
      <c r="AZ270" s="90"/>
      <c r="BA270" s="90"/>
      <c r="BB270" s="90"/>
      <c r="BC270" s="90"/>
      <c r="BD270" s="90"/>
      <c r="BE270" s="90"/>
      <c r="BF270" s="90"/>
      <c r="BG270" s="90"/>
      <c r="BH270" s="90"/>
      <c r="BI270" s="90"/>
    </row>
    <row r="271" ht="12.75" customHeight="1">
      <c r="A271" s="90"/>
      <c r="B271" s="90"/>
      <c r="C271" s="400"/>
      <c r="D271" s="90"/>
      <c r="E271" s="102"/>
      <c r="F271" s="90"/>
      <c r="G271" s="90"/>
      <c r="H271" s="102"/>
      <c r="I271" s="102"/>
      <c r="J271" s="102"/>
      <c r="K271" s="102"/>
      <c r="L271" s="102"/>
      <c r="M271" s="102"/>
      <c r="N271" s="102"/>
      <c r="O271" s="102"/>
      <c r="P271" s="102"/>
      <c r="Q271" s="102"/>
      <c r="R271" s="102"/>
      <c r="S271" s="102"/>
      <c r="T271" s="102"/>
      <c r="U271" s="102"/>
      <c r="V271" s="102"/>
      <c r="W271" s="102"/>
      <c r="X271" s="102"/>
      <c r="Y271" s="102"/>
      <c r="Z271" s="102"/>
      <c r="AA271" s="102"/>
      <c r="AB271" s="102"/>
      <c r="AC271" s="102"/>
      <c r="AD271" s="102"/>
      <c r="AE271" s="102"/>
      <c r="AF271" s="102"/>
      <c r="AG271" s="102"/>
      <c r="AH271" s="102"/>
      <c r="AI271" s="102"/>
      <c r="AJ271" s="102"/>
      <c r="AK271" s="102"/>
      <c r="AL271" s="102"/>
      <c r="AM271" s="102"/>
      <c r="AN271" s="102"/>
      <c r="AO271" s="400"/>
      <c r="AP271" s="90"/>
      <c r="AQ271" s="90"/>
      <c r="AR271" s="90"/>
      <c r="AS271" s="90"/>
      <c r="AT271" s="90"/>
      <c r="AU271" s="90"/>
      <c r="AV271" s="90"/>
      <c r="AW271" s="90"/>
      <c r="AX271" s="90"/>
      <c r="AY271" s="90"/>
      <c r="AZ271" s="90"/>
      <c r="BA271" s="90"/>
      <c r="BB271" s="90"/>
      <c r="BC271" s="90"/>
      <c r="BD271" s="90"/>
      <c r="BE271" s="90"/>
      <c r="BF271" s="90"/>
      <c r="BG271" s="90"/>
      <c r="BH271" s="90"/>
      <c r="BI271" s="90"/>
    </row>
    <row r="272" ht="12.75" customHeight="1">
      <c r="A272" s="90"/>
      <c r="B272" s="90"/>
      <c r="C272" s="400"/>
      <c r="D272" s="90"/>
      <c r="E272" s="102"/>
      <c r="F272" s="90"/>
      <c r="G272" s="90"/>
      <c r="H272" s="102"/>
      <c r="I272" s="102"/>
      <c r="J272" s="102"/>
      <c r="K272" s="102"/>
      <c r="L272" s="102"/>
      <c r="M272" s="102"/>
      <c r="N272" s="102"/>
      <c r="O272" s="102"/>
      <c r="P272" s="102"/>
      <c r="Q272" s="102"/>
      <c r="R272" s="102"/>
      <c r="S272" s="102"/>
      <c r="T272" s="102"/>
      <c r="U272" s="102"/>
      <c r="V272" s="102"/>
      <c r="W272" s="102"/>
      <c r="X272" s="102"/>
      <c r="Y272" s="102"/>
      <c r="Z272" s="102"/>
      <c r="AA272" s="102"/>
      <c r="AB272" s="102"/>
      <c r="AC272" s="102"/>
      <c r="AD272" s="102"/>
      <c r="AE272" s="102"/>
      <c r="AF272" s="102"/>
      <c r="AG272" s="102"/>
      <c r="AH272" s="102"/>
      <c r="AI272" s="102"/>
      <c r="AJ272" s="102"/>
      <c r="AK272" s="102"/>
      <c r="AL272" s="102"/>
      <c r="AM272" s="102"/>
      <c r="AN272" s="102"/>
      <c r="AO272" s="400"/>
      <c r="AP272" s="90"/>
      <c r="AQ272" s="90"/>
      <c r="AR272" s="90"/>
      <c r="AS272" s="90"/>
      <c r="AT272" s="90"/>
      <c r="AU272" s="90"/>
      <c r="AV272" s="90"/>
      <c r="AW272" s="90"/>
      <c r="AX272" s="90"/>
      <c r="AY272" s="90"/>
      <c r="AZ272" s="90"/>
      <c r="BA272" s="90"/>
      <c r="BB272" s="90"/>
      <c r="BC272" s="90"/>
      <c r="BD272" s="90"/>
      <c r="BE272" s="90"/>
      <c r="BF272" s="90"/>
      <c r="BG272" s="90"/>
      <c r="BH272" s="90"/>
      <c r="BI272" s="90"/>
    </row>
    <row r="273" ht="12.75" customHeight="1">
      <c r="A273" s="90"/>
      <c r="B273" s="90"/>
      <c r="C273" s="400"/>
      <c r="D273" s="90"/>
      <c r="E273" s="102"/>
      <c r="F273" s="90"/>
      <c r="G273" s="90"/>
      <c r="H273" s="102"/>
      <c r="I273" s="102"/>
      <c r="J273" s="102"/>
      <c r="K273" s="102"/>
      <c r="L273" s="102"/>
      <c r="M273" s="102"/>
      <c r="N273" s="102"/>
      <c r="O273" s="102"/>
      <c r="P273" s="102"/>
      <c r="Q273" s="102"/>
      <c r="R273" s="102"/>
      <c r="S273" s="102"/>
      <c r="T273" s="102"/>
      <c r="U273" s="102"/>
      <c r="V273" s="102"/>
      <c r="W273" s="102"/>
      <c r="X273" s="102"/>
      <c r="Y273" s="102"/>
      <c r="Z273" s="102"/>
      <c r="AA273" s="102"/>
      <c r="AB273" s="102"/>
      <c r="AC273" s="102"/>
      <c r="AD273" s="102"/>
      <c r="AE273" s="102"/>
      <c r="AF273" s="102"/>
      <c r="AG273" s="102"/>
      <c r="AH273" s="102"/>
      <c r="AI273" s="102"/>
      <c r="AJ273" s="102"/>
      <c r="AK273" s="102"/>
      <c r="AL273" s="102"/>
      <c r="AM273" s="102"/>
      <c r="AN273" s="102"/>
      <c r="AO273" s="400"/>
      <c r="AP273" s="90"/>
      <c r="AQ273" s="90"/>
      <c r="AR273" s="90"/>
      <c r="AS273" s="90"/>
      <c r="AT273" s="90"/>
      <c r="AU273" s="90"/>
      <c r="AV273" s="90"/>
      <c r="AW273" s="90"/>
      <c r="AX273" s="90"/>
      <c r="AY273" s="90"/>
      <c r="AZ273" s="90"/>
      <c r="BA273" s="90"/>
      <c r="BB273" s="90"/>
      <c r="BC273" s="90"/>
      <c r="BD273" s="90"/>
      <c r="BE273" s="90"/>
      <c r="BF273" s="90"/>
      <c r="BG273" s="90"/>
      <c r="BH273" s="90"/>
      <c r="BI273" s="90"/>
    </row>
    <row r="274" ht="12.75" customHeight="1">
      <c r="A274" s="90"/>
      <c r="B274" s="90"/>
      <c r="C274" s="400"/>
      <c r="D274" s="90"/>
      <c r="E274" s="102"/>
      <c r="F274" s="90"/>
      <c r="G274" s="90"/>
      <c r="H274" s="102"/>
      <c r="I274" s="102"/>
      <c r="J274" s="102"/>
      <c r="K274" s="102"/>
      <c r="L274" s="102"/>
      <c r="M274" s="102"/>
      <c r="N274" s="102"/>
      <c r="O274" s="102"/>
      <c r="P274" s="102"/>
      <c r="Q274" s="102"/>
      <c r="R274" s="102"/>
      <c r="S274" s="102"/>
      <c r="T274" s="102"/>
      <c r="U274" s="102"/>
      <c r="V274" s="102"/>
      <c r="W274" s="102"/>
      <c r="X274" s="102"/>
      <c r="Y274" s="102"/>
      <c r="Z274" s="102"/>
      <c r="AA274" s="102"/>
      <c r="AB274" s="102"/>
      <c r="AC274" s="102"/>
      <c r="AD274" s="102"/>
      <c r="AE274" s="102"/>
      <c r="AF274" s="102"/>
      <c r="AG274" s="102"/>
      <c r="AH274" s="102"/>
      <c r="AI274" s="102"/>
      <c r="AJ274" s="102"/>
      <c r="AK274" s="102"/>
      <c r="AL274" s="102"/>
      <c r="AM274" s="102"/>
      <c r="AN274" s="102"/>
      <c r="AO274" s="400"/>
      <c r="AP274" s="90"/>
      <c r="AQ274" s="90"/>
      <c r="AR274" s="90"/>
      <c r="AS274" s="90"/>
      <c r="AT274" s="90"/>
      <c r="AU274" s="90"/>
      <c r="AV274" s="90"/>
      <c r="AW274" s="90"/>
      <c r="AX274" s="90"/>
      <c r="AY274" s="90"/>
      <c r="AZ274" s="90"/>
      <c r="BA274" s="90"/>
      <c r="BB274" s="90"/>
      <c r="BC274" s="90"/>
      <c r="BD274" s="90"/>
      <c r="BE274" s="90"/>
      <c r="BF274" s="90"/>
      <c r="BG274" s="90"/>
      <c r="BH274" s="90"/>
      <c r="BI274" s="90"/>
    </row>
    <row r="275" ht="12.75" customHeight="1">
      <c r="A275" s="90"/>
      <c r="B275" s="90"/>
      <c r="C275" s="400"/>
      <c r="D275" s="90"/>
      <c r="E275" s="102"/>
      <c r="F275" s="90"/>
      <c r="G275" s="90"/>
      <c r="H275" s="102"/>
      <c r="I275" s="102"/>
      <c r="J275" s="102"/>
      <c r="K275" s="102"/>
      <c r="L275" s="102"/>
      <c r="M275" s="102"/>
      <c r="N275" s="102"/>
      <c r="O275" s="102"/>
      <c r="P275" s="102"/>
      <c r="Q275" s="102"/>
      <c r="R275" s="102"/>
      <c r="S275" s="102"/>
      <c r="T275" s="102"/>
      <c r="U275" s="102"/>
      <c r="V275" s="102"/>
      <c r="W275" s="102"/>
      <c r="X275" s="102"/>
      <c r="Y275" s="102"/>
      <c r="Z275" s="102"/>
      <c r="AA275" s="102"/>
      <c r="AB275" s="102"/>
      <c r="AC275" s="102"/>
      <c r="AD275" s="102"/>
      <c r="AE275" s="102"/>
      <c r="AF275" s="102"/>
      <c r="AG275" s="102"/>
      <c r="AH275" s="102"/>
      <c r="AI275" s="102"/>
      <c r="AJ275" s="102"/>
      <c r="AK275" s="102"/>
      <c r="AL275" s="102"/>
      <c r="AM275" s="102"/>
      <c r="AN275" s="102"/>
      <c r="AO275" s="400"/>
      <c r="AP275" s="90"/>
      <c r="AQ275" s="90"/>
      <c r="AR275" s="90"/>
      <c r="AS275" s="90"/>
      <c r="AT275" s="90"/>
      <c r="AU275" s="90"/>
      <c r="AV275" s="90"/>
      <c r="AW275" s="90"/>
      <c r="AX275" s="90"/>
      <c r="AY275" s="90"/>
      <c r="AZ275" s="90"/>
      <c r="BA275" s="90"/>
      <c r="BB275" s="90"/>
      <c r="BC275" s="90"/>
      <c r="BD275" s="90"/>
      <c r="BE275" s="90"/>
      <c r="BF275" s="90"/>
      <c r="BG275" s="90"/>
      <c r="BH275" s="90"/>
      <c r="BI275" s="90"/>
    </row>
    <row r="276" ht="12.75" customHeight="1">
      <c r="A276" s="90"/>
      <c r="B276" s="90"/>
      <c r="C276" s="400"/>
      <c r="D276" s="90"/>
      <c r="E276" s="102"/>
      <c r="F276" s="90"/>
      <c r="G276" s="90"/>
      <c r="H276" s="102"/>
      <c r="I276" s="102"/>
      <c r="J276" s="102"/>
      <c r="K276" s="102"/>
      <c r="L276" s="102"/>
      <c r="M276" s="102"/>
      <c r="N276" s="102"/>
      <c r="O276" s="102"/>
      <c r="P276" s="102"/>
      <c r="Q276" s="102"/>
      <c r="R276" s="102"/>
      <c r="S276" s="102"/>
      <c r="T276" s="102"/>
      <c r="U276" s="102"/>
      <c r="V276" s="102"/>
      <c r="W276" s="102"/>
      <c r="X276" s="102"/>
      <c r="Y276" s="102"/>
      <c r="Z276" s="102"/>
      <c r="AA276" s="102"/>
      <c r="AB276" s="102"/>
      <c r="AC276" s="102"/>
      <c r="AD276" s="102"/>
      <c r="AE276" s="102"/>
      <c r="AF276" s="102"/>
      <c r="AG276" s="102"/>
      <c r="AH276" s="102"/>
      <c r="AI276" s="102"/>
      <c r="AJ276" s="102"/>
      <c r="AK276" s="102"/>
      <c r="AL276" s="102"/>
      <c r="AM276" s="102"/>
      <c r="AN276" s="102"/>
      <c r="AO276" s="400"/>
      <c r="AP276" s="90"/>
      <c r="AQ276" s="90"/>
      <c r="AR276" s="90"/>
      <c r="AS276" s="90"/>
      <c r="AT276" s="90"/>
      <c r="AU276" s="90"/>
      <c r="AV276" s="90"/>
      <c r="AW276" s="90"/>
      <c r="AX276" s="90"/>
      <c r="AY276" s="90"/>
      <c r="AZ276" s="90"/>
      <c r="BA276" s="90"/>
      <c r="BB276" s="90"/>
      <c r="BC276" s="90"/>
      <c r="BD276" s="90"/>
      <c r="BE276" s="90"/>
      <c r="BF276" s="90"/>
      <c r="BG276" s="90"/>
      <c r="BH276" s="90"/>
      <c r="BI276" s="90"/>
    </row>
    <row r="277" ht="12.75" customHeight="1">
      <c r="A277" s="90"/>
      <c r="B277" s="90"/>
      <c r="C277" s="400"/>
      <c r="D277" s="90"/>
      <c r="E277" s="102"/>
      <c r="F277" s="90"/>
      <c r="G277" s="90"/>
      <c r="H277" s="102"/>
      <c r="I277" s="102"/>
      <c r="J277" s="102"/>
      <c r="K277" s="102"/>
      <c r="L277" s="102"/>
      <c r="M277" s="102"/>
      <c r="N277" s="102"/>
      <c r="O277" s="102"/>
      <c r="P277" s="102"/>
      <c r="Q277" s="102"/>
      <c r="R277" s="102"/>
      <c r="S277" s="102"/>
      <c r="T277" s="102"/>
      <c r="U277" s="102"/>
      <c r="V277" s="102"/>
      <c r="W277" s="102"/>
      <c r="X277" s="102"/>
      <c r="Y277" s="102"/>
      <c r="Z277" s="102"/>
      <c r="AA277" s="102"/>
      <c r="AB277" s="102"/>
      <c r="AC277" s="102"/>
      <c r="AD277" s="102"/>
      <c r="AE277" s="102"/>
      <c r="AF277" s="102"/>
      <c r="AG277" s="102"/>
      <c r="AH277" s="102"/>
      <c r="AI277" s="102"/>
      <c r="AJ277" s="102"/>
      <c r="AK277" s="102"/>
      <c r="AL277" s="102"/>
      <c r="AM277" s="102"/>
      <c r="AN277" s="102"/>
      <c r="AO277" s="400"/>
      <c r="AP277" s="90"/>
      <c r="AQ277" s="90"/>
      <c r="AR277" s="90"/>
      <c r="AS277" s="90"/>
      <c r="AT277" s="90"/>
      <c r="AU277" s="90"/>
      <c r="AV277" s="90"/>
      <c r="AW277" s="90"/>
      <c r="AX277" s="90"/>
      <c r="AY277" s="90"/>
      <c r="AZ277" s="90"/>
      <c r="BA277" s="90"/>
      <c r="BB277" s="90"/>
      <c r="BC277" s="90"/>
      <c r="BD277" s="90"/>
      <c r="BE277" s="90"/>
      <c r="BF277" s="90"/>
      <c r="BG277" s="90"/>
      <c r="BH277" s="90"/>
      <c r="BI277" s="90"/>
    </row>
    <row r="278" ht="12.75" customHeight="1">
      <c r="A278" s="90"/>
      <c r="B278" s="90"/>
      <c r="C278" s="400"/>
      <c r="D278" s="90"/>
      <c r="E278" s="102"/>
      <c r="F278" s="90"/>
      <c r="G278" s="90"/>
      <c r="H278" s="102"/>
      <c r="I278" s="102"/>
      <c r="J278" s="102"/>
      <c r="K278" s="102"/>
      <c r="L278" s="102"/>
      <c r="M278" s="102"/>
      <c r="N278" s="102"/>
      <c r="O278" s="102"/>
      <c r="P278" s="102"/>
      <c r="Q278" s="102"/>
      <c r="R278" s="102"/>
      <c r="S278" s="102"/>
      <c r="T278" s="102"/>
      <c r="U278" s="102"/>
      <c r="V278" s="102"/>
      <c r="W278" s="102"/>
      <c r="X278" s="102"/>
      <c r="Y278" s="102"/>
      <c r="Z278" s="102"/>
      <c r="AA278" s="102"/>
      <c r="AB278" s="102"/>
      <c r="AC278" s="102"/>
      <c r="AD278" s="102"/>
      <c r="AE278" s="102"/>
      <c r="AF278" s="102"/>
      <c r="AG278" s="102"/>
      <c r="AH278" s="102"/>
      <c r="AI278" s="102"/>
      <c r="AJ278" s="102"/>
      <c r="AK278" s="102"/>
      <c r="AL278" s="102"/>
      <c r="AM278" s="102"/>
      <c r="AN278" s="102"/>
      <c r="AO278" s="400"/>
      <c r="AP278" s="90"/>
      <c r="AQ278" s="90"/>
      <c r="AR278" s="90"/>
      <c r="AS278" s="90"/>
      <c r="AT278" s="90"/>
      <c r="AU278" s="90"/>
      <c r="AV278" s="90"/>
      <c r="AW278" s="90"/>
      <c r="AX278" s="90"/>
      <c r="AY278" s="90"/>
      <c r="AZ278" s="90"/>
      <c r="BA278" s="90"/>
      <c r="BB278" s="90"/>
      <c r="BC278" s="90"/>
      <c r="BD278" s="90"/>
      <c r="BE278" s="90"/>
      <c r="BF278" s="90"/>
      <c r="BG278" s="90"/>
      <c r="BH278" s="90"/>
      <c r="BI278" s="90"/>
    </row>
    <row r="279" ht="12.75" customHeight="1">
      <c r="A279" s="90"/>
      <c r="B279" s="90"/>
      <c r="C279" s="400"/>
      <c r="D279" s="90"/>
      <c r="E279" s="102"/>
      <c r="F279" s="90"/>
      <c r="G279" s="90"/>
      <c r="H279" s="102"/>
      <c r="I279" s="102"/>
      <c r="J279" s="102"/>
      <c r="K279" s="102"/>
      <c r="L279" s="102"/>
      <c r="M279" s="102"/>
      <c r="N279" s="102"/>
      <c r="O279" s="102"/>
      <c r="P279" s="102"/>
      <c r="Q279" s="102"/>
      <c r="R279" s="102"/>
      <c r="S279" s="102"/>
      <c r="T279" s="102"/>
      <c r="U279" s="102"/>
      <c r="V279" s="102"/>
      <c r="W279" s="102"/>
      <c r="X279" s="102"/>
      <c r="Y279" s="102"/>
      <c r="Z279" s="102"/>
      <c r="AA279" s="102"/>
      <c r="AB279" s="102"/>
      <c r="AC279" s="102"/>
      <c r="AD279" s="102"/>
      <c r="AE279" s="102"/>
      <c r="AF279" s="102"/>
      <c r="AG279" s="102"/>
      <c r="AH279" s="102"/>
      <c r="AI279" s="102"/>
      <c r="AJ279" s="102"/>
      <c r="AK279" s="102"/>
      <c r="AL279" s="102"/>
      <c r="AM279" s="102"/>
      <c r="AN279" s="102"/>
      <c r="AO279" s="400"/>
      <c r="AP279" s="90"/>
      <c r="AQ279" s="90"/>
      <c r="AR279" s="90"/>
      <c r="AS279" s="90"/>
      <c r="AT279" s="90"/>
      <c r="AU279" s="90"/>
      <c r="AV279" s="90"/>
      <c r="AW279" s="90"/>
      <c r="AX279" s="90"/>
      <c r="AY279" s="90"/>
      <c r="AZ279" s="90"/>
      <c r="BA279" s="90"/>
      <c r="BB279" s="90"/>
      <c r="BC279" s="90"/>
      <c r="BD279" s="90"/>
      <c r="BE279" s="90"/>
      <c r="BF279" s="90"/>
      <c r="BG279" s="90"/>
      <c r="BH279" s="90"/>
      <c r="BI279" s="90"/>
    </row>
    <row r="280" ht="12.75" customHeight="1">
      <c r="A280" s="90"/>
      <c r="B280" s="90"/>
      <c r="C280" s="400"/>
      <c r="D280" s="90"/>
      <c r="E280" s="102"/>
      <c r="F280" s="90"/>
      <c r="G280" s="90"/>
      <c r="H280" s="102"/>
      <c r="I280" s="102"/>
      <c r="J280" s="102"/>
      <c r="K280" s="102"/>
      <c r="L280" s="102"/>
      <c r="M280" s="102"/>
      <c r="N280" s="102"/>
      <c r="O280" s="102"/>
      <c r="P280" s="102"/>
      <c r="Q280" s="102"/>
      <c r="R280" s="102"/>
      <c r="S280" s="102"/>
      <c r="T280" s="102"/>
      <c r="U280" s="102"/>
      <c r="V280" s="102"/>
      <c r="W280" s="102"/>
      <c r="X280" s="102"/>
      <c r="Y280" s="102"/>
      <c r="Z280" s="102"/>
      <c r="AA280" s="102"/>
      <c r="AB280" s="102"/>
      <c r="AC280" s="102"/>
      <c r="AD280" s="102"/>
      <c r="AE280" s="102"/>
      <c r="AF280" s="102"/>
      <c r="AG280" s="102"/>
      <c r="AH280" s="102"/>
      <c r="AI280" s="102"/>
      <c r="AJ280" s="102"/>
      <c r="AK280" s="102"/>
      <c r="AL280" s="102"/>
      <c r="AM280" s="102"/>
      <c r="AN280" s="102"/>
      <c r="AO280" s="400"/>
      <c r="AP280" s="90"/>
      <c r="AQ280" s="90"/>
      <c r="AR280" s="90"/>
      <c r="AS280" s="90"/>
      <c r="AT280" s="90"/>
      <c r="AU280" s="90"/>
      <c r="AV280" s="90"/>
      <c r="AW280" s="90"/>
      <c r="AX280" s="90"/>
      <c r="AY280" s="90"/>
      <c r="AZ280" s="90"/>
      <c r="BA280" s="90"/>
      <c r="BB280" s="90"/>
      <c r="BC280" s="90"/>
      <c r="BD280" s="90"/>
      <c r="BE280" s="90"/>
      <c r="BF280" s="90"/>
      <c r="BG280" s="90"/>
      <c r="BH280" s="90"/>
      <c r="BI280" s="90"/>
    </row>
    <row r="281" ht="12.75" customHeight="1">
      <c r="A281" s="90"/>
      <c r="B281" s="90"/>
      <c r="C281" s="400"/>
      <c r="D281" s="90"/>
      <c r="E281" s="102"/>
      <c r="F281" s="90"/>
      <c r="G281" s="90"/>
      <c r="H281" s="102"/>
      <c r="I281" s="102"/>
      <c r="J281" s="102"/>
      <c r="K281" s="102"/>
      <c r="L281" s="102"/>
      <c r="M281" s="102"/>
      <c r="N281" s="102"/>
      <c r="O281" s="102"/>
      <c r="P281" s="102"/>
      <c r="Q281" s="102"/>
      <c r="R281" s="102"/>
      <c r="S281" s="102"/>
      <c r="T281" s="102"/>
      <c r="U281" s="102"/>
      <c r="V281" s="102"/>
      <c r="W281" s="102"/>
      <c r="X281" s="102"/>
      <c r="Y281" s="102"/>
      <c r="Z281" s="102"/>
      <c r="AA281" s="102"/>
      <c r="AB281" s="102"/>
      <c r="AC281" s="102"/>
      <c r="AD281" s="102"/>
      <c r="AE281" s="102"/>
      <c r="AF281" s="102"/>
      <c r="AG281" s="102"/>
      <c r="AH281" s="102"/>
      <c r="AI281" s="102"/>
      <c r="AJ281" s="102"/>
      <c r="AK281" s="102"/>
      <c r="AL281" s="102"/>
      <c r="AM281" s="102"/>
      <c r="AN281" s="102"/>
      <c r="AO281" s="400"/>
      <c r="AP281" s="90"/>
      <c r="AQ281" s="90"/>
      <c r="AR281" s="90"/>
      <c r="AS281" s="90"/>
      <c r="AT281" s="90"/>
      <c r="AU281" s="90"/>
      <c r="AV281" s="90"/>
      <c r="AW281" s="90"/>
      <c r="AX281" s="90"/>
      <c r="AY281" s="90"/>
      <c r="AZ281" s="90"/>
      <c r="BA281" s="90"/>
      <c r="BB281" s="90"/>
      <c r="BC281" s="90"/>
      <c r="BD281" s="90"/>
      <c r="BE281" s="90"/>
      <c r="BF281" s="90"/>
      <c r="BG281" s="90"/>
      <c r="BH281" s="90"/>
      <c r="BI281" s="90"/>
    </row>
    <row r="282" ht="12.75" customHeight="1">
      <c r="A282" s="90"/>
      <c r="B282" s="90"/>
      <c r="C282" s="400"/>
      <c r="D282" s="90"/>
      <c r="E282" s="102"/>
      <c r="F282" s="90"/>
      <c r="G282" s="90"/>
      <c r="H282" s="102"/>
      <c r="I282" s="102"/>
      <c r="J282" s="102"/>
      <c r="K282" s="102"/>
      <c r="L282" s="102"/>
      <c r="M282" s="102"/>
      <c r="N282" s="102"/>
      <c r="O282" s="102"/>
      <c r="P282" s="102"/>
      <c r="Q282" s="102"/>
      <c r="R282" s="102"/>
      <c r="S282" s="102"/>
      <c r="T282" s="102"/>
      <c r="U282" s="102"/>
      <c r="V282" s="102"/>
      <c r="W282" s="102"/>
      <c r="X282" s="102"/>
      <c r="Y282" s="102"/>
      <c r="Z282" s="102"/>
      <c r="AA282" s="102"/>
      <c r="AB282" s="102"/>
      <c r="AC282" s="102"/>
      <c r="AD282" s="102"/>
      <c r="AE282" s="102"/>
      <c r="AF282" s="102"/>
      <c r="AG282" s="102"/>
      <c r="AH282" s="102"/>
      <c r="AI282" s="102"/>
      <c r="AJ282" s="102"/>
      <c r="AK282" s="102"/>
      <c r="AL282" s="102"/>
      <c r="AM282" s="102"/>
      <c r="AN282" s="102"/>
      <c r="AO282" s="400"/>
      <c r="AP282" s="90"/>
      <c r="AQ282" s="90"/>
      <c r="AR282" s="90"/>
      <c r="AS282" s="90"/>
      <c r="AT282" s="90"/>
      <c r="AU282" s="90"/>
      <c r="AV282" s="90"/>
      <c r="AW282" s="90"/>
      <c r="AX282" s="90"/>
      <c r="AY282" s="90"/>
      <c r="AZ282" s="90"/>
      <c r="BA282" s="90"/>
      <c r="BB282" s="90"/>
      <c r="BC282" s="90"/>
      <c r="BD282" s="90"/>
      <c r="BE282" s="90"/>
      <c r="BF282" s="90"/>
      <c r="BG282" s="90"/>
      <c r="BH282" s="90"/>
      <c r="BI282" s="90"/>
    </row>
    <row r="283" ht="12.75" customHeight="1">
      <c r="A283" s="90"/>
      <c r="B283" s="90"/>
      <c r="C283" s="400"/>
      <c r="D283" s="90"/>
      <c r="E283" s="102"/>
      <c r="F283" s="90"/>
      <c r="G283" s="90"/>
      <c r="H283" s="102"/>
      <c r="I283" s="102"/>
      <c r="J283" s="102"/>
      <c r="K283" s="102"/>
      <c r="L283" s="102"/>
      <c r="M283" s="102"/>
      <c r="N283" s="102"/>
      <c r="O283" s="102"/>
      <c r="P283" s="102"/>
      <c r="Q283" s="102"/>
      <c r="R283" s="102"/>
      <c r="S283" s="102"/>
      <c r="T283" s="102"/>
      <c r="U283" s="102"/>
      <c r="V283" s="102"/>
      <c r="W283" s="102"/>
      <c r="X283" s="102"/>
      <c r="Y283" s="102"/>
      <c r="Z283" s="102"/>
      <c r="AA283" s="102"/>
      <c r="AB283" s="102"/>
      <c r="AC283" s="102"/>
      <c r="AD283" s="102"/>
      <c r="AE283" s="102"/>
      <c r="AF283" s="102"/>
      <c r="AG283" s="102"/>
      <c r="AH283" s="102"/>
      <c r="AI283" s="102"/>
      <c r="AJ283" s="102"/>
      <c r="AK283" s="102"/>
      <c r="AL283" s="102"/>
      <c r="AM283" s="102"/>
      <c r="AN283" s="102"/>
      <c r="AO283" s="400"/>
      <c r="AP283" s="90"/>
      <c r="AQ283" s="90"/>
      <c r="AR283" s="90"/>
      <c r="AS283" s="90"/>
      <c r="AT283" s="90"/>
      <c r="AU283" s="90"/>
      <c r="AV283" s="90"/>
      <c r="AW283" s="90"/>
      <c r="AX283" s="90"/>
      <c r="AY283" s="90"/>
      <c r="AZ283" s="90"/>
      <c r="BA283" s="90"/>
      <c r="BB283" s="90"/>
      <c r="BC283" s="90"/>
      <c r="BD283" s="90"/>
      <c r="BE283" s="90"/>
      <c r="BF283" s="90"/>
      <c r="BG283" s="90"/>
      <c r="BH283" s="90"/>
      <c r="BI283" s="90"/>
    </row>
    <row r="284" ht="12.75" customHeight="1">
      <c r="A284" s="90"/>
      <c r="B284" s="90"/>
      <c r="C284" s="400"/>
      <c r="D284" s="90"/>
      <c r="E284" s="102"/>
      <c r="F284" s="90"/>
      <c r="G284" s="90"/>
      <c r="H284" s="102"/>
      <c r="I284" s="102"/>
      <c r="J284" s="102"/>
      <c r="K284" s="102"/>
      <c r="L284" s="102"/>
      <c r="M284" s="102"/>
      <c r="N284" s="102"/>
      <c r="O284" s="102"/>
      <c r="P284" s="102"/>
      <c r="Q284" s="102"/>
      <c r="R284" s="102"/>
      <c r="S284" s="102"/>
      <c r="T284" s="102"/>
      <c r="U284" s="102"/>
      <c r="V284" s="102"/>
      <c r="W284" s="102"/>
      <c r="X284" s="102"/>
      <c r="Y284" s="102"/>
      <c r="Z284" s="102"/>
      <c r="AA284" s="102"/>
      <c r="AB284" s="102"/>
      <c r="AC284" s="102"/>
      <c r="AD284" s="102"/>
      <c r="AE284" s="102"/>
      <c r="AF284" s="102"/>
      <c r="AG284" s="102"/>
      <c r="AH284" s="102"/>
      <c r="AI284" s="102"/>
      <c r="AJ284" s="102"/>
      <c r="AK284" s="102"/>
      <c r="AL284" s="102"/>
      <c r="AM284" s="102"/>
      <c r="AN284" s="102"/>
      <c r="AO284" s="400"/>
      <c r="AP284" s="90"/>
      <c r="AQ284" s="90"/>
      <c r="AR284" s="90"/>
      <c r="AS284" s="90"/>
      <c r="AT284" s="90"/>
      <c r="AU284" s="90"/>
      <c r="AV284" s="90"/>
      <c r="AW284" s="90"/>
      <c r="AX284" s="90"/>
      <c r="AY284" s="90"/>
      <c r="AZ284" s="90"/>
      <c r="BA284" s="90"/>
      <c r="BB284" s="90"/>
      <c r="BC284" s="90"/>
      <c r="BD284" s="90"/>
      <c r="BE284" s="90"/>
      <c r="BF284" s="90"/>
      <c r="BG284" s="90"/>
      <c r="BH284" s="90"/>
      <c r="BI284" s="90"/>
    </row>
    <row r="285" ht="12.75" customHeight="1">
      <c r="A285" s="90"/>
      <c r="B285" s="90"/>
      <c r="C285" s="400"/>
      <c r="D285" s="90"/>
      <c r="E285" s="102"/>
      <c r="F285" s="90"/>
      <c r="G285" s="90"/>
      <c r="H285" s="102"/>
      <c r="I285" s="102"/>
      <c r="J285" s="102"/>
      <c r="K285" s="102"/>
      <c r="L285" s="102"/>
      <c r="M285" s="102"/>
      <c r="N285" s="102"/>
      <c r="O285" s="102"/>
      <c r="P285" s="102"/>
      <c r="Q285" s="93"/>
      <c r="R285" s="93"/>
      <c r="S285" s="93"/>
      <c r="T285" s="93"/>
      <c r="U285" s="93"/>
      <c r="V285" s="93"/>
      <c r="W285" s="93"/>
      <c r="X285" s="93"/>
      <c r="Y285" s="93"/>
      <c r="Z285" s="93"/>
      <c r="AA285" s="93"/>
      <c r="AB285" s="93"/>
      <c r="AC285" s="93"/>
      <c r="AD285" s="93"/>
      <c r="AE285" s="93"/>
      <c r="AF285" s="93"/>
      <c r="AG285" s="93"/>
      <c r="AH285" s="93"/>
      <c r="AI285" s="93"/>
      <c r="AJ285" s="93"/>
      <c r="AK285" s="93"/>
      <c r="AL285" s="93"/>
      <c r="AM285" s="93"/>
      <c r="AN285" s="93"/>
      <c r="AO285" s="452"/>
      <c r="AP285" s="93"/>
      <c r="AQ285" s="93"/>
      <c r="AR285" s="93"/>
      <c r="AS285" s="93"/>
      <c r="AT285" s="93"/>
      <c r="AU285" s="93"/>
      <c r="AV285" s="93"/>
      <c r="AW285" s="93"/>
      <c r="AX285" s="93"/>
      <c r="AY285" s="93"/>
      <c r="AZ285" s="93"/>
      <c r="BA285" s="90"/>
      <c r="BB285" s="90"/>
      <c r="BC285" s="90"/>
      <c r="BD285" s="90"/>
      <c r="BE285" s="90"/>
      <c r="BF285" s="90"/>
      <c r="BG285" s="90"/>
      <c r="BH285" s="90"/>
      <c r="BI285" s="90"/>
    </row>
    <row r="286" ht="12.75" customHeight="1">
      <c r="A286" s="90"/>
      <c r="B286" s="90"/>
      <c r="C286" s="400"/>
      <c r="D286" s="90"/>
      <c r="E286" s="102"/>
      <c r="F286" s="90"/>
      <c r="G286" s="90"/>
      <c r="H286" s="102"/>
      <c r="I286" s="102"/>
      <c r="J286" s="102"/>
      <c r="K286" s="102"/>
      <c r="L286" s="102"/>
      <c r="M286" s="102"/>
      <c r="N286" s="102"/>
      <c r="O286" s="102"/>
      <c r="P286" s="102"/>
      <c r="Q286" s="93"/>
      <c r="R286" s="93"/>
      <c r="S286" s="93"/>
      <c r="T286" s="93"/>
      <c r="U286" s="93"/>
      <c r="V286" s="93"/>
      <c r="W286" s="93"/>
      <c r="X286" s="93"/>
      <c r="Y286" s="93"/>
      <c r="Z286" s="93"/>
      <c r="AA286" s="93"/>
      <c r="AB286" s="93"/>
      <c r="AC286" s="93"/>
      <c r="AD286" s="93"/>
      <c r="AE286" s="93"/>
      <c r="AF286" s="93"/>
      <c r="AG286" s="93"/>
      <c r="AH286" s="93"/>
      <c r="AI286" s="93"/>
      <c r="AJ286" s="93"/>
      <c r="AK286" s="93"/>
      <c r="AL286" s="93"/>
      <c r="AM286" s="93"/>
      <c r="AN286" s="93"/>
      <c r="AO286" s="452"/>
      <c r="AP286" s="93"/>
      <c r="AQ286" s="93"/>
      <c r="AR286" s="93"/>
      <c r="AS286" s="93"/>
      <c r="AT286" s="93"/>
      <c r="AU286" s="93"/>
      <c r="AV286" s="93"/>
      <c r="AW286" s="93"/>
      <c r="AX286" s="93"/>
      <c r="AY286" s="93"/>
      <c r="AZ286" s="93"/>
      <c r="BA286" s="90"/>
      <c r="BB286" s="90"/>
      <c r="BC286" s="90"/>
      <c r="BD286" s="90"/>
      <c r="BE286" s="90"/>
      <c r="BF286" s="90"/>
      <c r="BG286" s="90"/>
      <c r="BH286" s="90"/>
      <c r="BI286" s="90"/>
    </row>
    <row r="287" ht="12.75" customHeight="1">
      <c r="A287" s="90"/>
      <c r="B287" s="90"/>
      <c r="C287" s="400"/>
      <c r="D287" s="90"/>
      <c r="E287" s="102"/>
      <c r="F287" s="90"/>
      <c r="G287" s="90"/>
      <c r="H287" s="102"/>
      <c r="I287" s="102"/>
      <c r="J287" s="102"/>
      <c r="K287" s="102"/>
      <c r="L287" s="102"/>
      <c r="M287" s="102"/>
      <c r="N287" s="102"/>
      <c r="O287" s="102"/>
      <c r="P287" s="102"/>
      <c r="Q287" s="93"/>
      <c r="R287" s="93"/>
      <c r="S287" s="93"/>
      <c r="T287" s="93"/>
      <c r="U287" s="93"/>
      <c r="V287" s="93"/>
      <c r="W287" s="93"/>
      <c r="X287" s="93"/>
      <c r="Y287" s="93"/>
      <c r="Z287" s="93"/>
      <c r="AA287" s="93"/>
      <c r="AB287" s="93"/>
      <c r="AC287" s="93"/>
      <c r="AD287" s="93"/>
      <c r="AE287" s="93"/>
      <c r="AF287" s="93"/>
      <c r="AG287" s="93"/>
      <c r="AH287" s="93"/>
      <c r="AI287" s="93"/>
      <c r="AJ287" s="93"/>
      <c r="AK287" s="93"/>
      <c r="AL287" s="93"/>
      <c r="AM287" s="93"/>
      <c r="AN287" s="93"/>
      <c r="AO287" s="452"/>
      <c r="AP287" s="93"/>
      <c r="AQ287" s="93"/>
      <c r="AR287" s="93"/>
      <c r="AS287" s="93"/>
      <c r="AT287" s="93"/>
      <c r="AU287" s="93"/>
      <c r="AV287" s="93"/>
      <c r="AW287" s="93"/>
      <c r="AX287" s="93"/>
      <c r="AY287" s="93"/>
      <c r="AZ287" s="93"/>
      <c r="BA287" s="90"/>
      <c r="BB287" s="90"/>
      <c r="BC287" s="90"/>
      <c r="BD287" s="90"/>
      <c r="BE287" s="90"/>
      <c r="BF287" s="90"/>
      <c r="BG287" s="90"/>
      <c r="BH287" s="90"/>
      <c r="BI287" s="90"/>
    </row>
    <row r="288" ht="12.75" customHeight="1">
      <c r="A288" s="90"/>
      <c r="B288" s="90"/>
      <c r="C288" s="400"/>
      <c r="D288" s="90"/>
      <c r="E288" s="102"/>
      <c r="F288" s="90"/>
      <c r="G288" s="90"/>
      <c r="H288" s="102"/>
      <c r="I288" s="102"/>
      <c r="J288" s="102"/>
      <c r="K288" s="102"/>
      <c r="L288" s="102"/>
      <c r="M288" s="102"/>
      <c r="N288" s="102"/>
      <c r="O288" s="102"/>
      <c r="P288" s="102"/>
      <c r="Q288" s="93"/>
      <c r="R288" s="93"/>
      <c r="S288" s="93"/>
      <c r="T288" s="93"/>
      <c r="U288" s="93"/>
      <c r="V288" s="93"/>
      <c r="W288" s="93"/>
      <c r="X288" s="93"/>
      <c r="Y288" s="93"/>
      <c r="Z288" s="93"/>
      <c r="AA288" s="93"/>
      <c r="AB288" s="93"/>
      <c r="AC288" s="93"/>
      <c r="AD288" s="93"/>
      <c r="AE288" s="93"/>
      <c r="AF288" s="93"/>
      <c r="AG288" s="93"/>
      <c r="AH288" s="93"/>
      <c r="AI288" s="93"/>
      <c r="AJ288" s="93"/>
      <c r="AK288" s="93"/>
      <c r="AL288" s="93"/>
      <c r="AM288" s="93"/>
      <c r="AN288" s="93"/>
      <c r="AO288" s="452"/>
      <c r="AP288" s="93"/>
      <c r="AQ288" s="93"/>
      <c r="AR288" s="93"/>
      <c r="AS288" s="93"/>
      <c r="AT288" s="93"/>
      <c r="AU288" s="93"/>
      <c r="AV288" s="93"/>
      <c r="AW288" s="93"/>
      <c r="AX288" s="93"/>
      <c r="AY288" s="93"/>
      <c r="AZ288" s="93"/>
      <c r="BA288" s="90"/>
      <c r="BB288" s="90"/>
      <c r="BC288" s="90"/>
      <c r="BD288" s="90"/>
      <c r="BE288" s="90"/>
      <c r="BF288" s="90"/>
      <c r="BG288" s="90"/>
      <c r="BH288" s="90"/>
      <c r="BI288" s="90"/>
    </row>
    <row r="289" ht="12.75" customHeight="1">
      <c r="A289" s="90"/>
      <c r="B289" s="90"/>
      <c r="C289" s="400"/>
      <c r="D289" s="90"/>
      <c r="E289" s="102"/>
      <c r="F289" s="90"/>
      <c r="G289" s="90"/>
      <c r="H289" s="102"/>
      <c r="I289" s="102"/>
      <c r="J289" s="102"/>
      <c r="K289" s="102"/>
      <c r="L289" s="102"/>
      <c r="M289" s="102"/>
      <c r="N289" s="102"/>
      <c r="O289" s="102"/>
      <c r="P289" s="102"/>
      <c r="Q289" s="93"/>
      <c r="R289" s="93"/>
      <c r="S289" s="93"/>
      <c r="T289" s="93"/>
      <c r="U289" s="93"/>
      <c r="V289" s="93"/>
      <c r="W289" s="93"/>
      <c r="X289" s="93"/>
      <c r="Y289" s="93"/>
      <c r="Z289" s="93"/>
      <c r="AA289" s="93"/>
      <c r="AB289" s="93"/>
      <c r="AC289" s="93"/>
      <c r="AD289" s="93"/>
      <c r="AE289" s="93"/>
      <c r="AF289" s="93"/>
      <c r="AG289" s="93"/>
      <c r="AH289" s="93"/>
      <c r="AI289" s="93"/>
      <c r="AJ289" s="93"/>
      <c r="AK289" s="93"/>
      <c r="AL289" s="93"/>
      <c r="AM289" s="93"/>
      <c r="AN289" s="93"/>
      <c r="AO289" s="452"/>
      <c r="AP289" s="93"/>
      <c r="AQ289" s="93"/>
      <c r="AR289" s="93"/>
      <c r="AS289" s="93"/>
      <c r="AT289" s="93"/>
      <c r="AU289" s="93"/>
      <c r="AV289" s="93"/>
      <c r="AW289" s="93"/>
      <c r="AX289" s="93"/>
      <c r="AY289" s="93"/>
      <c r="AZ289" s="93"/>
      <c r="BA289" s="90"/>
      <c r="BB289" s="90"/>
      <c r="BC289" s="90"/>
      <c r="BD289" s="90"/>
      <c r="BE289" s="90"/>
      <c r="BF289" s="90"/>
      <c r="BG289" s="90"/>
      <c r="BH289" s="90"/>
      <c r="BI289" s="90"/>
    </row>
    <row r="290" ht="12.75" customHeight="1">
      <c r="A290" s="90"/>
      <c r="B290" s="90"/>
      <c r="C290" s="400"/>
      <c r="D290" s="90"/>
      <c r="E290" s="102"/>
      <c r="F290" s="90"/>
      <c r="G290" s="90"/>
      <c r="H290" s="102"/>
      <c r="I290" s="102"/>
      <c r="J290" s="102"/>
      <c r="K290" s="102"/>
      <c r="L290" s="102"/>
      <c r="M290" s="102"/>
      <c r="N290" s="102"/>
      <c r="O290" s="102"/>
      <c r="P290" s="102"/>
      <c r="Q290" s="93"/>
      <c r="R290" s="93"/>
      <c r="S290" s="93"/>
      <c r="T290" s="93"/>
      <c r="U290" s="93"/>
      <c r="V290" s="93"/>
      <c r="W290" s="93"/>
      <c r="X290" s="93"/>
      <c r="Y290" s="93"/>
      <c r="Z290" s="93"/>
      <c r="AA290" s="93"/>
      <c r="AB290" s="93"/>
      <c r="AC290" s="93"/>
      <c r="AD290" s="93"/>
      <c r="AE290" s="93"/>
      <c r="AF290" s="93"/>
      <c r="AG290" s="93"/>
      <c r="AH290" s="93"/>
      <c r="AI290" s="93"/>
      <c r="AJ290" s="93"/>
      <c r="AK290" s="93"/>
      <c r="AL290" s="93"/>
      <c r="AM290" s="93"/>
      <c r="AN290" s="93"/>
      <c r="AO290" s="452"/>
      <c r="AP290" s="93"/>
      <c r="AQ290" s="93"/>
      <c r="AR290" s="93"/>
      <c r="AS290" s="93"/>
      <c r="AT290" s="93"/>
      <c r="AU290" s="93"/>
      <c r="AV290" s="93"/>
      <c r="AW290" s="93"/>
      <c r="AX290" s="93"/>
      <c r="AY290" s="93"/>
      <c r="AZ290" s="93"/>
      <c r="BA290" s="90"/>
      <c r="BB290" s="90"/>
      <c r="BC290" s="90"/>
      <c r="BD290" s="90"/>
      <c r="BE290" s="90"/>
      <c r="BF290" s="90"/>
      <c r="BG290" s="90"/>
      <c r="BH290" s="90"/>
      <c r="BI290" s="90"/>
    </row>
    <row r="291" ht="12.75" customHeight="1">
      <c r="A291" s="90"/>
      <c r="B291" s="90"/>
      <c r="C291" s="400"/>
      <c r="D291" s="90"/>
      <c r="E291" s="102"/>
      <c r="F291" s="90"/>
      <c r="G291" s="90"/>
      <c r="H291" s="102"/>
      <c r="I291" s="102"/>
      <c r="J291" s="102"/>
      <c r="K291" s="102"/>
      <c r="L291" s="102"/>
      <c r="M291" s="102"/>
      <c r="N291" s="102"/>
      <c r="O291" s="102"/>
      <c r="P291" s="102"/>
      <c r="Q291" s="93"/>
      <c r="R291" s="93"/>
      <c r="S291" s="93"/>
      <c r="T291" s="93"/>
      <c r="U291" s="93"/>
      <c r="V291" s="93"/>
      <c r="W291" s="93"/>
      <c r="X291" s="93"/>
      <c r="Y291" s="93"/>
      <c r="Z291" s="93"/>
      <c r="AA291" s="93"/>
      <c r="AB291" s="93"/>
      <c r="AC291" s="93"/>
      <c r="AD291" s="93"/>
      <c r="AE291" s="93"/>
      <c r="AF291" s="93"/>
      <c r="AG291" s="93"/>
      <c r="AH291" s="93"/>
      <c r="AI291" s="93"/>
      <c r="AJ291" s="93"/>
      <c r="AK291" s="93"/>
      <c r="AL291" s="93"/>
      <c r="AM291" s="93"/>
      <c r="AN291" s="93"/>
      <c r="AO291" s="452"/>
      <c r="AP291" s="93"/>
      <c r="AQ291" s="93"/>
      <c r="AR291" s="93"/>
      <c r="AS291" s="93"/>
      <c r="AT291" s="93"/>
      <c r="AU291" s="93"/>
      <c r="AV291" s="93"/>
      <c r="AW291" s="93"/>
      <c r="AX291" s="93"/>
      <c r="AY291" s="93"/>
      <c r="AZ291" s="93"/>
      <c r="BA291" s="90"/>
      <c r="BB291" s="90"/>
      <c r="BC291" s="90"/>
      <c r="BD291" s="90"/>
      <c r="BE291" s="90"/>
      <c r="BF291" s="90"/>
      <c r="BG291" s="90"/>
      <c r="BH291" s="90"/>
      <c r="BI291" s="90"/>
    </row>
    <row r="292" ht="12.75" customHeight="1">
      <c r="A292" s="90"/>
      <c r="B292" s="90"/>
      <c r="C292" s="400"/>
      <c r="D292" s="90"/>
      <c r="E292" s="102"/>
      <c r="F292" s="90"/>
      <c r="G292" s="90"/>
      <c r="H292" s="102"/>
      <c r="I292" s="102"/>
      <c r="J292" s="102"/>
      <c r="K292" s="102"/>
      <c r="L292" s="102"/>
      <c r="M292" s="102"/>
      <c r="N292" s="102"/>
      <c r="O292" s="102"/>
      <c r="P292" s="102"/>
      <c r="Q292" s="93"/>
      <c r="R292" s="93"/>
      <c r="S292" s="93"/>
      <c r="T292" s="93"/>
      <c r="U292" s="93"/>
      <c r="V292" s="93"/>
      <c r="W292" s="93"/>
      <c r="X292" s="93"/>
      <c r="Y292" s="93"/>
      <c r="Z292" s="93"/>
      <c r="AA292" s="93"/>
      <c r="AB292" s="93"/>
      <c r="AC292" s="93"/>
      <c r="AD292" s="93"/>
      <c r="AE292" s="93"/>
      <c r="AF292" s="93"/>
      <c r="AG292" s="93"/>
      <c r="AH292" s="93"/>
      <c r="AI292" s="93"/>
      <c r="AJ292" s="93"/>
      <c r="AK292" s="93"/>
      <c r="AL292" s="93"/>
      <c r="AM292" s="93"/>
      <c r="AN292" s="93"/>
      <c r="AO292" s="452"/>
      <c r="AP292" s="93"/>
      <c r="AQ292" s="93"/>
      <c r="AR292" s="93"/>
      <c r="AS292" s="93"/>
      <c r="AT292" s="93"/>
      <c r="AU292" s="93"/>
      <c r="AV292" s="93"/>
      <c r="AW292" s="93"/>
      <c r="AX292" s="93"/>
      <c r="AY292" s="93"/>
      <c r="AZ292" s="93"/>
      <c r="BA292" s="90"/>
      <c r="BB292" s="90"/>
      <c r="BC292" s="90"/>
      <c r="BD292" s="90"/>
      <c r="BE292" s="90"/>
      <c r="BF292" s="90"/>
      <c r="BG292" s="90"/>
      <c r="BH292" s="90"/>
      <c r="BI292" s="90"/>
    </row>
    <row r="293" ht="12.75" customHeight="1">
      <c r="A293" s="90"/>
      <c r="B293" s="90"/>
      <c r="C293" s="400"/>
      <c r="D293" s="90"/>
      <c r="E293" s="102"/>
      <c r="F293" s="90"/>
      <c r="G293" s="90"/>
      <c r="H293" s="102"/>
      <c r="I293" s="102"/>
      <c r="J293" s="102"/>
      <c r="K293" s="102"/>
      <c r="L293" s="102"/>
      <c r="M293" s="102"/>
      <c r="N293" s="102"/>
      <c r="O293" s="102"/>
      <c r="P293" s="102"/>
      <c r="Q293" s="93"/>
      <c r="R293" s="93"/>
      <c r="S293" s="93"/>
      <c r="T293" s="93"/>
      <c r="U293" s="93"/>
      <c r="V293" s="93"/>
      <c r="W293" s="93"/>
      <c r="X293" s="93"/>
      <c r="Y293" s="93"/>
      <c r="Z293" s="93"/>
      <c r="AA293" s="93"/>
      <c r="AB293" s="93"/>
      <c r="AC293" s="93"/>
      <c r="AD293" s="93"/>
      <c r="AE293" s="93"/>
      <c r="AF293" s="93"/>
      <c r="AG293" s="93"/>
      <c r="AH293" s="93"/>
      <c r="AI293" s="93"/>
      <c r="AJ293" s="93"/>
      <c r="AK293" s="93"/>
      <c r="AL293" s="93"/>
      <c r="AM293" s="93"/>
      <c r="AN293" s="93"/>
      <c r="AO293" s="452"/>
      <c r="AP293" s="93"/>
      <c r="AQ293" s="93"/>
      <c r="AR293" s="93"/>
      <c r="AS293" s="93"/>
      <c r="AT293" s="93"/>
      <c r="AU293" s="93"/>
      <c r="AV293" s="93"/>
      <c r="AW293" s="93"/>
      <c r="AX293" s="93"/>
      <c r="AY293" s="93"/>
      <c r="AZ293" s="93"/>
      <c r="BA293" s="90"/>
      <c r="BB293" s="90"/>
      <c r="BC293" s="90"/>
      <c r="BD293" s="90"/>
      <c r="BE293" s="90"/>
      <c r="BF293" s="90"/>
      <c r="BG293" s="90"/>
      <c r="BH293" s="90"/>
      <c r="BI293" s="90"/>
    </row>
    <row r="294" ht="12.75" customHeight="1">
      <c r="A294" s="90"/>
      <c r="B294" s="90"/>
      <c r="C294" s="400"/>
      <c r="D294" s="90"/>
      <c r="E294" s="102"/>
      <c r="F294" s="90"/>
      <c r="G294" s="90"/>
      <c r="H294" s="102"/>
      <c r="I294" s="102"/>
      <c r="J294" s="102"/>
      <c r="K294" s="102"/>
      <c r="L294" s="102"/>
      <c r="M294" s="102"/>
      <c r="N294" s="102"/>
      <c r="O294" s="102"/>
      <c r="P294" s="102"/>
      <c r="Q294" s="93"/>
      <c r="R294" s="93"/>
      <c r="S294" s="93"/>
      <c r="T294" s="93"/>
      <c r="U294" s="93"/>
      <c r="V294" s="93"/>
      <c r="W294" s="93"/>
      <c r="X294" s="93"/>
      <c r="Y294" s="93"/>
      <c r="Z294" s="93"/>
      <c r="AA294" s="93"/>
      <c r="AB294" s="93"/>
      <c r="AC294" s="93"/>
      <c r="AD294" s="93"/>
      <c r="AE294" s="93"/>
      <c r="AF294" s="93"/>
      <c r="AG294" s="93"/>
      <c r="AH294" s="93"/>
      <c r="AI294" s="93"/>
      <c r="AJ294" s="93"/>
      <c r="AK294" s="93"/>
      <c r="AL294" s="93"/>
      <c r="AM294" s="93"/>
      <c r="AN294" s="93"/>
      <c r="AO294" s="452"/>
      <c r="AP294" s="93"/>
      <c r="AQ294" s="93"/>
      <c r="AR294" s="93"/>
      <c r="AS294" s="93"/>
      <c r="AT294" s="93"/>
      <c r="AU294" s="93"/>
      <c r="AV294" s="93"/>
      <c r="AW294" s="93"/>
      <c r="AX294" s="93"/>
      <c r="AY294" s="93"/>
      <c r="AZ294" s="93"/>
      <c r="BA294" s="90"/>
      <c r="BB294" s="90"/>
      <c r="BC294" s="90"/>
      <c r="BD294" s="90"/>
      <c r="BE294" s="90"/>
      <c r="BF294" s="90"/>
      <c r="BG294" s="90"/>
      <c r="BH294" s="90"/>
      <c r="BI294" s="90"/>
    </row>
    <row r="295" ht="12.75" customHeight="1">
      <c r="A295" s="90"/>
      <c r="B295" s="90"/>
      <c r="C295" s="400"/>
      <c r="D295" s="90"/>
      <c r="E295" s="102"/>
      <c r="F295" s="90"/>
      <c r="G295" s="90"/>
      <c r="H295" s="102"/>
      <c r="I295" s="102"/>
      <c r="J295" s="102"/>
      <c r="K295" s="102"/>
      <c r="L295" s="102"/>
      <c r="M295" s="102"/>
      <c r="N295" s="102"/>
      <c r="O295" s="102"/>
      <c r="P295" s="102"/>
      <c r="Q295" s="102"/>
      <c r="R295" s="102"/>
      <c r="S295" s="102"/>
      <c r="T295" s="102"/>
      <c r="U295" s="102"/>
      <c r="V295" s="102"/>
      <c r="W295" s="102"/>
      <c r="X295" s="102"/>
      <c r="Y295" s="102"/>
      <c r="Z295" s="102"/>
      <c r="AA295" s="102"/>
      <c r="AB295" s="102"/>
      <c r="AC295" s="102"/>
      <c r="AD295" s="102"/>
      <c r="AE295" s="102"/>
      <c r="AF295" s="102"/>
      <c r="AG295" s="102"/>
      <c r="AH295" s="102"/>
      <c r="AI295" s="102"/>
      <c r="AJ295" s="102"/>
      <c r="AK295" s="102"/>
      <c r="AL295" s="102"/>
      <c r="AM295" s="102"/>
      <c r="AN295" s="102"/>
      <c r="AO295" s="400"/>
      <c r="AP295" s="90"/>
      <c r="AQ295" s="90"/>
      <c r="AR295" s="90"/>
      <c r="AS295" s="90"/>
      <c r="AT295" s="90"/>
      <c r="AU295" s="90"/>
      <c r="AV295" s="90"/>
      <c r="AW295" s="90"/>
      <c r="AX295" s="90"/>
      <c r="AY295" s="90"/>
      <c r="AZ295" s="90"/>
      <c r="BA295" s="90"/>
      <c r="BB295" s="90"/>
      <c r="BC295" s="90"/>
      <c r="BD295" s="90"/>
      <c r="BE295" s="90"/>
      <c r="BF295" s="90"/>
      <c r="BG295" s="90"/>
      <c r="BH295" s="90"/>
      <c r="BI295" s="90"/>
    </row>
    <row r="296" ht="12.75" customHeight="1">
      <c r="A296" s="90"/>
      <c r="B296" s="90"/>
      <c r="C296" s="400"/>
      <c r="D296" s="90"/>
      <c r="E296" s="102"/>
      <c r="F296" s="90"/>
      <c r="G296" s="90"/>
      <c r="H296" s="102"/>
      <c r="I296" s="102"/>
      <c r="J296" s="102"/>
      <c r="K296" s="102"/>
      <c r="L296" s="102"/>
      <c r="M296" s="102"/>
      <c r="N296" s="102"/>
      <c r="O296" s="102"/>
      <c r="P296" s="102"/>
      <c r="Q296" s="102"/>
      <c r="R296" s="102"/>
      <c r="S296" s="102"/>
      <c r="T296" s="102"/>
      <c r="U296" s="102"/>
      <c r="V296" s="102"/>
      <c r="W296" s="102"/>
      <c r="X296" s="102"/>
      <c r="Y296" s="102"/>
      <c r="Z296" s="102"/>
      <c r="AA296" s="102"/>
      <c r="AB296" s="102"/>
      <c r="AC296" s="102"/>
      <c r="AD296" s="102"/>
      <c r="AE296" s="102"/>
      <c r="AF296" s="102"/>
      <c r="AG296" s="102"/>
      <c r="AH296" s="102"/>
      <c r="AI296" s="102"/>
      <c r="AJ296" s="102"/>
      <c r="AK296" s="102"/>
      <c r="AL296" s="102"/>
      <c r="AM296" s="102"/>
      <c r="AN296" s="102"/>
      <c r="AO296" s="400"/>
      <c r="AP296" s="90"/>
      <c r="AQ296" s="90"/>
      <c r="AR296" s="90"/>
      <c r="AS296" s="90"/>
      <c r="AT296" s="90"/>
      <c r="AU296" s="90"/>
      <c r="AV296" s="90"/>
      <c r="AW296" s="90"/>
      <c r="AX296" s="90"/>
      <c r="AY296" s="90"/>
      <c r="AZ296" s="90"/>
      <c r="BA296" s="90"/>
      <c r="BB296" s="90"/>
      <c r="BC296" s="90"/>
      <c r="BD296" s="90"/>
      <c r="BE296" s="90"/>
      <c r="BF296" s="90"/>
      <c r="BG296" s="90"/>
      <c r="BH296" s="90"/>
      <c r="BI296" s="90"/>
    </row>
    <row r="297" ht="12.75" customHeight="1">
      <c r="A297" s="90"/>
      <c r="B297" s="90"/>
      <c r="C297" s="400"/>
      <c r="D297" s="90"/>
      <c r="E297" s="102"/>
      <c r="F297" s="90"/>
      <c r="G297" s="90"/>
      <c r="H297" s="102"/>
      <c r="I297" s="102"/>
      <c r="J297" s="102"/>
      <c r="K297" s="102"/>
      <c r="L297" s="102"/>
      <c r="M297" s="102"/>
      <c r="N297" s="102"/>
      <c r="O297" s="102"/>
      <c r="P297" s="102"/>
      <c r="Q297" s="102"/>
      <c r="R297" s="102"/>
      <c r="S297" s="102"/>
      <c r="T297" s="102"/>
      <c r="U297" s="102"/>
      <c r="V297" s="102"/>
      <c r="W297" s="102"/>
      <c r="X297" s="102"/>
      <c r="Y297" s="102"/>
      <c r="Z297" s="102"/>
      <c r="AA297" s="102"/>
      <c r="AB297" s="102"/>
      <c r="AC297" s="102"/>
      <c r="AD297" s="102"/>
      <c r="AE297" s="102"/>
      <c r="AF297" s="102"/>
      <c r="AG297" s="102"/>
      <c r="AH297" s="102"/>
      <c r="AI297" s="102"/>
      <c r="AJ297" s="102"/>
      <c r="AK297" s="102"/>
      <c r="AL297" s="102"/>
      <c r="AM297" s="102"/>
      <c r="AN297" s="102"/>
      <c r="AO297" s="400"/>
      <c r="AP297" s="90"/>
      <c r="AQ297" s="90"/>
      <c r="AR297" s="90"/>
      <c r="AS297" s="90"/>
      <c r="AT297" s="90"/>
      <c r="AU297" s="90"/>
      <c r="AV297" s="90"/>
      <c r="AW297" s="90"/>
      <c r="AX297" s="90"/>
      <c r="AY297" s="90"/>
      <c r="AZ297" s="90"/>
      <c r="BA297" s="90"/>
      <c r="BB297" s="90"/>
      <c r="BC297" s="90"/>
      <c r="BD297" s="90"/>
      <c r="BE297" s="90"/>
      <c r="BF297" s="90"/>
      <c r="BG297" s="90"/>
      <c r="BH297" s="90"/>
      <c r="BI297" s="90"/>
    </row>
    <row r="298" ht="12.75" customHeight="1">
      <c r="A298" s="90"/>
      <c r="B298" s="90"/>
      <c r="C298" s="400"/>
      <c r="D298" s="90"/>
      <c r="E298" s="102"/>
      <c r="F298" s="90"/>
      <c r="G298" s="90"/>
      <c r="H298" s="102"/>
      <c r="I298" s="102"/>
      <c r="J298" s="102"/>
      <c r="K298" s="102"/>
      <c r="L298" s="102"/>
      <c r="M298" s="102"/>
      <c r="N298" s="102"/>
      <c r="O298" s="102"/>
      <c r="P298" s="102"/>
      <c r="Q298" s="102"/>
      <c r="R298" s="102"/>
      <c r="S298" s="102"/>
      <c r="T298" s="102"/>
      <c r="U298" s="102"/>
      <c r="V298" s="102"/>
      <c r="W298" s="102"/>
      <c r="X298" s="102"/>
      <c r="Y298" s="102"/>
      <c r="Z298" s="102"/>
      <c r="AA298" s="102"/>
      <c r="AB298" s="102"/>
      <c r="AC298" s="102"/>
      <c r="AD298" s="102"/>
      <c r="AE298" s="102"/>
      <c r="AF298" s="102"/>
      <c r="AG298" s="102"/>
      <c r="AH298" s="102"/>
      <c r="AI298" s="102"/>
      <c r="AJ298" s="102"/>
      <c r="AK298" s="102"/>
      <c r="AL298" s="102"/>
      <c r="AM298" s="102"/>
      <c r="AN298" s="102"/>
      <c r="AO298" s="400"/>
      <c r="AP298" s="90"/>
      <c r="AQ298" s="90"/>
      <c r="AR298" s="90"/>
      <c r="AS298" s="90"/>
      <c r="AT298" s="90"/>
      <c r="AU298" s="90"/>
      <c r="AV298" s="90"/>
      <c r="AW298" s="90"/>
      <c r="AX298" s="90"/>
      <c r="AY298" s="90"/>
      <c r="AZ298" s="90"/>
      <c r="BA298" s="90"/>
      <c r="BB298" s="90"/>
      <c r="BC298" s="90"/>
      <c r="BD298" s="90"/>
      <c r="BE298" s="90"/>
      <c r="BF298" s="90"/>
      <c r="BG298" s="90"/>
      <c r="BH298" s="90"/>
      <c r="BI298" s="90"/>
    </row>
    <row r="299" ht="12.75" customHeight="1">
      <c r="A299" s="90"/>
      <c r="B299" s="90"/>
      <c r="C299" s="400"/>
      <c r="D299" s="90"/>
      <c r="E299" s="102"/>
      <c r="F299" s="90"/>
      <c r="G299" s="90"/>
      <c r="H299" s="102"/>
      <c r="I299" s="102"/>
      <c r="J299" s="102"/>
      <c r="K299" s="102"/>
      <c r="L299" s="102"/>
      <c r="M299" s="102"/>
      <c r="N299" s="102"/>
      <c r="O299" s="102"/>
      <c r="P299" s="102"/>
      <c r="Q299" s="102"/>
      <c r="R299" s="102"/>
      <c r="S299" s="102"/>
      <c r="T299" s="102"/>
      <c r="U299" s="102"/>
      <c r="V299" s="102"/>
      <c r="W299" s="102"/>
      <c r="X299" s="102"/>
      <c r="Y299" s="102"/>
      <c r="Z299" s="102"/>
      <c r="AA299" s="102"/>
      <c r="AB299" s="102"/>
      <c r="AC299" s="102"/>
      <c r="AD299" s="102"/>
      <c r="AE299" s="102"/>
      <c r="AF299" s="102"/>
      <c r="AG299" s="102"/>
      <c r="AH299" s="102"/>
      <c r="AI299" s="102"/>
      <c r="AJ299" s="102"/>
      <c r="AK299" s="102"/>
      <c r="AL299" s="102"/>
      <c r="AM299" s="102"/>
      <c r="AN299" s="102"/>
      <c r="AO299" s="400"/>
      <c r="AP299" s="90"/>
      <c r="AQ299" s="90"/>
      <c r="AR299" s="90"/>
      <c r="AS299" s="90"/>
      <c r="AT299" s="90"/>
      <c r="AU299" s="90"/>
      <c r="AV299" s="90"/>
      <c r="AW299" s="90"/>
      <c r="AX299" s="90"/>
      <c r="AY299" s="90"/>
      <c r="AZ299" s="90"/>
      <c r="BA299" s="90"/>
      <c r="BB299" s="90"/>
      <c r="BC299" s="90"/>
      <c r="BD299" s="90"/>
      <c r="BE299" s="90"/>
      <c r="BF299" s="90"/>
      <c r="BG299" s="90"/>
      <c r="BH299" s="90"/>
      <c r="BI299" s="90"/>
    </row>
    <row r="300" ht="12.75" customHeight="1">
      <c r="A300" s="90"/>
      <c r="B300" s="90"/>
      <c r="C300" s="400"/>
      <c r="D300" s="90"/>
      <c r="E300" s="102"/>
      <c r="F300" s="90"/>
      <c r="G300" s="90"/>
      <c r="H300" s="102"/>
      <c r="I300" s="102"/>
      <c r="J300" s="102"/>
      <c r="K300" s="102"/>
      <c r="L300" s="102"/>
      <c r="M300" s="102"/>
      <c r="N300" s="102"/>
      <c r="O300" s="102"/>
      <c r="P300" s="102"/>
      <c r="Q300" s="102"/>
      <c r="R300" s="102"/>
      <c r="S300" s="102"/>
      <c r="T300" s="102"/>
      <c r="U300" s="102"/>
      <c r="V300" s="102"/>
      <c r="W300" s="102"/>
      <c r="X300" s="102"/>
      <c r="Y300" s="102"/>
      <c r="Z300" s="102"/>
      <c r="AA300" s="102"/>
      <c r="AB300" s="102"/>
      <c r="AC300" s="102"/>
      <c r="AD300" s="102"/>
      <c r="AE300" s="102"/>
      <c r="AF300" s="102"/>
      <c r="AG300" s="102"/>
      <c r="AH300" s="102"/>
      <c r="AI300" s="102"/>
      <c r="AJ300" s="102"/>
      <c r="AK300" s="102"/>
      <c r="AL300" s="102"/>
      <c r="AM300" s="102"/>
      <c r="AN300" s="102"/>
      <c r="AO300" s="400"/>
      <c r="AP300" s="90"/>
      <c r="AQ300" s="90"/>
      <c r="AR300" s="90"/>
      <c r="AS300" s="90"/>
      <c r="AT300" s="90"/>
      <c r="AU300" s="90"/>
      <c r="AV300" s="90"/>
      <c r="AW300" s="90"/>
      <c r="AX300" s="90"/>
      <c r="AY300" s="90"/>
      <c r="AZ300" s="90"/>
      <c r="BA300" s="90"/>
      <c r="BB300" s="90"/>
      <c r="BC300" s="90"/>
      <c r="BD300" s="90"/>
      <c r="BE300" s="90"/>
      <c r="BF300" s="90"/>
      <c r="BG300" s="90"/>
      <c r="BH300" s="90"/>
      <c r="BI300" s="90"/>
    </row>
    <row r="301" ht="12.75" customHeight="1">
      <c r="A301" s="90"/>
      <c r="B301" s="90"/>
      <c r="C301" s="400"/>
      <c r="D301" s="90"/>
      <c r="E301" s="102"/>
      <c r="F301" s="90"/>
      <c r="G301" s="90"/>
      <c r="H301" s="102"/>
      <c r="I301" s="102"/>
      <c r="J301" s="102"/>
      <c r="K301" s="102"/>
      <c r="L301" s="102"/>
      <c r="M301" s="102"/>
      <c r="N301" s="102"/>
      <c r="O301" s="102"/>
      <c r="P301" s="102"/>
      <c r="Q301" s="102"/>
      <c r="R301" s="102"/>
      <c r="S301" s="102"/>
      <c r="T301" s="102"/>
      <c r="U301" s="102"/>
      <c r="V301" s="102"/>
      <c r="W301" s="102"/>
      <c r="X301" s="102"/>
      <c r="Y301" s="102"/>
      <c r="Z301" s="102"/>
      <c r="AA301" s="102"/>
      <c r="AB301" s="102"/>
      <c r="AC301" s="102"/>
      <c r="AD301" s="102"/>
      <c r="AE301" s="102"/>
      <c r="AF301" s="102"/>
      <c r="AG301" s="102"/>
      <c r="AH301" s="102"/>
      <c r="AI301" s="102"/>
      <c r="AJ301" s="102"/>
      <c r="AK301" s="102"/>
      <c r="AL301" s="102"/>
      <c r="AM301" s="102"/>
      <c r="AN301" s="102"/>
      <c r="AO301" s="400"/>
      <c r="AP301" s="90"/>
      <c r="AQ301" s="90"/>
      <c r="AR301" s="90"/>
      <c r="AS301" s="90"/>
      <c r="AT301" s="90"/>
      <c r="AU301" s="90"/>
      <c r="AV301" s="90"/>
      <c r="AW301" s="90"/>
      <c r="AX301" s="90"/>
      <c r="AY301" s="90"/>
      <c r="AZ301" s="90"/>
      <c r="BA301" s="90"/>
      <c r="BB301" s="90"/>
      <c r="BC301" s="90"/>
      <c r="BD301" s="90"/>
      <c r="BE301" s="90"/>
      <c r="BF301" s="90"/>
      <c r="BG301" s="90"/>
      <c r="BH301" s="90"/>
      <c r="BI301" s="90"/>
    </row>
    <row r="302" ht="12.75" customHeight="1">
      <c r="A302" s="90"/>
      <c r="B302" s="90"/>
      <c r="C302" s="400"/>
      <c r="D302" s="90"/>
      <c r="E302" s="102"/>
      <c r="F302" s="90"/>
      <c r="G302" s="90"/>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102"/>
      <c r="AH302" s="102"/>
      <c r="AI302" s="102"/>
      <c r="AJ302" s="102"/>
      <c r="AK302" s="102"/>
      <c r="AL302" s="102"/>
      <c r="AM302" s="102"/>
      <c r="AN302" s="102"/>
      <c r="AO302" s="400"/>
      <c r="AP302" s="90"/>
      <c r="AQ302" s="90"/>
      <c r="AR302" s="90"/>
      <c r="AS302" s="90"/>
      <c r="AT302" s="90"/>
      <c r="AU302" s="90"/>
      <c r="AV302" s="90"/>
      <c r="AW302" s="90"/>
      <c r="AX302" s="90"/>
      <c r="AY302" s="90"/>
      <c r="AZ302" s="90"/>
      <c r="BA302" s="90"/>
      <c r="BB302" s="90"/>
      <c r="BC302" s="90"/>
      <c r="BD302" s="90"/>
      <c r="BE302" s="90"/>
      <c r="BF302" s="90"/>
      <c r="BG302" s="90"/>
      <c r="BH302" s="90"/>
      <c r="BI302" s="90"/>
    </row>
    <row r="303" ht="12.75" customHeight="1">
      <c r="A303" s="90"/>
      <c r="B303" s="90"/>
      <c r="C303" s="400"/>
      <c r="D303" s="90"/>
      <c r="E303" s="102"/>
      <c r="F303" s="90"/>
      <c r="G303" s="90"/>
      <c r="H303" s="102"/>
      <c r="I303" s="102"/>
      <c r="J303" s="102"/>
      <c r="K303" s="102"/>
      <c r="L303" s="102"/>
      <c r="M303" s="102"/>
      <c r="N303" s="102"/>
      <c r="O303" s="102"/>
      <c r="P303" s="102"/>
      <c r="Q303" s="102"/>
      <c r="R303" s="102"/>
      <c r="S303" s="102"/>
      <c r="T303" s="102"/>
      <c r="U303" s="102"/>
      <c r="V303" s="102"/>
      <c r="W303" s="102"/>
      <c r="X303" s="102"/>
      <c r="Y303" s="102"/>
      <c r="Z303" s="102"/>
      <c r="AA303" s="102"/>
      <c r="AB303" s="102"/>
      <c r="AC303" s="102"/>
      <c r="AD303" s="102"/>
      <c r="AE303" s="102"/>
      <c r="AF303" s="102"/>
      <c r="AG303" s="102"/>
      <c r="AH303" s="102"/>
      <c r="AI303" s="102"/>
      <c r="AJ303" s="102"/>
      <c r="AK303" s="102"/>
      <c r="AL303" s="102"/>
      <c r="AM303" s="102"/>
      <c r="AN303" s="102"/>
      <c r="AO303" s="400"/>
      <c r="AP303" s="90"/>
      <c r="AQ303" s="90"/>
      <c r="AR303" s="90"/>
      <c r="AS303" s="90"/>
      <c r="AT303" s="90"/>
      <c r="AU303" s="90"/>
      <c r="AV303" s="90"/>
      <c r="AW303" s="90"/>
      <c r="AX303" s="90"/>
      <c r="AY303" s="90"/>
      <c r="AZ303" s="90"/>
      <c r="BA303" s="90"/>
      <c r="BB303" s="90"/>
      <c r="BC303" s="90"/>
      <c r="BD303" s="90"/>
      <c r="BE303" s="90"/>
      <c r="BF303" s="90"/>
      <c r="BG303" s="90"/>
      <c r="BH303" s="90"/>
      <c r="BI303" s="90"/>
    </row>
    <row r="304" ht="12.75" customHeight="1">
      <c r="A304" s="90"/>
      <c r="B304" s="90"/>
      <c r="C304" s="400"/>
      <c r="D304" s="90"/>
      <c r="E304" s="102"/>
      <c r="F304" s="90"/>
      <c r="G304" s="90"/>
      <c r="H304" s="102"/>
      <c r="I304" s="102"/>
      <c r="J304" s="102"/>
      <c r="K304" s="102"/>
      <c r="L304" s="102"/>
      <c r="M304" s="102"/>
      <c r="N304" s="102"/>
      <c r="O304" s="102"/>
      <c r="P304" s="102"/>
      <c r="Q304" s="102"/>
      <c r="R304" s="102"/>
      <c r="S304" s="102"/>
      <c r="T304" s="102"/>
      <c r="U304" s="102"/>
      <c r="V304" s="102"/>
      <c r="W304" s="102"/>
      <c r="X304" s="102"/>
      <c r="Y304" s="102"/>
      <c r="Z304" s="102"/>
      <c r="AA304" s="102"/>
      <c r="AB304" s="102"/>
      <c r="AC304" s="102"/>
      <c r="AD304" s="102"/>
      <c r="AE304" s="102"/>
      <c r="AF304" s="102"/>
      <c r="AG304" s="102"/>
      <c r="AH304" s="102"/>
      <c r="AI304" s="102"/>
      <c r="AJ304" s="102"/>
      <c r="AK304" s="102"/>
      <c r="AL304" s="102"/>
      <c r="AM304" s="102"/>
      <c r="AN304" s="102"/>
      <c r="AO304" s="400"/>
      <c r="AP304" s="90"/>
      <c r="AQ304" s="90"/>
      <c r="AR304" s="90"/>
      <c r="AS304" s="90"/>
      <c r="AT304" s="90"/>
      <c r="AU304" s="90"/>
      <c r="AV304" s="90"/>
      <c r="AW304" s="90"/>
      <c r="AX304" s="90"/>
      <c r="AY304" s="90"/>
      <c r="AZ304" s="90"/>
      <c r="BA304" s="90"/>
      <c r="BB304" s="90"/>
      <c r="BC304" s="90"/>
      <c r="BD304" s="90"/>
      <c r="BE304" s="90"/>
      <c r="BF304" s="90"/>
      <c r="BG304" s="90"/>
      <c r="BH304" s="90"/>
      <c r="BI304" s="90"/>
    </row>
    <row r="305" ht="12.75" customHeight="1">
      <c r="A305" s="90"/>
      <c r="B305" s="90"/>
      <c r="C305" s="400"/>
      <c r="D305" s="90"/>
      <c r="E305" s="102"/>
      <c r="F305" s="90"/>
      <c r="G305" s="90"/>
      <c r="H305" s="102"/>
      <c r="I305" s="102"/>
      <c r="J305" s="102"/>
      <c r="K305" s="102"/>
      <c r="L305" s="102"/>
      <c r="M305" s="102"/>
      <c r="N305" s="102"/>
      <c r="O305" s="102"/>
      <c r="P305" s="102"/>
      <c r="Q305" s="102"/>
      <c r="R305" s="102"/>
      <c r="S305" s="102"/>
      <c r="T305" s="102"/>
      <c r="U305" s="102"/>
      <c r="V305" s="102"/>
      <c r="W305" s="102"/>
      <c r="X305" s="102"/>
      <c r="Y305" s="102"/>
      <c r="Z305" s="102"/>
      <c r="AA305" s="102"/>
      <c r="AB305" s="102"/>
      <c r="AC305" s="102"/>
      <c r="AD305" s="102"/>
      <c r="AE305" s="102"/>
      <c r="AF305" s="102"/>
      <c r="AG305" s="102"/>
      <c r="AH305" s="102"/>
      <c r="AI305" s="102"/>
      <c r="AJ305" s="102"/>
      <c r="AK305" s="102"/>
      <c r="AL305" s="102"/>
      <c r="AM305" s="102"/>
      <c r="AN305" s="102"/>
      <c r="AO305" s="400"/>
      <c r="AP305" s="90"/>
      <c r="AQ305" s="90"/>
      <c r="AR305" s="90"/>
      <c r="AS305" s="90"/>
      <c r="AT305" s="90"/>
      <c r="AU305" s="90"/>
      <c r="AV305" s="90"/>
      <c r="AW305" s="90"/>
      <c r="AX305" s="90"/>
      <c r="AY305" s="90"/>
      <c r="AZ305" s="90"/>
      <c r="BA305" s="90"/>
      <c r="BB305" s="90"/>
      <c r="BC305" s="90"/>
      <c r="BD305" s="90"/>
      <c r="BE305" s="90"/>
      <c r="BF305" s="90"/>
      <c r="BG305" s="90"/>
      <c r="BH305" s="90"/>
      <c r="BI305" s="90"/>
    </row>
    <row r="306" ht="12.75" customHeight="1">
      <c r="A306" s="90"/>
      <c r="B306" s="90"/>
      <c r="C306" s="400"/>
      <c r="D306" s="90"/>
      <c r="E306" s="102"/>
      <c r="F306" s="90"/>
      <c r="G306" s="90"/>
      <c r="H306" s="102"/>
      <c r="I306" s="102"/>
      <c r="J306" s="102"/>
      <c r="K306" s="102"/>
      <c r="L306" s="102"/>
      <c r="M306" s="102"/>
      <c r="N306" s="102"/>
      <c r="O306" s="102"/>
      <c r="P306" s="102"/>
      <c r="Q306" s="102"/>
      <c r="R306" s="102"/>
      <c r="S306" s="102"/>
      <c r="T306" s="102"/>
      <c r="U306" s="102"/>
      <c r="V306" s="102"/>
      <c r="W306" s="102"/>
      <c r="X306" s="102"/>
      <c r="Y306" s="102"/>
      <c r="Z306" s="102"/>
      <c r="AA306" s="102"/>
      <c r="AB306" s="102"/>
      <c r="AC306" s="102"/>
      <c r="AD306" s="102"/>
      <c r="AE306" s="102"/>
      <c r="AF306" s="102"/>
      <c r="AG306" s="102"/>
      <c r="AH306" s="102"/>
      <c r="AI306" s="102"/>
      <c r="AJ306" s="102"/>
      <c r="AK306" s="102"/>
      <c r="AL306" s="102"/>
      <c r="AM306" s="102"/>
      <c r="AN306" s="102"/>
      <c r="AO306" s="400"/>
      <c r="AP306" s="90"/>
      <c r="AQ306" s="90"/>
      <c r="AR306" s="90"/>
      <c r="AS306" s="90"/>
      <c r="AT306" s="90"/>
      <c r="AU306" s="90"/>
      <c r="AV306" s="90"/>
      <c r="AW306" s="90"/>
      <c r="AX306" s="90"/>
      <c r="AY306" s="90"/>
      <c r="AZ306" s="90"/>
      <c r="BA306" s="90"/>
      <c r="BB306" s="90"/>
      <c r="BC306" s="90"/>
      <c r="BD306" s="90"/>
      <c r="BE306" s="90"/>
      <c r="BF306" s="90"/>
      <c r="BG306" s="90"/>
      <c r="BH306" s="90"/>
      <c r="BI306" s="90"/>
    </row>
    <row r="307" ht="12.75" customHeight="1">
      <c r="A307" s="90"/>
      <c r="B307" s="90"/>
      <c r="C307" s="400"/>
      <c r="D307" s="90"/>
      <c r="E307" s="102"/>
      <c r="F307" s="90"/>
      <c r="G307" s="90"/>
      <c r="H307" s="102"/>
      <c r="I307" s="102"/>
      <c r="J307" s="102"/>
      <c r="K307" s="102"/>
      <c r="L307" s="102"/>
      <c r="M307" s="102"/>
      <c r="N307" s="102"/>
      <c r="O307" s="102"/>
      <c r="P307" s="102"/>
      <c r="Q307" s="102"/>
      <c r="R307" s="102"/>
      <c r="S307" s="102"/>
      <c r="T307" s="102"/>
      <c r="U307" s="102"/>
      <c r="V307" s="102"/>
      <c r="W307" s="102"/>
      <c r="X307" s="102"/>
      <c r="Y307" s="102"/>
      <c r="Z307" s="102"/>
      <c r="AA307" s="102"/>
      <c r="AB307" s="102"/>
      <c r="AC307" s="102"/>
      <c r="AD307" s="102"/>
      <c r="AE307" s="102"/>
      <c r="AF307" s="102"/>
      <c r="AG307" s="102"/>
      <c r="AH307" s="102"/>
      <c r="AI307" s="102"/>
      <c r="AJ307" s="102"/>
      <c r="AK307" s="102"/>
      <c r="AL307" s="102"/>
      <c r="AM307" s="102"/>
      <c r="AN307" s="102"/>
      <c r="AO307" s="400"/>
      <c r="AP307" s="90"/>
      <c r="AQ307" s="90"/>
      <c r="AR307" s="90"/>
      <c r="AS307" s="90"/>
      <c r="AT307" s="90"/>
      <c r="AU307" s="90"/>
      <c r="AV307" s="90"/>
      <c r="AW307" s="90"/>
      <c r="AX307" s="90"/>
      <c r="AY307" s="90"/>
      <c r="AZ307" s="90"/>
      <c r="BA307" s="90"/>
      <c r="BB307" s="90"/>
      <c r="BC307" s="90"/>
      <c r="BD307" s="90"/>
      <c r="BE307" s="90"/>
      <c r="BF307" s="90"/>
      <c r="BG307" s="90"/>
      <c r="BH307" s="90"/>
      <c r="BI307" s="90"/>
    </row>
    <row r="308" ht="12.75" customHeight="1">
      <c r="A308" s="90"/>
      <c r="B308" s="90"/>
      <c r="C308" s="400"/>
      <c r="D308" s="90"/>
      <c r="E308" s="102"/>
      <c r="F308" s="90"/>
      <c r="G308" s="90"/>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02"/>
      <c r="AH308" s="102"/>
      <c r="AI308" s="102"/>
      <c r="AJ308" s="102"/>
      <c r="AK308" s="102"/>
      <c r="AL308" s="102"/>
      <c r="AM308" s="102"/>
      <c r="AN308" s="102"/>
      <c r="AO308" s="400"/>
      <c r="AP308" s="90"/>
      <c r="AQ308" s="90"/>
      <c r="AR308" s="90"/>
      <c r="AS308" s="90"/>
      <c r="AT308" s="90"/>
      <c r="AU308" s="90"/>
      <c r="AV308" s="90"/>
      <c r="AW308" s="90"/>
      <c r="AX308" s="90"/>
      <c r="AY308" s="90"/>
      <c r="AZ308" s="90"/>
      <c r="BA308" s="90"/>
      <c r="BB308" s="90"/>
      <c r="BC308" s="90"/>
      <c r="BD308" s="90"/>
      <c r="BE308" s="90"/>
      <c r="BF308" s="90"/>
      <c r="BG308" s="90"/>
      <c r="BH308" s="90"/>
      <c r="BI308" s="90"/>
    </row>
    <row r="309" ht="12.75" customHeight="1">
      <c r="A309" s="90"/>
      <c r="B309" s="90"/>
      <c r="C309" s="400"/>
      <c r="D309" s="90"/>
      <c r="E309" s="102"/>
      <c r="F309" s="90"/>
      <c r="G309" s="90"/>
      <c r="H309" s="102"/>
      <c r="I309" s="102"/>
      <c r="J309" s="102"/>
      <c r="K309" s="102"/>
      <c r="L309" s="102"/>
      <c r="M309" s="102"/>
      <c r="N309" s="102"/>
      <c r="O309" s="102"/>
      <c r="P309" s="102"/>
      <c r="Q309" s="102"/>
      <c r="R309" s="102"/>
      <c r="S309" s="102"/>
      <c r="T309" s="102"/>
      <c r="U309" s="102"/>
      <c r="V309" s="102"/>
      <c r="W309" s="102"/>
      <c r="X309" s="102"/>
      <c r="Y309" s="102"/>
      <c r="Z309" s="102"/>
      <c r="AA309" s="102"/>
      <c r="AB309" s="102"/>
      <c r="AC309" s="102"/>
      <c r="AD309" s="102"/>
      <c r="AE309" s="102"/>
      <c r="AF309" s="102"/>
      <c r="AG309" s="102"/>
      <c r="AH309" s="102"/>
      <c r="AI309" s="102"/>
      <c r="AJ309" s="102"/>
      <c r="AK309" s="102"/>
      <c r="AL309" s="102"/>
      <c r="AM309" s="102"/>
      <c r="AN309" s="102"/>
      <c r="AO309" s="400"/>
      <c r="AP309" s="90"/>
      <c r="AQ309" s="90"/>
      <c r="AR309" s="90"/>
      <c r="AS309" s="90"/>
      <c r="AT309" s="90"/>
      <c r="AU309" s="90"/>
      <c r="AV309" s="90"/>
      <c r="AW309" s="90"/>
      <c r="AX309" s="90"/>
      <c r="AY309" s="90"/>
      <c r="AZ309" s="90"/>
      <c r="BA309" s="90"/>
      <c r="BB309" s="90"/>
      <c r="BC309" s="90"/>
      <c r="BD309" s="90"/>
      <c r="BE309" s="90"/>
      <c r="BF309" s="90"/>
      <c r="BG309" s="90"/>
      <c r="BH309" s="90"/>
      <c r="BI309" s="90"/>
    </row>
    <row r="310" ht="12.75" customHeight="1">
      <c r="A310" s="90"/>
      <c r="B310" s="90"/>
      <c r="C310" s="400"/>
      <c r="D310" s="90"/>
      <c r="E310" s="102"/>
      <c r="F310" s="90"/>
      <c r="G310" s="90"/>
      <c r="H310" s="102"/>
      <c r="I310" s="102"/>
      <c r="J310" s="102"/>
      <c r="K310" s="102"/>
      <c r="L310" s="102"/>
      <c r="M310" s="102"/>
      <c r="N310" s="102"/>
      <c r="O310" s="102"/>
      <c r="P310" s="102"/>
      <c r="Q310" s="102"/>
      <c r="R310" s="102"/>
      <c r="S310" s="102"/>
      <c r="T310" s="102"/>
      <c r="U310" s="102"/>
      <c r="V310" s="102"/>
      <c r="W310" s="102"/>
      <c r="X310" s="102"/>
      <c r="Y310" s="102"/>
      <c r="Z310" s="102"/>
      <c r="AA310" s="102"/>
      <c r="AB310" s="102"/>
      <c r="AC310" s="102"/>
      <c r="AD310" s="102"/>
      <c r="AE310" s="102"/>
      <c r="AF310" s="102"/>
      <c r="AG310" s="102"/>
      <c r="AH310" s="102"/>
      <c r="AI310" s="102"/>
      <c r="AJ310" s="102"/>
      <c r="AK310" s="102"/>
      <c r="AL310" s="102"/>
      <c r="AM310" s="102"/>
      <c r="AN310" s="102"/>
      <c r="AO310" s="400"/>
      <c r="AP310" s="90"/>
      <c r="AQ310" s="90"/>
      <c r="AR310" s="90"/>
      <c r="AS310" s="90"/>
      <c r="AT310" s="90"/>
      <c r="AU310" s="90"/>
      <c r="AV310" s="90"/>
      <c r="AW310" s="90"/>
      <c r="AX310" s="90"/>
      <c r="AY310" s="90"/>
      <c r="AZ310" s="90"/>
      <c r="BA310" s="90"/>
      <c r="BB310" s="90"/>
      <c r="BC310" s="90"/>
      <c r="BD310" s="90"/>
      <c r="BE310" s="90"/>
      <c r="BF310" s="90"/>
      <c r="BG310" s="90"/>
      <c r="BH310" s="90"/>
      <c r="BI310" s="90"/>
    </row>
    <row r="311" ht="12.75" customHeight="1">
      <c r="A311" s="90"/>
      <c r="B311" s="90"/>
      <c r="C311" s="400"/>
      <c r="D311" s="90"/>
      <c r="E311" s="102"/>
      <c r="F311" s="90"/>
      <c r="G311" s="90"/>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102"/>
      <c r="AH311" s="102"/>
      <c r="AI311" s="102"/>
      <c r="AJ311" s="102"/>
      <c r="AK311" s="102"/>
      <c r="AL311" s="102"/>
      <c r="AM311" s="102"/>
      <c r="AN311" s="102"/>
      <c r="AO311" s="400"/>
      <c r="AP311" s="90"/>
      <c r="AQ311" s="90"/>
      <c r="AR311" s="90"/>
      <c r="AS311" s="90"/>
      <c r="AT311" s="90"/>
      <c r="AU311" s="90"/>
      <c r="AV311" s="90"/>
      <c r="AW311" s="90"/>
      <c r="AX311" s="90"/>
      <c r="AY311" s="90"/>
      <c r="AZ311" s="90"/>
      <c r="BA311" s="90"/>
      <c r="BB311" s="90"/>
      <c r="BC311" s="90"/>
      <c r="BD311" s="90"/>
      <c r="BE311" s="90"/>
      <c r="BF311" s="90"/>
      <c r="BG311" s="90"/>
      <c r="BH311" s="90"/>
      <c r="BI311" s="90"/>
    </row>
    <row r="312" ht="12.75" customHeight="1">
      <c r="A312" s="90"/>
      <c r="B312" s="90"/>
      <c r="C312" s="400"/>
      <c r="D312" s="90"/>
      <c r="E312" s="102"/>
      <c r="F312" s="90"/>
      <c r="G312" s="90"/>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102"/>
      <c r="AH312" s="102"/>
      <c r="AI312" s="102"/>
      <c r="AJ312" s="102"/>
      <c r="AK312" s="102"/>
      <c r="AL312" s="102"/>
      <c r="AM312" s="102"/>
      <c r="AN312" s="102"/>
      <c r="AO312" s="400"/>
      <c r="AP312" s="90"/>
      <c r="AQ312" s="90"/>
      <c r="AR312" s="90"/>
      <c r="AS312" s="90"/>
      <c r="AT312" s="90"/>
      <c r="AU312" s="90"/>
      <c r="AV312" s="90"/>
      <c r="AW312" s="90"/>
      <c r="AX312" s="90"/>
      <c r="AY312" s="90"/>
      <c r="AZ312" s="90"/>
      <c r="BA312" s="90"/>
      <c r="BB312" s="90"/>
      <c r="BC312" s="90"/>
      <c r="BD312" s="90"/>
      <c r="BE312" s="90"/>
      <c r="BF312" s="90"/>
      <c r="BG312" s="90"/>
      <c r="BH312" s="90"/>
      <c r="BI312" s="90"/>
    </row>
    <row r="313" ht="12.75" customHeight="1">
      <c r="A313" s="90"/>
      <c r="B313" s="90"/>
      <c r="C313" s="400"/>
      <c r="D313" s="90"/>
      <c r="E313" s="102"/>
      <c r="F313" s="90"/>
      <c r="G313" s="90"/>
      <c r="H313" s="102"/>
      <c r="I313" s="102"/>
      <c r="J313" s="102"/>
      <c r="K313" s="102"/>
      <c r="L313" s="102"/>
      <c r="M313" s="102"/>
      <c r="N313" s="102"/>
      <c r="O313" s="102"/>
      <c r="P313" s="102"/>
      <c r="Q313" s="102"/>
      <c r="R313" s="102"/>
      <c r="S313" s="102"/>
      <c r="T313" s="102"/>
      <c r="U313" s="102"/>
      <c r="V313" s="102"/>
      <c r="W313" s="102"/>
      <c r="X313" s="102"/>
      <c r="Y313" s="102"/>
      <c r="Z313" s="102"/>
      <c r="AA313" s="102"/>
      <c r="AB313" s="102"/>
      <c r="AC313" s="102"/>
      <c r="AD313" s="102"/>
      <c r="AE313" s="102"/>
      <c r="AF313" s="102"/>
      <c r="AG313" s="102"/>
      <c r="AH313" s="102"/>
      <c r="AI313" s="102"/>
      <c r="AJ313" s="102"/>
      <c r="AK313" s="102"/>
      <c r="AL313" s="102"/>
      <c r="AM313" s="102"/>
      <c r="AN313" s="102"/>
      <c r="AO313" s="400"/>
      <c r="AP313" s="90"/>
      <c r="AQ313" s="90"/>
      <c r="AR313" s="90"/>
      <c r="AS313" s="90"/>
      <c r="AT313" s="90"/>
      <c r="AU313" s="90"/>
      <c r="AV313" s="90"/>
      <c r="AW313" s="90"/>
      <c r="AX313" s="90"/>
      <c r="AY313" s="90"/>
      <c r="AZ313" s="90"/>
      <c r="BA313" s="90"/>
      <c r="BB313" s="90"/>
      <c r="BC313" s="90"/>
      <c r="BD313" s="90"/>
      <c r="BE313" s="90"/>
      <c r="BF313" s="90"/>
      <c r="BG313" s="90"/>
      <c r="BH313" s="90"/>
      <c r="BI313" s="90"/>
    </row>
    <row r="314" ht="12.75" customHeight="1">
      <c r="A314" s="90"/>
      <c r="B314" s="90"/>
      <c r="C314" s="400"/>
      <c r="D314" s="90"/>
      <c r="E314" s="102"/>
      <c r="F314" s="90"/>
      <c r="G314" s="90"/>
      <c r="H314" s="102"/>
      <c r="I314" s="102"/>
      <c r="J314" s="102"/>
      <c r="K314" s="102"/>
      <c r="L314" s="102"/>
      <c r="M314" s="102"/>
      <c r="N314" s="102"/>
      <c r="O314" s="102"/>
      <c r="P314" s="102"/>
      <c r="Q314" s="102"/>
      <c r="R314" s="102"/>
      <c r="S314" s="102"/>
      <c r="T314" s="102"/>
      <c r="U314" s="102"/>
      <c r="V314" s="102"/>
      <c r="W314" s="102"/>
      <c r="X314" s="102"/>
      <c r="Y314" s="102"/>
      <c r="Z314" s="102"/>
      <c r="AA314" s="102"/>
      <c r="AB314" s="102"/>
      <c r="AC314" s="102"/>
      <c r="AD314" s="102"/>
      <c r="AE314" s="102"/>
      <c r="AF314" s="102"/>
      <c r="AG314" s="102"/>
      <c r="AH314" s="102"/>
      <c r="AI314" s="102"/>
      <c r="AJ314" s="102"/>
      <c r="AK314" s="102"/>
      <c r="AL314" s="102"/>
      <c r="AM314" s="102"/>
      <c r="AN314" s="102"/>
      <c r="AO314" s="400"/>
      <c r="AP314" s="90"/>
      <c r="AQ314" s="90"/>
      <c r="AR314" s="90"/>
      <c r="AS314" s="90"/>
      <c r="AT314" s="90"/>
      <c r="AU314" s="90"/>
      <c r="AV314" s="90"/>
      <c r="AW314" s="90"/>
      <c r="AX314" s="90"/>
      <c r="AY314" s="90"/>
      <c r="AZ314" s="90"/>
      <c r="BA314" s="90"/>
      <c r="BB314" s="90"/>
      <c r="BC314" s="90"/>
      <c r="BD314" s="90"/>
      <c r="BE314" s="90"/>
      <c r="BF314" s="90"/>
      <c r="BG314" s="90"/>
      <c r="BH314" s="90"/>
      <c r="BI314" s="90"/>
    </row>
    <row r="315" ht="12.75" customHeight="1">
      <c r="A315" s="90"/>
      <c r="B315" s="90"/>
      <c r="C315" s="400"/>
      <c r="D315" s="90"/>
      <c r="E315" s="102"/>
      <c r="F315" s="90"/>
      <c r="G315" s="90"/>
      <c r="H315" s="102"/>
      <c r="I315" s="102"/>
      <c r="J315" s="102"/>
      <c r="K315" s="102"/>
      <c r="L315" s="102"/>
      <c r="M315" s="102"/>
      <c r="N315" s="102"/>
      <c r="O315" s="102"/>
      <c r="P315" s="102"/>
      <c r="Q315" s="102"/>
      <c r="R315" s="102"/>
      <c r="S315" s="102"/>
      <c r="T315" s="102"/>
      <c r="U315" s="102"/>
      <c r="V315" s="102"/>
      <c r="W315" s="102"/>
      <c r="X315" s="102"/>
      <c r="Y315" s="102"/>
      <c r="Z315" s="102"/>
      <c r="AA315" s="102"/>
      <c r="AB315" s="102"/>
      <c r="AC315" s="102"/>
      <c r="AD315" s="102"/>
      <c r="AE315" s="102"/>
      <c r="AF315" s="102"/>
      <c r="AG315" s="102"/>
      <c r="AH315" s="102"/>
      <c r="AI315" s="102"/>
      <c r="AJ315" s="102"/>
      <c r="AK315" s="102"/>
      <c r="AL315" s="102"/>
      <c r="AM315" s="102"/>
      <c r="AN315" s="102"/>
      <c r="AO315" s="400"/>
      <c r="AP315" s="90"/>
      <c r="AQ315" s="90"/>
      <c r="AR315" s="90"/>
      <c r="AS315" s="90"/>
      <c r="AT315" s="90"/>
      <c r="AU315" s="90"/>
      <c r="AV315" s="90"/>
      <c r="AW315" s="90"/>
      <c r="AX315" s="90"/>
      <c r="AY315" s="90"/>
      <c r="AZ315" s="90"/>
      <c r="BA315" s="90"/>
      <c r="BB315" s="90"/>
      <c r="BC315" s="90"/>
      <c r="BD315" s="90"/>
      <c r="BE315" s="90"/>
      <c r="BF315" s="90"/>
      <c r="BG315" s="90"/>
      <c r="BH315" s="90"/>
      <c r="BI315" s="90"/>
    </row>
    <row r="316" ht="12.75" customHeight="1">
      <c r="A316" s="90"/>
      <c r="B316" s="90"/>
      <c r="C316" s="400"/>
      <c r="D316" s="90"/>
      <c r="E316" s="102"/>
      <c r="F316" s="90"/>
      <c r="G316" s="90"/>
      <c r="H316" s="102"/>
      <c r="I316" s="102"/>
      <c r="J316" s="102"/>
      <c r="K316" s="102"/>
      <c r="L316" s="102"/>
      <c r="M316" s="102"/>
      <c r="N316" s="102"/>
      <c r="O316" s="102"/>
      <c r="P316" s="102"/>
      <c r="Q316" s="102"/>
      <c r="R316" s="102"/>
      <c r="S316" s="102"/>
      <c r="T316" s="102"/>
      <c r="U316" s="102"/>
      <c r="V316" s="102"/>
      <c r="W316" s="102"/>
      <c r="X316" s="102"/>
      <c r="Y316" s="102"/>
      <c r="Z316" s="102"/>
      <c r="AA316" s="102"/>
      <c r="AB316" s="102"/>
      <c r="AC316" s="102"/>
      <c r="AD316" s="102"/>
      <c r="AE316" s="102"/>
      <c r="AF316" s="102"/>
      <c r="AG316" s="102"/>
      <c r="AH316" s="102"/>
      <c r="AI316" s="102"/>
      <c r="AJ316" s="102"/>
      <c r="AK316" s="102"/>
      <c r="AL316" s="102"/>
      <c r="AM316" s="102"/>
      <c r="AN316" s="102"/>
      <c r="AO316" s="400"/>
      <c r="AP316" s="90"/>
      <c r="AQ316" s="90"/>
      <c r="AR316" s="90"/>
      <c r="AS316" s="90"/>
      <c r="AT316" s="90"/>
      <c r="AU316" s="90"/>
      <c r="AV316" s="90"/>
      <c r="AW316" s="90"/>
      <c r="AX316" s="90"/>
      <c r="AY316" s="90"/>
      <c r="AZ316" s="90"/>
      <c r="BA316" s="90"/>
      <c r="BB316" s="90"/>
      <c r="BC316" s="90"/>
      <c r="BD316" s="90"/>
      <c r="BE316" s="90"/>
      <c r="BF316" s="90"/>
      <c r="BG316" s="90"/>
      <c r="BH316" s="90"/>
      <c r="BI316" s="90"/>
    </row>
    <row r="317" ht="12.75" customHeight="1">
      <c r="A317" s="90"/>
      <c r="B317" s="90"/>
      <c r="C317" s="400"/>
      <c r="D317" s="90"/>
      <c r="E317" s="102"/>
      <c r="F317" s="90"/>
      <c r="G317" s="90"/>
      <c r="H317" s="102"/>
      <c r="I317" s="102"/>
      <c r="J317" s="102"/>
      <c r="K317" s="102"/>
      <c r="L317" s="102"/>
      <c r="M317" s="102"/>
      <c r="N317" s="102"/>
      <c r="O317" s="102"/>
      <c r="P317" s="102"/>
      <c r="Q317" s="102"/>
      <c r="R317" s="102"/>
      <c r="S317" s="102"/>
      <c r="T317" s="102"/>
      <c r="U317" s="102"/>
      <c r="V317" s="102"/>
      <c r="W317" s="102"/>
      <c r="X317" s="102"/>
      <c r="Y317" s="102"/>
      <c r="Z317" s="102"/>
      <c r="AA317" s="102"/>
      <c r="AB317" s="102"/>
      <c r="AC317" s="102"/>
      <c r="AD317" s="102"/>
      <c r="AE317" s="102"/>
      <c r="AF317" s="102"/>
      <c r="AG317" s="102"/>
      <c r="AH317" s="102"/>
      <c r="AI317" s="102"/>
      <c r="AJ317" s="102"/>
      <c r="AK317" s="102"/>
      <c r="AL317" s="102"/>
      <c r="AM317" s="102"/>
      <c r="AN317" s="102"/>
      <c r="AO317" s="400"/>
      <c r="AP317" s="90"/>
      <c r="AQ317" s="90"/>
      <c r="AR317" s="90"/>
      <c r="AS317" s="90"/>
      <c r="AT317" s="90"/>
      <c r="AU317" s="90"/>
      <c r="AV317" s="90"/>
      <c r="AW317" s="90"/>
      <c r="AX317" s="90"/>
      <c r="AY317" s="90"/>
      <c r="AZ317" s="90"/>
      <c r="BA317" s="90"/>
      <c r="BB317" s="90"/>
      <c r="BC317" s="90"/>
      <c r="BD317" s="90"/>
      <c r="BE317" s="90"/>
      <c r="BF317" s="90"/>
      <c r="BG317" s="90"/>
      <c r="BH317" s="90"/>
      <c r="BI317" s="90"/>
    </row>
    <row r="318" ht="12.75" customHeight="1">
      <c r="A318" s="90"/>
      <c r="B318" s="90"/>
      <c r="C318" s="400"/>
      <c r="D318" s="90"/>
      <c r="E318" s="102"/>
      <c r="F318" s="90"/>
      <c r="G318" s="90"/>
      <c r="H318" s="102"/>
      <c r="I318" s="102"/>
      <c r="J318" s="102"/>
      <c r="K318" s="102"/>
      <c r="L318" s="102"/>
      <c r="M318" s="102"/>
      <c r="N318" s="102"/>
      <c r="O318" s="102"/>
      <c r="P318" s="102"/>
      <c r="Q318" s="102"/>
      <c r="R318" s="102"/>
      <c r="S318" s="102"/>
      <c r="T318" s="102"/>
      <c r="U318" s="102"/>
      <c r="V318" s="102"/>
      <c r="W318" s="102"/>
      <c r="X318" s="102"/>
      <c r="Y318" s="102"/>
      <c r="Z318" s="102"/>
      <c r="AA318" s="102"/>
      <c r="AB318" s="102"/>
      <c r="AC318" s="102"/>
      <c r="AD318" s="102"/>
      <c r="AE318" s="102"/>
      <c r="AF318" s="102"/>
      <c r="AG318" s="102"/>
      <c r="AH318" s="102"/>
      <c r="AI318" s="102"/>
      <c r="AJ318" s="102"/>
      <c r="AK318" s="102"/>
      <c r="AL318" s="102"/>
      <c r="AM318" s="102"/>
      <c r="AN318" s="102"/>
      <c r="AO318" s="400"/>
      <c r="AP318" s="90"/>
      <c r="AQ318" s="90"/>
      <c r="AR318" s="90"/>
      <c r="AS318" s="90"/>
      <c r="AT318" s="90"/>
      <c r="AU318" s="90"/>
      <c r="AV318" s="90"/>
      <c r="AW318" s="90"/>
      <c r="AX318" s="90"/>
      <c r="AY318" s="90"/>
      <c r="AZ318" s="90"/>
      <c r="BA318" s="90"/>
      <c r="BB318" s="90"/>
      <c r="BC318" s="90"/>
      <c r="BD318" s="90"/>
      <c r="BE318" s="90"/>
      <c r="BF318" s="90"/>
      <c r="BG318" s="90"/>
      <c r="BH318" s="90"/>
      <c r="BI318" s="90"/>
    </row>
    <row r="319" ht="12.75" customHeight="1">
      <c r="A319" s="90"/>
      <c r="B319" s="90"/>
      <c r="C319" s="400"/>
      <c r="D319" s="90"/>
      <c r="E319" s="102"/>
      <c r="F319" s="90"/>
      <c r="G319" s="90"/>
      <c r="H319" s="102"/>
      <c r="I319" s="102"/>
      <c r="J319" s="102"/>
      <c r="K319" s="102"/>
      <c r="L319" s="102"/>
      <c r="M319" s="102"/>
      <c r="N319" s="102"/>
      <c r="O319" s="102"/>
      <c r="P319" s="102"/>
      <c r="Q319" s="102"/>
      <c r="R319" s="102"/>
      <c r="S319" s="102"/>
      <c r="T319" s="102"/>
      <c r="U319" s="102"/>
      <c r="V319" s="102"/>
      <c r="W319" s="102"/>
      <c r="X319" s="102"/>
      <c r="Y319" s="102"/>
      <c r="Z319" s="102"/>
      <c r="AA319" s="102"/>
      <c r="AB319" s="102"/>
      <c r="AC319" s="102"/>
      <c r="AD319" s="102"/>
      <c r="AE319" s="102"/>
      <c r="AF319" s="102"/>
      <c r="AG319" s="102"/>
      <c r="AH319" s="102"/>
      <c r="AI319" s="102"/>
      <c r="AJ319" s="102"/>
      <c r="AK319" s="102"/>
      <c r="AL319" s="102"/>
      <c r="AM319" s="102"/>
      <c r="AN319" s="102"/>
      <c r="AO319" s="400"/>
      <c r="AP319" s="90"/>
      <c r="AQ319" s="90"/>
      <c r="AR319" s="90"/>
      <c r="AS319" s="90"/>
      <c r="AT319" s="90"/>
      <c r="AU319" s="90"/>
      <c r="AV319" s="90"/>
      <c r="AW319" s="90"/>
      <c r="AX319" s="90"/>
      <c r="AY319" s="90"/>
      <c r="AZ319" s="90"/>
      <c r="BA319" s="90"/>
      <c r="BB319" s="90"/>
      <c r="BC319" s="90"/>
      <c r="BD319" s="90"/>
      <c r="BE319" s="90"/>
      <c r="BF319" s="90"/>
      <c r="BG319" s="90"/>
      <c r="BH319" s="90"/>
      <c r="BI319" s="90"/>
    </row>
    <row r="320" ht="12.75" customHeight="1">
      <c r="A320" s="90"/>
      <c r="B320" s="90"/>
      <c r="C320" s="400"/>
      <c r="D320" s="90"/>
      <c r="E320" s="102"/>
      <c r="F320" s="90"/>
      <c r="G320" s="90"/>
      <c r="H320" s="102"/>
      <c r="I320" s="102"/>
      <c r="J320" s="102"/>
      <c r="K320" s="102"/>
      <c r="L320" s="102"/>
      <c r="M320" s="102"/>
      <c r="N320" s="102"/>
      <c r="O320" s="102"/>
      <c r="P320" s="102"/>
      <c r="Q320" s="102"/>
      <c r="R320" s="102"/>
      <c r="S320" s="102"/>
      <c r="T320" s="102"/>
      <c r="U320" s="102"/>
      <c r="V320" s="102"/>
      <c r="W320" s="102"/>
      <c r="X320" s="102"/>
      <c r="Y320" s="102"/>
      <c r="Z320" s="102"/>
      <c r="AA320" s="102"/>
      <c r="AB320" s="102"/>
      <c r="AC320" s="102"/>
      <c r="AD320" s="102"/>
      <c r="AE320" s="102"/>
      <c r="AF320" s="102"/>
      <c r="AG320" s="102"/>
      <c r="AH320" s="102"/>
      <c r="AI320" s="102"/>
      <c r="AJ320" s="102"/>
      <c r="AK320" s="102"/>
      <c r="AL320" s="102"/>
      <c r="AM320" s="102"/>
      <c r="AN320" s="102"/>
      <c r="AO320" s="400"/>
      <c r="AP320" s="90"/>
      <c r="AQ320" s="90"/>
      <c r="AR320" s="90"/>
      <c r="AS320" s="90"/>
      <c r="AT320" s="90"/>
      <c r="AU320" s="90"/>
      <c r="AV320" s="90"/>
      <c r="AW320" s="90"/>
      <c r="AX320" s="90"/>
      <c r="AY320" s="90"/>
      <c r="AZ320" s="90"/>
      <c r="BA320" s="90"/>
      <c r="BB320" s="90"/>
      <c r="BC320" s="90"/>
      <c r="BD320" s="90"/>
      <c r="BE320" s="90"/>
      <c r="BF320" s="90"/>
      <c r="BG320" s="90"/>
      <c r="BH320" s="90"/>
      <c r="BI320" s="90"/>
    </row>
    <row r="321" ht="12.75" customHeight="1">
      <c r="A321" s="90"/>
      <c r="B321" s="90"/>
      <c r="C321" s="400"/>
      <c r="D321" s="90"/>
      <c r="E321" s="102"/>
      <c r="F321" s="90"/>
      <c r="G321" s="90"/>
      <c r="H321" s="102"/>
      <c r="I321" s="102"/>
      <c r="J321" s="102"/>
      <c r="K321" s="102"/>
      <c r="L321" s="102"/>
      <c r="M321" s="102"/>
      <c r="N321" s="102"/>
      <c r="O321" s="102"/>
      <c r="P321" s="102"/>
      <c r="Q321" s="102"/>
      <c r="R321" s="102"/>
      <c r="S321" s="102"/>
      <c r="T321" s="102"/>
      <c r="U321" s="102"/>
      <c r="V321" s="102"/>
      <c r="W321" s="102"/>
      <c r="X321" s="102"/>
      <c r="Y321" s="102"/>
      <c r="Z321" s="102"/>
      <c r="AA321" s="102"/>
      <c r="AB321" s="102"/>
      <c r="AC321" s="102"/>
      <c r="AD321" s="102"/>
      <c r="AE321" s="102"/>
      <c r="AF321" s="102"/>
      <c r="AG321" s="102"/>
      <c r="AH321" s="102"/>
      <c r="AI321" s="102"/>
      <c r="AJ321" s="102"/>
      <c r="AK321" s="102"/>
      <c r="AL321" s="102"/>
      <c r="AM321" s="102"/>
      <c r="AN321" s="102"/>
      <c r="AO321" s="400"/>
      <c r="AP321" s="90"/>
      <c r="AQ321" s="90"/>
      <c r="AR321" s="90"/>
      <c r="AS321" s="90"/>
      <c r="AT321" s="90"/>
      <c r="AU321" s="90"/>
      <c r="AV321" s="90"/>
      <c r="AW321" s="90"/>
      <c r="AX321" s="90"/>
      <c r="AY321" s="90"/>
      <c r="AZ321" s="90"/>
      <c r="BA321" s="90"/>
      <c r="BB321" s="90"/>
      <c r="BC321" s="90"/>
      <c r="BD321" s="90"/>
      <c r="BE321" s="90"/>
      <c r="BF321" s="90"/>
      <c r="BG321" s="90"/>
      <c r="BH321" s="90"/>
      <c r="BI321" s="90"/>
    </row>
    <row r="322" ht="12.75" customHeight="1">
      <c r="A322" s="90"/>
      <c r="B322" s="90"/>
      <c r="C322" s="400"/>
      <c r="D322" s="90"/>
      <c r="E322" s="102"/>
      <c r="F322" s="90"/>
      <c r="G322" s="90"/>
      <c r="H322" s="102"/>
      <c r="I322" s="102"/>
      <c r="J322" s="102"/>
      <c r="K322" s="102"/>
      <c r="L322" s="102"/>
      <c r="M322" s="102"/>
      <c r="N322" s="102"/>
      <c r="O322" s="102"/>
      <c r="P322" s="102"/>
      <c r="Q322" s="102"/>
      <c r="R322" s="102"/>
      <c r="S322" s="102"/>
      <c r="T322" s="102"/>
      <c r="U322" s="102"/>
      <c r="V322" s="102"/>
      <c r="W322" s="102"/>
      <c r="X322" s="102"/>
      <c r="Y322" s="102"/>
      <c r="Z322" s="102"/>
      <c r="AA322" s="102"/>
      <c r="AB322" s="102"/>
      <c r="AC322" s="102"/>
      <c r="AD322" s="102"/>
      <c r="AE322" s="102"/>
      <c r="AF322" s="102"/>
      <c r="AG322" s="102"/>
      <c r="AH322" s="102"/>
      <c r="AI322" s="102"/>
      <c r="AJ322" s="102"/>
      <c r="AK322" s="102"/>
      <c r="AL322" s="102"/>
      <c r="AM322" s="102"/>
      <c r="AN322" s="102"/>
      <c r="AO322" s="400"/>
      <c r="AP322" s="90"/>
      <c r="AQ322" s="90"/>
      <c r="AR322" s="90"/>
      <c r="AS322" s="90"/>
      <c r="AT322" s="90"/>
      <c r="AU322" s="90"/>
      <c r="AV322" s="90"/>
      <c r="AW322" s="90"/>
      <c r="AX322" s="90"/>
      <c r="AY322" s="90"/>
      <c r="AZ322" s="90"/>
      <c r="BA322" s="90"/>
      <c r="BB322" s="90"/>
      <c r="BC322" s="90"/>
      <c r="BD322" s="90"/>
      <c r="BE322" s="90"/>
      <c r="BF322" s="90"/>
      <c r="BG322" s="90"/>
      <c r="BH322" s="90"/>
      <c r="BI322" s="90"/>
    </row>
    <row r="323" ht="12.75" customHeight="1">
      <c r="A323" s="90"/>
      <c r="B323" s="90"/>
      <c r="C323" s="400"/>
      <c r="D323" s="90"/>
      <c r="E323" s="102"/>
      <c r="F323" s="90"/>
      <c r="G323" s="90"/>
      <c r="H323" s="102"/>
      <c r="I323" s="102"/>
      <c r="J323" s="102"/>
      <c r="K323" s="102"/>
      <c r="L323" s="102"/>
      <c r="M323" s="102"/>
      <c r="N323" s="102"/>
      <c r="O323" s="102"/>
      <c r="P323" s="102"/>
      <c r="Q323" s="102"/>
      <c r="R323" s="102"/>
      <c r="S323" s="102"/>
      <c r="T323" s="102"/>
      <c r="U323" s="102"/>
      <c r="V323" s="102"/>
      <c r="W323" s="102"/>
      <c r="X323" s="102"/>
      <c r="Y323" s="102"/>
      <c r="Z323" s="102"/>
      <c r="AA323" s="102"/>
      <c r="AB323" s="102"/>
      <c r="AC323" s="102"/>
      <c r="AD323" s="102"/>
      <c r="AE323" s="102"/>
      <c r="AF323" s="102"/>
      <c r="AG323" s="102"/>
      <c r="AH323" s="102"/>
      <c r="AI323" s="102"/>
      <c r="AJ323" s="102"/>
      <c r="AK323" s="102"/>
      <c r="AL323" s="102"/>
      <c r="AM323" s="102"/>
      <c r="AN323" s="102"/>
      <c r="AO323" s="400"/>
      <c r="AP323" s="90"/>
      <c r="AQ323" s="90"/>
      <c r="AR323" s="90"/>
      <c r="AS323" s="90"/>
      <c r="AT323" s="90"/>
      <c r="AU323" s="90"/>
      <c r="AV323" s="90"/>
      <c r="AW323" s="90"/>
      <c r="AX323" s="90"/>
      <c r="AY323" s="90"/>
      <c r="AZ323" s="90"/>
      <c r="BA323" s="90"/>
      <c r="BB323" s="90"/>
      <c r="BC323" s="90"/>
      <c r="BD323" s="90"/>
      <c r="BE323" s="90"/>
      <c r="BF323" s="90"/>
      <c r="BG323" s="90"/>
      <c r="BH323" s="90"/>
      <c r="BI323" s="90"/>
    </row>
    <row r="324" ht="12.75" customHeight="1">
      <c r="A324" s="90"/>
      <c r="B324" s="90"/>
      <c r="C324" s="400"/>
      <c r="D324" s="90"/>
      <c r="E324" s="102"/>
      <c r="F324" s="90"/>
      <c r="G324" s="90"/>
      <c r="H324" s="102"/>
      <c r="I324" s="102"/>
      <c r="J324" s="102"/>
      <c r="K324" s="102"/>
      <c r="L324" s="102"/>
      <c r="M324" s="102"/>
      <c r="N324" s="102"/>
      <c r="O324" s="102"/>
      <c r="P324" s="102"/>
      <c r="Q324" s="102"/>
      <c r="R324" s="102"/>
      <c r="S324" s="102"/>
      <c r="T324" s="102"/>
      <c r="U324" s="102"/>
      <c r="V324" s="102"/>
      <c r="W324" s="102"/>
      <c r="X324" s="102"/>
      <c r="Y324" s="102"/>
      <c r="Z324" s="102"/>
      <c r="AA324" s="102"/>
      <c r="AB324" s="102"/>
      <c r="AC324" s="102"/>
      <c r="AD324" s="102"/>
      <c r="AE324" s="102"/>
      <c r="AF324" s="102"/>
      <c r="AG324" s="102"/>
      <c r="AH324" s="102"/>
      <c r="AI324" s="102"/>
      <c r="AJ324" s="102"/>
      <c r="AK324" s="102"/>
      <c r="AL324" s="102"/>
      <c r="AM324" s="102"/>
      <c r="AN324" s="102"/>
      <c r="AO324" s="400"/>
      <c r="AP324" s="90"/>
      <c r="AQ324" s="90"/>
      <c r="AR324" s="90"/>
      <c r="AS324" s="90"/>
      <c r="AT324" s="90"/>
      <c r="AU324" s="90"/>
      <c r="AV324" s="90"/>
      <c r="AW324" s="90"/>
      <c r="AX324" s="90"/>
      <c r="AY324" s="90"/>
      <c r="AZ324" s="90"/>
      <c r="BA324" s="90"/>
      <c r="BB324" s="90"/>
      <c r="BC324" s="90"/>
      <c r="BD324" s="90"/>
      <c r="BE324" s="90"/>
      <c r="BF324" s="90"/>
      <c r="BG324" s="90"/>
      <c r="BH324" s="90"/>
      <c r="BI324" s="90"/>
    </row>
    <row r="325" ht="12.75" customHeight="1">
      <c r="A325" s="90"/>
      <c r="B325" s="90"/>
      <c r="C325" s="400"/>
      <c r="D325" s="90"/>
      <c r="E325" s="102"/>
      <c r="F325" s="90"/>
      <c r="G325" s="90"/>
      <c r="H325" s="102"/>
      <c r="I325" s="102"/>
      <c r="J325" s="102"/>
      <c r="K325" s="102"/>
      <c r="L325" s="102"/>
      <c r="M325" s="102"/>
      <c r="N325" s="102"/>
      <c r="O325" s="102"/>
      <c r="P325" s="102"/>
      <c r="Q325" s="102"/>
      <c r="R325" s="102"/>
      <c r="S325" s="102"/>
      <c r="T325" s="102"/>
      <c r="U325" s="102"/>
      <c r="V325" s="102"/>
      <c r="W325" s="102"/>
      <c r="X325" s="102"/>
      <c r="Y325" s="102"/>
      <c r="Z325" s="102"/>
      <c r="AA325" s="102"/>
      <c r="AB325" s="102"/>
      <c r="AC325" s="102"/>
      <c r="AD325" s="102"/>
      <c r="AE325" s="102"/>
      <c r="AF325" s="102"/>
      <c r="AG325" s="102"/>
      <c r="AH325" s="102"/>
      <c r="AI325" s="102"/>
      <c r="AJ325" s="102"/>
      <c r="AK325" s="102"/>
      <c r="AL325" s="102"/>
      <c r="AM325" s="102"/>
      <c r="AN325" s="102"/>
      <c r="AO325" s="400"/>
      <c r="AP325" s="90"/>
      <c r="AQ325" s="90"/>
      <c r="AR325" s="90"/>
      <c r="AS325" s="90"/>
      <c r="AT325" s="90"/>
      <c r="AU325" s="90"/>
      <c r="AV325" s="90"/>
      <c r="AW325" s="90"/>
      <c r="AX325" s="90"/>
      <c r="AY325" s="90"/>
      <c r="AZ325" s="90"/>
      <c r="BA325" s="90"/>
      <c r="BB325" s="90"/>
      <c r="BC325" s="90"/>
      <c r="BD325" s="90"/>
      <c r="BE325" s="90"/>
      <c r="BF325" s="90"/>
      <c r="BG325" s="90"/>
      <c r="BH325" s="90"/>
      <c r="BI325" s="90"/>
    </row>
    <row r="326" ht="12.75" customHeight="1">
      <c r="A326" s="90"/>
      <c r="B326" s="90"/>
      <c r="C326" s="400"/>
      <c r="D326" s="90"/>
      <c r="E326" s="102"/>
      <c r="F326" s="90"/>
      <c r="G326" s="90"/>
      <c r="H326" s="102"/>
      <c r="I326" s="102"/>
      <c r="J326" s="102"/>
      <c r="K326" s="102"/>
      <c r="L326" s="102"/>
      <c r="M326" s="102"/>
      <c r="N326" s="102"/>
      <c r="O326" s="102"/>
      <c r="P326" s="102"/>
      <c r="Q326" s="102"/>
      <c r="R326" s="102"/>
      <c r="S326" s="102"/>
      <c r="T326" s="102"/>
      <c r="U326" s="102"/>
      <c r="V326" s="102"/>
      <c r="W326" s="102"/>
      <c r="X326" s="102"/>
      <c r="Y326" s="102"/>
      <c r="Z326" s="102"/>
      <c r="AA326" s="102"/>
      <c r="AB326" s="102"/>
      <c r="AC326" s="102"/>
      <c r="AD326" s="102"/>
      <c r="AE326" s="102"/>
      <c r="AF326" s="102"/>
      <c r="AG326" s="102"/>
      <c r="AH326" s="102"/>
      <c r="AI326" s="102"/>
      <c r="AJ326" s="102"/>
      <c r="AK326" s="102"/>
      <c r="AL326" s="102"/>
      <c r="AM326" s="102"/>
      <c r="AN326" s="102"/>
      <c r="AO326" s="400"/>
      <c r="AP326" s="90"/>
      <c r="AQ326" s="90"/>
      <c r="AR326" s="90"/>
      <c r="AS326" s="90"/>
      <c r="AT326" s="90"/>
      <c r="AU326" s="90"/>
      <c r="AV326" s="90"/>
      <c r="AW326" s="90"/>
      <c r="AX326" s="90"/>
      <c r="AY326" s="90"/>
      <c r="AZ326" s="90"/>
      <c r="BA326" s="90"/>
      <c r="BB326" s="90"/>
      <c r="BC326" s="90"/>
      <c r="BD326" s="90"/>
      <c r="BE326" s="90"/>
      <c r="BF326" s="90"/>
      <c r="BG326" s="90"/>
      <c r="BH326" s="90"/>
      <c r="BI326" s="90"/>
    </row>
    <row r="327" ht="12.75" customHeight="1">
      <c r="A327" s="90"/>
      <c r="B327" s="90"/>
      <c r="C327" s="400"/>
      <c r="D327" s="90"/>
      <c r="E327" s="102"/>
      <c r="F327" s="90"/>
      <c r="G327" s="90"/>
      <c r="H327" s="102"/>
      <c r="I327" s="102"/>
      <c r="J327" s="102"/>
      <c r="K327" s="102"/>
      <c r="L327" s="102"/>
      <c r="M327" s="102"/>
      <c r="N327" s="102"/>
      <c r="O327" s="102"/>
      <c r="P327" s="102"/>
      <c r="Q327" s="102"/>
      <c r="R327" s="102"/>
      <c r="S327" s="102"/>
      <c r="T327" s="102"/>
      <c r="U327" s="102"/>
      <c r="V327" s="102"/>
      <c r="W327" s="102"/>
      <c r="X327" s="102"/>
      <c r="Y327" s="102"/>
      <c r="Z327" s="102"/>
      <c r="AA327" s="102"/>
      <c r="AB327" s="102"/>
      <c r="AC327" s="102"/>
      <c r="AD327" s="102"/>
      <c r="AE327" s="102"/>
      <c r="AF327" s="102"/>
      <c r="AG327" s="102"/>
      <c r="AH327" s="102"/>
      <c r="AI327" s="102"/>
      <c r="AJ327" s="102"/>
      <c r="AK327" s="102"/>
      <c r="AL327" s="102"/>
      <c r="AM327" s="102"/>
      <c r="AN327" s="102"/>
      <c r="AO327" s="400"/>
      <c r="AP327" s="90"/>
      <c r="AQ327" s="90"/>
      <c r="AR327" s="90"/>
      <c r="AS327" s="90"/>
      <c r="AT327" s="90"/>
      <c r="AU327" s="90"/>
      <c r="AV327" s="90"/>
      <c r="AW327" s="90"/>
      <c r="AX327" s="90"/>
      <c r="AY327" s="90"/>
      <c r="AZ327" s="90"/>
      <c r="BA327" s="90"/>
      <c r="BB327" s="90"/>
      <c r="BC327" s="90"/>
      <c r="BD327" s="90"/>
      <c r="BE327" s="90"/>
      <c r="BF327" s="90"/>
      <c r="BG327" s="90"/>
      <c r="BH327" s="90"/>
      <c r="BI327" s="90"/>
    </row>
    <row r="328" ht="12.75" customHeight="1">
      <c r="A328" s="90"/>
      <c r="B328" s="90"/>
      <c r="C328" s="400"/>
      <c r="D328" s="90"/>
      <c r="E328" s="102"/>
      <c r="F328" s="90"/>
      <c r="G328" s="90"/>
      <c r="H328" s="102"/>
      <c r="I328" s="102"/>
      <c r="J328" s="102"/>
      <c r="K328" s="102"/>
      <c r="L328" s="102"/>
      <c r="M328" s="102"/>
      <c r="N328" s="102"/>
      <c r="O328" s="102"/>
      <c r="P328" s="102"/>
      <c r="Q328" s="102"/>
      <c r="R328" s="102"/>
      <c r="S328" s="102"/>
      <c r="T328" s="102"/>
      <c r="U328" s="102"/>
      <c r="V328" s="102"/>
      <c r="W328" s="102"/>
      <c r="X328" s="102"/>
      <c r="Y328" s="102"/>
      <c r="Z328" s="102"/>
      <c r="AA328" s="102"/>
      <c r="AB328" s="102"/>
      <c r="AC328" s="102"/>
      <c r="AD328" s="102"/>
      <c r="AE328" s="102"/>
      <c r="AF328" s="102"/>
      <c r="AG328" s="102"/>
      <c r="AH328" s="102"/>
      <c r="AI328" s="102"/>
      <c r="AJ328" s="102"/>
      <c r="AK328" s="102"/>
      <c r="AL328" s="102"/>
      <c r="AM328" s="102"/>
      <c r="AN328" s="102"/>
      <c r="AO328" s="400"/>
      <c r="AP328" s="90"/>
      <c r="AQ328" s="90"/>
      <c r="AR328" s="90"/>
      <c r="AS328" s="90"/>
      <c r="AT328" s="90"/>
      <c r="AU328" s="90"/>
      <c r="AV328" s="90"/>
      <c r="AW328" s="90"/>
      <c r="AX328" s="90"/>
      <c r="AY328" s="90"/>
      <c r="AZ328" s="90"/>
      <c r="BA328" s="90"/>
      <c r="BB328" s="90"/>
      <c r="BC328" s="90"/>
      <c r="BD328" s="90"/>
      <c r="BE328" s="90"/>
      <c r="BF328" s="90"/>
      <c r="BG328" s="90"/>
      <c r="BH328" s="90"/>
      <c r="BI328" s="90"/>
    </row>
    <row r="329" ht="12.75" customHeight="1">
      <c r="A329" s="90"/>
      <c r="B329" s="90"/>
      <c r="C329" s="400"/>
      <c r="D329" s="90"/>
      <c r="E329" s="102"/>
      <c r="F329" s="90"/>
      <c r="G329" s="90"/>
      <c r="H329" s="102"/>
      <c r="I329" s="102"/>
      <c r="J329" s="102"/>
      <c r="K329" s="102"/>
      <c r="L329" s="102"/>
      <c r="M329" s="102"/>
      <c r="N329" s="102"/>
      <c r="O329" s="102"/>
      <c r="P329" s="102"/>
      <c r="Q329" s="102"/>
      <c r="R329" s="102"/>
      <c r="S329" s="102"/>
      <c r="T329" s="102"/>
      <c r="U329" s="102"/>
      <c r="V329" s="102"/>
      <c r="W329" s="102"/>
      <c r="X329" s="102"/>
      <c r="Y329" s="102"/>
      <c r="Z329" s="102"/>
      <c r="AA329" s="102"/>
      <c r="AB329" s="102"/>
      <c r="AC329" s="102"/>
      <c r="AD329" s="102"/>
      <c r="AE329" s="102"/>
      <c r="AF329" s="102"/>
      <c r="AG329" s="102"/>
      <c r="AH329" s="102"/>
      <c r="AI329" s="102"/>
      <c r="AJ329" s="102"/>
      <c r="AK329" s="102"/>
      <c r="AL329" s="102"/>
      <c r="AM329" s="102"/>
      <c r="AN329" s="102"/>
      <c r="AO329" s="400"/>
      <c r="AP329" s="90"/>
      <c r="AQ329" s="90"/>
      <c r="AR329" s="90"/>
      <c r="AS329" s="90"/>
      <c r="AT329" s="90"/>
      <c r="AU329" s="90"/>
      <c r="AV329" s="90"/>
      <c r="AW329" s="90"/>
      <c r="AX329" s="90"/>
      <c r="AY329" s="90"/>
      <c r="AZ329" s="90"/>
      <c r="BA329" s="90"/>
      <c r="BB329" s="90"/>
      <c r="BC329" s="90"/>
      <c r="BD329" s="90"/>
      <c r="BE329" s="90"/>
      <c r="BF329" s="90"/>
      <c r="BG329" s="90"/>
      <c r="BH329" s="90"/>
      <c r="BI329" s="90"/>
    </row>
    <row r="330" ht="12.75" customHeight="1">
      <c r="A330" s="90"/>
      <c r="B330" s="90"/>
      <c r="C330" s="400"/>
      <c r="D330" s="90"/>
      <c r="E330" s="102"/>
      <c r="F330" s="90"/>
      <c r="G330" s="90"/>
      <c r="H330" s="102"/>
      <c r="I330" s="102"/>
      <c r="J330" s="102"/>
      <c r="K330" s="102"/>
      <c r="L330" s="102"/>
      <c r="M330" s="102"/>
      <c r="N330" s="102"/>
      <c r="O330" s="102"/>
      <c r="P330" s="102"/>
      <c r="Q330" s="102"/>
      <c r="R330" s="102"/>
      <c r="S330" s="102"/>
      <c r="T330" s="102"/>
      <c r="U330" s="102"/>
      <c r="V330" s="102"/>
      <c r="W330" s="102"/>
      <c r="X330" s="102"/>
      <c r="Y330" s="102"/>
      <c r="Z330" s="102"/>
      <c r="AA330" s="102"/>
      <c r="AB330" s="102"/>
      <c r="AC330" s="102"/>
      <c r="AD330" s="102"/>
      <c r="AE330" s="102"/>
      <c r="AF330" s="102"/>
      <c r="AG330" s="102"/>
      <c r="AH330" s="102"/>
      <c r="AI330" s="102"/>
      <c r="AJ330" s="102"/>
      <c r="AK330" s="102"/>
      <c r="AL330" s="102"/>
      <c r="AM330" s="102"/>
      <c r="AN330" s="102"/>
      <c r="AO330" s="400"/>
      <c r="AP330" s="90"/>
      <c r="AQ330" s="90"/>
      <c r="AR330" s="90"/>
      <c r="AS330" s="90"/>
      <c r="AT330" s="90"/>
      <c r="AU330" s="90"/>
      <c r="AV330" s="90"/>
      <c r="AW330" s="90"/>
      <c r="AX330" s="90"/>
      <c r="AY330" s="90"/>
      <c r="AZ330" s="90"/>
      <c r="BA330" s="90"/>
      <c r="BB330" s="90"/>
      <c r="BC330" s="90"/>
      <c r="BD330" s="90"/>
      <c r="BE330" s="90"/>
      <c r="BF330" s="90"/>
      <c r="BG330" s="90"/>
      <c r="BH330" s="90"/>
      <c r="BI330" s="90"/>
    </row>
    <row r="331" ht="12.75" customHeight="1">
      <c r="A331" s="90"/>
      <c r="B331" s="90"/>
      <c r="C331" s="400"/>
      <c r="D331" s="90"/>
      <c r="E331" s="102"/>
      <c r="F331" s="90"/>
      <c r="G331" s="90"/>
      <c r="H331" s="102"/>
      <c r="I331" s="102"/>
      <c r="J331" s="102"/>
      <c r="K331" s="102"/>
      <c r="L331" s="102"/>
      <c r="M331" s="102"/>
      <c r="N331" s="102"/>
      <c r="O331" s="102"/>
      <c r="P331" s="102"/>
      <c r="Q331" s="102"/>
      <c r="R331" s="102"/>
      <c r="S331" s="102"/>
      <c r="T331" s="102"/>
      <c r="U331" s="102"/>
      <c r="V331" s="102"/>
      <c r="W331" s="102"/>
      <c r="X331" s="102"/>
      <c r="Y331" s="102"/>
      <c r="Z331" s="102"/>
      <c r="AA331" s="102"/>
      <c r="AB331" s="102"/>
      <c r="AC331" s="102"/>
      <c r="AD331" s="102"/>
      <c r="AE331" s="102"/>
      <c r="AF331" s="102"/>
      <c r="AG331" s="102"/>
      <c r="AH331" s="102"/>
      <c r="AI331" s="102"/>
      <c r="AJ331" s="102"/>
      <c r="AK331" s="102"/>
      <c r="AL331" s="102"/>
      <c r="AM331" s="102"/>
      <c r="AN331" s="102"/>
      <c r="AO331" s="400"/>
      <c r="AP331" s="90"/>
      <c r="AQ331" s="90"/>
      <c r="AR331" s="90"/>
      <c r="AS331" s="90"/>
      <c r="AT331" s="90"/>
      <c r="AU331" s="90"/>
      <c r="AV331" s="90"/>
      <c r="AW331" s="90"/>
      <c r="AX331" s="90"/>
      <c r="AY331" s="90"/>
      <c r="AZ331" s="90"/>
      <c r="BA331" s="90"/>
      <c r="BB331" s="90"/>
      <c r="BC331" s="90"/>
      <c r="BD331" s="90"/>
      <c r="BE331" s="90"/>
      <c r="BF331" s="90"/>
      <c r="BG331" s="90"/>
      <c r="BH331" s="90"/>
      <c r="BI331" s="90"/>
    </row>
    <row r="332" ht="12.75" customHeight="1">
      <c r="A332" s="90"/>
      <c r="B332" s="90"/>
      <c r="C332" s="400"/>
      <c r="D332" s="90"/>
      <c r="E332" s="102"/>
      <c r="F332" s="90"/>
      <c r="G332" s="90"/>
      <c r="H332" s="102"/>
      <c r="I332" s="102"/>
      <c r="J332" s="102"/>
      <c r="K332" s="102"/>
      <c r="L332" s="102"/>
      <c r="M332" s="102"/>
      <c r="N332" s="102"/>
      <c r="O332" s="102"/>
      <c r="P332" s="102"/>
      <c r="Q332" s="102"/>
      <c r="R332" s="102"/>
      <c r="S332" s="102"/>
      <c r="T332" s="102"/>
      <c r="U332" s="102"/>
      <c r="V332" s="102"/>
      <c r="W332" s="102"/>
      <c r="X332" s="102"/>
      <c r="Y332" s="102"/>
      <c r="Z332" s="102"/>
      <c r="AA332" s="102"/>
      <c r="AB332" s="102"/>
      <c r="AC332" s="102"/>
      <c r="AD332" s="102"/>
      <c r="AE332" s="102"/>
      <c r="AF332" s="102"/>
      <c r="AG332" s="102"/>
      <c r="AH332" s="102"/>
      <c r="AI332" s="102"/>
      <c r="AJ332" s="102"/>
      <c r="AK332" s="102"/>
      <c r="AL332" s="102"/>
      <c r="AM332" s="102"/>
      <c r="AN332" s="102"/>
      <c r="AO332" s="400"/>
      <c r="AP332" s="90"/>
      <c r="AQ332" s="90"/>
      <c r="AR332" s="90"/>
      <c r="AS332" s="90"/>
      <c r="AT332" s="90"/>
      <c r="AU332" s="90"/>
      <c r="AV332" s="90"/>
      <c r="AW332" s="90"/>
      <c r="AX332" s="90"/>
      <c r="AY332" s="90"/>
      <c r="AZ332" s="90"/>
      <c r="BA332" s="90"/>
      <c r="BB332" s="90"/>
      <c r="BC332" s="90"/>
      <c r="BD332" s="90"/>
      <c r="BE332" s="90"/>
      <c r="BF332" s="90"/>
      <c r="BG332" s="90"/>
      <c r="BH332" s="90"/>
      <c r="BI332" s="90"/>
    </row>
    <row r="333" ht="12.75" customHeight="1">
      <c r="A333" s="90"/>
      <c r="B333" s="90"/>
      <c r="C333" s="400"/>
      <c r="D333" s="90"/>
      <c r="E333" s="102"/>
      <c r="F333" s="90"/>
      <c r="G333" s="90"/>
      <c r="H333" s="102"/>
      <c r="I333" s="102"/>
      <c r="J333" s="102"/>
      <c r="K333" s="102"/>
      <c r="L333" s="102"/>
      <c r="M333" s="102"/>
      <c r="N333" s="102"/>
      <c r="O333" s="102"/>
      <c r="P333" s="102"/>
      <c r="Q333" s="102"/>
      <c r="R333" s="102"/>
      <c r="S333" s="102"/>
      <c r="T333" s="102"/>
      <c r="U333" s="102"/>
      <c r="V333" s="102"/>
      <c r="W333" s="102"/>
      <c r="X333" s="102"/>
      <c r="Y333" s="102"/>
      <c r="Z333" s="102"/>
      <c r="AA333" s="102"/>
      <c r="AB333" s="102"/>
      <c r="AC333" s="102"/>
      <c r="AD333" s="102"/>
      <c r="AE333" s="102"/>
      <c r="AF333" s="102"/>
      <c r="AG333" s="102"/>
      <c r="AH333" s="102"/>
      <c r="AI333" s="102"/>
      <c r="AJ333" s="102"/>
      <c r="AK333" s="102"/>
      <c r="AL333" s="102"/>
      <c r="AM333" s="102"/>
      <c r="AN333" s="102"/>
      <c r="AO333" s="400"/>
      <c r="AP333" s="90"/>
      <c r="AQ333" s="90"/>
      <c r="AR333" s="90"/>
      <c r="AS333" s="90"/>
      <c r="AT333" s="90"/>
      <c r="AU333" s="90"/>
      <c r="AV333" s="90"/>
      <c r="AW333" s="90"/>
      <c r="AX333" s="90"/>
      <c r="AY333" s="90"/>
      <c r="AZ333" s="90"/>
      <c r="BA333" s="90"/>
      <c r="BB333" s="90"/>
      <c r="BC333" s="90"/>
      <c r="BD333" s="90"/>
      <c r="BE333" s="90"/>
      <c r="BF333" s="90"/>
      <c r="BG333" s="90"/>
      <c r="BH333" s="90"/>
      <c r="BI333" s="90"/>
    </row>
    <row r="334" ht="12.75" customHeight="1">
      <c r="A334" s="90"/>
      <c r="B334" s="90"/>
      <c r="C334" s="400"/>
      <c r="D334" s="90"/>
      <c r="E334" s="102"/>
      <c r="F334" s="90"/>
      <c r="G334" s="90"/>
      <c r="H334" s="102"/>
      <c r="I334" s="102"/>
      <c r="J334" s="102"/>
      <c r="K334" s="102"/>
      <c r="L334" s="102"/>
      <c r="M334" s="102"/>
      <c r="N334" s="102"/>
      <c r="O334" s="102"/>
      <c r="P334" s="102"/>
      <c r="Q334" s="102"/>
      <c r="R334" s="102"/>
      <c r="S334" s="102"/>
      <c r="T334" s="102"/>
      <c r="U334" s="102"/>
      <c r="V334" s="102"/>
      <c r="W334" s="102"/>
      <c r="X334" s="102"/>
      <c r="Y334" s="102"/>
      <c r="Z334" s="102"/>
      <c r="AA334" s="102"/>
      <c r="AB334" s="102"/>
      <c r="AC334" s="102"/>
      <c r="AD334" s="102"/>
      <c r="AE334" s="102"/>
      <c r="AF334" s="102"/>
      <c r="AG334" s="102"/>
      <c r="AH334" s="102"/>
      <c r="AI334" s="102"/>
      <c r="AJ334" s="102"/>
      <c r="AK334" s="102"/>
      <c r="AL334" s="102"/>
      <c r="AM334" s="102"/>
      <c r="AN334" s="102"/>
      <c r="AO334" s="400"/>
      <c r="AP334" s="90"/>
      <c r="AQ334" s="90"/>
      <c r="AR334" s="90"/>
      <c r="AS334" s="90"/>
      <c r="AT334" s="90"/>
      <c r="AU334" s="90"/>
      <c r="AV334" s="90"/>
      <c r="AW334" s="90"/>
      <c r="AX334" s="90"/>
      <c r="AY334" s="90"/>
      <c r="AZ334" s="90"/>
      <c r="BA334" s="90"/>
      <c r="BB334" s="90"/>
      <c r="BC334" s="90"/>
      <c r="BD334" s="90"/>
      <c r="BE334" s="90"/>
      <c r="BF334" s="90"/>
      <c r="BG334" s="90"/>
      <c r="BH334" s="90"/>
      <c r="BI334" s="90"/>
    </row>
    <row r="335" ht="12.75" customHeight="1">
      <c r="A335" s="90"/>
      <c r="B335" s="90"/>
      <c r="C335" s="400"/>
      <c r="D335" s="90"/>
      <c r="E335" s="102"/>
      <c r="F335" s="90"/>
      <c r="G335" s="90"/>
      <c r="H335" s="102"/>
      <c r="I335" s="102"/>
      <c r="J335" s="102"/>
      <c r="K335" s="102"/>
      <c r="L335" s="102"/>
      <c r="M335" s="102"/>
      <c r="N335" s="102"/>
      <c r="O335" s="102"/>
      <c r="P335" s="102"/>
      <c r="Q335" s="102"/>
      <c r="R335" s="102"/>
      <c r="S335" s="102"/>
      <c r="T335" s="102"/>
      <c r="U335" s="102"/>
      <c r="V335" s="102"/>
      <c r="W335" s="102"/>
      <c r="X335" s="102"/>
      <c r="Y335" s="102"/>
      <c r="Z335" s="102"/>
      <c r="AA335" s="102"/>
      <c r="AB335" s="102"/>
      <c r="AC335" s="102"/>
      <c r="AD335" s="102"/>
      <c r="AE335" s="102"/>
      <c r="AF335" s="102"/>
      <c r="AG335" s="102"/>
      <c r="AH335" s="102"/>
      <c r="AI335" s="102"/>
      <c r="AJ335" s="102"/>
      <c r="AK335" s="102"/>
      <c r="AL335" s="102"/>
      <c r="AM335" s="102"/>
      <c r="AN335" s="102"/>
      <c r="AO335" s="400"/>
      <c r="AP335" s="90"/>
      <c r="AQ335" s="90"/>
      <c r="AR335" s="90"/>
      <c r="AS335" s="90"/>
      <c r="AT335" s="90"/>
      <c r="AU335" s="90"/>
      <c r="AV335" s="90"/>
      <c r="AW335" s="90"/>
      <c r="AX335" s="90"/>
      <c r="AY335" s="90"/>
      <c r="AZ335" s="90"/>
      <c r="BA335" s="90"/>
      <c r="BB335" s="90"/>
      <c r="BC335" s="90"/>
      <c r="BD335" s="90"/>
      <c r="BE335" s="90"/>
      <c r="BF335" s="90"/>
      <c r="BG335" s="90"/>
      <c r="BH335" s="90"/>
      <c r="BI335" s="90"/>
    </row>
    <row r="336" ht="12.75" customHeight="1">
      <c r="A336" s="90"/>
      <c r="B336" s="90"/>
      <c r="C336" s="400"/>
      <c r="D336" s="90"/>
      <c r="E336" s="102"/>
      <c r="F336" s="90"/>
      <c r="G336" s="90"/>
      <c r="H336" s="102"/>
      <c r="I336" s="102"/>
      <c r="J336" s="102"/>
      <c r="K336" s="102"/>
      <c r="L336" s="102"/>
      <c r="M336" s="102"/>
      <c r="N336" s="102"/>
      <c r="O336" s="102"/>
      <c r="P336" s="102"/>
      <c r="Q336" s="102"/>
      <c r="R336" s="102"/>
      <c r="S336" s="102"/>
      <c r="T336" s="102"/>
      <c r="U336" s="102"/>
      <c r="V336" s="102"/>
      <c r="W336" s="102"/>
      <c r="X336" s="102"/>
      <c r="Y336" s="102"/>
      <c r="Z336" s="102"/>
      <c r="AA336" s="102"/>
      <c r="AB336" s="102"/>
      <c r="AC336" s="102"/>
      <c r="AD336" s="102"/>
      <c r="AE336" s="102"/>
      <c r="AF336" s="102"/>
      <c r="AG336" s="102"/>
      <c r="AH336" s="102"/>
      <c r="AI336" s="102"/>
      <c r="AJ336" s="102"/>
      <c r="AK336" s="102"/>
      <c r="AL336" s="102"/>
      <c r="AM336" s="102"/>
      <c r="AN336" s="102"/>
      <c r="AO336" s="400"/>
      <c r="AP336" s="90"/>
      <c r="AQ336" s="90"/>
      <c r="AR336" s="90"/>
      <c r="AS336" s="90"/>
      <c r="AT336" s="90"/>
      <c r="AU336" s="90"/>
      <c r="AV336" s="90"/>
      <c r="AW336" s="90"/>
      <c r="AX336" s="90"/>
      <c r="AY336" s="90"/>
      <c r="AZ336" s="90"/>
      <c r="BA336" s="90"/>
      <c r="BB336" s="90"/>
      <c r="BC336" s="90"/>
      <c r="BD336" s="90"/>
      <c r="BE336" s="90"/>
      <c r="BF336" s="90"/>
      <c r="BG336" s="90"/>
      <c r="BH336" s="90"/>
      <c r="BI336" s="90"/>
    </row>
    <row r="337" ht="12.75" customHeight="1">
      <c r="A337" s="90"/>
      <c r="B337" s="90"/>
      <c r="C337" s="400"/>
      <c r="D337" s="90"/>
      <c r="E337" s="102"/>
      <c r="F337" s="90"/>
      <c r="G337" s="90"/>
      <c r="H337" s="102"/>
      <c r="I337" s="102"/>
      <c r="J337" s="102"/>
      <c r="K337" s="102"/>
      <c r="L337" s="102"/>
      <c r="M337" s="102"/>
      <c r="N337" s="102"/>
      <c r="O337" s="102"/>
      <c r="P337" s="102"/>
      <c r="Q337" s="102"/>
      <c r="R337" s="102"/>
      <c r="S337" s="102"/>
      <c r="T337" s="102"/>
      <c r="U337" s="102"/>
      <c r="V337" s="102"/>
      <c r="W337" s="102"/>
      <c r="X337" s="102"/>
      <c r="Y337" s="102"/>
      <c r="Z337" s="102"/>
      <c r="AA337" s="102"/>
      <c r="AB337" s="102"/>
      <c r="AC337" s="102"/>
      <c r="AD337" s="102"/>
      <c r="AE337" s="102"/>
      <c r="AF337" s="102"/>
      <c r="AG337" s="102"/>
      <c r="AH337" s="102"/>
      <c r="AI337" s="102"/>
      <c r="AJ337" s="102"/>
      <c r="AK337" s="102"/>
      <c r="AL337" s="102"/>
      <c r="AM337" s="102"/>
      <c r="AN337" s="102"/>
      <c r="AO337" s="400"/>
      <c r="AP337" s="90"/>
      <c r="AQ337" s="90"/>
      <c r="AR337" s="90"/>
      <c r="AS337" s="90"/>
      <c r="AT337" s="90"/>
      <c r="AU337" s="90"/>
      <c r="AV337" s="90"/>
      <c r="AW337" s="90"/>
      <c r="AX337" s="90"/>
      <c r="AY337" s="90"/>
      <c r="AZ337" s="90"/>
      <c r="BA337" s="90"/>
      <c r="BB337" s="90"/>
      <c r="BC337" s="90"/>
      <c r="BD337" s="90"/>
      <c r="BE337" s="90"/>
      <c r="BF337" s="90"/>
      <c r="BG337" s="90"/>
      <c r="BH337" s="90"/>
      <c r="BI337" s="90"/>
    </row>
    <row r="338" ht="12.75" customHeight="1">
      <c r="A338" s="90"/>
      <c r="B338" s="90"/>
      <c r="C338" s="400"/>
      <c r="D338" s="90"/>
      <c r="E338" s="102"/>
      <c r="F338" s="90"/>
      <c r="G338" s="90"/>
      <c r="H338" s="102"/>
      <c r="I338" s="102"/>
      <c r="J338" s="102"/>
      <c r="K338" s="102"/>
      <c r="L338" s="102"/>
      <c r="M338" s="102"/>
      <c r="N338" s="102"/>
      <c r="O338" s="102"/>
      <c r="P338" s="102"/>
      <c r="Q338" s="102"/>
      <c r="R338" s="102"/>
      <c r="S338" s="102"/>
      <c r="T338" s="102"/>
      <c r="U338" s="102"/>
      <c r="V338" s="102"/>
      <c r="W338" s="102"/>
      <c r="X338" s="102"/>
      <c r="Y338" s="102"/>
      <c r="Z338" s="102"/>
      <c r="AA338" s="102"/>
      <c r="AB338" s="102"/>
      <c r="AC338" s="102"/>
      <c r="AD338" s="102"/>
      <c r="AE338" s="102"/>
      <c r="AF338" s="102"/>
      <c r="AG338" s="102"/>
      <c r="AH338" s="102"/>
      <c r="AI338" s="102"/>
      <c r="AJ338" s="102"/>
      <c r="AK338" s="102"/>
      <c r="AL338" s="102"/>
      <c r="AM338" s="102"/>
      <c r="AN338" s="102"/>
      <c r="AO338" s="400"/>
      <c r="AP338" s="90"/>
      <c r="AQ338" s="90"/>
      <c r="AR338" s="90"/>
      <c r="AS338" s="90"/>
      <c r="AT338" s="90"/>
      <c r="AU338" s="90"/>
      <c r="AV338" s="90"/>
      <c r="AW338" s="90"/>
      <c r="AX338" s="90"/>
      <c r="AY338" s="90"/>
      <c r="AZ338" s="90"/>
      <c r="BA338" s="90"/>
      <c r="BB338" s="90"/>
      <c r="BC338" s="90"/>
      <c r="BD338" s="90"/>
      <c r="BE338" s="90"/>
      <c r="BF338" s="90"/>
      <c r="BG338" s="90"/>
      <c r="BH338" s="90"/>
      <c r="BI338" s="90"/>
    </row>
    <row r="339" ht="12.75" customHeight="1">
      <c r="A339" s="90"/>
      <c r="B339" s="90"/>
      <c r="C339" s="400"/>
      <c r="D339" s="90"/>
      <c r="E339" s="102"/>
      <c r="F339" s="90"/>
      <c r="G339" s="90"/>
      <c r="H339" s="102"/>
      <c r="I339" s="102"/>
      <c r="J339" s="102"/>
      <c r="K339" s="102"/>
      <c r="L339" s="102"/>
      <c r="M339" s="102"/>
      <c r="N339" s="102"/>
      <c r="O339" s="102"/>
      <c r="P339" s="102"/>
      <c r="Q339" s="102"/>
      <c r="R339" s="102"/>
      <c r="S339" s="102"/>
      <c r="T339" s="102"/>
      <c r="U339" s="102"/>
      <c r="V339" s="102"/>
      <c r="W339" s="102"/>
      <c r="X339" s="102"/>
      <c r="Y339" s="102"/>
      <c r="Z339" s="102"/>
      <c r="AA339" s="102"/>
      <c r="AB339" s="102"/>
      <c r="AC339" s="102"/>
      <c r="AD339" s="102"/>
      <c r="AE339" s="102"/>
      <c r="AF339" s="102"/>
      <c r="AG339" s="102"/>
      <c r="AH339" s="102"/>
      <c r="AI339" s="102"/>
      <c r="AJ339" s="102"/>
      <c r="AK339" s="102"/>
      <c r="AL339" s="102"/>
      <c r="AM339" s="102"/>
      <c r="AN339" s="102"/>
      <c r="AO339" s="400"/>
      <c r="AP339" s="90"/>
      <c r="AQ339" s="90"/>
      <c r="AR339" s="90"/>
      <c r="AS339" s="90"/>
      <c r="AT339" s="90"/>
      <c r="AU339" s="90"/>
      <c r="AV339" s="90"/>
      <c r="AW339" s="90"/>
      <c r="AX339" s="90"/>
      <c r="AY339" s="90"/>
      <c r="AZ339" s="90"/>
      <c r="BA339" s="90"/>
      <c r="BB339" s="90"/>
      <c r="BC339" s="90"/>
      <c r="BD339" s="90"/>
      <c r="BE339" s="90"/>
      <c r="BF339" s="90"/>
      <c r="BG339" s="90"/>
      <c r="BH339" s="90"/>
      <c r="BI339" s="90"/>
    </row>
    <row r="340" ht="12.75" customHeight="1">
      <c r="A340" s="90"/>
      <c r="B340" s="90"/>
      <c r="C340" s="400"/>
      <c r="D340" s="90"/>
      <c r="E340" s="102"/>
      <c r="F340" s="90"/>
      <c r="G340" s="90"/>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c r="AG340" s="102"/>
      <c r="AH340" s="102"/>
      <c r="AI340" s="102"/>
      <c r="AJ340" s="102"/>
      <c r="AK340" s="102"/>
      <c r="AL340" s="102"/>
      <c r="AM340" s="102"/>
      <c r="AN340" s="102"/>
      <c r="AO340" s="400"/>
      <c r="AP340" s="90"/>
      <c r="AQ340" s="90"/>
      <c r="AR340" s="90"/>
      <c r="AS340" s="90"/>
      <c r="AT340" s="90"/>
      <c r="AU340" s="90"/>
      <c r="AV340" s="90"/>
      <c r="AW340" s="90"/>
      <c r="AX340" s="90"/>
      <c r="AY340" s="90"/>
      <c r="AZ340" s="90"/>
      <c r="BA340" s="90"/>
      <c r="BB340" s="90"/>
      <c r="BC340" s="90"/>
      <c r="BD340" s="90"/>
      <c r="BE340" s="90"/>
      <c r="BF340" s="90"/>
      <c r="BG340" s="90"/>
      <c r="BH340" s="90"/>
      <c r="BI340" s="90"/>
    </row>
    <row r="341" ht="12.75" customHeight="1">
      <c r="A341" s="90"/>
      <c r="B341" s="90"/>
      <c r="C341" s="400"/>
      <c r="D341" s="90"/>
      <c r="E341" s="102"/>
      <c r="F341" s="90"/>
      <c r="G341" s="90"/>
      <c r="H341" s="102"/>
      <c r="I341" s="102"/>
      <c r="J341" s="102"/>
      <c r="K341" s="102"/>
      <c r="L341" s="102"/>
      <c r="M341" s="102"/>
      <c r="N341" s="102"/>
      <c r="O341" s="102"/>
      <c r="P341" s="102"/>
      <c r="Q341" s="102"/>
      <c r="R341" s="102"/>
      <c r="S341" s="102"/>
      <c r="T341" s="102"/>
      <c r="U341" s="102"/>
      <c r="V341" s="102"/>
      <c r="W341" s="102"/>
      <c r="X341" s="102"/>
      <c r="Y341" s="102"/>
      <c r="Z341" s="102"/>
      <c r="AA341" s="102"/>
      <c r="AB341" s="102"/>
      <c r="AC341" s="102"/>
      <c r="AD341" s="102"/>
      <c r="AE341" s="102"/>
      <c r="AF341" s="102"/>
      <c r="AG341" s="102"/>
      <c r="AH341" s="102"/>
      <c r="AI341" s="102"/>
      <c r="AJ341" s="102"/>
      <c r="AK341" s="102"/>
      <c r="AL341" s="102"/>
      <c r="AM341" s="102"/>
      <c r="AN341" s="102"/>
      <c r="AO341" s="400"/>
      <c r="AP341" s="90"/>
      <c r="AQ341" s="90"/>
      <c r="AR341" s="90"/>
      <c r="AS341" s="90"/>
      <c r="AT341" s="90"/>
      <c r="AU341" s="90"/>
      <c r="AV341" s="90"/>
      <c r="AW341" s="90"/>
      <c r="AX341" s="90"/>
      <c r="AY341" s="90"/>
      <c r="AZ341" s="90"/>
      <c r="BA341" s="90"/>
      <c r="BB341" s="90"/>
      <c r="BC341" s="90"/>
      <c r="BD341" s="90"/>
      <c r="BE341" s="90"/>
      <c r="BF341" s="90"/>
      <c r="BG341" s="90"/>
      <c r="BH341" s="90"/>
      <c r="BI341" s="90"/>
    </row>
    <row r="342" ht="12.75" customHeight="1">
      <c r="A342" s="90"/>
      <c r="B342" s="90"/>
      <c r="C342" s="400"/>
      <c r="D342" s="90"/>
      <c r="E342" s="102"/>
      <c r="F342" s="90"/>
      <c r="G342" s="90"/>
      <c r="H342" s="102"/>
      <c r="I342" s="102"/>
      <c r="J342" s="102"/>
      <c r="K342" s="102"/>
      <c r="L342" s="102"/>
      <c r="M342" s="102"/>
      <c r="N342" s="102"/>
      <c r="O342" s="102"/>
      <c r="P342" s="102"/>
      <c r="Q342" s="102"/>
      <c r="R342" s="102"/>
      <c r="S342" s="102"/>
      <c r="T342" s="102"/>
      <c r="U342" s="102"/>
      <c r="V342" s="102"/>
      <c r="W342" s="102"/>
      <c r="X342" s="102"/>
      <c r="Y342" s="102"/>
      <c r="Z342" s="102"/>
      <c r="AA342" s="102"/>
      <c r="AB342" s="102"/>
      <c r="AC342" s="102"/>
      <c r="AD342" s="102"/>
      <c r="AE342" s="102"/>
      <c r="AF342" s="102"/>
      <c r="AG342" s="102"/>
      <c r="AH342" s="102"/>
      <c r="AI342" s="102"/>
      <c r="AJ342" s="102"/>
      <c r="AK342" s="102"/>
      <c r="AL342" s="102"/>
      <c r="AM342" s="102"/>
      <c r="AN342" s="102"/>
      <c r="AO342" s="400"/>
      <c r="AP342" s="90"/>
      <c r="AQ342" s="90"/>
      <c r="AR342" s="90"/>
      <c r="AS342" s="90"/>
      <c r="AT342" s="90"/>
      <c r="AU342" s="90"/>
      <c r="AV342" s="90"/>
      <c r="AW342" s="90"/>
      <c r="AX342" s="90"/>
      <c r="AY342" s="90"/>
      <c r="AZ342" s="90"/>
      <c r="BA342" s="90"/>
      <c r="BB342" s="90"/>
      <c r="BC342" s="90"/>
      <c r="BD342" s="90"/>
      <c r="BE342" s="90"/>
      <c r="BF342" s="90"/>
      <c r="BG342" s="90"/>
      <c r="BH342" s="90"/>
      <c r="BI342" s="90"/>
    </row>
    <row r="343" ht="12.75" customHeight="1">
      <c r="A343" s="90"/>
      <c r="B343" s="90"/>
      <c r="C343" s="400"/>
      <c r="D343" s="90"/>
      <c r="E343" s="102"/>
      <c r="F343" s="90"/>
      <c r="G343" s="90"/>
      <c r="H343" s="102"/>
      <c r="I343" s="102"/>
      <c r="J343" s="102"/>
      <c r="K343" s="102"/>
      <c r="L343" s="102"/>
      <c r="M343" s="102"/>
      <c r="N343" s="102"/>
      <c r="O343" s="102"/>
      <c r="P343" s="102"/>
      <c r="Q343" s="102"/>
      <c r="R343" s="102"/>
      <c r="S343" s="102"/>
      <c r="T343" s="102"/>
      <c r="U343" s="102"/>
      <c r="V343" s="102"/>
      <c r="W343" s="102"/>
      <c r="X343" s="102"/>
      <c r="Y343" s="102"/>
      <c r="Z343" s="102"/>
      <c r="AA343" s="102"/>
      <c r="AB343" s="102"/>
      <c r="AC343" s="102"/>
      <c r="AD343" s="102"/>
      <c r="AE343" s="102"/>
      <c r="AF343" s="102"/>
      <c r="AG343" s="102"/>
      <c r="AH343" s="102"/>
      <c r="AI343" s="102"/>
      <c r="AJ343" s="102"/>
      <c r="AK343" s="102"/>
      <c r="AL343" s="102"/>
      <c r="AM343" s="102"/>
      <c r="AN343" s="102"/>
      <c r="AO343" s="400"/>
      <c r="AP343" s="90"/>
      <c r="AQ343" s="90"/>
      <c r="AR343" s="90"/>
      <c r="AS343" s="90"/>
      <c r="AT343" s="90"/>
      <c r="AU343" s="90"/>
      <c r="AV343" s="90"/>
      <c r="AW343" s="90"/>
      <c r="AX343" s="90"/>
      <c r="AY343" s="90"/>
      <c r="AZ343" s="90"/>
      <c r="BA343" s="90"/>
      <c r="BB343" s="90"/>
      <c r="BC343" s="90"/>
      <c r="BD343" s="90"/>
      <c r="BE343" s="90"/>
      <c r="BF343" s="90"/>
      <c r="BG343" s="90"/>
      <c r="BH343" s="90"/>
      <c r="BI343" s="90"/>
    </row>
    <row r="344" ht="12.75" customHeight="1">
      <c r="A344" s="90"/>
      <c r="B344" s="90"/>
      <c r="C344" s="400"/>
      <c r="D344" s="90"/>
      <c r="E344" s="102"/>
      <c r="F344" s="90"/>
      <c r="G344" s="90"/>
      <c r="H344" s="102"/>
      <c r="I344" s="102"/>
      <c r="J344" s="102"/>
      <c r="K344" s="102"/>
      <c r="L344" s="102"/>
      <c r="M344" s="102"/>
      <c r="N344" s="102"/>
      <c r="O344" s="102"/>
      <c r="P344" s="102"/>
      <c r="Q344" s="102"/>
      <c r="R344" s="102"/>
      <c r="S344" s="102"/>
      <c r="T344" s="102"/>
      <c r="U344" s="102"/>
      <c r="V344" s="102"/>
      <c r="W344" s="102"/>
      <c r="X344" s="102"/>
      <c r="Y344" s="102"/>
      <c r="Z344" s="102"/>
      <c r="AA344" s="102"/>
      <c r="AB344" s="102"/>
      <c r="AC344" s="102"/>
      <c r="AD344" s="102"/>
      <c r="AE344" s="102"/>
      <c r="AF344" s="102"/>
      <c r="AG344" s="102"/>
      <c r="AH344" s="102"/>
      <c r="AI344" s="102"/>
      <c r="AJ344" s="102"/>
      <c r="AK344" s="102"/>
      <c r="AL344" s="102"/>
      <c r="AM344" s="102"/>
      <c r="AN344" s="102"/>
      <c r="AO344" s="400"/>
      <c r="AP344" s="90"/>
      <c r="AQ344" s="90"/>
      <c r="AR344" s="90"/>
      <c r="AS344" s="90"/>
      <c r="AT344" s="90"/>
      <c r="AU344" s="90"/>
      <c r="AV344" s="90"/>
      <c r="AW344" s="90"/>
      <c r="AX344" s="90"/>
      <c r="AY344" s="90"/>
      <c r="AZ344" s="90"/>
      <c r="BA344" s="90"/>
      <c r="BB344" s="90"/>
      <c r="BC344" s="90"/>
      <c r="BD344" s="90"/>
      <c r="BE344" s="90"/>
      <c r="BF344" s="90"/>
      <c r="BG344" s="90"/>
      <c r="BH344" s="90"/>
      <c r="BI344" s="90"/>
    </row>
    <row r="345" ht="12.75" customHeight="1">
      <c r="A345" s="90"/>
      <c r="B345" s="90"/>
      <c r="C345" s="400"/>
      <c r="D345" s="90"/>
      <c r="E345" s="102"/>
      <c r="F345" s="90"/>
      <c r="G345" s="90"/>
      <c r="H345" s="102"/>
      <c r="I345" s="102"/>
      <c r="J345" s="102"/>
      <c r="K345" s="102"/>
      <c r="L345" s="102"/>
      <c r="M345" s="102"/>
      <c r="N345" s="102"/>
      <c r="O345" s="102"/>
      <c r="P345" s="102"/>
      <c r="Q345" s="102"/>
      <c r="R345" s="102"/>
      <c r="S345" s="102"/>
      <c r="T345" s="102"/>
      <c r="U345" s="102"/>
      <c r="V345" s="102"/>
      <c r="W345" s="102"/>
      <c r="X345" s="102"/>
      <c r="Y345" s="102"/>
      <c r="Z345" s="102"/>
      <c r="AA345" s="102"/>
      <c r="AB345" s="102"/>
      <c r="AC345" s="102"/>
      <c r="AD345" s="102"/>
      <c r="AE345" s="102"/>
      <c r="AF345" s="102"/>
      <c r="AG345" s="102"/>
      <c r="AH345" s="102"/>
      <c r="AI345" s="102"/>
      <c r="AJ345" s="102"/>
      <c r="AK345" s="102"/>
      <c r="AL345" s="102"/>
      <c r="AM345" s="102"/>
      <c r="AN345" s="102"/>
      <c r="AO345" s="400"/>
      <c r="AP345" s="90"/>
      <c r="AQ345" s="90"/>
      <c r="AR345" s="90"/>
      <c r="AS345" s="90"/>
      <c r="AT345" s="90"/>
      <c r="AU345" s="90"/>
      <c r="AV345" s="90"/>
      <c r="AW345" s="90"/>
      <c r="AX345" s="90"/>
      <c r="AY345" s="90"/>
      <c r="AZ345" s="90"/>
      <c r="BA345" s="90"/>
      <c r="BB345" s="90"/>
      <c r="BC345" s="90"/>
      <c r="BD345" s="90"/>
      <c r="BE345" s="90"/>
      <c r="BF345" s="90"/>
      <c r="BG345" s="90"/>
      <c r="BH345" s="90"/>
      <c r="BI345" s="90"/>
    </row>
    <row r="346" ht="12.75" customHeight="1">
      <c r="A346" s="90"/>
      <c r="B346" s="90"/>
      <c r="C346" s="400"/>
      <c r="D346" s="90"/>
      <c r="E346" s="102"/>
      <c r="F346" s="90"/>
      <c r="G346" s="90"/>
      <c r="H346" s="102"/>
      <c r="I346" s="102"/>
      <c r="J346" s="102"/>
      <c r="K346" s="102"/>
      <c r="L346" s="102"/>
      <c r="M346" s="102"/>
      <c r="N346" s="102"/>
      <c r="O346" s="102"/>
      <c r="P346" s="102"/>
      <c r="Q346" s="102"/>
      <c r="R346" s="102"/>
      <c r="S346" s="102"/>
      <c r="T346" s="102"/>
      <c r="U346" s="102"/>
      <c r="V346" s="102"/>
      <c r="W346" s="102"/>
      <c r="X346" s="102"/>
      <c r="Y346" s="102"/>
      <c r="Z346" s="102"/>
      <c r="AA346" s="102"/>
      <c r="AB346" s="102"/>
      <c r="AC346" s="102"/>
      <c r="AD346" s="102"/>
      <c r="AE346" s="102"/>
      <c r="AF346" s="102"/>
      <c r="AG346" s="102"/>
      <c r="AH346" s="102"/>
      <c r="AI346" s="102"/>
      <c r="AJ346" s="102"/>
      <c r="AK346" s="102"/>
      <c r="AL346" s="102"/>
      <c r="AM346" s="102"/>
      <c r="AN346" s="102"/>
      <c r="AO346" s="400"/>
      <c r="AP346" s="90"/>
      <c r="AQ346" s="90"/>
      <c r="AR346" s="90"/>
      <c r="AS346" s="90"/>
      <c r="AT346" s="90"/>
      <c r="AU346" s="90"/>
      <c r="AV346" s="90"/>
      <c r="AW346" s="90"/>
      <c r="AX346" s="90"/>
      <c r="AY346" s="90"/>
      <c r="AZ346" s="90"/>
      <c r="BA346" s="90"/>
      <c r="BB346" s="90"/>
      <c r="BC346" s="90"/>
      <c r="BD346" s="90"/>
      <c r="BE346" s="90"/>
      <c r="BF346" s="90"/>
      <c r="BG346" s="90"/>
      <c r="BH346" s="90"/>
      <c r="BI346" s="90"/>
    </row>
    <row r="347" ht="12.75" customHeight="1">
      <c r="A347" s="90"/>
      <c r="B347" s="90"/>
      <c r="C347" s="400"/>
      <c r="D347" s="90"/>
      <c r="E347" s="102"/>
      <c r="F347" s="90"/>
      <c r="G347" s="90"/>
      <c r="H347" s="102"/>
      <c r="I347" s="102"/>
      <c r="J347" s="102"/>
      <c r="K347" s="102"/>
      <c r="L347" s="102"/>
      <c r="M347" s="102"/>
      <c r="N347" s="102"/>
      <c r="O347" s="102"/>
      <c r="P347" s="102"/>
      <c r="Q347" s="102"/>
      <c r="R347" s="102"/>
      <c r="S347" s="102"/>
      <c r="T347" s="102"/>
      <c r="U347" s="102"/>
      <c r="V347" s="102"/>
      <c r="W347" s="102"/>
      <c r="X347" s="102"/>
      <c r="Y347" s="102"/>
      <c r="Z347" s="102"/>
      <c r="AA347" s="102"/>
      <c r="AB347" s="102"/>
      <c r="AC347" s="102"/>
      <c r="AD347" s="102"/>
      <c r="AE347" s="102"/>
      <c r="AF347" s="102"/>
      <c r="AG347" s="102"/>
      <c r="AH347" s="102"/>
      <c r="AI347" s="102"/>
      <c r="AJ347" s="102"/>
      <c r="AK347" s="102"/>
      <c r="AL347" s="102"/>
      <c r="AM347" s="102"/>
      <c r="AN347" s="102"/>
      <c r="AO347" s="400"/>
      <c r="AP347" s="90"/>
      <c r="AQ347" s="90"/>
      <c r="AR347" s="90"/>
      <c r="AS347" s="90"/>
      <c r="AT347" s="90"/>
      <c r="AU347" s="90"/>
      <c r="AV347" s="90"/>
      <c r="AW347" s="90"/>
      <c r="AX347" s="90"/>
      <c r="AY347" s="90"/>
      <c r="AZ347" s="90"/>
      <c r="BA347" s="90"/>
      <c r="BB347" s="90"/>
      <c r="BC347" s="90"/>
      <c r="BD347" s="90"/>
      <c r="BE347" s="90"/>
      <c r="BF347" s="90"/>
      <c r="BG347" s="90"/>
      <c r="BH347" s="90"/>
      <c r="BI347" s="90"/>
    </row>
    <row r="348" ht="12.75" customHeight="1">
      <c r="A348" s="90"/>
      <c r="B348" s="90"/>
      <c r="C348" s="400"/>
      <c r="D348" s="90"/>
      <c r="E348" s="102"/>
      <c r="F348" s="90"/>
      <c r="G348" s="90"/>
      <c r="H348" s="102"/>
      <c r="I348" s="102"/>
      <c r="J348" s="102"/>
      <c r="K348" s="102"/>
      <c r="L348" s="102"/>
      <c r="M348" s="102"/>
      <c r="N348" s="102"/>
      <c r="O348" s="102"/>
      <c r="P348" s="102"/>
      <c r="Q348" s="102"/>
      <c r="R348" s="102"/>
      <c r="S348" s="102"/>
      <c r="T348" s="102"/>
      <c r="U348" s="102"/>
      <c r="V348" s="102"/>
      <c r="W348" s="102"/>
      <c r="X348" s="102"/>
      <c r="Y348" s="102"/>
      <c r="Z348" s="102"/>
      <c r="AA348" s="102"/>
      <c r="AB348" s="102"/>
      <c r="AC348" s="102"/>
      <c r="AD348" s="102"/>
      <c r="AE348" s="102"/>
      <c r="AF348" s="102"/>
      <c r="AG348" s="102"/>
      <c r="AH348" s="102"/>
      <c r="AI348" s="102"/>
      <c r="AJ348" s="102"/>
      <c r="AK348" s="102"/>
      <c r="AL348" s="102"/>
      <c r="AM348" s="102"/>
      <c r="AN348" s="102"/>
      <c r="AO348" s="400"/>
      <c r="AP348" s="90"/>
      <c r="AQ348" s="90"/>
      <c r="AR348" s="90"/>
      <c r="AS348" s="90"/>
      <c r="AT348" s="90"/>
      <c r="AU348" s="90"/>
      <c r="AV348" s="90"/>
      <c r="AW348" s="90"/>
      <c r="AX348" s="90"/>
      <c r="AY348" s="90"/>
      <c r="AZ348" s="90"/>
      <c r="BA348" s="90"/>
      <c r="BB348" s="90"/>
      <c r="BC348" s="90"/>
      <c r="BD348" s="90"/>
      <c r="BE348" s="90"/>
      <c r="BF348" s="90"/>
      <c r="BG348" s="90"/>
      <c r="BH348" s="90"/>
      <c r="BI348" s="90"/>
    </row>
    <row r="349" ht="12.75" customHeight="1">
      <c r="A349" s="90"/>
      <c r="B349" s="90"/>
      <c r="C349" s="400"/>
      <c r="D349" s="90"/>
      <c r="E349" s="102"/>
      <c r="F349" s="90"/>
      <c r="G349" s="90"/>
      <c r="H349" s="102"/>
      <c r="I349" s="102"/>
      <c r="J349" s="102"/>
      <c r="K349" s="102"/>
      <c r="L349" s="102"/>
      <c r="M349" s="102"/>
      <c r="N349" s="102"/>
      <c r="O349" s="102"/>
      <c r="P349" s="102"/>
      <c r="Q349" s="102"/>
      <c r="R349" s="102"/>
      <c r="S349" s="102"/>
      <c r="T349" s="102"/>
      <c r="U349" s="102"/>
      <c r="V349" s="102"/>
      <c r="W349" s="102"/>
      <c r="X349" s="102"/>
      <c r="Y349" s="102"/>
      <c r="Z349" s="102"/>
      <c r="AA349" s="102"/>
      <c r="AB349" s="102"/>
      <c r="AC349" s="102"/>
      <c r="AD349" s="102"/>
      <c r="AE349" s="102"/>
      <c r="AF349" s="102"/>
      <c r="AG349" s="102"/>
      <c r="AH349" s="102"/>
      <c r="AI349" s="102"/>
      <c r="AJ349" s="102"/>
      <c r="AK349" s="102"/>
      <c r="AL349" s="102"/>
      <c r="AM349" s="102"/>
      <c r="AN349" s="102"/>
      <c r="AO349" s="400"/>
      <c r="AP349" s="90"/>
      <c r="AQ349" s="90"/>
      <c r="AR349" s="90"/>
      <c r="AS349" s="90"/>
      <c r="AT349" s="90"/>
      <c r="AU349" s="90"/>
      <c r="AV349" s="90"/>
      <c r="AW349" s="90"/>
      <c r="AX349" s="90"/>
      <c r="AY349" s="90"/>
      <c r="AZ349" s="90"/>
      <c r="BA349" s="90"/>
      <c r="BB349" s="90"/>
      <c r="BC349" s="90"/>
      <c r="BD349" s="90"/>
      <c r="BE349" s="90"/>
      <c r="BF349" s="90"/>
      <c r="BG349" s="90"/>
      <c r="BH349" s="90"/>
      <c r="BI349" s="90"/>
    </row>
    <row r="350" ht="12.75" customHeight="1">
      <c r="A350" s="90"/>
      <c r="B350" s="90"/>
      <c r="C350" s="400"/>
      <c r="D350" s="90"/>
      <c r="E350" s="102"/>
      <c r="F350" s="90"/>
      <c r="G350" s="90"/>
      <c r="H350" s="102"/>
      <c r="I350" s="102"/>
      <c r="J350" s="102"/>
      <c r="K350" s="102"/>
      <c r="L350" s="102"/>
      <c r="M350" s="102"/>
      <c r="N350" s="102"/>
      <c r="O350" s="102"/>
      <c r="P350" s="102"/>
      <c r="Q350" s="102"/>
      <c r="R350" s="102"/>
      <c r="S350" s="102"/>
      <c r="T350" s="102"/>
      <c r="U350" s="102"/>
      <c r="V350" s="102"/>
      <c r="W350" s="102"/>
      <c r="X350" s="102"/>
      <c r="Y350" s="102"/>
      <c r="Z350" s="102"/>
      <c r="AA350" s="102"/>
      <c r="AB350" s="102"/>
      <c r="AC350" s="102"/>
      <c r="AD350" s="102"/>
      <c r="AE350" s="102"/>
      <c r="AF350" s="102"/>
      <c r="AG350" s="102"/>
      <c r="AH350" s="102"/>
      <c r="AI350" s="102"/>
      <c r="AJ350" s="102"/>
      <c r="AK350" s="102"/>
      <c r="AL350" s="102"/>
      <c r="AM350" s="102"/>
      <c r="AN350" s="102"/>
      <c r="AO350" s="400"/>
      <c r="AP350" s="90"/>
      <c r="AQ350" s="90"/>
      <c r="AR350" s="90"/>
      <c r="AS350" s="90"/>
      <c r="AT350" s="90"/>
      <c r="AU350" s="90"/>
      <c r="AV350" s="90"/>
      <c r="AW350" s="90"/>
      <c r="AX350" s="90"/>
      <c r="AY350" s="90"/>
      <c r="AZ350" s="90"/>
      <c r="BA350" s="90"/>
      <c r="BB350" s="90"/>
      <c r="BC350" s="90"/>
      <c r="BD350" s="90"/>
      <c r="BE350" s="90"/>
      <c r="BF350" s="90"/>
      <c r="BG350" s="90"/>
      <c r="BH350" s="90"/>
      <c r="BI350" s="90"/>
    </row>
    <row r="351" ht="12.75" customHeight="1">
      <c r="A351" s="90"/>
      <c r="B351" s="90"/>
      <c r="C351" s="400"/>
      <c r="D351" s="90"/>
      <c r="E351" s="102"/>
      <c r="F351" s="90"/>
      <c r="G351" s="90"/>
      <c r="H351" s="102"/>
      <c r="I351" s="102"/>
      <c r="J351" s="102"/>
      <c r="K351" s="102"/>
      <c r="L351" s="102"/>
      <c r="M351" s="102"/>
      <c r="N351" s="102"/>
      <c r="O351" s="102"/>
      <c r="P351" s="102"/>
      <c r="Q351" s="102"/>
      <c r="R351" s="102"/>
      <c r="S351" s="102"/>
      <c r="T351" s="102"/>
      <c r="U351" s="102"/>
      <c r="V351" s="102"/>
      <c r="W351" s="102"/>
      <c r="X351" s="102"/>
      <c r="Y351" s="102"/>
      <c r="Z351" s="102"/>
      <c r="AA351" s="102"/>
      <c r="AB351" s="102"/>
      <c r="AC351" s="102"/>
      <c r="AD351" s="102"/>
      <c r="AE351" s="102"/>
      <c r="AF351" s="102"/>
      <c r="AG351" s="102"/>
      <c r="AH351" s="102"/>
      <c r="AI351" s="102"/>
      <c r="AJ351" s="102"/>
      <c r="AK351" s="102"/>
      <c r="AL351" s="102"/>
      <c r="AM351" s="102"/>
      <c r="AN351" s="102"/>
      <c r="AO351" s="400"/>
      <c r="AP351" s="90"/>
      <c r="AQ351" s="90"/>
      <c r="AR351" s="90"/>
      <c r="AS351" s="90"/>
      <c r="AT351" s="90"/>
      <c r="AU351" s="90"/>
      <c r="AV351" s="90"/>
      <c r="AW351" s="90"/>
      <c r="AX351" s="90"/>
      <c r="AY351" s="90"/>
      <c r="AZ351" s="90"/>
      <c r="BA351" s="90"/>
      <c r="BB351" s="90"/>
      <c r="BC351" s="90"/>
      <c r="BD351" s="90"/>
      <c r="BE351" s="90"/>
      <c r="BF351" s="90"/>
      <c r="BG351" s="90"/>
      <c r="BH351" s="90"/>
      <c r="BI351" s="90"/>
    </row>
    <row r="352" ht="12.75" customHeight="1">
      <c r="A352" s="90"/>
      <c r="B352" s="90"/>
      <c r="C352" s="400"/>
      <c r="D352" s="90"/>
      <c r="E352" s="102"/>
      <c r="F352" s="90"/>
      <c r="G352" s="90"/>
      <c r="H352" s="102"/>
      <c r="I352" s="102"/>
      <c r="J352" s="102"/>
      <c r="K352" s="102"/>
      <c r="L352" s="102"/>
      <c r="M352" s="102"/>
      <c r="N352" s="102"/>
      <c r="O352" s="102"/>
      <c r="P352" s="102"/>
      <c r="Q352" s="102"/>
      <c r="R352" s="102"/>
      <c r="S352" s="102"/>
      <c r="T352" s="102"/>
      <c r="U352" s="102"/>
      <c r="V352" s="102"/>
      <c r="W352" s="102"/>
      <c r="X352" s="102"/>
      <c r="Y352" s="102"/>
      <c r="Z352" s="102"/>
      <c r="AA352" s="102"/>
      <c r="AB352" s="102"/>
      <c r="AC352" s="102"/>
      <c r="AD352" s="102"/>
      <c r="AE352" s="102"/>
      <c r="AF352" s="102"/>
      <c r="AG352" s="102"/>
      <c r="AH352" s="102"/>
      <c r="AI352" s="102"/>
      <c r="AJ352" s="102"/>
      <c r="AK352" s="102"/>
      <c r="AL352" s="102"/>
      <c r="AM352" s="102"/>
      <c r="AN352" s="102"/>
      <c r="AO352" s="400"/>
      <c r="AP352" s="90"/>
      <c r="AQ352" s="90"/>
      <c r="AR352" s="90"/>
      <c r="AS352" s="90"/>
      <c r="AT352" s="90"/>
      <c r="AU352" s="90"/>
      <c r="AV352" s="90"/>
      <c r="AW352" s="90"/>
      <c r="AX352" s="90"/>
      <c r="AY352" s="90"/>
      <c r="AZ352" s="90"/>
      <c r="BA352" s="90"/>
      <c r="BB352" s="90"/>
      <c r="BC352" s="90"/>
      <c r="BD352" s="90"/>
      <c r="BE352" s="90"/>
      <c r="BF352" s="90"/>
      <c r="BG352" s="90"/>
      <c r="BH352" s="90"/>
      <c r="BI352" s="90"/>
    </row>
    <row r="353" ht="12.75" customHeight="1">
      <c r="A353" s="90"/>
      <c r="B353" s="90"/>
      <c r="C353" s="400"/>
      <c r="D353" s="90"/>
      <c r="E353" s="102"/>
      <c r="F353" s="90"/>
      <c r="G353" s="90"/>
      <c r="H353" s="102"/>
      <c r="I353" s="102"/>
      <c r="J353" s="102"/>
      <c r="K353" s="102"/>
      <c r="L353" s="102"/>
      <c r="M353" s="102"/>
      <c r="N353" s="102"/>
      <c r="O353" s="102"/>
      <c r="P353" s="102"/>
      <c r="Q353" s="102"/>
      <c r="R353" s="102"/>
      <c r="S353" s="102"/>
      <c r="T353" s="102"/>
      <c r="U353" s="102"/>
      <c r="V353" s="102"/>
      <c r="W353" s="102"/>
      <c r="X353" s="102"/>
      <c r="Y353" s="102"/>
      <c r="Z353" s="102"/>
      <c r="AA353" s="102"/>
      <c r="AB353" s="102"/>
      <c r="AC353" s="102"/>
      <c r="AD353" s="102"/>
      <c r="AE353" s="102"/>
      <c r="AF353" s="102"/>
      <c r="AG353" s="102"/>
      <c r="AH353" s="102"/>
      <c r="AI353" s="102"/>
      <c r="AJ353" s="102"/>
      <c r="AK353" s="102"/>
      <c r="AL353" s="102"/>
      <c r="AM353" s="102"/>
      <c r="AN353" s="102"/>
      <c r="AO353" s="400"/>
      <c r="AP353" s="90"/>
      <c r="AQ353" s="90"/>
      <c r="AR353" s="90"/>
      <c r="AS353" s="90"/>
      <c r="AT353" s="90"/>
      <c r="AU353" s="90"/>
      <c r="AV353" s="90"/>
      <c r="AW353" s="90"/>
      <c r="AX353" s="90"/>
      <c r="AY353" s="90"/>
      <c r="AZ353" s="90"/>
      <c r="BA353" s="90"/>
      <c r="BB353" s="90"/>
      <c r="BC353" s="90"/>
      <c r="BD353" s="90"/>
      <c r="BE353" s="90"/>
      <c r="BF353" s="90"/>
      <c r="BG353" s="90"/>
      <c r="BH353" s="90"/>
      <c r="BI353" s="90"/>
    </row>
    <row r="354" ht="12.75" customHeight="1">
      <c r="A354" s="90"/>
      <c r="B354" s="90"/>
      <c r="C354" s="400"/>
      <c r="D354" s="90"/>
      <c r="E354" s="102"/>
      <c r="F354" s="90"/>
      <c r="G354" s="90"/>
      <c r="H354" s="102"/>
      <c r="I354" s="102"/>
      <c r="J354" s="102"/>
      <c r="K354" s="102"/>
      <c r="L354" s="102"/>
      <c r="M354" s="102"/>
      <c r="N354" s="102"/>
      <c r="O354" s="102"/>
      <c r="P354" s="102"/>
      <c r="Q354" s="102"/>
      <c r="R354" s="102"/>
      <c r="S354" s="102"/>
      <c r="T354" s="102"/>
      <c r="U354" s="102"/>
      <c r="V354" s="102"/>
      <c r="W354" s="102"/>
      <c r="X354" s="102"/>
      <c r="Y354" s="102"/>
      <c r="Z354" s="102"/>
      <c r="AA354" s="102"/>
      <c r="AB354" s="102"/>
      <c r="AC354" s="102"/>
      <c r="AD354" s="102"/>
      <c r="AE354" s="102"/>
      <c r="AF354" s="102"/>
      <c r="AG354" s="102"/>
      <c r="AH354" s="102"/>
      <c r="AI354" s="102"/>
      <c r="AJ354" s="102"/>
      <c r="AK354" s="102"/>
      <c r="AL354" s="102"/>
      <c r="AM354" s="102"/>
      <c r="AN354" s="102"/>
      <c r="AO354" s="400"/>
      <c r="AP354" s="90"/>
      <c r="AQ354" s="90"/>
      <c r="AR354" s="90"/>
      <c r="AS354" s="90"/>
      <c r="AT354" s="90"/>
      <c r="AU354" s="90"/>
      <c r="AV354" s="90"/>
      <c r="AW354" s="90"/>
      <c r="AX354" s="90"/>
      <c r="AY354" s="90"/>
      <c r="AZ354" s="90"/>
      <c r="BA354" s="90"/>
      <c r="BB354" s="90"/>
      <c r="BC354" s="90"/>
      <c r="BD354" s="90"/>
      <c r="BE354" s="90"/>
      <c r="BF354" s="90"/>
      <c r="BG354" s="90"/>
      <c r="BH354" s="90"/>
      <c r="BI354" s="90"/>
    </row>
    <row r="355" ht="12.75" customHeight="1">
      <c r="A355" s="90"/>
      <c r="B355" s="90"/>
      <c r="C355" s="400"/>
      <c r="D355" s="90"/>
      <c r="E355" s="102"/>
      <c r="F355" s="90"/>
      <c r="G355" s="90"/>
      <c r="H355" s="102"/>
      <c r="I355" s="102"/>
      <c r="J355" s="102"/>
      <c r="K355" s="102"/>
      <c r="L355" s="102"/>
      <c r="M355" s="102"/>
      <c r="N355" s="102"/>
      <c r="O355" s="102"/>
      <c r="P355" s="102"/>
      <c r="Q355" s="102"/>
      <c r="R355" s="102"/>
      <c r="S355" s="102"/>
      <c r="T355" s="102"/>
      <c r="U355" s="102"/>
      <c r="V355" s="102"/>
      <c r="W355" s="102"/>
      <c r="X355" s="102"/>
      <c r="Y355" s="102"/>
      <c r="Z355" s="102"/>
      <c r="AA355" s="102"/>
      <c r="AB355" s="102"/>
      <c r="AC355" s="102"/>
      <c r="AD355" s="102"/>
      <c r="AE355" s="102"/>
      <c r="AF355" s="102"/>
      <c r="AG355" s="102"/>
      <c r="AH355" s="102"/>
      <c r="AI355" s="102"/>
      <c r="AJ355" s="102"/>
      <c r="AK355" s="102"/>
      <c r="AL355" s="102"/>
      <c r="AM355" s="102"/>
      <c r="AN355" s="102"/>
      <c r="AO355" s="400"/>
      <c r="AP355" s="90"/>
      <c r="AQ355" s="90"/>
      <c r="AR355" s="90"/>
      <c r="AS355" s="90"/>
      <c r="AT355" s="90"/>
      <c r="AU355" s="90"/>
      <c r="AV355" s="90"/>
      <c r="AW355" s="90"/>
      <c r="AX355" s="90"/>
      <c r="AY355" s="90"/>
      <c r="AZ355" s="90"/>
      <c r="BA355" s="90"/>
      <c r="BB355" s="90"/>
      <c r="BC355" s="90"/>
      <c r="BD355" s="90"/>
      <c r="BE355" s="90"/>
      <c r="BF355" s="90"/>
      <c r="BG355" s="90"/>
      <c r="BH355" s="90"/>
      <c r="BI355" s="90"/>
    </row>
    <row r="356" ht="12.75" customHeight="1">
      <c r="A356" s="90"/>
      <c r="B356" s="90"/>
      <c r="C356" s="400"/>
      <c r="D356" s="90"/>
      <c r="E356" s="102"/>
      <c r="F356" s="90"/>
      <c r="G356" s="90"/>
      <c r="H356" s="102"/>
      <c r="I356" s="102"/>
      <c r="J356" s="102"/>
      <c r="K356" s="102"/>
      <c r="L356" s="102"/>
      <c r="M356" s="102"/>
      <c r="N356" s="102"/>
      <c r="O356" s="102"/>
      <c r="P356" s="102"/>
      <c r="Q356" s="102"/>
      <c r="R356" s="102"/>
      <c r="S356" s="102"/>
      <c r="T356" s="102"/>
      <c r="U356" s="102"/>
      <c r="V356" s="102"/>
      <c r="W356" s="102"/>
      <c r="X356" s="102"/>
      <c r="Y356" s="102"/>
      <c r="Z356" s="102"/>
      <c r="AA356" s="102"/>
      <c r="AB356" s="102"/>
      <c r="AC356" s="102"/>
      <c r="AD356" s="102"/>
      <c r="AE356" s="102"/>
      <c r="AF356" s="102"/>
      <c r="AG356" s="102"/>
      <c r="AH356" s="102"/>
      <c r="AI356" s="102"/>
      <c r="AJ356" s="102"/>
      <c r="AK356" s="102"/>
      <c r="AL356" s="102"/>
      <c r="AM356" s="102"/>
      <c r="AN356" s="102"/>
      <c r="AO356" s="400"/>
      <c r="AP356" s="90"/>
      <c r="AQ356" s="90"/>
      <c r="AR356" s="90"/>
      <c r="AS356" s="90"/>
      <c r="AT356" s="90"/>
      <c r="AU356" s="90"/>
      <c r="AV356" s="90"/>
      <c r="AW356" s="90"/>
      <c r="AX356" s="90"/>
      <c r="AY356" s="90"/>
      <c r="AZ356" s="90"/>
      <c r="BA356" s="90"/>
      <c r="BB356" s="90"/>
      <c r="BC356" s="90"/>
      <c r="BD356" s="90"/>
      <c r="BE356" s="90"/>
      <c r="BF356" s="90"/>
      <c r="BG356" s="90"/>
      <c r="BH356" s="90"/>
      <c r="BI356" s="90"/>
    </row>
    <row r="357" ht="12.75" customHeight="1">
      <c r="A357" s="90"/>
      <c r="B357" s="90"/>
      <c r="C357" s="400"/>
      <c r="D357" s="90"/>
      <c r="E357" s="102"/>
      <c r="F357" s="90"/>
      <c r="G357" s="90"/>
      <c r="H357" s="102"/>
      <c r="I357" s="102"/>
      <c r="J357" s="102"/>
      <c r="K357" s="102"/>
      <c r="L357" s="102"/>
      <c r="M357" s="102"/>
      <c r="N357" s="102"/>
      <c r="O357" s="102"/>
      <c r="P357" s="102"/>
      <c r="Q357" s="102"/>
      <c r="R357" s="102"/>
      <c r="S357" s="102"/>
      <c r="T357" s="102"/>
      <c r="U357" s="102"/>
      <c r="V357" s="102"/>
      <c r="W357" s="102"/>
      <c r="X357" s="102"/>
      <c r="Y357" s="102"/>
      <c r="Z357" s="102"/>
      <c r="AA357" s="102"/>
      <c r="AB357" s="102"/>
      <c r="AC357" s="102"/>
      <c r="AD357" s="102"/>
      <c r="AE357" s="102"/>
      <c r="AF357" s="102"/>
      <c r="AG357" s="102"/>
      <c r="AH357" s="102"/>
      <c r="AI357" s="102"/>
      <c r="AJ357" s="102"/>
      <c r="AK357" s="102"/>
      <c r="AL357" s="102"/>
      <c r="AM357" s="102"/>
      <c r="AN357" s="102"/>
      <c r="AO357" s="400"/>
      <c r="AP357" s="90"/>
      <c r="AQ357" s="90"/>
      <c r="AR357" s="90"/>
      <c r="AS357" s="90"/>
      <c r="AT357" s="90"/>
      <c r="AU357" s="90"/>
      <c r="AV357" s="90"/>
      <c r="AW357" s="90"/>
      <c r="AX357" s="90"/>
      <c r="AY357" s="90"/>
      <c r="AZ357" s="90"/>
      <c r="BA357" s="90"/>
      <c r="BB357" s="90"/>
      <c r="BC357" s="90"/>
      <c r="BD357" s="90"/>
      <c r="BE357" s="90"/>
      <c r="BF357" s="90"/>
      <c r="BG357" s="90"/>
      <c r="BH357" s="90"/>
      <c r="BI357" s="90"/>
    </row>
    <row r="358" ht="12.75" customHeight="1">
      <c r="A358" s="90"/>
      <c r="B358" s="90"/>
      <c r="C358" s="400"/>
      <c r="D358" s="90"/>
      <c r="E358" s="102"/>
      <c r="F358" s="90"/>
      <c r="G358" s="90"/>
      <c r="H358" s="102"/>
      <c r="I358" s="102"/>
      <c r="J358" s="102"/>
      <c r="K358" s="102"/>
      <c r="L358" s="102"/>
      <c r="M358" s="102"/>
      <c r="N358" s="102"/>
      <c r="O358" s="102"/>
      <c r="P358" s="102"/>
      <c r="Q358" s="102"/>
      <c r="R358" s="102"/>
      <c r="S358" s="102"/>
      <c r="T358" s="102"/>
      <c r="U358" s="102"/>
      <c r="V358" s="102"/>
      <c r="W358" s="102"/>
      <c r="X358" s="102"/>
      <c r="Y358" s="102"/>
      <c r="Z358" s="102"/>
      <c r="AA358" s="102"/>
      <c r="AB358" s="102"/>
      <c r="AC358" s="102"/>
      <c r="AD358" s="102"/>
      <c r="AE358" s="102"/>
      <c r="AF358" s="102"/>
      <c r="AG358" s="102"/>
      <c r="AH358" s="102"/>
      <c r="AI358" s="102"/>
      <c r="AJ358" s="102"/>
      <c r="AK358" s="102"/>
      <c r="AL358" s="102"/>
      <c r="AM358" s="102"/>
      <c r="AN358" s="102"/>
      <c r="AO358" s="400"/>
      <c r="AP358" s="90"/>
      <c r="AQ358" s="90"/>
      <c r="AR358" s="90"/>
      <c r="AS358" s="90"/>
      <c r="AT358" s="90"/>
      <c r="AU358" s="90"/>
      <c r="AV358" s="90"/>
      <c r="AW358" s="90"/>
      <c r="AX358" s="90"/>
      <c r="AY358" s="90"/>
      <c r="AZ358" s="90"/>
      <c r="BA358" s="90"/>
      <c r="BB358" s="90"/>
      <c r="BC358" s="90"/>
      <c r="BD358" s="90"/>
      <c r="BE358" s="90"/>
      <c r="BF358" s="90"/>
      <c r="BG358" s="90"/>
      <c r="BH358" s="90"/>
      <c r="BI358" s="90"/>
    </row>
    <row r="359" ht="12.75" customHeight="1">
      <c r="A359" s="90"/>
      <c r="B359" s="90"/>
      <c r="C359" s="400"/>
      <c r="D359" s="90"/>
      <c r="E359" s="102"/>
      <c r="F359" s="90"/>
      <c r="G359" s="90"/>
      <c r="H359" s="102"/>
      <c r="I359" s="102"/>
      <c r="J359" s="102"/>
      <c r="K359" s="102"/>
      <c r="L359" s="102"/>
      <c r="M359" s="102"/>
      <c r="N359" s="102"/>
      <c r="O359" s="102"/>
      <c r="P359" s="102"/>
      <c r="Q359" s="102"/>
      <c r="R359" s="102"/>
      <c r="S359" s="102"/>
      <c r="T359" s="102"/>
      <c r="U359" s="102"/>
      <c r="V359" s="102"/>
      <c r="W359" s="102"/>
      <c r="X359" s="102"/>
      <c r="Y359" s="102"/>
      <c r="Z359" s="102"/>
      <c r="AA359" s="102"/>
      <c r="AB359" s="102"/>
      <c r="AC359" s="102"/>
      <c r="AD359" s="102"/>
      <c r="AE359" s="102"/>
      <c r="AF359" s="102"/>
      <c r="AG359" s="102"/>
      <c r="AH359" s="102"/>
      <c r="AI359" s="102"/>
      <c r="AJ359" s="102"/>
      <c r="AK359" s="102"/>
      <c r="AL359" s="102"/>
      <c r="AM359" s="102"/>
      <c r="AN359" s="102"/>
      <c r="AO359" s="400"/>
      <c r="AP359" s="90"/>
      <c r="AQ359" s="90"/>
      <c r="AR359" s="90"/>
      <c r="AS359" s="90"/>
      <c r="AT359" s="90"/>
      <c r="AU359" s="90"/>
      <c r="AV359" s="90"/>
      <c r="AW359" s="90"/>
      <c r="AX359" s="90"/>
      <c r="AY359" s="90"/>
      <c r="AZ359" s="90"/>
      <c r="BA359" s="90"/>
      <c r="BB359" s="90"/>
      <c r="BC359" s="90"/>
      <c r="BD359" s="90"/>
      <c r="BE359" s="90"/>
      <c r="BF359" s="90"/>
      <c r="BG359" s="90"/>
      <c r="BH359" s="90"/>
      <c r="BI359" s="90"/>
    </row>
    <row r="360" ht="12.75" customHeight="1">
      <c r="A360" s="90"/>
      <c r="B360" s="90"/>
      <c r="C360" s="400"/>
      <c r="D360" s="90"/>
      <c r="E360" s="102"/>
      <c r="F360" s="90"/>
      <c r="G360" s="90"/>
      <c r="H360" s="102"/>
      <c r="I360" s="102"/>
      <c r="J360" s="102"/>
      <c r="K360" s="102"/>
      <c r="L360" s="102"/>
      <c r="M360" s="102"/>
      <c r="N360" s="102"/>
      <c r="O360" s="102"/>
      <c r="P360" s="102"/>
      <c r="Q360" s="102"/>
      <c r="R360" s="102"/>
      <c r="S360" s="102"/>
      <c r="T360" s="102"/>
      <c r="U360" s="102"/>
      <c r="V360" s="102"/>
      <c r="W360" s="102"/>
      <c r="X360" s="102"/>
      <c r="Y360" s="102"/>
      <c r="Z360" s="102"/>
      <c r="AA360" s="102"/>
      <c r="AB360" s="102"/>
      <c r="AC360" s="102"/>
      <c r="AD360" s="102"/>
      <c r="AE360" s="102"/>
      <c r="AF360" s="102"/>
      <c r="AG360" s="102"/>
      <c r="AH360" s="102"/>
      <c r="AI360" s="102"/>
      <c r="AJ360" s="102"/>
      <c r="AK360" s="102"/>
      <c r="AL360" s="102"/>
      <c r="AM360" s="102"/>
      <c r="AN360" s="102"/>
      <c r="AO360" s="400"/>
      <c r="AP360" s="90"/>
      <c r="AQ360" s="90"/>
      <c r="AR360" s="90"/>
      <c r="AS360" s="90"/>
      <c r="AT360" s="90"/>
      <c r="AU360" s="90"/>
      <c r="AV360" s="90"/>
      <c r="AW360" s="90"/>
      <c r="AX360" s="90"/>
      <c r="AY360" s="90"/>
      <c r="AZ360" s="90"/>
      <c r="BA360" s="90"/>
      <c r="BB360" s="90"/>
      <c r="BC360" s="90"/>
      <c r="BD360" s="90"/>
      <c r="BE360" s="90"/>
      <c r="BF360" s="90"/>
      <c r="BG360" s="90"/>
      <c r="BH360" s="90"/>
      <c r="BI360" s="90"/>
    </row>
    <row r="361" ht="12.75" customHeight="1">
      <c r="A361" s="90"/>
      <c r="B361" s="90"/>
      <c r="C361" s="400"/>
      <c r="D361" s="90"/>
      <c r="E361" s="102"/>
      <c r="F361" s="90"/>
      <c r="G361" s="90"/>
      <c r="H361" s="102"/>
      <c r="I361" s="102"/>
      <c r="J361" s="102"/>
      <c r="K361" s="102"/>
      <c r="L361" s="102"/>
      <c r="M361" s="102"/>
      <c r="N361" s="102"/>
      <c r="O361" s="102"/>
      <c r="P361" s="102"/>
      <c r="Q361" s="102"/>
      <c r="R361" s="102"/>
      <c r="S361" s="102"/>
      <c r="T361" s="102"/>
      <c r="U361" s="102"/>
      <c r="V361" s="102"/>
      <c r="W361" s="102"/>
      <c r="X361" s="102"/>
      <c r="Y361" s="102"/>
      <c r="Z361" s="102"/>
      <c r="AA361" s="102"/>
      <c r="AB361" s="102"/>
      <c r="AC361" s="102"/>
      <c r="AD361" s="102"/>
      <c r="AE361" s="102"/>
      <c r="AF361" s="102"/>
      <c r="AG361" s="102"/>
      <c r="AH361" s="102"/>
      <c r="AI361" s="102"/>
      <c r="AJ361" s="102"/>
      <c r="AK361" s="102"/>
      <c r="AL361" s="102"/>
      <c r="AM361" s="102"/>
      <c r="AN361" s="102"/>
      <c r="AO361" s="400"/>
      <c r="AP361" s="90"/>
      <c r="AQ361" s="90"/>
      <c r="AR361" s="90"/>
      <c r="AS361" s="90"/>
      <c r="AT361" s="90"/>
      <c r="AU361" s="90"/>
      <c r="AV361" s="90"/>
      <c r="AW361" s="90"/>
      <c r="AX361" s="90"/>
      <c r="AY361" s="90"/>
      <c r="AZ361" s="90"/>
      <c r="BA361" s="90"/>
      <c r="BB361" s="90"/>
      <c r="BC361" s="90"/>
      <c r="BD361" s="90"/>
      <c r="BE361" s="90"/>
      <c r="BF361" s="90"/>
      <c r="BG361" s="90"/>
      <c r="BH361" s="90"/>
      <c r="BI361" s="90"/>
    </row>
    <row r="362" ht="12.75" customHeight="1">
      <c r="A362" s="90"/>
      <c r="B362" s="90"/>
      <c r="C362" s="400"/>
      <c r="D362" s="90"/>
      <c r="E362" s="102"/>
      <c r="F362" s="90"/>
      <c r="G362" s="90"/>
      <c r="H362" s="102"/>
      <c r="I362" s="102"/>
      <c r="J362" s="102"/>
      <c r="K362" s="102"/>
      <c r="L362" s="102"/>
      <c r="M362" s="102"/>
      <c r="N362" s="102"/>
      <c r="O362" s="102"/>
      <c r="P362" s="102"/>
      <c r="Q362" s="102"/>
      <c r="R362" s="102"/>
      <c r="S362" s="102"/>
      <c r="T362" s="102"/>
      <c r="U362" s="102"/>
      <c r="V362" s="102"/>
      <c r="W362" s="102"/>
      <c r="X362" s="102"/>
      <c r="Y362" s="102"/>
      <c r="Z362" s="102"/>
      <c r="AA362" s="102"/>
      <c r="AB362" s="102"/>
      <c r="AC362" s="102"/>
      <c r="AD362" s="102"/>
      <c r="AE362" s="102"/>
      <c r="AF362" s="102"/>
      <c r="AG362" s="102"/>
      <c r="AH362" s="102"/>
      <c r="AI362" s="102"/>
      <c r="AJ362" s="102"/>
      <c r="AK362" s="102"/>
      <c r="AL362" s="102"/>
      <c r="AM362" s="102"/>
      <c r="AN362" s="102"/>
      <c r="AO362" s="400"/>
      <c r="AP362" s="90"/>
      <c r="AQ362" s="90"/>
      <c r="AR362" s="90"/>
      <c r="AS362" s="90"/>
      <c r="AT362" s="90"/>
      <c r="AU362" s="90"/>
      <c r="AV362" s="90"/>
      <c r="AW362" s="90"/>
      <c r="AX362" s="90"/>
      <c r="AY362" s="90"/>
      <c r="AZ362" s="90"/>
      <c r="BA362" s="90"/>
      <c r="BB362" s="90"/>
      <c r="BC362" s="90"/>
      <c r="BD362" s="90"/>
      <c r="BE362" s="90"/>
      <c r="BF362" s="90"/>
      <c r="BG362" s="90"/>
      <c r="BH362" s="90"/>
      <c r="BI362" s="90"/>
    </row>
    <row r="363" ht="12.75" customHeight="1">
      <c r="A363" s="90"/>
      <c r="B363" s="90"/>
      <c r="C363" s="400"/>
      <c r="D363" s="90"/>
      <c r="E363" s="102"/>
      <c r="F363" s="90"/>
      <c r="G363" s="90"/>
      <c r="H363" s="102"/>
      <c r="I363" s="102"/>
      <c r="J363" s="102"/>
      <c r="K363" s="102"/>
      <c r="L363" s="102"/>
      <c r="M363" s="102"/>
      <c r="N363" s="102"/>
      <c r="O363" s="102"/>
      <c r="P363" s="102"/>
      <c r="Q363" s="102"/>
      <c r="R363" s="102"/>
      <c r="S363" s="102"/>
      <c r="T363" s="102"/>
      <c r="U363" s="102"/>
      <c r="V363" s="102"/>
      <c r="W363" s="102"/>
      <c r="X363" s="102"/>
      <c r="Y363" s="102"/>
      <c r="Z363" s="102"/>
      <c r="AA363" s="102"/>
      <c r="AB363" s="102"/>
      <c r="AC363" s="102"/>
      <c r="AD363" s="102"/>
      <c r="AE363" s="102"/>
      <c r="AF363" s="102"/>
      <c r="AG363" s="102"/>
      <c r="AH363" s="102"/>
      <c r="AI363" s="102"/>
      <c r="AJ363" s="102"/>
      <c r="AK363" s="102"/>
      <c r="AL363" s="102"/>
      <c r="AM363" s="102"/>
      <c r="AN363" s="102"/>
      <c r="AO363" s="400"/>
      <c r="AP363" s="90"/>
      <c r="AQ363" s="90"/>
      <c r="AR363" s="90"/>
      <c r="AS363" s="90"/>
      <c r="AT363" s="90"/>
      <c r="AU363" s="90"/>
      <c r="AV363" s="90"/>
      <c r="AW363" s="90"/>
      <c r="AX363" s="90"/>
      <c r="AY363" s="90"/>
      <c r="AZ363" s="90"/>
      <c r="BA363" s="90"/>
      <c r="BB363" s="90"/>
      <c r="BC363" s="90"/>
      <c r="BD363" s="90"/>
      <c r="BE363" s="90"/>
      <c r="BF363" s="90"/>
      <c r="BG363" s="90"/>
      <c r="BH363" s="90"/>
      <c r="BI363" s="90"/>
    </row>
    <row r="364" ht="12.75" customHeight="1">
      <c r="A364" s="90"/>
      <c r="B364" s="90"/>
      <c r="C364" s="400"/>
      <c r="D364" s="90"/>
      <c r="E364" s="102"/>
      <c r="F364" s="90"/>
      <c r="G364" s="90"/>
      <c r="H364" s="102"/>
      <c r="I364" s="102"/>
      <c r="J364" s="102"/>
      <c r="K364" s="102"/>
      <c r="L364" s="102"/>
      <c r="M364" s="102"/>
      <c r="N364" s="102"/>
      <c r="O364" s="102"/>
      <c r="P364" s="102"/>
      <c r="Q364" s="102"/>
      <c r="R364" s="102"/>
      <c r="S364" s="102"/>
      <c r="T364" s="102"/>
      <c r="U364" s="102"/>
      <c r="V364" s="102"/>
      <c r="W364" s="102"/>
      <c r="X364" s="102"/>
      <c r="Y364" s="102"/>
      <c r="Z364" s="102"/>
      <c r="AA364" s="102"/>
      <c r="AB364" s="102"/>
      <c r="AC364" s="102"/>
      <c r="AD364" s="102"/>
      <c r="AE364" s="102"/>
      <c r="AF364" s="102"/>
      <c r="AG364" s="102"/>
      <c r="AH364" s="102"/>
      <c r="AI364" s="102"/>
      <c r="AJ364" s="102"/>
      <c r="AK364" s="102"/>
      <c r="AL364" s="102"/>
      <c r="AM364" s="102"/>
      <c r="AN364" s="102"/>
      <c r="AO364" s="400"/>
      <c r="AP364" s="90"/>
      <c r="AQ364" s="90"/>
      <c r="AR364" s="90"/>
      <c r="AS364" s="90"/>
      <c r="AT364" s="90"/>
      <c r="AU364" s="90"/>
      <c r="AV364" s="90"/>
      <c r="AW364" s="90"/>
      <c r="AX364" s="90"/>
      <c r="AY364" s="90"/>
      <c r="AZ364" s="90"/>
      <c r="BA364" s="90"/>
      <c r="BB364" s="90"/>
      <c r="BC364" s="90"/>
      <c r="BD364" s="90"/>
      <c r="BE364" s="90"/>
      <c r="BF364" s="90"/>
      <c r="BG364" s="90"/>
      <c r="BH364" s="90"/>
      <c r="BI364" s="90"/>
    </row>
    <row r="365" ht="12.75" customHeight="1">
      <c r="A365" s="90"/>
      <c r="B365" s="90"/>
      <c r="C365" s="400"/>
      <c r="D365" s="90"/>
      <c r="E365" s="102"/>
      <c r="F365" s="90"/>
      <c r="G365" s="90"/>
      <c r="H365" s="102"/>
      <c r="I365" s="102"/>
      <c r="J365" s="102"/>
      <c r="K365" s="102"/>
      <c r="L365" s="102"/>
      <c r="M365" s="102"/>
      <c r="N365" s="102"/>
      <c r="O365" s="102"/>
      <c r="P365" s="102"/>
      <c r="Q365" s="102"/>
      <c r="R365" s="102"/>
      <c r="S365" s="102"/>
      <c r="T365" s="102"/>
      <c r="U365" s="102"/>
      <c r="V365" s="102"/>
      <c r="W365" s="102"/>
      <c r="X365" s="102"/>
      <c r="Y365" s="102"/>
      <c r="Z365" s="102"/>
      <c r="AA365" s="102"/>
      <c r="AB365" s="102"/>
      <c r="AC365" s="102"/>
      <c r="AD365" s="102"/>
      <c r="AE365" s="102"/>
      <c r="AF365" s="102"/>
      <c r="AG365" s="102"/>
      <c r="AH365" s="102"/>
      <c r="AI365" s="102"/>
      <c r="AJ365" s="102"/>
      <c r="AK365" s="102"/>
      <c r="AL365" s="102"/>
      <c r="AM365" s="102"/>
      <c r="AN365" s="102"/>
      <c r="AO365" s="400"/>
      <c r="AP365" s="90"/>
      <c r="AQ365" s="90"/>
      <c r="AR365" s="90"/>
      <c r="AS365" s="90"/>
      <c r="AT365" s="90"/>
      <c r="AU365" s="90"/>
      <c r="AV365" s="90"/>
      <c r="AW365" s="90"/>
      <c r="AX365" s="90"/>
      <c r="AY365" s="90"/>
      <c r="AZ365" s="90"/>
      <c r="BA365" s="90"/>
      <c r="BB365" s="90"/>
      <c r="BC365" s="90"/>
      <c r="BD365" s="90"/>
      <c r="BE365" s="90"/>
      <c r="BF365" s="90"/>
      <c r="BG365" s="90"/>
      <c r="BH365" s="90"/>
      <c r="BI365" s="90"/>
    </row>
    <row r="366" ht="12.75" customHeight="1">
      <c r="A366" s="90"/>
      <c r="B366" s="90"/>
      <c r="C366" s="400"/>
      <c r="D366" s="90"/>
      <c r="E366" s="102"/>
      <c r="F366" s="90"/>
      <c r="G366" s="90"/>
      <c r="H366" s="102"/>
      <c r="I366" s="102"/>
      <c r="J366" s="102"/>
      <c r="K366" s="102"/>
      <c r="L366" s="102"/>
      <c r="M366" s="102"/>
      <c r="N366" s="102"/>
      <c r="O366" s="102"/>
      <c r="P366" s="102"/>
      <c r="Q366" s="102"/>
      <c r="R366" s="102"/>
      <c r="S366" s="102"/>
      <c r="T366" s="102"/>
      <c r="U366" s="102"/>
      <c r="V366" s="102"/>
      <c r="W366" s="102"/>
      <c r="X366" s="102"/>
      <c r="Y366" s="102"/>
      <c r="Z366" s="102"/>
      <c r="AA366" s="102"/>
      <c r="AB366" s="102"/>
      <c r="AC366" s="102"/>
      <c r="AD366" s="102"/>
      <c r="AE366" s="102"/>
      <c r="AF366" s="102"/>
      <c r="AG366" s="102"/>
      <c r="AH366" s="102"/>
      <c r="AI366" s="102"/>
      <c r="AJ366" s="102"/>
      <c r="AK366" s="102"/>
      <c r="AL366" s="102"/>
      <c r="AM366" s="102"/>
      <c r="AN366" s="102"/>
      <c r="AO366" s="400"/>
      <c r="AP366" s="90"/>
      <c r="AQ366" s="90"/>
      <c r="AR366" s="90"/>
      <c r="AS366" s="90"/>
      <c r="AT366" s="90"/>
      <c r="AU366" s="90"/>
      <c r="AV366" s="90"/>
      <c r="AW366" s="90"/>
      <c r="AX366" s="90"/>
      <c r="AY366" s="90"/>
      <c r="AZ366" s="90"/>
      <c r="BA366" s="90"/>
      <c r="BB366" s="90"/>
      <c r="BC366" s="90"/>
      <c r="BD366" s="90"/>
      <c r="BE366" s="90"/>
      <c r="BF366" s="90"/>
      <c r="BG366" s="90"/>
      <c r="BH366" s="90"/>
      <c r="BI366" s="90"/>
    </row>
    <row r="367" ht="12.75" customHeight="1">
      <c r="A367" s="90"/>
      <c r="B367" s="90"/>
      <c r="C367" s="400"/>
      <c r="D367" s="90"/>
      <c r="E367" s="102"/>
      <c r="F367" s="90"/>
      <c r="G367" s="90"/>
      <c r="H367" s="102"/>
      <c r="I367" s="102"/>
      <c r="J367" s="102"/>
      <c r="K367" s="102"/>
      <c r="L367" s="102"/>
      <c r="M367" s="102"/>
      <c r="N367" s="102"/>
      <c r="O367" s="102"/>
      <c r="P367" s="102"/>
      <c r="Q367" s="102"/>
      <c r="R367" s="102"/>
      <c r="S367" s="102"/>
      <c r="T367" s="102"/>
      <c r="U367" s="102"/>
      <c r="V367" s="102"/>
      <c r="W367" s="102"/>
      <c r="X367" s="102"/>
      <c r="Y367" s="102"/>
      <c r="Z367" s="102"/>
      <c r="AA367" s="102"/>
      <c r="AB367" s="102"/>
      <c r="AC367" s="102"/>
      <c r="AD367" s="102"/>
      <c r="AE367" s="102"/>
      <c r="AF367" s="102"/>
      <c r="AG367" s="102"/>
      <c r="AH367" s="102"/>
      <c r="AI367" s="102"/>
      <c r="AJ367" s="102"/>
      <c r="AK367" s="102"/>
      <c r="AL367" s="102"/>
      <c r="AM367" s="102"/>
      <c r="AN367" s="102"/>
      <c r="AO367" s="400"/>
      <c r="AP367" s="90"/>
      <c r="AQ367" s="90"/>
      <c r="AR367" s="90"/>
      <c r="AS367" s="90"/>
      <c r="AT367" s="90"/>
      <c r="AU367" s="90"/>
      <c r="AV367" s="90"/>
      <c r="AW367" s="90"/>
      <c r="AX367" s="90"/>
      <c r="AY367" s="90"/>
      <c r="AZ367" s="90"/>
      <c r="BA367" s="90"/>
      <c r="BB367" s="90"/>
      <c r="BC367" s="90"/>
      <c r="BD367" s="90"/>
      <c r="BE367" s="90"/>
      <c r="BF367" s="90"/>
      <c r="BG367" s="90"/>
      <c r="BH367" s="90"/>
      <c r="BI367" s="90"/>
    </row>
    <row r="368" ht="12.75" customHeight="1">
      <c r="A368" s="90"/>
      <c r="B368" s="90"/>
      <c r="C368" s="400"/>
      <c r="D368" s="90"/>
      <c r="E368" s="102"/>
      <c r="F368" s="90"/>
      <c r="G368" s="90"/>
      <c r="H368" s="102"/>
      <c r="I368" s="102"/>
      <c r="J368" s="102"/>
      <c r="K368" s="102"/>
      <c r="L368" s="102"/>
      <c r="M368" s="102"/>
      <c r="N368" s="102"/>
      <c r="O368" s="102"/>
      <c r="P368" s="102"/>
      <c r="Q368" s="102"/>
      <c r="R368" s="102"/>
      <c r="S368" s="102"/>
      <c r="T368" s="102"/>
      <c r="U368" s="102"/>
      <c r="V368" s="102"/>
      <c r="W368" s="102"/>
      <c r="X368" s="102"/>
      <c r="Y368" s="102"/>
      <c r="Z368" s="102"/>
      <c r="AA368" s="102"/>
      <c r="AB368" s="102"/>
      <c r="AC368" s="102"/>
      <c r="AD368" s="102"/>
      <c r="AE368" s="102"/>
      <c r="AF368" s="102"/>
      <c r="AG368" s="102"/>
      <c r="AH368" s="102"/>
      <c r="AI368" s="102"/>
      <c r="AJ368" s="102"/>
      <c r="AK368" s="102"/>
      <c r="AL368" s="102"/>
      <c r="AM368" s="102"/>
      <c r="AN368" s="102"/>
      <c r="AO368" s="400"/>
      <c r="AP368" s="90"/>
      <c r="AQ368" s="90"/>
      <c r="AR368" s="90"/>
      <c r="AS368" s="90"/>
      <c r="AT368" s="90"/>
      <c r="AU368" s="90"/>
      <c r="AV368" s="90"/>
      <c r="AW368" s="90"/>
      <c r="AX368" s="90"/>
      <c r="AY368" s="90"/>
      <c r="AZ368" s="90"/>
      <c r="BA368" s="90"/>
      <c r="BB368" s="90"/>
      <c r="BC368" s="90"/>
      <c r="BD368" s="90"/>
      <c r="BE368" s="90"/>
      <c r="BF368" s="90"/>
      <c r="BG368" s="90"/>
      <c r="BH368" s="90"/>
      <c r="BI368" s="90"/>
    </row>
    <row r="369" ht="12.75" customHeight="1">
      <c r="A369" s="90"/>
      <c r="B369" s="90"/>
      <c r="C369" s="400"/>
      <c r="D369" s="90"/>
      <c r="E369" s="102"/>
      <c r="F369" s="90"/>
      <c r="G369" s="90"/>
      <c r="H369" s="102"/>
      <c r="I369" s="102"/>
      <c r="J369" s="102"/>
      <c r="K369" s="102"/>
      <c r="L369" s="102"/>
      <c r="M369" s="102"/>
      <c r="N369" s="102"/>
      <c r="O369" s="102"/>
      <c r="P369" s="102"/>
      <c r="Q369" s="102"/>
      <c r="R369" s="102"/>
      <c r="S369" s="102"/>
      <c r="T369" s="102"/>
      <c r="U369" s="102"/>
      <c r="V369" s="102"/>
      <c r="W369" s="102"/>
      <c r="X369" s="102"/>
      <c r="Y369" s="102"/>
      <c r="Z369" s="102"/>
      <c r="AA369" s="102"/>
      <c r="AB369" s="102"/>
      <c r="AC369" s="102"/>
      <c r="AD369" s="102"/>
      <c r="AE369" s="102"/>
      <c r="AF369" s="102"/>
      <c r="AG369" s="102"/>
      <c r="AH369" s="102"/>
      <c r="AI369" s="102"/>
      <c r="AJ369" s="102"/>
      <c r="AK369" s="102"/>
      <c r="AL369" s="102"/>
      <c r="AM369" s="102"/>
      <c r="AN369" s="102"/>
      <c r="AO369" s="400"/>
      <c r="AP369" s="90"/>
      <c r="AQ369" s="90"/>
      <c r="AR369" s="90"/>
      <c r="AS369" s="90"/>
      <c r="AT369" s="90"/>
      <c r="AU369" s="90"/>
      <c r="AV369" s="90"/>
      <c r="AW369" s="90"/>
      <c r="AX369" s="90"/>
      <c r="AY369" s="90"/>
      <c r="AZ369" s="90"/>
      <c r="BA369" s="90"/>
      <c r="BB369" s="90"/>
      <c r="BC369" s="90"/>
      <c r="BD369" s="90"/>
      <c r="BE369" s="90"/>
      <c r="BF369" s="90"/>
      <c r="BG369" s="90"/>
      <c r="BH369" s="90"/>
      <c r="BI369" s="90"/>
    </row>
    <row r="370" ht="12.75" customHeight="1">
      <c r="A370" s="90"/>
      <c r="B370" s="90"/>
      <c r="C370" s="400"/>
      <c r="D370" s="90"/>
      <c r="E370" s="102"/>
      <c r="F370" s="90"/>
      <c r="G370" s="90"/>
      <c r="H370" s="102"/>
      <c r="I370" s="102"/>
      <c r="J370" s="102"/>
      <c r="K370" s="102"/>
      <c r="L370" s="102"/>
      <c r="M370" s="102"/>
      <c r="N370" s="102"/>
      <c r="O370" s="102"/>
      <c r="P370" s="102"/>
      <c r="Q370" s="102"/>
      <c r="R370" s="102"/>
      <c r="S370" s="102"/>
      <c r="T370" s="102"/>
      <c r="U370" s="102"/>
      <c r="V370" s="102"/>
      <c r="W370" s="102"/>
      <c r="X370" s="102"/>
      <c r="Y370" s="102"/>
      <c r="Z370" s="102"/>
      <c r="AA370" s="102"/>
      <c r="AB370" s="102"/>
      <c r="AC370" s="102"/>
      <c r="AD370" s="102"/>
      <c r="AE370" s="102"/>
      <c r="AF370" s="102"/>
      <c r="AG370" s="102"/>
      <c r="AH370" s="102"/>
      <c r="AI370" s="102"/>
      <c r="AJ370" s="102"/>
      <c r="AK370" s="102"/>
      <c r="AL370" s="102"/>
      <c r="AM370" s="102"/>
      <c r="AN370" s="102"/>
      <c r="AO370" s="400"/>
      <c r="AP370" s="90"/>
      <c r="AQ370" s="90"/>
      <c r="AR370" s="90"/>
      <c r="AS370" s="90"/>
      <c r="AT370" s="90"/>
      <c r="AU370" s="90"/>
      <c r="AV370" s="90"/>
      <c r="AW370" s="90"/>
      <c r="AX370" s="90"/>
      <c r="AY370" s="90"/>
      <c r="AZ370" s="90"/>
      <c r="BA370" s="90"/>
      <c r="BB370" s="90"/>
      <c r="BC370" s="90"/>
      <c r="BD370" s="90"/>
      <c r="BE370" s="90"/>
      <c r="BF370" s="90"/>
      <c r="BG370" s="90"/>
      <c r="BH370" s="90"/>
      <c r="BI370" s="90"/>
    </row>
    <row r="371" ht="12.75" customHeight="1">
      <c r="A371" s="90"/>
      <c r="B371" s="90"/>
      <c r="C371" s="400"/>
      <c r="D371" s="90"/>
      <c r="E371" s="102"/>
      <c r="F371" s="90"/>
      <c r="G371" s="90"/>
      <c r="H371" s="102"/>
      <c r="I371" s="102"/>
      <c r="J371" s="102"/>
      <c r="K371" s="102"/>
      <c r="L371" s="102"/>
      <c r="M371" s="102"/>
      <c r="N371" s="102"/>
      <c r="O371" s="102"/>
      <c r="P371" s="102"/>
      <c r="Q371" s="102"/>
      <c r="R371" s="102"/>
      <c r="S371" s="102"/>
      <c r="T371" s="102"/>
      <c r="U371" s="102"/>
      <c r="V371" s="102"/>
      <c r="W371" s="102"/>
      <c r="X371" s="102"/>
      <c r="Y371" s="102"/>
      <c r="Z371" s="102"/>
      <c r="AA371" s="102"/>
      <c r="AB371" s="102"/>
      <c r="AC371" s="102"/>
      <c r="AD371" s="102"/>
      <c r="AE371" s="102"/>
      <c r="AF371" s="102"/>
      <c r="AG371" s="102"/>
      <c r="AH371" s="102"/>
      <c r="AI371" s="102"/>
      <c r="AJ371" s="102"/>
      <c r="AK371" s="102"/>
      <c r="AL371" s="102"/>
      <c r="AM371" s="102"/>
      <c r="AN371" s="102"/>
      <c r="AO371" s="400"/>
      <c r="AP371" s="90"/>
      <c r="AQ371" s="90"/>
      <c r="AR371" s="90"/>
      <c r="AS371" s="90"/>
      <c r="AT371" s="90"/>
      <c r="AU371" s="90"/>
      <c r="AV371" s="90"/>
      <c r="AW371" s="90"/>
      <c r="AX371" s="90"/>
      <c r="AY371" s="90"/>
      <c r="AZ371" s="90"/>
      <c r="BA371" s="90"/>
      <c r="BB371" s="90"/>
      <c r="BC371" s="90"/>
      <c r="BD371" s="90"/>
      <c r="BE371" s="90"/>
      <c r="BF371" s="90"/>
      <c r="BG371" s="90"/>
      <c r="BH371" s="90"/>
      <c r="BI371" s="90"/>
    </row>
    <row r="372" ht="12.75" customHeight="1">
      <c r="A372" s="90"/>
      <c r="B372" s="90"/>
      <c r="C372" s="400"/>
      <c r="D372" s="90"/>
      <c r="E372" s="102"/>
      <c r="F372" s="90"/>
      <c r="G372" s="90"/>
      <c r="H372" s="102"/>
      <c r="I372" s="102"/>
      <c r="J372" s="102"/>
      <c r="K372" s="102"/>
      <c r="L372" s="102"/>
      <c r="M372" s="102"/>
      <c r="N372" s="102"/>
      <c r="O372" s="102"/>
      <c r="P372" s="102"/>
      <c r="Q372" s="102"/>
      <c r="R372" s="102"/>
      <c r="S372" s="102"/>
      <c r="T372" s="102"/>
      <c r="U372" s="102"/>
      <c r="V372" s="102"/>
      <c r="W372" s="102"/>
      <c r="X372" s="102"/>
      <c r="Y372" s="102"/>
      <c r="Z372" s="102"/>
      <c r="AA372" s="102"/>
      <c r="AB372" s="102"/>
      <c r="AC372" s="102"/>
      <c r="AD372" s="102"/>
      <c r="AE372" s="102"/>
      <c r="AF372" s="102"/>
      <c r="AG372" s="102"/>
      <c r="AH372" s="102"/>
      <c r="AI372" s="102"/>
      <c r="AJ372" s="102"/>
      <c r="AK372" s="102"/>
      <c r="AL372" s="102"/>
      <c r="AM372" s="102"/>
      <c r="AN372" s="102"/>
      <c r="AO372" s="400"/>
      <c r="AP372" s="90"/>
      <c r="AQ372" s="90"/>
      <c r="AR372" s="90"/>
      <c r="AS372" s="90"/>
      <c r="AT372" s="90"/>
      <c r="AU372" s="90"/>
      <c r="AV372" s="90"/>
      <c r="AW372" s="90"/>
      <c r="AX372" s="90"/>
      <c r="AY372" s="90"/>
      <c r="AZ372" s="90"/>
      <c r="BA372" s="90"/>
      <c r="BB372" s="90"/>
      <c r="BC372" s="90"/>
      <c r="BD372" s="90"/>
      <c r="BE372" s="90"/>
      <c r="BF372" s="90"/>
      <c r="BG372" s="90"/>
      <c r="BH372" s="90"/>
      <c r="BI372" s="90"/>
    </row>
    <row r="373" ht="12.75" customHeight="1">
      <c r="A373" s="90"/>
      <c r="B373" s="90"/>
      <c r="C373" s="400"/>
      <c r="D373" s="90"/>
      <c r="E373" s="102"/>
      <c r="F373" s="90"/>
      <c r="G373" s="90"/>
      <c r="H373" s="102"/>
      <c r="I373" s="102"/>
      <c r="J373" s="102"/>
      <c r="K373" s="102"/>
      <c r="L373" s="102"/>
      <c r="M373" s="102"/>
      <c r="N373" s="102"/>
      <c r="O373" s="102"/>
      <c r="P373" s="102"/>
      <c r="Q373" s="102"/>
      <c r="R373" s="102"/>
      <c r="S373" s="102"/>
      <c r="T373" s="102"/>
      <c r="U373" s="102"/>
      <c r="V373" s="102"/>
      <c r="W373" s="102"/>
      <c r="X373" s="102"/>
      <c r="Y373" s="102"/>
      <c r="Z373" s="102"/>
      <c r="AA373" s="102"/>
      <c r="AB373" s="102"/>
      <c r="AC373" s="102"/>
      <c r="AD373" s="102"/>
      <c r="AE373" s="102"/>
      <c r="AF373" s="102"/>
      <c r="AG373" s="102"/>
      <c r="AH373" s="102"/>
      <c r="AI373" s="102"/>
      <c r="AJ373" s="102"/>
      <c r="AK373" s="102"/>
      <c r="AL373" s="102"/>
      <c r="AM373" s="102"/>
      <c r="AN373" s="102"/>
      <c r="AO373" s="400"/>
      <c r="AP373" s="90"/>
      <c r="AQ373" s="90"/>
      <c r="AR373" s="90"/>
      <c r="AS373" s="90"/>
      <c r="AT373" s="90"/>
      <c r="AU373" s="90"/>
      <c r="AV373" s="90"/>
      <c r="AW373" s="90"/>
      <c r="AX373" s="90"/>
      <c r="AY373" s="90"/>
      <c r="AZ373" s="90"/>
      <c r="BA373" s="90"/>
      <c r="BB373" s="90"/>
      <c r="BC373" s="90"/>
      <c r="BD373" s="90"/>
      <c r="BE373" s="90"/>
      <c r="BF373" s="90"/>
      <c r="BG373" s="90"/>
      <c r="BH373" s="90"/>
      <c r="BI373" s="90"/>
    </row>
    <row r="374" ht="12.75" customHeight="1">
      <c r="A374" s="90"/>
      <c r="B374" s="90"/>
      <c r="C374" s="400"/>
      <c r="D374" s="90"/>
      <c r="E374" s="102"/>
      <c r="F374" s="90"/>
      <c r="G374" s="90"/>
      <c r="H374" s="102"/>
      <c r="I374" s="102"/>
      <c r="J374" s="102"/>
      <c r="K374" s="102"/>
      <c r="L374" s="102"/>
      <c r="M374" s="102"/>
      <c r="N374" s="102"/>
      <c r="O374" s="102"/>
      <c r="P374" s="102"/>
      <c r="Q374" s="102"/>
      <c r="R374" s="102"/>
      <c r="S374" s="102"/>
      <c r="T374" s="102"/>
      <c r="U374" s="102"/>
      <c r="V374" s="102"/>
      <c r="W374" s="102"/>
      <c r="X374" s="102"/>
      <c r="Y374" s="102"/>
      <c r="Z374" s="102"/>
      <c r="AA374" s="102"/>
      <c r="AB374" s="102"/>
      <c r="AC374" s="102"/>
      <c r="AD374" s="102"/>
      <c r="AE374" s="102"/>
      <c r="AF374" s="102"/>
      <c r="AG374" s="102"/>
      <c r="AH374" s="102"/>
      <c r="AI374" s="102"/>
      <c r="AJ374" s="102"/>
      <c r="AK374" s="102"/>
      <c r="AL374" s="102"/>
      <c r="AM374" s="102"/>
      <c r="AN374" s="102"/>
      <c r="AO374" s="400"/>
      <c r="AP374" s="90"/>
      <c r="AQ374" s="90"/>
      <c r="AR374" s="90"/>
      <c r="AS374" s="90"/>
      <c r="AT374" s="90"/>
      <c r="AU374" s="90"/>
      <c r="AV374" s="90"/>
      <c r="AW374" s="90"/>
      <c r="AX374" s="90"/>
      <c r="AY374" s="90"/>
      <c r="AZ374" s="90"/>
      <c r="BA374" s="90"/>
      <c r="BB374" s="90"/>
      <c r="BC374" s="90"/>
      <c r="BD374" s="90"/>
      <c r="BE374" s="90"/>
      <c r="BF374" s="90"/>
      <c r="BG374" s="90"/>
      <c r="BH374" s="90"/>
      <c r="BI374" s="90"/>
    </row>
    <row r="375" ht="12.75" customHeight="1">
      <c r="A375" s="90"/>
      <c r="B375" s="90"/>
      <c r="C375" s="400"/>
      <c r="D375" s="90"/>
      <c r="E375" s="102"/>
      <c r="F375" s="90"/>
      <c r="G375" s="90"/>
      <c r="H375" s="102"/>
      <c r="I375" s="102"/>
      <c r="J375" s="102"/>
      <c r="K375" s="102"/>
      <c r="L375" s="102"/>
      <c r="M375" s="102"/>
      <c r="N375" s="102"/>
      <c r="O375" s="102"/>
      <c r="P375" s="102"/>
      <c r="Q375" s="102"/>
      <c r="R375" s="102"/>
      <c r="S375" s="102"/>
      <c r="T375" s="102"/>
      <c r="U375" s="102"/>
      <c r="V375" s="102"/>
      <c r="W375" s="102"/>
      <c r="X375" s="102"/>
      <c r="Y375" s="102"/>
      <c r="Z375" s="102"/>
      <c r="AA375" s="102"/>
      <c r="AB375" s="102"/>
      <c r="AC375" s="102"/>
      <c r="AD375" s="102"/>
      <c r="AE375" s="102"/>
      <c r="AF375" s="102"/>
      <c r="AG375" s="102"/>
      <c r="AH375" s="102"/>
      <c r="AI375" s="102"/>
      <c r="AJ375" s="102"/>
      <c r="AK375" s="102"/>
      <c r="AL375" s="102"/>
      <c r="AM375" s="102"/>
      <c r="AN375" s="102"/>
      <c r="AO375" s="400"/>
      <c r="AP375" s="90"/>
      <c r="AQ375" s="90"/>
      <c r="AR375" s="90"/>
      <c r="AS375" s="90"/>
      <c r="AT375" s="90"/>
      <c r="AU375" s="90"/>
      <c r="AV375" s="90"/>
      <c r="AW375" s="90"/>
      <c r="AX375" s="90"/>
      <c r="AY375" s="90"/>
      <c r="AZ375" s="90"/>
      <c r="BA375" s="90"/>
      <c r="BB375" s="90"/>
      <c r="BC375" s="90"/>
      <c r="BD375" s="90"/>
      <c r="BE375" s="90"/>
      <c r="BF375" s="90"/>
      <c r="BG375" s="90"/>
      <c r="BH375" s="90"/>
      <c r="BI375" s="90"/>
    </row>
    <row r="376" ht="12.75" customHeight="1">
      <c r="A376" s="90"/>
      <c r="B376" s="90"/>
      <c r="C376" s="400"/>
      <c r="D376" s="90"/>
      <c r="E376" s="102"/>
      <c r="F376" s="90"/>
      <c r="G376" s="90"/>
      <c r="H376" s="102"/>
      <c r="I376" s="102"/>
      <c r="J376" s="102"/>
      <c r="K376" s="102"/>
      <c r="L376" s="102"/>
      <c r="M376" s="102"/>
      <c r="N376" s="102"/>
      <c r="O376" s="102"/>
      <c r="P376" s="102"/>
      <c r="Q376" s="102"/>
      <c r="R376" s="102"/>
      <c r="S376" s="102"/>
      <c r="T376" s="102"/>
      <c r="U376" s="102"/>
      <c r="V376" s="102"/>
      <c r="W376" s="102"/>
      <c r="X376" s="102"/>
      <c r="Y376" s="102"/>
      <c r="Z376" s="102"/>
      <c r="AA376" s="102"/>
      <c r="AB376" s="102"/>
      <c r="AC376" s="102"/>
      <c r="AD376" s="102"/>
      <c r="AE376" s="102"/>
      <c r="AF376" s="102"/>
      <c r="AG376" s="102"/>
      <c r="AH376" s="102"/>
      <c r="AI376" s="102"/>
      <c r="AJ376" s="102"/>
      <c r="AK376" s="102"/>
      <c r="AL376" s="102"/>
      <c r="AM376" s="102"/>
      <c r="AN376" s="102"/>
      <c r="AO376" s="400"/>
      <c r="AP376" s="90"/>
      <c r="AQ376" s="90"/>
      <c r="AR376" s="90"/>
      <c r="AS376" s="90"/>
      <c r="AT376" s="90"/>
      <c r="AU376" s="90"/>
      <c r="AV376" s="90"/>
      <c r="AW376" s="90"/>
      <c r="AX376" s="90"/>
      <c r="AY376" s="90"/>
      <c r="AZ376" s="90"/>
      <c r="BA376" s="90"/>
      <c r="BB376" s="90"/>
      <c r="BC376" s="90"/>
      <c r="BD376" s="90"/>
      <c r="BE376" s="90"/>
      <c r="BF376" s="90"/>
      <c r="BG376" s="90"/>
      <c r="BH376" s="90"/>
      <c r="BI376" s="90"/>
    </row>
    <row r="377" ht="12.75" customHeight="1">
      <c r="A377" s="90"/>
      <c r="B377" s="90"/>
      <c r="C377" s="400"/>
      <c r="D377" s="90"/>
      <c r="E377" s="102"/>
      <c r="F377" s="90"/>
      <c r="G377" s="90"/>
      <c r="H377" s="102"/>
      <c r="I377" s="102"/>
      <c r="J377" s="102"/>
      <c r="K377" s="102"/>
      <c r="L377" s="102"/>
      <c r="M377" s="102"/>
      <c r="N377" s="102"/>
      <c r="O377" s="102"/>
      <c r="P377" s="102"/>
      <c r="Q377" s="102"/>
      <c r="R377" s="102"/>
      <c r="S377" s="102"/>
      <c r="T377" s="102"/>
      <c r="U377" s="102"/>
      <c r="V377" s="102"/>
      <c r="W377" s="102"/>
      <c r="X377" s="102"/>
      <c r="Y377" s="102"/>
      <c r="Z377" s="102"/>
      <c r="AA377" s="102"/>
      <c r="AB377" s="102"/>
      <c r="AC377" s="102"/>
      <c r="AD377" s="102"/>
      <c r="AE377" s="102"/>
      <c r="AF377" s="102"/>
      <c r="AG377" s="102"/>
      <c r="AH377" s="102"/>
      <c r="AI377" s="102"/>
      <c r="AJ377" s="102"/>
      <c r="AK377" s="102"/>
      <c r="AL377" s="102"/>
      <c r="AM377" s="102"/>
      <c r="AN377" s="102"/>
      <c r="AO377" s="400"/>
      <c r="AP377" s="90"/>
      <c r="AQ377" s="90"/>
      <c r="AR377" s="90"/>
      <c r="AS377" s="90"/>
      <c r="AT377" s="90"/>
      <c r="AU377" s="90"/>
      <c r="AV377" s="90"/>
      <c r="AW377" s="90"/>
      <c r="AX377" s="90"/>
      <c r="AY377" s="90"/>
      <c r="AZ377" s="90"/>
      <c r="BA377" s="90"/>
      <c r="BB377" s="90"/>
      <c r="BC377" s="90"/>
      <c r="BD377" s="90"/>
      <c r="BE377" s="90"/>
      <c r="BF377" s="90"/>
      <c r="BG377" s="90"/>
      <c r="BH377" s="90"/>
      <c r="BI377" s="90"/>
    </row>
    <row r="378" ht="12.75" customHeight="1">
      <c r="A378" s="90"/>
      <c r="B378" s="90"/>
      <c r="C378" s="400"/>
      <c r="D378" s="90"/>
      <c r="E378" s="102"/>
      <c r="F378" s="90"/>
      <c r="G378" s="90"/>
      <c r="H378" s="102"/>
      <c r="I378" s="102"/>
      <c r="J378" s="102"/>
      <c r="K378" s="102"/>
      <c r="L378" s="102"/>
      <c r="M378" s="102"/>
      <c r="N378" s="102"/>
      <c r="O378" s="102"/>
      <c r="P378" s="102"/>
      <c r="Q378" s="102"/>
      <c r="R378" s="102"/>
      <c r="S378" s="102"/>
      <c r="T378" s="102"/>
      <c r="U378" s="102"/>
      <c r="V378" s="102"/>
      <c r="W378" s="102"/>
      <c r="X378" s="102"/>
      <c r="Y378" s="102"/>
      <c r="Z378" s="102"/>
      <c r="AA378" s="102"/>
      <c r="AB378" s="102"/>
      <c r="AC378" s="102"/>
      <c r="AD378" s="102"/>
      <c r="AE378" s="102"/>
      <c r="AF378" s="102"/>
      <c r="AG378" s="102"/>
      <c r="AH378" s="102"/>
      <c r="AI378" s="102"/>
      <c r="AJ378" s="102"/>
      <c r="AK378" s="102"/>
      <c r="AL378" s="102"/>
      <c r="AM378" s="102"/>
      <c r="AN378" s="102"/>
      <c r="AO378" s="400"/>
      <c r="AP378" s="90"/>
      <c r="AQ378" s="90"/>
      <c r="AR378" s="90"/>
      <c r="AS378" s="90"/>
      <c r="AT378" s="90"/>
      <c r="AU378" s="90"/>
      <c r="AV378" s="90"/>
      <c r="AW378" s="90"/>
      <c r="AX378" s="90"/>
      <c r="AY378" s="90"/>
      <c r="AZ378" s="90"/>
      <c r="BA378" s="90"/>
      <c r="BB378" s="90"/>
      <c r="BC378" s="90"/>
      <c r="BD378" s="90"/>
      <c r="BE378" s="90"/>
      <c r="BF378" s="90"/>
      <c r="BG378" s="90"/>
      <c r="BH378" s="90"/>
      <c r="BI378" s="90"/>
    </row>
    <row r="379" ht="12.75" customHeight="1">
      <c r="A379" s="90"/>
      <c r="B379" s="90"/>
      <c r="C379" s="400"/>
      <c r="D379" s="90"/>
      <c r="E379" s="102"/>
      <c r="F379" s="90"/>
      <c r="G379" s="90"/>
      <c r="H379" s="102"/>
      <c r="I379" s="102"/>
      <c r="J379" s="102"/>
      <c r="K379" s="102"/>
      <c r="L379" s="102"/>
      <c r="M379" s="102"/>
      <c r="N379" s="102"/>
      <c r="O379" s="102"/>
      <c r="P379" s="102"/>
      <c r="Q379" s="102"/>
      <c r="R379" s="102"/>
      <c r="S379" s="102"/>
      <c r="T379" s="102"/>
      <c r="U379" s="102"/>
      <c r="V379" s="102"/>
      <c r="W379" s="102"/>
      <c r="X379" s="102"/>
      <c r="Y379" s="102"/>
      <c r="Z379" s="102"/>
      <c r="AA379" s="102"/>
      <c r="AB379" s="102"/>
      <c r="AC379" s="102"/>
      <c r="AD379" s="102"/>
      <c r="AE379" s="102"/>
      <c r="AF379" s="102"/>
      <c r="AG379" s="102"/>
      <c r="AH379" s="102"/>
      <c r="AI379" s="102"/>
      <c r="AJ379" s="102"/>
      <c r="AK379" s="102"/>
      <c r="AL379" s="102"/>
      <c r="AM379" s="102"/>
      <c r="AN379" s="102"/>
      <c r="AO379" s="400"/>
      <c r="AP379" s="90"/>
      <c r="AQ379" s="90"/>
      <c r="AR379" s="90"/>
      <c r="AS379" s="90"/>
      <c r="AT379" s="90"/>
      <c r="AU379" s="90"/>
      <c r="AV379" s="90"/>
      <c r="AW379" s="90"/>
      <c r="AX379" s="90"/>
      <c r="AY379" s="90"/>
      <c r="AZ379" s="90"/>
      <c r="BA379" s="90"/>
      <c r="BB379" s="90"/>
      <c r="BC379" s="90"/>
      <c r="BD379" s="90"/>
      <c r="BE379" s="90"/>
      <c r="BF379" s="90"/>
      <c r="BG379" s="90"/>
      <c r="BH379" s="90"/>
      <c r="BI379" s="90"/>
    </row>
    <row r="380" ht="12.75" customHeight="1">
      <c r="A380" s="90"/>
      <c r="B380" s="90"/>
      <c r="C380" s="400"/>
      <c r="D380" s="90"/>
      <c r="E380" s="102"/>
      <c r="F380" s="90"/>
      <c r="G380" s="90"/>
      <c r="H380" s="102"/>
      <c r="I380" s="102"/>
      <c r="J380" s="102"/>
      <c r="K380" s="102"/>
      <c r="L380" s="102"/>
      <c r="M380" s="102"/>
      <c r="N380" s="102"/>
      <c r="O380" s="102"/>
      <c r="P380" s="102"/>
      <c r="Q380" s="102"/>
      <c r="R380" s="102"/>
      <c r="S380" s="102"/>
      <c r="T380" s="102"/>
      <c r="U380" s="102"/>
      <c r="V380" s="102"/>
      <c r="W380" s="102"/>
      <c r="X380" s="102"/>
      <c r="Y380" s="102"/>
      <c r="Z380" s="102"/>
      <c r="AA380" s="102"/>
      <c r="AB380" s="102"/>
      <c r="AC380" s="102"/>
      <c r="AD380" s="102"/>
      <c r="AE380" s="102"/>
      <c r="AF380" s="102"/>
      <c r="AG380" s="102"/>
      <c r="AH380" s="102"/>
      <c r="AI380" s="102"/>
      <c r="AJ380" s="102"/>
      <c r="AK380" s="102"/>
      <c r="AL380" s="102"/>
      <c r="AM380" s="102"/>
      <c r="AN380" s="102"/>
      <c r="AO380" s="400"/>
      <c r="AP380" s="90"/>
      <c r="AQ380" s="90"/>
      <c r="AR380" s="90"/>
      <c r="AS380" s="90"/>
      <c r="AT380" s="90"/>
      <c r="AU380" s="90"/>
      <c r="AV380" s="90"/>
      <c r="AW380" s="90"/>
      <c r="AX380" s="90"/>
      <c r="AY380" s="90"/>
      <c r="AZ380" s="90"/>
      <c r="BA380" s="90"/>
      <c r="BB380" s="90"/>
      <c r="BC380" s="90"/>
      <c r="BD380" s="90"/>
      <c r="BE380" s="90"/>
      <c r="BF380" s="90"/>
      <c r="BG380" s="90"/>
      <c r="BH380" s="90"/>
      <c r="BI380" s="90"/>
    </row>
    <row r="381" ht="12.75" customHeight="1">
      <c r="A381" s="90"/>
      <c r="B381" s="90"/>
      <c r="C381" s="400"/>
      <c r="D381" s="90"/>
      <c r="E381" s="102"/>
      <c r="F381" s="90"/>
      <c r="G381" s="90"/>
      <c r="H381" s="102"/>
      <c r="I381" s="102"/>
      <c r="J381" s="102"/>
      <c r="K381" s="102"/>
      <c r="L381" s="102"/>
      <c r="M381" s="102"/>
      <c r="N381" s="102"/>
      <c r="O381" s="102"/>
      <c r="P381" s="102"/>
      <c r="Q381" s="102"/>
      <c r="R381" s="102"/>
      <c r="S381" s="102"/>
      <c r="T381" s="102"/>
      <c r="U381" s="102"/>
      <c r="V381" s="102"/>
      <c r="W381" s="102"/>
      <c r="X381" s="102"/>
      <c r="Y381" s="102"/>
      <c r="Z381" s="102"/>
      <c r="AA381" s="102"/>
      <c r="AB381" s="102"/>
      <c r="AC381" s="102"/>
      <c r="AD381" s="102"/>
      <c r="AE381" s="102"/>
      <c r="AF381" s="102"/>
      <c r="AG381" s="102"/>
      <c r="AH381" s="102"/>
      <c r="AI381" s="102"/>
      <c r="AJ381" s="102"/>
      <c r="AK381" s="102"/>
      <c r="AL381" s="102"/>
      <c r="AM381" s="102"/>
      <c r="AN381" s="102"/>
      <c r="AO381" s="400"/>
      <c r="AP381" s="90"/>
      <c r="AQ381" s="90"/>
      <c r="AR381" s="90"/>
      <c r="AS381" s="90"/>
      <c r="AT381" s="90"/>
      <c r="AU381" s="90"/>
      <c r="AV381" s="90"/>
      <c r="AW381" s="90"/>
      <c r="AX381" s="90"/>
      <c r="AY381" s="90"/>
      <c r="AZ381" s="90"/>
      <c r="BA381" s="90"/>
      <c r="BB381" s="90"/>
      <c r="BC381" s="90"/>
      <c r="BD381" s="90"/>
      <c r="BE381" s="90"/>
      <c r="BF381" s="90"/>
      <c r="BG381" s="90"/>
      <c r="BH381" s="90"/>
      <c r="BI381" s="90"/>
    </row>
    <row r="382" ht="12.75" customHeight="1">
      <c r="A382" s="90"/>
      <c r="B382" s="90"/>
      <c r="C382" s="400"/>
      <c r="D382" s="90"/>
      <c r="E382" s="102"/>
      <c r="F382" s="90"/>
      <c r="G382" s="90"/>
      <c r="H382" s="102"/>
      <c r="I382" s="102"/>
      <c r="J382" s="102"/>
      <c r="K382" s="102"/>
      <c r="L382" s="102"/>
      <c r="M382" s="102"/>
      <c r="N382" s="102"/>
      <c r="O382" s="102"/>
      <c r="P382" s="102"/>
      <c r="Q382" s="102"/>
      <c r="R382" s="102"/>
      <c r="S382" s="102"/>
      <c r="T382" s="102"/>
      <c r="U382" s="102"/>
      <c r="V382" s="102"/>
      <c r="W382" s="102"/>
      <c r="X382" s="102"/>
      <c r="Y382" s="102"/>
      <c r="Z382" s="102"/>
      <c r="AA382" s="102"/>
      <c r="AB382" s="102"/>
      <c r="AC382" s="102"/>
      <c r="AD382" s="102"/>
      <c r="AE382" s="102"/>
      <c r="AF382" s="102"/>
      <c r="AG382" s="102"/>
      <c r="AH382" s="102"/>
      <c r="AI382" s="102"/>
      <c r="AJ382" s="102"/>
      <c r="AK382" s="102"/>
      <c r="AL382" s="102"/>
      <c r="AM382" s="102"/>
      <c r="AN382" s="102"/>
      <c r="AO382" s="400"/>
      <c r="AP382" s="90"/>
      <c r="AQ382" s="90"/>
      <c r="AR382" s="90"/>
      <c r="AS382" s="90"/>
      <c r="AT382" s="90"/>
      <c r="AU382" s="90"/>
      <c r="AV382" s="90"/>
      <c r="AW382" s="90"/>
      <c r="AX382" s="90"/>
      <c r="AY382" s="90"/>
      <c r="AZ382" s="90"/>
      <c r="BA382" s="90"/>
      <c r="BB382" s="90"/>
      <c r="BC382" s="90"/>
      <c r="BD382" s="90"/>
      <c r="BE382" s="90"/>
      <c r="BF382" s="90"/>
      <c r="BG382" s="90"/>
      <c r="BH382" s="90"/>
      <c r="BI382" s="90"/>
    </row>
    <row r="383" ht="12.75" customHeight="1">
      <c r="A383" s="90"/>
      <c r="B383" s="90"/>
      <c r="C383" s="400"/>
      <c r="D383" s="90"/>
      <c r="E383" s="102"/>
      <c r="F383" s="90"/>
      <c r="G383" s="90"/>
      <c r="H383" s="102"/>
      <c r="I383" s="102"/>
      <c r="J383" s="102"/>
      <c r="K383" s="102"/>
      <c r="L383" s="102"/>
      <c r="M383" s="102"/>
      <c r="N383" s="102"/>
      <c r="O383" s="102"/>
      <c r="P383" s="102"/>
      <c r="Q383" s="102"/>
      <c r="R383" s="102"/>
      <c r="S383" s="102"/>
      <c r="T383" s="102"/>
      <c r="U383" s="102"/>
      <c r="V383" s="102"/>
      <c r="W383" s="102"/>
      <c r="X383" s="102"/>
      <c r="Y383" s="102"/>
      <c r="Z383" s="102"/>
      <c r="AA383" s="102"/>
      <c r="AB383" s="102"/>
      <c r="AC383" s="102"/>
      <c r="AD383" s="102"/>
      <c r="AE383" s="102"/>
      <c r="AF383" s="102"/>
      <c r="AG383" s="102"/>
      <c r="AH383" s="102"/>
      <c r="AI383" s="102"/>
      <c r="AJ383" s="102"/>
      <c r="AK383" s="102"/>
      <c r="AL383" s="102"/>
      <c r="AM383" s="102"/>
      <c r="AN383" s="102"/>
      <c r="AO383" s="400"/>
      <c r="AP383" s="90"/>
      <c r="AQ383" s="90"/>
      <c r="AR383" s="90"/>
      <c r="AS383" s="90"/>
      <c r="AT383" s="90"/>
      <c r="AU383" s="90"/>
      <c r="AV383" s="90"/>
      <c r="AW383" s="90"/>
      <c r="AX383" s="90"/>
      <c r="AY383" s="90"/>
      <c r="AZ383" s="90"/>
      <c r="BA383" s="90"/>
      <c r="BB383" s="90"/>
      <c r="BC383" s="90"/>
      <c r="BD383" s="90"/>
      <c r="BE383" s="90"/>
      <c r="BF383" s="90"/>
      <c r="BG383" s="90"/>
      <c r="BH383" s="90"/>
      <c r="BI383" s="90"/>
    </row>
    <row r="384" ht="12.75" customHeight="1">
      <c r="A384" s="90"/>
      <c r="B384" s="90"/>
      <c r="C384" s="400"/>
      <c r="D384" s="90"/>
      <c r="E384" s="102"/>
      <c r="F384" s="90"/>
      <c r="G384" s="90"/>
      <c r="H384" s="102"/>
      <c r="I384" s="102"/>
      <c r="J384" s="102"/>
      <c r="K384" s="102"/>
      <c r="L384" s="102"/>
      <c r="M384" s="102"/>
      <c r="N384" s="102"/>
      <c r="O384" s="102"/>
      <c r="P384" s="102"/>
      <c r="Q384" s="102"/>
      <c r="R384" s="102"/>
      <c r="S384" s="102"/>
      <c r="T384" s="102"/>
      <c r="U384" s="102"/>
      <c r="V384" s="102"/>
      <c r="W384" s="102"/>
      <c r="X384" s="102"/>
      <c r="Y384" s="102"/>
      <c r="Z384" s="102"/>
      <c r="AA384" s="102"/>
      <c r="AB384" s="102"/>
      <c r="AC384" s="102"/>
      <c r="AD384" s="102"/>
      <c r="AE384" s="102"/>
      <c r="AF384" s="102"/>
      <c r="AG384" s="102"/>
      <c r="AH384" s="102"/>
      <c r="AI384" s="102"/>
      <c r="AJ384" s="102"/>
      <c r="AK384" s="102"/>
      <c r="AL384" s="102"/>
      <c r="AM384" s="102"/>
      <c r="AN384" s="102"/>
      <c r="AO384" s="400"/>
      <c r="AP384" s="90"/>
      <c r="AQ384" s="90"/>
      <c r="AR384" s="90"/>
      <c r="AS384" s="90"/>
      <c r="AT384" s="90"/>
      <c r="AU384" s="90"/>
      <c r="AV384" s="90"/>
      <c r="AW384" s="90"/>
      <c r="AX384" s="90"/>
      <c r="AY384" s="90"/>
      <c r="AZ384" s="90"/>
      <c r="BA384" s="90"/>
      <c r="BB384" s="90"/>
      <c r="BC384" s="90"/>
      <c r="BD384" s="90"/>
      <c r="BE384" s="90"/>
      <c r="BF384" s="90"/>
      <c r="BG384" s="90"/>
      <c r="BH384" s="90"/>
      <c r="BI384" s="90"/>
    </row>
    <row r="385" ht="12.75" customHeight="1">
      <c r="A385" s="90"/>
      <c r="B385" s="90"/>
      <c r="C385" s="400"/>
      <c r="D385" s="90"/>
      <c r="E385" s="102"/>
      <c r="F385" s="90"/>
      <c r="G385" s="90"/>
      <c r="H385" s="102"/>
      <c r="I385" s="102"/>
      <c r="J385" s="102"/>
      <c r="K385" s="102"/>
      <c r="L385" s="102"/>
      <c r="M385" s="102"/>
      <c r="N385" s="102"/>
      <c r="O385" s="102"/>
      <c r="P385" s="102"/>
      <c r="Q385" s="102"/>
      <c r="R385" s="102"/>
      <c r="S385" s="102"/>
      <c r="T385" s="102"/>
      <c r="U385" s="102"/>
      <c r="V385" s="102"/>
      <c r="W385" s="102"/>
      <c r="X385" s="102"/>
      <c r="Y385" s="102"/>
      <c r="Z385" s="102"/>
      <c r="AA385" s="102"/>
      <c r="AB385" s="102"/>
      <c r="AC385" s="102"/>
      <c r="AD385" s="102"/>
      <c r="AE385" s="102"/>
      <c r="AF385" s="102"/>
      <c r="AG385" s="102"/>
      <c r="AH385" s="102"/>
      <c r="AI385" s="102"/>
      <c r="AJ385" s="102"/>
      <c r="AK385" s="102"/>
      <c r="AL385" s="102"/>
      <c r="AM385" s="102"/>
      <c r="AN385" s="102"/>
      <c r="AO385" s="400"/>
      <c r="AP385" s="90"/>
      <c r="AQ385" s="90"/>
      <c r="AR385" s="90"/>
      <c r="AS385" s="90"/>
      <c r="AT385" s="90"/>
      <c r="AU385" s="90"/>
      <c r="AV385" s="90"/>
      <c r="AW385" s="90"/>
      <c r="AX385" s="90"/>
      <c r="AY385" s="90"/>
      <c r="AZ385" s="90"/>
      <c r="BA385" s="90"/>
      <c r="BB385" s="90"/>
      <c r="BC385" s="90"/>
      <c r="BD385" s="90"/>
      <c r="BE385" s="90"/>
      <c r="BF385" s="90"/>
      <c r="BG385" s="90"/>
      <c r="BH385" s="90"/>
      <c r="BI385" s="90"/>
    </row>
    <row r="386" ht="12.75" customHeight="1">
      <c r="A386" s="90"/>
      <c r="B386" s="90"/>
      <c r="C386" s="400"/>
      <c r="D386" s="90"/>
      <c r="E386" s="102"/>
      <c r="F386" s="90"/>
      <c r="G386" s="90"/>
      <c r="H386" s="102"/>
      <c r="I386" s="102"/>
      <c r="J386" s="102"/>
      <c r="K386" s="102"/>
      <c r="L386" s="102"/>
      <c r="M386" s="102"/>
      <c r="N386" s="102"/>
      <c r="O386" s="102"/>
      <c r="P386" s="102"/>
      <c r="Q386" s="102"/>
      <c r="R386" s="102"/>
      <c r="S386" s="102"/>
      <c r="T386" s="102"/>
      <c r="U386" s="102"/>
      <c r="V386" s="102"/>
      <c r="W386" s="102"/>
      <c r="X386" s="102"/>
      <c r="Y386" s="102"/>
      <c r="Z386" s="102"/>
      <c r="AA386" s="102"/>
      <c r="AB386" s="102"/>
      <c r="AC386" s="102"/>
      <c r="AD386" s="102"/>
      <c r="AE386" s="102"/>
      <c r="AF386" s="102"/>
      <c r="AG386" s="102"/>
      <c r="AH386" s="102"/>
      <c r="AI386" s="102"/>
      <c r="AJ386" s="102"/>
      <c r="AK386" s="102"/>
      <c r="AL386" s="102"/>
      <c r="AM386" s="102"/>
      <c r="AN386" s="102"/>
      <c r="AO386" s="400"/>
      <c r="AP386" s="90"/>
      <c r="AQ386" s="90"/>
      <c r="AR386" s="90"/>
      <c r="AS386" s="90"/>
      <c r="AT386" s="90"/>
      <c r="AU386" s="90"/>
      <c r="AV386" s="90"/>
      <c r="AW386" s="90"/>
      <c r="AX386" s="90"/>
      <c r="AY386" s="90"/>
      <c r="AZ386" s="90"/>
      <c r="BA386" s="90"/>
      <c r="BB386" s="90"/>
      <c r="BC386" s="90"/>
      <c r="BD386" s="90"/>
      <c r="BE386" s="90"/>
      <c r="BF386" s="90"/>
      <c r="BG386" s="90"/>
      <c r="BH386" s="90"/>
      <c r="BI386" s="90"/>
    </row>
    <row r="387" ht="12.75" customHeight="1">
      <c r="A387" s="90"/>
      <c r="B387" s="90"/>
      <c r="C387" s="400"/>
      <c r="D387" s="90"/>
      <c r="E387" s="102"/>
      <c r="F387" s="90"/>
      <c r="G387" s="90"/>
      <c r="H387" s="102"/>
      <c r="I387" s="102"/>
      <c r="J387" s="102"/>
      <c r="K387" s="102"/>
      <c r="L387" s="102"/>
      <c r="M387" s="102"/>
      <c r="N387" s="102"/>
      <c r="O387" s="102"/>
      <c r="P387" s="102"/>
      <c r="Q387" s="102"/>
      <c r="R387" s="102"/>
      <c r="S387" s="102"/>
      <c r="T387" s="102"/>
      <c r="U387" s="102"/>
      <c r="V387" s="102"/>
      <c r="W387" s="102"/>
      <c r="X387" s="102"/>
      <c r="Y387" s="102"/>
      <c r="Z387" s="102"/>
      <c r="AA387" s="102"/>
      <c r="AB387" s="102"/>
      <c r="AC387" s="102"/>
      <c r="AD387" s="102"/>
      <c r="AE387" s="102"/>
      <c r="AF387" s="102"/>
      <c r="AG387" s="102"/>
      <c r="AH387" s="102"/>
      <c r="AI387" s="102"/>
      <c r="AJ387" s="102"/>
      <c r="AK387" s="102"/>
      <c r="AL387" s="102"/>
      <c r="AM387" s="102"/>
      <c r="AN387" s="102"/>
      <c r="AO387" s="400"/>
      <c r="AP387" s="90"/>
      <c r="AQ387" s="90"/>
      <c r="AR387" s="90"/>
      <c r="AS387" s="90"/>
      <c r="AT387" s="90"/>
      <c r="AU387" s="90"/>
      <c r="AV387" s="90"/>
      <c r="AW387" s="90"/>
      <c r="AX387" s="90"/>
      <c r="AY387" s="90"/>
      <c r="AZ387" s="90"/>
      <c r="BA387" s="90"/>
      <c r="BB387" s="90"/>
      <c r="BC387" s="90"/>
      <c r="BD387" s="90"/>
      <c r="BE387" s="90"/>
      <c r="BF387" s="90"/>
      <c r="BG387" s="90"/>
      <c r="BH387" s="90"/>
      <c r="BI387" s="90"/>
    </row>
    <row r="388" ht="12.75" customHeight="1">
      <c r="A388" s="90"/>
      <c r="B388" s="90"/>
      <c r="C388" s="400"/>
      <c r="D388" s="90"/>
      <c r="E388" s="102"/>
      <c r="F388" s="90"/>
      <c r="G388" s="90"/>
      <c r="H388" s="102"/>
      <c r="I388" s="102"/>
      <c r="J388" s="102"/>
      <c r="K388" s="102"/>
      <c r="L388" s="102"/>
      <c r="M388" s="102"/>
      <c r="N388" s="102"/>
      <c r="O388" s="102"/>
      <c r="P388" s="102"/>
      <c r="Q388" s="102"/>
      <c r="R388" s="102"/>
      <c r="S388" s="102"/>
      <c r="T388" s="102"/>
      <c r="U388" s="102"/>
      <c r="V388" s="102"/>
      <c r="W388" s="102"/>
      <c r="X388" s="102"/>
      <c r="Y388" s="102"/>
      <c r="Z388" s="102"/>
      <c r="AA388" s="102"/>
      <c r="AB388" s="102"/>
      <c r="AC388" s="102"/>
      <c r="AD388" s="102"/>
      <c r="AE388" s="102"/>
      <c r="AF388" s="102"/>
      <c r="AG388" s="102"/>
      <c r="AH388" s="102"/>
      <c r="AI388" s="102"/>
      <c r="AJ388" s="102"/>
      <c r="AK388" s="102"/>
      <c r="AL388" s="102"/>
      <c r="AM388" s="102"/>
      <c r="AN388" s="102"/>
      <c r="AO388" s="400"/>
      <c r="AP388" s="90"/>
      <c r="AQ388" s="90"/>
      <c r="AR388" s="90"/>
      <c r="AS388" s="90"/>
      <c r="AT388" s="90"/>
      <c r="AU388" s="90"/>
      <c r="AV388" s="90"/>
      <c r="AW388" s="90"/>
      <c r="AX388" s="90"/>
      <c r="AY388" s="90"/>
      <c r="AZ388" s="90"/>
      <c r="BA388" s="90"/>
      <c r="BB388" s="90"/>
      <c r="BC388" s="90"/>
      <c r="BD388" s="90"/>
      <c r="BE388" s="90"/>
      <c r="BF388" s="90"/>
      <c r="BG388" s="90"/>
      <c r="BH388" s="90"/>
      <c r="BI388" s="90"/>
    </row>
    <row r="389" ht="12.75" customHeight="1">
      <c r="A389" s="90"/>
      <c r="B389" s="90"/>
      <c r="C389" s="400"/>
      <c r="D389" s="90"/>
      <c r="E389" s="102"/>
      <c r="F389" s="90"/>
      <c r="G389" s="90"/>
      <c r="H389" s="102"/>
      <c r="I389" s="102"/>
      <c r="J389" s="102"/>
      <c r="K389" s="102"/>
      <c r="L389" s="102"/>
      <c r="M389" s="102"/>
      <c r="N389" s="102"/>
      <c r="O389" s="102"/>
      <c r="P389" s="102"/>
      <c r="Q389" s="102"/>
      <c r="R389" s="102"/>
      <c r="S389" s="102"/>
      <c r="T389" s="102"/>
      <c r="U389" s="102"/>
      <c r="V389" s="102"/>
      <c r="W389" s="102"/>
      <c r="X389" s="102"/>
      <c r="Y389" s="102"/>
      <c r="Z389" s="102"/>
      <c r="AA389" s="102"/>
      <c r="AB389" s="102"/>
      <c r="AC389" s="102"/>
      <c r="AD389" s="102"/>
      <c r="AE389" s="102"/>
      <c r="AF389" s="102"/>
      <c r="AG389" s="102"/>
      <c r="AH389" s="102"/>
      <c r="AI389" s="102"/>
      <c r="AJ389" s="102"/>
      <c r="AK389" s="102"/>
      <c r="AL389" s="102"/>
      <c r="AM389" s="102"/>
      <c r="AN389" s="102"/>
      <c r="AO389" s="400"/>
      <c r="AP389" s="90"/>
      <c r="AQ389" s="90"/>
      <c r="AR389" s="90"/>
      <c r="AS389" s="90"/>
      <c r="AT389" s="90"/>
      <c r="AU389" s="90"/>
      <c r="AV389" s="90"/>
      <c r="AW389" s="90"/>
      <c r="AX389" s="90"/>
      <c r="AY389" s="90"/>
      <c r="AZ389" s="90"/>
      <c r="BA389" s="90"/>
      <c r="BB389" s="90"/>
      <c r="BC389" s="90"/>
      <c r="BD389" s="90"/>
      <c r="BE389" s="90"/>
      <c r="BF389" s="90"/>
      <c r="BG389" s="90"/>
      <c r="BH389" s="90"/>
      <c r="BI389" s="90"/>
    </row>
    <row r="390" ht="12.75" customHeight="1">
      <c r="A390" s="90"/>
      <c r="B390" s="90"/>
      <c r="C390" s="400"/>
      <c r="D390" s="90"/>
      <c r="E390" s="102"/>
      <c r="F390" s="90"/>
      <c r="G390" s="90"/>
      <c r="H390" s="102"/>
      <c r="I390" s="102"/>
      <c r="J390" s="102"/>
      <c r="K390" s="102"/>
      <c r="L390" s="102"/>
      <c r="M390" s="102"/>
      <c r="N390" s="102"/>
      <c r="O390" s="102"/>
      <c r="P390" s="102"/>
      <c r="Q390" s="102"/>
      <c r="R390" s="102"/>
      <c r="S390" s="102"/>
      <c r="T390" s="102"/>
      <c r="U390" s="102"/>
      <c r="V390" s="102"/>
      <c r="W390" s="102"/>
      <c r="X390" s="102"/>
      <c r="Y390" s="102"/>
      <c r="Z390" s="102"/>
      <c r="AA390" s="102"/>
      <c r="AB390" s="102"/>
      <c r="AC390" s="102"/>
      <c r="AD390" s="102"/>
      <c r="AE390" s="102"/>
      <c r="AF390" s="102"/>
      <c r="AG390" s="102"/>
      <c r="AH390" s="102"/>
      <c r="AI390" s="102"/>
      <c r="AJ390" s="102"/>
      <c r="AK390" s="102"/>
      <c r="AL390" s="102"/>
      <c r="AM390" s="102"/>
      <c r="AN390" s="102"/>
      <c r="AO390" s="400"/>
      <c r="AP390" s="90"/>
      <c r="AQ390" s="90"/>
      <c r="AR390" s="90"/>
      <c r="AS390" s="90"/>
      <c r="AT390" s="90"/>
      <c r="AU390" s="90"/>
      <c r="AV390" s="90"/>
      <c r="AW390" s="90"/>
      <c r="AX390" s="90"/>
      <c r="AY390" s="90"/>
      <c r="AZ390" s="90"/>
      <c r="BA390" s="90"/>
      <c r="BB390" s="90"/>
      <c r="BC390" s="90"/>
      <c r="BD390" s="90"/>
      <c r="BE390" s="90"/>
      <c r="BF390" s="90"/>
      <c r="BG390" s="90"/>
      <c r="BH390" s="90"/>
      <c r="BI390" s="90"/>
    </row>
    <row r="391" ht="12.75" customHeight="1">
      <c r="A391" s="90"/>
      <c r="B391" s="90"/>
      <c r="C391" s="400"/>
      <c r="D391" s="90"/>
      <c r="E391" s="102"/>
      <c r="F391" s="90"/>
      <c r="G391" s="90"/>
      <c r="H391" s="102"/>
      <c r="I391" s="102"/>
      <c r="J391" s="102"/>
      <c r="K391" s="102"/>
      <c r="L391" s="102"/>
      <c r="M391" s="102"/>
      <c r="N391" s="102"/>
      <c r="O391" s="102"/>
      <c r="P391" s="102"/>
      <c r="Q391" s="102"/>
      <c r="R391" s="102"/>
      <c r="S391" s="102"/>
      <c r="T391" s="102"/>
      <c r="U391" s="102"/>
      <c r="V391" s="102"/>
      <c r="W391" s="102"/>
      <c r="X391" s="102"/>
      <c r="Y391" s="102"/>
      <c r="Z391" s="102"/>
      <c r="AA391" s="102"/>
      <c r="AB391" s="102"/>
      <c r="AC391" s="102"/>
      <c r="AD391" s="102"/>
      <c r="AE391" s="102"/>
      <c r="AF391" s="102"/>
      <c r="AG391" s="102"/>
      <c r="AH391" s="102"/>
      <c r="AI391" s="102"/>
      <c r="AJ391" s="102"/>
      <c r="AK391" s="102"/>
      <c r="AL391" s="102"/>
      <c r="AM391" s="102"/>
      <c r="AN391" s="102"/>
      <c r="AO391" s="400"/>
      <c r="AP391" s="90"/>
      <c r="AQ391" s="90"/>
      <c r="AR391" s="90"/>
      <c r="AS391" s="90"/>
      <c r="AT391" s="90"/>
      <c r="AU391" s="90"/>
      <c r="AV391" s="90"/>
      <c r="AW391" s="90"/>
      <c r="AX391" s="90"/>
      <c r="AY391" s="90"/>
      <c r="AZ391" s="90"/>
      <c r="BA391" s="90"/>
      <c r="BB391" s="90"/>
      <c r="BC391" s="90"/>
      <c r="BD391" s="90"/>
      <c r="BE391" s="90"/>
      <c r="BF391" s="90"/>
      <c r="BG391" s="90"/>
      <c r="BH391" s="90"/>
      <c r="BI391" s="90"/>
    </row>
    <row r="392" ht="12.75" customHeight="1">
      <c r="A392" s="90"/>
      <c r="B392" s="90"/>
      <c r="C392" s="400"/>
      <c r="D392" s="90"/>
      <c r="E392" s="102"/>
      <c r="F392" s="90"/>
      <c r="G392" s="90"/>
      <c r="H392" s="102"/>
      <c r="I392" s="102"/>
      <c r="J392" s="102"/>
      <c r="K392" s="102"/>
      <c r="L392" s="102"/>
      <c r="M392" s="102"/>
      <c r="N392" s="102"/>
      <c r="O392" s="102"/>
      <c r="P392" s="102"/>
      <c r="Q392" s="102"/>
      <c r="R392" s="102"/>
      <c r="S392" s="102"/>
      <c r="T392" s="102"/>
      <c r="U392" s="102"/>
      <c r="V392" s="102"/>
      <c r="W392" s="102"/>
      <c r="X392" s="102"/>
      <c r="Y392" s="102"/>
      <c r="Z392" s="102"/>
      <c r="AA392" s="102"/>
      <c r="AB392" s="102"/>
      <c r="AC392" s="102"/>
      <c r="AD392" s="102"/>
      <c r="AE392" s="102"/>
      <c r="AF392" s="102"/>
      <c r="AG392" s="102"/>
      <c r="AH392" s="102"/>
      <c r="AI392" s="102"/>
      <c r="AJ392" s="102"/>
      <c r="AK392" s="102"/>
      <c r="AL392" s="102"/>
      <c r="AM392" s="102"/>
      <c r="AN392" s="102"/>
      <c r="AO392" s="400"/>
      <c r="AP392" s="90"/>
      <c r="AQ392" s="90"/>
      <c r="AR392" s="90"/>
      <c r="AS392" s="90"/>
      <c r="AT392" s="90"/>
      <c r="AU392" s="90"/>
      <c r="AV392" s="90"/>
      <c r="AW392" s="90"/>
      <c r="AX392" s="90"/>
      <c r="AY392" s="90"/>
      <c r="AZ392" s="90"/>
      <c r="BA392" s="90"/>
      <c r="BB392" s="90"/>
      <c r="BC392" s="90"/>
      <c r="BD392" s="90"/>
      <c r="BE392" s="90"/>
      <c r="BF392" s="90"/>
      <c r="BG392" s="90"/>
      <c r="BH392" s="90"/>
      <c r="BI392" s="90"/>
    </row>
    <row r="393" ht="12.75" customHeight="1">
      <c r="A393" s="90"/>
      <c r="B393" s="90"/>
      <c r="C393" s="400"/>
      <c r="D393" s="90"/>
      <c r="E393" s="102"/>
      <c r="F393" s="90"/>
      <c r="G393" s="90"/>
      <c r="H393" s="102"/>
      <c r="I393" s="102"/>
      <c r="J393" s="102"/>
      <c r="K393" s="102"/>
      <c r="L393" s="102"/>
      <c r="M393" s="102"/>
      <c r="N393" s="102"/>
      <c r="O393" s="102"/>
      <c r="P393" s="102"/>
      <c r="Q393" s="102"/>
      <c r="R393" s="102"/>
      <c r="S393" s="102"/>
      <c r="T393" s="102"/>
      <c r="U393" s="102"/>
      <c r="V393" s="102"/>
      <c r="W393" s="102"/>
      <c r="X393" s="102"/>
      <c r="Y393" s="102"/>
      <c r="Z393" s="102"/>
      <c r="AA393" s="102"/>
      <c r="AB393" s="102"/>
      <c r="AC393" s="102"/>
      <c r="AD393" s="102"/>
      <c r="AE393" s="102"/>
      <c r="AF393" s="102"/>
      <c r="AG393" s="102"/>
      <c r="AH393" s="102"/>
      <c r="AI393" s="102"/>
      <c r="AJ393" s="102"/>
      <c r="AK393" s="102"/>
      <c r="AL393" s="102"/>
      <c r="AM393" s="102"/>
      <c r="AN393" s="102"/>
      <c r="AO393" s="400"/>
      <c r="AP393" s="90"/>
      <c r="AQ393" s="90"/>
      <c r="AR393" s="90"/>
      <c r="AS393" s="90"/>
      <c r="AT393" s="90"/>
      <c r="AU393" s="90"/>
      <c r="AV393" s="90"/>
      <c r="AW393" s="90"/>
      <c r="AX393" s="90"/>
      <c r="AY393" s="90"/>
      <c r="AZ393" s="90"/>
      <c r="BA393" s="90"/>
      <c r="BB393" s="90"/>
      <c r="BC393" s="90"/>
      <c r="BD393" s="90"/>
      <c r="BE393" s="90"/>
      <c r="BF393" s="90"/>
      <c r="BG393" s="90"/>
      <c r="BH393" s="90"/>
      <c r="BI393" s="90"/>
    </row>
    <row r="394" ht="12.75" customHeight="1">
      <c r="A394" s="90"/>
      <c r="B394" s="90"/>
      <c r="C394" s="400"/>
      <c r="D394" s="90"/>
      <c r="E394" s="102"/>
      <c r="F394" s="90"/>
      <c r="G394" s="90"/>
      <c r="H394" s="102"/>
      <c r="I394" s="102"/>
      <c r="J394" s="102"/>
      <c r="K394" s="102"/>
      <c r="L394" s="102"/>
      <c r="M394" s="102"/>
      <c r="N394" s="102"/>
      <c r="O394" s="102"/>
      <c r="P394" s="102"/>
      <c r="Q394" s="102"/>
      <c r="R394" s="102"/>
      <c r="S394" s="102"/>
      <c r="T394" s="102"/>
      <c r="U394" s="102"/>
      <c r="V394" s="102"/>
      <c r="W394" s="102"/>
      <c r="X394" s="102"/>
      <c r="Y394" s="102"/>
      <c r="Z394" s="102"/>
      <c r="AA394" s="102"/>
      <c r="AB394" s="102"/>
      <c r="AC394" s="102"/>
      <c r="AD394" s="102"/>
      <c r="AE394" s="102"/>
      <c r="AF394" s="102"/>
      <c r="AG394" s="102"/>
      <c r="AH394" s="102"/>
      <c r="AI394" s="102"/>
      <c r="AJ394" s="102"/>
      <c r="AK394" s="102"/>
      <c r="AL394" s="102"/>
      <c r="AM394" s="102"/>
      <c r="AN394" s="102"/>
      <c r="AO394" s="400"/>
      <c r="AP394" s="90"/>
      <c r="AQ394" s="90"/>
      <c r="AR394" s="90"/>
      <c r="AS394" s="90"/>
      <c r="AT394" s="90"/>
      <c r="AU394" s="90"/>
      <c r="AV394" s="90"/>
      <c r="AW394" s="90"/>
      <c r="AX394" s="90"/>
      <c r="AY394" s="90"/>
      <c r="AZ394" s="90"/>
      <c r="BA394" s="90"/>
      <c r="BB394" s="90"/>
      <c r="BC394" s="90"/>
      <c r="BD394" s="90"/>
      <c r="BE394" s="90"/>
      <c r="BF394" s="90"/>
      <c r="BG394" s="90"/>
      <c r="BH394" s="90"/>
      <c r="BI394" s="90"/>
    </row>
    <row r="395" ht="12.75" customHeight="1">
      <c r="A395" s="90"/>
      <c r="B395" s="90"/>
      <c r="C395" s="400"/>
      <c r="D395" s="90"/>
      <c r="E395" s="102"/>
      <c r="F395" s="90"/>
      <c r="G395" s="90"/>
      <c r="H395" s="102"/>
      <c r="I395" s="102"/>
      <c r="J395" s="102"/>
      <c r="K395" s="102"/>
      <c r="L395" s="102"/>
      <c r="M395" s="102"/>
      <c r="N395" s="102"/>
      <c r="O395" s="102"/>
      <c r="P395" s="102"/>
      <c r="Q395" s="102"/>
      <c r="R395" s="102"/>
      <c r="S395" s="102"/>
      <c r="T395" s="102"/>
      <c r="U395" s="102"/>
      <c r="V395" s="102"/>
      <c r="W395" s="102"/>
      <c r="X395" s="102"/>
      <c r="Y395" s="102"/>
      <c r="Z395" s="102"/>
      <c r="AA395" s="102"/>
      <c r="AB395" s="102"/>
      <c r="AC395" s="102"/>
      <c r="AD395" s="102"/>
      <c r="AE395" s="102"/>
      <c r="AF395" s="102"/>
      <c r="AG395" s="102"/>
      <c r="AH395" s="102"/>
      <c r="AI395" s="102"/>
      <c r="AJ395" s="102"/>
      <c r="AK395" s="102"/>
      <c r="AL395" s="102"/>
      <c r="AM395" s="102"/>
      <c r="AN395" s="102"/>
      <c r="AO395" s="400"/>
      <c r="AP395" s="90"/>
      <c r="AQ395" s="90"/>
      <c r="AR395" s="90"/>
      <c r="AS395" s="90"/>
      <c r="AT395" s="90"/>
      <c r="AU395" s="90"/>
      <c r="AV395" s="90"/>
      <c r="AW395" s="90"/>
      <c r="AX395" s="90"/>
      <c r="AY395" s="90"/>
      <c r="AZ395" s="90"/>
      <c r="BA395" s="90"/>
      <c r="BB395" s="90"/>
      <c r="BC395" s="90"/>
      <c r="BD395" s="90"/>
      <c r="BE395" s="90"/>
      <c r="BF395" s="90"/>
      <c r="BG395" s="90"/>
      <c r="BH395" s="90"/>
      <c r="BI395" s="90"/>
    </row>
    <row r="396" ht="12.75" customHeight="1">
      <c r="A396" s="90"/>
      <c r="B396" s="90"/>
      <c r="C396" s="400"/>
      <c r="D396" s="90"/>
      <c r="E396" s="102"/>
      <c r="F396" s="90"/>
      <c r="G396" s="90"/>
      <c r="H396" s="102"/>
      <c r="I396" s="102"/>
      <c r="J396" s="102"/>
      <c r="K396" s="102"/>
      <c r="L396" s="102"/>
      <c r="M396" s="102"/>
      <c r="N396" s="102"/>
      <c r="O396" s="102"/>
      <c r="P396" s="102"/>
      <c r="Q396" s="102"/>
      <c r="R396" s="102"/>
      <c r="S396" s="102"/>
      <c r="T396" s="102"/>
      <c r="U396" s="102"/>
      <c r="V396" s="102"/>
      <c r="W396" s="102"/>
      <c r="X396" s="102"/>
      <c r="Y396" s="102"/>
      <c r="Z396" s="102"/>
      <c r="AA396" s="102"/>
      <c r="AB396" s="102"/>
      <c r="AC396" s="102"/>
      <c r="AD396" s="102"/>
      <c r="AE396" s="102"/>
      <c r="AF396" s="102"/>
      <c r="AG396" s="102"/>
      <c r="AH396" s="102"/>
      <c r="AI396" s="102"/>
      <c r="AJ396" s="102"/>
      <c r="AK396" s="102"/>
      <c r="AL396" s="102"/>
      <c r="AM396" s="102"/>
      <c r="AN396" s="102"/>
      <c r="AO396" s="400"/>
      <c r="AP396" s="90"/>
      <c r="AQ396" s="90"/>
      <c r="AR396" s="90"/>
      <c r="AS396" s="90"/>
      <c r="AT396" s="90"/>
      <c r="AU396" s="90"/>
      <c r="AV396" s="90"/>
      <c r="AW396" s="90"/>
      <c r="AX396" s="90"/>
      <c r="AY396" s="90"/>
      <c r="AZ396" s="90"/>
      <c r="BA396" s="90"/>
      <c r="BB396" s="90"/>
      <c r="BC396" s="90"/>
      <c r="BD396" s="90"/>
      <c r="BE396" s="90"/>
      <c r="BF396" s="90"/>
      <c r="BG396" s="90"/>
      <c r="BH396" s="90"/>
      <c r="BI396" s="90"/>
    </row>
    <row r="397" ht="12.75" customHeight="1">
      <c r="A397" s="90"/>
      <c r="B397" s="90"/>
      <c r="C397" s="400"/>
      <c r="D397" s="90"/>
      <c r="E397" s="102"/>
      <c r="F397" s="90"/>
      <c r="G397" s="90"/>
      <c r="H397" s="102"/>
      <c r="I397" s="102"/>
      <c r="J397" s="102"/>
      <c r="K397" s="102"/>
      <c r="L397" s="102"/>
      <c r="M397" s="102"/>
      <c r="N397" s="102"/>
      <c r="O397" s="102"/>
      <c r="P397" s="102"/>
      <c r="Q397" s="102"/>
      <c r="R397" s="102"/>
      <c r="S397" s="102"/>
      <c r="T397" s="102"/>
      <c r="U397" s="102"/>
      <c r="V397" s="102"/>
      <c r="W397" s="102"/>
      <c r="X397" s="102"/>
      <c r="Y397" s="102"/>
      <c r="Z397" s="102"/>
      <c r="AA397" s="102"/>
      <c r="AB397" s="102"/>
      <c r="AC397" s="102"/>
      <c r="AD397" s="102"/>
      <c r="AE397" s="102"/>
      <c r="AF397" s="102"/>
      <c r="AG397" s="102"/>
      <c r="AH397" s="102"/>
      <c r="AI397" s="102"/>
      <c r="AJ397" s="102"/>
      <c r="AK397" s="102"/>
      <c r="AL397" s="102"/>
      <c r="AM397" s="102"/>
      <c r="AN397" s="102"/>
      <c r="AO397" s="400"/>
      <c r="AP397" s="90"/>
      <c r="AQ397" s="90"/>
      <c r="AR397" s="90"/>
      <c r="AS397" s="90"/>
      <c r="AT397" s="90"/>
      <c r="AU397" s="90"/>
      <c r="AV397" s="90"/>
      <c r="AW397" s="90"/>
      <c r="AX397" s="90"/>
      <c r="AY397" s="90"/>
      <c r="AZ397" s="90"/>
      <c r="BA397" s="90"/>
      <c r="BB397" s="90"/>
      <c r="BC397" s="90"/>
      <c r="BD397" s="90"/>
      <c r="BE397" s="90"/>
      <c r="BF397" s="90"/>
      <c r="BG397" s="90"/>
      <c r="BH397" s="90"/>
      <c r="BI397" s="90"/>
    </row>
    <row r="398" ht="12.75" customHeight="1">
      <c r="A398" s="90"/>
      <c r="B398" s="90"/>
      <c r="C398" s="400"/>
      <c r="D398" s="90"/>
      <c r="E398" s="102"/>
      <c r="F398" s="90"/>
      <c r="G398" s="90"/>
      <c r="H398" s="102"/>
      <c r="I398" s="102"/>
      <c r="J398" s="102"/>
      <c r="K398" s="102"/>
      <c r="L398" s="102"/>
      <c r="M398" s="102"/>
      <c r="N398" s="102"/>
      <c r="O398" s="102"/>
      <c r="P398" s="102"/>
      <c r="Q398" s="102"/>
      <c r="R398" s="102"/>
      <c r="S398" s="102"/>
      <c r="T398" s="102"/>
      <c r="U398" s="102"/>
      <c r="V398" s="102"/>
      <c r="W398" s="102"/>
      <c r="X398" s="102"/>
      <c r="Y398" s="102"/>
      <c r="Z398" s="102"/>
      <c r="AA398" s="102"/>
      <c r="AB398" s="102"/>
      <c r="AC398" s="102"/>
      <c r="AD398" s="102"/>
      <c r="AE398" s="102"/>
      <c r="AF398" s="102"/>
      <c r="AG398" s="102"/>
      <c r="AH398" s="102"/>
      <c r="AI398" s="102"/>
      <c r="AJ398" s="102"/>
      <c r="AK398" s="102"/>
      <c r="AL398" s="102"/>
      <c r="AM398" s="102"/>
      <c r="AN398" s="102"/>
      <c r="AO398" s="400"/>
      <c r="AP398" s="90"/>
      <c r="AQ398" s="90"/>
      <c r="AR398" s="90"/>
      <c r="AS398" s="90"/>
      <c r="AT398" s="90"/>
      <c r="AU398" s="90"/>
      <c r="AV398" s="90"/>
      <c r="AW398" s="90"/>
      <c r="AX398" s="90"/>
      <c r="AY398" s="90"/>
      <c r="AZ398" s="90"/>
      <c r="BA398" s="90"/>
      <c r="BB398" s="90"/>
      <c r="BC398" s="90"/>
      <c r="BD398" s="90"/>
      <c r="BE398" s="90"/>
      <c r="BF398" s="90"/>
      <c r="BG398" s="90"/>
      <c r="BH398" s="90"/>
      <c r="BI398" s="90"/>
    </row>
    <row r="399" ht="12.75" customHeight="1">
      <c r="A399" s="90"/>
      <c r="B399" s="90"/>
      <c r="C399" s="400"/>
      <c r="D399" s="90"/>
      <c r="E399" s="102"/>
      <c r="F399" s="90"/>
      <c r="G399" s="90"/>
      <c r="H399" s="102"/>
      <c r="I399" s="102"/>
      <c r="J399" s="102"/>
      <c r="K399" s="102"/>
      <c r="L399" s="102"/>
      <c r="M399" s="102"/>
      <c r="N399" s="102"/>
      <c r="O399" s="102"/>
      <c r="P399" s="102"/>
      <c r="Q399" s="102"/>
      <c r="R399" s="102"/>
      <c r="S399" s="102"/>
      <c r="T399" s="102"/>
      <c r="U399" s="102"/>
      <c r="V399" s="102"/>
      <c r="W399" s="102"/>
      <c r="X399" s="102"/>
      <c r="Y399" s="102"/>
      <c r="Z399" s="102"/>
      <c r="AA399" s="102"/>
      <c r="AB399" s="102"/>
      <c r="AC399" s="102"/>
      <c r="AD399" s="102"/>
      <c r="AE399" s="102"/>
      <c r="AF399" s="102"/>
      <c r="AG399" s="102"/>
      <c r="AH399" s="102"/>
      <c r="AI399" s="102"/>
      <c r="AJ399" s="102"/>
      <c r="AK399" s="102"/>
      <c r="AL399" s="102"/>
      <c r="AM399" s="102"/>
      <c r="AN399" s="102"/>
      <c r="AO399" s="400"/>
      <c r="AP399" s="90"/>
      <c r="AQ399" s="90"/>
      <c r="AR399" s="90"/>
      <c r="AS399" s="90"/>
      <c r="AT399" s="90"/>
      <c r="AU399" s="90"/>
      <c r="AV399" s="90"/>
      <c r="AW399" s="90"/>
      <c r="AX399" s="90"/>
      <c r="AY399" s="90"/>
      <c r="AZ399" s="90"/>
      <c r="BA399" s="90"/>
      <c r="BB399" s="90"/>
      <c r="BC399" s="90"/>
      <c r="BD399" s="90"/>
      <c r="BE399" s="90"/>
      <c r="BF399" s="90"/>
      <c r="BG399" s="90"/>
      <c r="BH399" s="90"/>
      <c r="BI399" s="90"/>
    </row>
    <row r="400" ht="12.75" customHeight="1">
      <c r="A400" s="90"/>
      <c r="B400" s="90"/>
      <c r="C400" s="400"/>
      <c r="D400" s="90"/>
      <c r="E400" s="102"/>
      <c r="F400" s="90"/>
      <c r="G400" s="90"/>
      <c r="H400" s="102"/>
      <c r="I400" s="102"/>
      <c r="J400" s="102"/>
      <c r="K400" s="102"/>
      <c r="L400" s="102"/>
      <c r="M400" s="102"/>
      <c r="N400" s="102"/>
      <c r="O400" s="102"/>
      <c r="P400" s="102"/>
      <c r="Q400" s="102"/>
      <c r="R400" s="102"/>
      <c r="S400" s="102"/>
      <c r="T400" s="102"/>
      <c r="U400" s="102"/>
      <c r="V400" s="102"/>
      <c r="W400" s="102"/>
      <c r="X400" s="102"/>
      <c r="Y400" s="102"/>
      <c r="Z400" s="102"/>
      <c r="AA400" s="102"/>
      <c r="AB400" s="102"/>
      <c r="AC400" s="102"/>
      <c r="AD400" s="102"/>
      <c r="AE400" s="102"/>
      <c r="AF400" s="102"/>
      <c r="AG400" s="102"/>
      <c r="AH400" s="102"/>
      <c r="AI400" s="102"/>
      <c r="AJ400" s="102"/>
      <c r="AK400" s="102"/>
      <c r="AL400" s="102"/>
      <c r="AM400" s="102"/>
      <c r="AN400" s="102"/>
      <c r="AO400" s="400"/>
      <c r="AP400" s="90"/>
      <c r="AQ400" s="90"/>
      <c r="AR400" s="90"/>
      <c r="AS400" s="90"/>
      <c r="AT400" s="90"/>
      <c r="AU400" s="90"/>
      <c r="AV400" s="90"/>
      <c r="AW400" s="90"/>
      <c r="AX400" s="90"/>
      <c r="AY400" s="90"/>
      <c r="AZ400" s="90"/>
      <c r="BA400" s="90"/>
      <c r="BB400" s="90"/>
      <c r="BC400" s="90"/>
      <c r="BD400" s="90"/>
      <c r="BE400" s="90"/>
      <c r="BF400" s="90"/>
      <c r="BG400" s="90"/>
      <c r="BH400" s="90"/>
      <c r="BI400" s="90"/>
    </row>
    <row r="401" ht="12.75" customHeight="1">
      <c r="A401" s="90"/>
      <c r="B401" s="90"/>
      <c r="C401" s="400"/>
      <c r="D401" s="90"/>
      <c r="E401" s="102"/>
      <c r="F401" s="90"/>
      <c r="G401" s="90"/>
      <c r="H401" s="102"/>
      <c r="I401" s="102"/>
      <c r="J401" s="102"/>
      <c r="K401" s="102"/>
      <c r="L401" s="102"/>
      <c r="M401" s="102"/>
      <c r="N401" s="102"/>
      <c r="O401" s="102"/>
      <c r="P401" s="102"/>
      <c r="Q401" s="102"/>
      <c r="R401" s="102"/>
      <c r="S401" s="102"/>
      <c r="T401" s="102"/>
      <c r="U401" s="102"/>
      <c r="V401" s="102"/>
      <c r="W401" s="102"/>
      <c r="X401" s="102"/>
      <c r="Y401" s="102"/>
      <c r="Z401" s="102"/>
      <c r="AA401" s="102"/>
      <c r="AB401" s="102"/>
      <c r="AC401" s="102"/>
      <c r="AD401" s="102"/>
      <c r="AE401" s="102"/>
      <c r="AF401" s="102"/>
      <c r="AG401" s="102"/>
      <c r="AH401" s="102"/>
      <c r="AI401" s="102"/>
      <c r="AJ401" s="102"/>
      <c r="AK401" s="102"/>
      <c r="AL401" s="102"/>
      <c r="AM401" s="102"/>
      <c r="AN401" s="102"/>
      <c r="AO401" s="400"/>
      <c r="AP401" s="90"/>
      <c r="AQ401" s="90"/>
      <c r="AR401" s="90"/>
      <c r="AS401" s="90"/>
      <c r="AT401" s="90"/>
      <c r="AU401" s="90"/>
      <c r="AV401" s="90"/>
      <c r="AW401" s="90"/>
      <c r="AX401" s="90"/>
      <c r="AY401" s="90"/>
      <c r="AZ401" s="90"/>
      <c r="BA401" s="90"/>
      <c r="BB401" s="90"/>
      <c r="BC401" s="90"/>
      <c r="BD401" s="90"/>
      <c r="BE401" s="90"/>
      <c r="BF401" s="90"/>
      <c r="BG401" s="90"/>
      <c r="BH401" s="90"/>
      <c r="BI401" s="90"/>
    </row>
    <row r="402" ht="12.75" customHeight="1">
      <c r="A402" s="90"/>
      <c r="B402" s="90"/>
      <c r="C402" s="400"/>
      <c r="D402" s="90"/>
      <c r="E402" s="102"/>
      <c r="F402" s="90"/>
      <c r="G402" s="90"/>
      <c r="H402" s="102"/>
      <c r="I402" s="102"/>
      <c r="J402" s="102"/>
      <c r="K402" s="102"/>
      <c r="L402" s="102"/>
      <c r="M402" s="102"/>
      <c r="N402" s="102"/>
      <c r="O402" s="102"/>
      <c r="P402" s="102"/>
      <c r="Q402" s="102"/>
      <c r="R402" s="102"/>
      <c r="S402" s="102"/>
      <c r="T402" s="102"/>
      <c r="U402" s="102"/>
      <c r="V402" s="102"/>
      <c r="W402" s="102"/>
      <c r="X402" s="102"/>
      <c r="Y402" s="102"/>
      <c r="Z402" s="102"/>
      <c r="AA402" s="102"/>
      <c r="AB402" s="102"/>
      <c r="AC402" s="102"/>
      <c r="AD402" s="102"/>
      <c r="AE402" s="102"/>
      <c r="AF402" s="102"/>
      <c r="AG402" s="102"/>
      <c r="AH402" s="102"/>
      <c r="AI402" s="102"/>
      <c r="AJ402" s="102"/>
      <c r="AK402" s="102"/>
      <c r="AL402" s="102"/>
      <c r="AM402" s="102"/>
      <c r="AN402" s="102"/>
      <c r="AO402" s="400"/>
      <c r="AP402" s="90"/>
      <c r="AQ402" s="90"/>
      <c r="AR402" s="90"/>
      <c r="AS402" s="90"/>
      <c r="AT402" s="90"/>
      <c r="AU402" s="90"/>
      <c r="AV402" s="90"/>
      <c r="AW402" s="90"/>
      <c r="AX402" s="90"/>
      <c r="AY402" s="90"/>
      <c r="AZ402" s="90"/>
      <c r="BA402" s="90"/>
      <c r="BB402" s="90"/>
      <c r="BC402" s="90"/>
      <c r="BD402" s="90"/>
      <c r="BE402" s="90"/>
      <c r="BF402" s="90"/>
      <c r="BG402" s="90"/>
      <c r="BH402" s="90"/>
      <c r="BI402" s="90"/>
    </row>
    <row r="403" ht="12.75" customHeight="1">
      <c r="A403" s="90"/>
      <c r="B403" s="90"/>
      <c r="C403" s="400"/>
      <c r="D403" s="90"/>
      <c r="E403" s="102"/>
      <c r="F403" s="90"/>
      <c r="G403" s="90"/>
      <c r="H403" s="102"/>
      <c r="I403" s="102"/>
      <c r="J403" s="102"/>
      <c r="K403" s="102"/>
      <c r="L403" s="102"/>
      <c r="M403" s="102"/>
      <c r="N403" s="102"/>
      <c r="O403" s="102"/>
      <c r="P403" s="102"/>
      <c r="Q403" s="102"/>
      <c r="R403" s="102"/>
      <c r="S403" s="102"/>
      <c r="T403" s="102"/>
      <c r="U403" s="102"/>
      <c r="V403" s="102"/>
      <c r="W403" s="102"/>
      <c r="X403" s="102"/>
      <c r="Y403" s="102"/>
      <c r="Z403" s="102"/>
      <c r="AA403" s="102"/>
      <c r="AB403" s="102"/>
      <c r="AC403" s="102"/>
      <c r="AD403" s="102"/>
      <c r="AE403" s="102"/>
      <c r="AF403" s="102"/>
      <c r="AG403" s="102"/>
      <c r="AH403" s="102"/>
      <c r="AI403" s="102"/>
      <c r="AJ403" s="102"/>
      <c r="AK403" s="102"/>
      <c r="AL403" s="102"/>
      <c r="AM403" s="102"/>
      <c r="AN403" s="102"/>
      <c r="AO403" s="400"/>
      <c r="AP403" s="90"/>
      <c r="AQ403" s="90"/>
      <c r="AR403" s="90"/>
      <c r="AS403" s="90"/>
      <c r="AT403" s="90"/>
      <c r="AU403" s="90"/>
      <c r="AV403" s="90"/>
      <c r="AW403" s="90"/>
      <c r="AX403" s="90"/>
      <c r="AY403" s="90"/>
      <c r="AZ403" s="90"/>
      <c r="BA403" s="90"/>
      <c r="BB403" s="90"/>
      <c r="BC403" s="90"/>
      <c r="BD403" s="90"/>
      <c r="BE403" s="90"/>
      <c r="BF403" s="90"/>
      <c r="BG403" s="90"/>
      <c r="BH403" s="90"/>
      <c r="BI403" s="90"/>
    </row>
    <row r="404" ht="12.75" customHeight="1">
      <c r="A404" s="90"/>
      <c r="B404" s="90"/>
      <c r="C404" s="400"/>
      <c r="D404" s="90"/>
      <c r="E404" s="102"/>
      <c r="F404" s="90"/>
      <c r="G404" s="90"/>
      <c r="H404" s="102"/>
      <c r="I404" s="102"/>
      <c r="J404" s="102"/>
      <c r="K404" s="102"/>
      <c r="L404" s="102"/>
      <c r="M404" s="102"/>
      <c r="N404" s="102"/>
      <c r="O404" s="102"/>
      <c r="P404" s="102"/>
      <c r="Q404" s="102"/>
      <c r="R404" s="102"/>
      <c r="S404" s="102"/>
      <c r="T404" s="102"/>
      <c r="U404" s="102"/>
      <c r="V404" s="102"/>
      <c r="W404" s="102"/>
      <c r="X404" s="102"/>
      <c r="Y404" s="102"/>
      <c r="Z404" s="102"/>
      <c r="AA404" s="102"/>
      <c r="AB404" s="102"/>
      <c r="AC404" s="102"/>
      <c r="AD404" s="102"/>
      <c r="AE404" s="102"/>
      <c r="AF404" s="102"/>
      <c r="AG404" s="102"/>
      <c r="AH404" s="102"/>
      <c r="AI404" s="102"/>
      <c r="AJ404" s="102"/>
      <c r="AK404" s="102"/>
      <c r="AL404" s="102"/>
      <c r="AM404" s="102"/>
      <c r="AN404" s="102"/>
      <c r="AO404" s="400"/>
      <c r="AP404" s="90"/>
      <c r="AQ404" s="90"/>
      <c r="AR404" s="90"/>
      <c r="AS404" s="90"/>
      <c r="AT404" s="90"/>
      <c r="AU404" s="90"/>
      <c r="AV404" s="90"/>
      <c r="AW404" s="90"/>
      <c r="AX404" s="90"/>
      <c r="AY404" s="90"/>
      <c r="AZ404" s="90"/>
      <c r="BA404" s="90"/>
      <c r="BB404" s="90"/>
      <c r="BC404" s="90"/>
      <c r="BD404" s="90"/>
      <c r="BE404" s="90"/>
      <c r="BF404" s="90"/>
      <c r="BG404" s="90"/>
      <c r="BH404" s="90"/>
      <c r="BI404" s="90"/>
    </row>
    <row r="405" ht="12.75" customHeight="1">
      <c r="A405" s="90"/>
      <c r="B405" s="90"/>
      <c r="C405" s="400"/>
      <c r="D405" s="90"/>
      <c r="E405" s="102"/>
      <c r="F405" s="90"/>
      <c r="G405" s="90"/>
      <c r="H405" s="102"/>
      <c r="I405" s="102"/>
      <c r="J405" s="102"/>
      <c r="K405" s="102"/>
      <c r="L405" s="102"/>
      <c r="M405" s="102"/>
      <c r="N405" s="102"/>
      <c r="O405" s="102"/>
      <c r="P405" s="102"/>
      <c r="Q405" s="102"/>
      <c r="R405" s="102"/>
      <c r="S405" s="102"/>
      <c r="T405" s="102"/>
      <c r="U405" s="102"/>
      <c r="V405" s="102"/>
      <c r="W405" s="102"/>
      <c r="X405" s="102"/>
      <c r="Y405" s="102"/>
      <c r="Z405" s="102"/>
      <c r="AA405" s="102"/>
      <c r="AB405" s="102"/>
      <c r="AC405" s="102"/>
      <c r="AD405" s="102"/>
      <c r="AE405" s="102"/>
      <c r="AF405" s="102"/>
      <c r="AG405" s="102"/>
      <c r="AH405" s="102"/>
      <c r="AI405" s="102"/>
      <c r="AJ405" s="102"/>
      <c r="AK405" s="102"/>
      <c r="AL405" s="102"/>
      <c r="AM405" s="102"/>
      <c r="AN405" s="102"/>
      <c r="AO405" s="400"/>
      <c r="AP405" s="90"/>
      <c r="AQ405" s="90"/>
      <c r="AR405" s="90"/>
      <c r="AS405" s="90"/>
      <c r="AT405" s="90"/>
      <c r="AU405" s="90"/>
      <c r="AV405" s="90"/>
      <c r="AW405" s="90"/>
      <c r="AX405" s="90"/>
      <c r="AY405" s="90"/>
      <c r="AZ405" s="90"/>
      <c r="BA405" s="90"/>
      <c r="BB405" s="90"/>
      <c r="BC405" s="90"/>
      <c r="BD405" s="90"/>
      <c r="BE405" s="90"/>
      <c r="BF405" s="90"/>
      <c r="BG405" s="90"/>
      <c r="BH405" s="90"/>
      <c r="BI405" s="90"/>
    </row>
    <row r="406" ht="12.75" customHeight="1">
      <c r="A406" s="90"/>
      <c r="B406" s="90"/>
      <c r="C406" s="400"/>
      <c r="D406" s="90"/>
      <c r="E406" s="102"/>
      <c r="F406" s="90"/>
      <c r="G406" s="90"/>
      <c r="H406" s="102"/>
      <c r="I406" s="102"/>
      <c r="J406" s="102"/>
      <c r="K406" s="102"/>
      <c r="L406" s="102"/>
      <c r="M406" s="102"/>
      <c r="N406" s="102"/>
      <c r="O406" s="102"/>
      <c r="P406" s="102"/>
      <c r="Q406" s="102"/>
      <c r="R406" s="102"/>
      <c r="S406" s="102"/>
      <c r="T406" s="102"/>
      <c r="U406" s="102"/>
      <c r="V406" s="102"/>
      <c r="W406" s="102"/>
      <c r="X406" s="102"/>
      <c r="Y406" s="102"/>
      <c r="Z406" s="102"/>
      <c r="AA406" s="102"/>
      <c r="AB406" s="102"/>
      <c r="AC406" s="102"/>
      <c r="AD406" s="102"/>
      <c r="AE406" s="102"/>
      <c r="AF406" s="102"/>
      <c r="AG406" s="102"/>
      <c r="AH406" s="102"/>
      <c r="AI406" s="102"/>
      <c r="AJ406" s="102"/>
      <c r="AK406" s="102"/>
      <c r="AL406" s="102"/>
      <c r="AM406" s="102"/>
      <c r="AN406" s="102"/>
      <c r="AO406" s="400"/>
      <c r="AP406" s="90"/>
      <c r="AQ406" s="90"/>
      <c r="AR406" s="90"/>
      <c r="AS406" s="90"/>
      <c r="AT406" s="90"/>
      <c r="AU406" s="90"/>
      <c r="AV406" s="90"/>
      <c r="AW406" s="90"/>
      <c r="AX406" s="90"/>
      <c r="AY406" s="90"/>
      <c r="AZ406" s="90"/>
      <c r="BA406" s="90"/>
      <c r="BB406" s="90"/>
      <c r="BC406" s="90"/>
      <c r="BD406" s="90"/>
      <c r="BE406" s="90"/>
      <c r="BF406" s="90"/>
      <c r="BG406" s="90"/>
      <c r="BH406" s="90"/>
      <c r="BI406" s="90"/>
    </row>
    <row r="407" ht="12.75" customHeight="1">
      <c r="A407" s="90"/>
      <c r="B407" s="90"/>
      <c r="C407" s="400"/>
      <c r="D407" s="90"/>
      <c r="E407" s="102"/>
      <c r="F407" s="90"/>
      <c r="G407" s="90"/>
      <c r="H407" s="102"/>
      <c r="I407" s="102"/>
      <c r="J407" s="102"/>
      <c r="K407" s="102"/>
      <c r="L407" s="102"/>
      <c r="M407" s="102"/>
      <c r="N407" s="102"/>
      <c r="O407" s="102"/>
      <c r="P407" s="102"/>
      <c r="Q407" s="102"/>
      <c r="R407" s="102"/>
      <c r="S407" s="102"/>
      <c r="T407" s="102"/>
      <c r="U407" s="102"/>
      <c r="V407" s="102"/>
      <c r="W407" s="102"/>
      <c r="X407" s="102"/>
      <c r="Y407" s="102"/>
      <c r="Z407" s="102"/>
      <c r="AA407" s="102"/>
      <c r="AB407" s="102"/>
      <c r="AC407" s="102"/>
      <c r="AD407" s="102"/>
      <c r="AE407" s="102"/>
      <c r="AF407" s="102"/>
      <c r="AG407" s="102"/>
      <c r="AH407" s="102"/>
      <c r="AI407" s="102"/>
      <c r="AJ407" s="102"/>
      <c r="AK407" s="102"/>
      <c r="AL407" s="102"/>
      <c r="AM407" s="102"/>
      <c r="AN407" s="102"/>
      <c r="AO407" s="400"/>
      <c r="AP407" s="90"/>
      <c r="AQ407" s="90"/>
      <c r="AR407" s="90"/>
      <c r="AS407" s="90"/>
      <c r="AT407" s="90"/>
      <c r="AU407" s="90"/>
      <c r="AV407" s="90"/>
      <c r="AW407" s="90"/>
      <c r="AX407" s="90"/>
      <c r="AY407" s="90"/>
      <c r="AZ407" s="90"/>
      <c r="BA407" s="90"/>
      <c r="BB407" s="90"/>
      <c r="BC407" s="90"/>
      <c r="BD407" s="90"/>
      <c r="BE407" s="90"/>
      <c r="BF407" s="90"/>
      <c r="BG407" s="90"/>
      <c r="BH407" s="90"/>
      <c r="BI407" s="90"/>
    </row>
    <row r="408" ht="12.75" customHeight="1">
      <c r="A408" s="90"/>
      <c r="B408" s="90"/>
      <c r="C408" s="400"/>
      <c r="D408" s="90"/>
      <c r="E408" s="102"/>
      <c r="F408" s="90"/>
      <c r="G408" s="90"/>
      <c r="H408" s="102"/>
      <c r="I408" s="102"/>
      <c r="J408" s="102"/>
      <c r="K408" s="102"/>
      <c r="L408" s="102"/>
      <c r="M408" s="102"/>
      <c r="N408" s="102"/>
      <c r="O408" s="102"/>
      <c r="P408" s="102"/>
      <c r="Q408" s="102"/>
      <c r="R408" s="102"/>
      <c r="S408" s="102"/>
      <c r="T408" s="102"/>
      <c r="U408" s="102"/>
      <c r="V408" s="102"/>
      <c r="W408" s="102"/>
      <c r="X408" s="102"/>
      <c r="Y408" s="102"/>
      <c r="Z408" s="102"/>
      <c r="AA408" s="102"/>
      <c r="AB408" s="102"/>
      <c r="AC408" s="102"/>
      <c r="AD408" s="102"/>
      <c r="AE408" s="102"/>
      <c r="AF408" s="102"/>
      <c r="AG408" s="102"/>
      <c r="AH408" s="102"/>
      <c r="AI408" s="102"/>
      <c r="AJ408" s="102"/>
      <c r="AK408" s="102"/>
      <c r="AL408" s="102"/>
      <c r="AM408" s="102"/>
      <c r="AN408" s="102"/>
      <c r="AO408" s="400"/>
      <c r="AP408" s="90"/>
      <c r="AQ408" s="90"/>
      <c r="AR408" s="90"/>
      <c r="AS408" s="90"/>
      <c r="AT408" s="90"/>
      <c r="AU408" s="90"/>
      <c r="AV408" s="90"/>
      <c r="AW408" s="90"/>
      <c r="AX408" s="90"/>
      <c r="AY408" s="90"/>
      <c r="AZ408" s="90"/>
      <c r="BA408" s="90"/>
      <c r="BB408" s="90"/>
      <c r="BC408" s="90"/>
      <c r="BD408" s="90"/>
      <c r="BE408" s="90"/>
      <c r="BF408" s="90"/>
      <c r="BG408" s="90"/>
      <c r="BH408" s="90"/>
      <c r="BI408" s="90"/>
    </row>
    <row r="409" ht="12.75" customHeight="1">
      <c r="A409" s="90"/>
      <c r="B409" s="90"/>
      <c r="C409" s="400"/>
      <c r="D409" s="90"/>
      <c r="E409" s="102"/>
      <c r="F409" s="90"/>
      <c r="G409" s="90"/>
      <c r="H409" s="102"/>
      <c r="I409" s="102"/>
      <c r="J409" s="102"/>
      <c r="K409" s="102"/>
      <c r="L409" s="102"/>
      <c r="M409" s="102"/>
      <c r="N409" s="102"/>
      <c r="O409" s="102"/>
      <c r="P409" s="102"/>
      <c r="Q409" s="102"/>
      <c r="R409" s="102"/>
      <c r="S409" s="102"/>
      <c r="T409" s="102"/>
      <c r="U409" s="102"/>
      <c r="V409" s="102"/>
      <c r="W409" s="102"/>
      <c r="X409" s="102"/>
      <c r="Y409" s="102"/>
      <c r="Z409" s="102"/>
      <c r="AA409" s="102"/>
      <c r="AB409" s="102"/>
      <c r="AC409" s="102"/>
      <c r="AD409" s="102"/>
      <c r="AE409" s="102"/>
      <c r="AF409" s="102"/>
      <c r="AG409" s="102"/>
      <c r="AH409" s="102"/>
      <c r="AI409" s="102"/>
      <c r="AJ409" s="102"/>
      <c r="AK409" s="102"/>
      <c r="AL409" s="102"/>
      <c r="AM409" s="102"/>
      <c r="AN409" s="102"/>
      <c r="AO409" s="400"/>
      <c r="AP409" s="90"/>
      <c r="AQ409" s="90"/>
      <c r="AR409" s="90"/>
      <c r="AS409" s="90"/>
      <c r="AT409" s="90"/>
      <c r="AU409" s="90"/>
      <c r="AV409" s="90"/>
      <c r="AW409" s="90"/>
      <c r="AX409" s="90"/>
      <c r="AY409" s="90"/>
      <c r="AZ409" s="90"/>
      <c r="BA409" s="90"/>
      <c r="BB409" s="90"/>
      <c r="BC409" s="90"/>
      <c r="BD409" s="90"/>
      <c r="BE409" s="90"/>
      <c r="BF409" s="90"/>
      <c r="BG409" s="90"/>
      <c r="BH409" s="90"/>
      <c r="BI409" s="90"/>
    </row>
    <row r="410" ht="12.75" customHeight="1">
      <c r="A410" s="90"/>
      <c r="B410" s="90"/>
      <c r="C410" s="400"/>
      <c r="D410" s="90"/>
      <c r="E410" s="102"/>
      <c r="F410" s="90"/>
      <c r="G410" s="90"/>
      <c r="H410" s="102"/>
      <c r="I410" s="102"/>
      <c r="J410" s="102"/>
      <c r="K410" s="102"/>
      <c r="L410" s="102"/>
      <c r="M410" s="102"/>
      <c r="N410" s="102"/>
      <c r="O410" s="102"/>
      <c r="P410" s="102"/>
      <c r="Q410" s="102"/>
      <c r="R410" s="102"/>
      <c r="S410" s="102"/>
      <c r="T410" s="102"/>
      <c r="U410" s="102"/>
      <c r="V410" s="102"/>
      <c r="W410" s="102"/>
      <c r="X410" s="102"/>
      <c r="Y410" s="102"/>
      <c r="Z410" s="102"/>
      <c r="AA410" s="102"/>
      <c r="AB410" s="102"/>
      <c r="AC410" s="102"/>
      <c r="AD410" s="102"/>
      <c r="AE410" s="102"/>
      <c r="AF410" s="102"/>
      <c r="AG410" s="102"/>
      <c r="AH410" s="102"/>
      <c r="AI410" s="102"/>
      <c r="AJ410" s="102"/>
      <c r="AK410" s="102"/>
      <c r="AL410" s="102"/>
      <c r="AM410" s="102"/>
      <c r="AN410" s="102"/>
      <c r="AO410" s="400"/>
      <c r="AP410" s="90"/>
      <c r="AQ410" s="90"/>
      <c r="AR410" s="90"/>
      <c r="AS410" s="90"/>
      <c r="AT410" s="90"/>
      <c r="AU410" s="90"/>
      <c r="AV410" s="90"/>
      <c r="AW410" s="90"/>
      <c r="AX410" s="90"/>
      <c r="AY410" s="90"/>
      <c r="AZ410" s="90"/>
      <c r="BA410" s="90"/>
      <c r="BB410" s="90"/>
      <c r="BC410" s="90"/>
      <c r="BD410" s="90"/>
      <c r="BE410" s="90"/>
      <c r="BF410" s="90"/>
      <c r="BG410" s="90"/>
      <c r="BH410" s="90"/>
      <c r="BI410" s="90"/>
    </row>
    <row r="411" ht="12.75" customHeight="1">
      <c r="A411" s="90"/>
      <c r="B411" s="90"/>
      <c r="C411" s="400"/>
      <c r="D411" s="90"/>
      <c r="E411" s="102"/>
      <c r="F411" s="90"/>
      <c r="G411" s="90"/>
      <c r="H411" s="102"/>
      <c r="I411" s="102"/>
      <c r="J411" s="102"/>
      <c r="K411" s="102"/>
      <c r="L411" s="102"/>
      <c r="M411" s="102"/>
      <c r="N411" s="102"/>
      <c r="O411" s="102"/>
      <c r="P411" s="102"/>
      <c r="Q411" s="102"/>
      <c r="R411" s="102"/>
      <c r="S411" s="102"/>
      <c r="T411" s="102"/>
      <c r="U411" s="102"/>
      <c r="V411" s="102"/>
      <c r="W411" s="102"/>
      <c r="X411" s="102"/>
      <c r="Y411" s="102"/>
      <c r="Z411" s="102"/>
      <c r="AA411" s="102"/>
      <c r="AB411" s="102"/>
      <c r="AC411" s="102"/>
      <c r="AD411" s="102"/>
      <c r="AE411" s="102"/>
      <c r="AF411" s="102"/>
      <c r="AG411" s="102"/>
      <c r="AH411" s="102"/>
      <c r="AI411" s="102"/>
      <c r="AJ411" s="102"/>
      <c r="AK411" s="102"/>
      <c r="AL411" s="102"/>
      <c r="AM411" s="102"/>
      <c r="AN411" s="102"/>
      <c r="AO411" s="400"/>
      <c r="AP411" s="90"/>
      <c r="AQ411" s="90"/>
      <c r="AR411" s="90"/>
      <c r="AS411" s="90"/>
      <c r="AT411" s="90"/>
      <c r="AU411" s="90"/>
      <c r="AV411" s="90"/>
      <c r="AW411" s="90"/>
      <c r="AX411" s="90"/>
      <c r="AY411" s="90"/>
      <c r="AZ411" s="90"/>
      <c r="BA411" s="90"/>
      <c r="BB411" s="90"/>
      <c r="BC411" s="90"/>
      <c r="BD411" s="90"/>
      <c r="BE411" s="90"/>
      <c r="BF411" s="90"/>
      <c r="BG411" s="90"/>
      <c r="BH411" s="90"/>
      <c r="BI411" s="90"/>
    </row>
    <row r="412" ht="12.75" customHeight="1">
      <c r="A412" s="90"/>
      <c r="B412" s="90"/>
      <c r="C412" s="400"/>
      <c r="D412" s="90"/>
      <c r="E412" s="102"/>
      <c r="F412" s="90"/>
      <c r="G412" s="90"/>
      <c r="H412" s="102"/>
      <c r="I412" s="102"/>
      <c r="J412" s="102"/>
      <c r="K412" s="102"/>
      <c r="L412" s="102"/>
      <c r="M412" s="102"/>
      <c r="N412" s="102"/>
      <c r="O412" s="102"/>
      <c r="P412" s="102"/>
      <c r="Q412" s="102"/>
      <c r="R412" s="102"/>
      <c r="S412" s="102"/>
      <c r="T412" s="102"/>
      <c r="U412" s="102"/>
      <c r="V412" s="102"/>
      <c r="W412" s="102"/>
      <c r="X412" s="102"/>
      <c r="Y412" s="102"/>
      <c r="Z412" s="102"/>
      <c r="AA412" s="102"/>
      <c r="AB412" s="102"/>
      <c r="AC412" s="102"/>
      <c r="AD412" s="102"/>
      <c r="AE412" s="102"/>
      <c r="AF412" s="102"/>
      <c r="AG412" s="102"/>
      <c r="AH412" s="102"/>
      <c r="AI412" s="102"/>
      <c r="AJ412" s="102"/>
      <c r="AK412" s="102"/>
      <c r="AL412" s="102"/>
      <c r="AM412" s="102"/>
      <c r="AN412" s="102"/>
      <c r="AO412" s="400"/>
      <c r="AP412" s="90"/>
      <c r="AQ412" s="90"/>
      <c r="AR412" s="90"/>
      <c r="AS412" s="90"/>
      <c r="AT412" s="90"/>
      <c r="AU412" s="90"/>
      <c r="AV412" s="90"/>
      <c r="AW412" s="90"/>
      <c r="AX412" s="90"/>
      <c r="AY412" s="90"/>
      <c r="AZ412" s="90"/>
      <c r="BA412" s="90"/>
      <c r="BB412" s="90"/>
      <c r="BC412" s="90"/>
      <c r="BD412" s="90"/>
      <c r="BE412" s="90"/>
      <c r="BF412" s="90"/>
      <c r="BG412" s="90"/>
      <c r="BH412" s="90"/>
      <c r="BI412" s="90"/>
    </row>
    <row r="413" ht="12.75" customHeight="1">
      <c r="A413" s="90"/>
      <c r="B413" s="90"/>
      <c r="C413" s="400"/>
      <c r="D413" s="90"/>
      <c r="E413" s="102"/>
      <c r="F413" s="90"/>
      <c r="G413" s="90"/>
      <c r="H413" s="102"/>
      <c r="I413" s="102"/>
      <c r="J413" s="102"/>
      <c r="K413" s="102"/>
      <c r="L413" s="102"/>
      <c r="M413" s="102"/>
      <c r="N413" s="102"/>
      <c r="O413" s="102"/>
      <c r="P413" s="102"/>
      <c r="Q413" s="102"/>
      <c r="R413" s="102"/>
      <c r="S413" s="102"/>
      <c r="T413" s="102"/>
      <c r="U413" s="102"/>
      <c r="V413" s="102"/>
      <c r="W413" s="102"/>
      <c r="X413" s="102"/>
      <c r="Y413" s="102"/>
      <c r="Z413" s="102"/>
      <c r="AA413" s="102"/>
      <c r="AB413" s="102"/>
      <c r="AC413" s="102"/>
      <c r="AD413" s="102"/>
      <c r="AE413" s="102"/>
      <c r="AF413" s="102"/>
      <c r="AG413" s="102"/>
      <c r="AH413" s="102"/>
      <c r="AI413" s="102"/>
      <c r="AJ413" s="102"/>
      <c r="AK413" s="102"/>
      <c r="AL413" s="102"/>
      <c r="AM413" s="102"/>
      <c r="AN413" s="102"/>
      <c r="AO413" s="400"/>
      <c r="AP413" s="90"/>
      <c r="AQ413" s="90"/>
      <c r="AR413" s="90"/>
      <c r="AS413" s="90"/>
      <c r="AT413" s="90"/>
      <c r="AU413" s="90"/>
      <c r="AV413" s="90"/>
      <c r="AW413" s="90"/>
      <c r="AX413" s="90"/>
      <c r="AY413" s="90"/>
      <c r="AZ413" s="90"/>
      <c r="BA413" s="90"/>
      <c r="BB413" s="90"/>
      <c r="BC413" s="90"/>
      <c r="BD413" s="90"/>
      <c r="BE413" s="90"/>
      <c r="BF413" s="90"/>
      <c r="BG413" s="90"/>
      <c r="BH413" s="90"/>
      <c r="BI413" s="90"/>
    </row>
    <row r="414" ht="12.75" customHeight="1">
      <c r="A414" s="90"/>
      <c r="B414" s="90"/>
      <c r="C414" s="400"/>
      <c r="D414" s="90"/>
      <c r="E414" s="102"/>
      <c r="F414" s="90"/>
      <c r="G414" s="90"/>
      <c r="H414" s="102"/>
      <c r="I414" s="102"/>
      <c r="J414" s="102"/>
      <c r="K414" s="102"/>
      <c r="L414" s="102"/>
      <c r="M414" s="102"/>
      <c r="N414" s="102"/>
      <c r="O414" s="102"/>
      <c r="P414" s="102"/>
      <c r="Q414" s="102"/>
      <c r="R414" s="102"/>
      <c r="S414" s="102"/>
      <c r="T414" s="102"/>
      <c r="U414" s="102"/>
      <c r="V414" s="102"/>
      <c r="W414" s="102"/>
      <c r="X414" s="102"/>
      <c r="Y414" s="102"/>
      <c r="Z414" s="102"/>
      <c r="AA414" s="102"/>
      <c r="AB414" s="102"/>
      <c r="AC414" s="102"/>
      <c r="AD414" s="102"/>
      <c r="AE414" s="102"/>
      <c r="AF414" s="102"/>
      <c r="AG414" s="102"/>
      <c r="AH414" s="102"/>
      <c r="AI414" s="102"/>
      <c r="AJ414" s="102"/>
      <c r="AK414" s="102"/>
      <c r="AL414" s="102"/>
      <c r="AM414" s="102"/>
      <c r="AN414" s="102"/>
      <c r="AO414" s="400"/>
      <c r="AP414" s="90"/>
      <c r="AQ414" s="90"/>
      <c r="AR414" s="90"/>
      <c r="AS414" s="90"/>
      <c r="AT414" s="90"/>
      <c r="AU414" s="90"/>
      <c r="AV414" s="90"/>
      <c r="AW414" s="90"/>
      <c r="AX414" s="90"/>
      <c r="AY414" s="90"/>
      <c r="AZ414" s="90"/>
      <c r="BA414" s="90"/>
      <c r="BB414" s="90"/>
      <c r="BC414" s="90"/>
      <c r="BD414" s="90"/>
      <c r="BE414" s="90"/>
      <c r="BF414" s="90"/>
      <c r="BG414" s="90"/>
      <c r="BH414" s="90"/>
      <c r="BI414" s="90"/>
    </row>
    <row r="415" ht="12.75" customHeight="1">
      <c r="A415" s="90"/>
      <c r="B415" s="90"/>
      <c r="C415" s="400"/>
      <c r="D415" s="90"/>
      <c r="E415" s="102"/>
      <c r="F415" s="90"/>
      <c r="G415" s="90"/>
      <c r="H415" s="102"/>
      <c r="I415" s="102"/>
      <c r="J415" s="102"/>
      <c r="K415" s="102"/>
      <c r="L415" s="102"/>
      <c r="M415" s="102"/>
      <c r="N415" s="102"/>
      <c r="O415" s="102"/>
      <c r="P415" s="102"/>
      <c r="Q415" s="102"/>
      <c r="R415" s="102"/>
      <c r="S415" s="102"/>
      <c r="T415" s="102"/>
      <c r="U415" s="102"/>
      <c r="V415" s="102"/>
      <c r="W415" s="102"/>
      <c r="X415" s="102"/>
      <c r="Y415" s="102"/>
      <c r="Z415" s="102"/>
      <c r="AA415" s="102"/>
      <c r="AB415" s="102"/>
      <c r="AC415" s="102"/>
      <c r="AD415" s="102"/>
      <c r="AE415" s="102"/>
      <c r="AF415" s="102"/>
      <c r="AG415" s="102"/>
      <c r="AH415" s="102"/>
      <c r="AI415" s="102"/>
      <c r="AJ415" s="102"/>
      <c r="AK415" s="102"/>
      <c r="AL415" s="102"/>
      <c r="AM415" s="102"/>
      <c r="AN415" s="102"/>
      <c r="AO415" s="400"/>
      <c r="AP415" s="90"/>
      <c r="AQ415" s="90"/>
      <c r="AR415" s="90"/>
      <c r="AS415" s="90"/>
      <c r="AT415" s="90"/>
      <c r="AU415" s="90"/>
      <c r="AV415" s="90"/>
      <c r="AW415" s="90"/>
      <c r="AX415" s="90"/>
      <c r="AY415" s="90"/>
      <c r="AZ415" s="90"/>
      <c r="BA415" s="90"/>
      <c r="BB415" s="90"/>
      <c r="BC415" s="90"/>
      <c r="BD415" s="90"/>
      <c r="BE415" s="90"/>
      <c r="BF415" s="90"/>
      <c r="BG415" s="90"/>
      <c r="BH415" s="90"/>
      <c r="BI415" s="90"/>
    </row>
    <row r="416" ht="12.75" customHeight="1">
      <c r="A416" s="90"/>
      <c r="B416" s="90"/>
      <c r="C416" s="400"/>
      <c r="D416" s="90"/>
      <c r="E416" s="102"/>
      <c r="F416" s="90"/>
      <c r="G416" s="90"/>
      <c r="H416" s="102"/>
      <c r="I416" s="102"/>
      <c r="J416" s="102"/>
      <c r="K416" s="102"/>
      <c r="L416" s="102"/>
      <c r="M416" s="102"/>
      <c r="N416" s="102"/>
      <c r="O416" s="102"/>
      <c r="P416" s="102"/>
      <c r="Q416" s="102"/>
      <c r="R416" s="102"/>
      <c r="S416" s="102"/>
      <c r="T416" s="102"/>
      <c r="U416" s="102"/>
      <c r="V416" s="102"/>
      <c r="W416" s="102"/>
      <c r="X416" s="102"/>
      <c r="Y416" s="102"/>
      <c r="Z416" s="102"/>
      <c r="AA416" s="102"/>
      <c r="AB416" s="102"/>
      <c r="AC416" s="102"/>
      <c r="AD416" s="102"/>
      <c r="AE416" s="102"/>
      <c r="AF416" s="102"/>
      <c r="AG416" s="102"/>
      <c r="AH416" s="102"/>
      <c r="AI416" s="102"/>
      <c r="AJ416" s="102"/>
      <c r="AK416" s="102"/>
      <c r="AL416" s="102"/>
      <c r="AM416" s="102"/>
      <c r="AN416" s="102"/>
      <c r="AO416" s="400"/>
      <c r="AP416" s="90"/>
      <c r="AQ416" s="90"/>
      <c r="AR416" s="90"/>
      <c r="AS416" s="90"/>
      <c r="AT416" s="90"/>
      <c r="AU416" s="90"/>
      <c r="AV416" s="90"/>
      <c r="AW416" s="90"/>
      <c r="AX416" s="90"/>
      <c r="AY416" s="90"/>
      <c r="AZ416" s="90"/>
      <c r="BA416" s="90"/>
      <c r="BB416" s="90"/>
      <c r="BC416" s="90"/>
      <c r="BD416" s="90"/>
      <c r="BE416" s="90"/>
      <c r="BF416" s="90"/>
      <c r="BG416" s="90"/>
      <c r="BH416" s="90"/>
      <c r="BI416" s="90"/>
    </row>
    <row r="417" ht="12.75" customHeight="1">
      <c r="A417" s="90"/>
      <c r="B417" s="90"/>
      <c r="C417" s="400"/>
      <c r="D417" s="90"/>
      <c r="E417" s="102"/>
      <c r="F417" s="90"/>
      <c r="G417" s="90"/>
      <c r="H417" s="102"/>
      <c r="I417" s="102"/>
      <c r="J417" s="102"/>
      <c r="K417" s="102"/>
      <c r="L417" s="102"/>
      <c r="M417" s="102"/>
      <c r="N417" s="102"/>
      <c r="O417" s="102"/>
      <c r="P417" s="102"/>
      <c r="Q417" s="102"/>
      <c r="R417" s="102"/>
      <c r="S417" s="102"/>
      <c r="T417" s="102"/>
      <c r="U417" s="102"/>
      <c r="V417" s="102"/>
      <c r="W417" s="102"/>
      <c r="X417" s="102"/>
      <c r="Y417" s="102"/>
      <c r="Z417" s="102"/>
      <c r="AA417" s="102"/>
      <c r="AB417" s="102"/>
      <c r="AC417" s="102"/>
      <c r="AD417" s="102"/>
      <c r="AE417" s="102"/>
      <c r="AF417" s="102"/>
      <c r="AG417" s="102"/>
      <c r="AH417" s="102"/>
      <c r="AI417" s="102"/>
      <c r="AJ417" s="102"/>
      <c r="AK417" s="102"/>
      <c r="AL417" s="102"/>
      <c r="AM417" s="102"/>
      <c r="AN417" s="102"/>
      <c r="AO417" s="400"/>
      <c r="AP417" s="90"/>
      <c r="AQ417" s="90"/>
      <c r="AR417" s="90"/>
      <c r="AS417" s="90"/>
      <c r="AT417" s="90"/>
      <c r="AU417" s="90"/>
      <c r="AV417" s="90"/>
      <c r="AW417" s="90"/>
      <c r="AX417" s="90"/>
      <c r="AY417" s="90"/>
      <c r="AZ417" s="90"/>
      <c r="BA417" s="90"/>
      <c r="BB417" s="90"/>
      <c r="BC417" s="90"/>
      <c r="BD417" s="90"/>
      <c r="BE417" s="90"/>
      <c r="BF417" s="90"/>
      <c r="BG417" s="90"/>
      <c r="BH417" s="90"/>
      <c r="BI417" s="90"/>
    </row>
    <row r="418" ht="12.75" customHeight="1">
      <c r="A418" s="90"/>
      <c r="B418" s="90"/>
      <c r="C418" s="400"/>
      <c r="D418" s="90"/>
      <c r="E418" s="102"/>
      <c r="F418" s="90"/>
      <c r="G418" s="90"/>
      <c r="H418" s="102"/>
      <c r="I418" s="102"/>
      <c r="J418" s="102"/>
      <c r="K418" s="102"/>
      <c r="L418" s="102"/>
      <c r="M418" s="102"/>
      <c r="N418" s="102"/>
      <c r="O418" s="102"/>
      <c r="P418" s="102"/>
      <c r="Q418" s="102"/>
      <c r="R418" s="102"/>
      <c r="S418" s="102"/>
      <c r="T418" s="102"/>
      <c r="U418" s="102"/>
      <c r="V418" s="102"/>
      <c r="W418" s="102"/>
      <c r="X418" s="102"/>
      <c r="Y418" s="102"/>
      <c r="Z418" s="102"/>
      <c r="AA418" s="102"/>
      <c r="AB418" s="102"/>
      <c r="AC418" s="102"/>
      <c r="AD418" s="102"/>
      <c r="AE418" s="102"/>
      <c r="AF418" s="102"/>
      <c r="AG418" s="102"/>
      <c r="AH418" s="102"/>
      <c r="AI418" s="102"/>
      <c r="AJ418" s="102"/>
      <c r="AK418" s="102"/>
      <c r="AL418" s="102"/>
      <c r="AM418" s="102"/>
      <c r="AN418" s="102"/>
      <c r="AO418" s="400"/>
      <c r="AP418" s="90"/>
      <c r="AQ418" s="90"/>
      <c r="AR418" s="90"/>
      <c r="AS418" s="90"/>
      <c r="AT418" s="90"/>
      <c r="AU418" s="90"/>
      <c r="AV418" s="90"/>
      <c r="AW418" s="90"/>
      <c r="AX418" s="90"/>
      <c r="AY418" s="90"/>
      <c r="AZ418" s="90"/>
      <c r="BA418" s="90"/>
      <c r="BB418" s="90"/>
      <c r="BC418" s="90"/>
      <c r="BD418" s="90"/>
      <c r="BE418" s="90"/>
      <c r="BF418" s="90"/>
      <c r="BG418" s="90"/>
      <c r="BH418" s="90"/>
      <c r="BI418" s="90"/>
    </row>
    <row r="419" ht="12.75" customHeight="1">
      <c r="A419" s="90"/>
      <c r="B419" s="90"/>
      <c r="C419" s="400"/>
      <c r="D419" s="90"/>
      <c r="E419" s="102"/>
      <c r="F419" s="90"/>
      <c r="G419" s="90"/>
      <c r="H419" s="102"/>
      <c r="I419" s="102"/>
      <c r="J419" s="102"/>
      <c r="K419" s="102"/>
      <c r="L419" s="102"/>
      <c r="M419" s="102"/>
      <c r="N419" s="102"/>
      <c r="O419" s="102"/>
      <c r="P419" s="102"/>
      <c r="Q419" s="102"/>
      <c r="R419" s="102"/>
      <c r="S419" s="102"/>
      <c r="T419" s="102"/>
      <c r="U419" s="102"/>
      <c r="V419" s="102"/>
      <c r="W419" s="102"/>
      <c r="X419" s="102"/>
      <c r="Y419" s="102"/>
      <c r="Z419" s="102"/>
      <c r="AA419" s="102"/>
      <c r="AB419" s="102"/>
      <c r="AC419" s="102"/>
      <c r="AD419" s="102"/>
      <c r="AE419" s="102"/>
      <c r="AF419" s="102"/>
      <c r="AG419" s="102"/>
      <c r="AH419" s="102"/>
      <c r="AI419" s="102"/>
      <c r="AJ419" s="102"/>
      <c r="AK419" s="102"/>
      <c r="AL419" s="102"/>
      <c r="AM419" s="102"/>
      <c r="AN419" s="102"/>
      <c r="AO419" s="400"/>
      <c r="AP419" s="90"/>
      <c r="AQ419" s="90"/>
      <c r="AR419" s="90"/>
      <c r="AS419" s="90"/>
      <c r="AT419" s="90"/>
      <c r="AU419" s="90"/>
      <c r="AV419" s="90"/>
      <c r="AW419" s="90"/>
      <c r="AX419" s="90"/>
      <c r="AY419" s="90"/>
      <c r="AZ419" s="90"/>
      <c r="BA419" s="90"/>
      <c r="BB419" s="90"/>
      <c r="BC419" s="90"/>
      <c r="BD419" s="90"/>
      <c r="BE419" s="90"/>
      <c r="BF419" s="90"/>
      <c r="BG419" s="90"/>
      <c r="BH419" s="90"/>
      <c r="BI419" s="90"/>
    </row>
    <row r="420" ht="12.75" customHeight="1">
      <c r="A420" s="90"/>
      <c r="B420" s="90"/>
      <c r="C420" s="400"/>
      <c r="D420" s="90"/>
      <c r="E420" s="102"/>
      <c r="F420" s="90"/>
      <c r="G420" s="90"/>
      <c r="H420" s="102"/>
      <c r="I420" s="102"/>
      <c r="J420" s="102"/>
      <c r="K420" s="102"/>
      <c r="L420" s="102"/>
      <c r="M420" s="102"/>
      <c r="N420" s="102"/>
      <c r="O420" s="102"/>
      <c r="P420" s="102"/>
      <c r="Q420" s="102"/>
      <c r="R420" s="102"/>
      <c r="S420" s="102"/>
      <c r="T420" s="102"/>
      <c r="U420" s="102"/>
      <c r="V420" s="102"/>
      <c r="W420" s="102"/>
      <c r="X420" s="102"/>
      <c r="Y420" s="102"/>
      <c r="Z420" s="102"/>
      <c r="AA420" s="102"/>
      <c r="AB420" s="102"/>
      <c r="AC420" s="102"/>
      <c r="AD420" s="102"/>
      <c r="AE420" s="102"/>
      <c r="AF420" s="102"/>
      <c r="AG420" s="102"/>
      <c r="AH420" s="102"/>
      <c r="AI420" s="102"/>
      <c r="AJ420" s="102"/>
      <c r="AK420" s="102"/>
      <c r="AL420" s="102"/>
      <c r="AM420" s="102"/>
      <c r="AN420" s="102"/>
      <c r="AO420" s="400"/>
      <c r="AP420" s="90"/>
      <c r="AQ420" s="90"/>
      <c r="AR420" s="90"/>
      <c r="AS420" s="90"/>
      <c r="AT420" s="90"/>
      <c r="AU420" s="90"/>
      <c r="AV420" s="90"/>
      <c r="AW420" s="90"/>
      <c r="AX420" s="90"/>
      <c r="AY420" s="90"/>
      <c r="AZ420" s="90"/>
      <c r="BA420" s="90"/>
      <c r="BB420" s="90"/>
      <c r="BC420" s="90"/>
      <c r="BD420" s="90"/>
      <c r="BE420" s="90"/>
      <c r="BF420" s="90"/>
      <c r="BG420" s="90"/>
      <c r="BH420" s="90"/>
      <c r="BI420" s="90"/>
    </row>
    <row r="421" ht="12.75" customHeight="1">
      <c r="A421" s="90"/>
      <c r="B421" s="90"/>
      <c r="C421" s="400"/>
      <c r="D421" s="90"/>
      <c r="E421" s="102"/>
      <c r="F421" s="90"/>
      <c r="G421" s="90"/>
      <c r="H421" s="102"/>
      <c r="I421" s="102"/>
      <c r="J421" s="102"/>
      <c r="K421" s="102"/>
      <c r="L421" s="102"/>
      <c r="M421" s="102"/>
      <c r="N421" s="102"/>
      <c r="O421" s="102"/>
      <c r="P421" s="102"/>
      <c r="Q421" s="102"/>
      <c r="R421" s="102"/>
      <c r="S421" s="102"/>
      <c r="T421" s="102"/>
      <c r="U421" s="102"/>
      <c r="V421" s="102"/>
      <c r="W421" s="102"/>
      <c r="X421" s="102"/>
      <c r="Y421" s="102"/>
      <c r="Z421" s="102"/>
      <c r="AA421" s="102"/>
      <c r="AB421" s="102"/>
      <c r="AC421" s="102"/>
      <c r="AD421" s="102"/>
      <c r="AE421" s="102"/>
      <c r="AF421" s="102"/>
      <c r="AG421" s="102"/>
      <c r="AH421" s="102"/>
      <c r="AI421" s="102"/>
      <c r="AJ421" s="102"/>
      <c r="AK421" s="102"/>
      <c r="AL421" s="102"/>
      <c r="AM421" s="102"/>
      <c r="AN421" s="102"/>
      <c r="AO421" s="400"/>
      <c r="AP421" s="90"/>
      <c r="AQ421" s="90"/>
      <c r="AR421" s="90"/>
      <c r="AS421" s="90"/>
      <c r="AT421" s="90"/>
      <c r="AU421" s="90"/>
      <c r="AV421" s="90"/>
      <c r="AW421" s="90"/>
      <c r="AX421" s="90"/>
      <c r="AY421" s="90"/>
      <c r="AZ421" s="90"/>
      <c r="BA421" s="90"/>
      <c r="BB421" s="90"/>
      <c r="BC421" s="90"/>
      <c r="BD421" s="90"/>
      <c r="BE421" s="90"/>
      <c r="BF421" s="90"/>
      <c r="BG421" s="90"/>
      <c r="BH421" s="90"/>
      <c r="BI421" s="90"/>
    </row>
    <row r="422" ht="12.75" customHeight="1">
      <c r="A422" s="90"/>
      <c r="B422" s="90"/>
      <c r="C422" s="400"/>
      <c r="D422" s="90"/>
      <c r="E422" s="102"/>
      <c r="F422" s="90"/>
      <c r="G422" s="90"/>
      <c r="H422" s="102"/>
      <c r="I422" s="102"/>
      <c r="J422" s="102"/>
      <c r="K422" s="102"/>
      <c r="L422" s="102"/>
      <c r="M422" s="102"/>
      <c r="N422" s="102"/>
      <c r="O422" s="102"/>
      <c r="P422" s="102"/>
      <c r="Q422" s="102"/>
      <c r="R422" s="102"/>
      <c r="S422" s="102"/>
      <c r="T422" s="102"/>
      <c r="U422" s="102"/>
      <c r="V422" s="102"/>
      <c r="W422" s="102"/>
      <c r="X422" s="102"/>
      <c r="Y422" s="102"/>
      <c r="Z422" s="102"/>
      <c r="AA422" s="102"/>
      <c r="AB422" s="102"/>
      <c r="AC422" s="102"/>
      <c r="AD422" s="102"/>
      <c r="AE422" s="102"/>
      <c r="AF422" s="102"/>
      <c r="AG422" s="102"/>
      <c r="AH422" s="102"/>
      <c r="AI422" s="102"/>
      <c r="AJ422" s="102"/>
      <c r="AK422" s="102"/>
      <c r="AL422" s="102"/>
      <c r="AM422" s="102"/>
      <c r="AN422" s="102"/>
      <c r="AO422" s="400"/>
      <c r="AP422" s="90"/>
      <c r="AQ422" s="90"/>
      <c r="AR422" s="90"/>
      <c r="AS422" s="90"/>
      <c r="AT422" s="90"/>
      <c r="AU422" s="90"/>
      <c r="AV422" s="90"/>
      <c r="AW422" s="90"/>
      <c r="AX422" s="90"/>
      <c r="AY422" s="90"/>
      <c r="AZ422" s="90"/>
      <c r="BA422" s="90"/>
      <c r="BB422" s="90"/>
      <c r="BC422" s="90"/>
      <c r="BD422" s="90"/>
      <c r="BE422" s="90"/>
      <c r="BF422" s="90"/>
      <c r="BG422" s="90"/>
      <c r="BH422" s="90"/>
      <c r="BI422" s="90"/>
    </row>
    <row r="423" ht="12.75" customHeight="1">
      <c r="A423" s="90"/>
      <c r="B423" s="90"/>
      <c r="C423" s="400"/>
      <c r="D423" s="90"/>
      <c r="E423" s="102"/>
      <c r="F423" s="90"/>
      <c r="G423" s="90"/>
      <c r="H423" s="102"/>
      <c r="I423" s="102"/>
      <c r="J423" s="102"/>
      <c r="K423" s="102"/>
      <c r="L423" s="102"/>
      <c r="M423" s="102"/>
      <c r="N423" s="102"/>
      <c r="O423" s="102"/>
      <c r="P423" s="102"/>
      <c r="Q423" s="102"/>
      <c r="R423" s="102"/>
      <c r="S423" s="102"/>
      <c r="T423" s="102"/>
      <c r="U423" s="102"/>
      <c r="V423" s="102"/>
      <c r="W423" s="102"/>
      <c r="X423" s="102"/>
      <c r="Y423" s="102"/>
      <c r="Z423" s="102"/>
      <c r="AA423" s="102"/>
      <c r="AB423" s="102"/>
      <c r="AC423" s="102"/>
      <c r="AD423" s="102"/>
      <c r="AE423" s="102"/>
      <c r="AF423" s="102"/>
      <c r="AG423" s="102"/>
      <c r="AH423" s="102"/>
      <c r="AI423" s="102"/>
      <c r="AJ423" s="102"/>
      <c r="AK423" s="102"/>
      <c r="AL423" s="102"/>
      <c r="AM423" s="102"/>
      <c r="AN423" s="102"/>
      <c r="AO423" s="400"/>
      <c r="AP423" s="90"/>
      <c r="AQ423" s="90"/>
      <c r="AR423" s="90"/>
      <c r="AS423" s="90"/>
      <c r="AT423" s="90"/>
      <c r="AU423" s="90"/>
      <c r="AV423" s="90"/>
      <c r="AW423" s="90"/>
      <c r="AX423" s="90"/>
      <c r="AY423" s="90"/>
      <c r="AZ423" s="90"/>
      <c r="BA423" s="90"/>
      <c r="BB423" s="90"/>
      <c r="BC423" s="90"/>
      <c r="BD423" s="90"/>
      <c r="BE423" s="90"/>
      <c r="BF423" s="90"/>
      <c r="BG423" s="90"/>
      <c r="BH423" s="90"/>
      <c r="BI423" s="90"/>
    </row>
    <row r="424" ht="12.75" customHeight="1">
      <c r="A424" s="90"/>
      <c r="B424" s="90"/>
      <c r="C424" s="400"/>
      <c r="D424" s="90"/>
      <c r="E424" s="102"/>
      <c r="F424" s="90"/>
      <c r="G424" s="90"/>
      <c r="H424" s="102"/>
      <c r="I424" s="102"/>
      <c r="J424" s="102"/>
      <c r="K424" s="102"/>
      <c r="L424" s="102"/>
      <c r="M424" s="102"/>
      <c r="N424" s="102"/>
      <c r="O424" s="102"/>
      <c r="P424" s="102"/>
      <c r="Q424" s="102"/>
      <c r="R424" s="102"/>
      <c r="S424" s="102"/>
      <c r="T424" s="102"/>
      <c r="U424" s="102"/>
      <c r="V424" s="102"/>
      <c r="W424" s="102"/>
      <c r="X424" s="102"/>
      <c r="Y424" s="102"/>
      <c r="Z424" s="102"/>
      <c r="AA424" s="102"/>
      <c r="AB424" s="102"/>
      <c r="AC424" s="102"/>
      <c r="AD424" s="102"/>
      <c r="AE424" s="102"/>
      <c r="AF424" s="102"/>
      <c r="AG424" s="102"/>
      <c r="AH424" s="102"/>
      <c r="AI424" s="102"/>
      <c r="AJ424" s="102"/>
      <c r="AK424" s="102"/>
      <c r="AL424" s="102"/>
      <c r="AM424" s="102"/>
      <c r="AN424" s="102"/>
      <c r="AO424" s="400"/>
      <c r="AP424" s="90"/>
      <c r="AQ424" s="90"/>
      <c r="AR424" s="90"/>
      <c r="AS424" s="90"/>
      <c r="AT424" s="90"/>
      <c r="AU424" s="90"/>
      <c r="AV424" s="90"/>
      <c r="AW424" s="90"/>
      <c r="AX424" s="90"/>
      <c r="AY424" s="90"/>
      <c r="AZ424" s="90"/>
      <c r="BA424" s="90"/>
      <c r="BB424" s="90"/>
      <c r="BC424" s="90"/>
      <c r="BD424" s="90"/>
      <c r="BE424" s="90"/>
      <c r="BF424" s="90"/>
      <c r="BG424" s="90"/>
      <c r="BH424" s="90"/>
      <c r="BI424" s="90"/>
    </row>
    <row r="425" ht="12.75" customHeight="1">
      <c r="A425" s="90"/>
      <c r="B425" s="90"/>
      <c r="C425" s="400"/>
      <c r="D425" s="90"/>
      <c r="E425" s="102"/>
      <c r="F425" s="90"/>
      <c r="G425" s="90"/>
      <c r="H425" s="102"/>
      <c r="I425" s="102"/>
      <c r="J425" s="102"/>
      <c r="K425" s="102"/>
      <c r="L425" s="102"/>
      <c r="M425" s="102"/>
      <c r="N425" s="102"/>
      <c r="O425" s="102"/>
      <c r="P425" s="102"/>
      <c r="Q425" s="102"/>
      <c r="R425" s="102"/>
      <c r="S425" s="102"/>
      <c r="T425" s="102"/>
      <c r="U425" s="102"/>
      <c r="V425" s="102"/>
      <c r="W425" s="102"/>
      <c r="X425" s="102"/>
      <c r="Y425" s="102"/>
      <c r="Z425" s="102"/>
      <c r="AA425" s="102"/>
      <c r="AB425" s="102"/>
      <c r="AC425" s="102"/>
      <c r="AD425" s="102"/>
      <c r="AE425" s="102"/>
      <c r="AF425" s="102"/>
      <c r="AG425" s="102"/>
      <c r="AH425" s="102"/>
      <c r="AI425" s="102"/>
      <c r="AJ425" s="102"/>
      <c r="AK425" s="102"/>
      <c r="AL425" s="102"/>
      <c r="AM425" s="102"/>
      <c r="AN425" s="102"/>
      <c r="AO425" s="400"/>
      <c r="AP425" s="90"/>
      <c r="AQ425" s="90"/>
      <c r="AR425" s="90"/>
      <c r="AS425" s="90"/>
      <c r="AT425" s="90"/>
      <c r="AU425" s="90"/>
      <c r="AV425" s="90"/>
      <c r="AW425" s="90"/>
      <c r="AX425" s="90"/>
      <c r="AY425" s="90"/>
      <c r="AZ425" s="90"/>
      <c r="BA425" s="90"/>
      <c r="BB425" s="90"/>
      <c r="BC425" s="90"/>
      <c r="BD425" s="90"/>
      <c r="BE425" s="90"/>
      <c r="BF425" s="90"/>
      <c r="BG425" s="90"/>
      <c r="BH425" s="90"/>
      <c r="BI425" s="90"/>
    </row>
    <row r="426" ht="12.75" customHeight="1">
      <c r="A426" s="90"/>
      <c r="B426" s="90"/>
      <c r="C426" s="400"/>
      <c r="D426" s="90"/>
      <c r="E426" s="102"/>
      <c r="F426" s="90"/>
      <c r="G426" s="90"/>
      <c r="H426" s="102"/>
      <c r="I426" s="102"/>
      <c r="J426" s="102"/>
      <c r="K426" s="102"/>
      <c r="L426" s="102"/>
      <c r="M426" s="102"/>
      <c r="N426" s="102"/>
      <c r="O426" s="102"/>
      <c r="P426" s="102"/>
      <c r="Q426" s="102"/>
      <c r="R426" s="102"/>
      <c r="S426" s="102"/>
      <c r="T426" s="102"/>
      <c r="U426" s="102"/>
      <c r="V426" s="102"/>
      <c r="W426" s="102"/>
      <c r="X426" s="102"/>
      <c r="Y426" s="102"/>
      <c r="Z426" s="102"/>
      <c r="AA426" s="102"/>
      <c r="AB426" s="102"/>
      <c r="AC426" s="102"/>
      <c r="AD426" s="102"/>
      <c r="AE426" s="102"/>
      <c r="AF426" s="102"/>
      <c r="AG426" s="102"/>
      <c r="AH426" s="102"/>
      <c r="AI426" s="102"/>
      <c r="AJ426" s="102"/>
      <c r="AK426" s="102"/>
      <c r="AL426" s="102"/>
      <c r="AM426" s="102"/>
      <c r="AN426" s="102"/>
      <c r="AO426" s="400"/>
      <c r="AP426" s="90"/>
      <c r="AQ426" s="90"/>
      <c r="AR426" s="90"/>
      <c r="AS426" s="90"/>
      <c r="AT426" s="90"/>
      <c r="AU426" s="90"/>
      <c r="AV426" s="90"/>
      <c r="AW426" s="90"/>
      <c r="AX426" s="90"/>
      <c r="AY426" s="90"/>
      <c r="AZ426" s="90"/>
      <c r="BA426" s="90"/>
      <c r="BB426" s="90"/>
      <c r="BC426" s="90"/>
      <c r="BD426" s="90"/>
      <c r="BE426" s="90"/>
      <c r="BF426" s="90"/>
      <c r="BG426" s="90"/>
      <c r="BH426" s="90"/>
      <c r="BI426" s="90"/>
    </row>
    <row r="427" ht="12.75" customHeight="1">
      <c r="A427" s="90"/>
      <c r="B427" s="90"/>
      <c r="C427" s="400"/>
      <c r="D427" s="90"/>
      <c r="E427" s="102"/>
      <c r="F427" s="90"/>
      <c r="G427" s="90"/>
      <c r="H427" s="102"/>
      <c r="I427" s="102"/>
      <c r="J427" s="102"/>
      <c r="K427" s="102"/>
      <c r="L427" s="102"/>
      <c r="M427" s="102"/>
      <c r="N427" s="102"/>
      <c r="O427" s="102"/>
      <c r="P427" s="102"/>
      <c r="Q427" s="102"/>
      <c r="R427" s="102"/>
      <c r="S427" s="102"/>
      <c r="T427" s="102"/>
      <c r="U427" s="102"/>
      <c r="V427" s="102"/>
      <c r="W427" s="102"/>
      <c r="X427" s="102"/>
      <c r="Y427" s="102"/>
      <c r="Z427" s="102"/>
      <c r="AA427" s="102"/>
      <c r="AB427" s="102"/>
      <c r="AC427" s="102"/>
      <c r="AD427" s="102"/>
      <c r="AE427" s="102"/>
      <c r="AF427" s="102"/>
      <c r="AG427" s="102"/>
      <c r="AH427" s="102"/>
      <c r="AI427" s="102"/>
      <c r="AJ427" s="102"/>
      <c r="AK427" s="102"/>
      <c r="AL427" s="102"/>
      <c r="AM427" s="102"/>
      <c r="AN427" s="102"/>
      <c r="AO427" s="400"/>
      <c r="AP427" s="90"/>
      <c r="AQ427" s="90"/>
      <c r="AR427" s="90"/>
      <c r="AS427" s="90"/>
      <c r="AT427" s="90"/>
      <c r="AU427" s="90"/>
      <c r="AV427" s="90"/>
      <c r="AW427" s="90"/>
      <c r="AX427" s="90"/>
      <c r="AY427" s="90"/>
      <c r="AZ427" s="90"/>
      <c r="BA427" s="90"/>
      <c r="BB427" s="90"/>
      <c r="BC427" s="90"/>
      <c r="BD427" s="90"/>
      <c r="BE427" s="90"/>
      <c r="BF427" s="90"/>
      <c r="BG427" s="90"/>
      <c r="BH427" s="90"/>
      <c r="BI427" s="90"/>
    </row>
    <row r="428" ht="12.75" customHeight="1">
      <c r="A428" s="90"/>
      <c r="B428" s="90"/>
      <c r="C428" s="400"/>
      <c r="D428" s="90"/>
      <c r="E428" s="102"/>
      <c r="F428" s="90"/>
      <c r="G428" s="90"/>
      <c r="H428" s="102"/>
      <c r="I428" s="102"/>
      <c r="J428" s="102"/>
      <c r="K428" s="102"/>
      <c r="L428" s="102"/>
      <c r="M428" s="102"/>
      <c r="N428" s="102"/>
      <c r="O428" s="102"/>
      <c r="P428" s="102"/>
      <c r="Q428" s="102"/>
      <c r="R428" s="102"/>
      <c r="S428" s="102"/>
      <c r="T428" s="102"/>
      <c r="U428" s="102"/>
      <c r="V428" s="102"/>
      <c r="W428" s="102"/>
      <c r="X428" s="102"/>
      <c r="Y428" s="102"/>
      <c r="Z428" s="102"/>
      <c r="AA428" s="102"/>
      <c r="AB428" s="102"/>
      <c r="AC428" s="102"/>
      <c r="AD428" s="102"/>
      <c r="AE428" s="102"/>
      <c r="AF428" s="102"/>
      <c r="AG428" s="102"/>
      <c r="AH428" s="102"/>
      <c r="AI428" s="102"/>
      <c r="AJ428" s="102"/>
      <c r="AK428" s="102"/>
      <c r="AL428" s="102"/>
      <c r="AM428" s="102"/>
      <c r="AN428" s="102"/>
      <c r="AO428" s="400"/>
      <c r="AP428" s="90"/>
      <c r="AQ428" s="90"/>
      <c r="AR428" s="90"/>
      <c r="AS428" s="90"/>
      <c r="AT428" s="90"/>
      <c r="AU428" s="90"/>
      <c r="AV428" s="90"/>
      <c r="AW428" s="90"/>
      <c r="AX428" s="90"/>
      <c r="AY428" s="90"/>
      <c r="AZ428" s="90"/>
      <c r="BA428" s="90"/>
      <c r="BB428" s="90"/>
      <c r="BC428" s="90"/>
      <c r="BD428" s="90"/>
      <c r="BE428" s="90"/>
      <c r="BF428" s="90"/>
      <c r="BG428" s="90"/>
      <c r="BH428" s="90"/>
      <c r="BI428" s="90"/>
    </row>
    <row r="429" ht="12.75" customHeight="1">
      <c r="A429" s="90"/>
      <c r="B429" s="90"/>
      <c r="C429" s="400"/>
      <c r="D429" s="90"/>
      <c r="E429" s="102"/>
      <c r="F429" s="90"/>
      <c r="G429" s="90"/>
      <c r="H429" s="102"/>
      <c r="I429" s="102"/>
      <c r="J429" s="102"/>
      <c r="K429" s="102"/>
      <c r="L429" s="102"/>
      <c r="M429" s="102"/>
      <c r="N429" s="102"/>
      <c r="O429" s="102"/>
      <c r="P429" s="102"/>
      <c r="Q429" s="102"/>
      <c r="R429" s="102"/>
      <c r="S429" s="102"/>
      <c r="T429" s="102"/>
      <c r="U429" s="102"/>
      <c r="V429" s="102"/>
      <c r="W429" s="102"/>
      <c r="X429" s="102"/>
      <c r="Y429" s="102"/>
      <c r="Z429" s="102"/>
      <c r="AA429" s="102"/>
      <c r="AB429" s="102"/>
      <c r="AC429" s="102"/>
      <c r="AD429" s="102"/>
      <c r="AE429" s="102"/>
      <c r="AF429" s="102"/>
      <c r="AG429" s="102"/>
      <c r="AH429" s="102"/>
      <c r="AI429" s="102"/>
      <c r="AJ429" s="102"/>
      <c r="AK429" s="102"/>
      <c r="AL429" s="102"/>
      <c r="AM429" s="102"/>
      <c r="AN429" s="102"/>
      <c r="AO429" s="400"/>
      <c r="AP429" s="90"/>
      <c r="AQ429" s="90"/>
      <c r="AR429" s="90"/>
      <c r="AS429" s="90"/>
      <c r="AT429" s="90"/>
      <c r="AU429" s="90"/>
      <c r="AV429" s="90"/>
      <c r="AW429" s="90"/>
      <c r="AX429" s="90"/>
      <c r="AY429" s="90"/>
      <c r="AZ429" s="90"/>
      <c r="BA429" s="90"/>
      <c r="BB429" s="90"/>
      <c r="BC429" s="90"/>
      <c r="BD429" s="90"/>
      <c r="BE429" s="90"/>
      <c r="BF429" s="90"/>
      <c r="BG429" s="90"/>
      <c r="BH429" s="90"/>
      <c r="BI429" s="90"/>
    </row>
    <row r="430" ht="12.75" customHeight="1">
      <c r="A430" s="90"/>
      <c r="B430" s="90"/>
      <c r="C430" s="400"/>
      <c r="D430" s="90"/>
      <c r="E430" s="102"/>
      <c r="F430" s="90"/>
      <c r="G430" s="90"/>
      <c r="H430" s="102"/>
      <c r="I430" s="102"/>
      <c r="J430" s="102"/>
      <c r="K430" s="102"/>
      <c r="L430" s="102"/>
      <c r="M430" s="102"/>
      <c r="N430" s="102"/>
      <c r="O430" s="102"/>
      <c r="P430" s="102"/>
      <c r="Q430" s="102"/>
      <c r="R430" s="102"/>
      <c r="S430" s="102"/>
      <c r="T430" s="102"/>
      <c r="U430" s="102"/>
      <c r="V430" s="102"/>
      <c r="W430" s="102"/>
      <c r="X430" s="102"/>
      <c r="Y430" s="102"/>
      <c r="Z430" s="102"/>
      <c r="AA430" s="102"/>
      <c r="AB430" s="102"/>
      <c r="AC430" s="102"/>
      <c r="AD430" s="102"/>
      <c r="AE430" s="102"/>
      <c r="AF430" s="102"/>
      <c r="AG430" s="102"/>
      <c r="AH430" s="102"/>
      <c r="AI430" s="102"/>
      <c r="AJ430" s="102"/>
      <c r="AK430" s="102"/>
      <c r="AL430" s="102"/>
      <c r="AM430" s="102"/>
      <c r="AN430" s="102"/>
      <c r="AO430" s="400"/>
      <c r="AP430" s="90"/>
      <c r="AQ430" s="90"/>
      <c r="AR430" s="90"/>
      <c r="AS430" s="90"/>
      <c r="AT430" s="90"/>
      <c r="AU430" s="90"/>
      <c r="AV430" s="90"/>
      <c r="AW430" s="90"/>
      <c r="AX430" s="90"/>
      <c r="AY430" s="90"/>
      <c r="AZ430" s="90"/>
      <c r="BA430" s="90"/>
      <c r="BB430" s="90"/>
      <c r="BC430" s="90"/>
      <c r="BD430" s="90"/>
      <c r="BE430" s="90"/>
      <c r="BF430" s="90"/>
      <c r="BG430" s="90"/>
      <c r="BH430" s="90"/>
      <c r="BI430" s="90"/>
    </row>
    <row r="431" ht="12.75" customHeight="1">
      <c r="A431" s="90"/>
      <c r="B431" s="90"/>
      <c r="C431" s="400"/>
      <c r="D431" s="90"/>
      <c r="E431" s="102"/>
      <c r="F431" s="90"/>
      <c r="G431" s="90"/>
      <c r="H431" s="102"/>
      <c r="I431" s="102"/>
      <c r="J431" s="102"/>
      <c r="K431" s="102"/>
      <c r="L431" s="102"/>
      <c r="M431" s="102"/>
      <c r="N431" s="102"/>
      <c r="O431" s="102"/>
      <c r="P431" s="102"/>
      <c r="Q431" s="102"/>
      <c r="R431" s="102"/>
      <c r="S431" s="102"/>
      <c r="T431" s="102"/>
      <c r="U431" s="102"/>
      <c r="V431" s="102"/>
      <c r="W431" s="102"/>
      <c r="X431" s="102"/>
      <c r="Y431" s="102"/>
      <c r="Z431" s="102"/>
      <c r="AA431" s="102"/>
      <c r="AB431" s="102"/>
      <c r="AC431" s="102"/>
      <c r="AD431" s="102"/>
      <c r="AE431" s="102"/>
      <c r="AF431" s="102"/>
      <c r="AG431" s="102"/>
      <c r="AH431" s="102"/>
      <c r="AI431" s="102"/>
      <c r="AJ431" s="102"/>
      <c r="AK431" s="102"/>
      <c r="AL431" s="102"/>
      <c r="AM431" s="102"/>
      <c r="AN431" s="102"/>
      <c r="AO431" s="400"/>
      <c r="AP431" s="90"/>
      <c r="AQ431" s="90"/>
      <c r="AR431" s="90"/>
      <c r="AS431" s="90"/>
      <c r="AT431" s="90"/>
      <c r="AU431" s="90"/>
      <c r="AV431" s="90"/>
      <c r="AW431" s="90"/>
      <c r="AX431" s="90"/>
      <c r="AY431" s="90"/>
      <c r="AZ431" s="90"/>
      <c r="BA431" s="90"/>
      <c r="BB431" s="90"/>
      <c r="BC431" s="90"/>
      <c r="BD431" s="90"/>
      <c r="BE431" s="90"/>
      <c r="BF431" s="90"/>
      <c r="BG431" s="90"/>
      <c r="BH431" s="90"/>
      <c r="BI431" s="90"/>
    </row>
    <row r="432" ht="12.75" customHeight="1">
      <c r="A432" s="90"/>
      <c r="B432" s="90"/>
      <c r="C432" s="400"/>
      <c r="D432" s="90"/>
      <c r="E432" s="102"/>
      <c r="F432" s="90"/>
      <c r="G432" s="90"/>
      <c r="H432" s="102"/>
      <c r="I432" s="102"/>
      <c r="J432" s="102"/>
      <c r="K432" s="102"/>
      <c r="L432" s="102"/>
      <c r="M432" s="102"/>
      <c r="N432" s="102"/>
      <c r="O432" s="102"/>
      <c r="P432" s="102"/>
      <c r="Q432" s="102"/>
      <c r="R432" s="102"/>
      <c r="S432" s="102"/>
      <c r="T432" s="102"/>
      <c r="U432" s="102"/>
      <c r="V432" s="102"/>
      <c r="W432" s="102"/>
      <c r="X432" s="102"/>
      <c r="Y432" s="102"/>
      <c r="Z432" s="102"/>
      <c r="AA432" s="102"/>
      <c r="AB432" s="102"/>
      <c r="AC432" s="102"/>
      <c r="AD432" s="102"/>
      <c r="AE432" s="102"/>
      <c r="AF432" s="102"/>
      <c r="AG432" s="102"/>
      <c r="AH432" s="102"/>
      <c r="AI432" s="102"/>
      <c r="AJ432" s="102"/>
      <c r="AK432" s="102"/>
      <c r="AL432" s="102"/>
      <c r="AM432" s="102"/>
      <c r="AN432" s="102"/>
      <c r="AO432" s="400"/>
      <c r="AP432" s="90"/>
      <c r="AQ432" s="90"/>
      <c r="AR432" s="90"/>
      <c r="AS432" s="90"/>
      <c r="AT432" s="90"/>
      <c r="AU432" s="90"/>
      <c r="AV432" s="90"/>
      <c r="AW432" s="90"/>
      <c r="AX432" s="90"/>
      <c r="AY432" s="90"/>
      <c r="AZ432" s="90"/>
      <c r="BA432" s="90"/>
      <c r="BB432" s="90"/>
      <c r="BC432" s="90"/>
      <c r="BD432" s="90"/>
      <c r="BE432" s="90"/>
      <c r="BF432" s="90"/>
      <c r="BG432" s="90"/>
      <c r="BH432" s="90"/>
      <c r="BI432" s="90"/>
    </row>
    <row r="433" ht="12.75" customHeight="1">
      <c r="A433" s="90"/>
      <c r="B433" s="90"/>
      <c r="C433" s="400"/>
      <c r="D433" s="90"/>
      <c r="E433" s="102"/>
      <c r="F433" s="90"/>
      <c r="G433" s="90"/>
      <c r="H433" s="102"/>
      <c r="I433" s="102"/>
      <c r="J433" s="102"/>
      <c r="K433" s="102"/>
      <c r="L433" s="102"/>
      <c r="M433" s="102"/>
      <c r="N433" s="102"/>
      <c r="O433" s="102"/>
      <c r="P433" s="102"/>
      <c r="Q433" s="102"/>
      <c r="R433" s="102"/>
      <c r="S433" s="102"/>
      <c r="T433" s="102"/>
      <c r="U433" s="102"/>
      <c r="V433" s="102"/>
      <c r="W433" s="102"/>
      <c r="X433" s="102"/>
      <c r="Y433" s="102"/>
      <c r="Z433" s="102"/>
      <c r="AA433" s="102"/>
      <c r="AB433" s="102"/>
      <c r="AC433" s="102"/>
      <c r="AD433" s="102"/>
      <c r="AE433" s="102"/>
      <c r="AF433" s="102"/>
      <c r="AG433" s="102"/>
      <c r="AH433" s="102"/>
      <c r="AI433" s="102"/>
      <c r="AJ433" s="102"/>
      <c r="AK433" s="102"/>
      <c r="AL433" s="102"/>
      <c r="AM433" s="102"/>
      <c r="AN433" s="102"/>
      <c r="AO433" s="400"/>
      <c r="AP433" s="90"/>
      <c r="AQ433" s="90"/>
      <c r="AR433" s="90"/>
      <c r="AS433" s="90"/>
      <c r="AT433" s="90"/>
      <c r="AU433" s="90"/>
      <c r="AV433" s="90"/>
      <c r="AW433" s="90"/>
      <c r="AX433" s="90"/>
      <c r="AY433" s="90"/>
      <c r="AZ433" s="90"/>
      <c r="BA433" s="90"/>
      <c r="BB433" s="90"/>
      <c r="BC433" s="90"/>
      <c r="BD433" s="90"/>
      <c r="BE433" s="90"/>
      <c r="BF433" s="90"/>
      <c r="BG433" s="90"/>
      <c r="BH433" s="90"/>
      <c r="BI433" s="90"/>
    </row>
    <row r="434" ht="12.75" customHeight="1">
      <c r="A434" s="90"/>
      <c r="B434" s="90"/>
      <c r="C434" s="400"/>
      <c r="D434" s="90"/>
      <c r="E434" s="102"/>
      <c r="F434" s="90"/>
      <c r="G434" s="90"/>
      <c r="H434" s="102"/>
      <c r="I434" s="102"/>
      <c r="J434" s="102"/>
      <c r="K434" s="102"/>
      <c r="L434" s="102"/>
      <c r="M434" s="102"/>
      <c r="N434" s="102"/>
      <c r="O434" s="102"/>
      <c r="P434" s="102"/>
      <c r="Q434" s="102"/>
      <c r="R434" s="102"/>
      <c r="S434" s="102"/>
      <c r="T434" s="102"/>
      <c r="U434" s="102"/>
      <c r="V434" s="102"/>
      <c r="W434" s="102"/>
      <c r="X434" s="102"/>
      <c r="Y434" s="102"/>
      <c r="Z434" s="102"/>
      <c r="AA434" s="102"/>
      <c r="AB434" s="102"/>
      <c r="AC434" s="102"/>
      <c r="AD434" s="102"/>
      <c r="AE434" s="102"/>
      <c r="AF434" s="102"/>
      <c r="AG434" s="102"/>
      <c r="AH434" s="102"/>
      <c r="AI434" s="102"/>
      <c r="AJ434" s="102"/>
      <c r="AK434" s="102"/>
      <c r="AL434" s="102"/>
      <c r="AM434" s="102"/>
      <c r="AN434" s="102"/>
      <c r="AO434" s="400"/>
      <c r="AP434" s="90"/>
      <c r="AQ434" s="90"/>
      <c r="AR434" s="90"/>
      <c r="AS434" s="90"/>
      <c r="AT434" s="90"/>
      <c r="AU434" s="90"/>
      <c r="AV434" s="90"/>
      <c r="AW434" s="90"/>
      <c r="AX434" s="90"/>
      <c r="AY434" s="90"/>
      <c r="AZ434" s="90"/>
      <c r="BA434" s="90"/>
      <c r="BB434" s="90"/>
      <c r="BC434" s="90"/>
      <c r="BD434" s="90"/>
      <c r="BE434" s="90"/>
      <c r="BF434" s="90"/>
      <c r="BG434" s="90"/>
      <c r="BH434" s="90"/>
      <c r="BI434" s="90"/>
    </row>
    <row r="435" ht="12.75" customHeight="1">
      <c r="A435" s="90"/>
      <c r="B435" s="90"/>
      <c r="C435" s="400"/>
      <c r="D435" s="90"/>
      <c r="E435" s="102"/>
      <c r="F435" s="90"/>
      <c r="G435" s="90"/>
      <c r="H435" s="102"/>
      <c r="I435" s="102"/>
      <c r="J435" s="102"/>
      <c r="K435" s="102"/>
      <c r="L435" s="102"/>
      <c r="M435" s="102"/>
      <c r="N435" s="102"/>
      <c r="O435" s="102"/>
      <c r="P435" s="102"/>
      <c r="Q435" s="102"/>
      <c r="R435" s="102"/>
      <c r="S435" s="102"/>
      <c r="T435" s="102"/>
      <c r="U435" s="102"/>
      <c r="V435" s="102"/>
      <c r="W435" s="102"/>
      <c r="X435" s="102"/>
      <c r="Y435" s="102"/>
      <c r="Z435" s="102"/>
      <c r="AA435" s="102"/>
      <c r="AB435" s="102"/>
      <c r="AC435" s="102"/>
      <c r="AD435" s="102"/>
      <c r="AE435" s="102"/>
      <c r="AF435" s="102"/>
      <c r="AG435" s="102"/>
      <c r="AH435" s="102"/>
      <c r="AI435" s="102"/>
      <c r="AJ435" s="102"/>
      <c r="AK435" s="102"/>
      <c r="AL435" s="102"/>
      <c r="AM435" s="102"/>
      <c r="AN435" s="102"/>
      <c r="AO435" s="400"/>
      <c r="AP435" s="90"/>
      <c r="AQ435" s="90"/>
      <c r="AR435" s="90"/>
      <c r="AS435" s="90"/>
      <c r="AT435" s="90"/>
      <c r="AU435" s="90"/>
      <c r="AV435" s="90"/>
      <c r="AW435" s="90"/>
      <c r="AX435" s="90"/>
      <c r="AY435" s="90"/>
      <c r="AZ435" s="90"/>
      <c r="BA435" s="90"/>
      <c r="BB435" s="90"/>
      <c r="BC435" s="90"/>
      <c r="BD435" s="90"/>
      <c r="BE435" s="90"/>
      <c r="BF435" s="90"/>
      <c r="BG435" s="90"/>
      <c r="BH435" s="90"/>
      <c r="BI435" s="90"/>
    </row>
    <row r="436" ht="12.75" customHeight="1">
      <c r="A436" s="90"/>
      <c r="B436" s="90"/>
      <c r="C436" s="400"/>
      <c r="D436" s="90"/>
      <c r="E436" s="102"/>
      <c r="F436" s="90"/>
      <c r="G436" s="90"/>
      <c r="H436" s="102"/>
      <c r="I436" s="102"/>
      <c r="J436" s="102"/>
      <c r="K436" s="102"/>
      <c r="L436" s="102"/>
      <c r="M436" s="102"/>
      <c r="N436" s="102"/>
      <c r="O436" s="102"/>
      <c r="P436" s="102"/>
      <c r="Q436" s="102"/>
      <c r="R436" s="102"/>
      <c r="S436" s="102"/>
      <c r="T436" s="102"/>
      <c r="U436" s="102"/>
      <c r="V436" s="102"/>
      <c r="W436" s="102"/>
      <c r="X436" s="102"/>
      <c r="Y436" s="102"/>
      <c r="Z436" s="102"/>
      <c r="AA436" s="102"/>
      <c r="AB436" s="102"/>
      <c r="AC436" s="102"/>
      <c r="AD436" s="102"/>
      <c r="AE436" s="102"/>
      <c r="AF436" s="102"/>
      <c r="AG436" s="102"/>
      <c r="AH436" s="102"/>
      <c r="AI436" s="102"/>
      <c r="AJ436" s="102"/>
      <c r="AK436" s="102"/>
      <c r="AL436" s="102"/>
      <c r="AM436" s="102"/>
      <c r="AN436" s="102"/>
      <c r="AO436" s="400"/>
      <c r="AP436" s="90"/>
      <c r="AQ436" s="90"/>
      <c r="AR436" s="90"/>
      <c r="AS436" s="90"/>
      <c r="AT436" s="90"/>
      <c r="AU436" s="90"/>
      <c r="AV436" s="90"/>
      <c r="AW436" s="90"/>
      <c r="AX436" s="90"/>
      <c r="AY436" s="90"/>
      <c r="AZ436" s="90"/>
      <c r="BA436" s="90"/>
      <c r="BB436" s="90"/>
      <c r="BC436" s="90"/>
      <c r="BD436" s="90"/>
      <c r="BE436" s="90"/>
      <c r="BF436" s="90"/>
      <c r="BG436" s="90"/>
      <c r="BH436" s="90"/>
      <c r="BI436" s="90"/>
    </row>
    <row r="437" ht="12.75" customHeight="1">
      <c r="A437" s="90"/>
      <c r="B437" s="90"/>
      <c r="C437" s="400"/>
      <c r="D437" s="90"/>
      <c r="E437" s="102"/>
      <c r="F437" s="90"/>
      <c r="G437" s="90"/>
      <c r="H437" s="102"/>
      <c r="I437" s="102"/>
      <c r="J437" s="102"/>
      <c r="K437" s="102"/>
      <c r="L437" s="102"/>
      <c r="M437" s="102"/>
      <c r="N437" s="102"/>
      <c r="O437" s="102"/>
      <c r="P437" s="102"/>
      <c r="Q437" s="102"/>
      <c r="R437" s="102"/>
      <c r="S437" s="102"/>
      <c r="T437" s="102"/>
      <c r="U437" s="102"/>
      <c r="V437" s="102"/>
      <c r="W437" s="102"/>
      <c r="X437" s="102"/>
      <c r="Y437" s="102"/>
      <c r="Z437" s="102"/>
      <c r="AA437" s="102"/>
      <c r="AB437" s="102"/>
      <c r="AC437" s="102"/>
      <c r="AD437" s="102"/>
      <c r="AE437" s="102"/>
      <c r="AF437" s="102"/>
      <c r="AG437" s="102"/>
      <c r="AH437" s="102"/>
      <c r="AI437" s="102"/>
      <c r="AJ437" s="102"/>
      <c r="AK437" s="102"/>
      <c r="AL437" s="102"/>
      <c r="AM437" s="102"/>
      <c r="AN437" s="102"/>
      <c r="AO437" s="400"/>
      <c r="AP437" s="90"/>
      <c r="AQ437" s="90"/>
      <c r="AR437" s="90"/>
      <c r="AS437" s="90"/>
      <c r="AT437" s="90"/>
      <c r="AU437" s="90"/>
      <c r="AV437" s="90"/>
      <c r="AW437" s="90"/>
      <c r="AX437" s="90"/>
      <c r="AY437" s="90"/>
      <c r="AZ437" s="90"/>
      <c r="BA437" s="90"/>
      <c r="BB437" s="90"/>
      <c r="BC437" s="90"/>
      <c r="BD437" s="90"/>
      <c r="BE437" s="90"/>
      <c r="BF437" s="90"/>
      <c r="BG437" s="90"/>
      <c r="BH437" s="90"/>
      <c r="BI437" s="90"/>
    </row>
    <row r="438" ht="12.75" customHeight="1">
      <c r="A438" s="90"/>
      <c r="B438" s="90"/>
      <c r="C438" s="400"/>
      <c r="D438" s="90"/>
      <c r="E438" s="102"/>
      <c r="F438" s="90"/>
      <c r="G438" s="90"/>
      <c r="H438" s="102"/>
      <c r="I438" s="102"/>
      <c r="J438" s="102"/>
      <c r="K438" s="102"/>
      <c r="L438" s="102"/>
      <c r="M438" s="102"/>
      <c r="N438" s="102"/>
      <c r="O438" s="102"/>
      <c r="P438" s="102"/>
      <c r="Q438" s="102"/>
      <c r="R438" s="102"/>
      <c r="S438" s="102"/>
      <c r="T438" s="102"/>
      <c r="U438" s="102"/>
      <c r="V438" s="102"/>
      <c r="W438" s="102"/>
      <c r="X438" s="102"/>
      <c r="Y438" s="102"/>
      <c r="Z438" s="102"/>
      <c r="AA438" s="102"/>
      <c r="AB438" s="102"/>
      <c r="AC438" s="102"/>
      <c r="AD438" s="102"/>
      <c r="AE438" s="102"/>
      <c r="AF438" s="102"/>
      <c r="AG438" s="102"/>
      <c r="AH438" s="102"/>
      <c r="AI438" s="102"/>
      <c r="AJ438" s="102"/>
      <c r="AK438" s="102"/>
      <c r="AL438" s="102"/>
      <c r="AM438" s="102"/>
      <c r="AN438" s="102"/>
      <c r="AO438" s="400"/>
      <c r="AP438" s="90"/>
      <c r="AQ438" s="90"/>
      <c r="AR438" s="90"/>
      <c r="AS438" s="90"/>
      <c r="AT438" s="90"/>
      <c r="AU438" s="90"/>
      <c r="AV438" s="90"/>
      <c r="AW438" s="90"/>
      <c r="AX438" s="90"/>
      <c r="AY438" s="90"/>
      <c r="AZ438" s="90"/>
      <c r="BA438" s="90"/>
      <c r="BB438" s="90"/>
      <c r="BC438" s="90"/>
      <c r="BD438" s="90"/>
      <c r="BE438" s="90"/>
      <c r="BF438" s="90"/>
      <c r="BG438" s="90"/>
      <c r="BH438" s="90"/>
      <c r="BI438" s="90"/>
    </row>
    <row r="439" ht="12.75" customHeight="1">
      <c r="A439" s="90"/>
      <c r="B439" s="90"/>
      <c r="C439" s="400"/>
      <c r="D439" s="90"/>
      <c r="E439" s="102"/>
      <c r="F439" s="90"/>
      <c r="G439" s="90"/>
      <c r="H439" s="102"/>
      <c r="I439" s="102"/>
      <c r="J439" s="102"/>
      <c r="K439" s="102"/>
      <c r="L439" s="102"/>
      <c r="M439" s="102"/>
      <c r="N439" s="102"/>
      <c r="O439" s="102"/>
      <c r="P439" s="102"/>
      <c r="Q439" s="102"/>
      <c r="R439" s="102"/>
      <c r="S439" s="102"/>
      <c r="T439" s="102"/>
      <c r="U439" s="102"/>
      <c r="V439" s="102"/>
      <c r="W439" s="102"/>
      <c r="X439" s="102"/>
      <c r="Y439" s="102"/>
      <c r="Z439" s="102"/>
      <c r="AA439" s="102"/>
      <c r="AB439" s="102"/>
      <c r="AC439" s="102"/>
      <c r="AD439" s="102"/>
      <c r="AE439" s="102"/>
      <c r="AF439" s="102"/>
      <c r="AG439" s="102"/>
      <c r="AH439" s="102"/>
      <c r="AI439" s="102"/>
      <c r="AJ439" s="102"/>
      <c r="AK439" s="102"/>
      <c r="AL439" s="102"/>
      <c r="AM439" s="102"/>
      <c r="AN439" s="102"/>
      <c r="AO439" s="400"/>
      <c r="AP439" s="90"/>
      <c r="AQ439" s="90"/>
      <c r="AR439" s="90"/>
      <c r="AS439" s="90"/>
      <c r="AT439" s="90"/>
      <c r="AU439" s="90"/>
      <c r="AV439" s="90"/>
      <c r="AW439" s="90"/>
      <c r="AX439" s="90"/>
      <c r="AY439" s="90"/>
      <c r="AZ439" s="90"/>
      <c r="BA439" s="90"/>
      <c r="BB439" s="90"/>
      <c r="BC439" s="90"/>
      <c r="BD439" s="90"/>
      <c r="BE439" s="90"/>
      <c r="BF439" s="90"/>
      <c r="BG439" s="90"/>
      <c r="BH439" s="90"/>
      <c r="BI439" s="90"/>
    </row>
    <row r="440" ht="12.75" customHeight="1">
      <c r="A440" s="90"/>
      <c r="B440" s="90"/>
      <c r="C440" s="400"/>
      <c r="D440" s="90"/>
      <c r="E440" s="102"/>
      <c r="F440" s="90"/>
      <c r="G440" s="90"/>
      <c r="H440" s="102"/>
      <c r="I440" s="102"/>
      <c r="J440" s="102"/>
      <c r="K440" s="102"/>
      <c r="L440" s="102"/>
      <c r="M440" s="102"/>
      <c r="N440" s="102"/>
      <c r="O440" s="102"/>
      <c r="P440" s="102"/>
      <c r="Q440" s="102"/>
      <c r="R440" s="102"/>
      <c r="S440" s="102"/>
      <c r="T440" s="102"/>
      <c r="U440" s="102"/>
      <c r="V440" s="102"/>
      <c r="W440" s="102"/>
      <c r="X440" s="102"/>
      <c r="Y440" s="102"/>
      <c r="Z440" s="102"/>
      <c r="AA440" s="102"/>
      <c r="AB440" s="102"/>
      <c r="AC440" s="102"/>
      <c r="AD440" s="102"/>
      <c r="AE440" s="102"/>
      <c r="AF440" s="102"/>
      <c r="AG440" s="102"/>
      <c r="AH440" s="102"/>
      <c r="AI440" s="102"/>
      <c r="AJ440" s="102"/>
      <c r="AK440" s="102"/>
      <c r="AL440" s="102"/>
      <c r="AM440" s="102"/>
      <c r="AN440" s="102"/>
      <c r="AO440" s="400"/>
      <c r="AP440" s="90"/>
      <c r="AQ440" s="90"/>
      <c r="AR440" s="90"/>
      <c r="AS440" s="90"/>
      <c r="AT440" s="90"/>
      <c r="AU440" s="90"/>
      <c r="AV440" s="90"/>
      <c r="AW440" s="90"/>
      <c r="AX440" s="90"/>
      <c r="AY440" s="90"/>
      <c r="AZ440" s="90"/>
      <c r="BA440" s="90"/>
      <c r="BB440" s="90"/>
      <c r="BC440" s="90"/>
      <c r="BD440" s="90"/>
      <c r="BE440" s="90"/>
      <c r="BF440" s="90"/>
      <c r="BG440" s="90"/>
      <c r="BH440" s="90"/>
      <c r="BI440" s="90"/>
    </row>
    <row r="441" ht="12.75" customHeight="1">
      <c r="A441" s="90"/>
      <c r="B441" s="90"/>
      <c r="C441" s="400"/>
      <c r="D441" s="90"/>
      <c r="E441" s="102"/>
      <c r="F441" s="90"/>
      <c r="G441" s="90"/>
      <c r="H441" s="102"/>
      <c r="I441" s="102"/>
      <c r="J441" s="102"/>
      <c r="K441" s="102"/>
      <c r="L441" s="102"/>
      <c r="M441" s="102"/>
      <c r="N441" s="102"/>
      <c r="O441" s="102"/>
      <c r="P441" s="102"/>
      <c r="Q441" s="102"/>
      <c r="R441" s="102"/>
      <c r="S441" s="102"/>
      <c r="T441" s="102"/>
      <c r="U441" s="102"/>
      <c r="V441" s="102"/>
      <c r="W441" s="102"/>
      <c r="X441" s="102"/>
      <c r="Y441" s="102"/>
      <c r="Z441" s="102"/>
      <c r="AA441" s="102"/>
      <c r="AB441" s="102"/>
      <c r="AC441" s="102"/>
      <c r="AD441" s="102"/>
      <c r="AE441" s="102"/>
      <c r="AF441" s="102"/>
      <c r="AG441" s="102"/>
      <c r="AH441" s="102"/>
      <c r="AI441" s="102"/>
      <c r="AJ441" s="102"/>
      <c r="AK441" s="102"/>
      <c r="AL441" s="102"/>
      <c r="AM441" s="102"/>
      <c r="AN441" s="102"/>
      <c r="AO441" s="400"/>
      <c r="AP441" s="90"/>
      <c r="AQ441" s="90"/>
      <c r="AR441" s="90"/>
      <c r="AS441" s="90"/>
      <c r="AT441" s="90"/>
      <c r="AU441" s="90"/>
      <c r="AV441" s="90"/>
      <c r="AW441" s="90"/>
      <c r="AX441" s="90"/>
      <c r="AY441" s="90"/>
      <c r="AZ441" s="90"/>
      <c r="BA441" s="90"/>
      <c r="BB441" s="90"/>
      <c r="BC441" s="90"/>
      <c r="BD441" s="90"/>
      <c r="BE441" s="90"/>
      <c r="BF441" s="90"/>
      <c r="BG441" s="90"/>
      <c r="BH441" s="90"/>
      <c r="BI441" s="90"/>
    </row>
    <row r="442" ht="12.75" customHeight="1">
      <c r="A442" s="90"/>
      <c r="B442" s="90"/>
      <c r="C442" s="400"/>
      <c r="D442" s="90"/>
      <c r="E442" s="102"/>
      <c r="F442" s="90"/>
      <c r="G442" s="90"/>
      <c r="H442" s="102"/>
      <c r="I442" s="102"/>
      <c r="J442" s="102"/>
      <c r="K442" s="102"/>
      <c r="L442" s="102"/>
      <c r="M442" s="102"/>
      <c r="N442" s="102"/>
      <c r="O442" s="102"/>
      <c r="P442" s="102"/>
      <c r="Q442" s="102"/>
      <c r="R442" s="102"/>
      <c r="S442" s="102"/>
      <c r="T442" s="102"/>
      <c r="U442" s="102"/>
      <c r="V442" s="102"/>
      <c r="W442" s="102"/>
      <c r="X442" s="102"/>
      <c r="Y442" s="102"/>
      <c r="Z442" s="102"/>
      <c r="AA442" s="102"/>
      <c r="AB442" s="102"/>
      <c r="AC442" s="102"/>
      <c r="AD442" s="102"/>
      <c r="AE442" s="102"/>
      <c r="AF442" s="102"/>
      <c r="AG442" s="102"/>
      <c r="AH442" s="102"/>
      <c r="AI442" s="102"/>
      <c r="AJ442" s="102"/>
      <c r="AK442" s="102"/>
      <c r="AL442" s="102"/>
      <c r="AM442" s="102"/>
      <c r="AN442" s="102"/>
      <c r="AO442" s="400"/>
      <c r="AP442" s="90"/>
      <c r="AQ442" s="90"/>
      <c r="AR442" s="90"/>
      <c r="AS442" s="90"/>
      <c r="AT442" s="90"/>
      <c r="AU442" s="90"/>
      <c r="AV442" s="90"/>
      <c r="AW442" s="90"/>
      <c r="AX442" s="90"/>
      <c r="AY442" s="90"/>
      <c r="AZ442" s="90"/>
      <c r="BA442" s="90"/>
      <c r="BB442" s="90"/>
      <c r="BC442" s="90"/>
      <c r="BD442" s="90"/>
      <c r="BE442" s="90"/>
      <c r="BF442" s="90"/>
      <c r="BG442" s="90"/>
      <c r="BH442" s="90"/>
      <c r="BI442" s="90"/>
    </row>
    <row r="443" ht="12.75" customHeight="1">
      <c r="A443" s="90"/>
      <c r="B443" s="90"/>
      <c r="C443" s="400"/>
      <c r="D443" s="90"/>
      <c r="E443" s="102"/>
      <c r="F443" s="90"/>
      <c r="G443" s="90"/>
      <c r="H443" s="102"/>
      <c r="I443" s="102"/>
      <c r="J443" s="102"/>
      <c r="K443" s="102"/>
      <c r="L443" s="102"/>
      <c r="M443" s="102"/>
      <c r="N443" s="102"/>
      <c r="O443" s="102"/>
      <c r="P443" s="102"/>
      <c r="Q443" s="102"/>
      <c r="R443" s="102"/>
      <c r="S443" s="102"/>
      <c r="T443" s="102"/>
      <c r="U443" s="102"/>
      <c r="V443" s="102"/>
      <c r="W443" s="102"/>
      <c r="X443" s="102"/>
      <c r="Y443" s="102"/>
      <c r="Z443" s="102"/>
      <c r="AA443" s="102"/>
      <c r="AB443" s="102"/>
      <c r="AC443" s="102"/>
      <c r="AD443" s="102"/>
      <c r="AE443" s="102"/>
      <c r="AF443" s="102"/>
      <c r="AG443" s="102"/>
      <c r="AH443" s="102"/>
      <c r="AI443" s="102"/>
      <c r="AJ443" s="102"/>
      <c r="AK443" s="102"/>
      <c r="AL443" s="102"/>
      <c r="AM443" s="102"/>
      <c r="AN443" s="102"/>
      <c r="AO443" s="400"/>
      <c r="AP443" s="90"/>
      <c r="AQ443" s="90"/>
      <c r="AR443" s="90"/>
      <c r="AS443" s="90"/>
      <c r="AT443" s="90"/>
      <c r="AU443" s="90"/>
      <c r="AV443" s="90"/>
      <c r="AW443" s="90"/>
      <c r="AX443" s="90"/>
      <c r="AY443" s="90"/>
      <c r="AZ443" s="90"/>
      <c r="BA443" s="90"/>
      <c r="BB443" s="90"/>
      <c r="BC443" s="90"/>
      <c r="BD443" s="90"/>
      <c r="BE443" s="90"/>
      <c r="BF443" s="90"/>
      <c r="BG443" s="90"/>
      <c r="BH443" s="90"/>
      <c r="BI443" s="90"/>
    </row>
    <row r="444" ht="12.75" customHeight="1">
      <c r="A444" s="90"/>
      <c r="B444" s="90"/>
      <c r="C444" s="400"/>
      <c r="D444" s="90"/>
      <c r="E444" s="102"/>
      <c r="F444" s="90"/>
      <c r="G444" s="90"/>
      <c r="H444" s="102"/>
      <c r="I444" s="102"/>
      <c r="J444" s="102"/>
      <c r="K444" s="102"/>
      <c r="L444" s="102"/>
      <c r="M444" s="102"/>
      <c r="N444" s="102"/>
      <c r="O444" s="102"/>
      <c r="P444" s="102"/>
      <c r="Q444" s="102"/>
      <c r="R444" s="102"/>
      <c r="S444" s="102"/>
      <c r="T444" s="102"/>
      <c r="U444" s="102"/>
      <c r="V444" s="102"/>
      <c r="W444" s="102"/>
      <c r="X444" s="102"/>
      <c r="Y444" s="102"/>
      <c r="Z444" s="102"/>
      <c r="AA444" s="102"/>
      <c r="AB444" s="102"/>
      <c r="AC444" s="102"/>
      <c r="AD444" s="102"/>
      <c r="AE444" s="102"/>
      <c r="AF444" s="102"/>
      <c r="AG444" s="102"/>
      <c r="AH444" s="102"/>
      <c r="AI444" s="102"/>
      <c r="AJ444" s="102"/>
      <c r="AK444" s="102"/>
      <c r="AL444" s="102"/>
      <c r="AM444" s="102"/>
      <c r="AN444" s="102"/>
      <c r="AO444" s="400"/>
      <c r="AP444" s="90"/>
      <c r="AQ444" s="90"/>
      <c r="AR444" s="90"/>
      <c r="AS444" s="90"/>
      <c r="AT444" s="90"/>
      <c r="AU444" s="90"/>
      <c r="AV444" s="90"/>
      <c r="AW444" s="90"/>
      <c r="AX444" s="90"/>
      <c r="AY444" s="90"/>
      <c r="AZ444" s="90"/>
      <c r="BA444" s="90"/>
      <c r="BB444" s="90"/>
      <c r="BC444" s="90"/>
      <c r="BD444" s="90"/>
      <c r="BE444" s="90"/>
      <c r="BF444" s="90"/>
      <c r="BG444" s="90"/>
      <c r="BH444" s="90"/>
      <c r="BI444" s="90"/>
    </row>
    <row r="445" ht="12.75" customHeight="1">
      <c r="A445" s="90"/>
      <c r="B445" s="90"/>
      <c r="C445" s="400"/>
      <c r="D445" s="90"/>
      <c r="E445" s="102"/>
      <c r="F445" s="90"/>
      <c r="G445" s="90"/>
      <c r="H445" s="102"/>
      <c r="I445" s="102"/>
      <c r="J445" s="102"/>
      <c r="K445" s="102"/>
      <c r="L445" s="102"/>
      <c r="M445" s="102"/>
      <c r="N445" s="102"/>
      <c r="O445" s="102"/>
      <c r="P445" s="102"/>
      <c r="Q445" s="102"/>
      <c r="R445" s="102"/>
      <c r="S445" s="102"/>
      <c r="T445" s="102"/>
      <c r="U445" s="102"/>
      <c r="V445" s="102"/>
      <c r="W445" s="102"/>
      <c r="X445" s="102"/>
      <c r="Y445" s="102"/>
      <c r="Z445" s="102"/>
      <c r="AA445" s="102"/>
      <c r="AB445" s="102"/>
      <c r="AC445" s="102"/>
      <c r="AD445" s="102"/>
      <c r="AE445" s="102"/>
      <c r="AF445" s="102"/>
      <c r="AG445" s="102"/>
      <c r="AH445" s="102"/>
      <c r="AI445" s="102"/>
      <c r="AJ445" s="102"/>
      <c r="AK445" s="102"/>
      <c r="AL445" s="102"/>
      <c r="AM445" s="102"/>
      <c r="AN445" s="102"/>
      <c r="AO445" s="400"/>
      <c r="AP445" s="90"/>
      <c r="AQ445" s="90"/>
      <c r="AR445" s="90"/>
      <c r="AS445" s="90"/>
      <c r="AT445" s="90"/>
      <c r="AU445" s="90"/>
      <c r="AV445" s="90"/>
      <c r="AW445" s="90"/>
      <c r="AX445" s="90"/>
      <c r="AY445" s="90"/>
      <c r="AZ445" s="90"/>
      <c r="BA445" s="90"/>
      <c r="BB445" s="90"/>
      <c r="BC445" s="90"/>
      <c r="BD445" s="90"/>
      <c r="BE445" s="90"/>
      <c r="BF445" s="90"/>
      <c r="BG445" s="90"/>
      <c r="BH445" s="90"/>
      <c r="BI445" s="90"/>
    </row>
    <row r="446" ht="12.75" customHeight="1">
      <c r="A446" s="90"/>
      <c r="B446" s="90"/>
      <c r="C446" s="400"/>
      <c r="D446" s="90"/>
      <c r="E446" s="102"/>
      <c r="F446" s="90"/>
      <c r="G446" s="90"/>
      <c r="H446" s="102"/>
      <c r="I446" s="102"/>
      <c r="J446" s="102"/>
      <c r="K446" s="102"/>
      <c r="L446" s="102"/>
      <c r="M446" s="102"/>
      <c r="N446" s="102"/>
      <c r="O446" s="102"/>
      <c r="P446" s="102"/>
      <c r="Q446" s="102"/>
      <c r="R446" s="102"/>
      <c r="S446" s="102"/>
      <c r="T446" s="102"/>
      <c r="U446" s="102"/>
      <c r="V446" s="102"/>
      <c r="W446" s="102"/>
      <c r="X446" s="102"/>
      <c r="Y446" s="102"/>
      <c r="Z446" s="102"/>
      <c r="AA446" s="102"/>
      <c r="AB446" s="102"/>
      <c r="AC446" s="102"/>
      <c r="AD446" s="102"/>
      <c r="AE446" s="102"/>
      <c r="AF446" s="102"/>
      <c r="AG446" s="102"/>
      <c r="AH446" s="102"/>
      <c r="AI446" s="102"/>
      <c r="AJ446" s="102"/>
      <c r="AK446" s="102"/>
      <c r="AL446" s="102"/>
      <c r="AM446" s="102"/>
      <c r="AN446" s="102"/>
      <c r="AO446" s="400"/>
      <c r="AP446" s="90"/>
      <c r="AQ446" s="90"/>
      <c r="AR446" s="90"/>
      <c r="AS446" s="90"/>
      <c r="AT446" s="90"/>
      <c r="AU446" s="90"/>
      <c r="AV446" s="90"/>
      <c r="AW446" s="90"/>
      <c r="AX446" s="90"/>
      <c r="AY446" s="90"/>
      <c r="AZ446" s="90"/>
      <c r="BA446" s="90"/>
      <c r="BB446" s="90"/>
      <c r="BC446" s="90"/>
      <c r="BD446" s="90"/>
      <c r="BE446" s="90"/>
      <c r="BF446" s="90"/>
      <c r="BG446" s="90"/>
      <c r="BH446" s="90"/>
      <c r="BI446" s="90"/>
    </row>
    <row r="447" ht="12.75" customHeight="1">
      <c r="A447" s="90"/>
      <c r="B447" s="90"/>
      <c r="C447" s="400"/>
      <c r="D447" s="90"/>
      <c r="E447" s="102"/>
      <c r="F447" s="90"/>
      <c r="G447" s="90"/>
      <c r="H447" s="102"/>
      <c r="I447" s="102"/>
      <c r="J447" s="102"/>
      <c r="K447" s="102"/>
      <c r="L447" s="102"/>
      <c r="M447" s="102"/>
      <c r="N447" s="102"/>
      <c r="O447" s="102"/>
      <c r="P447" s="102"/>
      <c r="Q447" s="102"/>
      <c r="R447" s="102"/>
      <c r="S447" s="102"/>
      <c r="T447" s="102"/>
      <c r="U447" s="102"/>
      <c r="V447" s="102"/>
      <c r="W447" s="102"/>
      <c r="X447" s="102"/>
      <c r="Y447" s="102"/>
      <c r="Z447" s="102"/>
      <c r="AA447" s="102"/>
      <c r="AB447" s="102"/>
      <c r="AC447" s="102"/>
      <c r="AD447" s="102"/>
      <c r="AE447" s="102"/>
      <c r="AF447" s="102"/>
      <c r="AG447" s="102"/>
      <c r="AH447" s="102"/>
      <c r="AI447" s="102"/>
      <c r="AJ447" s="102"/>
      <c r="AK447" s="102"/>
      <c r="AL447" s="102"/>
      <c r="AM447" s="102"/>
      <c r="AN447" s="102"/>
      <c r="AO447" s="400"/>
      <c r="AP447" s="90"/>
      <c r="AQ447" s="90"/>
      <c r="AR447" s="90"/>
      <c r="AS447" s="90"/>
      <c r="AT447" s="90"/>
      <c r="AU447" s="90"/>
      <c r="AV447" s="90"/>
      <c r="AW447" s="90"/>
      <c r="AX447" s="90"/>
      <c r="AY447" s="90"/>
      <c r="AZ447" s="90"/>
      <c r="BA447" s="90"/>
      <c r="BB447" s="90"/>
      <c r="BC447" s="90"/>
      <c r="BD447" s="90"/>
      <c r="BE447" s="90"/>
      <c r="BF447" s="90"/>
      <c r="BG447" s="90"/>
      <c r="BH447" s="90"/>
      <c r="BI447" s="90"/>
    </row>
    <row r="448" ht="12.75" customHeight="1">
      <c r="A448" s="90"/>
      <c r="B448" s="90"/>
      <c r="C448" s="400"/>
      <c r="D448" s="90"/>
      <c r="E448" s="102"/>
      <c r="F448" s="90"/>
      <c r="G448" s="90"/>
      <c r="H448" s="102"/>
      <c r="I448" s="102"/>
      <c r="J448" s="102"/>
      <c r="K448" s="102"/>
      <c r="L448" s="102"/>
      <c r="M448" s="102"/>
      <c r="N448" s="102"/>
      <c r="O448" s="102"/>
      <c r="P448" s="102"/>
      <c r="Q448" s="102"/>
      <c r="R448" s="102"/>
      <c r="S448" s="102"/>
      <c r="T448" s="102"/>
      <c r="U448" s="102"/>
      <c r="V448" s="102"/>
      <c r="W448" s="102"/>
      <c r="X448" s="102"/>
      <c r="Y448" s="102"/>
      <c r="Z448" s="102"/>
      <c r="AA448" s="102"/>
      <c r="AB448" s="102"/>
      <c r="AC448" s="102"/>
      <c r="AD448" s="102"/>
      <c r="AE448" s="102"/>
      <c r="AF448" s="102"/>
      <c r="AG448" s="102"/>
      <c r="AH448" s="102"/>
      <c r="AI448" s="102"/>
      <c r="AJ448" s="102"/>
      <c r="AK448" s="102"/>
      <c r="AL448" s="102"/>
      <c r="AM448" s="102"/>
      <c r="AN448" s="102"/>
      <c r="AO448" s="400"/>
      <c r="AP448" s="90"/>
      <c r="AQ448" s="90"/>
      <c r="AR448" s="90"/>
      <c r="AS448" s="90"/>
      <c r="AT448" s="90"/>
      <c r="AU448" s="90"/>
      <c r="AV448" s="90"/>
      <c r="AW448" s="90"/>
      <c r="AX448" s="90"/>
      <c r="AY448" s="90"/>
      <c r="AZ448" s="90"/>
      <c r="BA448" s="90"/>
      <c r="BB448" s="90"/>
      <c r="BC448" s="90"/>
      <c r="BD448" s="90"/>
      <c r="BE448" s="90"/>
      <c r="BF448" s="90"/>
      <c r="BG448" s="90"/>
      <c r="BH448" s="90"/>
      <c r="BI448" s="90"/>
    </row>
    <row r="449" ht="12.75" customHeight="1">
      <c r="A449" s="90"/>
      <c r="B449" s="90"/>
      <c r="C449" s="400"/>
      <c r="D449" s="90"/>
      <c r="E449" s="102"/>
      <c r="F449" s="90"/>
      <c r="G449" s="90"/>
      <c r="H449" s="102"/>
      <c r="I449" s="102"/>
      <c r="J449" s="102"/>
      <c r="K449" s="102"/>
      <c r="L449" s="102"/>
      <c r="M449" s="102"/>
      <c r="N449" s="102"/>
      <c r="O449" s="102"/>
      <c r="P449" s="102"/>
      <c r="Q449" s="102"/>
      <c r="R449" s="102"/>
      <c r="S449" s="102"/>
      <c r="T449" s="102"/>
      <c r="U449" s="102"/>
      <c r="V449" s="102"/>
      <c r="W449" s="102"/>
      <c r="X449" s="102"/>
      <c r="Y449" s="102"/>
      <c r="Z449" s="102"/>
      <c r="AA449" s="102"/>
      <c r="AB449" s="102"/>
      <c r="AC449" s="102"/>
      <c r="AD449" s="102"/>
      <c r="AE449" s="102"/>
      <c r="AF449" s="102"/>
      <c r="AG449" s="102"/>
      <c r="AH449" s="102"/>
      <c r="AI449" s="102"/>
      <c r="AJ449" s="102"/>
      <c r="AK449" s="102"/>
      <c r="AL449" s="102"/>
      <c r="AM449" s="102"/>
      <c r="AN449" s="102"/>
      <c r="AO449" s="400"/>
      <c r="AP449" s="90"/>
      <c r="AQ449" s="90"/>
      <c r="AR449" s="90"/>
      <c r="AS449" s="90"/>
      <c r="AT449" s="90"/>
      <c r="AU449" s="90"/>
      <c r="AV449" s="90"/>
      <c r="AW449" s="90"/>
      <c r="AX449" s="90"/>
      <c r="AY449" s="90"/>
      <c r="AZ449" s="90"/>
      <c r="BA449" s="90"/>
      <c r="BB449" s="90"/>
      <c r="BC449" s="90"/>
      <c r="BD449" s="90"/>
      <c r="BE449" s="90"/>
      <c r="BF449" s="90"/>
      <c r="BG449" s="90"/>
      <c r="BH449" s="90"/>
      <c r="BI449" s="90"/>
    </row>
    <row r="450" ht="12.75" customHeight="1">
      <c r="A450" s="90"/>
      <c r="B450" s="90"/>
      <c r="C450" s="400"/>
      <c r="D450" s="90"/>
      <c r="E450" s="102"/>
      <c r="F450" s="90"/>
      <c r="G450" s="90"/>
      <c r="H450" s="102"/>
      <c r="I450" s="102"/>
      <c r="J450" s="102"/>
      <c r="K450" s="102"/>
      <c r="L450" s="102"/>
      <c r="M450" s="102"/>
      <c r="N450" s="102"/>
      <c r="O450" s="102"/>
      <c r="P450" s="102"/>
      <c r="Q450" s="102"/>
      <c r="R450" s="102"/>
      <c r="S450" s="102"/>
      <c r="T450" s="102"/>
      <c r="U450" s="102"/>
      <c r="V450" s="102"/>
      <c r="W450" s="102"/>
      <c r="X450" s="102"/>
      <c r="Y450" s="102"/>
      <c r="Z450" s="102"/>
      <c r="AA450" s="102"/>
      <c r="AB450" s="102"/>
      <c r="AC450" s="102"/>
      <c r="AD450" s="102"/>
      <c r="AE450" s="102"/>
      <c r="AF450" s="102"/>
      <c r="AG450" s="102"/>
      <c r="AH450" s="102"/>
      <c r="AI450" s="102"/>
      <c r="AJ450" s="102"/>
      <c r="AK450" s="102"/>
      <c r="AL450" s="102"/>
      <c r="AM450" s="102"/>
      <c r="AN450" s="102"/>
      <c r="AO450" s="400"/>
      <c r="AP450" s="90"/>
      <c r="AQ450" s="90"/>
      <c r="AR450" s="90"/>
      <c r="AS450" s="90"/>
      <c r="AT450" s="90"/>
      <c r="AU450" s="90"/>
      <c r="AV450" s="90"/>
      <c r="AW450" s="90"/>
      <c r="AX450" s="90"/>
      <c r="AY450" s="90"/>
      <c r="AZ450" s="90"/>
      <c r="BA450" s="90"/>
      <c r="BB450" s="90"/>
      <c r="BC450" s="90"/>
      <c r="BD450" s="90"/>
      <c r="BE450" s="90"/>
      <c r="BF450" s="90"/>
      <c r="BG450" s="90"/>
      <c r="BH450" s="90"/>
      <c r="BI450" s="90"/>
    </row>
    <row r="451" ht="12.75" customHeight="1">
      <c r="A451" s="90"/>
      <c r="B451" s="90"/>
      <c r="C451" s="400"/>
      <c r="D451" s="90"/>
      <c r="E451" s="102"/>
      <c r="F451" s="90"/>
      <c r="G451" s="90"/>
      <c r="H451" s="102"/>
      <c r="I451" s="102"/>
      <c r="J451" s="102"/>
      <c r="K451" s="102"/>
      <c r="L451" s="102"/>
      <c r="M451" s="102"/>
      <c r="N451" s="102"/>
      <c r="O451" s="102"/>
      <c r="P451" s="102"/>
      <c r="Q451" s="102"/>
      <c r="R451" s="102"/>
      <c r="S451" s="102"/>
      <c r="T451" s="102"/>
      <c r="U451" s="102"/>
      <c r="V451" s="102"/>
      <c r="W451" s="102"/>
      <c r="X451" s="102"/>
      <c r="Y451" s="102"/>
      <c r="Z451" s="102"/>
      <c r="AA451" s="102"/>
      <c r="AB451" s="102"/>
      <c r="AC451" s="102"/>
      <c r="AD451" s="102"/>
      <c r="AE451" s="102"/>
      <c r="AF451" s="102"/>
      <c r="AG451" s="102"/>
      <c r="AH451" s="102"/>
      <c r="AI451" s="102"/>
      <c r="AJ451" s="102"/>
      <c r="AK451" s="102"/>
      <c r="AL451" s="102"/>
      <c r="AM451" s="102"/>
      <c r="AN451" s="102"/>
      <c r="AO451" s="400"/>
      <c r="AP451" s="90"/>
      <c r="AQ451" s="90"/>
      <c r="AR451" s="90"/>
      <c r="AS451" s="90"/>
      <c r="AT451" s="90"/>
      <c r="AU451" s="90"/>
      <c r="AV451" s="90"/>
      <c r="AW451" s="90"/>
      <c r="AX451" s="90"/>
      <c r="AY451" s="90"/>
      <c r="AZ451" s="90"/>
      <c r="BA451" s="90"/>
      <c r="BB451" s="90"/>
      <c r="BC451" s="90"/>
      <c r="BD451" s="90"/>
      <c r="BE451" s="90"/>
      <c r="BF451" s="90"/>
      <c r="BG451" s="90"/>
      <c r="BH451" s="90"/>
      <c r="BI451" s="90"/>
    </row>
    <row r="452" ht="12.75" customHeight="1">
      <c r="A452" s="90"/>
      <c r="B452" s="90"/>
      <c r="C452" s="400"/>
      <c r="D452" s="90"/>
      <c r="E452" s="102"/>
      <c r="F452" s="90"/>
      <c r="G452" s="90"/>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c r="AG452" s="102"/>
      <c r="AH452" s="102"/>
      <c r="AI452" s="102"/>
      <c r="AJ452" s="102"/>
      <c r="AK452" s="102"/>
      <c r="AL452" s="102"/>
      <c r="AM452" s="102"/>
      <c r="AN452" s="102"/>
      <c r="AO452" s="400"/>
      <c r="AP452" s="90"/>
      <c r="AQ452" s="90"/>
      <c r="AR452" s="90"/>
      <c r="AS452" s="90"/>
      <c r="AT452" s="90"/>
      <c r="AU452" s="90"/>
      <c r="AV452" s="90"/>
      <c r="AW452" s="90"/>
      <c r="AX452" s="90"/>
      <c r="AY452" s="90"/>
      <c r="AZ452" s="90"/>
      <c r="BA452" s="90"/>
      <c r="BB452" s="90"/>
      <c r="BC452" s="90"/>
      <c r="BD452" s="90"/>
      <c r="BE452" s="90"/>
      <c r="BF452" s="90"/>
      <c r="BG452" s="90"/>
      <c r="BH452" s="90"/>
      <c r="BI452" s="90"/>
    </row>
    <row r="453" ht="12.75" customHeight="1">
      <c r="A453" s="90"/>
      <c r="B453" s="90"/>
      <c r="C453" s="400"/>
      <c r="D453" s="90"/>
      <c r="E453" s="102"/>
      <c r="F453" s="90"/>
      <c r="G453" s="90"/>
      <c r="H453" s="102"/>
      <c r="I453" s="102"/>
      <c r="J453" s="102"/>
      <c r="K453" s="102"/>
      <c r="L453" s="102"/>
      <c r="M453" s="102"/>
      <c r="N453" s="102"/>
      <c r="O453" s="102"/>
      <c r="P453" s="102"/>
      <c r="Q453" s="102"/>
      <c r="R453" s="102"/>
      <c r="S453" s="102"/>
      <c r="T453" s="102"/>
      <c r="U453" s="102"/>
      <c r="V453" s="102"/>
      <c r="W453" s="102"/>
      <c r="X453" s="102"/>
      <c r="Y453" s="102"/>
      <c r="Z453" s="102"/>
      <c r="AA453" s="102"/>
      <c r="AB453" s="102"/>
      <c r="AC453" s="102"/>
      <c r="AD453" s="102"/>
      <c r="AE453" s="102"/>
      <c r="AF453" s="102"/>
      <c r="AG453" s="102"/>
      <c r="AH453" s="102"/>
      <c r="AI453" s="102"/>
      <c r="AJ453" s="102"/>
      <c r="AK453" s="102"/>
      <c r="AL453" s="102"/>
      <c r="AM453" s="102"/>
      <c r="AN453" s="102"/>
      <c r="AO453" s="400"/>
      <c r="AP453" s="90"/>
      <c r="AQ453" s="90"/>
      <c r="AR453" s="90"/>
      <c r="AS453" s="90"/>
      <c r="AT453" s="90"/>
      <c r="AU453" s="90"/>
      <c r="AV453" s="90"/>
      <c r="AW453" s="90"/>
      <c r="AX453" s="90"/>
      <c r="AY453" s="90"/>
      <c r="AZ453" s="90"/>
      <c r="BA453" s="90"/>
      <c r="BB453" s="90"/>
      <c r="BC453" s="90"/>
      <c r="BD453" s="90"/>
      <c r="BE453" s="90"/>
      <c r="BF453" s="90"/>
      <c r="BG453" s="90"/>
      <c r="BH453" s="90"/>
      <c r="BI453" s="90"/>
    </row>
    <row r="454" ht="12.75" customHeight="1">
      <c r="A454" s="90"/>
      <c r="B454" s="90"/>
      <c r="C454" s="400"/>
      <c r="D454" s="90"/>
      <c r="E454" s="102"/>
      <c r="F454" s="90"/>
      <c r="G454" s="90"/>
      <c r="H454" s="102"/>
      <c r="I454" s="102"/>
      <c r="J454" s="102"/>
      <c r="K454" s="102"/>
      <c r="L454" s="102"/>
      <c r="M454" s="102"/>
      <c r="N454" s="102"/>
      <c r="O454" s="102"/>
      <c r="P454" s="102"/>
      <c r="Q454" s="102"/>
      <c r="R454" s="102"/>
      <c r="S454" s="102"/>
      <c r="T454" s="102"/>
      <c r="U454" s="102"/>
      <c r="V454" s="102"/>
      <c r="W454" s="102"/>
      <c r="X454" s="102"/>
      <c r="Y454" s="102"/>
      <c r="Z454" s="102"/>
      <c r="AA454" s="102"/>
      <c r="AB454" s="102"/>
      <c r="AC454" s="102"/>
      <c r="AD454" s="102"/>
      <c r="AE454" s="102"/>
      <c r="AF454" s="102"/>
      <c r="AG454" s="102"/>
      <c r="AH454" s="102"/>
      <c r="AI454" s="102"/>
      <c r="AJ454" s="102"/>
      <c r="AK454" s="102"/>
      <c r="AL454" s="102"/>
      <c r="AM454" s="102"/>
      <c r="AN454" s="102"/>
      <c r="AO454" s="400"/>
      <c r="AP454" s="90"/>
      <c r="AQ454" s="90"/>
      <c r="AR454" s="90"/>
      <c r="AS454" s="90"/>
      <c r="AT454" s="90"/>
      <c r="AU454" s="90"/>
      <c r="AV454" s="90"/>
      <c r="AW454" s="90"/>
      <c r="AX454" s="90"/>
      <c r="AY454" s="90"/>
      <c r="AZ454" s="90"/>
      <c r="BA454" s="90"/>
      <c r="BB454" s="90"/>
      <c r="BC454" s="90"/>
      <c r="BD454" s="90"/>
      <c r="BE454" s="90"/>
      <c r="BF454" s="90"/>
      <c r="BG454" s="90"/>
      <c r="BH454" s="90"/>
      <c r="BI454" s="90"/>
    </row>
    <row r="455" ht="12.75" customHeight="1">
      <c r="A455" s="90"/>
      <c r="B455" s="90"/>
      <c r="C455" s="400"/>
      <c r="D455" s="90"/>
      <c r="E455" s="102"/>
      <c r="F455" s="90"/>
      <c r="G455" s="90"/>
      <c r="H455" s="102"/>
      <c r="I455" s="102"/>
      <c r="J455" s="102"/>
      <c r="K455" s="102"/>
      <c r="L455" s="102"/>
      <c r="M455" s="102"/>
      <c r="N455" s="102"/>
      <c r="O455" s="102"/>
      <c r="P455" s="102"/>
      <c r="Q455" s="102"/>
      <c r="R455" s="102"/>
      <c r="S455" s="102"/>
      <c r="T455" s="102"/>
      <c r="U455" s="102"/>
      <c r="V455" s="102"/>
      <c r="W455" s="102"/>
      <c r="X455" s="102"/>
      <c r="Y455" s="102"/>
      <c r="Z455" s="102"/>
      <c r="AA455" s="102"/>
      <c r="AB455" s="102"/>
      <c r="AC455" s="102"/>
      <c r="AD455" s="102"/>
      <c r="AE455" s="102"/>
      <c r="AF455" s="102"/>
      <c r="AG455" s="102"/>
      <c r="AH455" s="102"/>
      <c r="AI455" s="102"/>
      <c r="AJ455" s="102"/>
      <c r="AK455" s="102"/>
      <c r="AL455" s="102"/>
      <c r="AM455" s="102"/>
      <c r="AN455" s="102"/>
      <c r="AO455" s="400"/>
      <c r="AP455" s="90"/>
      <c r="AQ455" s="90"/>
      <c r="AR455" s="90"/>
      <c r="AS455" s="90"/>
      <c r="AT455" s="90"/>
      <c r="AU455" s="90"/>
      <c r="AV455" s="90"/>
      <c r="AW455" s="90"/>
      <c r="AX455" s="90"/>
      <c r="AY455" s="90"/>
      <c r="AZ455" s="90"/>
      <c r="BA455" s="90"/>
      <c r="BB455" s="90"/>
      <c r="BC455" s="90"/>
      <c r="BD455" s="90"/>
      <c r="BE455" s="90"/>
      <c r="BF455" s="90"/>
      <c r="BG455" s="90"/>
      <c r="BH455" s="90"/>
      <c r="BI455" s="90"/>
    </row>
    <row r="456" ht="12.75" customHeight="1">
      <c r="A456" s="90"/>
      <c r="B456" s="90"/>
      <c r="C456" s="400"/>
      <c r="D456" s="90"/>
      <c r="E456" s="102"/>
      <c r="F456" s="90"/>
      <c r="G456" s="90"/>
      <c r="H456" s="102"/>
      <c r="I456" s="102"/>
      <c r="J456" s="102"/>
      <c r="K456" s="102"/>
      <c r="L456" s="102"/>
      <c r="M456" s="102"/>
      <c r="N456" s="102"/>
      <c r="O456" s="102"/>
      <c r="P456" s="102"/>
      <c r="Q456" s="102"/>
      <c r="R456" s="102"/>
      <c r="S456" s="102"/>
      <c r="T456" s="102"/>
      <c r="U456" s="102"/>
      <c r="V456" s="102"/>
      <c r="W456" s="102"/>
      <c r="X456" s="102"/>
      <c r="Y456" s="102"/>
      <c r="Z456" s="102"/>
      <c r="AA456" s="102"/>
      <c r="AB456" s="102"/>
      <c r="AC456" s="102"/>
      <c r="AD456" s="102"/>
      <c r="AE456" s="102"/>
      <c r="AF456" s="102"/>
      <c r="AG456" s="102"/>
      <c r="AH456" s="102"/>
      <c r="AI456" s="102"/>
      <c r="AJ456" s="102"/>
      <c r="AK456" s="102"/>
      <c r="AL456" s="102"/>
      <c r="AM456" s="102"/>
      <c r="AN456" s="102"/>
      <c r="AO456" s="400"/>
      <c r="AP456" s="90"/>
      <c r="AQ456" s="90"/>
      <c r="AR456" s="90"/>
      <c r="AS456" s="90"/>
      <c r="AT456" s="90"/>
      <c r="AU456" s="90"/>
      <c r="AV456" s="90"/>
      <c r="AW456" s="90"/>
      <c r="AX456" s="90"/>
      <c r="AY456" s="90"/>
      <c r="AZ456" s="90"/>
      <c r="BA456" s="90"/>
      <c r="BB456" s="90"/>
      <c r="BC456" s="90"/>
      <c r="BD456" s="90"/>
      <c r="BE456" s="90"/>
      <c r="BF456" s="90"/>
      <c r="BG456" s="90"/>
      <c r="BH456" s="90"/>
      <c r="BI456" s="90"/>
    </row>
    <row r="457" ht="12.75" customHeight="1">
      <c r="A457" s="90"/>
      <c r="B457" s="90"/>
      <c r="C457" s="400"/>
      <c r="D457" s="90"/>
      <c r="E457" s="102"/>
      <c r="F457" s="90"/>
      <c r="G457" s="90"/>
      <c r="H457" s="102"/>
      <c r="I457" s="102"/>
      <c r="J457" s="102"/>
      <c r="K457" s="102"/>
      <c r="L457" s="102"/>
      <c r="M457" s="102"/>
      <c r="N457" s="102"/>
      <c r="O457" s="102"/>
      <c r="P457" s="102"/>
      <c r="Q457" s="102"/>
      <c r="R457" s="102"/>
      <c r="S457" s="102"/>
      <c r="T457" s="102"/>
      <c r="U457" s="102"/>
      <c r="V457" s="102"/>
      <c r="W457" s="102"/>
      <c r="X457" s="102"/>
      <c r="Y457" s="102"/>
      <c r="Z457" s="102"/>
      <c r="AA457" s="102"/>
      <c r="AB457" s="102"/>
      <c r="AC457" s="102"/>
      <c r="AD457" s="102"/>
      <c r="AE457" s="102"/>
      <c r="AF457" s="102"/>
      <c r="AG457" s="102"/>
      <c r="AH457" s="102"/>
      <c r="AI457" s="102"/>
      <c r="AJ457" s="102"/>
      <c r="AK457" s="102"/>
      <c r="AL457" s="102"/>
      <c r="AM457" s="102"/>
      <c r="AN457" s="102"/>
      <c r="AO457" s="400"/>
      <c r="AP457" s="90"/>
      <c r="AQ457" s="90"/>
      <c r="AR457" s="90"/>
      <c r="AS457" s="90"/>
      <c r="AT457" s="90"/>
      <c r="AU457" s="90"/>
      <c r="AV457" s="90"/>
      <c r="AW457" s="90"/>
      <c r="AX457" s="90"/>
      <c r="AY457" s="90"/>
      <c r="AZ457" s="90"/>
      <c r="BA457" s="90"/>
      <c r="BB457" s="90"/>
      <c r="BC457" s="90"/>
      <c r="BD457" s="90"/>
      <c r="BE457" s="90"/>
      <c r="BF457" s="90"/>
      <c r="BG457" s="90"/>
      <c r="BH457" s="90"/>
      <c r="BI457" s="90"/>
    </row>
    <row r="458" ht="12.75" customHeight="1">
      <c r="A458" s="90"/>
      <c r="B458" s="90"/>
      <c r="C458" s="400"/>
      <c r="D458" s="90"/>
      <c r="E458" s="102"/>
      <c r="F458" s="90"/>
      <c r="G458" s="90"/>
      <c r="H458" s="102"/>
      <c r="I458" s="102"/>
      <c r="J458" s="102"/>
      <c r="K458" s="102"/>
      <c r="L458" s="102"/>
      <c r="M458" s="102"/>
      <c r="N458" s="102"/>
      <c r="O458" s="102"/>
      <c r="P458" s="102"/>
      <c r="Q458" s="102"/>
      <c r="R458" s="102"/>
      <c r="S458" s="102"/>
      <c r="T458" s="102"/>
      <c r="U458" s="102"/>
      <c r="V458" s="102"/>
      <c r="W458" s="102"/>
      <c r="X458" s="102"/>
      <c r="Y458" s="102"/>
      <c r="Z458" s="102"/>
      <c r="AA458" s="102"/>
      <c r="AB458" s="102"/>
      <c r="AC458" s="102"/>
      <c r="AD458" s="102"/>
      <c r="AE458" s="102"/>
      <c r="AF458" s="102"/>
      <c r="AG458" s="102"/>
      <c r="AH458" s="102"/>
      <c r="AI458" s="102"/>
      <c r="AJ458" s="102"/>
      <c r="AK458" s="102"/>
      <c r="AL458" s="102"/>
      <c r="AM458" s="102"/>
      <c r="AN458" s="102"/>
      <c r="AO458" s="400"/>
      <c r="AP458" s="90"/>
      <c r="AQ458" s="90"/>
      <c r="AR458" s="90"/>
      <c r="AS458" s="90"/>
      <c r="AT458" s="90"/>
      <c r="AU458" s="90"/>
      <c r="AV458" s="90"/>
      <c r="AW458" s="90"/>
      <c r="AX458" s="90"/>
      <c r="AY458" s="90"/>
      <c r="AZ458" s="90"/>
      <c r="BA458" s="90"/>
      <c r="BB458" s="90"/>
      <c r="BC458" s="90"/>
      <c r="BD458" s="90"/>
      <c r="BE458" s="90"/>
      <c r="BF458" s="90"/>
      <c r="BG458" s="90"/>
      <c r="BH458" s="90"/>
      <c r="BI458" s="90"/>
    </row>
    <row r="459" ht="12.75" customHeight="1">
      <c r="A459" s="90"/>
      <c r="B459" s="90"/>
      <c r="C459" s="400"/>
      <c r="D459" s="90"/>
      <c r="E459" s="102"/>
      <c r="F459" s="90"/>
      <c r="G459" s="90"/>
      <c r="H459" s="102"/>
      <c r="I459" s="102"/>
      <c r="J459" s="102"/>
      <c r="K459" s="102"/>
      <c r="L459" s="102"/>
      <c r="M459" s="102"/>
      <c r="N459" s="102"/>
      <c r="O459" s="102"/>
      <c r="P459" s="102"/>
      <c r="Q459" s="102"/>
      <c r="R459" s="102"/>
      <c r="S459" s="102"/>
      <c r="T459" s="102"/>
      <c r="U459" s="102"/>
      <c r="V459" s="102"/>
      <c r="W459" s="102"/>
      <c r="X459" s="102"/>
      <c r="Y459" s="102"/>
      <c r="Z459" s="102"/>
      <c r="AA459" s="102"/>
      <c r="AB459" s="102"/>
      <c r="AC459" s="102"/>
      <c r="AD459" s="102"/>
      <c r="AE459" s="102"/>
      <c r="AF459" s="102"/>
      <c r="AG459" s="102"/>
      <c r="AH459" s="102"/>
      <c r="AI459" s="102"/>
      <c r="AJ459" s="102"/>
      <c r="AK459" s="102"/>
      <c r="AL459" s="102"/>
      <c r="AM459" s="102"/>
      <c r="AN459" s="102"/>
      <c r="AO459" s="400"/>
      <c r="AP459" s="90"/>
      <c r="AQ459" s="90"/>
      <c r="AR459" s="90"/>
      <c r="AS459" s="90"/>
      <c r="AT459" s="90"/>
      <c r="AU459" s="90"/>
      <c r="AV459" s="90"/>
      <c r="AW459" s="90"/>
      <c r="AX459" s="90"/>
      <c r="AY459" s="90"/>
      <c r="AZ459" s="90"/>
      <c r="BA459" s="90"/>
      <c r="BB459" s="90"/>
      <c r="BC459" s="90"/>
      <c r="BD459" s="90"/>
      <c r="BE459" s="90"/>
      <c r="BF459" s="90"/>
      <c r="BG459" s="90"/>
      <c r="BH459" s="90"/>
      <c r="BI459" s="90"/>
    </row>
    <row r="460" ht="12.75" customHeight="1">
      <c r="A460" s="90"/>
      <c r="B460" s="90"/>
      <c r="C460" s="400"/>
      <c r="D460" s="90"/>
      <c r="E460" s="102"/>
      <c r="F460" s="90"/>
      <c r="G460" s="90"/>
      <c r="H460" s="102"/>
      <c r="I460" s="102"/>
      <c r="J460" s="102"/>
      <c r="K460" s="102"/>
      <c r="L460" s="102"/>
      <c r="M460" s="102"/>
      <c r="N460" s="102"/>
      <c r="O460" s="102"/>
      <c r="P460" s="102"/>
      <c r="Q460" s="102"/>
      <c r="R460" s="102"/>
      <c r="S460" s="102"/>
      <c r="T460" s="102"/>
      <c r="U460" s="102"/>
      <c r="V460" s="102"/>
      <c r="W460" s="102"/>
      <c r="X460" s="102"/>
      <c r="Y460" s="102"/>
      <c r="Z460" s="102"/>
      <c r="AA460" s="102"/>
      <c r="AB460" s="102"/>
      <c r="AC460" s="102"/>
      <c r="AD460" s="102"/>
      <c r="AE460" s="102"/>
      <c r="AF460" s="102"/>
      <c r="AG460" s="102"/>
      <c r="AH460" s="102"/>
      <c r="AI460" s="102"/>
      <c r="AJ460" s="102"/>
      <c r="AK460" s="102"/>
      <c r="AL460" s="102"/>
      <c r="AM460" s="102"/>
      <c r="AN460" s="102"/>
      <c r="AO460" s="400"/>
      <c r="AP460" s="90"/>
      <c r="AQ460" s="90"/>
      <c r="AR460" s="90"/>
      <c r="AS460" s="90"/>
      <c r="AT460" s="90"/>
      <c r="AU460" s="90"/>
      <c r="AV460" s="90"/>
      <c r="AW460" s="90"/>
      <c r="AX460" s="90"/>
      <c r="AY460" s="90"/>
      <c r="AZ460" s="90"/>
      <c r="BA460" s="90"/>
      <c r="BB460" s="90"/>
      <c r="BC460" s="90"/>
      <c r="BD460" s="90"/>
      <c r="BE460" s="90"/>
      <c r="BF460" s="90"/>
      <c r="BG460" s="90"/>
      <c r="BH460" s="90"/>
      <c r="BI460" s="90"/>
    </row>
    <row r="461" ht="12.75" customHeight="1">
      <c r="A461" s="90"/>
      <c r="B461" s="90"/>
      <c r="C461" s="400"/>
      <c r="D461" s="90"/>
      <c r="E461" s="102"/>
      <c r="F461" s="90"/>
      <c r="G461" s="90"/>
      <c r="H461" s="102"/>
      <c r="I461" s="102"/>
      <c r="J461" s="102"/>
      <c r="K461" s="102"/>
      <c r="L461" s="102"/>
      <c r="M461" s="102"/>
      <c r="N461" s="102"/>
      <c r="O461" s="102"/>
      <c r="P461" s="102"/>
      <c r="Q461" s="102"/>
      <c r="R461" s="102"/>
      <c r="S461" s="102"/>
      <c r="T461" s="102"/>
      <c r="U461" s="102"/>
      <c r="V461" s="102"/>
      <c r="W461" s="102"/>
      <c r="X461" s="102"/>
      <c r="Y461" s="102"/>
      <c r="Z461" s="102"/>
      <c r="AA461" s="102"/>
      <c r="AB461" s="102"/>
      <c r="AC461" s="102"/>
      <c r="AD461" s="102"/>
      <c r="AE461" s="102"/>
      <c r="AF461" s="102"/>
      <c r="AG461" s="102"/>
      <c r="AH461" s="102"/>
      <c r="AI461" s="102"/>
      <c r="AJ461" s="102"/>
      <c r="AK461" s="102"/>
      <c r="AL461" s="102"/>
      <c r="AM461" s="102"/>
      <c r="AN461" s="102"/>
      <c r="AO461" s="400"/>
      <c r="AP461" s="90"/>
      <c r="AQ461" s="90"/>
      <c r="AR461" s="90"/>
      <c r="AS461" s="90"/>
      <c r="AT461" s="90"/>
      <c r="AU461" s="90"/>
      <c r="AV461" s="90"/>
      <c r="AW461" s="90"/>
      <c r="AX461" s="90"/>
      <c r="AY461" s="90"/>
      <c r="AZ461" s="90"/>
      <c r="BA461" s="90"/>
      <c r="BB461" s="90"/>
      <c r="BC461" s="90"/>
      <c r="BD461" s="90"/>
      <c r="BE461" s="90"/>
      <c r="BF461" s="90"/>
      <c r="BG461" s="90"/>
      <c r="BH461" s="90"/>
      <c r="BI461" s="90"/>
    </row>
    <row r="462" ht="12.75" customHeight="1">
      <c r="A462" s="90"/>
      <c r="B462" s="90"/>
      <c r="C462" s="400"/>
      <c r="D462" s="90"/>
      <c r="E462" s="102"/>
      <c r="F462" s="90"/>
      <c r="G462" s="90"/>
      <c r="H462" s="102"/>
      <c r="I462" s="102"/>
      <c r="J462" s="102"/>
      <c r="K462" s="102"/>
      <c r="L462" s="102"/>
      <c r="M462" s="102"/>
      <c r="N462" s="102"/>
      <c r="O462" s="102"/>
      <c r="P462" s="102"/>
      <c r="Q462" s="102"/>
      <c r="R462" s="102"/>
      <c r="S462" s="102"/>
      <c r="T462" s="102"/>
      <c r="U462" s="102"/>
      <c r="V462" s="102"/>
      <c r="W462" s="102"/>
      <c r="X462" s="102"/>
      <c r="Y462" s="102"/>
      <c r="Z462" s="102"/>
      <c r="AA462" s="102"/>
      <c r="AB462" s="102"/>
      <c r="AC462" s="102"/>
      <c r="AD462" s="102"/>
      <c r="AE462" s="102"/>
      <c r="AF462" s="102"/>
      <c r="AG462" s="102"/>
      <c r="AH462" s="102"/>
      <c r="AI462" s="102"/>
      <c r="AJ462" s="102"/>
      <c r="AK462" s="102"/>
      <c r="AL462" s="102"/>
      <c r="AM462" s="102"/>
      <c r="AN462" s="102"/>
      <c r="AO462" s="400"/>
      <c r="AP462" s="90"/>
      <c r="AQ462" s="90"/>
      <c r="AR462" s="90"/>
      <c r="AS462" s="90"/>
      <c r="AT462" s="90"/>
      <c r="AU462" s="90"/>
      <c r="AV462" s="90"/>
      <c r="AW462" s="90"/>
      <c r="AX462" s="90"/>
      <c r="AY462" s="90"/>
      <c r="AZ462" s="90"/>
      <c r="BA462" s="90"/>
      <c r="BB462" s="90"/>
      <c r="BC462" s="90"/>
      <c r="BD462" s="90"/>
      <c r="BE462" s="90"/>
      <c r="BF462" s="90"/>
      <c r="BG462" s="90"/>
      <c r="BH462" s="90"/>
      <c r="BI462" s="90"/>
    </row>
    <row r="463" ht="12.75" customHeight="1">
      <c r="A463" s="90"/>
      <c r="B463" s="90"/>
      <c r="C463" s="400"/>
      <c r="D463" s="90"/>
      <c r="E463" s="102"/>
      <c r="F463" s="90"/>
      <c r="G463" s="90"/>
      <c r="H463" s="102"/>
      <c r="I463" s="102"/>
      <c r="J463" s="102"/>
      <c r="K463" s="102"/>
      <c r="L463" s="102"/>
      <c r="M463" s="102"/>
      <c r="N463" s="102"/>
      <c r="O463" s="102"/>
      <c r="P463" s="102"/>
      <c r="Q463" s="102"/>
      <c r="R463" s="102"/>
      <c r="S463" s="102"/>
      <c r="T463" s="102"/>
      <c r="U463" s="102"/>
      <c r="V463" s="102"/>
      <c r="W463" s="102"/>
      <c r="X463" s="102"/>
      <c r="Y463" s="102"/>
      <c r="Z463" s="102"/>
      <c r="AA463" s="102"/>
      <c r="AB463" s="102"/>
      <c r="AC463" s="102"/>
      <c r="AD463" s="102"/>
      <c r="AE463" s="102"/>
      <c r="AF463" s="102"/>
      <c r="AG463" s="102"/>
      <c r="AH463" s="102"/>
      <c r="AI463" s="102"/>
      <c r="AJ463" s="102"/>
      <c r="AK463" s="102"/>
      <c r="AL463" s="102"/>
      <c r="AM463" s="102"/>
      <c r="AN463" s="102"/>
      <c r="AO463" s="400"/>
      <c r="AP463" s="90"/>
      <c r="AQ463" s="90"/>
      <c r="AR463" s="90"/>
      <c r="AS463" s="90"/>
      <c r="AT463" s="90"/>
      <c r="AU463" s="90"/>
      <c r="AV463" s="90"/>
      <c r="AW463" s="90"/>
      <c r="AX463" s="90"/>
      <c r="AY463" s="90"/>
      <c r="AZ463" s="90"/>
      <c r="BA463" s="90"/>
      <c r="BB463" s="90"/>
      <c r="BC463" s="90"/>
      <c r="BD463" s="90"/>
      <c r="BE463" s="90"/>
      <c r="BF463" s="90"/>
      <c r="BG463" s="90"/>
      <c r="BH463" s="90"/>
      <c r="BI463" s="90"/>
    </row>
    <row r="464" ht="12.75" customHeight="1">
      <c r="A464" s="90"/>
      <c r="B464" s="90"/>
      <c r="C464" s="400"/>
      <c r="D464" s="90"/>
      <c r="E464" s="102"/>
      <c r="F464" s="90"/>
      <c r="G464" s="90"/>
      <c r="H464" s="102"/>
      <c r="I464" s="102"/>
      <c r="J464" s="102"/>
      <c r="K464" s="102"/>
      <c r="L464" s="102"/>
      <c r="M464" s="102"/>
      <c r="N464" s="102"/>
      <c r="O464" s="102"/>
      <c r="P464" s="102"/>
      <c r="Q464" s="102"/>
      <c r="R464" s="102"/>
      <c r="S464" s="102"/>
      <c r="T464" s="102"/>
      <c r="U464" s="102"/>
      <c r="V464" s="102"/>
      <c r="W464" s="102"/>
      <c r="X464" s="102"/>
      <c r="Y464" s="102"/>
      <c r="Z464" s="102"/>
      <c r="AA464" s="102"/>
      <c r="AB464" s="102"/>
      <c r="AC464" s="102"/>
      <c r="AD464" s="102"/>
      <c r="AE464" s="102"/>
      <c r="AF464" s="102"/>
      <c r="AG464" s="102"/>
      <c r="AH464" s="102"/>
      <c r="AI464" s="102"/>
      <c r="AJ464" s="102"/>
      <c r="AK464" s="102"/>
      <c r="AL464" s="102"/>
      <c r="AM464" s="102"/>
      <c r="AN464" s="102"/>
      <c r="AO464" s="400"/>
      <c r="AP464" s="90"/>
      <c r="AQ464" s="90"/>
      <c r="AR464" s="90"/>
      <c r="AS464" s="90"/>
      <c r="AT464" s="90"/>
      <c r="AU464" s="90"/>
      <c r="AV464" s="90"/>
      <c r="AW464" s="90"/>
      <c r="AX464" s="90"/>
      <c r="AY464" s="90"/>
      <c r="AZ464" s="90"/>
      <c r="BA464" s="90"/>
      <c r="BB464" s="90"/>
      <c r="BC464" s="90"/>
      <c r="BD464" s="90"/>
      <c r="BE464" s="90"/>
      <c r="BF464" s="90"/>
      <c r="BG464" s="90"/>
      <c r="BH464" s="90"/>
      <c r="BI464" s="90"/>
    </row>
    <row r="465" ht="12.75" customHeight="1">
      <c r="A465" s="90"/>
      <c r="B465" s="90"/>
      <c r="C465" s="400"/>
      <c r="D465" s="90"/>
      <c r="E465" s="102"/>
      <c r="F465" s="90"/>
      <c r="G465" s="90"/>
      <c r="H465" s="102"/>
      <c r="I465" s="102"/>
      <c r="J465" s="102"/>
      <c r="K465" s="102"/>
      <c r="L465" s="102"/>
      <c r="M465" s="102"/>
      <c r="N465" s="102"/>
      <c r="O465" s="102"/>
      <c r="P465" s="102"/>
      <c r="Q465" s="102"/>
      <c r="R465" s="102"/>
      <c r="S465" s="102"/>
      <c r="T465" s="102"/>
      <c r="U465" s="102"/>
      <c r="V465" s="102"/>
      <c r="W465" s="102"/>
      <c r="X465" s="102"/>
      <c r="Y465" s="102"/>
      <c r="Z465" s="102"/>
      <c r="AA465" s="102"/>
      <c r="AB465" s="102"/>
      <c r="AC465" s="102"/>
      <c r="AD465" s="102"/>
      <c r="AE465" s="102"/>
      <c r="AF465" s="102"/>
      <c r="AG465" s="102"/>
      <c r="AH465" s="102"/>
      <c r="AI465" s="102"/>
      <c r="AJ465" s="102"/>
      <c r="AK465" s="102"/>
      <c r="AL465" s="102"/>
      <c r="AM465" s="102"/>
      <c r="AN465" s="102"/>
      <c r="AO465" s="400"/>
      <c r="AP465" s="90"/>
      <c r="AQ465" s="90"/>
      <c r="AR465" s="90"/>
      <c r="AS465" s="90"/>
      <c r="AT465" s="90"/>
      <c r="AU465" s="90"/>
      <c r="AV465" s="90"/>
      <c r="AW465" s="90"/>
      <c r="AX465" s="90"/>
      <c r="AY465" s="90"/>
      <c r="AZ465" s="90"/>
      <c r="BA465" s="90"/>
      <c r="BB465" s="90"/>
      <c r="BC465" s="90"/>
      <c r="BD465" s="90"/>
      <c r="BE465" s="90"/>
      <c r="BF465" s="90"/>
      <c r="BG465" s="90"/>
      <c r="BH465" s="90"/>
      <c r="BI465" s="90"/>
    </row>
    <row r="466" ht="12.75" customHeight="1">
      <c r="A466" s="90"/>
      <c r="B466" s="90"/>
      <c r="C466" s="400"/>
      <c r="D466" s="90"/>
      <c r="E466" s="102"/>
      <c r="F466" s="90"/>
      <c r="G466" s="90"/>
      <c r="H466" s="102"/>
      <c r="I466" s="102"/>
      <c r="J466" s="102"/>
      <c r="K466" s="102"/>
      <c r="L466" s="102"/>
      <c r="M466" s="102"/>
      <c r="N466" s="102"/>
      <c r="O466" s="102"/>
      <c r="P466" s="102"/>
      <c r="Q466" s="102"/>
      <c r="R466" s="102"/>
      <c r="S466" s="102"/>
      <c r="T466" s="102"/>
      <c r="U466" s="102"/>
      <c r="V466" s="102"/>
      <c r="W466" s="102"/>
      <c r="X466" s="102"/>
      <c r="Y466" s="102"/>
      <c r="Z466" s="102"/>
      <c r="AA466" s="102"/>
      <c r="AB466" s="102"/>
      <c r="AC466" s="102"/>
      <c r="AD466" s="102"/>
      <c r="AE466" s="102"/>
      <c r="AF466" s="102"/>
      <c r="AG466" s="102"/>
      <c r="AH466" s="102"/>
      <c r="AI466" s="102"/>
      <c r="AJ466" s="102"/>
      <c r="AK466" s="102"/>
      <c r="AL466" s="102"/>
      <c r="AM466" s="102"/>
      <c r="AN466" s="102"/>
      <c r="AO466" s="400"/>
      <c r="AP466" s="90"/>
      <c r="AQ466" s="90"/>
      <c r="AR466" s="90"/>
      <c r="AS466" s="90"/>
      <c r="AT466" s="90"/>
      <c r="AU466" s="90"/>
      <c r="AV466" s="90"/>
      <c r="AW466" s="90"/>
      <c r="AX466" s="90"/>
      <c r="AY466" s="90"/>
      <c r="AZ466" s="90"/>
      <c r="BA466" s="90"/>
      <c r="BB466" s="90"/>
      <c r="BC466" s="90"/>
      <c r="BD466" s="90"/>
      <c r="BE466" s="90"/>
      <c r="BF466" s="90"/>
      <c r="BG466" s="90"/>
      <c r="BH466" s="90"/>
      <c r="BI466" s="90"/>
    </row>
    <row r="467" ht="12.75" customHeight="1">
      <c r="A467" s="90"/>
      <c r="B467" s="90"/>
      <c r="C467" s="400"/>
      <c r="D467" s="90"/>
      <c r="E467" s="102"/>
      <c r="F467" s="90"/>
      <c r="G467" s="90"/>
      <c r="H467" s="102"/>
      <c r="I467" s="102"/>
      <c r="J467" s="102"/>
      <c r="K467" s="102"/>
      <c r="L467" s="102"/>
      <c r="M467" s="102"/>
      <c r="N467" s="102"/>
      <c r="O467" s="102"/>
      <c r="P467" s="102"/>
      <c r="Q467" s="102"/>
      <c r="R467" s="102"/>
      <c r="S467" s="102"/>
      <c r="T467" s="102"/>
      <c r="U467" s="102"/>
      <c r="V467" s="102"/>
      <c r="W467" s="102"/>
      <c r="X467" s="102"/>
      <c r="Y467" s="102"/>
      <c r="Z467" s="102"/>
      <c r="AA467" s="102"/>
      <c r="AB467" s="102"/>
      <c r="AC467" s="102"/>
      <c r="AD467" s="102"/>
      <c r="AE467" s="102"/>
      <c r="AF467" s="102"/>
      <c r="AG467" s="102"/>
      <c r="AH467" s="102"/>
      <c r="AI467" s="102"/>
      <c r="AJ467" s="102"/>
      <c r="AK467" s="102"/>
      <c r="AL467" s="102"/>
      <c r="AM467" s="102"/>
      <c r="AN467" s="102"/>
      <c r="AO467" s="400"/>
      <c r="AP467" s="90"/>
      <c r="AQ467" s="90"/>
      <c r="AR467" s="90"/>
      <c r="AS467" s="90"/>
      <c r="AT467" s="90"/>
      <c r="AU467" s="90"/>
      <c r="AV467" s="90"/>
      <c r="AW467" s="90"/>
      <c r="AX467" s="90"/>
      <c r="AY467" s="90"/>
      <c r="AZ467" s="90"/>
      <c r="BA467" s="90"/>
      <c r="BB467" s="90"/>
      <c r="BC467" s="90"/>
      <c r="BD467" s="90"/>
      <c r="BE467" s="90"/>
      <c r="BF467" s="90"/>
      <c r="BG467" s="90"/>
      <c r="BH467" s="90"/>
      <c r="BI467" s="90"/>
    </row>
    <row r="468" ht="12.75" customHeight="1">
      <c r="A468" s="90"/>
      <c r="B468" s="90"/>
      <c r="C468" s="400"/>
      <c r="D468" s="90"/>
      <c r="E468" s="102"/>
      <c r="F468" s="90"/>
      <c r="G468" s="90"/>
      <c r="H468" s="102"/>
      <c r="I468" s="102"/>
      <c r="J468" s="102"/>
      <c r="K468" s="102"/>
      <c r="L468" s="102"/>
      <c r="M468" s="102"/>
      <c r="N468" s="102"/>
      <c r="O468" s="102"/>
      <c r="P468" s="102"/>
      <c r="Q468" s="102"/>
      <c r="R468" s="102"/>
      <c r="S468" s="102"/>
      <c r="T468" s="102"/>
      <c r="U468" s="102"/>
      <c r="V468" s="102"/>
      <c r="W468" s="102"/>
      <c r="X468" s="102"/>
      <c r="Y468" s="102"/>
      <c r="Z468" s="102"/>
      <c r="AA468" s="102"/>
      <c r="AB468" s="102"/>
      <c r="AC468" s="102"/>
      <c r="AD468" s="102"/>
      <c r="AE468" s="102"/>
      <c r="AF468" s="102"/>
      <c r="AG468" s="102"/>
      <c r="AH468" s="102"/>
      <c r="AI468" s="102"/>
      <c r="AJ468" s="102"/>
      <c r="AK468" s="102"/>
      <c r="AL468" s="102"/>
      <c r="AM468" s="102"/>
      <c r="AN468" s="102"/>
      <c r="AO468" s="400"/>
      <c r="AP468" s="90"/>
      <c r="AQ468" s="90"/>
      <c r="AR468" s="90"/>
      <c r="AS468" s="90"/>
      <c r="AT468" s="90"/>
      <c r="AU468" s="90"/>
      <c r="AV468" s="90"/>
      <c r="AW468" s="90"/>
      <c r="AX468" s="90"/>
      <c r="AY468" s="90"/>
      <c r="AZ468" s="90"/>
      <c r="BA468" s="90"/>
      <c r="BB468" s="90"/>
      <c r="BC468" s="90"/>
      <c r="BD468" s="90"/>
      <c r="BE468" s="90"/>
      <c r="BF468" s="90"/>
      <c r="BG468" s="90"/>
      <c r="BH468" s="90"/>
      <c r="BI468" s="90"/>
    </row>
    <row r="469" ht="12.75" customHeight="1">
      <c r="A469" s="90"/>
      <c r="B469" s="90"/>
      <c r="C469" s="400"/>
      <c r="D469" s="90"/>
      <c r="E469" s="102"/>
      <c r="F469" s="90"/>
      <c r="G469" s="90"/>
      <c r="H469" s="102"/>
      <c r="I469" s="102"/>
      <c r="J469" s="102"/>
      <c r="K469" s="102"/>
      <c r="L469" s="102"/>
      <c r="M469" s="102"/>
      <c r="N469" s="102"/>
      <c r="O469" s="102"/>
      <c r="P469" s="102"/>
      <c r="Q469" s="102"/>
      <c r="R469" s="102"/>
      <c r="S469" s="102"/>
      <c r="T469" s="102"/>
      <c r="U469" s="102"/>
      <c r="V469" s="102"/>
      <c r="W469" s="102"/>
      <c r="X469" s="102"/>
      <c r="Y469" s="102"/>
      <c r="Z469" s="102"/>
      <c r="AA469" s="102"/>
      <c r="AB469" s="102"/>
      <c r="AC469" s="102"/>
      <c r="AD469" s="102"/>
      <c r="AE469" s="102"/>
      <c r="AF469" s="102"/>
      <c r="AG469" s="102"/>
      <c r="AH469" s="102"/>
      <c r="AI469" s="102"/>
      <c r="AJ469" s="102"/>
      <c r="AK469" s="102"/>
      <c r="AL469" s="102"/>
      <c r="AM469" s="102"/>
      <c r="AN469" s="102"/>
      <c r="AO469" s="400"/>
      <c r="AP469" s="90"/>
      <c r="AQ469" s="90"/>
      <c r="AR469" s="90"/>
      <c r="AS469" s="90"/>
      <c r="AT469" s="90"/>
      <c r="AU469" s="90"/>
      <c r="AV469" s="90"/>
      <c r="AW469" s="90"/>
      <c r="AX469" s="90"/>
      <c r="AY469" s="90"/>
      <c r="AZ469" s="90"/>
      <c r="BA469" s="90"/>
      <c r="BB469" s="90"/>
      <c r="BC469" s="90"/>
      <c r="BD469" s="90"/>
      <c r="BE469" s="90"/>
      <c r="BF469" s="90"/>
      <c r="BG469" s="90"/>
      <c r="BH469" s="90"/>
      <c r="BI469" s="90"/>
    </row>
    <row r="470" ht="12.75" customHeight="1">
      <c r="A470" s="90"/>
      <c r="B470" s="90"/>
      <c r="C470" s="400"/>
      <c r="D470" s="90"/>
      <c r="E470" s="102"/>
      <c r="F470" s="90"/>
      <c r="G470" s="90"/>
      <c r="H470" s="102"/>
      <c r="I470" s="102"/>
      <c r="J470" s="102"/>
      <c r="K470" s="102"/>
      <c r="L470" s="102"/>
      <c r="M470" s="102"/>
      <c r="N470" s="102"/>
      <c r="O470" s="102"/>
      <c r="P470" s="102"/>
      <c r="Q470" s="102"/>
      <c r="R470" s="102"/>
      <c r="S470" s="102"/>
      <c r="T470" s="102"/>
      <c r="U470" s="102"/>
      <c r="V470" s="102"/>
      <c r="W470" s="102"/>
      <c r="X470" s="102"/>
      <c r="Y470" s="102"/>
      <c r="Z470" s="102"/>
      <c r="AA470" s="102"/>
      <c r="AB470" s="102"/>
      <c r="AC470" s="102"/>
      <c r="AD470" s="102"/>
      <c r="AE470" s="102"/>
      <c r="AF470" s="102"/>
      <c r="AG470" s="102"/>
      <c r="AH470" s="102"/>
      <c r="AI470" s="102"/>
      <c r="AJ470" s="102"/>
      <c r="AK470" s="102"/>
      <c r="AL470" s="102"/>
      <c r="AM470" s="102"/>
      <c r="AN470" s="102"/>
      <c r="AO470" s="400"/>
      <c r="AP470" s="90"/>
      <c r="AQ470" s="90"/>
      <c r="AR470" s="90"/>
      <c r="AS470" s="90"/>
      <c r="AT470" s="90"/>
      <c r="AU470" s="90"/>
      <c r="AV470" s="90"/>
      <c r="AW470" s="90"/>
      <c r="AX470" s="90"/>
      <c r="AY470" s="90"/>
      <c r="AZ470" s="90"/>
      <c r="BA470" s="90"/>
      <c r="BB470" s="90"/>
      <c r="BC470" s="90"/>
      <c r="BD470" s="90"/>
      <c r="BE470" s="90"/>
      <c r="BF470" s="90"/>
      <c r="BG470" s="90"/>
      <c r="BH470" s="90"/>
      <c r="BI470" s="90"/>
    </row>
    <row r="471" ht="12.75" customHeight="1">
      <c r="A471" s="90"/>
      <c r="B471" s="90"/>
      <c r="C471" s="400"/>
      <c r="D471" s="90"/>
      <c r="E471" s="102"/>
      <c r="F471" s="90"/>
      <c r="G471" s="90"/>
      <c r="H471" s="102"/>
      <c r="I471" s="102"/>
      <c r="J471" s="102"/>
      <c r="K471" s="102"/>
      <c r="L471" s="102"/>
      <c r="M471" s="102"/>
      <c r="N471" s="102"/>
      <c r="O471" s="102"/>
      <c r="P471" s="102"/>
      <c r="Q471" s="102"/>
      <c r="R471" s="102"/>
      <c r="S471" s="102"/>
      <c r="T471" s="102"/>
      <c r="U471" s="102"/>
      <c r="V471" s="102"/>
      <c r="W471" s="102"/>
      <c r="X471" s="102"/>
      <c r="Y471" s="102"/>
      <c r="Z471" s="102"/>
      <c r="AA471" s="102"/>
      <c r="AB471" s="102"/>
      <c r="AC471" s="102"/>
      <c r="AD471" s="102"/>
      <c r="AE471" s="102"/>
      <c r="AF471" s="102"/>
      <c r="AG471" s="102"/>
      <c r="AH471" s="102"/>
      <c r="AI471" s="102"/>
      <c r="AJ471" s="102"/>
      <c r="AK471" s="102"/>
      <c r="AL471" s="102"/>
      <c r="AM471" s="102"/>
      <c r="AN471" s="102"/>
      <c r="AO471" s="400"/>
      <c r="AP471" s="90"/>
      <c r="AQ471" s="90"/>
      <c r="AR471" s="90"/>
      <c r="AS471" s="90"/>
      <c r="AT471" s="90"/>
      <c r="AU471" s="90"/>
      <c r="AV471" s="90"/>
      <c r="AW471" s="90"/>
      <c r="AX471" s="90"/>
      <c r="AY471" s="90"/>
      <c r="AZ471" s="90"/>
      <c r="BA471" s="90"/>
      <c r="BB471" s="90"/>
      <c r="BC471" s="90"/>
      <c r="BD471" s="90"/>
      <c r="BE471" s="90"/>
      <c r="BF471" s="90"/>
      <c r="BG471" s="90"/>
      <c r="BH471" s="90"/>
      <c r="BI471" s="90"/>
    </row>
    <row r="472" ht="12.75" customHeight="1">
      <c r="A472" s="90"/>
      <c r="B472" s="90"/>
      <c r="C472" s="400"/>
      <c r="D472" s="90"/>
      <c r="E472" s="102"/>
      <c r="F472" s="90"/>
      <c r="G472" s="90"/>
      <c r="H472" s="102"/>
      <c r="I472" s="102"/>
      <c r="J472" s="102"/>
      <c r="K472" s="102"/>
      <c r="L472" s="102"/>
      <c r="M472" s="102"/>
      <c r="N472" s="102"/>
      <c r="O472" s="102"/>
      <c r="P472" s="102"/>
      <c r="Q472" s="102"/>
      <c r="R472" s="102"/>
      <c r="S472" s="102"/>
      <c r="T472" s="102"/>
      <c r="U472" s="102"/>
      <c r="V472" s="102"/>
      <c r="W472" s="102"/>
      <c r="X472" s="102"/>
      <c r="Y472" s="102"/>
      <c r="Z472" s="102"/>
      <c r="AA472" s="102"/>
      <c r="AB472" s="102"/>
      <c r="AC472" s="102"/>
      <c r="AD472" s="102"/>
      <c r="AE472" s="102"/>
      <c r="AF472" s="102"/>
      <c r="AG472" s="102"/>
      <c r="AH472" s="102"/>
      <c r="AI472" s="102"/>
      <c r="AJ472" s="102"/>
      <c r="AK472" s="102"/>
      <c r="AL472" s="102"/>
      <c r="AM472" s="102"/>
      <c r="AN472" s="102"/>
      <c r="AO472" s="400"/>
      <c r="AP472" s="90"/>
      <c r="AQ472" s="90"/>
      <c r="AR472" s="90"/>
      <c r="AS472" s="90"/>
      <c r="AT472" s="90"/>
      <c r="AU472" s="90"/>
      <c r="AV472" s="90"/>
      <c r="AW472" s="90"/>
      <c r="AX472" s="90"/>
      <c r="AY472" s="90"/>
      <c r="AZ472" s="90"/>
      <c r="BA472" s="90"/>
      <c r="BB472" s="90"/>
      <c r="BC472" s="90"/>
      <c r="BD472" s="90"/>
      <c r="BE472" s="90"/>
      <c r="BF472" s="90"/>
      <c r="BG472" s="90"/>
      <c r="BH472" s="90"/>
      <c r="BI472" s="90"/>
    </row>
    <row r="473" ht="12.75" customHeight="1">
      <c r="A473" s="90"/>
      <c r="B473" s="90"/>
      <c r="C473" s="400"/>
      <c r="D473" s="90"/>
      <c r="E473" s="102"/>
      <c r="F473" s="90"/>
      <c r="G473" s="90"/>
      <c r="H473" s="102"/>
      <c r="I473" s="102"/>
      <c r="J473" s="102"/>
      <c r="K473" s="102"/>
      <c r="L473" s="102"/>
      <c r="M473" s="102"/>
      <c r="N473" s="102"/>
      <c r="O473" s="102"/>
      <c r="P473" s="102"/>
      <c r="Q473" s="102"/>
      <c r="R473" s="102"/>
      <c r="S473" s="102"/>
      <c r="T473" s="102"/>
      <c r="U473" s="102"/>
      <c r="V473" s="102"/>
      <c r="W473" s="102"/>
      <c r="X473" s="102"/>
      <c r="Y473" s="102"/>
      <c r="Z473" s="102"/>
      <c r="AA473" s="102"/>
      <c r="AB473" s="102"/>
      <c r="AC473" s="102"/>
      <c r="AD473" s="102"/>
      <c r="AE473" s="102"/>
      <c r="AF473" s="102"/>
      <c r="AG473" s="102"/>
      <c r="AH473" s="102"/>
      <c r="AI473" s="102"/>
      <c r="AJ473" s="102"/>
      <c r="AK473" s="102"/>
      <c r="AL473" s="102"/>
      <c r="AM473" s="102"/>
      <c r="AN473" s="102"/>
      <c r="AO473" s="400"/>
      <c r="AP473" s="90"/>
      <c r="AQ473" s="90"/>
      <c r="AR473" s="90"/>
      <c r="AS473" s="90"/>
      <c r="AT473" s="90"/>
      <c r="AU473" s="90"/>
      <c r="AV473" s="90"/>
      <c r="AW473" s="90"/>
      <c r="AX473" s="90"/>
      <c r="AY473" s="90"/>
      <c r="AZ473" s="90"/>
      <c r="BA473" s="90"/>
      <c r="BB473" s="90"/>
      <c r="BC473" s="90"/>
      <c r="BD473" s="90"/>
      <c r="BE473" s="90"/>
      <c r="BF473" s="90"/>
      <c r="BG473" s="90"/>
      <c r="BH473" s="90"/>
      <c r="BI473" s="90"/>
    </row>
    <row r="474" ht="12.75" customHeight="1">
      <c r="A474" s="90"/>
      <c r="B474" s="90"/>
      <c r="C474" s="400"/>
      <c r="D474" s="90"/>
      <c r="E474" s="102"/>
      <c r="F474" s="90"/>
      <c r="G474" s="90"/>
      <c r="H474" s="102"/>
      <c r="I474" s="102"/>
      <c r="J474" s="102"/>
      <c r="K474" s="102"/>
      <c r="L474" s="102"/>
      <c r="M474" s="102"/>
      <c r="N474" s="102"/>
      <c r="O474" s="102"/>
      <c r="P474" s="102"/>
      <c r="Q474" s="102"/>
      <c r="R474" s="102"/>
      <c r="S474" s="102"/>
      <c r="T474" s="102"/>
      <c r="U474" s="102"/>
      <c r="V474" s="102"/>
      <c r="W474" s="102"/>
      <c r="X474" s="102"/>
      <c r="Y474" s="102"/>
      <c r="Z474" s="102"/>
      <c r="AA474" s="102"/>
      <c r="AB474" s="102"/>
      <c r="AC474" s="102"/>
      <c r="AD474" s="102"/>
      <c r="AE474" s="102"/>
      <c r="AF474" s="102"/>
      <c r="AG474" s="102"/>
      <c r="AH474" s="102"/>
      <c r="AI474" s="102"/>
      <c r="AJ474" s="102"/>
      <c r="AK474" s="102"/>
      <c r="AL474" s="102"/>
      <c r="AM474" s="102"/>
      <c r="AN474" s="102"/>
      <c r="AO474" s="400"/>
      <c r="AP474" s="90"/>
      <c r="AQ474" s="90"/>
      <c r="AR474" s="90"/>
      <c r="AS474" s="90"/>
      <c r="AT474" s="90"/>
      <c r="AU474" s="90"/>
      <c r="AV474" s="90"/>
      <c r="AW474" s="90"/>
      <c r="AX474" s="90"/>
      <c r="AY474" s="90"/>
      <c r="AZ474" s="90"/>
      <c r="BA474" s="90"/>
      <c r="BB474" s="90"/>
      <c r="BC474" s="90"/>
      <c r="BD474" s="90"/>
      <c r="BE474" s="90"/>
      <c r="BF474" s="90"/>
      <c r="BG474" s="90"/>
      <c r="BH474" s="90"/>
      <c r="BI474" s="90"/>
    </row>
    <row r="475" ht="12.75" customHeight="1">
      <c r="A475" s="90"/>
      <c r="B475" s="90"/>
      <c r="C475" s="400"/>
      <c r="D475" s="90"/>
      <c r="E475" s="102"/>
      <c r="F475" s="90"/>
      <c r="G475" s="90"/>
      <c r="H475" s="102"/>
      <c r="I475" s="102"/>
      <c r="J475" s="102"/>
      <c r="K475" s="102"/>
      <c r="L475" s="102"/>
      <c r="M475" s="102"/>
      <c r="N475" s="102"/>
      <c r="O475" s="102"/>
      <c r="P475" s="102"/>
      <c r="Q475" s="102"/>
      <c r="R475" s="102"/>
      <c r="S475" s="102"/>
      <c r="T475" s="102"/>
      <c r="U475" s="102"/>
      <c r="V475" s="102"/>
      <c r="W475" s="102"/>
      <c r="X475" s="102"/>
      <c r="Y475" s="102"/>
      <c r="Z475" s="102"/>
      <c r="AA475" s="102"/>
      <c r="AB475" s="102"/>
      <c r="AC475" s="102"/>
      <c r="AD475" s="102"/>
      <c r="AE475" s="102"/>
      <c r="AF475" s="102"/>
      <c r="AG475" s="102"/>
      <c r="AH475" s="102"/>
      <c r="AI475" s="102"/>
      <c r="AJ475" s="102"/>
      <c r="AK475" s="102"/>
      <c r="AL475" s="102"/>
      <c r="AM475" s="102"/>
      <c r="AN475" s="102"/>
      <c r="AO475" s="400"/>
      <c r="AP475" s="90"/>
      <c r="AQ475" s="90"/>
      <c r="AR475" s="90"/>
      <c r="AS475" s="90"/>
      <c r="AT475" s="90"/>
      <c r="AU475" s="90"/>
      <c r="AV475" s="90"/>
      <c r="AW475" s="90"/>
      <c r="AX475" s="90"/>
      <c r="AY475" s="90"/>
      <c r="AZ475" s="90"/>
      <c r="BA475" s="90"/>
      <c r="BB475" s="90"/>
      <c r="BC475" s="90"/>
      <c r="BD475" s="90"/>
      <c r="BE475" s="90"/>
      <c r="BF475" s="90"/>
      <c r="BG475" s="90"/>
      <c r="BH475" s="90"/>
      <c r="BI475" s="90"/>
    </row>
    <row r="476" ht="12.75" customHeight="1">
      <c r="A476" s="90"/>
      <c r="B476" s="90"/>
      <c r="C476" s="400"/>
      <c r="D476" s="90"/>
      <c r="E476" s="102"/>
      <c r="F476" s="90"/>
      <c r="G476" s="90"/>
      <c r="H476" s="102"/>
      <c r="I476" s="102"/>
      <c r="J476" s="102"/>
      <c r="K476" s="102"/>
      <c r="L476" s="102"/>
      <c r="M476" s="102"/>
      <c r="N476" s="102"/>
      <c r="O476" s="102"/>
      <c r="P476" s="102"/>
      <c r="Q476" s="102"/>
      <c r="R476" s="102"/>
      <c r="S476" s="102"/>
      <c r="T476" s="102"/>
      <c r="U476" s="102"/>
      <c r="V476" s="102"/>
      <c r="W476" s="102"/>
      <c r="X476" s="102"/>
      <c r="Y476" s="102"/>
      <c r="Z476" s="102"/>
      <c r="AA476" s="102"/>
      <c r="AB476" s="102"/>
      <c r="AC476" s="102"/>
      <c r="AD476" s="102"/>
      <c r="AE476" s="102"/>
      <c r="AF476" s="102"/>
      <c r="AG476" s="102"/>
      <c r="AH476" s="102"/>
      <c r="AI476" s="102"/>
      <c r="AJ476" s="102"/>
      <c r="AK476" s="102"/>
      <c r="AL476" s="102"/>
      <c r="AM476" s="102"/>
      <c r="AN476" s="102"/>
      <c r="AO476" s="400"/>
      <c r="AP476" s="90"/>
      <c r="AQ476" s="90"/>
      <c r="AR476" s="90"/>
      <c r="AS476" s="90"/>
      <c r="AT476" s="90"/>
      <c r="AU476" s="90"/>
      <c r="AV476" s="90"/>
      <c r="AW476" s="90"/>
      <c r="AX476" s="90"/>
      <c r="AY476" s="90"/>
      <c r="AZ476" s="90"/>
      <c r="BA476" s="90"/>
      <c r="BB476" s="90"/>
      <c r="BC476" s="90"/>
      <c r="BD476" s="90"/>
      <c r="BE476" s="90"/>
      <c r="BF476" s="90"/>
      <c r="BG476" s="90"/>
      <c r="BH476" s="90"/>
      <c r="BI476" s="90"/>
    </row>
    <row r="477" ht="12.75" customHeight="1">
      <c r="A477" s="90"/>
      <c r="B477" s="90"/>
      <c r="C477" s="400"/>
      <c r="D477" s="90"/>
      <c r="E477" s="102"/>
      <c r="F477" s="90"/>
      <c r="G477" s="90"/>
      <c r="H477" s="102"/>
      <c r="I477" s="102"/>
      <c r="J477" s="102"/>
      <c r="K477" s="102"/>
      <c r="L477" s="102"/>
      <c r="M477" s="102"/>
      <c r="N477" s="102"/>
      <c r="O477" s="102"/>
      <c r="P477" s="102"/>
      <c r="Q477" s="102"/>
      <c r="R477" s="102"/>
      <c r="S477" s="102"/>
      <c r="T477" s="102"/>
      <c r="U477" s="102"/>
      <c r="V477" s="102"/>
      <c r="W477" s="102"/>
      <c r="X477" s="102"/>
      <c r="Y477" s="102"/>
      <c r="Z477" s="102"/>
      <c r="AA477" s="102"/>
      <c r="AB477" s="102"/>
      <c r="AC477" s="102"/>
      <c r="AD477" s="102"/>
      <c r="AE477" s="102"/>
      <c r="AF477" s="102"/>
      <c r="AG477" s="102"/>
      <c r="AH477" s="102"/>
      <c r="AI477" s="102"/>
      <c r="AJ477" s="102"/>
      <c r="AK477" s="102"/>
      <c r="AL477" s="102"/>
      <c r="AM477" s="102"/>
      <c r="AN477" s="102"/>
      <c r="AO477" s="400"/>
      <c r="AP477" s="90"/>
      <c r="AQ477" s="90"/>
      <c r="AR477" s="90"/>
      <c r="AS477" s="90"/>
      <c r="AT477" s="90"/>
      <c r="AU477" s="90"/>
      <c r="AV477" s="90"/>
      <c r="AW477" s="90"/>
      <c r="AX477" s="90"/>
      <c r="AY477" s="90"/>
      <c r="AZ477" s="90"/>
      <c r="BA477" s="90"/>
      <c r="BB477" s="90"/>
      <c r="BC477" s="90"/>
      <c r="BD477" s="90"/>
      <c r="BE477" s="90"/>
      <c r="BF477" s="90"/>
      <c r="BG477" s="90"/>
      <c r="BH477" s="90"/>
      <c r="BI477" s="90"/>
    </row>
    <row r="478" ht="12.75" customHeight="1">
      <c r="A478" s="90"/>
      <c r="B478" s="90"/>
      <c r="C478" s="400"/>
      <c r="D478" s="90"/>
      <c r="E478" s="102"/>
      <c r="F478" s="90"/>
      <c r="G478" s="90"/>
      <c r="H478" s="102"/>
      <c r="I478" s="102"/>
      <c r="J478" s="102"/>
      <c r="K478" s="102"/>
      <c r="L478" s="102"/>
      <c r="M478" s="102"/>
      <c r="N478" s="102"/>
      <c r="O478" s="102"/>
      <c r="P478" s="102"/>
      <c r="Q478" s="102"/>
      <c r="R478" s="102"/>
      <c r="S478" s="102"/>
      <c r="T478" s="102"/>
      <c r="U478" s="102"/>
      <c r="V478" s="102"/>
      <c r="W478" s="102"/>
      <c r="X478" s="102"/>
      <c r="Y478" s="102"/>
      <c r="Z478" s="102"/>
      <c r="AA478" s="102"/>
      <c r="AB478" s="102"/>
      <c r="AC478" s="102"/>
      <c r="AD478" s="102"/>
      <c r="AE478" s="102"/>
      <c r="AF478" s="102"/>
      <c r="AG478" s="102"/>
      <c r="AH478" s="102"/>
      <c r="AI478" s="102"/>
      <c r="AJ478" s="102"/>
      <c r="AK478" s="102"/>
      <c r="AL478" s="102"/>
      <c r="AM478" s="102"/>
      <c r="AN478" s="102"/>
      <c r="AO478" s="400"/>
      <c r="AP478" s="90"/>
      <c r="AQ478" s="90"/>
      <c r="AR478" s="90"/>
      <c r="AS478" s="90"/>
      <c r="AT478" s="90"/>
      <c r="AU478" s="90"/>
      <c r="AV478" s="90"/>
      <c r="AW478" s="90"/>
      <c r="AX478" s="90"/>
      <c r="AY478" s="90"/>
      <c r="AZ478" s="90"/>
      <c r="BA478" s="90"/>
      <c r="BB478" s="90"/>
      <c r="BC478" s="90"/>
      <c r="BD478" s="90"/>
      <c r="BE478" s="90"/>
      <c r="BF478" s="90"/>
      <c r="BG478" s="90"/>
      <c r="BH478" s="90"/>
      <c r="BI478" s="90"/>
    </row>
    <row r="479" ht="12.75" customHeight="1">
      <c r="A479" s="90"/>
      <c r="B479" s="90"/>
      <c r="C479" s="400"/>
      <c r="D479" s="90"/>
      <c r="E479" s="102"/>
      <c r="F479" s="90"/>
      <c r="G479" s="90"/>
      <c r="H479" s="102"/>
      <c r="I479" s="102"/>
      <c r="J479" s="102"/>
      <c r="K479" s="102"/>
      <c r="L479" s="102"/>
      <c r="M479" s="102"/>
      <c r="N479" s="102"/>
      <c r="O479" s="102"/>
      <c r="P479" s="102"/>
      <c r="Q479" s="102"/>
      <c r="R479" s="102"/>
      <c r="S479" s="102"/>
      <c r="T479" s="102"/>
      <c r="U479" s="102"/>
      <c r="V479" s="102"/>
      <c r="W479" s="102"/>
      <c r="X479" s="102"/>
      <c r="Y479" s="102"/>
      <c r="Z479" s="102"/>
      <c r="AA479" s="102"/>
      <c r="AB479" s="102"/>
      <c r="AC479" s="102"/>
      <c r="AD479" s="102"/>
      <c r="AE479" s="102"/>
      <c r="AF479" s="102"/>
      <c r="AG479" s="102"/>
      <c r="AH479" s="102"/>
      <c r="AI479" s="102"/>
      <c r="AJ479" s="102"/>
      <c r="AK479" s="102"/>
      <c r="AL479" s="102"/>
      <c r="AM479" s="102"/>
      <c r="AN479" s="102"/>
      <c r="AO479" s="400"/>
      <c r="AP479" s="90"/>
      <c r="AQ479" s="90"/>
      <c r="AR479" s="90"/>
      <c r="AS479" s="90"/>
      <c r="AT479" s="90"/>
      <c r="AU479" s="90"/>
      <c r="AV479" s="90"/>
      <c r="AW479" s="90"/>
      <c r="AX479" s="90"/>
      <c r="AY479" s="90"/>
      <c r="AZ479" s="90"/>
      <c r="BA479" s="90"/>
      <c r="BB479" s="90"/>
      <c r="BC479" s="90"/>
      <c r="BD479" s="90"/>
      <c r="BE479" s="90"/>
      <c r="BF479" s="90"/>
      <c r="BG479" s="90"/>
      <c r="BH479" s="90"/>
      <c r="BI479" s="90"/>
    </row>
    <row r="480" ht="12.75" customHeight="1">
      <c r="A480" s="90"/>
      <c r="B480" s="90"/>
      <c r="C480" s="400"/>
      <c r="D480" s="90"/>
      <c r="E480" s="102"/>
      <c r="F480" s="90"/>
      <c r="G480" s="90"/>
      <c r="H480" s="102"/>
      <c r="I480" s="102"/>
      <c r="J480" s="102"/>
      <c r="K480" s="102"/>
      <c r="L480" s="102"/>
      <c r="M480" s="102"/>
      <c r="N480" s="102"/>
      <c r="O480" s="102"/>
      <c r="P480" s="102"/>
      <c r="Q480" s="102"/>
      <c r="R480" s="102"/>
      <c r="S480" s="102"/>
      <c r="T480" s="102"/>
      <c r="U480" s="102"/>
      <c r="V480" s="102"/>
      <c r="W480" s="102"/>
      <c r="X480" s="102"/>
      <c r="Y480" s="102"/>
      <c r="Z480" s="102"/>
      <c r="AA480" s="102"/>
      <c r="AB480" s="102"/>
      <c r="AC480" s="102"/>
      <c r="AD480" s="102"/>
      <c r="AE480" s="102"/>
      <c r="AF480" s="102"/>
      <c r="AG480" s="102"/>
      <c r="AH480" s="102"/>
      <c r="AI480" s="102"/>
      <c r="AJ480" s="102"/>
      <c r="AK480" s="102"/>
      <c r="AL480" s="102"/>
      <c r="AM480" s="102"/>
      <c r="AN480" s="102"/>
      <c r="AO480" s="400"/>
      <c r="AP480" s="90"/>
      <c r="AQ480" s="90"/>
      <c r="AR480" s="90"/>
      <c r="AS480" s="90"/>
      <c r="AT480" s="90"/>
      <c r="AU480" s="90"/>
      <c r="AV480" s="90"/>
      <c r="AW480" s="90"/>
      <c r="AX480" s="90"/>
      <c r="AY480" s="90"/>
      <c r="AZ480" s="90"/>
      <c r="BA480" s="90"/>
      <c r="BB480" s="90"/>
      <c r="BC480" s="90"/>
      <c r="BD480" s="90"/>
      <c r="BE480" s="90"/>
      <c r="BF480" s="90"/>
      <c r="BG480" s="90"/>
      <c r="BH480" s="90"/>
      <c r="BI480" s="90"/>
    </row>
    <row r="481" ht="12.75" customHeight="1">
      <c r="A481" s="90"/>
      <c r="B481" s="90"/>
      <c r="C481" s="400"/>
      <c r="D481" s="90"/>
      <c r="E481" s="102"/>
      <c r="F481" s="90"/>
      <c r="G481" s="90"/>
      <c r="H481" s="102"/>
      <c r="I481" s="102"/>
      <c r="J481" s="102"/>
      <c r="K481" s="102"/>
      <c r="L481" s="102"/>
      <c r="M481" s="102"/>
      <c r="N481" s="102"/>
      <c r="O481" s="102"/>
      <c r="P481" s="102"/>
      <c r="Q481" s="102"/>
      <c r="R481" s="102"/>
      <c r="S481" s="102"/>
      <c r="T481" s="102"/>
      <c r="U481" s="102"/>
      <c r="V481" s="102"/>
      <c r="W481" s="102"/>
      <c r="X481" s="102"/>
      <c r="Y481" s="102"/>
      <c r="Z481" s="102"/>
      <c r="AA481" s="102"/>
      <c r="AB481" s="102"/>
      <c r="AC481" s="102"/>
      <c r="AD481" s="102"/>
      <c r="AE481" s="102"/>
      <c r="AF481" s="102"/>
      <c r="AG481" s="102"/>
      <c r="AH481" s="102"/>
      <c r="AI481" s="102"/>
      <c r="AJ481" s="102"/>
      <c r="AK481" s="102"/>
      <c r="AL481" s="102"/>
      <c r="AM481" s="102"/>
      <c r="AN481" s="102"/>
      <c r="AO481" s="400"/>
      <c r="AP481" s="90"/>
      <c r="AQ481" s="90"/>
      <c r="AR481" s="90"/>
      <c r="AS481" s="90"/>
      <c r="AT481" s="90"/>
      <c r="AU481" s="90"/>
      <c r="AV481" s="90"/>
      <c r="AW481" s="90"/>
      <c r="AX481" s="90"/>
      <c r="AY481" s="90"/>
      <c r="AZ481" s="90"/>
      <c r="BA481" s="90"/>
      <c r="BB481" s="90"/>
      <c r="BC481" s="90"/>
      <c r="BD481" s="90"/>
      <c r="BE481" s="90"/>
      <c r="BF481" s="90"/>
      <c r="BG481" s="90"/>
      <c r="BH481" s="90"/>
      <c r="BI481" s="90"/>
    </row>
    <row r="482" ht="12.75" customHeight="1">
      <c r="A482" s="90"/>
      <c r="B482" s="90"/>
      <c r="C482" s="400"/>
      <c r="D482" s="90"/>
      <c r="E482" s="102"/>
      <c r="F482" s="90"/>
      <c r="G482" s="90"/>
      <c r="H482" s="102"/>
      <c r="I482" s="102"/>
      <c r="J482" s="102"/>
      <c r="K482" s="102"/>
      <c r="L482" s="102"/>
      <c r="M482" s="102"/>
      <c r="N482" s="102"/>
      <c r="O482" s="102"/>
      <c r="P482" s="102"/>
      <c r="Q482" s="102"/>
      <c r="R482" s="102"/>
      <c r="S482" s="102"/>
      <c r="T482" s="102"/>
      <c r="U482" s="102"/>
      <c r="V482" s="102"/>
      <c r="W482" s="102"/>
      <c r="X482" s="102"/>
      <c r="Y482" s="102"/>
      <c r="Z482" s="102"/>
      <c r="AA482" s="102"/>
      <c r="AB482" s="102"/>
      <c r="AC482" s="102"/>
      <c r="AD482" s="102"/>
      <c r="AE482" s="102"/>
      <c r="AF482" s="102"/>
      <c r="AG482" s="102"/>
      <c r="AH482" s="102"/>
      <c r="AI482" s="102"/>
      <c r="AJ482" s="102"/>
      <c r="AK482" s="102"/>
      <c r="AL482" s="102"/>
      <c r="AM482" s="102"/>
      <c r="AN482" s="102"/>
      <c r="AO482" s="400"/>
      <c r="AP482" s="90"/>
      <c r="AQ482" s="90"/>
      <c r="AR482" s="90"/>
      <c r="AS482" s="90"/>
      <c r="AT482" s="90"/>
      <c r="AU482" s="90"/>
      <c r="AV482" s="90"/>
      <c r="AW482" s="90"/>
      <c r="AX482" s="90"/>
      <c r="AY482" s="90"/>
      <c r="AZ482" s="90"/>
      <c r="BA482" s="90"/>
      <c r="BB482" s="90"/>
      <c r="BC482" s="90"/>
      <c r="BD482" s="90"/>
      <c r="BE482" s="90"/>
      <c r="BF482" s="90"/>
      <c r="BG482" s="90"/>
      <c r="BH482" s="90"/>
      <c r="BI482" s="90"/>
    </row>
    <row r="483" ht="12.75" customHeight="1">
      <c r="A483" s="90"/>
      <c r="B483" s="90"/>
      <c r="C483" s="400"/>
      <c r="D483" s="90"/>
      <c r="E483" s="102"/>
      <c r="F483" s="90"/>
      <c r="G483" s="90"/>
      <c r="H483" s="102"/>
      <c r="I483" s="102"/>
      <c r="J483" s="102"/>
      <c r="K483" s="102"/>
      <c r="L483" s="102"/>
      <c r="M483" s="102"/>
      <c r="N483" s="102"/>
      <c r="O483" s="102"/>
      <c r="P483" s="102"/>
      <c r="Q483" s="102"/>
      <c r="R483" s="102"/>
      <c r="S483" s="102"/>
      <c r="T483" s="102"/>
      <c r="U483" s="102"/>
      <c r="V483" s="102"/>
      <c r="W483" s="102"/>
      <c r="X483" s="102"/>
      <c r="Y483" s="102"/>
      <c r="Z483" s="102"/>
      <c r="AA483" s="102"/>
      <c r="AB483" s="102"/>
      <c r="AC483" s="102"/>
      <c r="AD483" s="102"/>
      <c r="AE483" s="102"/>
      <c r="AF483" s="102"/>
      <c r="AG483" s="102"/>
      <c r="AH483" s="102"/>
      <c r="AI483" s="102"/>
      <c r="AJ483" s="102"/>
      <c r="AK483" s="102"/>
      <c r="AL483" s="102"/>
      <c r="AM483" s="102"/>
      <c r="AN483" s="102"/>
      <c r="AO483" s="400"/>
      <c r="AP483" s="90"/>
      <c r="AQ483" s="90"/>
      <c r="AR483" s="90"/>
      <c r="AS483" s="90"/>
      <c r="AT483" s="90"/>
      <c r="AU483" s="90"/>
      <c r="AV483" s="90"/>
      <c r="AW483" s="90"/>
      <c r="AX483" s="90"/>
      <c r="AY483" s="90"/>
      <c r="AZ483" s="90"/>
      <c r="BA483" s="90"/>
      <c r="BB483" s="90"/>
      <c r="BC483" s="90"/>
      <c r="BD483" s="90"/>
      <c r="BE483" s="90"/>
      <c r="BF483" s="90"/>
      <c r="BG483" s="90"/>
      <c r="BH483" s="90"/>
      <c r="BI483" s="90"/>
    </row>
    <row r="484" ht="12.75" customHeight="1">
      <c r="A484" s="90"/>
      <c r="B484" s="90"/>
      <c r="C484" s="400"/>
      <c r="D484" s="90"/>
      <c r="E484" s="102"/>
      <c r="F484" s="90"/>
      <c r="G484" s="90"/>
      <c r="H484" s="102"/>
      <c r="I484" s="102"/>
      <c r="J484" s="102"/>
      <c r="K484" s="102"/>
      <c r="L484" s="102"/>
      <c r="M484" s="102"/>
      <c r="N484" s="102"/>
      <c r="O484" s="102"/>
      <c r="P484" s="102"/>
      <c r="Q484" s="102"/>
      <c r="R484" s="102"/>
      <c r="S484" s="102"/>
      <c r="T484" s="102"/>
      <c r="U484" s="102"/>
      <c r="V484" s="102"/>
      <c r="W484" s="102"/>
      <c r="X484" s="102"/>
      <c r="Y484" s="102"/>
      <c r="Z484" s="102"/>
      <c r="AA484" s="102"/>
      <c r="AB484" s="102"/>
      <c r="AC484" s="102"/>
      <c r="AD484" s="102"/>
      <c r="AE484" s="102"/>
      <c r="AF484" s="102"/>
      <c r="AG484" s="102"/>
      <c r="AH484" s="102"/>
      <c r="AI484" s="102"/>
      <c r="AJ484" s="102"/>
      <c r="AK484" s="102"/>
      <c r="AL484" s="102"/>
      <c r="AM484" s="102"/>
      <c r="AN484" s="102"/>
      <c r="AO484" s="400"/>
      <c r="AP484" s="90"/>
      <c r="AQ484" s="90"/>
      <c r="AR484" s="90"/>
      <c r="AS484" s="90"/>
      <c r="AT484" s="90"/>
      <c r="AU484" s="90"/>
      <c r="AV484" s="90"/>
      <c r="AW484" s="90"/>
      <c r="AX484" s="90"/>
      <c r="AY484" s="90"/>
      <c r="AZ484" s="90"/>
      <c r="BA484" s="90"/>
      <c r="BB484" s="90"/>
      <c r="BC484" s="90"/>
      <c r="BD484" s="90"/>
      <c r="BE484" s="90"/>
      <c r="BF484" s="90"/>
      <c r="BG484" s="90"/>
      <c r="BH484" s="90"/>
      <c r="BI484" s="90"/>
    </row>
    <row r="485" ht="12.75" customHeight="1">
      <c r="A485" s="90"/>
      <c r="B485" s="90"/>
      <c r="C485" s="400"/>
      <c r="D485" s="90"/>
      <c r="E485" s="102"/>
      <c r="F485" s="90"/>
      <c r="G485" s="90"/>
      <c r="H485" s="102"/>
      <c r="I485" s="102"/>
      <c r="J485" s="102"/>
      <c r="K485" s="102"/>
      <c r="L485" s="102"/>
      <c r="M485" s="102"/>
      <c r="N485" s="102"/>
      <c r="O485" s="102"/>
      <c r="P485" s="102"/>
      <c r="Q485" s="102"/>
      <c r="R485" s="102"/>
      <c r="S485" s="102"/>
      <c r="T485" s="102"/>
      <c r="U485" s="102"/>
      <c r="V485" s="102"/>
      <c r="W485" s="102"/>
      <c r="X485" s="102"/>
      <c r="Y485" s="102"/>
      <c r="Z485" s="102"/>
      <c r="AA485" s="102"/>
      <c r="AB485" s="102"/>
      <c r="AC485" s="102"/>
      <c r="AD485" s="102"/>
      <c r="AE485" s="102"/>
      <c r="AF485" s="102"/>
      <c r="AG485" s="102"/>
      <c r="AH485" s="102"/>
      <c r="AI485" s="102"/>
      <c r="AJ485" s="102"/>
      <c r="AK485" s="102"/>
      <c r="AL485" s="102"/>
      <c r="AM485" s="102"/>
      <c r="AN485" s="102"/>
      <c r="AO485" s="400"/>
      <c r="AP485" s="90"/>
      <c r="AQ485" s="90"/>
      <c r="AR485" s="90"/>
      <c r="AS485" s="90"/>
      <c r="AT485" s="90"/>
      <c r="AU485" s="90"/>
      <c r="AV485" s="90"/>
      <c r="AW485" s="90"/>
      <c r="AX485" s="90"/>
      <c r="AY485" s="90"/>
      <c r="AZ485" s="90"/>
      <c r="BA485" s="90"/>
      <c r="BB485" s="90"/>
      <c r="BC485" s="90"/>
      <c r="BD485" s="90"/>
      <c r="BE485" s="90"/>
      <c r="BF485" s="90"/>
      <c r="BG485" s="90"/>
      <c r="BH485" s="90"/>
      <c r="BI485" s="90"/>
    </row>
    <row r="486" ht="12.75" customHeight="1">
      <c r="A486" s="90"/>
      <c r="B486" s="90"/>
      <c r="C486" s="400"/>
      <c r="D486" s="90"/>
      <c r="E486" s="102"/>
      <c r="F486" s="90"/>
      <c r="G486" s="90"/>
      <c r="H486" s="102"/>
      <c r="I486" s="102"/>
      <c r="J486" s="102"/>
      <c r="K486" s="102"/>
      <c r="L486" s="102"/>
      <c r="M486" s="102"/>
      <c r="N486" s="102"/>
      <c r="O486" s="102"/>
      <c r="P486" s="102"/>
      <c r="Q486" s="102"/>
      <c r="R486" s="102"/>
      <c r="S486" s="102"/>
      <c r="T486" s="102"/>
      <c r="U486" s="102"/>
      <c r="V486" s="102"/>
      <c r="W486" s="102"/>
      <c r="X486" s="102"/>
      <c r="Y486" s="102"/>
      <c r="Z486" s="102"/>
      <c r="AA486" s="102"/>
      <c r="AB486" s="102"/>
      <c r="AC486" s="102"/>
      <c r="AD486" s="102"/>
      <c r="AE486" s="102"/>
      <c r="AF486" s="102"/>
      <c r="AG486" s="102"/>
      <c r="AH486" s="102"/>
      <c r="AI486" s="102"/>
      <c r="AJ486" s="102"/>
      <c r="AK486" s="102"/>
      <c r="AL486" s="102"/>
      <c r="AM486" s="102"/>
      <c r="AN486" s="102"/>
      <c r="AO486" s="400"/>
      <c r="AP486" s="90"/>
      <c r="AQ486" s="90"/>
      <c r="AR486" s="90"/>
      <c r="AS486" s="90"/>
      <c r="AT486" s="90"/>
      <c r="AU486" s="90"/>
      <c r="AV486" s="90"/>
      <c r="AW486" s="90"/>
      <c r="AX486" s="90"/>
      <c r="AY486" s="90"/>
      <c r="AZ486" s="90"/>
      <c r="BA486" s="90"/>
      <c r="BB486" s="90"/>
      <c r="BC486" s="90"/>
      <c r="BD486" s="90"/>
      <c r="BE486" s="90"/>
      <c r="BF486" s="90"/>
      <c r="BG486" s="90"/>
      <c r="BH486" s="90"/>
      <c r="BI486" s="90"/>
    </row>
    <row r="487" ht="12.75" customHeight="1">
      <c r="A487" s="90"/>
      <c r="B487" s="90"/>
      <c r="C487" s="400"/>
      <c r="D487" s="90"/>
      <c r="E487" s="102"/>
      <c r="F487" s="90"/>
      <c r="G487" s="90"/>
      <c r="H487" s="102"/>
      <c r="I487" s="102"/>
      <c r="J487" s="102"/>
      <c r="K487" s="102"/>
      <c r="L487" s="102"/>
      <c r="M487" s="102"/>
      <c r="N487" s="102"/>
      <c r="O487" s="102"/>
      <c r="P487" s="102"/>
      <c r="Q487" s="102"/>
      <c r="R487" s="102"/>
      <c r="S487" s="102"/>
      <c r="T487" s="102"/>
      <c r="U487" s="102"/>
      <c r="V487" s="102"/>
      <c r="W487" s="102"/>
      <c r="X487" s="102"/>
      <c r="Y487" s="102"/>
      <c r="Z487" s="102"/>
      <c r="AA487" s="102"/>
      <c r="AB487" s="102"/>
      <c r="AC487" s="102"/>
      <c r="AD487" s="102"/>
      <c r="AE487" s="102"/>
      <c r="AF487" s="102"/>
      <c r="AG487" s="102"/>
      <c r="AH487" s="102"/>
      <c r="AI487" s="102"/>
      <c r="AJ487" s="102"/>
      <c r="AK487" s="102"/>
      <c r="AL487" s="102"/>
      <c r="AM487" s="102"/>
      <c r="AN487" s="102"/>
      <c r="AO487" s="400"/>
      <c r="AP487" s="90"/>
      <c r="AQ487" s="90"/>
      <c r="AR487" s="90"/>
      <c r="AS487" s="90"/>
      <c r="AT487" s="90"/>
      <c r="AU487" s="90"/>
      <c r="AV487" s="90"/>
      <c r="AW487" s="90"/>
      <c r="AX487" s="90"/>
      <c r="AY487" s="90"/>
      <c r="AZ487" s="90"/>
      <c r="BA487" s="90"/>
      <c r="BB487" s="90"/>
      <c r="BC487" s="90"/>
      <c r="BD487" s="90"/>
      <c r="BE487" s="90"/>
      <c r="BF487" s="90"/>
      <c r="BG487" s="90"/>
      <c r="BH487" s="90"/>
      <c r="BI487" s="90"/>
    </row>
    <row r="488" ht="12.75" customHeight="1">
      <c r="A488" s="90"/>
      <c r="B488" s="90"/>
      <c r="C488" s="400"/>
      <c r="D488" s="90"/>
      <c r="E488" s="102"/>
      <c r="F488" s="90"/>
      <c r="G488" s="90"/>
      <c r="H488" s="102"/>
      <c r="I488" s="102"/>
      <c r="J488" s="102"/>
      <c r="K488" s="102"/>
      <c r="L488" s="102"/>
      <c r="M488" s="102"/>
      <c r="N488" s="102"/>
      <c r="O488" s="102"/>
      <c r="P488" s="102"/>
      <c r="Q488" s="102"/>
      <c r="R488" s="102"/>
      <c r="S488" s="102"/>
      <c r="T488" s="102"/>
      <c r="U488" s="102"/>
      <c r="V488" s="102"/>
      <c r="W488" s="102"/>
      <c r="X488" s="102"/>
      <c r="Y488" s="102"/>
      <c r="Z488" s="102"/>
      <c r="AA488" s="102"/>
      <c r="AB488" s="102"/>
      <c r="AC488" s="102"/>
      <c r="AD488" s="102"/>
      <c r="AE488" s="102"/>
      <c r="AF488" s="102"/>
      <c r="AG488" s="102"/>
      <c r="AH488" s="102"/>
      <c r="AI488" s="102"/>
      <c r="AJ488" s="102"/>
      <c r="AK488" s="102"/>
      <c r="AL488" s="102"/>
      <c r="AM488" s="102"/>
      <c r="AN488" s="102"/>
      <c r="AO488" s="400"/>
      <c r="AP488" s="90"/>
      <c r="AQ488" s="90"/>
      <c r="AR488" s="90"/>
      <c r="AS488" s="90"/>
      <c r="AT488" s="90"/>
      <c r="AU488" s="90"/>
      <c r="AV488" s="90"/>
      <c r="AW488" s="90"/>
      <c r="AX488" s="90"/>
      <c r="AY488" s="90"/>
      <c r="AZ488" s="90"/>
      <c r="BA488" s="90"/>
      <c r="BB488" s="90"/>
      <c r="BC488" s="90"/>
      <c r="BD488" s="90"/>
      <c r="BE488" s="90"/>
      <c r="BF488" s="90"/>
      <c r="BG488" s="90"/>
      <c r="BH488" s="90"/>
      <c r="BI488" s="90"/>
    </row>
    <row r="489" ht="12.75" customHeight="1">
      <c r="A489" s="90"/>
      <c r="B489" s="90"/>
      <c r="C489" s="400"/>
      <c r="D489" s="90"/>
      <c r="E489" s="102"/>
      <c r="F489" s="90"/>
      <c r="G489" s="90"/>
      <c r="H489" s="102"/>
      <c r="I489" s="102"/>
      <c r="J489" s="102"/>
      <c r="K489" s="102"/>
      <c r="L489" s="102"/>
      <c r="M489" s="102"/>
      <c r="N489" s="102"/>
      <c r="O489" s="102"/>
      <c r="P489" s="102"/>
      <c r="Q489" s="102"/>
      <c r="R489" s="102"/>
      <c r="S489" s="102"/>
      <c r="T489" s="102"/>
      <c r="U489" s="102"/>
      <c r="V489" s="102"/>
      <c r="W489" s="102"/>
      <c r="X489" s="102"/>
      <c r="Y489" s="102"/>
      <c r="Z489" s="102"/>
      <c r="AA489" s="102"/>
      <c r="AB489" s="102"/>
      <c r="AC489" s="102"/>
      <c r="AD489" s="102"/>
      <c r="AE489" s="102"/>
      <c r="AF489" s="102"/>
      <c r="AG489" s="102"/>
      <c r="AH489" s="102"/>
      <c r="AI489" s="102"/>
      <c r="AJ489" s="102"/>
      <c r="AK489" s="102"/>
      <c r="AL489" s="102"/>
      <c r="AM489" s="102"/>
      <c r="AN489" s="102"/>
      <c r="AO489" s="400"/>
      <c r="AP489" s="90"/>
      <c r="AQ489" s="90"/>
      <c r="AR489" s="90"/>
      <c r="AS489" s="90"/>
      <c r="AT489" s="90"/>
      <c r="AU489" s="90"/>
      <c r="AV489" s="90"/>
      <c r="AW489" s="90"/>
      <c r="AX489" s="90"/>
      <c r="AY489" s="90"/>
      <c r="AZ489" s="90"/>
      <c r="BA489" s="90"/>
      <c r="BB489" s="90"/>
      <c r="BC489" s="90"/>
      <c r="BD489" s="90"/>
      <c r="BE489" s="90"/>
      <c r="BF489" s="90"/>
      <c r="BG489" s="90"/>
      <c r="BH489" s="90"/>
      <c r="BI489" s="90"/>
    </row>
    <row r="490" ht="12.75" customHeight="1">
      <c r="A490" s="90"/>
      <c r="B490" s="90"/>
      <c r="C490" s="400"/>
      <c r="D490" s="90"/>
      <c r="E490" s="102"/>
      <c r="F490" s="90"/>
      <c r="G490" s="90"/>
      <c r="H490" s="102"/>
      <c r="I490" s="102"/>
      <c r="J490" s="102"/>
      <c r="K490" s="102"/>
      <c r="L490" s="102"/>
      <c r="M490" s="102"/>
      <c r="N490" s="102"/>
      <c r="O490" s="102"/>
      <c r="P490" s="102"/>
      <c r="Q490" s="102"/>
      <c r="R490" s="102"/>
      <c r="S490" s="102"/>
      <c r="T490" s="102"/>
      <c r="U490" s="102"/>
      <c r="V490" s="102"/>
      <c r="W490" s="102"/>
      <c r="X490" s="102"/>
      <c r="Y490" s="102"/>
      <c r="Z490" s="102"/>
      <c r="AA490" s="102"/>
      <c r="AB490" s="102"/>
      <c r="AC490" s="102"/>
      <c r="AD490" s="102"/>
      <c r="AE490" s="102"/>
      <c r="AF490" s="102"/>
      <c r="AG490" s="102"/>
      <c r="AH490" s="102"/>
      <c r="AI490" s="102"/>
      <c r="AJ490" s="102"/>
      <c r="AK490" s="102"/>
      <c r="AL490" s="102"/>
      <c r="AM490" s="102"/>
      <c r="AN490" s="102"/>
      <c r="AO490" s="400"/>
      <c r="AP490" s="90"/>
      <c r="AQ490" s="90"/>
      <c r="AR490" s="90"/>
      <c r="AS490" s="90"/>
      <c r="AT490" s="90"/>
      <c r="AU490" s="90"/>
      <c r="AV490" s="90"/>
      <c r="AW490" s="90"/>
      <c r="AX490" s="90"/>
      <c r="AY490" s="90"/>
      <c r="AZ490" s="90"/>
      <c r="BA490" s="90"/>
      <c r="BB490" s="90"/>
      <c r="BC490" s="90"/>
      <c r="BD490" s="90"/>
      <c r="BE490" s="90"/>
      <c r="BF490" s="90"/>
      <c r="BG490" s="90"/>
      <c r="BH490" s="90"/>
      <c r="BI490" s="90"/>
    </row>
    <row r="491" ht="12.75" customHeight="1">
      <c r="A491" s="90"/>
      <c r="B491" s="90"/>
      <c r="C491" s="400"/>
      <c r="D491" s="90"/>
      <c r="E491" s="102"/>
      <c r="F491" s="90"/>
      <c r="G491" s="90"/>
      <c r="H491" s="102"/>
      <c r="I491" s="102"/>
      <c r="J491" s="102"/>
      <c r="K491" s="102"/>
      <c r="L491" s="102"/>
      <c r="M491" s="102"/>
      <c r="N491" s="102"/>
      <c r="O491" s="102"/>
      <c r="P491" s="102"/>
      <c r="Q491" s="102"/>
      <c r="R491" s="102"/>
      <c r="S491" s="102"/>
      <c r="T491" s="102"/>
      <c r="U491" s="102"/>
      <c r="V491" s="102"/>
      <c r="W491" s="102"/>
      <c r="X491" s="102"/>
      <c r="Y491" s="102"/>
      <c r="Z491" s="102"/>
      <c r="AA491" s="102"/>
      <c r="AB491" s="102"/>
      <c r="AC491" s="102"/>
      <c r="AD491" s="102"/>
      <c r="AE491" s="102"/>
      <c r="AF491" s="102"/>
      <c r="AG491" s="102"/>
      <c r="AH491" s="102"/>
      <c r="AI491" s="102"/>
      <c r="AJ491" s="102"/>
      <c r="AK491" s="102"/>
      <c r="AL491" s="102"/>
      <c r="AM491" s="102"/>
      <c r="AN491" s="102"/>
      <c r="AO491" s="400"/>
      <c r="AP491" s="90"/>
      <c r="AQ491" s="90"/>
      <c r="AR491" s="90"/>
      <c r="AS491" s="90"/>
      <c r="AT491" s="90"/>
      <c r="AU491" s="90"/>
      <c r="AV491" s="90"/>
      <c r="AW491" s="90"/>
      <c r="AX491" s="90"/>
      <c r="AY491" s="90"/>
      <c r="AZ491" s="90"/>
      <c r="BA491" s="90"/>
      <c r="BB491" s="90"/>
      <c r="BC491" s="90"/>
      <c r="BD491" s="90"/>
      <c r="BE491" s="90"/>
      <c r="BF491" s="90"/>
      <c r="BG491" s="90"/>
      <c r="BH491" s="90"/>
      <c r="BI491" s="90"/>
    </row>
    <row r="492" ht="12.75" customHeight="1">
      <c r="A492" s="90"/>
      <c r="B492" s="90"/>
      <c r="C492" s="400"/>
      <c r="D492" s="90"/>
      <c r="E492" s="102"/>
      <c r="F492" s="90"/>
      <c r="G492" s="90"/>
      <c r="H492" s="102"/>
      <c r="I492" s="102"/>
      <c r="J492" s="102"/>
      <c r="K492" s="102"/>
      <c r="L492" s="102"/>
      <c r="M492" s="102"/>
      <c r="N492" s="102"/>
      <c r="O492" s="102"/>
      <c r="P492" s="102"/>
      <c r="Q492" s="102"/>
      <c r="R492" s="102"/>
      <c r="S492" s="102"/>
      <c r="T492" s="102"/>
      <c r="U492" s="102"/>
      <c r="V492" s="102"/>
      <c r="W492" s="102"/>
      <c r="X492" s="102"/>
      <c r="Y492" s="102"/>
      <c r="Z492" s="102"/>
      <c r="AA492" s="102"/>
      <c r="AB492" s="102"/>
      <c r="AC492" s="102"/>
      <c r="AD492" s="102"/>
      <c r="AE492" s="102"/>
      <c r="AF492" s="102"/>
      <c r="AG492" s="102"/>
      <c r="AH492" s="102"/>
      <c r="AI492" s="102"/>
      <c r="AJ492" s="102"/>
      <c r="AK492" s="102"/>
      <c r="AL492" s="102"/>
      <c r="AM492" s="102"/>
      <c r="AN492" s="102"/>
      <c r="AO492" s="400"/>
      <c r="AP492" s="90"/>
      <c r="AQ492" s="90"/>
      <c r="AR492" s="90"/>
      <c r="AS492" s="90"/>
      <c r="AT492" s="90"/>
      <c r="AU492" s="90"/>
      <c r="AV492" s="90"/>
      <c r="AW492" s="90"/>
      <c r="AX492" s="90"/>
      <c r="AY492" s="90"/>
      <c r="AZ492" s="90"/>
      <c r="BA492" s="90"/>
      <c r="BB492" s="90"/>
      <c r="BC492" s="90"/>
      <c r="BD492" s="90"/>
      <c r="BE492" s="90"/>
      <c r="BF492" s="90"/>
      <c r="BG492" s="90"/>
      <c r="BH492" s="90"/>
      <c r="BI492" s="90"/>
    </row>
    <row r="493" ht="12.75" customHeight="1">
      <c r="A493" s="90"/>
      <c r="B493" s="90"/>
      <c r="C493" s="400"/>
      <c r="D493" s="90"/>
      <c r="E493" s="102"/>
      <c r="F493" s="90"/>
      <c r="G493" s="90"/>
      <c r="H493" s="102"/>
      <c r="I493" s="102"/>
      <c r="J493" s="102"/>
      <c r="K493" s="102"/>
      <c r="L493" s="102"/>
      <c r="M493" s="102"/>
      <c r="N493" s="102"/>
      <c r="O493" s="102"/>
      <c r="P493" s="102"/>
      <c r="Q493" s="102"/>
      <c r="R493" s="102"/>
      <c r="S493" s="102"/>
      <c r="T493" s="102"/>
      <c r="U493" s="102"/>
      <c r="V493" s="102"/>
      <c r="W493" s="102"/>
      <c r="X493" s="102"/>
      <c r="Y493" s="102"/>
      <c r="Z493" s="102"/>
      <c r="AA493" s="102"/>
      <c r="AB493" s="102"/>
      <c r="AC493" s="102"/>
      <c r="AD493" s="102"/>
      <c r="AE493" s="102"/>
      <c r="AF493" s="102"/>
      <c r="AG493" s="102"/>
      <c r="AH493" s="102"/>
      <c r="AI493" s="102"/>
      <c r="AJ493" s="102"/>
      <c r="AK493" s="102"/>
      <c r="AL493" s="102"/>
      <c r="AM493" s="102"/>
      <c r="AN493" s="102"/>
      <c r="AO493" s="400"/>
      <c r="AP493" s="90"/>
      <c r="AQ493" s="90"/>
      <c r="AR493" s="90"/>
      <c r="AS493" s="90"/>
      <c r="AT493" s="90"/>
      <c r="AU493" s="90"/>
      <c r="AV493" s="90"/>
      <c r="AW493" s="90"/>
      <c r="AX493" s="90"/>
      <c r="AY493" s="90"/>
      <c r="AZ493" s="90"/>
      <c r="BA493" s="90"/>
      <c r="BB493" s="90"/>
      <c r="BC493" s="90"/>
      <c r="BD493" s="90"/>
      <c r="BE493" s="90"/>
      <c r="BF493" s="90"/>
      <c r="BG493" s="90"/>
      <c r="BH493" s="90"/>
      <c r="BI493" s="90"/>
    </row>
    <row r="494" ht="12.75" customHeight="1">
      <c r="A494" s="90"/>
      <c r="B494" s="90"/>
      <c r="C494" s="400"/>
      <c r="D494" s="90"/>
      <c r="E494" s="102"/>
      <c r="F494" s="90"/>
      <c r="G494" s="90"/>
      <c r="H494" s="102"/>
      <c r="I494" s="102"/>
      <c r="J494" s="102"/>
      <c r="K494" s="102"/>
      <c r="L494" s="102"/>
      <c r="M494" s="102"/>
      <c r="N494" s="102"/>
      <c r="O494" s="102"/>
      <c r="P494" s="102"/>
      <c r="Q494" s="102"/>
      <c r="R494" s="102"/>
      <c r="S494" s="102"/>
      <c r="T494" s="102"/>
      <c r="U494" s="102"/>
      <c r="V494" s="102"/>
      <c r="W494" s="102"/>
      <c r="X494" s="102"/>
      <c r="Y494" s="102"/>
      <c r="Z494" s="102"/>
      <c r="AA494" s="102"/>
      <c r="AB494" s="102"/>
      <c r="AC494" s="102"/>
      <c r="AD494" s="102"/>
      <c r="AE494" s="102"/>
      <c r="AF494" s="102"/>
      <c r="AG494" s="102"/>
      <c r="AH494" s="102"/>
      <c r="AI494" s="102"/>
      <c r="AJ494" s="102"/>
      <c r="AK494" s="102"/>
      <c r="AL494" s="102"/>
      <c r="AM494" s="102"/>
      <c r="AN494" s="102"/>
      <c r="AO494" s="400"/>
      <c r="AP494" s="90"/>
      <c r="AQ494" s="90"/>
      <c r="AR494" s="90"/>
      <c r="AS494" s="90"/>
      <c r="AT494" s="90"/>
      <c r="AU494" s="90"/>
      <c r="AV494" s="90"/>
      <c r="AW494" s="90"/>
      <c r="AX494" s="90"/>
      <c r="AY494" s="90"/>
      <c r="AZ494" s="90"/>
      <c r="BA494" s="90"/>
      <c r="BB494" s="90"/>
      <c r="BC494" s="90"/>
      <c r="BD494" s="90"/>
      <c r="BE494" s="90"/>
      <c r="BF494" s="90"/>
      <c r="BG494" s="90"/>
      <c r="BH494" s="90"/>
      <c r="BI494" s="90"/>
    </row>
    <row r="495" ht="12.75" customHeight="1">
      <c r="A495" s="90"/>
      <c r="B495" s="90"/>
      <c r="C495" s="400"/>
      <c r="D495" s="90"/>
      <c r="E495" s="102"/>
      <c r="F495" s="90"/>
      <c r="G495" s="90"/>
      <c r="H495" s="102"/>
      <c r="I495" s="102"/>
      <c r="J495" s="102"/>
      <c r="K495" s="102"/>
      <c r="L495" s="102"/>
      <c r="M495" s="102"/>
      <c r="N495" s="102"/>
      <c r="O495" s="102"/>
      <c r="P495" s="102"/>
      <c r="Q495" s="102"/>
      <c r="R495" s="102"/>
      <c r="S495" s="102"/>
      <c r="T495" s="102"/>
      <c r="U495" s="102"/>
      <c r="V495" s="102"/>
      <c r="W495" s="102"/>
      <c r="X495" s="102"/>
      <c r="Y495" s="102"/>
      <c r="Z495" s="102"/>
      <c r="AA495" s="102"/>
      <c r="AB495" s="102"/>
      <c r="AC495" s="102"/>
      <c r="AD495" s="102"/>
      <c r="AE495" s="102"/>
      <c r="AF495" s="102"/>
      <c r="AG495" s="102"/>
      <c r="AH495" s="102"/>
      <c r="AI495" s="102"/>
      <c r="AJ495" s="102"/>
      <c r="AK495" s="102"/>
      <c r="AL495" s="102"/>
      <c r="AM495" s="102"/>
      <c r="AN495" s="102"/>
      <c r="AO495" s="400"/>
      <c r="AP495" s="90"/>
      <c r="AQ495" s="90"/>
      <c r="AR495" s="90"/>
      <c r="AS495" s="90"/>
      <c r="AT495" s="90"/>
      <c r="AU495" s="90"/>
      <c r="AV495" s="90"/>
      <c r="AW495" s="90"/>
      <c r="AX495" s="90"/>
      <c r="AY495" s="90"/>
      <c r="AZ495" s="90"/>
      <c r="BA495" s="90"/>
      <c r="BB495" s="90"/>
      <c r="BC495" s="90"/>
      <c r="BD495" s="90"/>
      <c r="BE495" s="90"/>
      <c r="BF495" s="90"/>
      <c r="BG495" s="90"/>
      <c r="BH495" s="90"/>
      <c r="BI495" s="90"/>
    </row>
    <row r="496" ht="12.75" customHeight="1">
      <c r="A496" s="90"/>
      <c r="B496" s="90"/>
      <c r="C496" s="400"/>
      <c r="D496" s="90"/>
      <c r="E496" s="102"/>
      <c r="F496" s="90"/>
      <c r="G496" s="90"/>
      <c r="H496" s="102"/>
      <c r="I496" s="102"/>
      <c r="J496" s="102"/>
      <c r="K496" s="102"/>
      <c r="L496" s="102"/>
      <c r="M496" s="102"/>
      <c r="N496" s="102"/>
      <c r="O496" s="102"/>
      <c r="P496" s="102"/>
      <c r="Q496" s="102"/>
      <c r="R496" s="102"/>
      <c r="S496" s="102"/>
      <c r="T496" s="102"/>
      <c r="U496" s="102"/>
      <c r="V496" s="102"/>
      <c r="W496" s="102"/>
      <c r="X496" s="102"/>
      <c r="Y496" s="102"/>
      <c r="Z496" s="102"/>
      <c r="AA496" s="102"/>
      <c r="AB496" s="102"/>
      <c r="AC496" s="102"/>
      <c r="AD496" s="102"/>
      <c r="AE496" s="102"/>
      <c r="AF496" s="102"/>
      <c r="AG496" s="102"/>
      <c r="AH496" s="102"/>
      <c r="AI496" s="102"/>
      <c r="AJ496" s="102"/>
      <c r="AK496" s="102"/>
      <c r="AL496" s="102"/>
      <c r="AM496" s="102"/>
      <c r="AN496" s="102"/>
      <c r="AO496" s="400"/>
      <c r="AP496" s="90"/>
      <c r="AQ496" s="90"/>
      <c r="AR496" s="90"/>
      <c r="AS496" s="90"/>
      <c r="AT496" s="90"/>
      <c r="AU496" s="90"/>
      <c r="AV496" s="90"/>
      <c r="AW496" s="90"/>
      <c r="AX496" s="90"/>
      <c r="AY496" s="90"/>
      <c r="AZ496" s="90"/>
      <c r="BA496" s="90"/>
      <c r="BB496" s="90"/>
      <c r="BC496" s="90"/>
      <c r="BD496" s="90"/>
      <c r="BE496" s="90"/>
      <c r="BF496" s="90"/>
      <c r="BG496" s="90"/>
      <c r="BH496" s="90"/>
      <c r="BI496" s="90"/>
    </row>
    <row r="497" ht="12.75" customHeight="1">
      <c r="A497" s="90"/>
      <c r="B497" s="90"/>
      <c r="C497" s="400"/>
      <c r="D497" s="90"/>
      <c r="E497" s="102"/>
      <c r="F497" s="90"/>
      <c r="G497" s="90"/>
      <c r="H497" s="102"/>
      <c r="I497" s="102"/>
      <c r="J497" s="102"/>
      <c r="K497" s="102"/>
      <c r="L497" s="102"/>
      <c r="M497" s="102"/>
      <c r="N497" s="102"/>
      <c r="O497" s="102"/>
      <c r="P497" s="102"/>
      <c r="Q497" s="102"/>
      <c r="R497" s="102"/>
      <c r="S497" s="102"/>
      <c r="T497" s="102"/>
      <c r="U497" s="102"/>
      <c r="V497" s="102"/>
      <c r="W497" s="102"/>
      <c r="X497" s="102"/>
      <c r="Y497" s="102"/>
      <c r="Z497" s="102"/>
      <c r="AA497" s="102"/>
      <c r="AB497" s="102"/>
      <c r="AC497" s="102"/>
      <c r="AD497" s="102"/>
      <c r="AE497" s="102"/>
      <c r="AF497" s="102"/>
      <c r="AG497" s="102"/>
      <c r="AH497" s="102"/>
      <c r="AI497" s="102"/>
      <c r="AJ497" s="102"/>
      <c r="AK497" s="102"/>
      <c r="AL497" s="102"/>
      <c r="AM497" s="102"/>
      <c r="AN497" s="102"/>
      <c r="AO497" s="400"/>
      <c r="AP497" s="90"/>
      <c r="AQ497" s="90"/>
      <c r="AR497" s="90"/>
      <c r="AS497" s="90"/>
      <c r="AT497" s="90"/>
      <c r="AU497" s="90"/>
      <c r="AV497" s="90"/>
      <c r="AW497" s="90"/>
      <c r="AX497" s="90"/>
      <c r="AY497" s="90"/>
      <c r="AZ497" s="90"/>
      <c r="BA497" s="90"/>
      <c r="BB497" s="90"/>
      <c r="BC497" s="90"/>
      <c r="BD497" s="90"/>
      <c r="BE497" s="90"/>
      <c r="BF497" s="90"/>
      <c r="BG497" s="90"/>
      <c r="BH497" s="90"/>
      <c r="BI497" s="90"/>
    </row>
    <row r="498" ht="12.75" customHeight="1">
      <c r="A498" s="90"/>
      <c r="B498" s="90"/>
      <c r="C498" s="400"/>
      <c r="D498" s="90"/>
      <c r="E498" s="102"/>
      <c r="F498" s="90"/>
      <c r="G498" s="90"/>
      <c r="H498" s="102"/>
      <c r="I498" s="102"/>
      <c r="J498" s="102"/>
      <c r="K498" s="102"/>
      <c r="L498" s="102"/>
      <c r="M498" s="102"/>
      <c r="N498" s="102"/>
      <c r="O498" s="102"/>
      <c r="P498" s="102"/>
      <c r="Q498" s="102"/>
      <c r="R498" s="102"/>
      <c r="S498" s="102"/>
      <c r="T498" s="102"/>
      <c r="U498" s="102"/>
      <c r="V498" s="102"/>
      <c r="W498" s="102"/>
      <c r="X498" s="102"/>
      <c r="Y498" s="102"/>
      <c r="Z498" s="102"/>
      <c r="AA498" s="102"/>
      <c r="AB498" s="102"/>
      <c r="AC498" s="102"/>
      <c r="AD498" s="102"/>
      <c r="AE498" s="102"/>
      <c r="AF498" s="102"/>
      <c r="AG498" s="102"/>
      <c r="AH498" s="102"/>
      <c r="AI498" s="102"/>
      <c r="AJ498" s="102"/>
      <c r="AK498" s="102"/>
      <c r="AL498" s="102"/>
      <c r="AM498" s="102"/>
      <c r="AN498" s="102"/>
      <c r="AO498" s="400"/>
      <c r="AP498" s="90"/>
      <c r="AQ498" s="90"/>
      <c r="AR498" s="90"/>
      <c r="AS498" s="90"/>
      <c r="AT498" s="90"/>
      <c r="AU498" s="90"/>
      <c r="AV498" s="90"/>
      <c r="AW498" s="90"/>
      <c r="AX498" s="90"/>
      <c r="AY498" s="90"/>
      <c r="AZ498" s="90"/>
      <c r="BA498" s="90"/>
      <c r="BB498" s="90"/>
      <c r="BC498" s="90"/>
      <c r="BD498" s="90"/>
      <c r="BE498" s="90"/>
      <c r="BF498" s="90"/>
      <c r="BG498" s="90"/>
      <c r="BH498" s="90"/>
      <c r="BI498" s="90"/>
    </row>
    <row r="499" ht="12.75" customHeight="1">
      <c r="A499" s="90"/>
      <c r="B499" s="90"/>
      <c r="C499" s="400"/>
      <c r="D499" s="90"/>
      <c r="E499" s="102"/>
      <c r="F499" s="90"/>
      <c r="G499" s="90"/>
      <c r="H499" s="102"/>
      <c r="I499" s="102"/>
      <c r="J499" s="102"/>
      <c r="K499" s="102"/>
      <c r="L499" s="102"/>
      <c r="M499" s="102"/>
      <c r="N499" s="102"/>
      <c r="O499" s="102"/>
      <c r="P499" s="102"/>
      <c r="Q499" s="102"/>
      <c r="R499" s="102"/>
      <c r="S499" s="102"/>
      <c r="T499" s="102"/>
      <c r="U499" s="102"/>
      <c r="V499" s="102"/>
      <c r="W499" s="102"/>
      <c r="X499" s="102"/>
      <c r="Y499" s="102"/>
      <c r="Z499" s="102"/>
      <c r="AA499" s="102"/>
      <c r="AB499" s="102"/>
      <c r="AC499" s="102"/>
      <c r="AD499" s="102"/>
      <c r="AE499" s="102"/>
      <c r="AF499" s="102"/>
      <c r="AG499" s="102"/>
      <c r="AH499" s="102"/>
      <c r="AI499" s="102"/>
      <c r="AJ499" s="102"/>
      <c r="AK499" s="102"/>
      <c r="AL499" s="102"/>
      <c r="AM499" s="102"/>
      <c r="AN499" s="102"/>
      <c r="AO499" s="400"/>
      <c r="AP499" s="90"/>
      <c r="AQ499" s="90"/>
      <c r="AR499" s="90"/>
      <c r="AS499" s="90"/>
      <c r="AT499" s="90"/>
      <c r="AU499" s="90"/>
      <c r="AV499" s="90"/>
      <c r="AW499" s="90"/>
      <c r="AX499" s="90"/>
      <c r="AY499" s="90"/>
      <c r="AZ499" s="90"/>
      <c r="BA499" s="90"/>
      <c r="BB499" s="90"/>
      <c r="BC499" s="90"/>
      <c r="BD499" s="90"/>
      <c r="BE499" s="90"/>
      <c r="BF499" s="90"/>
      <c r="BG499" s="90"/>
      <c r="BH499" s="90"/>
      <c r="BI499" s="90"/>
    </row>
    <row r="500" ht="12.75" customHeight="1">
      <c r="A500" s="90"/>
      <c r="B500" s="90"/>
      <c r="C500" s="400"/>
      <c r="D500" s="90"/>
      <c r="E500" s="102"/>
      <c r="F500" s="90"/>
      <c r="G500" s="90"/>
      <c r="H500" s="102"/>
      <c r="I500" s="102"/>
      <c r="J500" s="102"/>
      <c r="K500" s="102"/>
      <c r="L500" s="102"/>
      <c r="M500" s="102"/>
      <c r="N500" s="102"/>
      <c r="O500" s="102"/>
      <c r="P500" s="102"/>
      <c r="Q500" s="102"/>
      <c r="R500" s="102"/>
      <c r="S500" s="102"/>
      <c r="T500" s="102"/>
      <c r="U500" s="102"/>
      <c r="V500" s="102"/>
      <c r="W500" s="102"/>
      <c r="X500" s="102"/>
      <c r="Y500" s="102"/>
      <c r="Z500" s="102"/>
      <c r="AA500" s="102"/>
      <c r="AB500" s="102"/>
      <c r="AC500" s="102"/>
      <c r="AD500" s="102"/>
      <c r="AE500" s="102"/>
      <c r="AF500" s="102"/>
      <c r="AG500" s="102"/>
      <c r="AH500" s="102"/>
      <c r="AI500" s="102"/>
      <c r="AJ500" s="102"/>
      <c r="AK500" s="102"/>
      <c r="AL500" s="102"/>
      <c r="AM500" s="102"/>
      <c r="AN500" s="102"/>
      <c r="AO500" s="400"/>
      <c r="AP500" s="90"/>
      <c r="AQ500" s="90"/>
      <c r="AR500" s="90"/>
      <c r="AS500" s="90"/>
      <c r="AT500" s="90"/>
      <c r="AU500" s="90"/>
      <c r="AV500" s="90"/>
      <c r="AW500" s="90"/>
      <c r="AX500" s="90"/>
      <c r="AY500" s="90"/>
      <c r="AZ500" s="90"/>
      <c r="BA500" s="90"/>
      <c r="BB500" s="90"/>
      <c r="BC500" s="90"/>
      <c r="BD500" s="90"/>
      <c r="BE500" s="90"/>
      <c r="BF500" s="90"/>
      <c r="BG500" s="90"/>
      <c r="BH500" s="90"/>
      <c r="BI500" s="90"/>
    </row>
    <row r="501" ht="12.75" customHeight="1">
      <c r="A501" s="90"/>
      <c r="B501" s="90"/>
      <c r="C501" s="400"/>
      <c r="D501" s="90"/>
      <c r="E501" s="102"/>
      <c r="F501" s="90"/>
      <c r="G501" s="90"/>
      <c r="H501" s="102"/>
      <c r="I501" s="102"/>
      <c r="J501" s="102"/>
      <c r="K501" s="102"/>
      <c r="L501" s="102"/>
      <c r="M501" s="102"/>
      <c r="N501" s="102"/>
      <c r="O501" s="102"/>
      <c r="P501" s="102"/>
      <c r="Q501" s="102"/>
      <c r="R501" s="102"/>
      <c r="S501" s="102"/>
      <c r="T501" s="102"/>
      <c r="U501" s="102"/>
      <c r="V501" s="102"/>
      <c r="W501" s="102"/>
      <c r="X501" s="102"/>
      <c r="Y501" s="102"/>
      <c r="Z501" s="102"/>
      <c r="AA501" s="102"/>
      <c r="AB501" s="102"/>
      <c r="AC501" s="102"/>
      <c r="AD501" s="102"/>
      <c r="AE501" s="102"/>
      <c r="AF501" s="102"/>
      <c r="AG501" s="102"/>
      <c r="AH501" s="102"/>
      <c r="AI501" s="102"/>
      <c r="AJ501" s="102"/>
      <c r="AK501" s="102"/>
      <c r="AL501" s="102"/>
      <c r="AM501" s="102"/>
      <c r="AN501" s="102"/>
      <c r="AO501" s="400"/>
      <c r="AP501" s="90"/>
      <c r="AQ501" s="90"/>
      <c r="AR501" s="90"/>
      <c r="AS501" s="90"/>
      <c r="AT501" s="90"/>
      <c r="AU501" s="90"/>
      <c r="AV501" s="90"/>
      <c r="AW501" s="90"/>
      <c r="AX501" s="90"/>
      <c r="AY501" s="90"/>
      <c r="AZ501" s="90"/>
      <c r="BA501" s="90"/>
      <c r="BB501" s="90"/>
      <c r="BC501" s="90"/>
      <c r="BD501" s="90"/>
      <c r="BE501" s="90"/>
      <c r="BF501" s="90"/>
      <c r="BG501" s="90"/>
      <c r="BH501" s="90"/>
      <c r="BI501" s="90"/>
    </row>
    <row r="502" ht="12.75" customHeight="1">
      <c r="A502" s="90"/>
      <c r="B502" s="90"/>
      <c r="C502" s="400"/>
      <c r="D502" s="90"/>
      <c r="E502" s="102"/>
      <c r="F502" s="90"/>
      <c r="G502" s="90"/>
      <c r="H502" s="102"/>
      <c r="I502" s="102"/>
      <c r="J502" s="102"/>
      <c r="K502" s="102"/>
      <c r="L502" s="102"/>
      <c r="M502" s="102"/>
      <c r="N502" s="102"/>
      <c r="O502" s="102"/>
      <c r="P502" s="102"/>
      <c r="Q502" s="102"/>
      <c r="R502" s="102"/>
      <c r="S502" s="102"/>
      <c r="T502" s="102"/>
      <c r="U502" s="102"/>
      <c r="V502" s="102"/>
      <c r="W502" s="102"/>
      <c r="X502" s="102"/>
      <c r="Y502" s="102"/>
      <c r="Z502" s="102"/>
      <c r="AA502" s="102"/>
      <c r="AB502" s="102"/>
      <c r="AC502" s="102"/>
      <c r="AD502" s="102"/>
      <c r="AE502" s="102"/>
      <c r="AF502" s="102"/>
      <c r="AG502" s="102"/>
      <c r="AH502" s="102"/>
      <c r="AI502" s="102"/>
      <c r="AJ502" s="102"/>
      <c r="AK502" s="102"/>
      <c r="AL502" s="102"/>
      <c r="AM502" s="102"/>
      <c r="AN502" s="102"/>
      <c r="AO502" s="400"/>
      <c r="AP502" s="90"/>
      <c r="AQ502" s="90"/>
      <c r="AR502" s="90"/>
      <c r="AS502" s="90"/>
      <c r="AT502" s="90"/>
      <c r="AU502" s="90"/>
      <c r="AV502" s="90"/>
      <c r="AW502" s="90"/>
      <c r="AX502" s="90"/>
      <c r="AY502" s="90"/>
      <c r="AZ502" s="90"/>
      <c r="BA502" s="90"/>
      <c r="BB502" s="90"/>
      <c r="BC502" s="90"/>
      <c r="BD502" s="90"/>
      <c r="BE502" s="90"/>
      <c r="BF502" s="90"/>
      <c r="BG502" s="90"/>
      <c r="BH502" s="90"/>
      <c r="BI502" s="90"/>
    </row>
    <row r="503" ht="12.75" customHeight="1">
      <c r="A503" s="90"/>
      <c r="B503" s="90"/>
      <c r="C503" s="400"/>
      <c r="D503" s="90"/>
      <c r="E503" s="102"/>
      <c r="F503" s="90"/>
      <c r="G503" s="90"/>
      <c r="H503" s="102"/>
      <c r="I503" s="102"/>
      <c r="J503" s="102"/>
      <c r="K503" s="102"/>
      <c r="L503" s="102"/>
      <c r="M503" s="102"/>
      <c r="N503" s="102"/>
      <c r="O503" s="102"/>
      <c r="P503" s="102"/>
      <c r="Q503" s="102"/>
      <c r="R503" s="102"/>
      <c r="S503" s="102"/>
      <c r="T503" s="102"/>
      <c r="U503" s="102"/>
      <c r="V503" s="102"/>
      <c r="W503" s="102"/>
      <c r="X503" s="102"/>
      <c r="Y503" s="102"/>
      <c r="Z503" s="102"/>
      <c r="AA503" s="102"/>
      <c r="AB503" s="102"/>
      <c r="AC503" s="102"/>
      <c r="AD503" s="102"/>
      <c r="AE503" s="102"/>
      <c r="AF503" s="102"/>
      <c r="AG503" s="102"/>
      <c r="AH503" s="102"/>
      <c r="AI503" s="102"/>
      <c r="AJ503" s="102"/>
      <c r="AK503" s="102"/>
      <c r="AL503" s="102"/>
      <c r="AM503" s="102"/>
      <c r="AN503" s="102"/>
      <c r="AO503" s="400"/>
      <c r="AP503" s="90"/>
      <c r="AQ503" s="90"/>
      <c r="AR503" s="90"/>
      <c r="AS503" s="90"/>
      <c r="AT503" s="90"/>
      <c r="AU503" s="90"/>
      <c r="AV503" s="90"/>
      <c r="AW503" s="90"/>
      <c r="AX503" s="90"/>
      <c r="AY503" s="90"/>
      <c r="AZ503" s="90"/>
      <c r="BA503" s="90"/>
      <c r="BB503" s="90"/>
      <c r="BC503" s="90"/>
      <c r="BD503" s="90"/>
      <c r="BE503" s="90"/>
      <c r="BF503" s="90"/>
      <c r="BG503" s="90"/>
      <c r="BH503" s="90"/>
      <c r="BI503" s="90"/>
    </row>
    <row r="504" ht="12.75" customHeight="1">
      <c r="A504" s="90"/>
      <c r="B504" s="90"/>
      <c r="C504" s="400"/>
      <c r="D504" s="90"/>
      <c r="E504" s="102"/>
      <c r="F504" s="90"/>
      <c r="G504" s="90"/>
      <c r="H504" s="102"/>
      <c r="I504" s="102"/>
      <c r="J504" s="102"/>
      <c r="K504" s="102"/>
      <c r="L504" s="102"/>
      <c r="M504" s="102"/>
      <c r="N504" s="102"/>
      <c r="O504" s="102"/>
      <c r="P504" s="102"/>
      <c r="Q504" s="102"/>
      <c r="R504" s="102"/>
      <c r="S504" s="102"/>
      <c r="T504" s="102"/>
      <c r="U504" s="102"/>
      <c r="V504" s="102"/>
      <c r="W504" s="102"/>
      <c r="X504" s="102"/>
      <c r="Y504" s="102"/>
      <c r="Z504" s="102"/>
      <c r="AA504" s="102"/>
      <c r="AB504" s="102"/>
      <c r="AC504" s="102"/>
      <c r="AD504" s="102"/>
      <c r="AE504" s="102"/>
      <c r="AF504" s="102"/>
      <c r="AG504" s="102"/>
      <c r="AH504" s="102"/>
      <c r="AI504" s="102"/>
      <c r="AJ504" s="102"/>
      <c r="AK504" s="102"/>
      <c r="AL504" s="102"/>
      <c r="AM504" s="102"/>
      <c r="AN504" s="102"/>
      <c r="AO504" s="400"/>
      <c r="AP504" s="90"/>
      <c r="AQ504" s="90"/>
      <c r="AR504" s="90"/>
      <c r="AS504" s="90"/>
      <c r="AT504" s="90"/>
      <c r="AU504" s="90"/>
      <c r="AV504" s="90"/>
      <c r="AW504" s="90"/>
      <c r="AX504" s="90"/>
      <c r="AY504" s="90"/>
      <c r="AZ504" s="90"/>
      <c r="BA504" s="90"/>
      <c r="BB504" s="90"/>
      <c r="BC504" s="90"/>
      <c r="BD504" s="90"/>
      <c r="BE504" s="90"/>
      <c r="BF504" s="90"/>
      <c r="BG504" s="90"/>
      <c r="BH504" s="90"/>
      <c r="BI504" s="90"/>
    </row>
    <row r="505" ht="12.75" customHeight="1">
      <c r="A505" s="90"/>
      <c r="B505" s="90"/>
      <c r="C505" s="400"/>
      <c r="D505" s="90"/>
      <c r="E505" s="102"/>
      <c r="F505" s="90"/>
      <c r="G505" s="90"/>
      <c r="H505" s="102"/>
      <c r="I505" s="102"/>
      <c r="J505" s="102"/>
      <c r="K505" s="102"/>
      <c r="L505" s="102"/>
      <c r="M505" s="102"/>
      <c r="N505" s="102"/>
      <c r="O505" s="102"/>
      <c r="P505" s="102"/>
      <c r="Q505" s="102"/>
      <c r="R505" s="102"/>
      <c r="S505" s="102"/>
      <c r="T505" s="102"/>
      <c r="U505" s="102"/>
      <c r="V505" s="102"/>
      <c r="W505" s="102"/>
      <c r="X505" s="102"/>
      <c r="Y505" s="102"/>
      <c r="Z505" s="102"/>
      <c r="AA505" s="102"/>
      <c r="AB505" s="102"/>
      <c r="AC505" s="102"/>
      <c r="AD505" s="102"/>
      <c r="AE505" s="102"/>
      <c r="AF505" s="102"/>
      <c r="AG505" s="102"/>
      <c r="AH505" s="102"/>
      <c r="AI505" s="102"/>
      <c r="AJ505" s="102"/>
      <c r="AK505" s="102"/>
      <c r="AL505" s="102"/>
      <c r="AM505" s="102"/>
      <c r="AN505" s="102"/>
      <c r="AO505" s="400"/>
      <c r="AP505" s="90"/>
      <c r="AQ505" s="90"/>
      <c r="AR505" s="90"/>
      <c r="AS505" s="90"/>
      <c r="AT505" s="90"/>
      <c r="AU505" s="90"/>
      <c r="AV505" s="90"/>
      <c r="AW505" s="90"/>
      <c r="AX505" s="90"/>
      <c r="AY505" s="90"/>
      <c r="AZ505" s="90"/>
      <c r="BA505" s="90"/>
      <c r="BB505" s="90"/>
      <c r="BC505" s="90"/>
      <c r="BD505" s="90"/>
      <c r="BE505" s="90"/>
      <c r="BF505" s="90"/>
      <c r="BG505" s="90"/>
      <c r="BH505" s="90"/>
      <c r="BI505" s="90"/>
    </row>
    <row r="506" ht="12.75" customHeight="1">
      <c r="A506" s="90"/>
      <c r="B506" s="90"/>
      <c r="C506" s="400"/>
      <c r="D506" s="90"/>
      <c r="E506" s="102"/>
      <c r="F506" s="90"/>
      <c r="G506" s="90"/>
      <c r="H506" s="102"/>
      <c r="I506" s="102"/>
      <c r="J506" s="102"/>
      <c r="K506" s="102"/>
      <c r="L506" s="102"/>
      <c r="M506" s="102"/>
      <c r="N506" s="102"/>
      <c r="O506" s="102"/>
      <c r="P506" s="102"/>
      <c r="Q506" s="102"/>
      <c r="R506" s="102"/>
      <c r="S506" s="102"/>
      <c r="T506" s="102"/>
      <c r="U506" s="102"/>
      <c r="V506" s="102"/>
      <c r="W506" s="102"/>
      <c r="X506" s="102"/>
      <c r="Y506" s="102"/>
      <c r="Z506" s="102"/>
      <c r="AA506" s="102"/>
      <c r="AB506" s="102"/>
      <c r="AC506" s="102"/>
      <c r="AD506" s="102"/>
      <c r="AE506" s="102"/>
      <c r="AF506" s="102"/>
      <c r="AG506" s="102"/>
      <c r="AH506" s="102"/>
      <c r="AI506" s="102"/>
      <c r="AJ506" s="102"/>
      <c r="AK506" s="102"/>
      <c r="AL506" s="102"/>
      <c r="AM506" s="102"/>
      <c r="AN506" s="102"/>
      <c r="AO506" s="400"/>
      <c r="AP506" s="90"/>
      <c r="AQ506" s="90"/>
      <c r="AR506" s="90"/>
      <c r="AS506" s="90"/>
      <c r="AT506" s="90"/>
      <c r="AU506" s="90"/>
      <c r="AV506" s="90"/>
      <c r="AW506" s="90"/>
      <c r="AX506" s="90"/>
      <c r="AY506" s="90"/>
      <c r="AZ506" s="90"/>
      <c r="BA506" s="90"/>
      <c r="BB506" s="90"/>
      <c r="BC506" s="90"/>
      <c r="BD506" s="90"/>
      <c r="BE506" s="90"/>
      <c r="BF506" s="90"/>
      <c r="BG506" s="90"/>
      <c r="BH506" s="90"/>
      <c r="BI506" s="90"/>
    </row>
    <row r="507" ht="12.75" customHeight="1">
      <c r="A507" s="90"/>
      <c r="B507" s="90"/>
      <c r="C507" s="400"/>
      <c r="D507" s="90"/>
      <c r="E507" s="102"/>
      <c r="F507" s="90"/>
      <c r="G507" s="90"/>
      <c r="H507" s="102"/>
      <c r="I507" s="102"/>
      <c r="J507" s="102"/>
      <c r="K507" s="102"/>
      <c r="L507" s="102"/>
      <c r="M507" s="102"/>
      <c r="N507" s="102"/>
      <c r="O507" s="102"/>
      <c r="P507" s="102"/>
      <c r="Q507" s="102"/>
      <c r="R507" s="102"/>
      <c r="S507" s="102"/>
      <c r="T507" s="102"/>
      <c r="U507" s="102"/>
      <c r="V507" s="102"/>
      <c r="W507" s="102"/>
      <c r="X507" s="102"/>
      <c r="Y507" s="102"/>
      <c r="Z507" s="102"/>
      <c r="AA507" s="102"/>
      <c r="AB507" s="102"/>
      <c r="AC507" s="102"/>
      <c r="AD507" s="102"/>
      <c r="AE507" s="102"/>
      <c r="AF507" s="102"/>
      <c r="AG507" s="102"/>
      <c r="AH507" s="102"/>
      <c r="AI507" s="102"/>
      <c r="AJ507" s="102"/>
      <c r="AK507" s="102"/>
      <c r="AL507" s="102"/>
      <c r="AM507" s="102"/>
      <c r="AN507" s="102"/>
      <c r="AO507" s="400"/>
      <c r="AP507" s="90"/>
      <c r="AQ507" s="90"/>
      <c r="AR507" s="90"/>
      <c r="AS507" s="90"/>
      <c r="AT507" s="90"/>
      <c r="AU507" s="90"/>
      <c r="AV507" s="90"/>
      <c r="AW507" s="90"/>
      <c r="AX507" s="90"/>
      <c r="AY507" s="90"/>
      <c r="AZ507" s="90"/>
      <c r="BA507" s="90"/>
      <c r="BB507" s="90"/>
      <c r="BC507" s="90"/>
      <c r="BD507" s="90"/>
      <c r="BE507" s="90"/>
      <c r="BF507" s="90"/>
      <c r="BG507" s="90"/>
      <c r="BH507" s="90"/>
      <c r="BI507" s="90"/>
    </row>
    <row r="508" ht="12.75" customHeight="1">
      <c r="A508" s="90"/>
      <c r="B508" s="90"/>
      <c r="C508" s="400"/>
      <c r="D508" s="90"/>
      <c r="E508" s="102"/>
      <c r="F508" s="90"/>
      <c r="G508" s="90"/>
      <c r="H508" s="102"/>
      <c r="I508" s="102"/>
      <c r="J508" s="102"/>
      <c r="K508" s="102"/>
      <c r="L508" s="102"/>
      <c r="M508" s="102"/>
      <c r="N508" s="102"/>
      <c r="O508" s="102"/>
      <c r="P508" s="102"/>
      <c r="Q508" s="102"/>
      <c r="R508" s="102"/>
      <c r="S508" s="102"/>
      <c r="T508" s="102"/>
      <c r="U508" s="102"/>
      <c r="V508" s="102"/>
      <c r="W508" s="102"/>
      <c r="X508" s="102"/>
      <c r="Y508" s="102"/>
      <c r="Z508" s="102"/>
      <c r="AA508" s="102"/>
      <c r="AB508" s="102"/>
      <c r="AC508" s="102"/>
      <c r="AD508" s="102"/>
      <c r="AE508" s="102"/>
      <c r="AF508" s="102"/>
      <c r="AG508" s="102"/>
      <c r="AH508" s="102"/>
      <c r="AI508" s="102"/>
      <c r="AJ508" s="102"/>
      <c r="AK508" s="102"/>
      <c r="AL508" s="102"/>
      <c r="AM508" s="102"/>
      <c r="AN508" s="102"/>
      <c r="AO508" s="400"/>
      <c r="AP508" s="90"/>
      <c r="AQ508" s="90"/>
      <c r="AR508" s="90"/>
      <c r="AS508" s="90"/>
      <c r="AT508" s="90"/>
      <c r="AU508" s="90"/>
      <c r="AV508" s="90"/>
      <c r="AW508" s="90"/>
      <c r="AX508" s="90"/>
      <c r="AY508" s="90"/>
      <c r="AZ508" s="90"/>
      <c r="BA508" s="90"/>
      <c r="BB508" s="90"/>
      <c r="BC508" s="90"/>
      <c r="BD508" s="90"/>
      <c r="BE508" s="90"/>
      <c r="BF508" s="90"/>
      <c r="BG508" s="90"/>
      <c r="BH508" s="90"/>
      <c r="BI508" s="90"/>
    </row>
    <row r="509" ht="12.75" customHeight="1">
      <c r="A509" s="90"/>
      <c r="B509" s="90"/>
      <c r="C509" s="400"/>
      <c r="D509" s="90"/>
      <c r="E509" s="102"/>
      <c r="F509" s="90"/>
      <c r="G509" s="90"/>
      <c r="H509" s="102"/>
      <c r="I509" s="102"/>
      <c r="J509" s="102"/>
      <c r="K509" s="102"/>
      <c r="L509" s="102"/>
      <c r="M509" s="102"/>
      <c r="N509" s="102"/>
      <c r="O509" s="102"/>
      <c r="P509" s="102"/>
      <c r="Q509" s="102"/>
      <c r="R509" s="102"/>
      <c r="S509" s="102"/>
      <c r="T509" s="102"/>
      <c r="U509" s="102"/>
      <c r="V509" s="102"/>
      <c r="W509" s="102"/>
      <c r="X509" s="102"/>
      <c r="Y509" s="102"/>
      <c r="Z509" s="102"/>
      <c r="AA509" s="102"/>
      <c r="AB509" s="102"/>
      <c r="AC509" s="102"/>
      <c r="AD509" s="102"/>
      <c r="AE509" s="102"/>
      <c r="AF509" s="102"/>
      <c r="AG509" s="102"/>
      <c r="AH509" s="102"/>
      <c r="AI509" s="102"/>
      <c r="AJ509" s="102"/>
      <c r="AK509" s="102"/>
      <c r="AL509" s="102"/>
      <c r="AM509" s="102"/>
      <c r="AN509" s="102"/>
      <c r="AO509" s="400"/>
      <c r="AP509" s="90"/>
      <c r="AQ509" s="90"/>
      <c r="AR509" s="90"/>
      <c r="AS509" s="90"/>
      <c r="AT509" s="90"/>
      <c r="AU509" s="90"/>
      <c r="AV509" s="90"/>
      <c r="AW509" s="90"/>
      <c r="AX509" s="90"/>
      <c r="AY509" s="90"/>
      <c r="AZ509" s="90"/>
      <c r="BA509" s="90"/>
      <c r="BB509" s="90"/>
      <c r="BC509" s="90"/>
      <c r="BD509" s="90"/>
      <c r="BE509" s="90"/>
      <c r="BF509" s="90"/>
      <c r="BG509" s="90"/>
      <c r="BH509" s="90"/>
      <c r="BI509" s="90"/>
    </row>
    <row r="510" ht="12.75" customHeight="1">
      <c r="A510" s="90"/>
      <c r="B510" s="90"/>
      <c r="C510" s="400"/>
      <c r="D510" s="90"/>
      <c r="E510" s="102"/>
      <c r="F510" s="90"/>
      <c r="G510" s="90"/>
      <c r="H510" s="102"/>
      <c r="I510" s="102"/>
      <c r="J510" s="102"/>
      <c r="K510" s="102"/>
      <c r="L510" s="102"/>
      <c r="M510" s="102"/>
      <c r="N510" s="102"/>
      <c r="O510" s="102"/>
      <c r="P510" s="102"/>
      <c r="Q510" s="102"/>
      <c r="R510" s="102"/>
      <c r="S510" s="102"/>
      <c r="T510" s="102"/>
      <c r="U510" s="102"/>
      <c r="V510" s="102"/>
      <c r="W510" s="102"/>
      <c r="X510" s="102"/>
      <c r="Y510" s="102"/>
      <c r="Z510" s="102"/>
      <c r="AA510" s="102"/>
      <c r="AB510" s="102"/>
      <c r="AC510" s="102"/>
      <c r="AD510" s="102"/>
      <c r="AE510" s="102"/>
      <c r="AF510" s="102"/>
      <c r="AG510" s="102"/>
      <c r="AH510" s="102"/>
      <c r="AI510" s="102"/>
      <c r="AJ510" s="102"/>
      <c r="AK510" s="102"/>
      <c r="AL510" s="102"/>
      <c r="AM510" s="102"/>
      <c r="AN510" s="102"/>
      <c r="AO510" s="400"/>
      <c r="AP510" s="90"/>
      <c r="AQ510" s="90"/>
      <c r="AR510" s="90"/>
      <c r="AS510" s="90"/>
      <c r="AT510" s="90"/>
      <c r="AU510" s="90"/>
      <c r="AV510" s="90"/>
      <c r="AW510" s="90"/>
      <c r="AX510" s="90"/>
      <c r="AY510" s="90"/>
      <c r="AZ510" s="90"/>
      <c r="BA510" s="90"/>
      <c r="BB510" s="90"/>
      <c r="BC510" s="90"/>
      <c r="BD510" s="90"/>
      <c r="BE510" s="90"/>
      <c r="BF510" s="90"/>
      <c r="BG510" s="90"/>
      <c r="BH510" s="90"/>
      <c r="BI510" s="90"/>
    </row>
    <row r="511" ht="12.75" customHeight="1">
      <c r="A511" s="90"/>
      <c r="B511" s="90"/>
      <c r="C511" s="400"/>
      <c r="D511" s="90"/>
      <c r="E511" s="102"/>
      <c r="F511" s="90"/>
      <c r="G511" s="90"/>
      <c r="H511" s="102"/>
      <c r="I511" s="102"/>
      <c r="J511" s="102"/>
      <c r="K511" s="102"/>
      <c r="L511" s="102"/>
      <c r="M511" s="102"/>
      <c r="N511" s="102"/>
      <c r="O511" s="102"/>
      <c r="P511" s="102"/>
      <c r="Q511" s="102"/>
      <c r="R511" s="102"/>
      <c r="S511" s="102"/>
      <c r="T511" s="102"/>
      <c r="U511" s="102"/>
      <c r="V511" s="102"/>
      <c r="W511" s="102"/>
      <c r="X511" s="102"/>
      <c r="Y511" s="102"/>
      <c r="Z511" s="102"/>
      <c r="AA511" s="102"/>
      <c r="AB511" s="102"/>
      <c r="AC511" s="102"/>
      <c r="AD511" s="102"/>
      <c r="AE511" s="102"/>
      <c r="AF511" s="102"/>
      <c r="AG511" s="102"/>
      <c r="AH511" s="102"/>
      <c r="AI511" s="102"/>
      <c r="AJ511" s="102"/>
      <c r="AK511" s="102"/>
      <c r="AL511" s="102"/>
      <c r="AM511" s="102"/>
      <c r="AN511" s="102"/>
      <c r="AO511" s="400"/>
      <c r="AP511" s="90"/>
      <c r="AQ511" s="90"/>
      <c r="AR511" s="90"/>
      <c r="AS511" s="90"/>
      <c r="AT511" s="90"/>
      <c r="AU511" s="90"/>
      <c r="AV511" s="90"/>
      <c r="AW511" s="90"/>
      <c r="AX511" s="90"/>
      <c r="AY511" s="90"/>
      <c r="AZ511" s="90"/>
      <c r="BA511" s="90"/>
      <c r="BB511" s="90"/>
      <c r="BC511" s="90"/>
      <c r="BD511" s="90"/>
      <c r="BE511" s="90"/>
      <c r="BF511" s="90"/>
      <c r="BG511" s="90"/>
      <c r="BH511" s="90"/>
      <c r="BI511" s="90"/>
    </row>
    <row r="512" ht="12.75" customHeight="1">
      <c r="A512" s="90"/>
      <c r="B512" s="90"/>
      <c r="C512" s="400"/>
      <c r="D512" s="90"/>
      <c r="E512" s="102"/>
      <c r="F512" s="90"/>
      <c r="G512" s="90"/>
      <c r="H512" s="102"/>
      <c r="I512" s="102"/>
      <c r="J512" s="102"/>
      <c r="K512" s="102"/>
      <c r="L512" s="102"/>
      <c r="M512" s="102"/>
      <c r="N512" s="102"/>
      <c r="O512" s="102"/>
      <c r="P512" s="102"/>
      <c r="Q512" s="102"/>
      <c r="R512" s="102"/>
      <c r="S512" s="102"/>
      <c r="T512" s="102"/>
      <c r="U512" s="102"/>
      <c r="V512" s="102"/>
      <c r="W512" s="102"/>
      <c r="X512" s="102"/>
      <c r="Y512" s="102"/>
      <c r="Z512" s="102"/>
      <c r="AA512" s="102"/>
      <c r="AB512" s="102"/>
      <c r="AC512" s="102"/>
      <c r="AD512" s="102"/>
      <c r="AE512" s="102"/>
      <c r="AF512" s="102"/>
      <c r="AG512" s="102"/>
      <c r="AH512" s="102"/>
      <c r="AI512" s="102"/>
      <c r="AJ512" s="102"/>
      <c r="AK512" s="102"/>
      <c r="AL512" s="102"/>
      <c r="AM512" s="102"/>
      <c r="AN512" s="102"/>
      <c r="AO512" s="400"/>
      <c r="AP512" s="90"/>
      <c r="AQ512" s="90"/>
      <c r="AR512" s="90"/>
      <c r="AS512" s="90"/>
      <c r="AT512" s="90"/>
      <c r="AU512" s="90"/>
      <c r="AV512" s="90"/>
      <c r="AW512" s="90"/>
      <c r="AX512" s="90"/>
      <c r="AY512" s="90"/>
      <c r="AZ512" s="90"/>
      <c r="BA512" s="90"/>
      <c r="BB512" s="90"/>
      <c r="BC512" s="90"/>
      <c r="BD512" s="90"/>
      <c r="BE512" s="90"/>
      <c r="BF512" s="90"/>
      <c r="BG512" s="90"/>
      <c r="BH512" s="90"/>
      <c r="BI512" s="90"/>
    </row>
    <row r="513" ht="12.75" customHeight="1">
      <c r="A513" s="90"/>
      <c r="B513" s="90"/>
      <c r="C513" s="400"/>
      <c r="D513" s="90"/>
      <c r="E513" s="102"/>
      <c r="F513" s="90"/>
      <c r="G513" s="90"/>
      <c r="H513" s="102"/>
      <c r="I513" s="102"/>
      <c r="J513" s="102"/>
      <c r="K513" s="102"/>
      <c r="L513" s="102"/>
      <c r="M513" s="102"/>
      <c r="N513" s="102"/>
      <c r="O513" s="102"/>
      <c r="P513" s="102"/>
      <c r="Q513" s="102"/>
      <c r="R513" s="102"/>
      <c r="S513" s="102"/>
      <c r="T513" s="102"/>
      <c r="U513" s="102"/>
      <c r="V513" s="102"/>
      <c r="W513" s="102"/>
      <c r="X513" s="102"/>
      <c r="Y513" s="102"/>
      <c r="Z513" s="102"/>
      <c r="AA513" s="102"/>
      <c r="AB513" s="102"/>
      <c r="AC513" s="102"/>
      <c r="AD513" s="102"/>
      <c r="AE513" s="102"/>
      <c r="AF513" s="102"/>
      <c r="AG513" s="102"/>
      <c r="AH513" s="102"/>
      <c r="AI513" s="102"/>
      <c r="AJ513" s="102"/>
      <c r="AK513" s="102"/>
      <c r="AL513" s="102"/>
      <c r="AM513" s="102"/>
      <c r="AN513" s="102"/>
      <c r="AO513" s="400"/>
      <c r="AP513" s="90"/>
      <c r="AQ513" s="90"/>
      <c r="AR513" s="90"/>
      <c r="AS513" s="90"/>
      <c r="AT513" s="90"/>
      <c r="AU513" s="90"/>
      <c r="AV513" s="90"/>
      <c r="AW513" s="90"/>
      <c r="AX513" s="90"/>
      <c r="AY513" s="90"/>
      <c r="AZ513" s="90"/>
      <c r="BA513" s="90"/>
      <c r="BB513" s="90"/>
      <c r="BC513" s="90"/>
      <c r="BD513" s="90"/>
      <c r="BE513" s="90"/>
      <c r="BF513" s="90"/>
      <c r="BG513" s="90"/>
      <c r="BH513" s="90"/>
      <c r="BI513" s="90"/>
    </row>
    <row r="514" ht="12.75" customHeight="1">
      <c r="A514" s="90"/>
      <c r="B514" s="90"/>
      <c r="C514" s="400"/>
      <c r="D514" s="90"/>
      <c r="E514" s="102"/>
      <c r="F514" s="90"/>
      <c r="G514" s="90"/>
      <c r="H514" s="102"/>
      <c r="I514" s="102"/>
      <c r="J514" s="102"/>
      <c r="K514" s="102"/>
      <c r="L514" s="102"/>
      <c r="M514" s="102"/>
      <c r="N514" s="102"/>
      <c r="O514" s="102"/>
      <c r="P514" s="102"/>
      <c r="Q514" s="102"/>
      <c r="R514" s="102"/>
      <c r="S514" s="102"/>
      <c r="T514" s="102"/>
      <c r="U514" s="102"/>
      <c r="V514" s="102"/>
      <c r="W514" s="102"/>
      <c r="X514" s="102"/>
      <c r="Y514" s="102"/>
      <c r="Z514" s="102"/>
      <c r="AA514" s="102"/>
      <c r="AB514" s="102"/>
      <c r="AC514" s="102"/>
      <c r="AD514" s="102"/>
      <c r="AE514" s="102"/>
      <c r="AF514" s="102"/>
      <c r="AG514" s="102"/>
      <c r="AH514" s="102"/>
      <c r="AI514" s="102"/>
      <c r="AJ514" s="102"/>
      <c r="AK514" s="102"/>
      <c r="AL514" s="102"/>
      <c r="AM514" s="102"/>
      <c r="AN514" s="102"/>
      <c r="AO514" s="400"/>
      <c r="AP514" s="90"/>
      <c r="AQ514" s="90"/>
      <c r="AR514" s="90"/>
      <c r="AS514" s="90"/>
      <c r="AT514" s="90"/>
      <c r="AU514" s="90"/>
      <c r="AV514" s="90"/>
      <c r="AW514" s="90"/>
      <c r="AX514" s="90"/>
      <c r="AY514" s="90"/>
      <c r="AZ514" s="90"/>
      <c r="BA514" s="90"/>
      <c r="BB514" s="90"/>
      <c r="BC514" s="90"/>
      <c r="BD514" s="90"/>
      <c r="BE514" s="90"/>
      <c r="BF514" s="90"/>
      <c r="BG514" s="90"/>
      <c r="BH514" s="90"/>
      <c r="BI514" s="90"/>
    </row>
    <row r="515" ht="12.75" customHeight="1">
      <c r="A515" s="90"/>
      <c r="B515" s="90"/>
      <c r="C515" s="400"/>
      <c r="D515" s="90"/>
      <c r="E515" s="102"/>
      <c r="F515" s="90"/>
      <c r="G515" s="90"/>
      <c r="H515" s="102"/>
      <c r="I515" s="102"/>
      <c r="J515" s="102"/>
      <c r="K515" s="102"/>
      <c r="L515" s="102"/>
      <c r="M515" s="102"/>
      <c r="N515" s="102"/>
      <c r="O515" s="102"/>
      <c r="P515" s="102"/>
      <c r="Q515" s="102"/>
      <c r="R515" s="102"/>
      <c r="S515" s="102"/>
      <c r="T515" s="102"/>
      <c r="U515" s="102"/>
      <c r="V515" s="102"/>
      <c r="W515" s="102"/>
      <c r="X515" s="102"/>
      <c r="Y515" s="102"/>
      <c r="Z515" s="102"/>
      <c r="AA515" s="102"/>
      <c r="AB515" s="102"/>
      <c r="AC515" s="102"/>
      <c r="AD515" s="102"/>
      <c r="AE515" s="102"/>
      <c r="AF515" s="102"/>
      <c r="AG515" s="102"/>
      <c r="AH515" s="102"/>
      <c r="AI515" s="102"/>
      <c r="AJ515" s="102"/>
      <c r="AK515" s="102"/>
      <c r="AL515" s="102"/>
      <c r="AM515" s="102"/>
      <c r="AN515" s="102"/>
      <c r="AO515" s="400"/>
      <c r="AP515" s="90"/>
      <c r="AQ515" s="90"/>
      <c r="AR515" s="90"/>
      <c r="AS515" s="90"/>
      <c r="AT515" s="90"/>
      <c r="AU515" s="90"/>
      <c r="AV515" s="90"/>
      <c r="AW515" s="90"/>
      <c r="AX515" s="90"/>
      <c r="AY515" s="90"/>
      <c r="AZ515" s="90"/>
      <c r="BA515" s="90"/>
      <c r="BB515" s="90"/>
      <c r="BC515" s="90"/>
      <c r="BD515" s="90"/>
      <c r="BE515" s="90"/>
      <c r="BF515" s="90"/>
      <c r="BG515" s="90"/>
      <c r="BH515" s="90"/>
      <c r="BI515" s="90"/>
    </row>
    <row r="516" ht="12.75" customHeight="1">
      <c r="A516" s="90"/>
      <c r="B516" s="90"/>
      <c r="C516" s="400"/>
      <c r="D516" s="90"/>
      <c r="E516" s="102"/>
      <c r="F516" s="90"/>
      <c r="G516" s="90"/>
      <c r="H516" s="102"/>
      <c r="I516" s="102"/>
      <c r="J516" s="102"/>
      <c r="K516" s="102"/>
      <c r="L516" s="102"/>
      <c r="M516" s="102"/>
      <c r="N516" s="102"/>
      <c r="O516" s="102"/>
      <c r="P516" s="102"/>
      <c r="Q516" s="102"/>
      <c r="R516" s="102"/>
      <c r="S516" s="102"/>
      <c r="T516" s="102"/>
      <c r="U516" s="102"/>
      <c r="V516" s="102"/>
      <c r="W516" s="102"/>
      <c r="X516" s="102"/>
      <c r="Y516" s="102"/>
      <c r="Z516" s="102"/>
      <c r="AA516" s="102"/>
      <c r="AB516" s="102"/>
      <c r="AC516" s="102"/>
      <c r="AD516" s="102"/>
      <c r="AE516" s="102"/>
      <c r="AF516" s="102"/>
      <c r="AG516" s="102"/>
      <c r="AH516" s="102"/>
      <c r="AI516" s="102"/>
      <c r="AJ516" s="102"/>
      <c r="AK516" s="102"/>
      <c r="AL516" s="102"/>
      <c r="AM516" s="102"/>
      <c r="AN516" s="102"/>
      <c r="AO516" s="400"/>
      <c r="AP516" s="90"/>
      <c r="AQ516" s="90"/>
      <c r="AR516" s="90"/>
      <c r="AS516" s="90"/>
      <c r="AT516" s="90"/>
      <c r="AU516" s="90"/>
      <c r="AV516" s="90"/>
      <c r="AW516" s="90"/>
      <c r="AX516" s="90"/>
      <c r="AY516" s="90"/>
      <c r="AZ516" s="90"/>
      <c r="BA516" s="90"/>
      <c r="BB516" s="90"/>
      <c r="BC516" s="90"/>
      <c r="BD516" s="90"/>
      <c r="BE516" s="90"/>
      <c r="BF516" s="90"/>
      <c r="BG516" s="90"/>
      <c r="BH516" s="90"/>
      <c r="BI516" s="90"/>
    </row>
    <row r="517" ht="12.75" customHeight="1">
      <c r="A517" s="90"/>
      <c r="B517" s="90"/>
      <c r="C517" s="400"/>
      <c r="D517" s="90"/>
      <c r="E517" s="102"/>
      <c r="F517" s="90"/>
      <c r="G517" s="90"/>
      <c r="H517" s="102"/>
      <c r="I517" s="102"/>
      <c r="J517" s="102"/>
      <c r="K517" s="102"/>
      <c r="L517" s="102"/>
      <c r="M517" s="102"/>
      <c r="N517" s="102"/>
      <c r="O517" s="102"/>
      <c r="P517" s="102"/>
      <c r="Q517" s="102"/>
      <c r="R517" s="102"/>
      <c r="S517" s="102"/>
      <c r="T517" s="102"/>
      <c r="U517" s="102"/>
      <c r="V517" s="102"/>
      <c r="W517" s="102"/>
      <c r="X517" s="102"/>
      <c r="Y517" s="102"/>
      <c r="Z517" s="102"/>
      <c r="AA517" s="102"/>
      <c r="AB517" s="102"/>
      <c r="AC517" s="102"/>
      <c r="AD517" s="102"/>
      <c r="AE517" s="102"/>
      <c r="AF517" s="102"/>
      <c r="AG517" s="102"/>
      <c r="AH517" s="102"/>
      <c r="AI517" s="102"/>
      <c r="AJ517" s="102"/>
      <c r="AK517" s="102"/>
      <c r="AL517" s="102"/>
      <c r="AM517" s="102"/>
      <c r="AN517" s="102"/>
      <c r="AO517" s="400"/>
      <c r="AP517" s="90"/>
      <c r="AQ517" s="90"/>
      <c r="AR517" s="90"/>
      <c r="AS517" s="90"/>
      <c r="AT517" s="90"/>
      <c r="AU517" s="90"/>
      <c r="AV517" s="90"/>
      <c r="AW517" s="90"/>
      <c r="AX517" s="90"/>
      <c r="AY517" s="90"/>
      <c r="AZ517" s="90"/>
      <c r="BA517" s="90"/>
      <c r="BB517" s="90"/>
      <c r="BC517" s="90"/>
      <c r="BD517" s="90"/>
      <c r="BE517" s="90"/>
      <c r="BF517" s="90"/>
      <c r="BG517" s="90"/>
      <c r="BH517" s="90"/>
      <c r="BI517" s="90"/>
    </row>
    <row r="518" ht="12.75" customHeight="1">
      <c r="A518" s="90"/>
      <c r="B518" s="90"/>
      <c r="C518" s="400"/>
      <c r="D518" s="90"/>
      <c r="E518" s="102"/>
      <c r="F518" s="90"/>
      <c r="G518" s="90"/>
      <c r="H518" s="102"/>
      <c r="I518" s="102"/>
      <c r="J518" s="102"/>
      <c r="K518" s="102"/>
      <c r="L518" s="102"/>
      <c r="M518" s="102"/>
      <c r="N518" s="102"/>
      <c r="O518" s="102"/>
      <c r="P518" s="102"/>
      <c r="Q518" s="102"/>
      <c r="R518" s="102"/>
      <c r="S518" s="102"/>
      <c r="T518" s="102"/>
      <c r="U518" s="102"/>
      <c r="V518" s="102"/>
      <c r="W518" s="102"/>
      <c r="X518" s="102"/>
      <c r="Y518" s="102"/>
      <c r="Z518" s="102"/>
      <c r="AA518" s="102"/>
      <c r="AB518" s="102"/>
      <c r="AC518" s="102"/>
      <c r="AD518" s="102"/>
      <c r="AE518" s="102"/>
      <c r="AF518" s="102"/>
      <c r="AG518" s="102"/>
      <c r="AH518" s="102"/>
      <c r="AI518" s="102"/>
      <c r="AJ518" s="102"/>
      <c r="AK518" s="102"/>
      <c r="AL518" s="102"/>
      <c r="AM518" s="102"/>
      <c r="AN518" s="102"/>
      <c r="AO518" s="400"/>
      <c r="AP518" s="90"/>
      <c r="AQ518" s="90"/>
      <c r="AR518" s="90"/>
      <c r="AS518" s="90"/>
      <c r="AT518" s="90"/>
      <c r="AU518" s="90"/>
      <c r="AV518" s="90"/>
      <c r="AW518" s="90"/>
      <c r="AX518" s="90"/>
      <c r="AY518" s="90"/>
      <c r="AZ518" s="90"/>
      <c r="BA518" s="90"/>
      <c r="BB518" s="90"/>
      <c r="BC518" s="90"/>
      <c r="BD518" s="90"/>
      <c r="BE518" s="90"/>
      <c r="BF518" s="90"/>
      <c r="BG518" s="90"/>
      <c r="BH518" s="90"/>
      <c r="BI518" s="90"/>
    </row>
    <row r="519" ht="12.75" customHeight="1">
      <c r="A519" s="90"/>
      <c r="B519" s="90"/>
      <c r="C519" s="400"/>
      <c r="D519" s="90"/>
      <c r="E519" s="102"/>
      <c r="F519" s="90"/>
      <c r="G519" s="90"/>
      <c r="H519" s="102"/>
      <c r="I519" s="102"/>
      <c r="J519" s="102"/>
      <c r="K519" s="102"/>
      <c r="L519" s="102"/>
      <c r="M519" s="102"/>
      <c r="N519" s="102"/>
      <c r="O519" s="102"/>
      <c r="P519" s="102"/>
      <c r="Q519" s="102"/>
      <c r="R519" s="102"/>
      <c r="S519" s="102"/>
      <c r="T519" s="102"/>
      <c r="U519" s="102"/>
      <c r="V519" s="102"/>
      <c r="W519" s="102"/>
      <c r="X519" s="102"/>
      <c r="Y519" s="102"/>
      <c r="Z519" s="102"/>
      <c r="AA519" s="102"/>
      <c r="AB519" s="102"/>
      <c r="AC519" s="102"/>
      <c r="AD519" s="102"/>
      <c r="AE519" s="102"/>
      <c r="AF519" s="102"/>
      <c r="AG519" s="102"/>
      <c r="AH519" s="102"/>
      <c r="AI519" s="102"/>
      <c r="AJ519" s="102"/>
      <c r="AK519" s="102"/>
      <c r="AL519" s="102"/>
      <c r="AM519" s="102"/>
      <c r="AN519" s="102"/>
      <c r="AO519" s="400"/>
      <c r="AP519" s="90"/>
      <c r="AQ519" s="90"/>
      <c r="AR519" s="90"/>
      <c r="AS519" s="90"/>
      <c r="AT519" s="90"/>
      <c r="AU519" s="90"/>
      <c r="AV519" s="90"/>
      <c r="AW519" s="90"/>
      <c r="AX519" s="90"/>
      <c r="AY519" s="90"/>
      <c r="AZ519" s="90"/>
      <c r="BA519" s="90"/>
      <c r="BB519" s="90"/>
      <c r="BC519" s="90"/>
      <c r="BD519" s="90"/>
      <c r="BE519" s="90"/>
      <c r="BF519" s="90"/>
      <c r="BG519" s="90"/>
      <c r="BH519" s="90"/>
      <c r="BI519" s="90"/>
    </row>
    <row r="520" ht="12.75" customHeight="1">
      <c r="A520" s="90"/>
      <c r="B520" s="90"/>
      <c r="C520" s="400"/>
      <c r="D520" s="90"/>
      <c r="E520" s="102"/>
      <c r="F520" s="90"/>
      <c r="G520" s="90"/>
      <c r="H520" s="102"/>
      <c r="I520" s="102"/>
      <c r="J520" s="102"/>
      <c r="K520" s="102"/>
      <c r="L520" s="102"/>
      <c r="M520" s="102"/>
      <c r="N520" s="102"/>
      <c r="O520" s="102"/>
      <c r="P520" s="102"/>
      <c r="Q520" s="102"/>
      <c r="R520" s="102"/>
      <c r="S520" s="102"/>
      <c r="T520" s="102"/>
      <c r="U520" s="102"/>
      <c r="V520" s="102"/>
      <c r="W520" s="102"/>
      <c r="X520" s="102"/>
      <c r="Y520" s="102"/>
      <c r="Z520" s="102"/>
      <c r="AA520" s="102"/>
      <c r="AB520" s="102"/>
      <c r="AC520" s="102"/>
      <c r="AD520" s="102"/>
      <c r="AE520" s="102"/>
      <c r="AF520" s="102"/>
      <c r="AG520" s="102"/>
      <c r="AH520" s="102"/>
      <c r="AI520" s="102"/>
      <c r="AJ520" s="102"/>
      <c r="AK520" s="102"/>
      <c r="AL520" s="102"/>
      <c r="AM520" s="102"/>
      <c r="AN520" s="102"/>
      <c r="AO520" s="400"/>
      <c r="AP520" s="90"/>
      <c r="AQ520" s="90"/>
      <c r="AR520" s="90"/>
      <c r="AS520" s="90"/>
      <c r="AT520" s="90"/>
      <c r="AU520" s="90"/>
      <c r="AV520" s="90"/>
      <c r="AW520" s="90"/>
      <c r="AX520" s="90"/>
      <c r="AY520" s="90"/>
      <c r="AZ520" s="90"/>
      <c r="BA520" s="90"/>
      <c r="BB520" s="90"/>
      <c r="BC520" s="90"/>
      <c r="BD520" s="90"/>
      <c r="BE520" s="90"/>
      <c r="BF520" s="90"/>
      <c r="BG520" s="90"/>
      <c r="BH520" s="90"/>
      <c r="BI520" s="90"/>
    </row>
    <row r="521" ht="12.75" customHeight="1">
      <c r="A521" s="90"/>
      <c r="B521" s="90"/>
      <c r="C521" s="400"/>
      <c r="D521" s="90"/>
      <c r="E521" s="102"/>
      <c r="F521" s="90"/>
      <c r="G521" s="90"/>
      <c r="H521" s="102"/>
      <c r="I521" s="102"/>
      <c r="J521" s="102"/>
      <c r="K521" s="102"/>
      <c r="L521" s="102"/>
      <c r="M521" s="102"/>
      <c r="N521" s="102"/>
      <c r="O521" s="102"/>
      <c r="P521" s="102"/>
      <c r="Q521" s="102"/>
      <c r="R521" s="102"/>
      <c r="S521" s="102"/>
      <c r="T521" s="102"/>
      <c r="U521" s="102"/>
      <c r="V521" s="102"/>
      <c r="W521" s="102"/>
      <c r="X521" s="102"/>
      <c r="Y521" s="102"/>
      <c r="Z521" s="102"/>
      <c r="AA521" s="102"/>
      <c r="AB521" s="102"/>
      <c r="AC521" s="102"/>
      <c r="AD521" s="102"/>
      <c r="AE521" s="102"/>
      <c r="AF521" s="102"/>
      <c r="AG521" s="102"/>
      <c r="AH521" s="102"/>
      <c r="AI521" s="102"/>
      <c r="AJ521" s="102"/>
      <c r="AK521" s="102"/>
      <c r="AL521" s="102"/>
      <c r="AM521" s="102"/>
      <c r="AN521" s="102"/>
      <c r="AO521" s="400"/>
      <c r="AP521" s="90"/>
      <c r="AQ521" s="90"/>
      <c r="AR521" s="90"/>
      <c r="AS521" s="90"/>
      <c r="AT521" s="90"/>
      <c r="AU521" s="90"/>
      <c r="AV521" s="90"/>
      <c r="AW521" s="90"/>
      <c r="AX521" s="90"/>
      <c r="AY521" s="90"/>
      <c r="AZ521" s="90"/>
      <c r="BA521" s="90"/>
      <c r="BB521" s="90"/>
      <c r="BC521" s="90"/>
      <c r="BD521" s="90"/>
      <c r="BE521" s="90"/>
      <c r="BF521" s="90"/>
      <c r="BG521" s="90"/>
      <c r="BH521" s="90"/>
      <c r="BI521" s="90"/>
    </row>
    <row r="522" ht="12.75" customHeight="1">
      <c r="A522" s="90"/>
      <c r="B522" s="90"/>
      <c r="C522" s="400"/>
      <c r="D522" s="90"/>
      <c r="E522" s="102"/>
      <c r="F522" s="90"/>
      <c r="G522" s="90"/>
      <c r="H522" s="102"/>
      <c r="I522" s="102"/>
      <c r="J522" s="102"/>
      <c r="K522" s="102"/>
      <c r="L522" s="102"/>
      <c r="M522" s="102"/>
      <c r="N522" s="102"/>
      <c r="O522" s="102"/>
      <c r="P522" s="102"/>
      <c r="Q522" s="102"/>
      <c r="R522" s="102"/>
      <c r="S522" s="102"/>
      <c r="T522" s="102"/>
      <c r="U522" s="102"/>
      <c r="V522" s="102"/>
      <c r="W522" s="102"/>
      <c r="X522" s="102"/>
      <c r="Y522" s="102"/>
      <c r="Z522" s="102"/>
      <c r="AA522" s="102"/>
      <c r="AB522" s="102"/>
      <c r="AC522" s="102"/>
      <c r="AD522" s="102"/>
      <c r="AE522" s="102"/>
      <c r="AF522" s="102"/>
      <c r="AG522" s="102"/>
      <c r="AH522" s="102"/>
      <c r="AI522" s="102"/>
      <c r="AJ522" s="102"/>
      <c r="AK522" s="102"/>
      <c r="AL522" s="102"/>
      <c r="AM522" s="102"/>
      <c r="AN522" s="102"/>
      <c r="AO522" s="400"/>
      <c r="AP522" s="90"/>
      <c r="AQ522" s="90"/>
      <c r="AR522" s="90"/>
      <c r="AS522" s="90"/>
      <c r="AT522" s="90"/>
      <c r="AU522" s="90"/>
      <c r="AV522" s="90"/>
      <c r="AW522" s="90"/>
      <c r="AX522" s="90"/>
      <c r="AY522" s="90"/>
      <c r="AZ522" s="90"/>
      <c r="BA522" s="90"/>
      <c r="BB522" s="90"/>
      <c r="BC522" s="90"/>
      <c r="BD522" s="90"/>
      <c r="BE522" s="90"/>
      <c r="BF522" s="90"/>
      <c r="BG522" s="90"/>
      <c r="BH522" s="90"/>
      <c r="BI522" s="90"/>
    </row>
    <row r="523" ht="12.75" customHeight="1">
      <c r="A523" s="90"/>
      <c r="B523" s="90"/>
      <c r="C523" s="400"/>
      <c r="D523" s="90"/>
      <c r="E523" s="102"/>
      <c r="F523" s="90"/>
      <c r="G523" s="90"/>
      <c r="H523" s="102"/>
      <c r="I523" s="102"/>
      <c r="J523" s="102"/>
      <c r="K523" s="102"/>
      <c r="L523" s="102"/>
      <c r="M523" s="102"/>
      <c r="N523" s="102"/>
      <c r="O523" s="102"/>
      <c r="P523" s="102"/>
      <c r="Q523" s="102"/>
      <c r="R523" s="102"/>
      <c r="S523" s="102"/>
      <c r="T523" s="102"/>
      <c r="U523" s="102"/>
      <c r="V523" s="102"/>
      <c r="W523" s="102"/>
      <c r="X523" s="102"/>
      <c r="Y523" s="102"/>
      <c r="Z523" s="102"/>
      <c r="AA523" s="102"/>
      <c r="AB523" s="102"/>
      <c r="AC523" s="102"/>
      <c r="AD523" s="102"/>
      <c r="AE523" s="102"/>
      <c r="AF523" s="102"/>
      <c r="AG523" s="102"/>
      <c r="AH523" s="102"/>
      <c r="AI523" s="102"/>
      <c r="AJ523" s="102"/>
      <c r="AK523" s="102"/>
      <c r="AL523" s="102"/>
      <c r="AM523" s="102"/>
      <c r="AN523" s="102"/>
      <c r="AO523" s="400"/>
      <c r="AP523" s="90"/>
      <c r="AQ523" s="90"/>
      <c r="AR523" s="90"/>
      <c r="AS523" s="90"/>
      <c r="AT523" s="90"/>
      <c r="AU523" s="90"/>
      <c r="AV523" s="90"/>
      <c r="AW523" s="90"/>
      <c r="AX523" s="90"/>
      <c r="AY523" s="90"/>
      <c r="AZ523" s="90"/>
      <c r="BA523" s="90"/>
      <c r="BB523" s="90"/>
      <c r="BC523" s="90"/>
      <c r="BD523" s="90"/>
      <c r="BE523" s="90"/>
      <c r="BF523" s="90"/>
      <c r="BG523" s="90"/>
      <c r="BH523" s="90"/>
      <c r="BI523" s="90"/>
    </row>
    <row r="524" ht="12.75" customHeight="1">
      <c r="A524" s="90"/>
      <c r="B524" s="90"/>
      <c r="C524" s="400"/>
      <c r="D524" s="90"/>
      <c r="E524" s="102"/>
      <c r="F524" s="90"/>
      <c r="G524" s="90"/>
      <c r="H524" s="102"/>
      <c r="I524" s="102"/>
      <c r="J524" s="102"/>
      <c r="K524" s="102"/>
      <c r="L524" s="102"/>
      <c r="M524" s="102"/>
      <c r="N524" s="102"/>
      <c r="O524" s="102"/>
      <c r="P524" s="102"/>
      <c r="Q524" s="102"/>
      <c r="R524" s="102"/>
      <c r="S524" s="102"/>
      <c r="T524" s="102"/>
      <c r="U524" s="102"/>
      <c r="V524" s="102"/>
      <c r="W524" s="102"/>
      <c r="X524" s="102"/>
      <c r="Y524" s="102"/>
      <c r="Z524" s="102"/>
      <c r="AA524" s="102"/>
      <c r="AB524" s="102"/>
      <c r="AC524" s="102"/>
      <c r="AD524" s="102"/>
      <c r="AE524" s="102"/>
      <c r="AF524" s="102"/>
      <c r="AG524" s="102"/>
      <c r="AH524" s="102"/>
      <c r="AI524" s="102"/>
      <c r="AJ524" s="102"/>
      <c r="AK524" s="102"/>
      <c r="AL524" s="102"/>
      <c r="AM524" s="102"/>
      <c r="AN524" s="102"/>
      <c r="AO524" s="400"/>
      <c r="AP524" s="90"/>
      <c r="AQ524" s="90"/>
      <c r="AR524" s="90"/>
      <c r="AS524" s="90"/>
      <c r="AT524" s="90"/>
      <c r="AU524" s="90"/>
      <c r="AV524" s="90"/>
      <c r="AW524" s="90"/>
      <c r="AX524" s="90"/>
      <c r="AY524" s="90"/>
      <c r="AZ524" s="90"/>
      <c r="BA524" s="90"/>
      <c r="BB524" s="90"/>
      <c r="BC524" s="90"/>
      <c r="BD524" s="90"/>
      <c r="BE524" s="90"/>
      <c r="BF524" s="90"/>
      <c r="BG524" s="90"/>
      <c r="BH524" s="90"/>
      <c r="BI524" s="90"/>
    </row>
    <row r="525" ht="12.75" customHeight="1">
      <c r="A525" s="90"/>
      <c r="B525" s="90"/>
      <c r="C525" s="400"/>
      <c r="D525" s="90"/>
      <c r="E525" s="102"/>
      <c r="F525" s="90"/>
      <c r="G525" s="90"/>
      <c r="H525" s="102"/>
      <c r="I525" s="102"/>
      <c r="J525" s="102"/>
      <c r="K525" s="102"/>
      <c r="L525" s="102"/>
      <c r="M525" s="102"/>
      <c r="N525" s="102"/>
      <c r="O525" s="102"/>
      <c r="P525" s="102"/>
      <c r="Q525" s="102"/>
      <c r="R525" s="102"/>
      <c r="S525" s="102"/>
      <c r="T525" s="102"/>
      <c r="U525" s="102"/>
      <c r="V525" s="102"/>
      <c r="W525" s="102"/>
      <c r="X525" s="102"/>
      <c r="Y525" s="102"/>
      <c r="Z525" s="102"/>
      <c r="AA525" s="102"/>
      <c r="AB525" s="102"/>
      <c r="AC525" s="102"/>
      <c r="AD525" s="102"/>
      <c r="AE525" s="102"/>
      <c r="AF525" s="102"/>
      <c r="AG525" s="102"/>
      <c r="AH525" s="102"/>
      <c r="AI525" s="102"/>
      <c r="AJ525" s="102"/>
      <c r="AK525" s="102"/>
      <c r="AL525" s="102"/>
      <c r="AM525" s="102"/>
      <c r="AN525" s="102"/>
      <c r="AO525" s="400"/>
      <c r="AP525" s="90"/>
      <c r="AQ525" s="90"/>
      <c r="AR525" s="90"/>
      <c r="AS525" s="90"/>
      <c r="AT525" s="90"/>
      <c r="AU525" s="90"/>
      <c r="AV525" s="90"/>
      <c r="AW525" s="90"/>
      <c r="AX525" s="90"/>
      <c r="AY525" s="90"/>
      <c r="AZ525" s="90"/>
      <c r="BA525" s="90"/>
      <c r="BB525" s="90"/>
      <c r="BC525" s="90"/>
      <c r="BD525" s="90"/>
      <c r="BE525" s="90"/>
      <c r="BF525" s="90"/>
      <c r="BG525" s="90"/>
      <c r="BH525" s="90"/>
      <c r="BI525" s="90"/>
    </row>
    <row r="526" ht="12.75" customHeight="1">
      <c r="A526" s="90"/>
      <c r="B526" s="90"/>
      <c r="C526" s="400"/>
      <c r="D526" s="90"/>
      <c r="E526" s="102"/>
      <c r="F526" s="90"/>
      <c r="G526" s="90"/>
      <c r="H526" s="102"/>
      <c r="I526" s="102"/>
      <c r="J526" s="102"/>
      <c r="K526" s="102"/>
      <c r="L526" s="102"/>
      <c r="M526" s="102"/>
      <c r="N526" s="102"/>
      <c r="O526" s="102"/>
      <c r="P526" s="102"/>
      <c r="Q526" s="102"/>
      <c r="R526" s="102"/>
      <c r="S526" s="102"/>
      <c r="T526" s="102"/>
      <c r="U526" s="102"/>
      <c r="V526" s="102"/>
      <c r="W526" s="102"/>
      <c r="X526" s="102"/>
      <c r="Y526" s="102"/>
      <c r="Z526" s="102"/>
      <c r="AA526" s="102"/>
      <c r="AB526" s="102"/>
      <c r="AC526" s="102"/>
      <c r="AD526" s="102"/>
      <c r="AE526" s="102"/>
      <c r="AF526" s="102"/>
      <c r="AG526" s="102"/>
      <c r="AH526" s="102"/>
      <c r="AI526" s="102"/>
      <c r="AJ526" s="102"/>
      <c r="AK526" s="102"/>
      <c r="AL526" s="102"/>
      <c r="AM526" s="102"/>
      <c r="AN526" s="102"/>
      <c r="AO526" s="400"/>
      <c r="AP526" s="90"/>
      <c r="AQ526" s="90"/>
      <c r="AR526" s="90"/>
      <c r="AS526" s="90"/>
      <c r="AT526" s="90"/>
      <c r="AU526" s="90"/>
      <c r="AV526" s="90"/>
      <c r="AW526" s="90"/>
      <c r="AX526" s="90"/>
      <c r="AY526" s="90"/>
      <c r="AZ526" s="90"/>
      <c r="BA526" s="90"/>
      <c r="BB526" s="90"/>
      <c r="BC526" s="90"/>
      <c r="BD526" s="90"/>
      <c r="BE526" s="90"/>
      <c r="BF526" s="90"/>
      <c r="BG526" s="90"/>
      <c r="BH526" s="90"/>
      <c r="BI526" s="90"/>
    </row>
    <row r="527" ht="12.75" customHeight="1">
      <c r="A527" s="90"/>
      <c r="B527" s="90"/>
      <c r="C527" s="400"/>
      <c r="D527" s="90"/>
      <c r="E527" s="102"/>
      <c r="F527" s="90"/>
      <c r="G527" s="90"/>
      <c r="H527" s="102"/>
      <c r="I527" s="102"/>
      <c r="J527" s="102"/>
      <c r="K527" s="102"/>
      <c r="L527" s="102"/>
      <c r="M527" s="102"/>
      <c r="N527" s="102"/>
      <c r="O527" s="102"/>
      <c r="P527" s="102"/>
      <c r="Q527" s="102"/>
      <c r="R527" s="102"/>
      <c r="S527" s="102"/>
      <c r="T527" s="102"/>
      <c r="U527" s="102"/>
      <c r="V527" s="102"/>
      <c r="W527" s="102"/>
      <c r="X527" s="102"/>
      <c r="Y527" s="102"/>
      <c r="Z527" s="102"/>
      <c r="AA527" s="102"/>
      <c r="AB527" s="102"/>
      <c r="AC527" s="102"/>
      <c r="AD527" s="102"/>
      <c r="AE527" s="102"/>
      <c r="AF527" s="102"/>
      <c r="AG527" s="102"/>
      <c r="AH527" s="102"/>
      <c r="AI527" s="102"/>
      <c r="AJ527" s="102"/>
      <c r="AK527" s="102"/>
      <c r="AL527" s="102"/>
      <c r="AM527" s="102"/>
      <c r="AN527" s="102"/>
      <c r="AO527" s="400"/>
      <c r="AP527" s="90"/>
      <c r="AQ527" s="90"/>
      <c r="AR527" s="90"/>
      <c r="AS527" s="90"/>
      <c r="AT527" s="90"/>
      <c r="AU527" s="90"/>
      <c r="AV527" s="90"/>
      <c r="AW527" s="90"/>
      <c r="AX527" s="90"/>
      <c r="AY527" s="90"/>
      <c r="AZ527" s="90"/>
      <c r="BA527" s="90"/>
      <c r="BB527" s="90"/>
      <c r="BC527" s="90"/>
      <c r="BD527" s="90"/>
      <c r="BE527" s="90"/>
      <c r="BF527" s="90"/>
      <c r="BG527" s="90"/>
      <c r="BH527" s="90"/>
      <c r="BI527" s="90"/>
    </row>
    <row r="528" ht="12.75" customHeight="1">
      <c r="A528" s="90"/>
      <c r="B528" s="90"/>
      <c r="C528" s="400"/>
      <c r="D528" s="90"/>
      <c r="E528" s="102"/>
      <c r="F528" s="90"/>
      <c r="G528" s="90"/>
      <c r="H528" s="102"/>
      <c r="I528" s="102"/>
      <c r="J528" s="102"/>
      <c r="K528" s="102"/>
      <c r="L528" s="102"/>
      <c r="M528" s="102"/>
      <c r="N528" s="102"/>
      <c r="O528" s="102"/>
      <c r="P528" s="102"/>
      <c r="Q528" s="102"/>
      <c r="R528" s="102"/>
      <c r="S528" s="102"/>
      <c r="T528" s="102"/>
      <c r="U528" s="102"/>
      <c r="V528" s="102"/>
      <c r="W528" s="102"/>
      <c r="X528" s="102"/>
      <c r="Y528" s="102"/>
      <c r="Z528" s="102"/>
      <c r="AA528" s="102"/>
      <c r="AB528" s="102"/>
      <c r="AC528" s="102"/>
      <c r="AD528" s="102"/>
      <c r="AE528" s="102"/>
      <c r="AF528" s="102"/>
      <c r="AG528" s="102"/>
      <c r="AH528" s="102"/>
      <c r="AI528" s="102"/>
      <c r="AJ528" s="102"/>
      <c r="AK528" s="102"/>
      <c r="AL528" s="102"/>
      <c r="AM528" s="102"/>
      <c r="AN528" s="102"/>
      <c r="AO528" s="400"/>
      <c r="AP528" s="90"/>
      <c r="AQ528" s="90"/>
      <c r="AR528" s="90"/>
      <c r="AS528" s="90"/>
      <c r="AT528" s="90"/>
      <c r="AU528" s="90"/>
      <c r="AV528" s="90"/>
      <c r="AW528" s="90"/>
      <c r="AX528" s="90"/>
      <c r="AY528" s="90"/>
      <c r="AZ528" s="90"/>
      <c r="BA528" s="90"/>
      <c r="BB528" s="90"/>
      <c r="BC528" s="90"/>
      <c r="BD528" s="90"/>
      <c r="BE528" s="90"/>
      <c r="BF528" s="90"/>
      <c r="BG528" s="90"/>
      <c r="BH528" s="90"/>
      <c r="BI528" s="90"/>
    </row>
    <row r="529" ht="12.75" customHeight="1">
      <c r="A529" s="90"/>
      <c r="B529" s="90"/>
      <c r="C529" s="400"/>
      <c r="D529" s="90"/>
      <c r="E529" s="102"/>
      <c r="F529" s="90"/>
      <c r="G529" s="90"/>
      <c r="H529" s="102"/>
      <c r="I529" s="102"/>
      <c r="J529" s="102"/>
      <c r="K529" s="102"/>
      <c r="L529" s="102"/>
      <c r="M529" s="102"/>
      <c r="N529" s="102"/>
      <c r="O529" s="102"/>
      <c r="P529" s="102"/>
      <c r="Q529" s="102"/>
      <c r="R529" s="102"/>
      <c r="S529" s="102"/>
      <c r="T529" s="102"/>
      <c r="U529" s="102"/>
      <c r="V529" s="102"/>
      <c r="W529" s="102"/>
      <c r="X529" s="102"/>
      <c r="Y529" s="102"/>
      <c r="Z529" s="102"/>
      <c r="AA529" s="102"/>
      <c r="AB529" s="102"/>
      <c r="AC529" s="102"/>
      <c r="AD529" s="102"/>
      <c r="AE529" s="102"/>
      <c r="AF529" s="102"/>
      <c r="AG529" s="102"/>
      <c r="AH529" s="102"/>
      <c r="AI529" s="102"/>
      <c r="AJ529" s="102"/>
      <c r="AK529" s="102"/>
      <c r="AL529" s="102"/>
      <c r="AM529" s="102"/>
      <c r="AN529" s="102"/>
      <c r="AO529" s="400"/>
      <c r="AP529" s="90"/>
      <c r="AQ529" s="90"/>
      <c r="AR529" s="90"/>
      <c r="AS529" s="90"/>
      <c r="AT529" s="90"/>
      <c r="AU529" s="90"/>
      <c r="AV529" s="90"/>
      <c r="AW529" s="90"/>
      <c r="AX529" s="90"/>
      <c r="AY529" s="90"/>
      <c r="AZ529" s="90"/>
      <c r="BA529" s="90"/>
      <c r="BB529" s="90"/>
      <c r="BC529" s="90"/>
      <c r="BD529" s="90"/>
      <c r="BE529" s="90"/>
      <c r="BF529" s="90"/>
      <c r="BG529" s="90"/>
      <c r="BH529" s="90"/>
      <c r="BI529" s="90"/>
    </row>
    <row r="530" ht="12.75" customHeight="1">
      <c r="A530" s="90"/>
      <c r="B530" s="90"/>
      <c r="C530" s="400"/>
      <c r="D530" s="90"/>
      <c r="E530" s="102"/>
      <c r="F530" s="90"/>
      <c r="G530" s="90"/>
      <c r="H530" s="102"/>
      <c r="I530" s="102"/>
      <c r="J530" s="102"/>
      <c r="K530" s="102"/>
      <c r="L530" s="102"/>
      <c r="M530" s="102"/>
      <c r="N530" s="102"/>
      <c r="O530" s="102"/>
      <c r="P530" s="102"/>
      <c r="Q530" s="102"/>
      <c r="R530" s="102"/>
      <c r="S530" s="102"/>
      <c r="T530" s="102"/>
      <c r="U530" s="102"/>
      <c r="V530" s="102"/>
      <c r="W530" s="102"/>
      <c r="X530" s="102"/>
      <c r="Y530" s="102"/>
      <c r="Z530" s="102"/>
      <c r="AA530" s="102"/>
      <c r="AB530" s="102"/>
      <c r="AC530" s="102"/>
      <c r="AD530" s="102"/>
      <c r="AE530" s="102"/>
      <c r="AF530" s="102"/>
      <c r="AG530" s="102"/>
      <c r="AH530" s="102"/>
      <c r="AI530" s="102"/>
      <c r="AJ530" s="102"/>
      <c r="AK530" s="102"/>
      <c r="AL530" s="102"/>
      <c r="AM530" s="102"/>
      <c r="AN530" s="102"/>
      <c r="AO530" s="400"/>
      <c r="AP530" s="90"/>
      <c r="AQ530" s="90"/>
      <c r="AR530" s="90"/>
      <c r="AS530" s="90"/>
      <c r="AT530" s="90"/>
      <c r="AU530" s="90"/>
      <c r="AV530" s="90"/>
      <c r="AW530" s="90"/>
      <c r="AX530" s="90"/>
      <c r="AY530" s="90"/>
      <c r="AZ530" s="90"/>
      <c r="BA530" s="90"/>
      <c r="BB530" s="90"/>
      <c r="BC530" s="90"/>
      <c r="BD530" s="90"/>
      <c r="BE530" s="90"/>
      <c r="BF530" s="90"/>
      <c r="BG530" s="90"/>
      <c r="BH530" s="90"/>
      <c r="BI530" s="90"/>
    </row>
    <row r="531" ht="12.75" customHeight="1">
      <c r="A531" s="90"/>
      <c r="B531" s="90"/>
      <c r="C531" s="400"/>
      <c r="D531" s="90"/>
      <c r="E531" s="102"/>
      <c r="F531" s="90"/>
      <c r="G531" s="90"/>
      <c r="H531" s="102"/>
      <c r="I531" s="102"/>
      <c r="J531" s="102"/>
      <c r="K531" s="102"/>
      <c r="L531" s="102"/>
      <c r="M531" s="102"/>
      <c r="N531" s="102"/>
      <c r="O531" s="102"/>
      <c r="P531" s="102"/>
      <c r="Q531" s="102"/>
      <c r="R531" s="102"/>
      <c r="S531" s="102"/>
      <c r="T531" s="102"/>
      <c r="U531" s="102"/>
      <c r="V531" s="102"/>
      <c r="W531" s="102"/>
      <c r="X531" s="102"/>
      <c r="Y531" s="102"/>
      <c r="Z531" s="102"/>
      <c r="AA531" s="102"/>
      <c r="AB531" s="102"/>
      <c r="AC531" s="102"/>
      <c r="AD531" s="102"/>
      <c r="AE531" s="102"/>
      <c r="AF531" s="102"/>
      <c r="AG531" s="102"/>
      <c r="AH531" s="102"/>
      <c r="AI531" s="102"/>
      <c r="AJ531" s="102"/>
      <c r="AK531" s="102"/>
      <c r="AL531" s="102"/>
      <c r="AM531" s="102"/>
      <c r="AN531" s="102"/>
      <c r="AO531" s="400"/>
      <c r="AP531" s="90"/>
      <c r="AQ531" s="90"/>
      <c r="AR531" s="90"/>
      <c r="AS531" s="90"/>
      <c r="AT531" s="90"/>
      <c r="AU531" s="90"/>
      <c r="AV531" s="90"/>
      <c r="AW531" s="90"/>
      <c r="AX531" s="90"/>
      <c r="AY531" s="90"/>
      <c r="AZ531" s="90"/>
      <c r="BA531" s="90"/>
      <c r="BB531" s="90"/>
      <c r="BC531" s="90"/>
      <c r="BD531" s="90"/>
      <c r="BE531" s="90"/>
      <c r="BF531" s="90"/>
      <c r="BG531" s="90"/>
      <c r="BH531" s="90"/>
      <c r="BI531" s="90"/>
    </row>
    <row r="532" ht="12.75" customHeight="1">
      <c r="A532" s="90"/>
      <c r="B532" s="90"/>
      <c r="C532" s="400"/>
      <c r="D532" s="90"/>
      <c r="E532" s="102"/>
      <c r="F532" s="90"/>
      <c r="G532" s="90"/>
      <c r="H532" s="102"/>
      <c r="I532" s="102"/>
      <c r="J532" s="102"/>
      <c r="K532" s="102"/>
      <c r="L532" s="102"/>
      <c r="M532" s="102"/>
      <c r="N532" s="102"/>
      <c r="O532" s="102"/>
      <c r="P532" s="102"/>
      <c r="Q532" s="102"/>
      <c r="R532" s="102"/>
      <c r="S532" s="102"/>
      <c r="T532" s="102"/>
      <c r="U532" s="102"/>
      <c r="V532" s="102"/>
      <c r="W532" s="102"/>
      <c r="X532" s="102"/>
      <c r="Y532" s="102"/>
      <c r="Z532" s="102"/>
      <c r="AA532" s="102"/>
      <c r="AB532" s="102"/>
      <c r="AC532" s="102"/>
      <c r="AD532" s="102"/>
      <c r="AE532" s="102"/>
      <c r="AF532" s="102"/>
      <c r="AG532" s="102"/>
      <c r="AH532" s="102"/>
      <c r="AI532" s="102"/>
      <c r="AJ532" s="102"/>
      <c r="AK532" s="102"/>
      <c r="AL532" s="102"/>
      <c r="AM532" s="102"/>
      <c r="AN532" s="102"/>
      <c r="AO532" s="400"/>
      <c r="AP532" s="90"/>
      <c r="AQ532" s="90"/>
      <c r="AR532" s="90"/>
      <c r="AS532" s="90"/>
      <c r="AT532" s="90"/>
      <c r="AU532" s="90"/>
      <c r="AV532" s="90"/>
      <c r="AW532" s="90"/>
      <c r="AX532" s="90"/>
      <c r="AY532" s="90"/>
      <c r="AZ532" s="90"/>
      <c r="BA532" s="90"/>
      <c r="BB532" s="90"/>
      <c r="BC532" s="90"/>
      <c r="BD532" s="90"/>
      <c r="BE532" s="90"/>
      <c r="BF532" s="90"/>
      <c r="BG532" s="90"/>
      <c r="BH532" s="90"/>
      <c r="BI532" s="90"/>
    </row>
    <row r="533" ht="12.75" customHeight="1">
      <c r="A533" s="90"/>
      <c r="B533" s="90"/>
      <c r="C533" s="400"/>
      <c r="D533" s="90"/>
      <c r="E533" s="102"/>
      <c r="F533" s="90"/>
      <c r="G533" s="90"/>
      <c r="H533" s="102"/>
      <c r="I533" s="102"/>
      <c r="J533" s="102"/>
      <c r="K533" s="102"/>
      <c r="L533" s="102"/>
      <c r="M533" s="102"/>
      <c r="N533" s="102"/>
      <c r="O533" s="102"/>
      <c r="P533" s="102"/>
      <c r="Q533" s="102"/>
      <c r="R533" s="102"/>
      <c r="S533" s="102"/>
      <c r="T533" s="102"/>
      <c r="U533" s="102"/>
      <c r="V533" s="102"/>
      <c r="W533" s="102"/>
      <c r="X533" s="102"/>
      <c r="Y533" s="102"/>
      <c r="Z533" s="102"/>
      <c r="AA533" s="102"/>
      <c r="AB533" s="102"/>
      <c r="AC533" s="102"/>
      <c r="AD533" s="102"/>
      <c r="AE533" s="102"/>
      <c r="AF533" s="102"/>
      <c r="AG533" s="102"/>
      <c r="AH533" s="102"/>
      <c r="AI533" s="102"/>
      <c r="AJ533" s="102"/>
      <c r="AK533" s="102"/>
      <c r="AL533" s="102"/>
      <c r="AM533" s="102"/>
      <c r="AN533" s="102"/>
      <c r="AO533" s="400"/>
      <c r="AP533" s="90"/>
      <c r="AQ533" s="90"/>
      <c r="AR533" s="90"/>
      <c r="AS533" s="90"/>
      <c r="AT533" s="90"/>
      <c r="AU533" s="90"/>
      <c r="AV533" s="90"/>
      <c r="AW533" s="90"/>
      <c r="AX533" s="90"/>
      <c r="AY533" s="90"/>
      <c r="AZ533" s="90"/>
      <c r="BA533" s="90"/>
      <c r="BB533" s="90"/>
      <c r="BC533" s="90"/>
      <c r="BD533" s="90"/>
      <c r="BE533" s="90"/>
      <c r="BF533" s="90"/>
      <c r="BG533" s="90"/>
      <c r="BH533" s="90"/>
      <c r="BI533" s="90"/>
    </row>
    <row r="534" ht="12.75" customHeight="1">
      <c r="A534" s="90"/>
      <c r="B534" s="90"/>
      <c r="C534" s="400"/>
      <c r="D534" s="90"/>
      <c r="E534" s="102"/>
      <c r="F534" s="90"/>
      <c r="G534" s="90"/>
      <c r="H534" s="102"/>
      <c r="I534" s="102"/>
      <c r="J534" s="102"/>
      <c r="K534" s="102"/>
      <c r="L534" s="102"/>
      <c r="M534" s="102"/>
      <c r="N534" s="102"/>
      <c r="O534" s="102"/>
      <c r="P534" s="102"/>
      <c r="Q534" s="102"/>
      <c r="R534" s="102"/>
      <c r="S534" s="102"/>
      <c r="T534" s="102"/>
      <c r="U534" s="102"/>
      <c r="V534" s="102"/>
      <c r="W534" s="102"/>
      <c r="X534" s="102"/>
      <c r="Y534" s="102"/>
      <c r="Z534" s="102"/>
      <c r="AA534" s="102"/>
      <c r="AB534" s="102"/>
      <c r="AC534" s="102"/>
      <c r="AD534" s="102"/>
      <c r="AE534" s="102"/>
      <c r="AF534" s="102"/>
      <c r="AG534" s="102"/>
      <c r="AH534" s="102"/>
      <c r="AI534" s="102"/>
      <c r="AJ534" s="102"/>
      <c r="AK534" s="102"/>
      <c r="AL534" s="102"/>
      <c r="AM534" s="102"/>
      <c r="AN534" s="102"/>
      <c r="AO534" s="400"/>
      <c r="AP534" s="90"/>
      <c r="AQ534" s="90"/>
      <c r="AR534" s="90"/>
      <c r="AS534" s="90"/>
      <c r="AT534" s="90"/>
      <c r="AU534" s="90"/>
      <c r="AV534" s="90"/>
      <c r="AW534" s="90"/>
      <c r="AX534" s="90"/>
      <c r="AY534" s="90"/>
      <c r="AZ534" s="90"/>
      <c r="BA534" s="90"/>
      <c r="BB534" s="90"/>
      <c r="BC534" s="90"/>
      <c r="BD534" s="90"/>
      <c r="BE534" s="90"/>
      <c r="BF534" s="90"/>
      <c r="BG534" s="90"/>
      <c r="BH534" s="90"/>
      <c r="BI534" s="90"/>
    </row>
    <row r="535" ht="12.75" customHeight="1">
      <c r="A535" s="90"/>
      <c r="B535" s="90"/>
      <c r="C535" s="400"/>
      <c r="D535" s="90"/>
      <c r="E535" s="102"/>
      <c r="F535" s="90"/>
      <c r="G535" s="90"/>
      <c r="H535" s="102"/>
      <c r="I535" s="102"/>
      <c r="J535" s="102"/>
      <c r="K535" s="102"/>
      <c r="L535" s="102"/>
      <c r="M535" s="102"/>
      <c r="N535" s="102"/>
      <c r="O535" s="102"/>
      <c r="P535" s="102"/>
      <c r="Q535" s="102"/>
      <c r="R535" s="102"/>
      <c r="S535" s="102"/>
      <c r="T535" s="102"/>
      <c r="U535" s="102"/>
      <c r="V535" s="102"/>
      <c r="W535" s="102"/>
      <c r="X535" s="102"/>
      <c r="Y535" s="102"/>
      <c r="Z535" s="102"/>
      <c r="AA535" s="102"/>
      <c r="AB535" s="102"/>
      <c r="AC535" s="102"/>
      <c r="AD535" s="102"/>
      <c r="AE535" s="102"/>
      <c r="AF535" s="102"/>
      <c r="AG535" s="102"/>
      <c r="AH535" s="102"/>
      <c r="AI535" s="102"/>
      <c r="AJ535" s="102"/>
      <c r="AK535" s="102"/>
      <c r="AL535" s="102"/>
      <c r="AM535" s="102"/>
      <c r="AN535" s="102"/>
      <c r="AO535" s="400"/>
      <c r="AP535" s="90"/>
      <c r="AQ535" s="90"/>
      <c r="AR535" s="90"/>
      <c r="AS535" s="90"/>
      <c r="AT535" s="90"/>
      <c r="AU535" s="90"/>
      <c r="AV535" s="90"/>
      <c r="AW535" s="90"/>
      <c r="AX535" s="90"/>
      <c r="AY535" s="90"/>
      <c r="AZ535" s="90"/>
      <c r="BA535" s="90"/>
      <c r="BB535" s="90"/>
      <c r="BC535" s="90"/>
      <c r="BD535" s="90"/>
      <c r="BE535" s="90"/>
      <c r="BF535" s="90"/>
      <c r="BG535" s="90"/>
      <c r="BH535" s="90"/>
      <c r="BI535" s="90"/>
    </row>
    <row r="536" ht="12.75" customHeight="1">
      <c r="A536" s="90"/>
      <c r="B536" s="90"/>
      <c r="C536" s="400"/>
      <c r="D536" s="90"/>
      <c r="E536" s="102"/>
      <c r="F536" s="90"/>
      <c r="G536" s="90"/>
      <c r="H536" s="102"/>
      <c r="I536" s="102"/>
      <c r="J536" s="102"/>
      <c r="K536" s="102"/>
      <c r="L536" s="102"/>
      <c r="M536" s="102"/>
      <c r="N536" s="102"/>
      <c r="O536" s="102"/>
      <c r="P536" s="102"/>
      <c r="Q536" s="102"/>
      <c r="R536" s="102"/>
      <c r="S536" s="102"/>
      <c r="T536" s="102"/>
      <c r="U536" s="102"/>
      <c r="V536" s="102"/>
      <c r="W536" s="102"/>
      <c r="X536" s="102"/>
      <c r="Y536" s="102"/>
      <c r="Z536" s="102"/>
      <c r="AA536" s="102"/>
      <c r="AB536" s="102"/>
      <c r="AC536" s="102"/>
      <c r="AD536" s="102"/>
      <c r="AE536" s="102"/>
      <c r="AF536" s="102"/>
      <c r="AG536" s="102"/>
      <c r="AH536" s="102"/>
      <c r="AI536" s="102"/>
      <c r="AJ536" s="102"/>
      <c r="AK536" s="102"/>
      <c r="AL536" s="102"/>
      <c r="AM536" s="102"/>
      <c r="AN536" s="102"/>
      <c r="AO536" s="400"/>
      <c r="AP536" s="90"/>
      <c r="AQ536" s="90"/>
      <c r="AR536" s="90"/>
      <c r="AS536" s="90"/>
      <c r="AT536" s="90"/>
      <c r="AU536" s="90"/>
      <c r="AV536" s="90"/>
      <c r="AW536" s="90"/>
      <c r="AX536" s="90"/>
      <c r="AY536" s="90"/>
      <c r="AZ536" s="90"/>
      <c r="BA536" s="90"/>
      <c r="BB536" s="90"/>
      <c r="BC536" s="90"/>
      <c r="BD536" s="90"/>
      <c r="BE536" s="90"/>
      <c r="BF536" s="90"/>
      <c r="BG536" s="90"/>
      <c r="BH536" s="90"/>
      <c r="BI536" s="90"/>
    </row>
    <row r="537" ht="12.75" customHeight="1">
      <c r="A537" s="90"/>
      <c r="B537" s="90"/>
      <c r="C537" s="400"/>
      <c r="D537" s="90"/>
      <c r="E537" s="102"/>
      <c r="F537" s="90"/>
      <c r="G537" s="90"/>
      <c r="H537" s="102"/>
      <c r="I537" s="102"/>
      <c r="J537" s="102"/>
      <c r="K537" s="102"/>
      <c r="L537" s="102"/>
      <c r="M537" s="102"/>
      <c r="N537" s="102"/>
      <c r="O537" s="102"/>
      <c r="P537" s="102"/>
      <c r="Q537" s="102"/>
      <c r="R537" s="102"/>
      <c r="S537" s="102"/>
      <c r="T537" s="102"/>
      <c r="U537" s="102"/>
      <c r="V537" s="102"/>
      <c r="W537" s="102"/>
      <c r="X537" s="102"/>
      <c r="Y537" s="102"/>
      <c r="Z537" s="102"/>
      <c r="AA537" s="102"/>
      <c r="AB537" s="102"/>
      <c r="AC537" s="102"/>
      <c r="AD537" s="102"/>
      <c r="AE537" s="102"/>
      <c r="AF537" s="102"/>
      <c r="AG537" s="102"/>
      <c r="AH537" s="102"/>
      <c r="AI537" s="102"/>
      <c r="AJ537" s="102"/>
      <c r="AK537" s="102"/>
      <c r="AL537" s="102"/>
      <c r="AM537" s="102"/>
      <c r="AN537" s="102"/>
      <c r="AO537" s="400"/>
      <c r="AP537" s="90"/>
      <c r="AQ537" s="90"/>
      <c r="AR537" s="90"/>
      <c r="AS537" s="90"/>
      <c r="AT537" s="90"/>
      <c r="AU537" s="90"/>
      <c r="AV537" s="90"/>
      <c r="AW537" s="90"/>
      <c r="AX537" s="90"/>
      <c r="AY537" s="90"/>
      <c r="AZ537" s="90"/>
      <c r="BA537" s="90"/>
      <c r="BB537" s="90"/>
      <c r="BC537" s="90"/>
      <c r="BD537" s="90"/>
      <c r="BE537" s="90"/>
      <c r="BF537" s="90"/>
      <c r="BG537" s="90"/>
      <c r="BH537" s="90"/>
      <c r="BI537" s="90"/>
    </row>
    <row r="538" ht="12.75" customHeight="1">
      <c r="A538" s="90"/>
      <c r="B538" s="90"/>
      <c r="C538" s="400"/>
      <c r="D538" s="90"/>
      <c r="E538" s="102"/>
      <c r="F538" s="90"/>
      <c r="G538" s="90"/>
      <c r="H538" s="102"/>
      <c r="I538" s="102"/>
      <c r="J538" s="102"/>
      <c r="K538" s="102"/>
      <c r="L538" s="102"/>
      <c r="M538" s="102"/>
      <c r="N538" s="102"/>
      <c r="O538" s="102"/>
      <c r="P538" s="102"/>
      <c r="Q538" s="102"/>
      <c r="R538" s="102"/>
      <c r="S538" s="102"/>
      <c r="T538" s="102"/>
      <c r="U538" s="102"/>
      <c r="V538" s="102"/>
      <c r="W538" s="102"/>
      <c r="X538" s="102"/>
      <c r="Y538" s="102"/>
      <c r="Z538" s="102"/>
      <c r="AA538" s="102"/>
      <c r="AB538" s="102"/>
      <c r="AC538" s="102"/>
      <c r="AD538" s="102"/>
      <c r="AE538" s="102"/>
      <c r="AF538" s="102"/>
      <c r="AG538" s="102"/>
      <c r="AH538" s="102"/>
      <c r="AI538" s="102"/>
      <c r="AJ538" s="102"/>
      <c r="AK538" s="102"/>
      <c r="AL538" s="102"/>
      <c r="AM538" s="102"/>
      <c r="AN538" s="102"/>
      <c r="AO538" s="400"/>
      <c r="AP538" s="90"/>
      <c r="AQ538" s="90"/>
      <c r="AR538" s="90"/>
      <c r="AS538" s="90"/>
      <c r="AT538" s="90"/>
      <c r="AU538" s="90"/>
      <c r="AV538" s="90"/>
      <c r="AW538" s="90"/>
      <c r="AX538" s="90"/>
      <c r="AY538" s="90"/>
      <c r="AZ538" s="90"/>
      <c r="BA538" s="90"/>
      <c r="BB538" s="90"/>
      <c r="BC538" s="90"/>
      <c r="BD538" s="90"/>
      <c r="BE538" s="90"/>
      <c r="BF538" s="90"/>
      <c r="BG538" s="90"/>
      <c r="BH538" s="90"/>
      <c r="BI538" s="90"/>
    </row>
    <row r="539" ht="12.75" customHeight="1">
      <c r="A539" s="90"/>
      <c r="B539" s="90"/>
      <c r="C539" s="400"/>
      <c r="D539" s="90"/>
      <c r="E539" s="102"/>
      <c r="F539" s="90"/>
      <c r="G539" s="90"/>
      <c r="H539" s="102"/>
      <c r="I539" s="102"/>
      <c r="J539" s="102"/>
      <c r="K539" s="102"/>
      <c r="L539" s="102"/>
      <c r="M539" s="102"/>
      <c r="N539" s="102"/>
      <c r="O539" s="102"/>
      <c r="P539" s="102"/>
      <c r="Q539" s="102"/>
      <c r="R539" s="102"/>
      <c r="S539" s="102"/>
      <c r="T539" s="102"/>
      <c r="U539" s="102"/>
      <c r="V539" s="102"/>
      <c r="W539" s="102"/>
      <c r="X539" s="102"/>
      <c r="Y539" s="102"/>
      <c r="Z539" s="102"/>
      <c r="AA539" s="102"/>
      <c r="AB539" s="102"/>
      <c r="AC539" s="102"/>
      <c r="AD539" s="102"/>
      <c r="AE539" s="102"/>
      <c r="AF539" s="102"/>
      <c r="AG539" s="102"/>
      <c r="AH539" s="102"/>
      <c r="AI539" s="102"/>
      <c r="AJ539" s="102"/>
      <c r="AK539" s="102"/>
      <c r="AL539" s="102"/>
      <c r="AM539" s="102"/>
      <c r="AN539" s="102"/>
      <c r="AO539" s="400"/>
      <c r="AP539" s="90"/>
      <c r="AQ539" s="90"/>
      <c r="AR539" s="90"/>
      <c r="AS539" s="90"/>
      <c r="AT539" s="90"/>
      <c r="AU539" s="90"/>
      <c r="AV539" s="90"/>
      <c r="AW539" s="90"/>
      <c r="AX539" s="90"/>
      <c r="AY539" s="90"/>
      <c r="AZ539" s="90"/>
      <c r="BA539" s="90"/>
      <c r="BB539" s="90"/>
      <c r="BC539" s="90"/>
      <c r="BD539" s="90"/>
      <c r="BE539" s="90"/>
      <c r="BF539" s="90"/>
      <c r="BG539" s="90"/>
      <c r="BH539" s="90"/>
      <c r="BI539" s="90"/>
    </row>
    <row r="540" ht="12.75" customHeight="1">
      <c r="A540" s="90"/>
      <c r="B540" s="90"/>
      <c r="C540" s="400"/>
      <c r="D540" s="90"/>
      <c r="E540" s="102"/>
      <c r="F540" s="90"/>
      <c r="G540" s="90"/>
      <c r="H540" s="102"/>
      <c r="I540" s="102"/>
      <c r="J540" s="102"/>
      <c r="K540" s="102"/>
      <c r="L540" s="102"/>
      <c r="M540" s="102"/>
      <c r="N540" s="102"/>
      <c r="O540" s="102"/>
      <c r="P540" s="102"/>
      <c r="Q540" s="102"/>
      <c r="R540" s="102"/>
      <c r="S540" s="102"/>
      <c r="T540" s="102"/>
      <c r="U540" s="102"/>
      <c r="V540" s="102"/>
      <c r="W540" s="102"/>
      <c r="X540" s="102"/>
      <c r="Y540" s="102"/>
      <c r="Z540" s="102"/>
      <c r="AA540" s="102"/>
      <c r="AB540" s="102"/>
      <c r="AC540" s="102"/>
      <c r="AD540" s="102"/>
      <c r="AE540" s="102"/>
      <c r="AF540" s="102"/>
      <c r="AG540" s="102"/>
      <c r="AH540" s="102"/>
      <c r="AI540" s="102"/>
      <c r="AJ540" s="102"/>
      <c r="AK540" s="102"/>
      <c r="AL540" s="102"/>
      <c r="AM540" s="102"/>
      <c r="AN540" s="102"/>
      <c r="AO540" s="400"/>
      <c r="AP540" s="90"/>
      <c r="AQ540" s="90"/>
      <c r="AR540" s="90"/>
      <c r="AS540" s="90"/>
      <c r="AT540" s="90"/>
      <c r="AU540" s="90"/>
      <c r="AV540" s="90"/>
      <c r="AW540" s="90"/>
      <c r="AX540" s="90"/>
      <c r="AY540" s="90"/>
      <c r="AZ540" s="90"/>
      <c r="BA540" s="90"/>
      <c r="BB540" s="90"/>
      <c r="BC540" s="90"/>
      <c r="BD540" s="90"/>
      <c r="BE540" s="90"/>
      <c r="BF540" s="90"/>
      <c r="BG540" s="90"/>
      <c r="BH540" s="90"/>
      <c r="BI540" s="90"/>
    </row>
    <row r="541" ht="12.75" customHeight="1">
      <c r="A541" s="90"/>
      <c r="B541" s="90"/>
      <c r="C541" s="400"/>
      <c r="D541" s="90"/>
      <c r="E541" s="102"/>
      <c r="F541" s="90"/>
      <c r="G541" s="90"/>
      <c r="H541" s="102"/>
      <c r="I541" s="102"/>
      <c r="J541" s="102"/>
      <c r="K541" s="102"/>
      <c r="L541" s="102"/>
      <c r="M541" s="102"/>
      <c r="N541" s="102"/>
      <c r="O541" s="102"/>
      <c r="P541" s="102"/>
      <c r="Q541" s="102"/>
      <c r="R541" s="102"/>
      <c r="S541" s="102"/>
      <c r="T541" s="102"/>
      <c r="U541" s="102"/>
      <c r="V541" s="102"/>
      <c r="W541" s="102"/>
      <c r="X541" s="102"/>
      <c r="Y541" s="102"/>
      <c r="Z541" s="102"/>
      <c r="AA541" s="102"/>
      <c r="AB541" s="102"/>
      <c r="AC541" s="102"/>
      <c r="AD541" s="102"/>
      <c r="AE541" s="102"/>
      <c r="AF541" s="102"/>
      <c r="AG541" s="102"/>
      <c r="AH541" s="102"/>
      <c r="AI541" s="102"/>
      <c r="AJ541" s="102"/>
      <c r="AK541" s="102"/>
      <c r="AL541" s="102"/>
      <c r="AM541" s="102"/>
      <c r="AN541" s="102"/>
      <c r="AO541" s="400"/>
      <c r="AP541" s="90"/>
      <c r="AQ541" s="90"/>
      <c r="AR541" s="90"/>
      <c r="AS541" s="90"/>
      <c r="AT541" s="90"/>
      <c r="AU541" s="90"/>
      <c r="AV541" s="90"/>
      <c r="AW541" s="90"/>
      <c r="AX541" s="90"/>
      <c r="AY541" s="90"/>
      <c r="AZ541" s="90"/>
      <c r="BA541" s="90"/>
      <c r="BB541" s="90"/>
      <c r="BC541" s="90"/>
      <c r="BD541" s="90"/>
      <c r="BE541" s="90"/>
      <c r="BF541" s="90"/>
      <c r="BG541" s="90"/>
      <c r="BH541" s="90"/>
      <c r="BI541" s="90"/>
    </row>
    <row r="542" ht="12.75" customHeight="1">
      <c r="A542" s="90"/>
      <c r="B542" s="90"/>
      <c r="C542" s="400"/>
      <c r="D542" s="90"/>
      <c r="E542" s="102"/>
      <c r="F542" s="90"/>
      <c r="G542" s="90"/>
      <c r="H542" s="102"/>
      <c r="I542" s="102"/>
      <c r="J542" s="102"/>
      <c r="K542" s="102"/>
      <c r="L542" s="102"/>
      <c r="M542" s="102"/>
      <c r="N542" s="102"/>
      <c r="O542" s="102"/>
      <c r="P542" s="102"/>
      <c r="Q542" s="102"/>
      <c r="R542" s="102"/>
      <c r="S542" s="102"/>
      <c r="T542" s="102"/>
      <c r="U542" s="102"/>
      <c r="V542" s="102"/>
      <c r="W542" s="102"/>
      <c r="X542" s="102"/>
      <c r="Y542" s="102"/>
      <c r="Z542" s="102"/>
      <c r="AA542" s="102"/>
      <c r="AB542" s="102"/>
      <c r="AC542" s="102"/>
      <c r="AD542" s="102"/>
      <c r="AE542" s="102"/>
      <c r="AF542" s="102"/>
      <c r="AG542" s="102"/>
      <c r="AH542" s="102"/>
      <c r="AI542" s="102"/>
      <c r="AJ542" s="102"/>
      <c r="AK542" s="102"/>
      <c r="AL542" s="102"/>
      <c r="AM542" s="102"/>
      <c r="AN542" s="102"/>
      <c r="AO542" s="400"/>
      <c r="AP542" s="90"/>
      <c r="AQ542" s="90"/>
      <c r="AR542" s="90"/>
      <c r="AS542" s="90"/>
      <c r="AT542" s="90"/>
      <c r="AU542" s="90"/>
      <c r="AV542" s="90"/>
      <c r="AW542" s="90"/>
      <c r="AX542" s="90"/>
      <c r="AY542" s="90"/>
      <c r="AZ542" s="90"/>
      <c r="BA542" s="90"/>
      <c r="BB542" s="90"/>
      <c r="BC542" s="90"/>
      <c r="BD542" s="90"/>
      <c r="BE542" s="90"/>
      <c r="BF542" s="90"/>
      <c r="BG542" s="90"/>
      <c r="BH542" s="90"/>
      <c r="BI542" s="90"/>
    </row>
    <row r="543" ht="12.75" customHeight="1">
      <c r="A543" s="90"/>
      <c r="B543" s="90"/>
      <c r="C543" s="400"/>
      <c r="D543" s="90"/>
      <c r="E543" s="102"/>
      <c r="F543" s="90"/>
      <c r="G543" s="90"/>
      <c r="H543" s="102"/>
      <c r="I543" s="102"/>
      <c r="J543" s="102"/>
      <c r="K543" s="102"/>
      <c r="L543" s="102"/>
      <c r="M543" s="102"/>
      <c r="N543" s="102"/>
      <c r="O543" s="102"/>
      <c r="P543" s="102"/>
      <c r="Q543" s="102"/>
      <c r="R543" s="102"/>
      <c r="S543" s="102"/>
      <c r="T543" s="102"/>
      <c r="U543" s="102"/>
      <c r="V543" s="102"/>
      <c r="W543" s="102"/>
      <c r="X543" s="102"/>
      <c r="Y543" s="102"/>
      <c r="Z543" s="102"/>
      <c r="AA543" s="102"/>
      <c r="AB543" s="102"/>
      <c r="AC543" s="102"/>
      <c r="AD543" s="102"/>
      <c r="AE543" s="102"/>
      <c r="AF543" s="102"/>
      <c r="AG543" s="102"/>
      <c r="AH543" s="102"/>
      <c r="AI543" s="102"/>
      <c r="AJ543" s="102"/>
      <c r="AK543" s="102"/>
      <c r="AL543" s="102"/>
      <c r="AM543" s="102"/>
      <c r="AN543" s="102"/>
      <c r="AO543" s="400"/>
      <c r="AP543" s="90"/>
      <c r="AQ543" s="90"/>
      <c r="AR543" s="90"/>
      <c r="AS543" s="90"/>
      <c r="AT543" s="90"/>
      <c r="AU543" s="90"/>
      <c r="AV543" s="90"/>
      <c r="AW543" s="90"/>
      <c r="AX543" s="90"/>
      <c r="AY543" s="90"/>
      <c r="AZ543" s="90"/>
      <c r="BA543" s="90"/>
      <c r="BB543" s="90"/>
      <c r="BC543" s="90"/>
      <c r="BD543" s="90"/>
      <c r="BE543" s="90"/>
      <c r="BF543" s="90"/>
      <c r="BG543" s="90"/>
      <c r="BH543" s="90"/>
      <c r="BI543" s="90"/>
    </row>
    <row r="544" ht="12.75" customHeight="1">
      <c r="A544" s="90"/>
      <c r="B544" s="90"/>
      <c r="C544" s="400"/>
      <c r="D544" s="90"/>
      <c r="E544" s="102"/>
      <c r="F544" s="90"/>
      <c r="G544" s="90"/>
      <c r="H544" s="102"/>
      <c r="I544" s="102"/>
      <c r="J544" s="102"/>
      <c r="K544" s="102"/>
      <c r="L544" s="102"/>
      <c r="M544" s="102"/>
      <c r="N544" s="102"/>
      <c r="O544" s="102"/>
      <c r="P544" s="102"/>
      <c r="Q544" s="102"/>
      <c r="R544" s="102"/>
      <c r="S544" s="102"/>
      <c r="T544" s="102"/>
      <c r="U544" s="102"/>
      <c r="V544" s="102"/>
      <c r="W544" s="102"/>
      <c r="X544" s="102"/>
      <c r="Y544" s="102"/>
      <c r="Z544" s="102"/>
      <c r="AA544" s="102"/>
      <c r="AB544" s="102"/>
      <c r="AC544" s="102"/>
      <c r="AD544" s="102"/>
      <c r="AE544" s="102"/>
      <c r="AF544" s="102"/>
      <c r="AG544" s="102"/>
      <c r="AH544" s="102"/>
      <c r="AI544" s="102"/>
      <c r="AJ544" s="102"/>
      <c r="AK544" s="102"/>
      <c r="AL544" s="102"/>
      <c r="AM544" s="102"/>
      <c r="AN544" s="102"/>
      <c r="AO544" s="400"/>
      <c r="AP544" s="90"/>
      <c r="AQ544" s="90"/>
      <c r="AR544" s="90"/>
      <c r="AS544" s="90"/>
      <c r="AT544" s="90"/>
      <c r="AU544" s="90"/>
      <c r="AV544" s="90"/>
      <c r="AW544" s="90"/>
      <c r="AX544" s="90"/>
      <c r="AY544" s="90"/>
      <c r="AZ544" s="90"/>
      <c r="BA544" s="90"/>
      <c r="BB544" s="90"/>
      <c r="BC544" s="90"/>
      <c r="BD544" s="90"/>
      <c r="BE544" s="90"/>
      <c r="BF544" s="90"/>
      <c r="BG544" s="90"/>
      <c r="BH544" s="90"/>
      <c r="BI544" s="90"/>
    </row>
    <row r="545" ht="12.75" customHeight="1">
      <c r="A545" s="90"/>
      <c r="B545" s="90"/>
      <c r="C545" s="400"/>
      <c r="D545" s="90"/>
      <c r="E545" s="102"/>
      <c r="F545" s="90"/>
      <c r="G545" s="90"/>
      <c r="H545" s="102"/>
      <c r="I545" s="102"/>
      <c r="J545" s="102"/>
      <c r="K545" s="102"/>
      <c r="L545" s="102"/>
      <c r="M545" s="102"/>
      <c r="N545" s="102"/>
      <c r="O545" s="102"/>
      <c r="P545" s="102"/>
      <c r="Q545" s="102"/>
      <c r="R545" s="102"/>
      <c r="S545" s="102"/>
      <c r="T545" s="102"/>
      <c r="U545" s="102"/>
      <c r="V545" s="102"/>
      <c r="W545" s="102"/>
      <c r="X545" s="102"/>
      <c r="Y545" s="102"/>
      <c r="Z545" s="102"/>
      <c r="AA545" s="102"/>
      <c r="AB545" s="102"/>
      <c r="AC545" s="102"/>
      <c r="AD545" s="102"/>
      <c r="AE545" s="102"/>
      <c r="AF545" s="102"/>
      <c r="AG545" s="102"/>
      <c r="AH545" s="102"/>
      <c r="AI545" s="102"/>
      <c r="AJ545" s="102"/>
      <c r="AK545" s="102"/>
      <c r="AL545" s="102"/>
      <c r="AM545" s="102"/>
      <c r="AN545" s="102"/>
      <c r="AO545" s="400"/>
      <c r="AP545" s="90"/>
      <c r="AQ545" s="90"/>
      <c r="AR545" s="90"/>
      <c r="AS545" s="90"/>
      <c r="AT545" s="90"/>
      <c r="AU545" s="90"/>
      <c r="AV545" s="90"/>
      <c r="AW545" s="90"/>
      <c r="AX545" s="90"/>
      <c r="AY545" s="90"/>
      <c r="AZ545" s="90"/>
      <c r="BA545" s="90"/>
      <c r="BB545" s="90"/>
      <c r="BC545" s="90"/>
      <c r="BD545" s="90"/>
      <c r="BE545" s="90"/>
      <c r="BF545" s="90"/>
      <c r="BG545" s="90"/>
      <c r="BH545" s="90"/>
      <c r="BI545" s="90"/>
    </row>
    <row r="546" ht="12.75" customHeight="1">
      <c r="A546" s="90"/>
      <c r="B546" s="90"/>
      <c r="C546" s="400"/>
      <c r="D546" s="90"/>
      <c r="E546" s="102"/>
      <c r="F546" s="90"/>
      <c r="G546" s="90"/>
      <c r="H546" s="102"/>
      <c r="I546" s="102"/>
      <c r="J546" s="102"/>
      <c r="K546" s="102"/>
      <c r="L546" s="102"/>
      <c r="M546" s="102"/>
      <c r="N546" s="102"/>
      <c r="O546" s="102"/>
      <c r="P546" s="102"/>
      <c r="Q546" s="102"/>
      <c r="R546" s="102"/>
      <c r="S546" s="102"/>
      <c r="T546" s="102"/>
      <c r="U546" s="102"/>
      <c r="V546" s="102"/>
      <c r="W546" s="102"/>
      <c r="X546" s="102"/>
      <c r="Y546" s="102"/>
      <c r="Z546" s="102"/>
      <c r="AA546" s="102"/>
      <c r="AB546" s="102"/>
      <c r="AC546" s="102"/>
      <c r="AD546" s="102"/>
      <c r="AE546" s="102"/>
      <c r="AF546" s="102"/>
      <c r="AG546" s="102"/>
      <c r="AH546" s="102"/>
      <c r="AI546" s="102"/>
      <c r="AJ546" s="102"/>
      <c r="AK546" s="102"/>
      <c r="AL546" s="102"/>
      <c r="AM546" s="102"/>
      <c r="AN546" s="102"/>
      <c r="AO546" s="400"/>
      <c r="AP546" s="90"/>
      <c r="AQ546" s="90"/>
      <c r="AR546" s="90"/>
      <c r="AS546" s="90"/>
      <c r="AT546" s="90"/>
      <c r="AU546" s="90"/>
      <c r="AV546" s="90"/>
      <c r="AW546" s="90"/>
      <c r="AX546" s="90"/>
      <c r="AY546" s="90"/>
      <c r="AZ546" s="90"/>
      <c r="BA546" s="90"/>
      <c r="BB546" s="90"/>
      <c r="BC546" s="90"/>
      <c r="BD546" s="90"/>
      <c r="BE546" s="90"/>
      <c r="BF546" s="90"/>
      <c r="BG546" s="90"/>
      <c r="BH546" s="90"/>
      <c r="BI546" s="90"/>
    </row>
    <row r="547" ht="12.75" customHeight="1">
      <c r="A547" s="90"/>
      <c r="B547" s="90"/>
      <c r="C547" s="400"/>
      <c r="D547" s="90"/>
      <c r="E547" s="102"/>
      <c r="F547" s="90"/>
      <c r="G547" s="90"/>
      <c r="H547" s="102"/>
      <c r="I547" s="102"/>
      <c r="J547" s="102"/>
      <c r="K547" s="102"/>
      <c r="L547" s="102"/>
      <c r="M547" s="102"/>
      <c r="N547" s="102"/>
      <c r="O547" s="102"/>
      <c r="P547" s="102"/>
      <c r="Q547" s="102"/>
      <c r="R547" s="102"/>
      <c r="S547" s="102"/>
      <c r="T547" s="102"/>
      <c r="U547" s="102"/>
      <c r="V547" s="102"/>
      <c r="W547" s="102"/>
      <c r="X547" s="102"/>
      <c r="Y547" s="102"/>
      <c r="Z547" s="102"/>
      <c r="AA547" s="102"/>
      <c r="AB547" s="102"/>
      <c r="AC547" s="102"/>
      <c r="AD547" s="102"/>
      <c r="AE547" s="102"/>
      <c r="AF547" s="102"/>
      <c r="AG547" s="102"/>
      <c r="AH547" s="102"/>
      <c r="AI547" s="102"/>
      <c r="AJ547" s="102"/>
      <c r="AK547" s="102"/>
      <c r="AL547" s="102"/>
      <c r="AM547" s="102"/>
      <c r="AN547" s="102"/>
      <c r="AO547" s="400"/>
      <c r="AP547" s="90"/>
      <c r="AQ547" s="90"/>
      <c r="AR547" s="90"/>
      <c r="AS547" s="90"/>
      <c r="AT547" s="90"/>
      <c r="AU547" s="90"/>
      <c r="AV547" s="90"/>
      <c r="AW547" s="90"/>
      <c r="AX547" s="90"/>
      <c r="AY547" s="90"/>
      <c r="AZ547" s="90"/>
      <c r="BA547" s="90"/>
      <c r="BB547" s="90"/>
      <c r="BC547" s="90"/>
      <c r="BD547" s="90"/>
      <c r="BE547" s="90"/>
      <c r="BF547" s="90"/>
      <c r="BG547" s="90"/>
      <c r="BH547" s="90"/>
      <c r="BI547" s="90"/>
    </row>
    <row r="548" ht="12.75" customHeight="1">
      <c r="A548" s="90"/>
      <c r="B548" s="90"/>
      <c r="C548" s="400"/>
      <c r="D548" s="90"/>
      <c r="E548" s="102"/>
      <c r="F548" s="90"/>
      <c r="G548" s="90"/>
      <c r="H548" s="102"/>
      <c r="I548" s="102"/>
      <c r="J548" s="102"/>
      <c r="K548" s="102"/>
      <c r="L548" s="102"/>
      <c r="M548" s="102"/>
      <c r="N548" s="102"/>
      <c r="O548" s="102"/>
      <c r="P548" s="102"/>
      <c r="Q548" s="102"/>
      <c r="R548" s="102"/>
      <c r="S548" s="102"/>
      <c r="T548" s="102"/>
      <c r="U548" s="102"/>
      <c r="V548" s="102"/>
      <c r="W548" s="102"/>
      <c r="X548" s="102"/>
      <c r="Y548" s="102"/>
      <c r="Z548" s="102"/>
      <c r="AA548" s="102"/>
      <c r="AB548" s="102"/>
      <c r="AC548" s="102"/>
      <c r="AD548" s="102"/>
      <c r="AE548" s="102"/>
      <c r="AF548" s="102"/>
      <c r="AG548" s="102"/>
      <c r="AH548" s="102"/>
      <c r="AI548" s="102"/>
      <c r="AJ548" s="102"/>
      <c r="AK548" s="102"/>
      <c r="AL548" s="102"/>
      <c r="AM548" s="102"/>
      <c r="AN548" s="102"/>
      <c r="AO548" s="400"/>
      <c r="AP548" s="90"/>
      <c r="AQ548" s="90"/>
      <c r="AR548" s="90"/>
      <c r="AS548" s="90"/>
      <c r="AT548" s="90"/>
      <c r="AU548" s="90"/>
      <c r="AV548" s="90"/>
      <c r="AW548" s="90"/>
      <c r="AX548" s="90"/>
      <c r="AY548" s="90"/>
      <c r="AZ548" s="90"/>
      <c r="BA548" s="90"/>
      <c r="BB548" s="90"/>
      <c r="BC548" s="90"/>
      <c r="BD548" s="90"/>
      <c r="BE548" s="90"/>
      <c r="BF548" s="90"/>
      <c r="BG548" s="90"/>
      <c r="BH548" s="90"/>
      <c r="BI548" s="90"/>
    </row>
    <row r="549" ht="12.75" customHeight="1">
      <c r="A549" s="90"/>
      <c r="B549" s="90"/>
      <c r="C549" s="400"/>
      <c r="D549" s="90"/>
      <c r="E549" s="102"/>
      <c r="F549" s="90"/>
      <c r="G549" s="90"/>
      <c r="H549" s="102"/>
      <c r="I549" s="102"/>
      <c r="J549" s="102"/>
      <c r="K549" s="102"/>
      <c r="L549" s="102"/>
      <c r="M549" s="102"/>
      <c r="N549" s="102"/>
      <c r="O549" s="102"/>
      <c r="P549" s="102"/>
      <c r="Q549" s="102"/>
      <c r="R549" s="102"/>
      <c r="S549" s="102"/>
      <c r="T549" s="102"/>
      <c r="U549" s="102"/>
      <c r="V549" s="102"/>
      <c r="W549" s="102"/>
      <c r="X549" s="102"/>
      <c r="Y549" s="102"/>
      <c r="Z549" s="102"/>
      <c r="AA549" s="102"/>
      <c r="AB549" s="102"/>
      <c r="AC549" s="102"/>
      <c r="AD549" s="102"/>
      <c r="AE549" s="102"/>
      <c r="AF549" s="102"/>
      <c r="AG549" s="102"/>
      <c r="AH549" s="102"/>
      <c r="AI549" s="102"/>
      <c r="AJ549" s="102"/>
      <c r="AK549" s="102"/>
      <c r="AL549" s="102"/>
      <c r="AM549" s="102"/>
      <c r="AN549" s="102"/>
      <c r="AO549" s="400"/>
      <c r="AP549" s="90"/>
      <c r="AQ549" s="90"/>
      <c r="AR549" s="90"/>
      <c r="AS549" s="90"/>
      <c r="AT549" s="90"/>
      <c r="AU549" s="90"/>
      <c r="AV549" s="90"/>
      <c r="AW549" s="90"/>
      <c r="AX549" s="90"/>
      <c r="AY549" s="90"/>
      <c r="AZ549" s="90"/>
      <c r="BA549" s="90"/>
      <c r="BB549" s="90"/>
      <c r="BC549" s="90"/>
      <c r="BD549" s="90"/>
      <c r="BE549" s="90"/>
      <c r="BF549" s="90"/>
      <c r="BG549" s="90"/>
      <c r="BH549" s="90"/>
      <c r="BI549" s="90"/>
    </row>
    <row r="550" ht="12.75" customHeight="1">
      <c r="A550" s="90"/>
      <c r="B550" s="90"/>
      <c r="C550" s="400"/>
      <c r="D550" s="90"/>
      <c r="E550" s="102"/>
      <c r="F550" s="90"/>
      <c r="G550" s="90"/>
      <c r="H550" s="102"/>
      <c r="I550" s="102"/>
      <c r="J550" s="102"/>
      <c r="K550" s="102"/>
      <c r="L550" s="102"/>
      <c r="M550" s="102"/>
      <c r="N550" s="102"/>
      <c r="O550" s="102"/>
      <c r="P550" s="102"/>
      <c r="Q550" s="102"/>
      <c r="R550" s="102"/>
      <c r="S550" s="102"/>
      <c r="T550" s="102"/>
      <c r="U550" s="102"/>
      <c r="V550" s="102"/>
      <c r="W550" s="102"/>
      <c r="X550" s="102"/>
      <c r="Y550" s="102"/>
      <c r="Z550" s="102"/>
      <c r="AA550" s="102"/>
      <c r="AB550" s="102"/>
      <c r="AC550" s="102"/>
      <c r="AD550" s="102"/>
      <c r="AE550" s="102"/>
      <c r="AF550" s="102"/>
      <c r="AG550" s="102"/>
      <c r="AH550" s="102"/>
      <c r="AI550" s="102"/>
      <c r="AJ550" s="102"/>
      <c r="AK550" s="102"/>
      <c r="AL550" s="102"/>
      <c r="AM550" s="102"/>
      <c r="AN550" s="102"/>
      <c r="AO550" s="400"/>
      <c r="AP550" s="90"/>
      <c r="AQ550" s="90"/>
      <c r="AR550" s="90"/>
      <c r="AS550" s="90"/>
      <c r="AT550" s="90"/>
      <c r="AU550" s="90"/>
      <c r="AV550" s="90"/>
      <c r="AW550" s="90"/>
      <c r="AX550" s="90"/>
      <c r="AY550" s="90"/>
      <c r="AZ550" s="90"/>
      <c r="BA550" s="90"/>
      <c r="BB550" s="90"/>
      <c r="BC550" s="90"/>
      <c r="BD550" s="90"/>
      <c r="BE550" s="90"/>
      <c r="BF550" s="90"/>
      <c r="BG550" s="90"/>
      <c r="BH550" s="90"/>
      <c r="BI550" s="90"/>
    </row>
    <row r="551" ht="12.75" customHeight="1">
      <c r="A551" s="90"/>
      <c r="B551" s="90"/>
      <c r="C551" s="400"/>
      <c r="D551" s="90"/>
      <c r="E551" s="102"/>
      <c r="F551" s="90"/>
      <c r="G551" s="90"/>
      <c r="H551" s="102"/>
      <c r="I551" s="102"/>
      <c r="J551" s="102"/>
      <c r="K551" s="102"/>
      <c r="L551" s="102"/>
      <c r="M551" s="102"/>
      <c r="N551" s="102"/>
      <c r="O551" s="102"/>
      <c r="P551" s="102"/>
      <c r="Q551" s="102"/>
      <c r="R551" s="102"/>
      <c r="S551" s="102"/>
      <c r="T551" s="102"/>
      <c r="U551" s="102"/>
      <c r="V551" s="102"/>
      <c r="W551" s="102"/>
      <c r="X551" s="102"/>
      <c r="Y551" s="102"/>
      <c r="Z551" s="102"/>
      <c r="AA551" s="102"/>
      <c r="AB551" s="102"/>
      <c r="AC551" s="102"/>
      <c r="AD551" s="102"/>
      <c r="AE551" s="102"/>
      <c r="AF551" s="102"/>
      <c r="AG551" s="102"/>
      <c r="AH551" s="102"/>
      <c r="AI551" s="102"/>
      <c r="AJ551" s="102"/>
      <c r="AK551" s="102"/>
      <c r="AL551" s="102"/>
      <c r="AM551" s="102"/>
      <c r="AN551" s="102"/>
      <c r="AO551" s="400"/>
      <c r="AP551" s="90"/>
      <c r="AQ551" s="90"/>
      <c r="AR551" s="90"/>
      <c r="AS551" s="90"/>
      <c r="AT551" s="90"/>
      <c r="AU551" s="90"/>
      <c r="AV551" s="90"/>
      <c r="AW551" s="90"/>
      <c r="AX551" s="90"/>
      <c r="AY551" s="90"/>
      <c r="AZ551" s="90"/>
      <c r="BA551" s="90"/>
      <c r="BB551" s="90"/>
      <c r="BC551" s="90"/>
      <c r="BD551" s="90"/>
      <c r="BE551" s="90"/>
      <c r="BF551" s="90"/>
      <c r="BG551" s="90"/>
      <c r="BH551" s="90"/>
      <c r="BI551" s="90"/>
    </row>
    <row r="552" ht="12.75" customHeight="1">
      <c r="A552" s="90"/>
      <c r="B552" s="90"/>
      <c r="C552" s="400"/>
      <c r="D552" s="90"/>
      <c r="E552" s="102"/>
      <c r="F552" s="90"/>
      <c r="G552" s="90"/>
      <c r="H552" s="102"/>
      <c r="I552" s="102"/>
      <c r="J552" s="102"/>
      <c r="K552" s="102"/>
      <c r="L552" s="102"/>
      <c r="M552" s="102"/>
      <c r="N552" s="102"/>
      <c r="O552" s="102"/>
      <c r="P552" s="102"/>
      <c r="Q552" s="102"/>
      <c r="R552" s="102"/>
      <c r="S552" s="102"/>
      <c r="T552" s="102"/>
      <c r="U552" s="102"/>
      <c r="V552" s="102"/>
      <c r="W552" s="102"/>
      <c r="X552" s="102"/>
      <c r="Y552" s="102"/>
      <c r="Z552" s="102"/>
      <c r="AA552" s="102"/>
      <c r="AB552" s="102"/>
      <c r="AC552" s="102"/>
      <c r="AD552" s="102"/>
      <c r="AE552" s="102"/>
      <c r="AF552" s="102"/>
      <c r="AG552" s="102"/>
      <c r="AH552" s="102"/>
      <c r="AI552" s="102"/>
      <c r="AJ552" s="102"/>
      <c r="AK552" s="102"/>
      <c r="AL552" s="102"/>
      <c r="AM552" s="102"/>
      <c r="AN552" s="102"/>
      <c r="AO552" s="400"/>
      <c r="AP552" s="90"/>
      <c r="AQ552" s="90"/>
      <c r="AR552" s="90"/>
      <c r="AS552" s="90"/>
      <c r="AT552" s="90"/>
      <c r="AU552" s="90"/>
      <c r="AV552" s="90"/>
      <c r="AW552" s="90"/>
      <c r="AX552" s="90"/>
      <c r="AY552" s="90"/>
      <c r="AZ552" s="90"/>
      <c r="BA552" s="90"/>
      <c r="BB552" s="90"/>
      <c r="BC552" s="90"/>
      <c r="BD552" s="90"/>
      <c r="BE552" s="90"/>
      <c r="BF552" s="90"/>
      <c r="BG552" s="90"/>
      <c r="BH552" s="90"/>
      <c r="BI552" s="90"/>
    </row>
    <row r="553" ht="12.75" customHeight="1">
      <c r="A553" s="90"/>
      <c r="B553" s="90"/>
      <c r="C553" s="400"/>
      <c r="D553" s="90"/>
      <c r="E553" s="102"/>
      <c r="F553" s="90"/>
      <c r="G553" s="90"/>
      <c r="H553" s="102"/>
      <c r="I553" s="102"/>
      <c r="J553" s="102"/>
      <c r="K553" s="102"/>
      <c r="L553" s="102"/>
      <c r="M553" s="102"/>
      <c r="N553" s="102"/>
      <c r="O553" s="102"/>
      <c r="P553" s="102"/>
      <c r="Q553" s="102"/>
      <c r="R553" s="102"/>
      <c r="S553" s="102"/>
      <c r="T553" s="102"/>
      <c r="U553" s="102"/>
      <c r="V553" s="102"/>
      <c r="W553" s="102"/>
      <c r="X553" s="102"/>
      <c r="Y553" s="102"/>
      <c r="Z553" s="102"/>
      <c r="AA553" s="102"/>
      <c r="AB553" s="102"/>
      <c r="AC553" s="102"/>
      <c r="AD553" s="102"/>
      <c r="AE553" s="102"/>
      <c r="AF553" s="102"/>
      <c r="AG553" s="102"/>
      <c r="AH553" s="102"/>
      <c r="AI553" s="102"/>
      <c r="AJ553" s="102"/>
      <c r="AK553" s="102"/>
      <c r="AL553" s="102"/>
      <c r="AM553" s="102"/>
      <c r="AN553" s="102"/>
      <c r="AO553" s="400"/>
      <c r="AP553" s="90"/>
      <c r="AQ553" s="90"/>
      <c r="AR553" s="90"/>
      <c r="AS553" s="90"/>
      <c r="AT553" s="90"/>
      <c r="AU553" s="90"/>
      <c r="AV553" s="90"/>
      <c r="AW553" s="90"/>
      <c r="AX553" s="90"/>
      <c r="AY553" s="90"/>
      <c r="AZ553" s="90"/>
      <c r="BA553" s="90"/>
      <c r="BB553" s="90"/>
      <c r="BC553" s="90"/>
      <c r="BD553" s="90"/>
      <c r="BE553" s="90"/>
      <c r="BF553" s="90"/>
      <c r="BG553" s="90"/>
      <c r="BH553" s="90"/>
      <c r="BI553" s="90"/>
    </row>
    <row r="554" ht="12.75" customHeight="1">
      <c r="A554" s="90"/>
      <c r="B554" s="90"/>
      <c r="C554" s="400"/>
      <c r="D554" s="90"/>
      <c r="E554" s="102"/>
      <c r="F554" s="90"/>
      <c r="G554" s="90"/>
      <c r="H554" s="102"/>
      <c r="I554" s="102"/>
      <c r="J554" s="102"/>
      <c r="K554" s="102"/>
      <c r="L554" s="102"/>
      <c r="M554" s="102"/>
      <c r="N554" s="102"/>
      <c r="O554" s="102"/>
      <c r="P554" s="102"/>
      <c r="Q554" s="102"/>
      <c r="R554" s="102"/>
      <c r="S554" s="102"/>
      <c r="T554" s="102"/>
      <c r="U554" s="102"/>
      <c r="V554" s="102"/>
      <c r="W554" s="102"/>
      <c r="X554" s="102"/>
      <c r="Y554" s="102"/>
      <c r="Z554" s="102"/>
      <c r="AA554" s="102"/>
      <c r="AB554" s="102"/>
      <c r="AC554" s="102"/>
      <c r="AD554" s="102"/>
      <c r="AE554" s="102"/>
      <c r="AF554" s="102"/>
      <c r="AG554" s="102"/>
      <c r="AH554" s="102"/>
      <c r="AI554" s="102"/>
      <c r="AJ554" s="102"/>
      <c r="AK554" s="102"/>
      <c r="AL554" s="102"/>
      <c r="AM554" s="102"/>
      <c r="AN554" s="102"/>
      <c r="AO554" s="400"/>
      <c r="AP554" s="90"/>
      <c r="AQ554" s="90"/>
      <c r="AR554" s="90"/>
      <c r="AS554" s="90"/>
      <c r="AT554" s="90"/>
      <c r="AU554" s="90"/>
      <c r="AV554" s="90"/>
      <c r="AW554" s="90"/>
      <c r="AX554" s="90"/>
      <c r="AY554" s="90"/>
      <c r="AZ554" s="90"/>
      <c r="BA554" s="90"/>
      <c r="BB554" s="90"/>
      <c r="BC554" s="90"/>
      <c r="BD554" s="90"/>
      <c r="BE554" s="90"/>
      <c r="BF554" s="90"/>
      <c r="BG554" s="90"/>
      <c r="BH554" s="90"/>
      <c r="BI554" s="90"/>
    </row>
    <row r="555" ht="12.75" customHeight="1">
      <c r="A555" s="90"/>
      <c r="B555" s="90"/>
      <c r="C555" s="400"/>
      <c r="D555" s="90"/>
      <c r="E555" s="102"/>
      <c r="F555" s="90"/>
      <c r="G555" s="90"/>
      <c r="H555" s="102"/>
      <c r="I555" s="102"/>
      <c r="J555" s="102"/>
      <c r="K555" s="102"/>
      <c r="L555" s="102"/>
      <c r="M555" s="102"/>
      <c r="N555" s="102"/>
      <c r="O555" s="102"/>
      <c r="P555" s="102"/>
      <c r="Q555" s="102"/>
      <c r="R555" s="102"/>
      <c r="S555" s="102"/>
      <c r="T555" s="102"/>
      <c r="U555" s="102"/>
      <c r="V555" s="102"/>
      <c r="W555" s="102"/>
      <c r="X555" s="102"/>
      <c r="Y555" s="102"/>
      <c r="Z555" s="102"/>
      <c r="AA555" s="102"/>
      <c r="AB555" s="102"/>
      <c r="AC555" s="102"/>
      <c r="AD555" s="102"/>
      <c r="AE555" s="102"/>
      <c r="AF555" s="102"/>
      <c r="AG555" s="102"/>
      <c r="AH555" s="102"/>
      <c r="AI555" s="102"/>
      <c r="AJ555" s="102"/>
      <c r="AK555" s="102"/>
      <c r="AL555" s="102"/>
      <c r="AM555" s="102"/>
      <c r="AN555" s="102"/>
      <c r="AO555" s="400"/>
      <c r="AP555" s="90"/>
      <c r="AQ555" s="90"/>
      <c r="AR555" s="90"/>
      <c r="AS555" s="90"/>
      <c r="AT555" s="90"/>
      <c r="AU555" s="90"/>
      <c r="AV555" s="90"/>
      <c r="AW555" s="90"/>
      <c r="AX555" s="90"/>
      <c r="AY555" s="90"/>
      <c r="AZ555" s="90"/>
      <c r="BA555" s="90"/>
      <c r="BB555" s="90"/>
      <c r="BC555" s="90"/>
      <c r="BD555" s="90"/>
      <c r="BE555" s="90"/>
      <c r="BF555" s="90"/>
      <c r="BG555" s="90"/>
      <c r="BH555" s="90"/>
      <c r="BI555" s="90"/>
    </row>
    <row r="556" ht="12.75" customHeight="1">
      <c r="A556" s="90"/>
      <c r="B556" s="90"/>
      <c r="C556" s="400"/>
      <c r="D556" s="90"/>
      <c r="E556" s="102"/>
      <c r="F556" s="90"/>
      <c r="G556" s="90"/>
      <c r="H556" s="102"/>
      <c r="I556" s="102"/>
      <c r="J556" s="102"/>
      <c r="K556" s="102"/>
      <c r="L556" s="102"/>
      <c r="M556" s="102"/>
      <c r="N556" s="102"/>
      <c r="O556" s="102"/>
      <c r="P556" s="102"/>
      <c r="Q556" s="102"/>
      <c r="R556" s="102"/>
      <c r="S556" s="102"/>
      <c r="T556" s="102"/>
      <c r="U556" s="102"/>
      <c r="V556" s="102"/>
      <c r="W556" s="102"/>
      <c r="X556" s="102"/>
      <c r="Y556" s="102"/>
      <c r="Z556" s="102"/>
      <c r="AA556" s="102"/>
      <c r="AB556" s="102"/>
      <c r="AC556" s="102"/>
      <c r="AD556" s="102"/>
      <c r="AE556" s="102"/>
      <c r="AF556" s="102"/>
      <c r="AG556" s="102"/>
      <c r="AH556" s="102"/>
      <c r="AI556" s="102"/>
      <c r="AJ556" s="102"/>
      <c r="AK556" s="102"/>
      <c r="AL556" s="102"/>
      <c r="AM556" s="102"/>
      <c r="AN556" s="102"/>
      <c r="AO556" s="400"/>
      <c r="AP556" s="90"/>
      <c r="AQ556" s="90"/>
      <c r="AR556" s="90"/>
      <c r="AS556" s="90"/>
      <c r="AT556" s="90"/>
      <c r="AU556" s="90"/>
      <c r="AV556" s="90"/>
      <c r="AW556" s="90"/>
      <c r="AX556" s="90"/>
      <c r="AY556" s="90"/>
      <c r="AZ556" s="90"/>
      <c r="BA556" s="90"/>
      <c r="BB556" s="90"/>
      <c r="BC556" s="90"/>
      <c r="BD556" s="90"/>
      <c r="BE556" s="90"/>
      <c r="BF556" s="90"/>
      <c r="BG556" s="90"/>
      <c r="BH556" s="90"/>
      <c r="BI556" s="90"/>
    </row>
    <row r="557" ht="12.75" customHeight="1">
      <c r="A557" s="90"/>
      <c r="B557" s="90"/>
      <c r="C557" s="400"/>
      <c r="D557" s="90"/>
      <c r="E557" s="102"/>
      <c r="F557" s="90"/>
      <c r="G557" s="90"/>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c r="AG557" s="102"/>
      <c r="AH557" s="102"/>
      <c r="AI557" s="102"/>
      <c r="AJ557" s="102"/>
      <c r="AK557" s="102"/>
      <c r="AL557" s="102"/>
      <c r="AM557" s="102"/>
      <c r="AN557" s="102"/>
      <c r="AO557" s="400"/>
      <c r="AP557" s="90"/>
      <c r="AQ557" s="90"/>
      <c r="AR557" s="90"/>
      <c r="AS557" s="90"/>
      <c r="AT557" s="90"/>
      <c r="AU557" s="90"/>
      <c r="AV557" s="90"/>
      <c r="AW557" s="90"/>
      <c r="AX557" s="90"/>
      <c r="AY557" s="90"/>
      <c r="AZ557" s="90"/>
      <c r="BA557" s="90"/>
      <c r="BB557" s="90"/>
      <c r="BC557" s="90"/>
      <c r="BD557" s="90"/>
      <c r="BE557" s="90"/>
      <c r="BF557" s="90"/>
      <c r="BG557" s="90"/>
      <c r="BH557" s="90"/>
      <c r="BI557" s="90"/>
    </row>
    <row r="558" ht="12.75" customHeight="1">
      <c r="A558" s="90"/>
      <c r="B558" s="90"/>
      <c r="C558" s="400"/>
      <c r="D558" s="90"/>
      <c r="E558" s="102"/>
      <c r="F558" s="90"/>
      <c r="G558" s="90"/>
      <c r="H558" s="102"/>
      <c r="I558" s="102"/>
      <c r="J558" s="102"/>
      <c r="K558" s="102"/>
      <c r="L558" s="102"/>
      <c r="M558" s="102"/>
      <c r="N558" s="102"/>
      <c r="O558" s="102"/>
      <c r="P558" s="102"/>
      <c r="Q558" s="102"/>
      <c r="R558" s="102"/>
      <c r="S558" s="102"/>
      <c r="T558" s="102"/>
      <c r="U558" s="102"/>
      <c r="V558" s="102"/>
      <c r="W558" s="102"/>
      <c r="X558" s="102"/>
      <c r="Y558" s="102"/>
      <c r="Z558" s="102"/>
      <c r="AA558" s="102"/>
      <c r="AB558" s="102"/>
      <c r="AC558" s="102"/>
      <c r="AD558" s="102"/>
      <c r="AE558" s="102"/>
      <c r="AF558" s="102"/>
      <c r="AG558" s="102"/>
      <c r="AH558" s="102"/>
      <c r="AI558" s="102"/>
      <c r="AJ558" s="102"/>
      <c r="AK558" s="102"/>
      <c r="AL558" s="102"/>
      <c r="AM558" s="102"/>
      <c r="AN558" s="102"/>
      <c r="AO558" s="400"/>
      <c r="AP558" s="90"/>
      <c r="AQ558" s="90"/>
      <c r="AR558" s="90"/>
      <c r="AS558" s="90"/>
      <c r="AT558" s="90"/>
      <c r="AU558" s="90"/>
      <c r="AV558" s="90"/>
      <c r="AW558" s="90"/>
      <c r="AX558" s="90"/>
      <c r="AY558" s="90"/>
      <c r="AZ558" s="90"/>
      <c r="BA558" s="90"/>
      <c r="BB558" s="90"/>
      <c r="BC558" s="90"/>
      <c r="BD558" s="90"/>
      <c r="BE558" s="90"/>
      <c r="BF558" s="90"/>
      <c r="BG558" s="90"/>
      <c r="BH558" s="90"/>
      <c r="BI558" s="90"/>
    </row>
    <row r="559" ht="12.75" customHeight="1">
      <c r="A559" s="90"/>
      <c r="B559" s="90"/>
      <c r="C559" s="400"/>
      <c r="D559" s="90"/>
      <c r="E559" s="102"/>
      <c r="F559" s="90"/>
      <c r="G559" s="90"/>
      <c r="H559" s="102"/>
      <c r="I559" s="102"/>
      <c r="J559" s="102"/>
      <c r="K559" s="102"/>
      <c r="L559" s="102"/>
      <c r="M559" s="102"/>
      <c r="N559" s="102"/>
      <c r="O559" s="102"/>
      <c r="P559" s="102"/>
      <c r="Q559" s="102"/>
      <c r="R559" s="102"/>
      <c r="S559" s="102"/>
      <c r="T559" s="102"/>
      <c r="U559" s="102"/>
      <c r="V559" s="102"/>
      <c r="W559" s="102"/>
      <c r="X559" s="102"/>
      <c r="Y559" s="102"/>
      <c r="Z559" s="102"/>
      <c r="AA559" s="102"/>
      <c r="AB559" s="102"/>
      <c r="AC559" s="102"/>
      <c r="AD559" s="102"/>
      <c r="AE559" s="102"/>
      <c r="AF559" s="102"/>
      <c r="AG559" s="102"/>
      <c r="AH559" s="102"/>
      <c r="AI559" s="102"/>
      <c r="AJ559" s="102"/>
      <c r="AK559" s="102"/>
      <c r="AL559" s="102"/>
      <c r="AM559" s="102"/>
      <c r="AN559" s="102"/>
      <c r="AO559" s="400"/>
      <c r="AP559" s="90"/>
      <c r="AQ559" s="90"/>
      <c r="AR559" s="90"/>
      <c r="AS559" s="90"/>
      <c r="AT559" s="90"/>
      <c r="AU559" s="90"/>
      <c r="AV559" s="90"/>
      <c r="AW559" s="90"/>
      <c r="AX559" s="90"/>
      <c r="AY559" s="90"/>
      <c r="AZ559" s="90"/>
      <c r="BA559" s="90"/>
      <c r="BB559" s="90"/>
      <c r="BC559" s="90"/>
      <c r="BD559" s="90"/>
      <c r="BE559" s="90"/>
      <c r="BF559" s="90"/>
      <c r="BG559" s="90"/>
      <c r="BH559" s="90"/>
      <c r="BI559" s="90"/>
    </row>
    <row r="560" ht="12.75" customHeight="1">
      <c r="A560" s="90"/>
      <c r="B560" s="90"/>
      <c r="C560" s="400"/>
      <c r="D560" s="90"/>
      <c r="E560" s="102"/>
      <c r="F560" s="90"/>
      <c r="G560" s="90"/>
      <c r="H560" s="102"/>
      <c r="I560" s="102"/>
      <c r="J560" s="102"/>
      <c r="K560" s="102"/>
      <c r="L560" s="102"/>
      <c r="M560" s="102"/>
      <c r="N560" s="102"/>
      <c r="O560" s="102"/>
      <c r="P560" s="102"/>
      <c r="Q560" s="102"/>
      <c r="R560" s="102"/>
      <c r="S560" s="102"/>
      <c r="T560" s="102"/>
      <c r="U560" s="102"/>
      <c r="V560" s="102"/>
      <c r="W560" s="102"/>
      <c r="X560" s="102"/>
      <c r="Y560" s="102"/>
      <c r="Z560" s="102"/>
      <c r="AA560" s="102"/>
      <c r="AB560" s="102"/>
      <c r="AC560" s="102"/>
      <c r="AD560" s="102"/>
      <c r="AE560" s="102"/>
      <c r="AF560" s="102"/>
      <c r="AG560" s="102"/>
      <c r="AH560" s="102"/>
      <c r="AI560" s="102"/>
      <c r="AJ560" s="102"/>
      <c r="AK560" s="102"/>
      <c r="AL560" s="102"/>
      <c r="AM560" s="102"/>
      <c r="AN560" s="102"/>
      <c r="AO560" s="400"/>
      <c r="AP560" s="90"/>
      <c r="AQ560" s="90"/>
      <c r="AR560" s="90"/>
      <c r="AS560" s="90"/>
      <c r="AT560" s="90"/>
      <c r="AU560" s="90"/>
      <c r="AV560" s="90"/>
      <c r="AW560" s="90"/>
      <c r="AX560" s="90"/>
      <c r="AY560" s="90"/>
      <c r="AZ560" s="90"/>
      <c r="BA560" s="90"/>
      <c r="BB560" s="90"/>
      <c r="BC560" s="90"/>
      <c r="BD560" s="90"/>
      <c r="BE560" s="90"/>
      <c r="BF560" s="90"/>
      <c r="BG560" s="90"/>
      <c r="BH560" s="90"/>
      <c r="BI560" s="90"/>
    </row>
    <row r="561" ht="12.75" customHeight="1">
      <c r="A561" s="90"/>
      <c r="B561" s="90"/>
      <c r="C561" s="400"/>
      <c r="D561" s="90"/>
      <c r="E561" s="102"/>
      <c r="F561" s="90"/>
      <c r="G561" s="90"/>
      <c r="H561" s="102"/>
      <c r="I561" s="102"/>
      <c r="J561" s="102"/>
      <c r="K561" s="102"/>
      <c r="L561" s="102"/>
      <c r="M561" s="102"/>
      <c r="N561" s="102"/>
      <c r="O561" s="102"/>
      <c r="P561" s="102"/>
      <c r="Q561" s="102"/>
      <c r="R561" s="102"/>
      <c r="S561" s="102"/>
      <c r="T561" s="102"/>
      <c r="U561" s="102"/>
      <c r="V561" s="102"/>
      <c r="W561" s="102"/>
      <c r="X561" s="102"/>
      <c r="Y561" s="102"/>
      <c r="Z561" s="102"/>
      <c r="AA561" s="102"/>
      <c r="AB561" s="102"/>
      <c r="AC561" s="102"/>
      <c r="AD561" s="102"/>
      <c r="AE561" s="102"/>
      <c r="AF561" s="102"/>
      <c r="AG561" s="102"/>
      <c r="AH561" s="102"/>
      <c r="AI561" s="102"/>
      <c r="AJ561" s="102"/>
      <c r="AK561" s="102"/>
      <c r="AL561" s="102"/>
      <c r="AM561" s="102"/>
      <c r="AN561" s="102"/>
      <c r="AO561" s="400"/>
      <c r="AP561" s="90"/>
      <c r="AQ561" s="90"/>
      <c r="AR561" s="90"/>
      <c r="AS561" s="90"/>
      <c r="AT561" s="90"/>
      <c r="AU561" s="90"/>
      <c r="AV561" s="90"/>
      <c r="AW561" s="90"/>
      <c r="AX561" s="90"/>
      <c r="AY561" s="90"/>
      <c r="AZ561" s="90"/>
      <c r="BA561" s="90"/>
      <c r="BB561" s="90"/>
      <c r="BC561" s="90"/>
      <c r="BD561" s="90"/>
      <c r="BE561" s="90"/>
      <c r="BF561" s="90"/>
      <c r="BG561" s="90"/>
      <c r="BH561" s="90"/>
      <c r="BI561" s="90"/>
    </row>
    <row r="562" ht="12.75" customHeight="1">
      <c r="A562" s="90"/>
      <c r="B562" s="90"/>
      <c r="C562" s="400"/>
      <c r="D562" s="90"/>
      <c r="E562" s="102"/>
      <c r="F562" s="90"/>
      <c r="G562" s="90"/>
      <c r="H562" s="102"/>
      <c r="I562" s="102"/>
      <c r="J562" s="102"/>
      <c r="K562" s="102"/>
      <c r="L562" s="102"/>
      <c r="M562" s="102"/>
      <c r="N562" s="102"/>
      <c r="O562" s="102"/>
      <c r="P562" s="102"/>
      <c r="Q562" s="102"/>
      <c r="R562" s="102"/>
      <c r="S562" s="102"/>
      <c r="T562" s="102"/>
      <c r="U562" s="102"/>
      <c r="V562" s="102"/>
      <c r="W562" s="102"/>
      <c r="X562" s="102"/>
      <c r="Y562" s="102"/>
      <c r="Z562" s="102"/>
      <c r="AA562" s="102"/>
      <c r="AB562" s="102"/>
      <c r="AC562" s="102"/>
      <c r="AD562" s="102"/>
      <c r="AE562" s="102"/>
      <c r="AF562" s="102"/>
      <c r="AG562" s="102"/>
      <c r="AH562" s="102"/>
      <c r="AI562" s="102"/>
      <c r="AJ562" s="102"/>
      <c r="AK562" s="102"/>
      <c r="AL562" s="102"/>
      <c r="AM562" s="102"/>
      <c r="AN562" s="102"/>
      <c r="AO562" s="400"/>
      <c r="AP562" s="90"/>
      <c r="AQ562" s="90"/>
      <c r="AR562" s="90"/>
      <c r="AS562" s="90"/>
      <c r="AT562" s="90"/>
      <c r="AU562" s="90"/>
      <c r="AV562" s="90"/>
      <c r="AW562" s="90"/>
      <c r="AX562" s="90"/>
      <c r="AY562" s="90"/>
      <c r="AZ562" s="90"/>
      <c r="BA562" s="90"/>
      <c r="BB562" s="90"/>
      <c r="BC562" s="90"/>
      <c r="BD562" s="90"/>
      <c r="BE562" s="90"/>
      <c r="BF562" s="90"/>
      <c r="BG562" s="90"/>
      <c r="BH562" s="90"/>
      <c r="BI562" s="90"/>
    </row>
    <row r="563" ht="12.75" customHeight="1">
      <c r="A563" s="90"/>
      <c r="B563" s="90"/>
      <c r="C563" s="400"/>
      <c r="D563" s="90"/>
      <c r="E563" s="102"/>
      <c r="F563" s="90"/>
      <c r="G563" s="90"/>
      <c r="H563" s="102"/>
      <c r="I563" s="102"/>
      <c r="J563" s="102"/>
      <c r="K563" s="102"/>
      <c r="L563" s="102"/>
      <c r="M563" s="102"/>
      <c r="N563" s="102"/>
      <c r="O563" s="102"/>
      <c r="P563" s="102"/>
      <c r="Q563" s="102"/>
      <c r="R563" s="102"/>
      <c r="S563" s="102"/>
      <c r="T563" s="102"/>
      <c r="U563" s="102"/>
      <c r="V563" s="102"/>
      <c r="W563" s="102"/>
      <c r="X563" s="102"/>
      <c r="Y563" s="102"/>
      <c r="Z563" s="102"/>
      <c r="AA563" s="102"/>
      <c r="AB563" s="102"/>
      <c r="AC563" s="102"/>
      <c r="AD563" s="102"/>
      <c r="AE563" s="102"/>
      <c r="AF563" s="102"/>
      <c r="AG563" s="102"/>
      <c r="AH563" s="102"/>
      <c r="AI563" s="102"/>
      <c r="AJ563" s="102"/>
      <c r="AK563" s="102"/>
      <c r="AL563" s="102"/>
      <c r="AM563" s="102"/>
      <c r="AN563" s="102"/>
      <c r="AO563" s="400"/>
      <c r="AP563" s="90"/>
      <c r="AQ563" s="90"/>
      <c r="AR563" s="90"/>
      <c r="AS563" s="90"/>
      <c r="AT563" s="90"/>
      <c r="AU563" s="90"/>
      <c r="AV563" s="90"/>
      <c r="AW563" s="90"/>
      <c r="AX563" s="90"/>
      <c r="AY563" s="90"/>
      <c r="AZ563" s="90"/>
      <c r="BA563" s="90"/>
      <c r="BB563" s="90"/>
      <c r="BC563" s="90"/>
      <c r="BD563" s="90"/>
      <c r="BE563" s="90"/>
      <c r="BF563" s="90"/>
      <c r="BG563" s="90"/>
      <c r="BH563" s="90"/>
      <c r="BI563" s="90"/>
    </row>
    <row r="564" ht="12.75" customHeight="1">
      <c r="A564" s="90"/>
      <c r="B564" s="90"/>
      <c r="C564" s="400"/>
      <c r="D564" s="90"/>
      <c r="E564" s="102"/>
      <c r="F564" s="90"/>
      <c r="G564" s="90"/>
      <c r="H564" s="102"/>
      <c r="I564" s="102"/>
      <c r="J564" s="102"/>
      <c r="K564" s="102"/>
      <c r="L564" s="102"/>
      <c r="M564" s="102"/>
      <c r="N564" s="102"/>
      <c r="O564" s="102"/>
      <c r="P564" s="102"/>
      <c r="Q564" s="102"/>
      <c r="R564" s="102"/>
      <c r="S564" s="102"/>
      <c r="T564" s="102"/>
      <c r="U564" s="102"/>
      <c r="V564" s="102"/>
      <c r="W564" s="102"/>
      <c r="X564" s="102"/>
      <c r="Y564" s="102"/>
      <c r="Z564" s="102"/>
      <c r="AA564" s="102"/>
      <c r="AB564" s="102"/>
      <c r="AC564" s="102"/>
      <c r="AD564" s="102"/>
      <c r="AE564" s="102"/>
      <c r="AF564" s="102"/>
      <c r="AG564" s="102"/>
      <c r="AH564" s="102"/>
      <c r="AI564" s="102"/>
      <c r="AJ564" s="102"/>
      <c r="AK564" s="102"/>
      <c r="AL564" s="102"/>
      <c r="AM564" s="102"/>
      <c r="AN564" s="102"/>
      <c r="AO564" s="400"/>
      <c r="AP564" s="90"/>
      <c r="AQ564" s="90"/>
      <c r="AR564" s="90"/>
      <c r="AS564" s="90"/>
      <c r="AT564" s="90"/>
      <c r="AU564" s="90"/>
      <c r="AV564" s="90"/>
      <c r="AW564" s="90"/>
      <c r="AX564" s="90"/>
      <c r="AY564" s="90"/>
      <c r="AZ564" s="90"/>
      <c r="BA564" s="90"/>
      <c r="BB564" s="90"/>
      <c r="BC564" s="90"/>
      <c r="BD564" s="90"/>
      <c r="BE564" s="90"/>
      <c r="BF564" s="90"/>
      <c r="BG564" s="90"/>
      <c r="BH564" s="90"/>
      <c r="BI564" s="90"/>
    </row>
    <row r="565" ht="12.75" customHeight="1">
      <c r="A565" s="90"/>
      <c r="B565" s="90"/>
      <c r="C565" s="400"/>
      <c r="D565" s="90"/>
      <c r="E565" s="102"/>
      <c r="F565" s="90"/>
      <c r="G565" s="90"/>
      <c r="H565" s="102"/>
      <c r="I565" s="102"/>
      <c r="J565" s="102"/>
      <c r="K565" s="102"/>
      <c r="L565" s="102"/>
      <c r="M565" s="102"/>
      <c r="N565" s="102"/>
      <c r="O565" s="102"/>
      <c r="P565" s="102"/>
      <c r="Q565" s="102"/>
      <c r="R565" s="102"/>
      <c r="S565" s="102"/>
      <c r="T565" s="102"/>
      <c r="U565" s="102"/>
      <c r="V565" s="102"/>
      <c r="W565" s="102"/>
      <c r="X565" s="102"/>
      <c r="Y565" s="102"/>
      <c r="Z565" s="102"/>
      <c r="AA565" s="102"/>
      <c r="AB565" s="102"/>
      <c r="AC565" s="102"/>
      <c r="AD565" s="102"/>
      <c r="AE565" s="102"/>
      <c r="AF565" s="102"/>
      <c r="AG565" s="102"/>
      <c r="AH565" s="102"/>
      <c r="AI565" s="102"/>
      <c r="AJ565" s="102"/>
      <c r="AK565" s="102"/>
      <c r="AL565" s="102"/>
      <c r="AM565" s="102"/>
      <c r="AN565" s="102"/>
      <c r="AO565" s="400"/>
      <c r="AP565" s="90"/>
      <c r="AQ565" s="90"/>
      <c r="AR565" s="90"/>
      <c r="AS565" s="90"/>
      <c r="AT565" s="90"/>
      <c r="AU565" s="90"/>
      <c r="AV565" s="90"/>
      <c r="AW565" s="90"/>
      <c r="AX565" s="90"/>
      <c r="AY565" s="90"/>
      <c r="AZ565" s="90"/>
      <c r="BA565" s="90"/>
      <c r="BB565" s="90"/>
      <c r="BC565" s="90"/>
      <c r="BD565" s="90"/>
      <c r="BE565" s="90"/>
      <c r="BF565" s="90"/>
      <c r="BG565" s="90"/>
      <c r="BH565" s="90"/>
      <c r="BI565" s="90"/>
    </row>
    <row r="566" ht="12.75" customHeight="1">
      <c r="A566" s="90"/>
      <c r="B566" s="90"/>
      <c r="C566" s="400"/>
      <c r="D566" s="90"/>
      <c r="E566" s="102"/>
      <c r="F566" s="90"/>
      <c r="G566" s="90"/>
      <c r="H566" s="102"/>
      <c r="I566" s="102"/>
      <c r="J566" s="102"/>
      <c r="K566" s="102"/>
      <c r="L566" s="102"/>
      <c r="M566" s="102"/>
      <c r="N566" s="102"/>
      <c r="O566" s="102"/>
      <c r="P566" s="102"/>
      <c r="Q566" s="102"/>
      <c r="R566" s="102"/>
      <c r="S566" s="102"/>
      <c r="T566" s="102"/>
      <c r="U566" s="102"/>
      <c r="V566" s="102"/>
      <c r="W566" s="102"/>
      <c r="X566" s="102"/>
      <c r="Y566" s="102"/>
      <c r="Z566" s="102"/>
      <c r="AA566" s="102"/>
      <c r="AB566" s="102"/>
      <c r="AC566" s="102"/>
      <c r="AD566" s="102"/>
      <c r="AE566" s="102"/>
      <c r="AF566" s="102"/>
      <c r="AG566" s="102"/>
      <c r="AH566" s="102"/>
      <c r="AI566" s="102"/>
      <c r="AJ566" s="102"/>
      <c r="AK566" s="102"/>
      <c r="AL566" s="102"/>
      <c r="AM566" s="102"/>
      <c r="AN566" s="102"/>
      <c r="AO566" s="400"/>
      <c r="AP566" s="90"/>
      <c r="AQ566" s="90"/>
      <c r="AR566" s="90"/>
      <c r="AS566" s="90"/>
      <c r="AT566" s="90"/>
      <c r="AU566" s="90"/>
      <c r="AV566" s="90"/>
      <c r="AW566" s="90"/>
      <c r="AX566" s="90"/>
      <c r="AY566" s="90"/>
      <c r="AZ566" s="90"/>
      <c r="BA566" s="90"/>
      <c r="BB566" s="90"/>
      <c r="BC566" s="90"/>
      <c r="BD566" s="90"/>
      <c r="BE566" s="90"/>
      <c r="BF566" s="90"/>
      <c r="BG566" s="90"/>
      <c r="BH566" s="90"/>
      <c r="BI566" s="90"/>
    </row>
    <row r="567" ht="12.75" customHeight="1">
      <c r="A567" s="90"/>
      <c r="B567" s="90"/>
      <c r="C567" s="400"/>
      <c r="D567" s="90"/>
      <c r="E567" s="102"/>
      <c r="F567" s="90"/>
      <c r="G567" s="90"/>
      <c r="H567" s="102"/>
      <c r="I567" s="102"/>
      <c r="J567" s="102"/>
      <c r="K567" s="102"/>
      <c r="L567" s="102"/>
      <c r="M567" s="102"/>
      <c r="N567" s="102"/>
      <c r="O567" s="102"/>
      <c r="P567" s="102"/>
      <c r="Q567" s="102"/>
      <c r="R567" s="102"/>
      <c r="S567" s="102"/>
      <c r="T567" s="102"/>
      <c r="U567" s="102"/>
      <c r="V567" s="102"/>
      <c r="W567" s="102"/>
      <c r="X567" s="102"/>
      <c r="Y567" s="102"/>
      <c r="Z567" s="102"/>
      <c r="AA567" s="102"/>
      <c r="AB567" s="102"/>
      <c r="AC567" s="102"/>
      <c r="AD567" s="102"/>
      <c r="AE567" s="102"/>
      <c r="AF567" s="102"/>
      <c r="AG567" s="102"/>
      <c r="AH567" s="102"/>
      <c r="AI567" s="102"/>
      <c r="AJ567" s="102"/>
      <c r="AK567" s="102"/>
      <c r="AL567" s="102"/>
      <c r="AM567" s="102"/>
      <c r="AN567" s="102"/>
      <c r="AO567" s="400"/>
      <c r="AP567" s="90"/>
      <c r="AQ567" s="90"/>
      <c r="AR567" s="90"/>
      <c r="AS567" s="90"/>
      <c r="AT567" s="90"/>
      <c r="AU567" s="90"/>
      <c r="AV567" s="90"/>
      <c r="AW567" s="90"/>
      <c r="AX567" s="90"/>
      <c r="AY567" s="90"/>
      <c r="AZ567" s="90"/>
      <c r="BA567" s="90"/>
      <c r="BB567" s="90"/>
      <c r="BC567" s="90"/>
      <c r="BD567" s="90"/>
      <c r="BE567" s="90"/>
      <c r="BF567" s="90"/>
      <c r="BG567" s="90"/>
      <c r="BH567" s="90"/>
      <c r="BI567" s="90"/>
    </row>
    <row r="568" ht="12.75" customHeight="1">
      <c r="A568" s="90"/>
      <c r="B568" s="90"/>
      <c r="C568" s="400"/>
      <c r="D568" s="90"/>
      <c r="E568" s="102"/>
      <c r="F568" s="90"/>
      <c r="G568" s="90"/>
      <c r="H568" s="102"/>
      <c r="I568" s="102"/>
      <c r="J568" s="102"/>
      <c r="K568" s="102"/>
      <c r="L568" s="102"/>
      <c r="M568" s="102"/>
      <c r="N568" s="102"/>
      <c r="O568" s="102"/>
      <c r="P568" s="102"/>
      <c r="Q568" s="102"/>
      <c r="R568" s="102"/>
      <c r="S568" s="102"/>
      <c r="T568" s="102"/>
      <c r="U568" s="102"/>
      <c r="V568" s="102"/>
      <c r="W568" s="102"/>
      <c r="X568" s="102"/>
      <c r="Y568" s="102"/>
      <c r="Z568" s="102"/>
      <c r="AA568" s="102"/>
      <c r="AB568" s="102"/>
      <c r="AC568" s="102"/>
      <c r="AD568" s="102"/>
      <c r="AE568" s="102"/>
      <c r="AF568" s="102"/>
      <c r="AG568" s="102"/>
      <c r="AH568" s="102"/>
      <c r="AI568" s="102"/>
      <c r="AJ568" s="102"/>
      <c r="AK568" s="102"/>
      <c r="AL568" s="102"/>
      <c r="AM568" s="102"/>
      <c r="AN568" s="102"/>
      <c r="AO568" s="400"/>
      <c r="AP568" s="90"/>
      <c r="AQ568" s="90"/>
      <c r="AR568" s="90"/>
      <c r="AS568" s="90"/>
      <c r="AT568" s="90"/>
      <c r="AU568" s="90"/>
      <c r="AV568" s="90"/>
      <c r="AW568" s="90"/>
      <c r="AX568" s="90"/>
      <c r="AY568" s="90"/>
      <c r="AZ568" s="90"/>
      <c r="BA568" s="90"/>
      <c r="BB568" s="90"/>
      <c r="BC568" s="90"/>
      <c r="BD568" s="90"/>
      <c r="BE568" s="90"/>
      <c r="BF568" s="90"/>
      <c r="BG568" s="90"/>
      <c r="BH568" s="90"/>
      <c r="BI568" s="90"/>
    </row>
    <row r="569" ht="12.75" customHeight="1">
      <c r="A569" s="90"/>
      <c r="B569" s="90"/>
      <c r="C569" s="400"/>
      <c r="D569" s="90"/>
      <c r="E569" s="102"/>
      <c r="F569" s="90"/>
      <c r="G569" s="90"/>
      <c r="H569" s="102"/>
      <c r="I569" s="102"/>
      <c r="J569" s="102"/>
      <c r="K569" s="102"/>
      <c r="L569" s="102"/>
      <c r="M569" s="102"/>
      <c r="N569" s="102"/>
      <c r="O569" s="102"/>
      <c r="P569" s="102"/>
      <c r="Q569" s="102"/>
      <c r="R569" s="102"/>
      <c r="S569" s="102"/>
      <c r="T569" s="102"/>
      <c r="U569" s="102"/>
      <c r="V569" s="102"/>
      <c r="W569" s="102"/>
      <c r="X569" s="102"/>
      <c r="Y569" s="102"/>
      <c r="Z569" s="102"/>
      <c r="AA569" s="102"/>
      <c r="AB569" s="102"/>
      <c r="AC569" s="102"/>
      <c r="AD569" s="102"/>
      <c r="AE569" s="102"/>
      <c r="AF569" s="102"/>
      <c r="AG569" s="102"/>
      <c r="AH569" s="102"/>
      <c r="AI569" s="102"/>
      <c r="AJ569" s="102"/>
      <c r="AK569" s="102"/>
      <c r="AL569" s="102"/>
      <c r="AM569" s="102"/>
      <c r="AN569" s="102"/>
      <c r="AO569" s="400"/>
      <c r="AP569" s="90"/>
      <c r="AQ569" s="90"/>
      <c r="AR569" s="90"/>
      <c r="AS569" s="90"/>
      <c r="AT569" s="90"/>
      <c r="AU569" s="90"/>
      <c r="AV569" s="90"/>
      <c r="AW569" s="90"/>
      <c r="AX569" s="90"/>
      <c r="AY569" s="90"/>
      <c r="AZ569" s="90"/>
      <c r="BA569" s="90"/>
      <c r="BB569" s="90"/>
      <c r="BC569" s="90"/>
      <c r="BD569" s="90"/>
      <c r="BE569" s="90"/>
      <c r="BF569" s="90"/>
      <c r="BG569" s="90"/>
      <c r="BH569" s="90"/>
      <c r="BI569" s="90"/>
    </row>
    <row r="570" ht="12.75" customHeight="1">
      <c r="A570" s="90"/>
      <c r="B570" s="90"/>
      <c r="C570" s="400"/>
      <c r="D570" s="90"/>
      <c r="E570" s="102"/>
      <c r="F570" s="90"/>
      <c r="G570" s="90"/>
      <c r="H570" s="102"/>
      <c r="I570" s="102"/>
      <c r="J570" s="102"/>
      <c r="K570" s="102"/>
      <c r="L570" s="102"/>
      <c r="M570" s="102"/>
      <c r="N570" s="102"/>
      <c r="O570" s="102"/>
      <c r="P570" s="102"/>
      <c r="Q570" s="102"/>
      <c r="R570" s="102"/>
      <c r="S570" s="102"/>
      <c r="T570" s="102"/>
      <c r="U570" s="102"/>
      <c r="V570" s="102"/>
      <c r="W570" s="102"/>
      <c r="X570" s="102"/>
      <c r="Y570" s="102"/>
      <c r="Z570" s="102"/>
      <c r="AA570" s="102"/>
      <c r="AB570" s="102"/>
      <c r="AC570" s="102"/>
      <c r="AD570" s="102"/>
      <c r="AE570" s="102"/>
      <c r="AF570" s="102"/>
      <c r="AG570" s="102"/>
      <c r="AH570" s="102"/>
      <c r="AI570" s="102"/>
      <c r="AJ570" s="102"/>
      <c r="AK570" s="102"/>
      <c r="AL570" s="102"/>
      <c r="AM570" s="102"/>
      <c r="AN570" s="102"/>
      <c r="AO570" s="400"/>
      <c r="AP570" s="90"/>
      <c r="AQ570" s="90"/>
      <c r="AR570" s="90"/>
      <c r="AS570" s="90"/>
      <c r="AT570" s="90"/>
      <c r="AU570" s="90"/>
      <c r="AV570" s="90"/>
      <c r="AW570" s="90"/>
      <c r="AX570" s="90"/>
      <c r="AY570" s="90"/>
      <c r="AZ570" s="90"/>
      <c r="BA570" s="90"/>
      <c r="BB570" s="90"/>
      <c r="BC570" s="90"/>
      <c r="BD570" s="90"/>
      <c r="BE570" s="90"/>
      <c r="BF570" s="90"/>
      <c r="BG570" s="90"/>
      <c r="BH570" s="90"/>
      <c r="BI570" s="90"/>
    </row>
    <row r="571" ht="12.75" customHeight="1">
      <c r="A571" s="90"/>
      <c r="B571" s="90"/>
      <c r="C571" s="400"/>
      <c r="D571" s="90"/>
      <c r="E571" s="102"/>
      <c r="F571" s="90"/>
      <c r="G571" s="90"/>
      <c r="H571" s="102"/>
      <c r="I571" s="102"/>
      <c r="J571" s="102"/>
      <c r="K571" s="102"/>
      <c r="L571" s="102"/>
      <c r="M571" s="102"/>
      <c r="N571" s="102"/>
      <c r="O571" s="102"/>
      <c r="P571" s="102"/>
      <c r="Q571" s="102"/>
      <c r="R571" s="102"/>
      <c r="S571" s="102"/>
      <c r="T571" s="102"/>
      <c r="U571" s="102"/>
      <c r="V571" s="102"/>
      <c r="W571" s="102"/>
      <c r="X571" s="102"/>
      <c r="Y571" s="102"/>
      <c r="Z571" s="102"/>
      <c r="AA571" s="102"/>
      <c r="AB571" s="102"/>
      <c r="AC571" s="102"/>
      <c r="AD571" s="102"/>
      <c r="AE571" s="102"/>
      <c r="AF571" s="102"/>
      <c r="AG571" s="102"/>
      <c r="AH571" s="102"/>
      <c r="AI571" s="102"/>
      <c r="AJ571" s="102"/>
      <c r="AK571" s="102"/>
      <c r="AL571" s="102"/>
      <c r="AM571" s="102"/>
      <c r="AN571" s="102"/>
      <c r="AO571" s="400"/>
      <c r="AP571" s="90"/>
      <c r="AQ571" s="90"/>
      <c r="AR571" s="90"/>
      <c r="AS571" s="90"/>
      <c r="AT571" s="90"/>
      <c r="AU571" s="90"/>
      <c r="AV571" s="90"/>
      <c r="AW571" s="90"/>
      <c r="AX571" s="90"/>
      <c r="AY571" s="90"/>
      <c r="AZ571" s="90"/>
      <c r="BA571" s="90"/>
      <c r="BB571" s="90"/>
      <c r="BC571" s="90"/>
      <c r="BD571" s="90"/>
      <c r="BE571" s="90"/>
      <c r="BF571" s="90"/>
      <c r="BG571" s="90"/>
      <c r="BH571" s="90"/>
      <c r="BI571" s="90"/>
    </row>
    <row r="572" ht="12.75" customHeight="1">
      <c r="A572" s="90"/>
      <c r="B572" s="90"/>
      <c r="C572" s="400"/>
      <c r="D572" s="90"/>
      <c r="E572" s="102"/>
      <c r="F572" s="90"/>
      <c r="G572" s="90"/>
      <c r="H572" s="102"/>
      <c r="I572" s="102"/>
      <c r="J572" s="102"/>
      <c r="K572" s="102"/>
      <c r="L572" s="102"/>
      <c r="M572" s="102"/>
      <c r="N572" s="102"/>
      <c r="O572" s="102"/>
      <c r="P572" s="102"/>
      <c r="Q572" s="102"/>
      <c r="R572" s="102"/>
      <c r="S572" s="102"/>
      <c r="T572" s="102"/>
      <c r="U572" s="102"/>
      <c r="V572" s="102"/>
      <c r="W572" s="102"/>
      <c r="X572" s="102"/>
      <c r="Y572" s="102"/>
      <c r="Z572" s="102"/>
      <c r="AA572" s="102"/>
      <c r="AB572" s="102"/>
      <c r="AC572" s="102"/>
      <c r="AD572" s="102"/>
      <c r="AE572" s="102"/>
      <c r="AF572" s="102"/>
      <c r="AG572" s="102"/>
      <c r="AH572" s="102"/>
      <c r="AI572" s="102"/>
      <c r="AJ572" s="102"/>
      <c r="AK572" s="102"/>
      <c r="AL572" s="102"/>
      <c r="AM572" s="102"/>
      <c r="AN572" s="102"/>
      <c r="AO572" s="400"/>
      <c r="AP572" s="90"/>
      <c r="AQ572" s="90"/>
      <c r="AR572" s="90"/>
      <c r="AS572" s="90"/>
      <c r="AT572" s="90"/>
      <c r="AU572" s="90"/>
      <c r="AV572" s="90"/>
      <c r="AW572" s="90"/>
      <c r="AX572" s="90"/>
      <c r="AY572" s="90"/>
      <c r="AZ572" s="90"/>
      <c r="BA572" s="90"/>
      <c r="BB572" s="90"/>
      <c r="BC572" s="90"/>
      <c r="BD572" s="90"/>
      <c r="BE572" s="90"/>
      <c r="BF572" s="90"/>
      <c r="BG572" s="90"/>
      <c r="BH572" s="90"/>
      <c r="BI572" s="90"/>
    </row>
    <row r="573" ht="12.75" customHeight="1">
      <c r="A573" s="90"/>
      <c r="B573" s="90"/>
      <c r="C573" s="400"/>
      <c r="D573" s="90"/>
      <c r="E573" s="102"/>
      <c r="F573" s="90"/>
      <c r="G573" s="90"/>
      <c r="H573" s="102"/>
      <c r="I573" s="102"/>
      <c r="J573" s="102"/>
      <c r="K573" s="102"/>
      <c r="L573" s="102"/>
      <c r="M573" s="102"/>
      <c r="N573" s="102"/>
      <c r="O573" s="102"/>
      <c r="P573" s="102"/>
      <c r="Q573" s="102"/>
      <c r="R573" s="102"/>
      <c r="S573" s="102"/>
      <c r="T573" s="102"/>
      <c r="U573" s="102"/>
      <c r="V573" s="102"/>
      <c r="W573" s="102"/>
      <c r="X573" s="102"/>
      <c r="Y573" s="102"/>
      <c r="Z573" s="102"/>
      <c r="AA573" s="102"/>
      <c r="AB573" s="102"/>
      <c r="AC573" s="102"/>
      <c r="AD573" s="102"/>
      <c r="AE573" s="102"/>
      <c r="AF573" s="102"/>
      <c r="AG573" s="102"/>
      <c r="AH573" s="102"/>
      <c r="AI573" s="102"/>
      <c r="AJ573" s="102"/>
      <c r="AK573" s="102"/>
      <c r="AL573" s="102"/>
      <c r="AM573" s="102"/>
      <c r="AN573" s="102"/>
      <c r="AO573" s="400"/>
      <c r="AP573" s="90"/>
      <c r="AQ573" s="90"/>
      <c r="AR573" s="90"/>
      <c r="AS573" s="90"/>
      <c r="AT573" s="90"/>
      <c r="AU573" s="90"/>
      <c r="AV573" s="90"/>
      <c r="AW573" s="90"/>
      <c r="AX573" s="90"/>
      <c r="AY573" s="90"/>
      <c r="AZ573" s="90"/>
      <c r="BA573" s="90"/>
      <c r="BB573" s="90"/>
      <c r="BC573" s="90"/>
      <c r="BD573" s="90"/>
      <c r="BE573" s="90"/>
      <c r="BF573" s="90"/>
      <c r="BG573" s="90"/>
      <c r="BH573" s="90"/>
      <c r="BI573" s="90"/>
    </row>
    <row r="574" ht="12.75" customHeight="1">
      <c r="A574" s="90"/>
      <c r="B574" s="90"/>
      <c r="C574" s="400"/>
      <c r="D574" s="90"/>
      <c r="E574" s="102"/>
      <c r="F574" s="90"/>
      <c r="G574" s="90"/>
      <c r="H574" s="102"/>
      <c r="I574" s="102"/>
      <c r="J574" s="102"/>
      <c r="K574" s="102"/>
      <c r="L574" s="102"/>
      <c r="M574" s="102"/>
      <c r="N574" s="102"/>
      <c r="O574" s="102"/>
      <c r="P574" s="102"/>
      <c r="Q574" s="102"/>
      <c r="R574" s="102"/>
      <c r="S574" s="102"/>
      <c r="T574" s="102"/>
      <c r="U574" s="102"/>
      <c r="V574" s="102"/>
      <c r="W574" s="102"/>
      <c r="X574" s="102"/>
      <c r="Y574" s="102"/>
      <c r="Z574" s="102"/>
      <c r="AA574" s="102"/>
      <c r="AB574" s="102"/>
      <c r="AC574" s="102"/>
      <c r="AD574" s="102"/>
      <c r="AE574" s="102"/>
      <c r="AF574" s="102"/>
      <c r="AG574" s="102"/>
      <c r="AH574" s="102"/>
      <c r="AI574" s="102"/>
      <c r="AJ574" s="102"/>
      <c r="AK574" s="102"/>
      <c r="AL574" s="102"/>
      <c r="AM574" s="102"/>
      <c r="AN574" s="102"/>
      <c r="AO574" s="400"/>
      <c r="AP574" s="90"/>
      <c r="AQ574" s="90"/>
      <c r="AR574" s="90"/>
      <c r="AS574" s="90"/>
      <c r="AT574" s="90"/>
      <c r="AU574" s="90"/>
      <c r="AV574" s="90"/>
      <c r="AW574" s="90"/>
      <c r="AX574" s="90"/>
      <c r="AY574" s="90"/>
      <c r="AZ574" s="90"/>
      <c r="BA574" s="90"/>
      <c r="BB574" s="90"/>
      <c r="BC574" s="90"/>
      <c r="BD574" s="90"/>
      <c r="BE574" s="90"/>
      <c r="BF574" s="90"/>
      <c r="BG574" s="90"/>
      <c r="BH574" s="90"/>
      <c r="BI574" s="90"/>
    </row>
    <row r="575" ht="12.75" customHeight="1">
      <c r="A575" s="90"/>
      <c r="B575" s="90"/>
      <c r="C575" s="400"/>
      <c r="D575" s="90"/>
      <c r="E575" s="102"/>
      <c r="F575" s="90"/>
      <c r="G575" s="90"/>
      <c r="H575" s="102"/>
      <c r="I575" s="102"/>
      <c r="J575" s="102"/>
      <c r="K575" s="102"/>
      <c r="L575" s="102"/>
      <c r="M575" s="102"/>
      <c r="N575" s="102"/>
      <c r="O575" s="102"/>
      <c r="P575" s="102"/>
      <c r="Q575" s="102"/>
      <c r="R575" s="102"/>
      <c r="S575" s="102"/>
      <c r="T575" s="102"/>
      <c r="U575" s="102"/>
      <c r="V575" s="102"/>
      <c r="W575" s="102"/>
      <c r="X575" s="102"/>
      <c r="Y575" s="102"/>
      <c r="Z575" s="102"/>
      <c r="AA575" s="102"/>
      <c r="AB575" s="102"/>
      <c r="AC575" s="102"/>
      <c r="AD575" s="102"/>
      <c r="AE575" s="102"/>
      <c r="AF575" s="102"/>
      <c r="AG575" s="102"/>
      <c r="AH575" s="102"/>
      <c r="AI575" s="102"/>
      <c r="AJ575" s="102"/>
      <c r="AK575" s="102"/>
      <c r="AL575" s="102"/>
      <c r="AM575" s="102"/>
      <c r="AN575" s="102"/>
      <c r="AO575" s="400"/>
      <c r="AP575" s="90"/>
      <c r="AQ575" s="90"/>
      <c r="AR575" s="90"/>
      <c r="AS575" s="90"/>
      <c r="AT575" s="90"/>
      <c r="AU575" s="90"/>
      <c r="AV575" s="90"/>
      <c r="AW575" s="90"/>
      <c r="AX575" s="90"/>
      <c r="AY575" s="90"/>
      <c r="AZ575" s="90"/>
      <c r="BA575" s="90"/>
      <c r="BB575" s="90"/>
      <c r="BC575" s="90"/>
      <c r="BD575" s="90"/>
      <c r="BE575" s="90"/>
      <c r="BF575" s="90"/>
      <c r="BG575" s="90"/>
      <c r="BH575" s="90"/>
      <c r="BI575" s="90"/>
    </row>
    <row r="576" ht="12.75" customHeight="1">
      <c r="A576" s="90"/>
      <c r="B576" s="90"/>
      <c r="C576" s="400"/>
      <c r="D576" s="90"/>
      <c r="E576" s="102"/>
      <c r="F576" s="90"/>
      <c r="G576" s="90"/>
      <c r="H576" s="102"/>
      <c r="I576" s="102"/>
      <c r="J576" s="102"/>
      <c r="K576" s="102"/>
      <c r="L576" s="102"/>
      <c r="M576" s="102"/>
      <c r="N576" s="102"/>
      <c r="O576" s="102"/>
      <c r="P576" s="102"/>
      <c r="Q576" s="102"/>
      <c r="R576" s="102"/>
      <c r="S576" s="102"/>
      <c r="T576" s="102"/>
      <c r="U576" s="102"/>
      <c r="V576" s="102"/>
      <c r="W576" s="102"/>
      <c r="X576" s="102"/>
      <c r="Y576" s="102"/>
      <c r="Z576" s="102"/>
      <c r="AA576" s="102"/>
      <c r="AB576" s="102"/>
      <c r="AC576" s="102"/>
      <c r="AD576" s="102"/>
      <c r="AE576" s="102"/>
      <c r="AF576" s="102"/>
      <c r="AG576" s="102"/>
      <c r="AH576" s="102"/>
      <c r="AI576" s="102"/>
      <c r="AJ576" s="102"/>
      <c r="AK576" s="102"/>
      <c r="AL576" s="102"/>
      <c r="AM576" s="102"/>
      <c r="AN576" s="102"/>
      <c r="AO576" s="400"/>
      <c r="AP576" s="90"/>
      <c r="AQ576" s="90"/>
      <c r="AR576" s="90"/>
      <c r="AS576" s="90"/>
      <c r="AT576" s="90"/>
      <c r="AU576" s="90"/>
      <c r="AV576" s="90"/>
      <c r="AW576" s="90"/>
      <c r="AX576" s="90"/>
      <c r="AY576" s="90"/>
      <c r="AZ576" s="90"/>
      <c r="BA576" s="90"/>
      <c r="BB576" s="90"/>
      <c r="BC576" s="90"/>
      <c r="BD576" s="90"/>
      <c r="BE576" s="90"/>
      <c r="BF576" s="90"/>
      <c r="BG576" s="90"/>
      <c r="BH576" s="90"/>
      <c r="BI576" s="90"/>
    </row>
    <row r="577" ht="12.75" customHeight="1">
      <c r="A577" s="90"/>
      <c r="B577" s="90"/>
      <c r="C577" s="400"/>
      <c r="D577" s="90"/>
      <c r="E577" s="102"/>
      <c r="F577" s="90"/>
      <c r="G577" s="90"/>
      <c r="H577" s="102"/>
      <c r="I577" s="102"/>
      <c r="J577" s="102"/>
      <c r="K577" s="102"/>
      <c r="L577" s="102"/>
      <c r="M577" s="102"/>
      <c r="N577" s="102"/>
      <c r="O577" s="102"/>
      <c r="P577" s="102"/>
      <c r="Q577" s="102"/>
      <c r="R577" s="102"/>
      <c r="S577" s="102"/>
      <c r="T577" s="102"/>
      <c r="U577" s="102"/>
      <c r="V577" s="102"/>
      <c r="W577" s="102"/>
      <c r="X577" s="102"/>
      <c r="Y577" s="102"/>
      <c r="Z577" s="102"/>
      <c r="AA577" s="102"/>
      <c r="AB577" s="102"/>
      <c r="AC577" s="102"/>
      <c r="AD577" s="102"/>
      <c r="AE577" s="102"/>
      <c r="AF577" s="102"/>
      <c r="AG577" s="102"/>
      <c r="AH577" s="102"/>
      <c r="AI577" s="102"/>
      <c r="AJ577" s="102"/>
      <c r="AK577" s="102"/>
      <c r="AL577" s="102"/>
      <c r="AM577" s="102"/>
      <c r="AN577" s="102"/>
      <c r="AO577" s="400"/>
      <c r="AP577" s="90"/>
      <c r="AQ577" s="90"/>
      <c r="AR577" s="90"/>
      <c r="AS577" s="90"/>
      <c r="AT577" s="90"/>
      <c r="AU577" s="90"/>
      <c r="AV577" s="90"/>
      <c r="AW577" s="90"/>
      <c r="AX577" s="90"/>
      <c r="AY577" s="90"/>
      <c r="AZ577" s="90"/>
      <c r="BA577" s="90"/>
      <c r="BB577" s="90"/>
      <c r="BC577" s="90"/>
      <c r="BD577" s="90"/>
      <c r="BE577" s="90"/>
      <c r="BF577" s="90"/>
      <c r="BG577" s="90"/>
      <c r="BH577" s="90"/>
      <c r="BI577" s="90"/>
    </row>
    <row r="578" ht="12.75" customHeight="1">
      <c r="A578" s="90"/>
      <c r="B578" s="90"/>
      <c r="C578" s="400"/>
      <c r="D578" s="90"/>
      <c r="E578" s="102"/>
      <c r="F578" s="90"/>
      <c r="G578" s="90"/>
      <c r="H578" s="102"/>
      <c r="I578" s="102"/>
      <c r="J578" s="102"/>
      <c r="K578" s="102"/>
      <c r="L578" s="102"/>
      <c r="M578" s="102"/>
      <c r="N578" s="102"/>
      <c r="O578" s="102"/>
      <c r="P578" s="102"/>
      <c r="Q578" s="102"/>
      <c r="R578" s="102"/>
      <c r="S578" s="102"/>
      <c r="T578" s="102"/>
      <c r="U578" s="102"/>
      <c r="V578" s="102"/>
      <c r="W578" s="102"/>
      <c r="X578" s="102"/>
      <c r="Y578" s="102"/>
      <c r="Z578" s="102"/>
      <c r="AA578" s="102"/>
      <c r="AB578" s="102"/>
      <c r="AC578" s="102"/>
      <c r="AD578" s="102"/>
      <c r="AE578" s="102"/>
      <c r="AF578" s="102"/>
      <c r="AG578" s="102"/>
      <c r="AH578" s="102"/>
      <c r="AI578" s="102"/>
      <c r="AJ578" s="102"/>
      <c r="AK578" s="102"/>
      <c r="AL578" s="102"/>
      <c r="AM578" s="102"/>
      <c r="AN578" s="102"/>
      <c r="AO578" s="400"/>
      <c r="AP578" s="90"/>
      <c r="AQ578" s="90"/>
      <c r="AR578" s="90"/>
      <c r="AS578" s="90"/>
      <c r="AT578" s="90"/>
      <c r="AU578" s="90"/>
      <c r="AV578" s="90"/>
      <c r="AW578" s="90"/>
      <c r="AX578" s="90"/>
      <c r="AY578" s="90"/>
      <c r="AZ578" s="90"/>
      <c r="BA578" s="90"/>
      <c r="BB578" s="90"/>
      <c r="BC578" s="90"/>
      <c r="BD578" s="90"/>
      <c r="BE578" s="90"/>
      <c r="BF578" s="90"/>
      <c r="BG578" s="90"/>
      <c r="BH578" s="90"/>
      <c r="BI578" s="90"/>
    </row>
    <row r="579" ht="12.75" customHeight="1">
      <c r="A579" s="90"/>
      <c r="B579" s="90"/>
      <c r="C579" s="400"/>
      <c r="D579" s="90"/>
      <c r="E579" s="102"/>
      <c r="F579" s="90"/>
      <c r="G579" s="90"/>
      <c r="H579" s="102"/>
      <c r="I579" s="102"/>
      <c r="J579" s="102"/>
      <c r="K579" s="102"/>
      <c r="L579" s="102"/>
      <c r="M579" s="102"/>
      <c r="N579" s="102"/>
      <c r="O579" s="102"/>
      <c r="P579" s="102"/>
      <c r="Q579" s="102"/>
      <c r="R579" s="102"/>
      <c r="S579" s="102"/>
      <c r="T579" s="102"/>
      <c r="U579" s="102"/>
      <c r="V579" s="102"/>
      <c r="W579" s="102"/>
      <c r="X579" s="102"/>
      <c r="Y579" s="102"/>
      <c r="Z579" s="102"/>
      <c r="AA579" s="102"/>
      <c r="AB579" s="102"/>
      <c r="AC579" s="102"/>
      <c r="AD579" s="102"/>
      <c r="AE579" s="102"/>
      <c r="AF579" s="102"/>
      <c r="AG579" s="102"/>
      <c r="AH579" s="102"/>
      <c r="AI579" s="102"/>
      <c r="AJ579" s="102"/>
      <c r="AK579" s="102"/>
      <c r="AL579" s="102"/>
      <c r="AM579" s="102"/>
      <c r="AN579" s="102"/>
      <c r="AO579" s="400"/>
      <c r="AP579" s="90"/>
      <c r="AQ579" s="90"/>
      <c r="AR579" s="90"/>
      <c r="AS579" s="90"/>
      <c r="AT579" s="90"/>
      <c r="AU579" s="90"/>
      <c r="AV579" s="90"/>
      <c r="AW579" s="90"/>
      <c r="AX579" s="90"/>
      <c r="AY579" s="90"/>
      <c r="AZ579" s="90"/>
      <c r="BA579" s="90"/>
      <c r="BB579" s="90"/>
      <c r="BC579" s="90"/>
      <c r="BD579" s="90"/>
      <c r="BE579" s="90"/>
      <c r="BF579" s="90"/>
      <c r="BG579" s="90"/>
      <c r="BH579" s="90"/>
      <c r="BI579" s="90"/>
    </row>
    <row r="580" ht="12.75" customHeight="1">
      <c r="A580" s="90"/>
      <c r="B580" s="90"/>
      <c r="C580" s="400"/>
      <c r="D580" s="90"/>
      <c r="E580" s="102"/>
      <c r="F580" s="90"/>
      <c r="G580" s="90"/>
      <c r="H580" s="102"/>
      <c r="I580" s="102"/>
      <c r="J580" s="102"/>
      <c r="K580" s="102"/>
      <c r="L580" s="102"/>
      <c r="M580" s="102"/>
      <c r="N580" s="102"/>
      <c r="O580" s="102"/>
      <c r="P580" s="102"/>
      <c r="Q580" s="102"/>
      <c r="R580" s="102"/>
      <c r="S580" s="102"/>
      <c r="T580" s="102"/>
      <c r="U580" s="102"/>
      <c r="V580" s="102"/>
      <c r="W580" s="102"/>
      <c r="X580" s="102"/>
      <c r="Y580" s="102"/>
      <c r="Z580" s="102"/>
      <c r="AA580" s="102"/>
      <c r="AB580" s="102"/>
      <c r="AC580" s="102"/>
      <c r="AD580" s="102"/>
      <c r="AE580" s="102"/>
      <c r="AF580" s="102"/>
      <c r="AG580" s="102"/>
      <c r="AH580" s="102"/>
      <c r="AI580" s="102"/>
      <c r="AJ580" s="102"/>
      <c r="AK580" s="102"/>
      <c r="AL580" s="102"/>
      <c r="AM580" s="102"/>
      <c r="AN580" s="102"/>
      <c r="AO580" s="400"/>
      <c r="AP580" s="90"/>
      <c r="AQ580" s="90"/>
      <c r="AR580" s="90"/>
      <c r="AS580" s="90"/>
      <c r="AT580" s="90"/>
      <c r="AU580" s="90"/>
      <c r="AV580" s="90"/>
      <c r="AW580" s="90"/>
      <c r="AX580" s="90"/>
      <c r="AY580" s="90"/>
      <c r="AZ580" s="90"/>
      <c r="BA580" s="90"/>
      <c r="BB580" s="90"/>
      <c r="BC580" s="90"/>
      <c r="BD580" s="90"/>
      <c r="BE580" s="90"/>
      <c r="BF580" s="90"/>
      <c r="BG580" s="90"/>
      <c r="BH580" s="90"/>
      <c r="BI580" s="90"/>
    </row>
    <row r="581" ht="12.75" customHeight="1">
      <c r="A581" s="90"/>
      <c r="B581" s="90"/>
      <c r="C581" s="400"/>
      <c r="D581" s="90"/>
      <c r="E581" s="102"/>
      <c r="F581" s="90"/>
      <c r="G581" s="90"/>
      <c r="H581" s="102"/>
      <c r="I581" s="102"/>
      <c r="J581" s="102"/>
      <c r="K581" s="102"/>
      <c r="L581" s="102"/>
      <c r="M581" s="102"/>
      <c r="N581" s="102"/>
      <c r="O581" s="102"/>
      <c r="P581" s="102"/>
      <c r="Q581" s="102"/>
      <c r="R581" s="102"/>
      <c r="S581" s="102"/>
      <c r="T581" s="102"/>
      <c r="U581" s="102"/>
      <c r="V581" s="102"/>
      <c r="W581" s="102"/>
      <c r="X581" s="102"/>
      <c r="Y581" s="102"/>
      <c r="Z581" s="102"/>
      <c r="AA581" s="102"/>
      <c r="AB581" s="102"/>
      <c r="AC581" s="102"/>
      <c r="AD581" s="102"/>
      <c r="AE581" s="102"/>
      <c r="AF581" s="102"/>
      <c r="AG581" s="102"/>
      <c r="AH581" s="102"/>
      <c r="AI581" s="102"/>
      <c r="AJ581" s="102"/>
      <c r="AK581" s="102"/>
      <c r="AL581" s="102"/>
      <c r="AM581" s="102"/>
      <c r="AN581" s="102"/>
      <c r="AO581" s="400"/>
      <c r="AP581" s="90"/>
      <c r="AQ581" s="90"/>
      <c r="AR581" s="90"/>
      <c r="AS581" s="90"/>
      <c r="AT581" s="90"/>
      <c r="AU581" s="90"/>
      <c r="AV581" s="90"/>
      <c r="AW581" s="90"/>
      <c r="AX581" s="90"/>
      <c r="AY581" s="90"/>
      <c r="AZ581" s="90"/>
      <c r="BA581" s="90"/>
      <c r="BB581" s="90"/>
      <c r="BC581" s="90"/>
      <c r="BD581" s="90"/>
      <c r="BE581" s="90"/>
      <c r="BF581" s="90"/>
      <c r="BG581" s="90"/>
      <c r="BH581" s="90"/>
      <c r="BI581" s="90"/>
    </row>
    <row r="582" ht="12.75" customHeight="1">
      <c r="A582" s="90"/>
      <c r="B582" s="90"/>
      <c r="C582" s="400"/>
      <c r="D582" s="90"/>
      <c r="E582" s="102"/>
      <c r="F582" s="90"/>
      <c r="G582" s="90"/>
      <c r="H582" s="102"/>
      <c r="I582" s="102"/>
      <c r="J582" s="102"/>
      <c r="K582" s="102"/>
      <c r="L582" s="102"/>
      <c r="M582" s="102"/>
      <c r="N582" s="102"/>
      <c r="O582" s="102"/>
      <c r="P582" s="102"/>
      <c r="Q582" s="102"/>
      <c r="R582" s="102"/>
      <c r="S582" s="102"/>
      <c r="T582" s="102"/>
      <c r="U582" s="102"/>
      <c r="V582" s="102"/>
      <c r="W582" s="102"/>
      <c r="X582" s="102"/>
      <c r="Y582" s="102"/>
      <c r="Z582" s="102"/>
      <c r="AA582" s="102"/>
      <c r="AB582" s="102"/>
      <c r="AC582" s="102"/>
      <c r="AD582" s="102"/>
      <c r="AE582" s="102"/>
      <c r="AF582" s="102"/>
      <c r="AG582" s="102"/>
      <c r="AH582" s="102"/>
      <c r="AI582" s="102"/>
      <c r="AJ582" s="102"/>
      <c r="AK582" s="102"/>
      <c r="AL582" s="102"/>
      <c r="AM582" s="102"/>
      <c r="AN582" s="102"/>
      <c r="AO582" s="400"/>
      <c r="AP582" s="90"/>
      <c r="AQ582" s="90"/>
      <c r="AR582" s="90"/>
      <c r="AS582" s="90"/>
      <c r="AT582" s="90"/>
      <c r="AU582" s="90"/>
      <c r="AV582" s="90"/>
      <c r="AW582" s="90"/>
      <c r="AX582" s="90"/>
      <c r="AY582" s="90"/>
      <c r="AZ582" s="90"/>
      <c r="BA582" s="90"/>
      <c r="BB582" s="90"/>
      <c r="BC582" s="90"/>
      <c r="BD582" s="90"/>
      <c r="BE582" s="90"/>
      <c r="BF582" s="90"/>
      <c r="BG582" s="90"/>
      <c r="BH582" s="90"/>
      <c r="BI582" s="90"/>
    </row>
    <row r="583" ht="12.75" customHeight="1">
      <c r="A583" s="90"/>
      <c r="B583" s="90"/>
      <c r="C583" s="400"/>
      <c r="D583" s="90"/>
      <c r="E583" s="102"/>
      <c r="F583" s="90"/>
      <c r="G583" s="90"/>
      <c r="H583" s="102"/>
      <c r="I583" s="102"/>
      <c r="J583" s="102"/>
      <c r="K583" s="102"/>
      <c r="L583" s="102"/>
      <c r="M583" s="102"/>
      <c r="N583" s="102"/>
      <c r="O583" s="102"/>
      <c r="P583" s="102"/>
      <c r="Q583" s="102"/>
      <c r="R583" s="102"/>
      <c r="S583" s="102"/>
      <c r="T583" s="102"/>
      <c r="U583" s="102"/>
      <c r="V583" s="102"/>
      <c r="W583" s="102"/>
      <c r="X583" s="102"/>
      <c r="Y583" s="102"/>
      <c r="Z583" s="102"/>
      <c r="AA583" s="102"/>
      <c r="AB583" s="102"/>
      <c r="AC583" s="102"/>
      <c r="AD583" s="102"/>
      <c r="AE583" s="102"/>
      <c r="AF583" s="102"/>
      <c r="AG583" s="102"/>
      <c r="AH583" s="102"/>
      <c r="AI583" s="102"/>
      <c r="AJ583" s="102"/>
      <c r="AK583" s="102"/>
      <c r="AL583" s="102"/>
      <c r="AM583" s="102"/>
      <c r="AN583" s="102"/>
      <c r="AO583" s="400"/>
      <c r="AP583" s="90"/>
      <c r="AQ583" s="90"/>
      <c r="AR583" s="90"/>
      <c r="AS583" s="90"/>
      <c r="AT583" s="90"/>
      <c r="AU583" s="90"/>
      <c r="AV583" s="90"/>
      <c r="AW583" s="90"/>
      <c r="AX583" s="90"/>
      <c r="AY583" s="90"/>
      <c r="AZ583" s="90"/>
      <c r="BA583" s="90"/>
      <c r="BB583" s="90"/>
      <c r="BC583" s="90"/>
      <c r="BD583" s="90"/>
      <c r="BE583" s="90"/>
      <c r="BF583" s="90"/>
      <c r="BG583" s="90"/>
      <c r="BH583" s="90"/>
      <c r="BI583" s="90"/>
    </row>
    <row r="584" ht="12.75" customHeight="1">
      <c r="A584" s="90"/>
      <c r="B584" s="90"/>
      <c r="C584" s="400"/>
      <c r="D584" s="90"/>
      <c r="E584" s="102"/>
      <c r="F584" s="90"/>
      <c r="G584" s="90"/>
      <c r="H584" s="102"/>
      <c r="I584" s="102"/>
      <c r="J584" s="102"/>
      <c r="K584" s="102"/>
      <c r="L584" s="102"/>
      <c r="M584" s="102"/>
      <c r="N584" s="102"/>
      <c r="O584" s="102"/>
      <c r="P584" s="102"/>
      <c r="Q584" s="102"/>
      <c r="R584" s="102"/>
      <c r="S584" s="102"/>
      <c r="T584" s="102"/>
      <c r="U584" s="102"/>
      <c r="V584" s="102"/>
      <c r="W584" s="102"/>
      <c r="X584" s="102"/>
      <c r="Y584" s="102"/>
      <c r="Z584" s="102"/>
      <c r="AA584" s="102"/>
      <c r="AB584" s="102"/>
      <c r="AC584" s="102"/>
      <c r="AD584" s="102"/>
      <c r="AE584" s="102"/>
      <c r="AF584" s="102"/>
      <c r="AG584" s="102"/>
      <c r="AH584" s="102"/>
      <c r="AI584" s="102"/>
      <c r="AJ584" s="102"/>
      <c r="AK584" s="102"/>
      <c r="AL584" s="102"/>
      <c r="AM584" s="102"/>
      <c r="AN584" s="102"/>
      <c r="AO584" s="400"/>
      <c r="AP584" s="90"/>
      <c r="AQ584" s="90"/>
      <c r="AR584" s="90"/>
      <c r="AS584" s="90"/>
      <c r="AT584" s="90"/>
      <c r="AU584" s="90"/>
      <c r="AV584" s="90"/>
      <c r="AW584" s="90"/>
      <c r="AX584" s="90"/>
      <c r="AY584" s="90"/>
      <c r="AZ584" s="90"/>
      <c r="BA584" s="90"/>
      <c r="BB584" s="90"/>
      <c r="BC584" s="90"/>
      <c r="BD584" s="90"/>
      <c r="BE584" s="90"/>
      <c r="BF584" s="90"/>
      <c r="BG584" s="90"/>
      <c r="BH584" s="90"/>
      <c r="BI584" s="90"/>
    </row>
    <row r="585" ht="12.75" customHeight="1">
      <c r="A585" s="90"/>
      <c r="B585" s="90"/>
      <c r="C585" s="400"/>
      <c r="D585" s="90"/>
      <c r="E585" s="102"/>
      <c r="F585" s="90"/>
      <c r="G585" s="90"/>
      <c r="H585" s="102"/>
      <c r="I585" s="102"/>
      <c r="J585" s="102"/>
      <c r="K585" s="102"/>
      <c r="L585" s="102"/>
      <c r="M585" s="102"/>
      <c r="N585" s="102"/>
      <c r="O585" s="102"/>
      <c r="P585" s="102"/>
      <c r="Q585" s="102"/>
      <c r="R585" s="102"/>
      <c r="S585" s="102"/>
      <c r="T585" s="102"/>
      <c r="U585" s="102"/>
      <c r="V585" s="102"/>
      <c r="W585" s="102"/>
      <c r="X585" s="102"/>
      <c r="Y585" s="102"/>
      <c r="Z585" s="102"/>
      <c r="AA585" s="102"/>
      <c r="AB585" s="102"/>
      <c r="AC585" s="102"/>
      <c r="AD585" s="102"/>
      <c r="AE585" s="102"/>
      <c r="AF585" s="102"/>
      <c r="AG585" s="102"/>
      <c r="AH585" s="102"/>
      <c r="AI585" s="102"/>
      <c r="AJ585" s="102"/>
      <c r="AK585" s="102"/>
      <c r="AL585" s="102"/>
      <c r="AM585" s="102"/>
      <c r="AN585" s="102"/>
      <c r="AO585" s="400"/>
      <c r="AP585" s="90"/>
      <c r="AQ585" s="90"/>
      <c r="AR585" s="90"/>
      <c r="AS585" s="90"/>
      <c r="AT585" s="90"/>
      <c r="AU585" s="90"/>
      <c r="AV585" s="90"/>
      <c r="AW585" s="90"/>
      <c r="AX585" s="90"/>
      <c r="AY585" s="90"/>
      <c r="AZ585" s="90"/>
      <c r="BA585" s="90"/>
      <c r="BB585" s="90"/>
      <c r="BC585" s="90"/>
      <c r="BD585" s="90"/>
      <c r="BE585" s="90"/>
      <c r="BF585" s="90"/>
      <c r="BG585" s="90"/>
      <c r="BH585" s="90"/>
      <c r="BI585" s="90"/>
    </row>
    <row r="586" ht="12.75" customHeight="1">
      <c r="A586" s="90"/>
      <c r="B586" s="90"/>
      <c r="C586" s="400"/>
      <c r="D586" s="90"/>
      <c r="E586" s="102"/>
      <c r="F586" s="90"/>
      <c r="G586" s="90"/>
      <c r="H586" s="102"/>
      <c r="I586" s="102"/>
      <c r="J586" s="102"/>
      <c r="K586" s="102"/>
      <c r="L586" s="102"/>
      <c r="M586" s="102"/>
      <c r="N586" s="102"/>
      <c r="O586" s="102"/>
      <c r="P586" s="102"/>
      <c r="Q586" s="102"/>
      <c r="R586" s="102"/>
      <c r="S586" s="102"/>
      <c r="T586" s="102"/>
      <c r="U586" s="102"/>
      <c r="V586" s="102"/>
      <c r="W586" s="102"/>
      <c r="X586" s="102"/>
      <c r="Y586" s="102"/>
      <c r="Z586" s="102"/>
      <c r="AA586" s="102"/>
      <c r="AB586" s="102"/>
      <c r="AC586" s="102"/>
      <c r="AD586" s="102"/>
      <c r="AE586" s="102"/>
      <c r="AF586" s="102"/>
      <c r="AG586" s="102"/>
      <c r="AH586" s="102"/>
      <c r="AI586" s="102"/>
      <c r="AJ586" s="102"/>
      <c r="AK586" s="102"/>
      <c r="AL586" s="102"/>
      <c r="AM586" s="102"/>
      <c r="AN586" s="102"/>
      <c r="AO586" s="400"/>
      <c r="AP586" s="90"/>
      <c r="AQ586" s="90"/>
      <c r="AR586" s="90"/>
      <c r="AS586" s="90"/>
      <c r="AT586" s="90"/>
      <c r="AU586" s="90"/>
      <c r="AV586" s="90"/>
      <c r="AW586" s="90"/>
      <c r="AX586" s="90"/>
      <c r="AY586" s="90"/>
      <c r="AZ586" s="90"/>
      <c r="BA586" s="90"/>
      <c r="BB586" s="90"/>
      <c r="BC586" s="90"/>
      <c r="BD586" s="90"/>
      <c r="BE586" s="90"/>
      <c r="BF586" s="90"/>
      <c r="BG586" s="90"/>
      <c r="BH586" s="90"/>
      <c r="BI586" s="90"/>
    </row>
    <row r="587" ht="12.75" customHeight="1">
      <c r="A587" s="90"/>
      <c r="B587" s="90"/>
      <c r="C587" s="400"/>
      <c r="D587" s="90"/>
      <c r="E587" s="102"/>
      <c r="F587" s="90"/>
      <c r="G587" s="90"/>
      <c r="H587" s="102"/>
      <c r="I587" s="102"/>
      <c r="J587" s="102"/>
      <c r="K587" s="102"/>
      <c r="L587" s="102"/>
      <c r="M587" s="102"/>
      <c r="N587" s="102"/>
      <c r="O587" s="102"/>
      <c r="P587" s="102"/>
      <c r="Q587" s="102"/>
      <c r="R587" s="102"/>
      <c r="S587" s="102"/>
      <c r="T587" s="102"/>
      <c r="U587" s="102"/>
      <c r="V587" s="102"/>
      <c r="W587" s="102"/>
      <c r="X587" s="102"/>
      <c r="Y587" s="102"/>
      <c r="Z587" s="102"/>
      <c r="AA587" s="102"/>
      <c r="AB587" s="102"/>
      <c r="AC587" s="102"/>
      <c r="AD587" s="102"/>
      <c r="AE587" s="102"/>
      <c r="AF587" s="102"/>
      <c r="AG587" s="102"/>
      <c r="AH587" s="102"/>
      <c r="AI587" s="102"/>
      <c r="AJ587" s="102"/>
      <c r="AK587" s="102"/>
      <c r="AL587" s="102"/>
      <c r="AM587" s="102"/>
      <c r="AN587" s="102"/>
      <c r="AO587" s="400"/>
      <c r="AP587" s="90"/>
      <c r="AQ587" s="90"/>
      <c r="AR587" s="90"/>
      <c r="AS587" s="90"/>
      <c r="AT587" s="90"/>
      <c r="AU587" s="90"/>
      <c r="AV587" s="90"/>
      <c r="AW587" s="90"/>
      <c r="AX587" s="90"/>
      <c r="AY587" s="90"/>
      <c r="AZ587" s="90"/>
      <c r="BA587" s="90"/>
      <c r="BB587" s="90"/>
      <c r="BC587" s="90"/>
      <c r="BD587" s="90"/>
      <c r="BE587" s="90"/>
      <c r="BF587" s="90"/>
      <c r="BG587" s="90"/>
      <c r="BH587" s="90"/>
      <c r="BI587" s="90"/>
    </row>
    <row r="588" ht="12.75" customHeight="1">
      <c r="A588" s="90"/>
      <c r="B588" s="90"/>
      <c r="C588" s="400"/>
      <c r="D588" s="90"/>
      <c r="E588" s="102"/>
      <c r="F588" s="90"/>
      <c r="G588" s="90"/>
      <c r="H588" s="102"/>
      <c r="I588" s="102"/>
      <c r="J588" s="102"/>
      <c r="K588" s="102"/>
      <c r="L588" s="102"/>
      <c r="M588" s="102"/>
      <c r="N588" s="102"/>
      <c r="O588" s="102"/>
      <c r="P588" s="102"/>
      <c r="Q588" s="102"/>
      <c r="R588" s="102"/>
      <c r="S588" s="102"/>
      <c r="T588" s="102"/>
      <c r="U588" s="102"/>
      <c r="V588" s="102"/>
      <c r="W588" s="102"/>
      <c r="X588" s="102"/>
      <c r="Y588" s="102"/>
      <c r="Z588" s="102"/>
      <c r="AA588" s="102"/>
      <c r="AB588" s="102"/>
      <c r="AC588" s="102"/>
      <c r="AD588" s="102"/>
      <c r="AE588" s="102"/>
      <c r="AF588" s="102"/>
      <c r="AG588" s="102"/>
      <c r="AH588" s="102"/>
      <c r="AI588" s="102"/>
      <c r="AJ588" s="102"/>
      <c r="AK588" s="102"/>
      <c r="AL588" s="102"/>
      <c r="AM588" s="102"/>
      <c r="AN588" s="102"/>
      <c r="AO588" s="400"/>
      <c r="AP588" s="90"/>
      <c r="AQ588" s="90"/>
      <c r="AR588" s="90"/>
      <c r="AS588" s="90"/>
      <c r="AT588" s="90"/>
      <c r="AU588" s="90"/>
      <c r="AV588" s="90"/>
      <c r="AW588" s="90"/>
      <c r="AX588" s="90"/>
      <c r="AY588" s="90"/>
      <c r="AZ588" s="90"/>
      <c r="BA588" s="90"/>
      <c r="BB588" s="90"/>
      <c r="BC588" s="90"/>
      <c r="BD588" s="90"/>
      <c r="BE588" s="90"/>
      <c r="BF588" s="90"/>
      <c r="BG588" s="90"/>
      <c r="BH588" s="90"/>
      <c r="BI588" s="90"/>
    </row>
    <row r="589" ht="12.75" customHeight="1">
      <c r="A589" s="90"/>
      <c r="B589" s="90"/>
      <c r="C589" s="400"/>
      <c r="D589" s="90"/>
      <c r="E589" s="102"/>
      <c r="F589" s="90"/>
      <c r="G589" s="90"/>
      <c r="H589" s="102"/>
      <c r="I589" s="102"/>
      <c r="J589" s="102"/>
      <c r="K589" s="102"/>
      <c r="L589" s="102"/>
      <c r="M589" s="102"/>
      <c r="N589" s="102"/>
      <c r="O589" s="102"/>
      <c r="P589" s="102"/>
      <c r="Q589" s="102"/>
      <c r="R589" s="102"/>
      <c r="S589" s="102"/>
      <c r="T589" s="102"/>
      <c r="U589" s="102"/>
      <c r="V589" s="102"/>
      <c r="W589" s="102"/>
      <c r="X589" s="102"/>
      <c r="Y589" s="102"/>
      <c r="Z589" s="102"/>
      <c r="AA589" s="102"/>
      <c r="AB589" s="102"/>
      <c r="AC589" s="102"/>
      <c r="AD589" s="102"/>
      <c r="AE589" s="102"/>
      <c r="AF589" s="102"/>
      <c r="AG589" s="102"/>
      <c r="AH589" s="102"/>
      <c r="AI589" s="102"/>
      <c r="AJ589" s="102"/>
      <c r="AK589" s="102"/>
      <c r="AL589" s="102"/>
      <c r="AM589" s="102"/>
      <c r="AN589" s="102"/>
      <c r="AO589" s="400"/>
      <c r="AP589" s="90"/>
      <c r="AQ589" s="90"/>
      <c r="AR589" s="90"/>
      <c r="AS589" s="90"/>
      <c r="AT589" s="90"/>
      <c r="AU589" s="90"/>
      <c r="AV589" s="90"/>
      <c r="AW589" s="90"/>
      <c r="AX589" s="90"/>
      <c r="AY589" s="90"/>
      <c r="AZ589" s="90"/>
      <c r="BA589" s="90"/>
      <c r="BB589" s="90"/>
      <c r="BC589" s="90"/>
      <c r="BD589" s="90"/>
      <c r="BE589" s="90"/>
      <c r="BF589" s="90"/>
      <c r="BG589" s="90"/>
      <c r="BH589" s="90"/>
      <c r="BI589" s="90"/>
    </row>
    <row r="590" ht="12.75" customHeight="1">
      <c r="A590" s="90"/>
      <c r="B590" s="90"/>
      <c r="C590" s="400"/>
      <c r="D590" s="90"/>
      <c r="E590" s="102"/>
      <c r="F590" s="90"/>
      <c r="G590" s="90"/>
      <c r="H590" s="102"/>
      <c r="I590" s="102"/>
      <c r="J590" s="102"/>
      <c r="K590" s="102"/>
      <c r="L590" s="102"/>
      <c r="M590" s="102"/>
      <c r="N590" s="102"/>
      <c r="O590" s="102"/>
      <c r="P590" s="102"/>
      <c r="Q590" s="102"/>
      <c r="R590" s="102"/>
      <c r="S590" s="102"/>
      <c r="T590" s="102"/>
      <c r="U590" s="102"/>
      <c r="V590" s="102"/>
      <c r="W590" s="102"/>
      <c r="X590" s="102"/>
      <c r="Y590" s="102"/>
      <c r="Z590" s="102"/>
      <c r="AA590" s="102"/>
      <c r="AB590" s="102"/>
      <c r="AC590" s="102"/>
      <c r="AD590" s="102"/>
      <c r="AE590" s="102"/>
      <c r="AF590" s="102"/>
      <c r="AG590" s="102"/>
      <c r="AH590" s="102"/>
      <c r="AI590" s="102"/>
      <c r="AJ590" s="102"/>
      <c r="AK590" s="102"/>
      <c r="AL590" s="102"/>
      <c r="AM590" s="102"/>
      <c r="AN590" s="102"/>
      <c r="AO590" s="400"/>
      <c r="AP590" s="90"/>
      <c r="AQ590" s="90"/>
      <c r="AR590" s="90"/>
      <c r="AS590" s="90"/>
      <c r="AT590" s="90"/>
      <c r="AU590" s="90"/>
      <c r="AV590" s="90"/>
      <c r="AW590" s="90"/>
      <c r="AX590" s="90"/>
      <c r="AY590" s="90"/>
      <c r="AZ590" s="90"/>
      <c r="BA590" s="90"/>
      <c r="BB590" s="90"/>
      <c r="BC590" s="90"/>
      <c r="BD590" s="90"/>
      <c r="BE590" s="90"/>
      <c r="BF590" s="90"/>
      <c r="BG590" s="90"/>
      <c r="BH590" s="90"/>
      <c r="BI590" s="90"/>
    </row>
    <row r="591" ht="12.75" customHeight="1">
      <c r="A591" s="90"/>
      <c r="B591" s="90"/>
      <c r="C591" s="400"/>
      <c r="D591" s="90"/>
      <c r="E591" s="102"/>
      <c r="F591" s="90"/>
      <c r="G591" s="90"/>
      <c r="H591" s="102"/>
      <c r="I591" s="102"/>
      <c r="J591" s="102"/>
      <c r="K591" s="102"/>
      <c r="L591" s="102"/>
      <c r="M591" s="102"/>
      <c r="N591" s="102"/>
      <c r="O591" s="102"/>
      <c r="P591" s="102"/>
      <c r="Q591" s="102"/>
      <c r="R591" s="102"/>
      <c r="S591" s="102"/>
      <c r="T591" s="102"/>
      <c r="U591" s="102"/>
      <c r="V591" s="102"/>
      <c r="W591" s="102"/>
      <c r="X591" s="102"/>
      <c r="Y591" s="102"/>
      <c r="Z591" s="102"/>
      <c r="AA591" s="102"/>
      <c r="AB591" s="102"/>
      <c r="AC591" s="102"/>
      <c r="AD591" s="102"/>
      <c r="AE591" s="102"/>
      <c r="AF591" s="102"/>
      <c r="AG591" s="102"/>
      <c r="AH591" s="102"/>
      <c r="AI591" s="102"/>
      <c r="AJ591" s="102"/>
      <c r="AK591" s="102"/>
      <c r="AL591" s="102"/>
      <c r="AM591" s="102"/>
      <c r="AN591" s="102"/>
      <c r="AO591" s="400"/>
      <c r="AP591" s="90"/>
      <c r="AQ591" s="90"/>
      <c r="AR591" s="90"/>
      <c r="AS591" s="90"/>
      <c r="AT591" s="90"/>
      <c r="AU591" s="90"/>
      <c r="AV591" s="90"/>
      <c r="AW591" s="90"/>
      <c r="AX591" s="90"/>
      <c r="AY591" s="90"/>
      <c r="AZ591" s="90"/>
      <c r="BA591" s="90"/>
      <c r="BB591" s="90"/>
      <c r="BC591" s="90"/>
      <c r="BD591" s="90"/>
      <c r="BE591" s="90"/>
      <c r="BF591" s="90"/>
      <c r="BG591" s="90"/>
      <c r="BH591" s="90"/>
      <c r="BI591" s="90"/>
    </row>
    <row r="592" ht="12.75" customHeight="1">
      <c r="A592" s="90"/>
      <c r="B592" s="90"/>
      <c r="C592" s="400"/>
      <c r="D592" s="90"/>
      <c r="E592" s="102"/>
      <c r="F592" s="90"/>
      <c r="G592" s="90"/>
      <c r="H592" s="102"/>
      <c r="I592" s="102"/>
      <c r="J592" s="102"/>
      <c r="K592" s="102"/>
      <c r="L592" s="102"/>
      <c r="M592" s="102"/>
      <c r="N592" s="102"/>
      <c r="O592" s="102"/>
      <c r="P592" s="102"/>
      <c r="Q592" s="102"/>
      <c r="R592" s="102"/>
      <c r="S592" s="102"/>
      <c r="T592" s="102"/>
      <c r="U592" s="102"/>
      <c r="V592" s="102"/>
      <c r="W592" s="102"/>
      <c r="X592" s="102"/>
      <c r="Y592" s="102"/>
      <c r="Z592" s="102"/>
      <c r="AA592" s="102"/>
      <c r="AB592" s="102"/>
      <c r="AC592" s="102"/>
      <c r="AD592" s="102"/>
      <c r="AE592" s="102"/>
      <c r="AF592" s="102"/>
      <c r="AG592" s="102"/>
      <c r="AH592" s="102"/>
      <c r="AI592" s="102"/>
      <c r="AJ592" s="102"/>
      <c r="AK592" s="102"/>
      <c r="AL592" s="102"/>
      <c r="AM592" s="102"/>
      <c r="AN592" s="102"/>
      <c r="AO592" s="400"/>
      <c r="AP592" s="90"/>
      <c r="AQ592" s="90"/>
      <c r="AR592" s="90"/>
      <c r="AS592" s="90"/>
      <c r="AT592" s="90"/>
      <c r="AU592" s="90"/>
      <c r="AV592" s="90"/>
      <c r="AW592" s="90"/>
      <c r="AX592" s="90"/>
      <c r="AY592" s="90"/>
      <c r="AZ592" s="90"/>
      <c r="BA592" s="90"/>
      <c r="BB592" s="90"/>
      <c r="BC592" s="90"/>
      <c r="BD592" s="90"/>
      <c r="BE592" s="90"/>
      <c r="BF592" s="90"/>
      <c r="BG592" s="90"/>
      <c r="BH592" s="90"/>
      <c r="BI592" s="90"/>
    </row>
    <row r="593" ht="12.75" customHeight="1">
      <c r="A593" s="90"/>
      <c r="B593" s="90"/>
      <c r="C593" s="400"/>
      <c r="D593" s="90"/>
      <c r="E593" s="102"/>
      <c r="F593" s="90"/>
      <c r="G593" s="90"/>
      <c r="H593" s="102"/>
      <c r="I593" s="102"/>
      <c r="J593" s="102"/>
      <c r="K593" s="102"/>
      <c r="L593" s="102"/>
      <c r="M593" s="102"/>
      <c r="N593" s="102"/>
      <c r="O593" s="102"/>
      <c r="P593" s="102"/>
      <c r="Q593" s="102"/>
      <c r="R593" s="102"/>
      <c r="S593" s="102"/>
      <c r="T593" s="102"/>
      <c r="U593" s="102"/>
      <c r="V593" s="102"/>
      <c r="W593" s="102"/>
      <c r="X593" s="102"/>
      <c r="Y593" s="102"/>
      <c r="Z593" s="102"/>
      <c r="AA593" s="102"/>
      <c r="AB593" s="102"/>
      <c r="AC593" s="102"/>
      <c r="AD593" s="102"/>
      <c r="AE593" s="102"/>
      <c r="AF593" s="102"/>
      <c r="AG593" s="102"/>
      <c r="AH593" s="102"/>
      <c r="AI593" s="102"/>
      <c r="AJ593" s="102"/>
      <c r="AK593" s="102"/>
      <c r="AL593" s="102"/>
      <c r="AM593" s="102"/>
      <c r="AN593" s="102"/>
      <c r="AO593" s="400"/>
      <c r="AP593" s="90"/>
      <c r="AQ593" s="90"/>
      <c r="AR593" s="90"/>
      <c r="AS593" s="90"/>
      <c r="AT593" s="90"/>
      <c r="AU593" s="90"/>
      <c r="AV593" s="90"/>
      <c r="AW593" s="90"/>
      <c r="AX593" s="90"/>
      <c r="AY593" s="90"/>
      <c r="AZ593" s="90"/>
      <c r="BA593" s="90"/>
      <c r="BB593" s="90"/>
      <c r="BC593" s="90"/>
      <c r="BD593" s="90"/>
      <c r="BE593" s="90"/>
      <c r="BF593" s="90"/>
      <c r="BG593" s="90"/>
      <c r="BH593" s="90"/>
      <c r="BI593" s="90"/>
    </row>
    <row r="594" ht="12.75" customHeight="1">
      <c r="A594" s="90"/>
      <c r="B594" s="90"/>
      <c r="C594" s="400"/>
      <c r="D594" s="90"/>
      <c r="E594" s="102"/>
      <c r="F594" s="90"/>
      <c r="G594" s="90"/>
      <c r="H594" s="102"/>
      <c r="I594" s="102"/>
      <c r="J594" s="102"/>
      <c r="K594" s="102"/>
      <c r="L594" s="102"/>
      <c r="M594" s="102"/>
      <c r="N594" s="102"/>
      <c r="O594" s="102"/>
      <c r="P594" s="102"/>
      <c r="Q594" s="102"/>
      <c r="R594" s="102"/>
      <c r="S594" s="102"/>
      <c r="T594" s="102"/>
      <c r="U594" s="102"/>
      <c r="V594" s="102"/>
      <c r="W594" s="102"/>
      <c r="X594" s="102"/>
      <c r="Y594" s="102"/>
      <c r="Z594" s="102"/>
      <c r="AA594" s="102"/>
      <c r="AB594" s="102"/>
      <c r="AC594" s="102"/>
      <c r="AD594" s="102"/>
      <c r="AE594" s="102"/>
      <c r="AF594" s="102"/>
      <c r="AG594" s="102"/>
      <c r="AH594" s="102"/>
      <c r="AI594" s="102"/>
      <c r="AJ594" s="102"/>
      <c r="AK594" s="102"/>
      <c r="AL594" s="102"/>
      <c r="AM594" s="102"/>
      <c r="AN594" s="102"/>
      <c r="AO594" s="400"/>
      <c r="AP594" s="90"/>
      <c r="AQ594" s="90"/>
      <c r="AR594" s="90"/>
      <c r="AS594" s="90"/>
      <c r="AT594" s="90"/>
      <c r="AU594" s="90"/>
      <c r="AV594" s="90"/>
      <c r="AW594" s="90"/>
      <c r="AX594" s="90"/>
      <c r="AY594" s="90"/>
      <c r="AZ594" s="90"/>
      <c r="BA594" s="90"/>
      <c r="BB594" s="90"/>
      <c r="BC594" s="90"/>
      <c r="BD594" s="90"/>
      <c r="BE594" s="90"/>
      <c r="BF594" s="90"/>
      <c r="BG594" s="90"/>
      <c r="BH594" s="90"/>
      <c r="BI594" s="90"/>
    </row>
    <row r="595" ht="12.75" customHeight="1">
      <c r="A595" s="90"/>
      <c r="B595" s="90"/>
      <c r="C595" s="400"/>
      <c r="D595" s="90"/>
      <c r="E595" s="102"/>
      <c r="F595" s="90"/>
      <c r="G595" s="90"/>
      <c r="H595" s="102"/>
      <c r="I595" s="102"/>
      <c r="J595" s="102"/>
      <c r="K595" s="102"/>
      <c r="L595" s="102"/>
      <c r="M595" s="102"/>
      <c r="N595" s="102"/>
      <c r="O595" s="102"/>
      <c r="P595" s="102"/>
      <c r="Q595" s="102"/>
      <c r="R595" s="102"/>
      <c r="S595" s="102"/>
      <c r="T595" s="102"/>
      <c r="U595" s="102"/>
      <c r="V595" s="102"/>
      <c r="W595" s="102"/>
      <c r="X595" s="102"/>
      <c r="Y595" s="102"/>
      <c r="Z595" s="102"/>
      <c r="AA595" s="102"/>
      <c r="AB595" s="102"/>
      <c r="AC595" s="102"/>
      <c r="AD595" s="102"/>
      <c r="AE595" s="102"/>
      <c r="AF595" s="102"/>
      <c r="AG595" s="102"/>
      <c r="AH595" s="102"/>
      <c r="AI595" s="102"/>
      <c r="AJ595" s="102"/>
      <c r="AK595" s="102"/>
      <c r="AL595" s="102"/>
      <c r="AM595" s="102"/>
      <c r="AN595" s="102"/>
      <c r="AO595" s="400"/>
      <c r="AP595" s="90"/>
      <c r="AQ595" s="90"/>
      <c r="AR595" s="90"/>
      <c r="AS595" s="90"/>
      <c r="AT595" s="90"/>
      <c r="AU595" s="90"/>
      <c r="AV595" s="90"/>
      <c r="AW595" s="90"/>
      <c r="AX595" s="90"/>
      <c r="AY595" s="90"/>
      <c r="AZ595" s="90"/>
      <c r="BA595" s="90"/>
      <c r="BB595" s="90"/>
      <c r="BC595" s="90"/>
      <c r="BD595" s="90"/>
      <c r="BE595" s="90"/>
      <c r="BF595" s="90"/>
      <c r="BG595" s="90"/>
      <c r="BH595" s="90"/>
      <c r="BI595" s="90"/>
    </row>
    <row r="596" ht="12.75" customHeight="1">
      <c r="A596" s="90"/>
      <c r="B596" s="90"/>
      <c r="C596" s="400"/>
      <c r="D596" s="90"/>
      <c r="E596" s="102"/>
      <c r="F596" s="90"/>
      <c r="G596" s="90"/>
      <c r="H596" s="102"/>
      <c r="I596" s="102"/>
      <c r="J596" s="102"/>
      <c r="K596" s="102"/>
      <c r="L596" s="102"/>
      <c r="M596" s="102"/>
      <c r="N596" s="102"/>
      <c r="O596" s="102"/>
      <c r="P596" s="102"/>
      <c r="Q596" s="102"/>
      <c r="R596" s="102"/>
      <c r="S596" s="102"/>
      <c r="T596" s="102"/>
      <c r="U596" s="102"/>
      <c r="V596" s="102"/>
      <c r="W596" s="102"/>
      <c r="X596" s="102"/>
      <c r="Y596" s="102"/>
      <c r="Z596" s="102"/>
      <c r="AA596" s="102"/>
      <c r="AB596" s="102"/>
      <c r="AC596" s="102"/>
      <c r="AD596" s="102"/>
      <c r="AE596" s="102"/>
      <c r="AF596" s="102"/>
      <c r="AG596" s="102"/>
      <c r="AH596" s="102"/>
      <c r="AI596" s="102"/>
      <c r="AJ596" s="102"/>
      <c r="AK596" s="102"/>
      <c r="AL596" s="102"/>
      <c r="AM596" s="102"/>
      <c r="AN596" s="102"/>
      <c r="AO596" s="400"/>
      <c r="AP596" s="90"/>
      <c r="AQ596" s="90"/>
      <c r="AR596" s="90"/>
      <c r="AS596" s="90"/>
      <c r="AT596" s="90"/>
      <c r="AU596" s="90"/>
      <c r="AV596" s="90"/>
      <c r="AW596" s="90"/>
      <c r="AX596" s="90"/>
      <c r="AY596" s="90"/>
      <c r="AZ596" s="90"/>
      <c r="BA596" s="90"/>
      <c r="BB596" s="90"/>
      <c r="BC596" s="90"/>
      <c r="BD596" s="90"/>
      <c r="BE596" s="90"/>
      <c r="BF596" s="90"/>
      <c r="BG596" s="90"/>
      <c r="BH596" s="90"/>
      <c r="BI596" s="90"/>
    </row>
    <row r="597" ht="12.75" customHeight="1">
      <c r="A597" s="90"/>
      <c r="B597" s="90"/>
      <c r="C597" s="400"/>
      <c r="D597" s="90"/>
      <c r="E597" s="102"/>
      <c r="F597" s="90"/>
      <c r="G597" s="90"/>
      <c r="H597" s="102"/>
      <c r="I597" s="102"/>
      <c r="J597" s="102"/>
      <c r="K597" s="102"/>
      <c r="L597" s="102"/>
      <c r="M597" s="102"/>
      <c r="N597" s="102"/>
      <c r="O597" s="102"/>
      <c r="P597" s="102"/>
      <c r="Q597" s="102"/>
      <c r="R597" s="102"/>
      <c r="S597" s="102"/>
      <c r="T597" s="102"/>
      <c r="U597" s="102"/>
      <c r="V597" s="102"/>
      <c r="W597" s="102"/>
      <c r="X597" s="102"/>
      <c r="Y597" s="102"/>
      <c r="Z597" s="102"/>
      <c r="AA597" s="102"/>
      <c r="AB597" s="102"/>
      <c r="AC597" s="102"/>
      <c r="AD597" s="102"/>
      <c r="AE597" s="102"/>
      <c r="AF597" s="102"/>
      <c r="AG597" s="102"/>
      <c r="AH597" s="102"/>
      <c r="AI597" s="102"/>
      <c r="AJ597" s="102"/>
      <c r="AK597" s="102"/>
      <c r="AL597" s="102"/>
      <c r="AM597" s="102"/>
      <c r="AN597" s="102"/>
      <c r="AO597" s="400"/>
      <c r="AP597" s="90"/>
      <c r="AQ597" s="90"/>
      <c r="AR597" s="90"/>
      <c r="AS597" s="90"/>
      <c r="AT597" s="90"/>
      <c r="AU597" s="90"/>
      <c r="AV597" s="90"/>
      <c r="AW597" s="90"/>
      <c r="AX597" s="90"/>
      <c r="AY597" s="90"/>
      <c r="AZ597" s="90"/>
      <c r="BA597" s="90"/>
      <c r="BB597" s="90"/>
      <c r="BC597" s="90"/>
      <c r="BD597" s="90"/>
      <c r="BE597" s="90"/>
      <c r="BF597" s="90"/>
      <c r="BG597" s="90"/>
      <c r="BH597" s="90"/>
      <c r="BI597" s="90"/>
    </row>
    <row r="598" ht="12.75" customHeight="1">
      <c r="A598" s="90"/>
      <c r="B598" s="90"/>
      <c r="C598" s="400"/>
      <c r="D598" s="90"/>
      <c r="E598" s="102"/>
      <c r="F598" s="90"/>
      <c r="G598" s="90"/>
      <c r="H598" s="102"/>
      <c r="I598" s="102"/>
      <c r="J598" s="102"/>
      <c r="K598" s="102"/>
      <c r="L598" s="102"/>
      <c r="M598" s="102"/>
      <c r="N598" s="102"/>
      <c r="O598" s="102"/>
      <c r="P598" s="102"/>
      <c r="Q598" s="102"/>
      <c r="R598" s="102"/>
      <c r="S598" s="102"/>
      <c r="T598" s="102"/>
      <c r="U598" s="102"/>
      <c r="V598" s="102"/>
      <c r="W598" s="102"/>
      <c r="X598" s="102"/>
      <c r="Y598" s="102"/>
      <c r="Z598" s="102"/>
      <c r="AA598" s="102"/>
      <c r="AB598" s="102"/>
      <c r="AC598" s="102"/>
      <c r="AD598" s="102"/>
      <c r="AE598" s="102"/>
      <c r="AF598" s="102"/>
      <c r="AG598" s="102"/>
      <c r="AH598" s="102"/>
      <c r="AI598" s="102"/>
      <c r="AJ598" s="102"/>
      <c r="AK598" s="102"/>
      <c r="AL598" s="102"/>
      <c r="AM598" s="102"/>
      <c r="AN598" s="102"/>
      <c r="AO598" s="400"/>
      <c r="AP598" s="90"/>
      <c r="AQ598" s="90"/>
      <c r="AR598" s="90"/>
      <c r="AS598" s="90"/>
      <c r="AT598" s="90"/>
      <c r="AU598" s="90"/>
      <c r="AV598" s="90"/>
      <c r="AW598" s="90"/>
      <c r="AX598" s="90"/>
      <c r="AY598" s="90"/>
      <c r="AZ598" s="90"/>
      <c r="BA598" s="90"/>
      <c r="BB598" s="90"/>
      <c r="BC598" s="90"/>
      <c r="BD598" s="90"/>
      <c r="BE598" s="90"/>
      <c r="BF598" s="90"/>
      <c r="BG598" s="90"/>
      <c r="BH598" s="90"/>
      <c r="BI598" s="90"/>
    </row>
    <row r="599" ht="12.75" customHeight="1">
      <c r="A599" s="90"/>
      <c r="B599" s="90"/>
      <c r="C599" s="400"/>
      <c r="D599" s="90"/>
      <c r="E599" s="102"/>
      <c r="F599" s="90"/>
      <c r="G599" s="90"/>
      <c r="H599" s="102"/>
      <c r="I599" s="102"/>
      <c r="J599" s="102"/>
      <c r="K599" s="102"/>
      <c r="L599" s="102"/>
      <c r="M599" s="102"/>
      <c r="N599" s="102"/>
      <c r="O599" s="102"/>
      <c r="P599" s="102"/>
      <c r="Q599" s="102"/>
      <c r="R599" s="102"/>
      <c r="S599" s="102"/>
      <c r="T599" s="102"/>
      <c r="U599" s="102"/>
      <c r="V599" s="102"/>
      <c r="W599" s="102"/>
      <c r="X599" s="102"/>
      <c r="Y599" s="102"/>
      <c r="Z599" s="102"/>
      <c r="AA599" s="102"/>
      <c r="AB599" s="102"/>
      <c r="AC599" s="102"/>
      <c r="AD599" s="102"/>
      <c r="AE599" s="102"/>
      <c r="AF599" s="102"/>
      <c r="AG599" s="102"/>
      <c r="AH599" s="102"/>
      <c r="AI599" s="102"/>
      <c r="AJ599" s="102"/>
      <c r="AK599" s="102"/>
      <c r="AL599" s="102"/>
      <c r="AM599" s="102"/>
      <c r="AN599" s="102"/>
      <c r="AO599" s="400"/>
      <c r="AP599" s="90"/>
      <c r="AQ599" s="90"/>
      <c r="AR599" s="90"/>
      <c r="AS599" s="90"/>
      <c r="AT599" s="90"/>
      <c r="AU599" s="90"/>
      <c r="AV599" s="90"/>
      <c r="AW599" s="90"/>
      <c r="AX599" s="90"/>
      <c r="AY599" s="90"/>
      <c r="AZ599" s="90"/>
      <c r="BA599" s="90"/>
      <c r="BB599" s="90"/>
      <c r="BC599" s="90"/>
      <c r="BD599" s="90"/>
      <c r="BE599" s="90"/>
      <c r="BF599" s="90"/>
      <c r="BG599" s="90"/>
      <c r="BH599" s="90"/>
      <c r="BI599" s="90"/>
    </row>
    <row r="600" ht="12.75" customHeight="1">
      <c r="A600" s="90"/>
      <c r="B600" s="90"/>
      <c r="C600" s="400"/>
      <c r="D600" s="90"/>
      <c r="E600" s="102"/>
      <c r="F600" s="90"/>
      <c r="G600" s="90"/>
      <c r="H600" s="102"/>
      <c r="I600" s="102"/>
      <c r="J600" s="102"/>
      <c r="K600" s="102"/>
      <c r="L600" s="102"/>
      <c r="M600" s="102"/>
      <c r="N600" s="102"/>
      <c r="O600" s="102"/>
      <c r="P600" s="102"/>
      <c r="Q600" s="102"/>
      <c r="R600" s="102"/>
      <c r="S600" s="102"/>
      <c r="T600" s="102"/>
      <c r="U600" s="102"/>
      <c r="V600" s="102"/>
      <c r="W600" s="102"/>
      <c r="X600" s="102"/>
      <c r="Y600" s="102"/>
      <c r="Z600" s="102"/>
      <c r="AA600" s="102"/>
      <c r="AB600" s="102"/>
      <c r="AC600" s="102"/>
      <c r="AD600" s="102"/>
      <c r="AE600" s="102"/>
      <c r="AF600" s="102"/>
      <c r="AG600" s="102"/>
      <c r="AH600" s="102"/>
      <c r="AI600" s="102"/>
      <c r="AJ600" s="102"/>
      <c r="AK600" s="102"/>
      <c r="AL600" s="102"/>
      <c r="AM600" s="102"/>
      <c r="AN600" s="102"/>
      <c r="AO600" s="400"/>
      <c r="AP600" s="90"/>
      <c r="AQ600" s="90"/>
      <c r="AR600" s="90"/>
      <c r="AS600" s="90"/>
      <c r="AT600" s="90"/>
      <c r="AU600" s="90"/>
      <c r="AV600" s="90"/>
      <c r="AW600" s="90"/>
      <c r="AX600" s="90"/>
      <c r="AY600" s="90"/>
      <c r="AZ600" s="90"/>
      <c r="BA600" s="90"/>
      <c r="BB600" s="90"/>
      <c r="BC600" s="90"/>
      <c r="BD600" s="90"/>
      <c r="BE600" s="90"/>
      <c r="BF600" s="90"/>
      <c r="BG600" s="90"/>
      <c r="BH600" s="90"/>
      <c r="BI600" s="90"/>
    </row>
    <row r="601" ht="12.75" customHeight="1">
      <c r="A601" s="90"/>
      <c r="B601" s="90"/>
      <c r="C601" s="400"/>
      <c r="D601" s="90"/>
      <c r="E601" s="102"/>
      <c r="F601" s="90"/>
      <c r="G601" s="90"/>
      <c r="H601" s="102"/>
      <c r="I601" s="102"/>
      <c r="J601" s="102"/>
      <c r="K601" s="102"/>
      <c r="L601" s="102"/>
      <c r="M601" s="102"/>
      <c r="N601" s="102"/>
      <c r="O601" s="102"/>
      <c r="P601" s="102"/>
      <c r="Q601" s="102"/>
      <c r="R601" s="102"/>
      <c r="S601" s="102"/>
      <c r="T601" s="102"/>
      <c r="U601" s="102"/>
      <c r="V601" s="102"/>
      <c r="W601" s="102"/>
      <c r="X601" s="102"/>
      <c r="Y601" s="102"/>
      <c r="Z601" s="102"/>
      <c r="AA601" s="102"/>
      <c r="AB601" s="102"/>
      <c r="AC601" s="102"/>
      <c r="AD601" s="102"/>
      <c r="AE601" s="102"/>
      <c r="AF601" s="102"/>
      <c r="AG601" s="102"/>
      <c r="AH601" s="102"/>
      <c r="AI601" s="102"/>
      <c r="AJ601" s="102"/>
      <c r="AK601" s="102"/>
      <c r="AL601" s="102"/>
      <c r="AM601" s="102"/>
      <c r="AN601" s="102"/>
      <c r="AO601" s="400"/>
      <c r="AP601" s="90"/>
      <c r="AQ601" s="90"/>
      <c r="AR601" s="90"/>
      <c r="AS601" s="90"/>
      <c r="AT601" s="90"/>
      <c r="AU601" s="90"/>
      <c r="AV601" s="90"/>
      <c r="AW601" s="90"/>
      <c r="AX601" s="90"/>
      <c r="AY601" s="90"/>
      <c r="AZ601" s="90"/>
      <c r="BA601" s="90"/>
      <c r="BB601" s="90"/>
      <c r="BC601" s="90"/>
      <c r="BD601" s="90"/>
      <c r="BE601" s="90"/>
      <c r="BF601" s="90"/>
      <c r="BG601" s="90"/>
      <c r="BH601" s="90"/>
      <c r="BI601" s="90"/>
    </row>
    <row r="602" ht="12.75" customHeight="1">
      <c r="A602" s="90"/>
      <c r="B602" s="90"/>
      <c r="C602" s="400"/>
      <c r="D602" s="90"/>
      <c r="E602" s="102"/>
      <c r="F602" s="90"/>
      <c r="G602" s="90"/>
      <c r="H602" s="102"/>
      <c r="I602" s="102"/>
      <c r="J602" s="102"/>
      <c r="K602" s="102"/>
      <c r="L602" s="102"/>
      <c r="M602" s="102"/>
      <c r="N602" s="102"/>
      <c r="O602" s="102"/>
      <c r="P602" s="102"/>
      <c r="Q602" s="102"/>
      <c r="R602" s="102"/>
      <c r="S602" s="102"/>
      <c r="T602" s="102"/>
      <c r="U602" s="102"/>
      <c r="V602" s="102"/>
      <c r="W602" s="102"/>
      <c r="X602" s="102"/>
      <c r="Y602" s="102"/>
      <c r="Z602" s="102"/>
      <c r="AA602" s="102"/>
      <c r="AB602" s="102"/>
      <c r="AC602" s="102"/>
      <c r="AD602" s="102"/>
      <c r="AE602" s="102"/>
      <c r="AF602" s="102"/>
      <c r="AG602" s="102"/>
      <c r="AH602" s="102"/>
      <c r="AI602" s="102"/>
      <c r="AJ602" s="102"/>
      <c r="AK602" s="102"/>
      <c r="AL602" s="102"/>
      <c r="AM602" s="102"/>
      <c r="AN602" s="102"/>
      <c r="AO602" s="400"/>
      <c r="AP602" s="90"/>
      <c r="AQ602" s="90"/>
      <c r="AR602" s="90"/>
      <c r="AS602" s="90"/>
      <c r="AT602" s="90"/>
      <c r="AU602" s="90"/>
      <c r="AV602" s="90"/>
      <c r="AW602" s="90"/>
      <c r="AX602" s="90"/>
      <c r="AY602" s="90"/>
      <c r="AZ602" s="90"/>
      <c r="BA602" s="90"/>
      <c r="BB602" s="90"/>
      <c r="BC602" s="90"/>
      <c r="BD602" s="90"/>
      <c r="BE602" s="90"/>
      <c r="BF602" s="90"/>
      <c r="BG602" s="90"/>
      <c r="BH602" s="90"/>
      <c r="BI602" s="90"/>
    </row>
    <row r="603" ht="12.75" customHeight="1">
      <c r="A603" s="90"/>
      <c r="B603" s="90"/>
      <c r="C603" s="400"/>
      <c r="D603" s="90"/>
      <c r="E603" s="102"/>
      <c r="F603" s="90"/>
      <c r="G603" s="90"/>
      <c r="H603" s="102"/>
      <c r="I603" s="102"/>
      <c r="J603" s="102"/>
      <c r="K603" s="102"/>
      <c r="L603" s="102"/>
      <c r="M603" s="102"/>
      <c r="N603" s="102"/>
      <c r="O603" s="102"/>
      <c r="P603" s="102"/>
      <c r="Q603" s="102"/>
      <c r="R603" s="102"/>
      <c r="S603" s="102"/>
      <c r="T603" s="102"/>
      <c r="U603" s="102"/>
      <c r="V603" s="102"/>
      <c r="W603" s="102"/>
      <c r="X603" s="102"/>
      <c r="Y603" s="102"/>
      <c r="Z603" s="102"/>
      <c r="AA603" s="102"/>
      <c r="AB603" s="102"/>
      <c r="AC603" s="102"/>
      <c r="AD603" s="102"/>
      <c r="AE603" s="102"/>
      <c r="AF603" s="102"/>
      <c r="AG603" s="102"/>
      <c r="AH603" s="102"/>
      <c r="AI603" s="102"/>
      <c r="AJ603" s="102"/>
      <c r="AK603" s="102"/>
      <c r="AL603" s="102"/>
      <c r="AM603" s="102"/>
      <c r="AN603" s="102"/>
      <c r="AO603" s="400"/>
      <c r="AP603" s="90"/>
      <c r="AQ603" s="90"/>
      <c r="AR603" s="90"/>
      <c r="AS603" s="90"/>
      <c r="AT603" s="90"/>
      <c r="AU603" s="90"/>
      <c r="AV603" s="90"/>
      <c r="AW603" s="90"/>
      <c r="AX603" s="90"/>
      <c r="AY603" s="90"/>
      <c r="AZ603" s="90"/>
      <c r="BA603" s="90"/>
      <c r="BB603" s="90"/>
      <c r="BC603" s="90"/>
      <c r="BD603" s="90"/>
      <c r="BE603" s="90"/>
      <c r="BF603" s="90"/>
      <c r="BG603" s="90"/>
      <c r="BH603" s="90"/>
      <c r="BI603" s="90"/>
    </row>
    <row r="604" ht="12.75" customHeight="1">
      <c r="A604" s="90"/>
      <c r="B604" s="90"/>
      <c r="C604" s="400"/>
      <c r="D604" s="90"/>
      <c r="E604" s="102"/>
      <c r="F604" s="90"/>
      <c r="G604" s="90"/>
      <c r="H604" s="102"/>
      <c r="I604" s="102"/>
      <c r="J604" s="102"/>
      <c r="K604" s="102"/>
      <c r="L604" s="102"/>
      <c r="M604" s="102"/>
      <c r="N604" s="102"/>
      <c r="O604" s="102"/>
      <c r="P604" s="102"/>
      <c r="Q604" s="102"/>
      <c r="R604" s="102"/>
      <c r="S604" s="102"/>
      <c r="T604" s="102"/>
      <c r="U604" s="102"/>
      <c r="V604" s="102"/>
      <c r="W604" s="102"/>
      <c r="X604" s="102"/>
      <c r="Y604" s="102"/>
      <c r="Z604" s="102"/>
      <c r="AA604" s="102"/>
      <c r="AB604" s="102"/>
      <c r="AC604" s="102"/>
      <c r="AD604" s="102"/>
      <c r="AE604" s="102"/>
      <c r="AF604" s="102"/>
      <c r="AG604" s="102"/>
      <c r="AH604" s="102"/>
      <c r="AI604" s="102"/>
      <c r="AJ604" s="102"/>
      <c r="AK604" s="102"/>
      <c r="AL604" s="102"/>
      <c r="AM604" s="102"/>
      <c r="AN604" s="102"/>
      <c r="AO604" s="400"/>
      <c r="AP604" s="90"/>
      <c r="AQ604" s="90"/>
      <c r="AR604" s="90"/>
      <c r="AS604" s="90"/>
      <c r="AT604" s="90"/>
      <c r="AU604" s="90"/>
      <c r="AV604" s="90"/>
      <c r="AW604" s="90"/>
      <c r="AX604" s="90"/>
      <c r="AY604" s="90"/>
      <c r="AZ604" s="90"/>
      <c r="BA604" s="90"/>
      <c r="BB604" s="90"/>
      <c r="BC604" s="90"/>
      <c r="BD604" s="90"/>
      <c r="BE604" s="90"/>
      <c r="BF604" s="90"/>
      <c r="BG604" s="90"/>
      <c r="BH604" s="90"/>
      <c r="BI604" s="90"/>
    </row>
    <row r="605" ht="12.75" customHeight="1">
      <c r="A605" s="90"/>
      <c r="B605" s="90"/>
      <c r="C605" s="400"/>
      <c r="D605" s="90"/>
      <c r="E605" s="102"/>
      <c r="F605" s="90"/>
      <c r="G605" s="90"/>
      <c r="H605" s="102"/>
      <c r="I605" s="102"/>
      <c r="J605" s="102"/>
      <c r="K605" s="102"/>
      <c r="L605" s="102"/>
      <c r="M605" s="102"/>
      <c r="N605" s="102"/>
      <c r="O605" s="102"/>
      <c r="P605" s="102"/>
      <c r="Q605" s="102"/>
      <c r="R605" s="102"/>
      <c r="S605" s="102"/>
      <c r="T605" s="102"/>
      <c r="U605" s="102"/>
      <c r="V605" s="102"/>
      <c r="W605" s="102"/>
      <c r="X605" s="102"/>
      <c r="Y605" s="102"/>
      <c r="Z605" s="102"/>
      <c r="AA605" s="102"/>
      <c r="AB605" s="102"/>
      <c r="AC605" s="102"/>
      <c r="AD605" s="102"/>
      <c r="AE605" s="102"/>
      <c r="AF605" s="102"/>
      <c r="AG605" s="102"/>
      <c r="AH605" s="102"/>
      <c r="AI605" s="102"/>
      <c r="AJ605" s="102"/>
      <c r="AK605" s="102"/>
      <c r="AL605" s="102"/>
      <c r="AM605" s="102"/>
      <c r="AN605" s="102"/>
      <c r="AO605" s="400"/>
      <c r="AP605" s="90"/>
      <c r="AQ605" s="90"/>
      <c r="AR605" s="90"/>
      <c r="AS605" s="90"/>
      <c r="AT605" s="90"/>
      <c r="AU605" s="90"/>
      <c r="AV605" s="90"/>
      <c r="AW605" s="90"/>
      <c r="AX605" s="90"/>
      <c r="AY605" s="90"/>
      <c r="AZ605" s="90"/>
      <c r="BA605" s="90"/>
      <c r="BB605" s="90"/>
      <c r="BC605" s="90"/>
      <c r="BD605" s="90"/>
      <c r="BE605" s="90"/>
      <c r="BF605" s="90"/>
      <c r="BG605" s="90"/>
      <c r="BH605" s="90"/>
      <c r="BI605" s="90"/>
    </row>
    <row r="606" ht="12.75" customHeight="1">
      <c r="A606" s="90"/>
      <c r="B606" s="90"/>
      <c r="C606" s="400"/>
      <c r="D606" s="90"/>
      <c r="E606" s="102"/>
      <c r="F606" s="90"/>
      <c r="G606" s="90"/>
      <c r="H606" s="102"/>
      <c r="I606" s="102"/>
      <c r="J606" s="102"/>
      <c r="K606" s="102"/>
      <c r="L606" s="102"/>
      <c r="M606" s="102"/>
      <c r="N606" s="102"/>
      <c r="O606" s="102"/>
      <c r="P606" s="102"/>
      <c r="Q606" s="102"/>
      <c r="R606" s="102"/>
      <c r="S606" s="102"/>
      <c r="T606" s="102"/>
      <c r="U606" s="102"/>
      <c r="V606" s="102"/>
      <c r="W606" s="102"/>
      <c r="X606" s="102"/>
      <c r="Y606" s="102"/>
      <c r="Z606" s="102"/>
      <c r="AA606" s="102"/>
      <c r="AB606" s="102"/>
      <c r="AC606" s="102"/>
      <c r="AD606" s="102"/>
      <c r="AE606" s="102"/>
      <c r="AF606" s="102"/>
      <c r="AG606" s="102"/>
      <c r="AH606" s="102"/>
      <c r="AI606" s="102"/>
      <c r="AJ606" s="102"/>
      <c r="AK606" s="102"/>
      <c r="AL606" s="102"/>
      <c r="AM606" s="102"/>
      <c r="AN606" s="102"/>
      <c r="AO606" s="400"/>
      <c r="AP606" s="90"/>
      <c r="AQ606" s="90"/>
      <c r="AR606" s="90"/>
      <c r="AS606" s="90"/>
      <c r="AT606" s="90"/>
      <c r="AU606" s="90"/>
      <c r="AV606" s="90"/>
      <c r="AW606" s="90"/>
      <c r="AX606" s="90"/>
      <c r="AY606" s="90"/>
      <c r="AZ606" s="90"/>
      <c r="BA606" s="90"/>
      <c r="BB606" s="90"/>
      <c r="BC606" s="90"/>
      <c r="BD606" s="90"/>
      <c r="BE606" s="90"/>
      <c r="BF606" s="90"/>
      <c r="BG606" s="90"/>
      <c r="BH606" s="90"/>
      <c r="BI606" s="90"/>
    </row>
    <row r="607" ht="12.75" customHeight="1">
      <c r="A607" s="90"/>
      <c r="B607" s="90"/>
      <c r="C607" s="400"/>
      <c r="D607" s="90"/>
      <c r="E607" s="102"/>
      <c r="F607" s="90"/>
      <c r="G607" s="90"/>
      <c r="H607" s="102"/>
      <c r="I607" s="102"/>
      <c r="J607" s="102"/>
      <c r="K607" s="102"/>
      <c r="L607" s="102"/>
      <c r="M607" s="102"/>
      <c r="N607" s="102"/>
      <c r="O607" s="102"/>
      <c r="P607" s="102"/>
      <c r="Q607" s="102"/>
      <c r="R607" s="102"/>
      <c r="S607" s="102"/>
      <c r="T607" s="102"/>
      <c r="U607" s="102"/>
      <c r="V607" s="102"/>
      <c r="W607" s="102"/>
      <c r="X607" s="102"/>
      <c r="Y607" s="102"/>
      <c r="Z607" s="102"/>
      <c r="AA607" s="102"/>
      <c r="AB607" s="102"/>
      <c r="AC607" s="102"/>
      <c r="AD607" s="102"/>
      <c r="AE607" s="102"/>
      <c r="AF607" s="102"/>
      <c r="AG607" s="102"/>
      <c r="AH607" s="102"/>
      <c r="AI607" s="102"/>
      <c r="AJ607" s="102"/>
      <c r="AK607" s="102"/>
      <c r="AL607" s="102"/>
      <c r="AM607" s="102"/>
      <c r="AN607" s="102"/>
      <c r="AO607" s="400"/>
      <c r="AP607" s="90"/>
      <c r="AQ607" s="90"/>
      <c r="AR607" s="90"/>
      <c r="AS607" s="90"/>
      <c r="AT607" s="90"/>
      <c r="AU607" s="90"/>
      <c r="AV607" s="90"/>
      <c r="AW607" s="90"/>
      <c r="AX607" s="90"/>
      <c r="AY607" s="90"/>
      <c r="AZ607" s="90"/>
      <c r="BA607" s="90"/>
      <c r="BB607" s="90"/>
      <c r="BC607" s="90"/>
      <c r="BD607" s="90"/>
      <c r="BE607" s="90"/>
      <c r="BF607" s="90"/>
      <c r="BG607" s="90"/>
      <c r="BH607" s="90"/>
      <c r="BI607" s="90"/>
    </row>
    <row r="608" ht="12.75" customHeight="1">
      <c r="A608" s="90"/>
      <c r="B608" s="90"/>
      <c r="C608" s="400"/>
      <c r="D608" s="90"/>
      <c r="E608" s="102"/>
      <c r="F608" s="90"/>
      <c r="G608" s="90"/>
      <c r="H608" s="102"/>
      <c r="I608" s="102"/>
      <c r="J608" s="102"/>
      <c r="K608" s="102"/>
      <c r="L608" s="102"/>
      <c r="M608" s="102"/>
      <c r="N608" s="102"/>
      <c r="O608" s="102"/>
      <c r="P608" s="102"/>
      <c r="Q608" s="102"/>
      <c r="R608" s="102"/>
      <c r="S608" s="102"/>
      <c r="T608" s="102"/>
      <c r="U608" s="102"/>
      <c r="V608" s="102"/>
      <c r="W608" s="102"/>
      <c r="X608" s="102"/>
      <c r="Y608" s="102"/>
      <c r="Z608" s="102"/>
      <c r="AA608" s="102"/>
      <c r="AB608" s="102"/>
      <c r="AC608" s="102"/>
      <c r="AD608" s="102"/>
      <c r="AE608" s="102"/>
      <c r="AF608" s="102"/>
      <c r="AG608" s="102"/>
      <c r="AH608" s="102"/>
      <c r="AI608" s="102"/>
      <c r="AJ608" s="102"/>
      <c r="AK608" s="102"/>
      <c r="AL608" s="102"/>
      <c r="AM608" s="102"/>
      <c r="AN608" s="102"/>
      <c r="AO608" s="400"/>
      <c r="AP608" s="90"/>
      <c r="AQ608" s="90"/>
      <c r="AR608" s="90"/>
      <c r="AS608" s="90"/>
      <c r="AT608" s="90"/>
      <c r="AU608" s="90"/>
      <c r="AV608" s="90"/>
      <c r="AW608" s="90"/>
      <c r="AX608" s="90"/>
      <c r="AY608" s="90"/>
      <c r="AZ608" s="90"/>
      <c r="BA608" s="90"/>
      <c r="BB608" s="90"/>
      <c r="BC608" s="90"/>
      <c r="BD608" s="90"/>
      <c r="BE608" s="90"/>
      <c r="BF608" s="90"/>
      <c r="BG608" s="90"/>
      <c r="BH608" s="90"/>
      <c r="BI608" s="90"/>
    </row>
    <row r="609" ht="12.75" customHeight="1">
      <c r="A609" s="90"/>
      <c r="B609" s="90"/>
      <c r="C609" s="400"/>
      <c r="D609" s="90"/>
      <c r="E609" s="102"/>
      <c r="F609" s="90"/>
      <c r="G609" s="90"/>
      <c r="H609" s="102"/>
      <c r="I609" s="102"/>
      <c r="J609" s="102"/>
      <c r="K609" s="102"/>
      <c r="L609" s="102"/>
      <c r="M609" s="102"/>
      <c r="N609" s="102"/>
      <c r="O609" s="102"/>
      <c r="P609" s="102"/>
      <c r="Q609" s="102"/>
      <c r="R609" s="102"/>
      <c r="S609" s="102"/>
      <c r="T609" s="102"/>
      <c r="U609" s="102"/>
      <c r="V609" s="102"/>
      <c r="W609" s="102"/>
      <c r="X609" s="102"/>
      <c r="Y609" s="102"/>
      <c r="Z609" s="102"/>
      <c r="AA609" s="102"/>
      <c r="AB609" s="102"/>
      <c r="AC609" s="102"/>
      <c r="AD609" s="102"/>
      <c r="AE609" s="102"/>
      <c r="AF609" s="102"/>
      <c r="AG609" s="102"/>
      <c r="AH609" s="102"/>
      <c r="AI609" s="102"/>
      <c r="AJ609" s="102"/>
      <c r="AK609" s="102"/>
      <c r="AL609" s="102"/>
      <c r="AM609" s="102"/>
      <c r="AN609" s="102"/>
      <c r="AO609" s="400"/>
      <c r="AP609" s="90"/>
      <c r="AQ609" s="90"/>
      <c r="AR609" s="90"/>
      <c r="AS609" s="90"/>
      <c r="AT609" s="90"/>
      <c r="AU609" s="90"/>
      <c r="AV609" s="90"/>
      <c r="AW609" s="90"/>
      <c r="AX609" s="90"/>
      <c r="AY609" s="90"/>
      <c r="AZ609" s="90"/>
      <c r="BA609" s="90"/>
      <c r="BB609" s="90"/>
      <c r="BC609" s="90"/>
      <c r="BD609" s="90"/>
      <c r="BE609" s="90"/>
      <c r="BF609" s="90"/>
      <c r="BG609" s="90"/>
      <c r="BH609" s="90"/>
      <c r="BI609" s="90"/>
    </row>
    <row r="610" ht="12.75" customHeight="1">
      <c r="A610" s="90"/>
      <c r="B610" s="90"/>
      <c r="C610" s="400"/>
      <c r="D610" s="90"/>
      <c r="E610" s="102"/>
      <c r="F610" s="90"/>
      <c r="G610" s="90"/>
      <c r="H610" s="102"/>
      <c r="I610" s="102"/>
      <c r="J610" s="102"/>
      <c r="K610" s="102"/>
      <c r="L610" s="102"/>
      <c r="M610" s="102"/>
      <c r="N610" s="102"/>
      <c r="O610" s="102"/>
      <c r="P610" s="102"/>
      <c r="Q610" s="102"/>
      <c r="R610" s="102"/>
      <c r="S610" s="102"/>
      <c r="T610" s="102"/>
      <c r="U610" s="102"/>
      <c r="V610" s="102"/>
      <c r="W610" s="102"/>
      <c r="X610" s="102"/>
      <c r="Y610" s="102"/>
      <c r="Z610" s="102"/>
      <c r="AA610" s="102"/>
      <c r="AB610" s="102"/>
      <c r="AC610" s="102"/>
      <c r="AD610" s="102"/>
      <c r="AE610" s="102"/>
      <c r="AF610" s="102"/>
      <c r="AG610" s="102"/>
      <c r="AH610" s="102"/>
      <c r="AI610" s="102"/>
      <c r="AJ610" s="102"/>
      <c r="AK610" s="102"/>
      <c r="AL610" s="102"/>
      <c r="AM610" s="102"/>
      <c r="AN610" s="102"/>
      <c r="AO610" s="400"/>
      <c r="AP610" s="90"/>
      <c r="AQ610" s="90"/>
      <c r="AR610" s="90"/>
      <c r="AS610" s="90"/>
      <c r="AT610" s="90"/>
      <c r="AU610" s="90"/>
      <c r="AV610" s="90"/>
      <c r="AW610" s="90"/>
      <c r="AX610" s="90"/>
      <c r="AY610" s="90"/>
      <c r="AZ610" s="90"/>
      <c r="BA610" s="90"/>
      <c r="BB610" s="90"/>
      <c r="BC610" s="90"/>
      <c r="BD610" s="90"/>
      <c r="BE610" s="90"/>
      <c r="BF610" s="90"/>
      <c r="BG610" s="90"/>
      <c r="BH610" s="90"/>
      <c r="BI610" s="90"/>
    </row>
    <row r="611" ht="12.75" customHeight="1">
      <c r="A611" s="90"/>
      <c r="B611" s="90"/>
      <c r="C611" s="400"/>
      <c r="D611" s="90"/>
      <c r="E611" s="102"/>
      <c r="F611" s="90"/>
      <c r="G611" s="90"/>
      <c r="H611" s="102"/>
      <c r="I611" s="102"/>
      <c r="J611" s="102"/>
      <c r="K611" s="102"/>
      <c r="L611" s="102"/>
      <c r="M611" s="102"/>
      <c r="N611" s="102"/>
      <c r="O611" s="102"/>
      <c r="P611" s="102"/>
      <c r="Q611" s="102"/>
      <c r="R611" s="102"/>
      <c r="S611" s="102"/>
      <c r="T611" s="102"/>
      <c r="U611" s="102"/>
      <c r="V611" s="102"/>
      <c r="W611" s="102"/>
      <c r="X611" s="102"/>
      <c r="Y611" s="102"/>
      <c r="Z611" s="102"/>
      <c r="AA611" s="102"/>
      <c r="AB611" s="102"/>
      <c r="AC611" s="102"/>
      <c r="AD611" s="102"/>
      <c r="AE611" s="102"/>
      <c r="AF611" s="102"/>
      <c r="AG611" s="102"/>
      <c r="AH611" s="102"/>
      <c r="AI611" s="102"/>
      <c r="AJ611" s="102"/>
      <c r="AK611" s="102"/>
      <c r="AL611" s="102"/>
      <c r="AM611" s="102"/>
      <c r="AN611" s="102"/>
      <c r="AO611" s="400"/>
      <c r="AP611" s="90"/>
      <c r="AQ611" s="90"/>
      <c r="AR611" s="90"/>
      <c r="AS611" s="90"/>
      <c r="AT611" s="90"/>
      <c r="AU611" s="90"/>
      <c r="AV611" s="90"/>
      <c r="AW611" s="90"/>
      <c r="AX611" s="90"/>
      <c r="AY611" s="90"/>
      <c r="AZ611" s="90"/>
      <c r="BA611" s="90"/>
      <c r="BB611" s="90"/>
      <c r="BC611" s="90"/>
      <c r="BD611" s="90"/>
      <c r="BE611" s="90"/>
      <c r="BF611" s="90"/>
      <c r="BG611" s="90"/>
      <c r="BH611" s="90"/>
      <c r="BI611" s="90"/>
    </row>
    <row r="612" ht="12.75" customHeight="1">
      <c r="A612" s="90"/>
      <c r="B612" s="90"/>
      <c r="C612" s="400"/>
      <c r="D612" s="90"/>
      <c r="E612" s="102"/>
      <c r="F612" s="90"/>
      <c r="G612" s="90"/>
      <c r="H612" s="102"/>
      <c r="I612" s="102"/>
      <c r="J612" s="102"/>
      <c r="K612" s="102"/>
      <c r="L612" s="102"/>
      <c r="M612" s="102"/>
      <c r="N612" s="102"/>
      <c r="O612" s="102"/>
      <c r="P612" s="102"/>
      <c r="Q612" s="102"/>
      <c r="R612" s="102"/>
      <c r="S612" s="102"/>
      <c r="T612" s="102"/>
      <c r="U612" s="102"/>
      <c r="V612" s="102"/>
      <c r="W612" s="102"/>
      <c r="X612" s="102"/>
      <c r="Y612" s="102"/>
      <c r="Z612" s="102"/>
      <c r="AA612" s="102"/>
      <c r="AB612" s="102"/>
      <c r="AC612" s="102"/>
      <c r="AD612" s="102"/>
      <c r="AE612" s="102"/>
      <c r="AF612" s="102"/>
      <c r="AG612" s="102"/>
      <c r="AH612" s="102"/>
      <c r="AI612" s="102"/>
      <c r="AJ612" s="102"/>
      <c r="AK612" s="102"/>
      <c r="AL612" s="102"/>
      <c r="AM612" s="102"/>
      <c r="AN612" s="102"/>
      <c r="AO612" s="400"/>
      <c r="AP612" s="90"/>
      <c r="AQ612" s="90"/>
      <c r="AR612" s="90"/>
      <c r="AS612" s="90"/>
      <c r="AT612" s="90"/>
      <c r="AU612" s="90"/>
      <c r="AV612" s="90"/>
      <c r="AW612" s="90"/>
      <c r="AX612" s="90"/>
      <c r="AY612" s="90"/>
      <c r="AZ612" s="90"/>
      <c r="BA612" s="90"/>
      <c r="BB612" s="90"/>
      <c r="BC612" s="90"/>
      <c r="BD612" s="90"/>
      <c r="BE612" s="90"/>
      <c r="BF612" s="90"/>
      <c r="BG612" s="90"/>
      <c r="BH612" s="90"/>
      <c r="BI612" s="90"/>
    </row>
    <row r="613" ht="12.75" customHeight="1">
      <c r="A613" s="90"/>
      <c r="B613" s="90"/>
      <c r="C613" s="400"/>
      <c r="D613" s="90"/>
      <c r="E613" s="102"/>
      <c r="F613" s="90"/>
      <c r="G613" s="90"/>
      <c r="H613" s="102"/>
      <c r="I613" s="102"/>
      <c r="J613" s="102"/>
      <c r="K613" s="102"/>
      <c r="L613" s="102"/>
      <c r="M613" s="102"/>
      <c r="N613" s="102"/>
      <c r="O613" s="102"/>
      <c r="P613" s="102"/>
      <c r="Q613" s="102"/>
      <c r="R613" s="102"/>
      <c r="S613" s="102"/>
      <c r="T613" s="102"/>
      <c r="U613" s="102"/>
      <c r="V613" s="102"/>
      <c r="W613" s="102"/>
      <c r="X613" s="102"/>
      <c r="Y613" s="102"/>
      <c r="Z613" s="102"/>
      <c r="AA613" s="102"/>
      <c r="AB613" s="102"/>
      <c r="AC613" s="102"/>
      <c r="AD613" s="102"/>
      <c r="AE613" s="102"/>
      <c r="AF613" s="102"/>
      <c r="AG613" s="102"/>
      <c r="AH613" s="102"/>
      <c r="AI613" s="102"/>
      <c r="AJ613" s="102"/>
      <c r="AK613" s="102"/>
      <c r="AL613" s="102"/>
      <c r="AM613" s="102"/>
      <c r="AN613" s="102"/>
      <c r="AO613" s="400"/>
      <c r="AP613" s="90"/>
      <c r="AQ613" s="90"/>
      <c r="AR613" s="90"/>
      <c r="AS613" s="90"/>
      <c r="AT613" s="90"/>
      <c r="AU613" s="90"/>
      <c r="AV613" s="90"/>
      <c r="AW613" s="90"/>
      <c r="AX613" s="90"/>
      <c r="AY613" s="90"/>
      <c r="AZ613" s="90"/>
      <c r="BA613" s="90"/>
      <c r="BB613" s="90"/>
      <c r="BC613" s="90"/>
      <c r="BD613" s="90"/>
      <c r="BE613" s="90"/>
      <c r="BF613" s="90"/>
      <c r="BG613" s="90"/>
      <c r="BH613" s="90"/>
      <c r="BI613" s="90"/>
    </row>
    <row r="614" ht="12.75" customHeight="1">
      <c r="A614" s="90"/>
      <c r="B614" s="90"/>
      <c r="C614" s="400"/>
      <c r="D614" s="90"/>
      <c r="E614" s="102"/>
      <c r="F614" s="90"/>
      <c r="G614" s="90"/>
      <c r="H614" s="102"/>
      <c r="I614" s="102"/>
      <c r="J614" s="102"/>
      <c r="K614" s="102"/>
      <c r="L614" s="102"/>
      <c r="M614" s="102"/>
      <c r="N614" s="102"/>
      <c r="O614" s="102"/>
      <c r="P614" s="102"/>
      <c r="Q614" s="102"/>
      <c r="R614" s="102"/>
      <c r="S614" s="102"/>
      <c r="T614" s="102"/>
      <c r="U614" s="102"/>
      <c r="V614" s="102"/>
      <c r="W614" s="102"/>
      <c r="X614" s="102"/>
      <c r="Y614" s="102"/>
      <c r="Z614" s="102"/>
      <c r="AA614" s="102"/>
      <c r="AB614" s="102"/>
      <c r="AC614" s="102"/>
      <c r="AD614" s="102"/>
      <c r="AE614" s="102"/>
      <c r="AF614" s="102"/>
      <c r="AG614" s="102"/>
      <c r="AH614" s="102"/>
      <c r="AI614" s="102"/>
      <c r="AJ614" s="102"/>
      <c r="AK614" s="102"/>
      <c r="AL614" s="102"/>
      <c r="AM614" s="102"/>
      <c r="AN614" s="102"/>
      <c r="AO614" s="400"/>
      <c r="AP614" s="90"/>
      <c r="AQ614" s="90"/>
      <c r="AR614" s="90"/>
      <c r="AS614" s="90"/>
      <c r="AT614" s="90"/>
      <c r="AU614" s="90"/>
      <c r="AV614" s="90"/>
      <c r="AW614" s="90"/>
      <c r="AX614" s="90"/>
      <c r="AY614" s="90"/>
      <c r="AZ614" s="90"/>
      <c r="BA614" s="90"/>
      <c r="BB614" s="90"/>
      <c r="BC614" s="90"/>
      <c r="BD614" s="90"/>
      <c r="BE614" s="90"/>
      <c r="BF614" s="90"/>
      <c r="BG614" s="90"/>
      <c r="BH614" s="90"/>
      <c r="BI614" s="90"/>
    </row>
    <row r="615" ht="12.75" customHeight="1">
      <c r="A615" s="90"/>
      <c r="B615" s="90"/>
      <c r="C615" s="400"/>
      <c r="D615" s="90"/>
      <c r="E615" s="102"/>
      <c r="F615" s="90"/>
      <c r="G615" s="90"/>
      <c r="H615" s="102"/>
      <c r="I615" s="102"/>
      <c r="J615" s="102"/>
      <c r="K615" s="102"/>
      <c r="L615" s="102"/>
      <c r="M615" s="102"/>
      <c r="N615" s="102"/>
      <c r="O615" s="102"/>
      <c r="P615" s="102"/>
      <c r="Q615" s="102"/>
      <c r="R615" s="102"/>
      <c r="S615" s="102"/>
      <c r="T615" s="102"/>
      <c r="U615" s="102"/>
      <c r="V615" s="102"/>
      <c r="W615" s="102"/>
      <c r="X615" s="102"/>
      <c r="Y615" s="102"/>
      <c r="Z615" s="102"/>
      <c r="AA615" s="102"/>
      <c r="AB615" s="102"/>
      <c r="AC615" s="102"/>
      <c r="AD615" s="102"/>
      <c r="AE615" s="102"/>
      <c r="AF615" s="102"/>
      <c r="AG615" s="102"/>
      <c r="AH615" s="102"/>
      <c r="AI615" s="102"/>
      <c r="AJ615" s="102"/>
      <c r="AK615" s="102"/>
      <c r="AL615" s="102"/>
      <c r="AM615" s="102"/>
      <c r="AN615" s="102"/>
      <c r="AO615" s="400"/>
      <c r="AP615" s="90"/>
      <c r="AQ615" s="90"/>
      <c r="AR615" s="90"/>
      <c r="AS615" s="90"/>
      <c r="AT615" s="90"/>
      <c r="AU615" s="90"/>
      <c r="AV615" s="90"/>
      <c r="AW615" s="90"/>
      <c r="AX615" s="90"/>
      <c r="AY615" s="90"/>
      <c r="AZ615" s="90"/>
      <c r="BA615" s="90"/>
      <c r="BB615" s="90"/>
      <c r="BC615" s="90"/>
      <c r="BD615" s="90"/>
      <c r="BE615" s="90"/>
      <c r="BF615" s="90"/>
      <c r="BG615" s="90"/>
      <c r="BH615" s="90"/>
      <c r="BI615" s="90"/>
    </row>
    <row r="616" ht="12.75" customHeight="1">
      <c r="A616" s="90"/>
      <c r="B616" s="90"/>
      <c r="C616" s="400"/>
      <c r="D616" s="90"/>
      <c r="E616" s="102"/>
      <c r="F616" s="90"/>
      <c r="G616" s="90"/>
      <c r="H616" s="102"/>
      <c r="I616" s="102"/>
      <c r="J616" s="102"/>
      <c r="K616" s="102"/>
      <c r="L616" s="102"/>
      <c r="M616" s="102"/>
      <c r="N616" s="102"/>
      <c r="O616" s="102"/>
      <c r="P616" s="102"/>
      <c r="Q616" s="102"/>
      <c r="R616" s="102"/>
      <c r="S616" s="102"/>
      <c r="T616" s="102"/>
      <c r="U616" s="102"/>
      <c r="V616" s="102"/>
      <c r="W616" s="102"/>
      <c r="X616" s="102"/>
      <c r="Y616" s="102"/>
      <c r="Z616" s="102"/>
      <c r="AA616" s="102"/>
      <c r="AB616" s="102"/>
      <c r="AC616" s="102"/>
      <c r="AD616" s="102"/>
      <c r="AE616" s="102"/>
      <c r="AF616" s="102"/>
      <c r="AG616" s="102"/>
      <c r="AH616" s="102"/>
      <c r="AI616" s="102"/>
      <c r="AJ616" s="102"/>
      <c r="AK616" s="102"/>
      <c r="AL616" s="102"/>
      <c r="AM616" s="102"/>
      <c r="AN616" s="102"/>
      <c r="AO616" s="400"/>
      <c r="AP616" s="90"/>
      <c r="AQ616" s="90"/>
      <c r="AR616" s="90"/>
      <c r="AS616" s="90"/>
      <c r="AT616" s="90"/>
      <c r="AU616" s="90"/>
      <c r="AV616" s="90"/>
      <c r="AW616" s="90"/>
      <c r="AX616" s="90"/>
      <c r="AY616" s="90"/>
      <c r="AZ616" s="90"/>
      <c r="BA616" s="90"/>
      <c r="BB616" s="90"/>
      <c r="BC616" s="90"/>
      <c r="BD616" s="90"/>
      <c r="BE616" s="90"/>
      <c r="BF616" s="90"/>
      <c r="BG616" s="90"/>
      <c r="BH616" s="90"/>
      <c r="BI616" s="90"/>
    </row>
    <row r="617" ht="12.75" customHeight="1">
      <c r="A617" s="90"/>
      <c r="B617" s="90"/>
      <c r="C617" s="400"/>
      <c r="D617" s="90"/>
      <c r="E617" s="102"/>
      <c r="F617" s="90"/>
      <c r="G617" s="90"/>
      <c r="H617" s="102"/>
      <c r="I617" s="102"/>
      <c r="J617" s="102"/>
      <c r="K617" s="102"/>
      <c r="L617" s="102"/>
      <c r="M617" s="102"/>
      <c r="N617" s="102"/>
      <c r="O617" s="102"/>
      <c r="P617" s="102"/>
      <c r="Q617" s="102"/>
      <c r="R617" s="102"/>
      <c r="S617" s="102"/>
      <c r="T617" s="102"/>
      <c r="U617" s="102"/>
      <c r="V617" s="102"/>
      <c r="W617" s="102"/>
      <c r="X617" s="102"/>
      <c r="Y617" s="102"/>
      <c r="Z617" s="102"/>
      <c r="AA617" s="102"/>
      <c r="AB617" s="102"/>
      <c r="AC617" s="102"/>
      <c r="AD617" s="102"/>
      <c r="AE617" s="102"/>
      <c r="AF617" s="102"/>
      <c r="AG617" s="102"/>
      <c r="AH617" s="102"/>
      <c r="AI617" s="102"/>
      <c r="AJ617" s="102"/>
      <c r="AK617" s="102"/>
      <c r="AL617" s="102"/>
      <c r="AM617" s="102"/>
      <c r="AN617" s="102"/>
      <c r="AO617" s="400"/>
      <c r="AP617" s="90"/>
      <c r="AQ617" s="90"/>
      <c r="AR617" s="90"/>
      <c r="AS617" s="90"/>
      <c r="AT617" s="90"/>
      <c r="AU617" s="90"/>
      <c r="AV617" s="90"/>
      <c r="AW617" s="90"/>
      <c r="AX617" s="90"/>
      <c r="AY617" s="90"/>
      <c r="AZ617" s="90"/>
      <c r="BA617" s="90"/>
      <c r="BB617" s="90"/>
      <c r="BC617" s="90"/>
      <c r="BD617" s="90"/>
      <c r="BE617" s="90"/>
      <c r="BF617" s="90"/>
      <c r="BG617" s="90"/>
      <c r="BH617" s="90"/>
      <c r="BI617" s="90"/>
    </row>
    <row r="618" ht="12.75" customHeight="1">
      <c r="A618" s="90"/>
      <c r="B618" s="90"/>
      <c r="C618" s="400"/>
      <c r="D618" s="90"/>
      <c r="E618" s="102"/>
      <c r="F618" s="90"/>
      <c r="G618" s="90"/>
      <c r="H618" s="102"/>
      <c r="I618" s="102"/>
      <c r="J618" s="102"/>
      <c r="K618" s="102"/>
      <c r="L618" s="102"/>
      <c r="M618" s="102"/>
      <c r="N618" s="102"/>
      <c r="O618" s="102"/>
      <c r="P618" s="102"/>
      <c r="Q618" s="102"/>
      <c r="R618" s="102"/>
      <c r="S618" s="102"/>
      <c r="T618" s="102"/>
      <c r="U618" s="102"/>
      <c r="V618" s="102"/>
      <c r="W618" s="102"/>
      <c r="X618" s="102"/>
      <c r="Y618" s="102"/>
      <c r="Z618" s="102"/>
      <c r="AA618" s="102"/>
      <c r="AB618" s="102"/>
      <c r="AC618" s="102"/>
      <c r="AD618" s="102"/>
      <c r="AE618" s="102"/>
      <c r="AF618" s="102"/>
      <c r="AG618" s="102"/>
      <c r="AH618" s="102"/>
      <c r="AI618" s="102"/>
      <c r="AJ618" s="102"/>
      <c r="AK618" s="102"/>
      <c r="AL618" s="102"/>
      <c r="AM618" s="102"/>
      <c r="AN618" s="102"/>
      <c r="AO618" s="400"/>
      <c r="AP618" s="90"/>
      <c r="AQ618" s="90"/>
      <c r="AR618" s="90"/>
      <c r="AS618" s="90"/>
      <c r="AT618" s="90"/>
      <c r="AU618" s="90"/>
      <c r="AV618" s="90"/>
      <c r="AW618" s="90"/>
      <c r="AX618" s="90"/>
      <c r="AY618" s="90"/>
      <c r="AZ618" s="90"/>
      <c r="BA618" s="90"/>
      <c r="BB618" s="90"/>
      <c r="BC618" s="90"/>
      <c r="BD618" s="90"/>
      <c r="BE618" s="90"/>
      <c r="BF618" s="90"/>
      <c r="BG618" s="90"/>
      <c r="BH618" s="90"/>
      <c r="BI618" s="90"/>
    </row>
    <row r="619" ht="12.75" customHeight="1">
      <c r="A619" s="90"/>
      <c r="B619" s="90"/>
      <c r="C619" s="400"/>
      <c r="D619" s="90"/>
      <c r="E619" s="102"/>
      <c r="F619" s="90"/>
      <c r="G619" s="90"/>
      <c r="H619" s="102"/>
      <c r="I619" s="102"/>
      <c r="J619" s="102"/>
      <c r="K619" s="102"/>
      <c r="L619" s="102"/>
      <c r="M619" s="102"/>
      <c r="N619" s="102"/>
      <c r="O619" s="102"/>
      <c r="P619" s="102"/>
      <c r="Q619" s="102"/>
      <c r="R619" s="102"/>
      <c r="S619" s="102"/>
      <c r="T619" s="102"/>
      <c r="U619" s="102"/>
      <c r="V619" s="102"/>
      <c r="W619" s="102"/>
      <c r="X619" s="102"/>
      <c r="Y619" s="102"/>
      <c r="Z619" s="102"/>
      <c r="AA619" s="102"/>
      <c r="AB619" s="102"/>
      <c r="AC619" s="102"/>
      <c r="AD619" s="102"/>
      <c r="AE619" s="102"/>
      <c r="AF619" s="102"/>
      <c r="AG619" s="102"/>
      <c r="AH619" s="102"/>
      <c r="AI619" s="102"/>
      <c r="AJ619" s="102"/>
      <c r="AK619" s="102"/>
      <c r="AL619" s="102"/>
      <c r="AM619" s="102"/>
      <c r="AN619" s="102"/>
      <c r="AO619" s="400"/>
      <c r="AP619" s="90"/>
      <c r="AQ619" s="90"/>
      <c r="AR619" s="90"/>
      <c r="AS619" s="90"/>
      <c r="AT619" s="90"/>
      <c r="AU619" s="90"/>
      <c r="AV619" s="90"/>
      <c r="AW619" s="90"/>
      <c r="AX619" s="90"/>
      <c r="AY619" s="90"/>
      <c r="AZ619" s="90"/>
      <c r="BA619" s="90"/>
      <c r="BB619" s="90"/>
      <c r="BC619" s="90"/>
      <c r="BD619" s="90"/>
      <c r="BE619" s="90"/>
      <c r="BF619" s="90"/>
      <c r="BG619" s="90"/>
      <c r="BH619" s="90"/>
      <c r="BI619" s="90"/>
    </row>
    <row r="620" ht="12.75" customHeight="1">
      <c r="A620" s="90"/>
      <c r="B620" s="90"/>
      <c r="C620" s="400"/>
      <c r="D620" s="90"/>
      <c r="E620" s="102"/>
      <c r="F620" s="90"/>
      <c r="G620" s="90"/>
      <c r="H620" s="102"/>
      <c r="I620" s="102"/>
      <c r="J620" s="102"/>
      <c r="K620" s="102"/>
      <c r="L620" s="102"/>
      <c r="M620" s="102"/>
      <c r="N620" s="102"/>
      <c r="O620" s="102"/>
      <c r="P620" s="102"/>
      <c r="Q620" s="102"/>
      <c r="R620" s="102"/>
      <c r="S620" s="102"/>
      <c r="T620" s="102"/>
      <c r="U620" s="102"/>
      <c r="V620" s="102"/>
      <c r="W620" s="102"/>
      <c r="X620" s="102"/>
      <c r="Y620" s="102"/>
      <c r="Z620" s="102"/>
      <c r="AA620" s="102"/>
      <c r="AB620" s="102"/>
      <c r="AC620" s="102"/>
      <c r="AD620" s="102"/>
      <c r="AE620" s="102"/>
      <c r="AF620" s="102"/>
      <c r="AG620" s="102"/>
      <c r="AH620" s="102"/>
      <c r="AI620" s="102"/>
      <c r="AJ620" s="102"/>
      <c r="AK620" s="102"/>
      <c r="AL620" s="102"/>
      <c r="AM620" s="102"/>
      <c r="AN620" s="102"/>
      <c r="AO620" s="400"/>
      <c r="AP620" s="90"/>
      <c r="AQ620" s="90"/>
      <c r="AR620" s="90"/>
      <c r="AS620" s="90"/>
      <c r="AT620" s="90"/>
      <c r="AU620" s="90"/>
      <c r="AV620" s="90"/>
      <c r="AW620" s="90"/>
      <c r="AX620" s="90"/>
      <c r="AY620" s="90"/>
      <c r="AZ620" s="90"/>
      <c r="BA620" s="90"/>
      <c r="BB620" s="90"/>
      <c r="BC620" s="90"/>
      <c r="BD620" s="90"/>
      <c r="BE620" s="90"/>
      <c r="BF620" s="90"/>
      <c r="BG620" s="90"/>
      <c r="BH620" s="90"/>
      <c r="BI620" s="90"/>
    </row>
    <row r="621" ht="12.75" customHeight="1">
      <c r="A621" s="90"/>
      <c r="B621" s="90"/>
      <c r="C621" s="400"/>
      <c r="D621" s="90"/>
      <c r="E621" s="102"/>
      <c r="F621" s="90"/>
      <c r="G621" s="90"/>
      <c r="H621" s="102"/>
      <c r="I621" s="102"/>
      <c r="J621" s="102"/>
      <c r="K621" s="102"/>
      <c r="L621" s="102"/>
      <c r="M621" s="102"/>
      <c r="N621" s="102"/>
      <c r="O621" s="102"/>
      <c r="P621" s="102"/>
      <c r="Q621" s="102"/>
      <c r="R621" s="102"/>
      <c r="S621" s="102"/>
      <c r="T621" s="102"/>
      <c r="U621" s="102"/>
      <c r="V621" s="102"/>
      <c r="W621" s="102"/>
      <c r="X621" s="102"/>
      <c r="Y621" s="102"/>
      <c r="Z621" s="102"/>
      <c r="AA621" s="102"/>
      <c r="AB621" s="102"/>
      <c r="AC621" s="102"/>
      <c r="AD621" s="102"/>
      <c r="AE621" s="102"/>
      <c r="AF621" s="102"/>
      <c r="AG621" s="102"/>
      <c r="AH621" s="102"/>
      <c r="AI621" s="102"/>
      <c r="AJ621" s="102"/>
      <c r="AK621" s="102"/>
      <c r="AL621" s="102"/>
      <c r="AM621" s="102"/>
      <c r="AN621" s="102"/>
      <c r="AO621" s="400"/>
      <c r="AP621" s="90"/>
      <c r="AQ621" s="90"/>
      <c r="AR621" s="90"/>
      <c r="AS621" s="90"/>
      <c r="AT621" s="90"/>
      <c r="AU621" s="90"/>
      <c r="AV621" s="90"/>
      <c r="AW621" s="90"/>
      <c r="AX621" s="90"/>
      <c r="AY621" s="90"/>
      <c r="AZ621" s="90"/>
      <c r="BA621" s="90"/>
      <c r="BB621" s="90"/>
      <c r="BC621" s="90"/>
      <c r="BD621" s="90"/>
      <c r="BE621" s="90"/>
      <c r="BF621" s="90"/>
      <c r="BG621" s="90"/>
      <c r="BH621" s="90"/>
      <c r="BI621" s="90"/>
    </row>
    <row r="622" ht="12.75" customHeight="1">
      <c r="A622" s="90"/>
      <c r="B622" s="90"/>
      <c r="C622" s="400"/>
      <c r="D622" s="90"/>
      <c r="E622" s="102"/>
      <c r="F622" s="90"/>
      <c r="G622" s="90"/>
      <c r="H622" s="102"/>
      <c r="I622" s="102"/>
      <c r="J622" s="102"/>
      <c r="K622" s="102"/>
      <c r="L622" s="102"/>
      <c r="M622" s="102"/>
      <c r="N622" s="102"/>
      <c r="O622" s="102"/>
      <c r="P622" s="102"/>
      <c r="Q622" s="102"/>
      <c r="R622" s="102"/>
      <c r="S622" s="102"/>
      <c r="T622" s="102"/>
      <c r="U622" s="102"/>
      <c r="V622" s="102"/>
      <c r="W622" s="102"/>
      <c r="X622" s="102"/>
      <c r="Y622" s="102"/>
      <c r="Z622" s="102"/>
      <c r="AA622" s="102"/>
      <c r="AB622" s="102"/>
      <c r="AC622" s="102"/>
      <c r="AD622" s="102"/>
      <c r="AE622" s="102"/>
      <c r="AF622" s="102"/>
      <c r="AG622" s="102"/>
      <c r="AH622" s="102"/>
      <c r="AI622" s="102"/>
      <c r="AJ622" s="102"/>
      <c r="AK622" s="102"/>
      <c r="AL622" s="102"/>
      <c r="AM622" s="102"/>
      <c r="AN622" s="102"/>
      <c r="AO622" s="400"/>
      <c r="AP622" s="90"/>
      <c r="AQ622" s="90"/>
      <c r="AR622" s="90"/>
      <c r="AS622" s="90"/>
      <c r="AT622" s="90"/>
      <c r="AU622" s="90"/>
      <c r="AV622" s="90"/>
      <c r="AW622" s="90"/>
      <c r="AX622" s="90"/>
      <c r="AY622" s="90"/>
      <c r="AZ622" s="90"/>
      <c r="BA622" s="90"/>
      <c r="BB622" s="90"/>
      <c r="BC622" s="90"/>
      <c r="BD622" s="90"/>
      <c r="BE622" s="90"/>
      <c r="BF622" s="90"/>
      <c r="BG622" s="90"/>
      <c r="BH622" s="90"/>
      <c r="BI622" s="90"/>
    </row>
    <row r="623" ht="12.75" customHeight="1">
      <c r="A623" s="90"/>
      <c r="B623" s="90"/>
      <c r="C623" s="400"/>
      <c r="D623" s="90"/>
      <c r="E623" s="102"/>
      <c r="F623" s="90"/>
      <c r="G623" s="90"/>
      <c r="H623" s="102"/>
      <c r="I623" s="102"/>
      <c r="J623" s="102"/>
      <c r="K623" s="102"/>
      <c r="L623" s="102"/>
      <c r="M623" s="102"/>
      <c r="N623" s="102"/>
      <c r="O623" s="102"/>
      <c r="P623" s="102"/>
      <c r="Q623" s="102"/>
      <c r="R623" s="102"/>
      <c r="S623" s="102"/>
      <c r="T623" s="102"/>
      <c r="U623" s="102"/>
      <c r="V623" s="102"/>
      <c r="W623" s="102"/>
      <c r="X623" s="102"/>
      <c r="Y623" s="102"/>
      <c r="Z623" s="102"/>
      <c r="AA623" s="102"/>
      <c r="AB623" s="102"/>
      <c r="AC623" s="102"/>
      <c r="AD623" s="102"/>
      <c r="AE623" s="102"/>
      <c r="AF623" s="102"/>
      <c r="AG623" s="102"/>
      <c r="AH623" s="102"/>
      <c r="AI623" s="102"/>
      <c r="AJ623" s="102"/>
      <c r="AK623" s="102"/>
      <c r="AL623" s="102"/>
      <c r="AM623" s="102"/>
      <c r="AN623" s="102"/>
      <c r="AO623" s="400"/>
      <c r="AP623" s="90"/>
      <c r="AQ623" s="90"/>
      <c r="AR623" s="90"/>
      <c r="AS623" s="90"/>
      <c r="AT623" s="90"/>
      <c r="AU623" s="90"/>
      <c r="AV623" s="90"/>
      <c r="AW623" s="90"/>
      <c r="AX623" s="90"/>
      <c r="AY623" s="90"/>
      <c r="AZ623" s="90"/>
      <c r="BA623" s="90"/>
      <c r="BB623" s="90"/>
      <c r="BC623" s="90"/>
      <c r="BD623" s="90"/>
      <c r="BE623" s="90"/>
      <c r="BF623" s="90"/>
      <c r="BG623" s="90"/>
      <c r="BH623" s="90"/>
      <c r="BI623" s="90"/>
    </row>
    <row r="624" ht="12.75" customHeight="1">
      <c r="A624" s="90"/>
      <c r="B624" s="90"/>
      <c r="C624" s="400"/>
      <c r="D624" s="90"/>
      <c r="E624" s="102"/>
      <c r="F624" s="90"/>
      <c r="G624" s="90"/>
      <c r="H624" s="102"/>
      <c r="I624" s="102"/>
      <c r="J624" s="102"/>
      <c r="K624" s="102"/>
      <c r="L624" s="102"/>
      <c r="M624" s="102"/>
      <c r="N624" s="102"/>
      <c r="O624" s="102"/>
      <c r="P624" s="102"/>
      <c r="Q624" s="102"/>
      <c r="R624" s="102"/>
      <c r="S624" s="102"/>
      <c r="T624" s="102"/>
      <c r="U624" s="102"/>
      <c r="V624" s="102"/>
      <c r="W624" s="102"/>
      <c r="X624" s="102"/>
      <c r="Y624" s="102"/>
      <c r="Z624" s="102"/>
      <c r="AA624" s="102"/>
      <c r="AB624" s="102"/>
      <c r="AC624" s="102"/>
      <c r="AD624" s="102"/>
      <c r="AE624" s="102"/>
      <c r="AF624" s="102"/>
      <c r="AG624" s="102"/>
      <c r="AH624" s="102"/>
      <c r="AI624" s="102"/>
      <c r="AJ624" s="102"/>
      <c r="AK624" s="102"/>
      <c r="AL624" s="102"/>
      <c r="AM624" s="102"/>
      <c r="AN624" s="102"/>
      <c r="AO624" s="400"/>
      <c r="AP624" s="90"/>
      <c r="AQ624" s="90"/>
      <c r="AR624" s="90"/>
      <c r="AS624" s="90"/>
      <c r="AT624" s="90"/>
      <c r="AU624" s="90"/>
      <c r="AV624" s="90"/>
      <c r="AW624" s="90"/>
      <c r="AX624" s="90"/>
      <c r="AY624" s="90"/>
      <c r="AZ624" s="90"/>
      <c r="BA624" s="90"/>
      <c r="BB624" s="90"/>
      <c r="BC624" s="90"/>
      <c r="BD624" s="90"/>
      <c r="BE624" s="90"/>
      <c r="BF624" s="90"/>
      <c r="BG624" s="90"/>
      <c r="BH624" s="90"/>
      <c r="BI624" s="90"/>
    </row>
    <row r="625" ht="12.75" customHeight="1">
      <c r="A625" s="90"/>
      <c r="B625" s="90"/>
      <c r="C625" s="400"/>
      <c r="D625" s="90"/>
      <c r="E625" s="102"/>
      <c r="F625" s="90"/>
      <c r="G625" s="90"/>
      <c r="H625" s="102"/>
      <c r="I625" s="102"/>
      <c r="J625" s="102"/>
      <c r="K625" s="102"/>
      <c r="L625" s="102"/>
      <c r="M625" s="102"/>
      <c r="N625" s="102"/>
      <c r="O625" s="102"/>
      <c r="P625" s="102"/>
      <c r="Q625" s="102"/>
      <c r="R625" s="102"/>
      <c r="S625" s="102"/>
      <c r="T625" s="102"/>
      <c r="U625" s="102"/>
      <c r="V625" s="102"/>
      <c r="W625" s="102"/>
      <c r="X625" s="102"/>
      <c r="Y625" s="102"/>
      <c r="Z625" s="102"/>
      <c r="AA625" s="102"/>
      <c r="AB625" s="102"/>
      <c r="AC625" s="102"/>
      <c r="AD625" s="102"/>
      <c r="AE625" s="102"/>
      <c r="AF625" s="102"/>
      <c r="AG625" s="102"/>
      <c r="AH625" s="102"/>
      <c r="AI625" s="102"/>
      <c r="AJ625" s="102"/>
      <c r="AK625" s="102"/>
      <c r="AL625" s="102"/>
      <c r="AM625" s="102"/>
      <c r="AN625" s="102"/>
      <c r="AO625" s="400"/>
      <c r="AP625" s="90"/>
      <c r="AQ625" s="90"/>
      <c r="AR625" s="90"/>
      <c r="AS625" s="90"/>
      <c r="AT625" s="90"/>
      <c r="AU625" s="90"/>
      <c r="AV625" s="90"/>
      <c r="AW625" s="90"/>
      <c r="AX625" s="90"/>
      <c r="AY625" s="90"/>
      <c r="AZ625" s="90"/>
      <c r="BA625" s="90"/>
      <c r="BB625" s="90"/>
      <c r="BC625" s="90"/>
      <c r="BD625" s="90"/>
      <c r="BE625" s="90"/>
      <c r="BF625" s="90"/>
      <c r="BG625" s="90"/>
      <c r="BH625" s="90"/>
      <c r="BI625" s="90"/>
    </row>
    <row r="626" ht="12.75" customHeight="1">
      <c r="A626" s="90"/>
      <c r="B626" s="90"/>
      <c r="C626" s="400"/>
      <c r="D626" s="90"/>
      <c r="E626" s="102"/>
      <c r="F626" s="90"/>
      <c r="G626" s="90"/>
      <c r="H626" s="102"/>
      <c r="I626" s="102"/>
      <c r="J626" s="102"/>
      <c r="K626" s="102"/>
      <c r="L626" s="102"/>
      <c r="M626" s="102"/>
      <c r="N626" s="102"/>
      <c r="O626" s="102"/>
      <c r="P626" s="102"/>
      <c r="Q626" s="102"/>
      <c r="R626" s="102"/>
      <c r="S626" s="102"/>
      <c r="T626" s="102"/>
      <c r="U626" s="102"/>
      <c r="V626" s="102"/>
      <c r="W626" s="102"/>
      <c r="X626" s="102"/>
      <c r="Y626" s="102"/>
      <c r="Z626" s="102"/>
      <c r="AA626" s="102"/>
      <c r="AB626" s="102"/>
      <c r="AC626" s="102"/>
      <c r="AD626" s="102"/>
      <c r="AE626" s="102"/>
      <c r="AF626" s="102"/>
      <c r="AG626" s="102"/>
      <c r="AH626" s="102"/>
      <c r="AI626" s="102"/>
      <c r="AJ626" s="102"/>
      <c r="AK626" s="102"/>
      <c r="AL626" s="102"/>
      <c r="AM626" s="102"/>
      <c r="AN626" s="102"/>
      <c r="AO626" s="400"/>
      <c r="AP626" s="90"/>
      <c r="AQ626" s="90"/>
      <c r="AR626" s="90"/>
      <c r="AS626" s="90"/>
      <c r="AT626" s="90"/>
      <c r="AU626" s="90"/>
      <c r="AV626" s="90"/>
      <c r="AW626" s="90"/>
      <c r="AX626" s="90"/>
      <c r="AY626" s="90"/>
      <c r="AZ626" s="90"/>
      <c r="BA626" s="90"/>
      <c r="BB626" s="90"/>
      <c r="BC626" s="90"/>
      <c r="BD626" s="90"/>
      <c r="BE626" s="90"/>
      <c r="BF626" s="90"/>
      <c r="BG626" s="90"/>
      <c r="BH626" s="90"/>
      <c r="BI626" s="90"/>
    </row>
    <row r="627" ht="12.75" customHeight="1">
      <c r="A627" s="90"/>
      <c r="B627" s="90"/>
      <c r="C627" s="400"/>
      <c r="D627" s="90"/>
      <c r="E627" s="102"/>
      <c r="F627" s="90"/>
      <c r="G627" s="90"/>
      <c r="H627" s="102"/>
      <c r="I627" s="102"/>
      <c r="J627" s="102"/>
      <c r="K627" s="102"/>
      <c r="L627" s="102"/>
      <c r="M627" s="102"/>
      <c r="N627" s="102"/>
      <c r="O627" s="102"/>
      <c r="P627" s="102"/>
      <c r="Q627" s="102"/>
      <c r="R627" s="102"/>
      <c r="S627" s="102"/>
      <c r="T627" s="102"/>
      <c r="U627" s="102"/>
      <c r="V627" s="102"/>
      <c r="W627" s="102"/>
      <c r="X627" s="102"/>
      <c r="Y627" s="102"/>
      <c r="Z627" s="102"/>
      <c r="AA627" s="102"/>
      <c r="AB627" s="102"/>
      <c r="AC627" s="102"/>
      <c r="AD627" s="102"/>
      <c r="AE627" s="102"/>
      <c r="AF627" s="102"/>
      <c r="AG627" s="102"/>
      <c r="AH627" s="102"/>
      <c r="AI627" s="102"/>
      <c r="AJ627" s="102"/>
      <c r="AK627" s="102"/>
      <c r="AL627" s="102"/>
      <c r="AM627" s="102"/>
      <c r="AN627" s="102"/>
      <c r="AO627" s="400"/>
      <c r="AP627" s="90"/>
      <c r="AQ627" s="90"/>
      <c r="AR627" s="90"/>
      <c r="AS627" s="90"/>
      <c r="AT627" s="90"/>
      <c r="AU627" s="90"/>
      <c r="AV627" s="90"/>
      <c r="AW627" s="90"/>
      <c r="AX627" s="90"/>
      <c r="AY627" s="90"/>
      <c r="AZ627" s="90"/>
      <c r="BA627" s="90"/>
      <c r="BB627" s="90"/>
      <c r="BC627" s="90"/>
      <c r="BD627" s="90"/>
      <c r="BE627" s="90"/>
      <c r="BF627" s="90"/>
      <c r="BG627" s="90"/>
      <c r="BH627" s="90"/>
      <c r="BI627" s="90"/>
    </row>
    <row r="628" ht="12.75" customHeight="1">
      <c r="A628" s="90"/>
      <c r="B628" s="90"/>
      <c r="C628" s="400"/>
      <c r="D628" s="90"/>
      <c r="E628" s="102"/>
      <c r="F628" s="90"/>
      <c r="G628" s="90"/>
      <c r="H628" s="102"/>
      <c r="I628" s="102"/>
      <c r="J628" s="102"/>
      <c r="K628" s="102"/>
      <c r="L628" s="102"/>
      <c r="M628" s="102"/>
      <c r="N628" s="102"/>
      <c r="O628" s="102"/>
      <c r="P628" s="102"/>
      <c r="Q628" s="102"/>
      <c r="R628" s="102"/>
      <c r="S628" s="102"/>
      <c r="T628" s="102"/>
      <c r="U628" s="102"/>
      <c r="V628" s="102"/>
      <c r="W628" s="102"/>
      <c r="X628" s="102"/>
      <c r="Y628" s="102"/>
      <c r="Z628" s="102"/>
      <c r="AA628" s="102"/>
      <c r="AB628" s="102"/>
      <c r="AC628" s="102"/>
      <c r="AD628" s="102"/>
      <c r="AE628" s="102"/>
      <c r="AF628" s="102"/>
      <c r="AG628" s="102"/>
      <c r="AH628" s="102"/>
      <c r="AI628" s="102"/>
      <c r="AJ628" s="102"/>
      <c r="AK628" s="102"/>
      <c r="AL628" s="102"/>
      <c r="AM628" s="102"/>
      <c r="AN628" s="102"/>
      <c r="AO628" s="400"/>
      <c r="AP628" s="90"/>
      <c r="AQ628" s="90"/>
      <c r="AR628" s="90"/>
      <c r="AS628" s="90"/>
      <c r="AT628" s="90"/>
      <c r="AU628" s="90"/>
      <c r="AV628" s="90"/>
      <c r="AW628" s="90"/>
      <c r="AX628" s="90"/>
      <c r="AY628" s="90"/>
      <c r="AZ628" s="90"/>
      <c r="BA628" s="90"/>
      <c r="BB628" s="90"/>
      <c r="BC628" s="90"/>
      <c r="BD628" s="90"/>
      <c r="BE628" s="90"/>
      <c r="BF628" s="90"/>
      <c r="BG628" s="90"/>
      <c r="BH628" s="90"/>
      <c r="BI628" s="90"/>
    </row>
    <row r="629" ht="12.75" customHeight="1">
      <c r="A629" s="90"/>
      <c r="B629" s="90"/>
      <c r="C629" s="400"/>
      <c r="D629" s="90"/>
      <c r="E629" s="102"/>
      <c r="F629" s="90"/>
      <c r="G629" s="90"/>
      <c r="H629" s="102"/>
      <c r="I629" s="102"/>
      <c r="J629" s="102"/>
      <c r="K629" s="102"/>
      <c r="L629" s="102"/>
      <c r="M629" s="102"/>
      <c r="N629" s="102"/>
      <c r="O629" s="102"/>
      <c r="P629" s="102"/>
      <c r="Q629" s="102"/>
      <c r="R629" s="102"/>
      <c r="S629" s="102"/>
      <c r="T629" s="102"/>
      <c r="U629" s="102"/>
      <c r="V629" s="102"/>
      <c r="W629" s="102"/>
      <c r="X629" s="102"/>
      <c r="Y629" s="102"/>
      <c r="Z629" s="102"/>
      <c r="AA629" s="102"/>
      <c r="AB629" s="102"/>
      <c r="AC629" s="102"/>
      <c r="AD629" s="102"/>
      <c r="AE629" s="102"/>
      <c r="AF629" s="102"/>
      <c r="AG629" s="102"/>
      <c r="AH629" s="102"/>
      <c r="AI629" s="102"/>
      <c r="AJ629" s="102"/>
      <c r="AK629" s="102"/>
      <c r="AL629" s="102"/>
      <c r="AM629" s="102"/>
      <c r="AN629" s="102"/>
      <c r="AO629" s="400"/>
      <c r="AP629" s="90"/>
      <c r="AQ629" s="90"/>
      <c r="AR629" s="90"/>
      <c r="AS629" s="90"/>
      <c r="AT629" s="90"/>
      <c r="AU629" s="90"/>
      <c r="AV629" s="90"/>
      <c r="AW629" s="90"/>
      <c r="AX629" s="90"/>
      <c r="AY629" s="90"/>
      <c r="AZ629" s="90"/>
      <c r="BA629" s="90"/>
      <c r="BB629" s="90"/>
      <c r="BC629" s="90"/>
      <c r="BD629" s="90"/>
      <c r="BE629" s="90"/>
      <c r="BF629" s="90"/>
      <c r="BG629" s="90"/>
      <c r="BH629" s="90"/>
      <c r="BI629" s="90"/>
    </row>
    <row r="630" ht="12.75" customHeight="1">
      <c r="A630" s="90"/>
      <c r="B630" s="90"/>
      <c r="C630" s="400"/>
      <c r="D630" s="90"/>
      <c r="E630" s="102"/>
      <c r="F630" s="90"/>
      <c r="G630" s="90"/>
      <c r="H630" s="102"/>
      <c r="I630" s="102"/>
      <c r="J630" s="102"/>
      <c r="K630" s="102"/>
      <c r="L630" s="102"/>
      <c r="M630" s="102"/>
      <c r="N630" s="102"/>
      <c r="O630" s="102"/>
      <c r="P630" s="102"/>
      <c r="Q630" s="102"/>
      <c r="R630" s="102"/>
      <c r="S630" s="102"/>
      <c r="T630" s="102"/>
      <c r="U630" s="102"/>
      <c r="V630" s="102"/>
      <c r="W630" s="102"/>
      <c r="X630" s="102"/>
      <c r="Y630" s="102"/>
      <c r="Z630" s="102"/>
      <c r="AA630" s="102"/>
      <c r="AB630" s="102"/>
      <c r="AC630" s="102"/>
      <c r="AD630" s="102"/>
      <c r="AE630" s="102"/>
      <c r="AF630" s="102"/>
      <c r="AG630" s="102"/>
      <c r="AH630" s="102"/>
      <c r="AI630" s="102"/>
      <c r="AJ630" s="102"/>
      <c r="AK630" s="102"/>
      <c r="AL630" s="102"/>
      <c r="AM630" s="102"/>
      <c r="AN630" s="102"/>
      <c r="AO630" s="400"/>
      <c r="AP630" s="90"/>
      <c r="AQ630" s="90"/>
      <c r="AR630" s="90"/>
      <c r="AS630" s="90"/>
      <c r="AT630" s="90"/>
      <c r="AU630" s="90"/>
      <c r="AV630" s="90"/>
      <c r="AW630" s="90"/>
      <c r="AX630" s="90"/>
      <c r="AY630" s="90"/>
      <c r="AZ630" s="90"/>
      <c r="BA630" s="90"/>
      <c r="BB630" s="90"/>
      <c r="BC630" s="90"/>
      <c r="BD630" s="90"/>
      <c r="BE630" s="90"/>
      <c r="BF630" s="90"/>
      <c r="BG630" s="90"/>
      <c r="BH630" s="90"/>
      <c r="BI630" s="90"/>
    </row>
    <row r="631" ht="12.75" customHeight="1">
      <c r="A631" s="90"/>
      <c r="B631" s="90"/>
      <c r="C631" s="400"/>
      <c r="D631" s="90"/>
      <c r="E631" s="102"/>
      <c r="F631" s="90"/>
      <c r="G631" s="90"/>
      <c r="H631" s="102"/>
      <c r="I631" s="102"/>
      <c r="J631" s="102"/>
      <c r="K631" s="102"/>
      <c r="L631" s="102"/>
      <c r="M631" s="102"/>
      <c r="N631" s="102"/>
      <c r="O631" s="102"/>
      <c r="P631" s="102"/>
      <c r="Q631" s="102"/>
      <c r="R631" s="102"/>
      <c r="S631" s="102"/>
      <c r="T631" s="102"/>
      <c r="U631" s="102"/>
      <c r="V631" s="102"/>
      <c r="W631" s="102"/>
      <c r="X631" s="102"/>
      <c r="Y631" s="102"/>
      <c r="Z631" s="102"/>
      <c r="AA631" s="102"/>
      <c r="AB631" s="102"/>
      <c r="AC631" s="102"/>
      <c r="AD631" s="102"/>
      <c r="AE631" s="102"/>
      <c r="AF631" s="102"/>
      <c r="AG631" s="102"/>
      <c r="AH631" s="102"/>
      <c r="AI631" s="102"/>
      <c r="AJ631" s="102"/>
      <c r="AK631" s="102"/>
      <c r="AL631" s="102"/>
      <c r="AM631" s="102"/>
      <c r="AN631" s="102"/>
      <c r="AO631" s="400"/>
      <c r="AP631" s="90"/>
      <c r="AQ631" s="90"/>
      <c r="AR631" s="90"/>
      <c r="AS631" s="90"/>
      <c r="AT631" s="90"/>
      <c r="AU631" s="90"/>
      <c r="AV631" s="90"/>
      <c r="AW631" s="90"/>
      <c r="AX631" s="90"/>
      <c r="AY631" s="90"/>
      <c r="AZ631" s="90"/>
      <c r="BA631" s="90"/>
      <c r="BB631" s="90"/>
      <c r="BC631" s="90"/>
      <c r="BD631" s="90"/>
      <c r="BE631" s="90"/>
      <c r="BF631" s="90"/>
      <c r="BG631" s="90"/>
      <c r="BH631" s="90"/>
      <c r="BI631" s="90"/>
    </row>
    <row r="632" ht="12.75" customHeight="1">
      <c r="A632" s="90"/>
      <c r="B632" s="90"/>
      <c r="C632" s="400"/>
      <c r="D632" s="90"/>
      <c r="E632" s="102"/>
      <c r="F632" s="90"/>
      <c r="G632" s="90"/>
      <c r="H632" s="102"/>
      <c r="I632" s="102"/>
      <c r="J632" s="102"/>
      <c r="K632" s="102"/>
      <c r="L632" s="102"/>
      <c r="M632" s="102"/>
      <c r="N632" s="102"/>
      <c r="O632" s="102"/>
      <c r="P632" s="102"/>
      <c r="Q632" s="102"/>
      <c r="R632" s="102"/>
      <c r="S632" s="102"/>
      <c r="T632" s="102"/>
      <c r="U632" s="102"/>
      <c r="V632" s="102"/>
      <c r="W632" s="102"/>
      <c r="X632" s="102"/>
      <c r="Y632" s="102"/>
      <c r="Z632" s="102"/>
      <c r="AA632" s="102"/>
      <c r="AB632" s="102"/>
      <c r="AC632" s="102"/>
      <c r="AD632" s="102"/>
      <c r="AE632" s="102"/>
      <c r="AF632" s="102"/>
      <c r="AG632" s="102"/>
      <c r="AH632" s="102"/>
      <c r="AI632" s="102"/>
      <c r="AJ632" s="102"/>
      <c r="AK632" s="102"/>
      <c r="AL632" s="102"/>
      <c r="AM632" s="102"/>
      <c r="AN632" s="102"/>
      <c r="AO632" s="400"/>
      <c r="AP632" s="90"/>
      <c r="AQ632" s="90"/>
      <c r="AR632" s="90"/>
      <c r="AS632" s="90"/>
      <c r="AT632" s="90"/>
      <c r="AU632" s="90"/>
      <c r="AV632" s="90"/>
      <c r="AW632" s="90"/>
      <c r="AX632" s="90"/>
      <c r="AY632" s="90"/>
      <c r="AZ632" s="90"/>
      <c r="BA632" s="90"/>
      <c r="BB632" s="90"/>
      <c r="BC632" s="90"/>
      <c r="BD632" s="90"/>
      <c r="BE632" s="90"/>
      <c r="BF632" s="90"/>
      <c r="BG632" s="90"/>
      <c r="BH632" s="90"/>
      <c r="BI632" s="90"/>
    </row>
    <row r="633" ht="12.75" customHeight="1">
      <c r="A633" s="90"/>
      <c r="B633" s="90"/>
      <c r="C633" s="400"/>
      <c r="D633" s="90"/>
      <c r="E633" s="102"/>
      <c r="F633" s="90"/>
      <c r="G633" s="90"/>
      <c r="H633" s="102"/>
      <c r="I633" s="102"/>
      <c r="J633" s="102"/>
      <c r="K633" s="102"/>
      <c r="L633" s="102"/>
      <c r="M633" s="102"/>
      <c r="N633" s="102"/>
      <c r="O633" s="102"/>
      <c r="P633" s="102"/>
      <c r="Q633" s="102"/>
      <c r="R633" s="102"/>
      <c r="S633" s="102"/>
      <c r="T633" s="102"/>
      <c r="U633" s="102"/>
      <c r="V633" s="102"/>
      <c r="W633" s="102"/>
      <c r="X633" s="102"/>
      <c r="Y633" s="102"/>
      <c r="Z633" s="102"/>
      <c r="AA633" s="102"/>
      <c r="AB633" s="102"/>
      <c r="AC633" s="102"/>
      <c r="AD633" s="102"/>
      <c r="AE633" s="102"/>
      <c r="AF633" s="102"/>
      <c r="AG633" s="102"/>
      <c r="AH633" s="102"/>
      <c r="AI633" s="102"/>
      <c r="AJ633" s="102"/>
      <c r="AK633" s="102"/>
      <c r="AL633" s="102"/>
      <c r="AM633" s="102"/>
      <c r="AN633" s="102"/>
      <c r="AO633" s="400"/>
      <c r="AP633" s="90"/>
      <c r="AQ633" s="90"/>
      <c r="AR633" s="90"/>
      <c r="AS633" s="90"/>
      <c r="AT633" s="90"/>
      <c r="AU633" s="90"/>
      <c r="AV633" s="90"/>
      <c r="AW633" s="90"/>
      <c r="AX633" s="90"/>
      <c r="AY633" s="90"/>
      <c r="AZ633" s="90"/>
      <c r="BA633" s="90"/>
      <c r="BB633" s="90"/>
      <c r="BC633" s="90"/>
      <c r="BD633" s="90"/>
      <c r="BE633" s="90"/>
      <c r="BF633" s="90"/>
      <c r="BG633" s="90"/>
      <c r="BH633" s="90"/>
      <c r="BI633" s="90"/>
    </row>
    <row r="634" ht="12.75" customHeight="1">
      <c r="A634" s="90"/>
      <c r="B634" s="90"/>
      <c r="C634" s="400"/>
      <c r="D634" s="90"/>
      <c r="E634" s="102"/>
      <c r="F634" s="90"/>
      <c r="G634" s="90"/>
      <c r="H634" s="102"/>
      <c r="I634" s="102"/>
      <c r="J634" s="102"/>
      <c r="K634" s="102"/>
      <c r="L634" s="102"/>
      <c r="M634" s="102"/>
      <c r="N634" s="102"/>
      <c r="O634" s="102"/>
      <c r="P634" s="102"/>
      <c r="Q634" s="102"/>
      <c r="R634" s="102"/>
      <c r="S634" s="102"/>
      <c r="T634" s="102"/>
      <c r="U634" s="102"/>
      <c r="V634" s="102"/>
      <c r="W634" s="102"/>
      <c r="X634" s="102"/>
      <c r="Y634" s="102"/>
      <c r="Z634" s="102"/>
      <c r="AA634" s="102"/>
      <c r="AB634" s="102"/>
      <c r="AC634" s="102"/>
      <c r="AD634" s="102"/>
      <c r="AE634" s="102"/>
      <c r="AF634" s="102"/>
      <c r="AG634" s="102"/>
      <c r="AH634" s="102"/>
      <c r="AI634" s="102"/>
      <c r="AJ634" s="102"/>
      <c r="AK634" s="102"/>
      <c r="AL634" s="102"/>
      <c r="AM634" s="102"/>
      <c r="AN634" s="102"/>
      <c r="AO634" s="400"/>
      <c r="AP634" s="90"/>
      <c r="AQ634" s="90"/>
      <c r="AR634" s="90"/>
      <c r="AS634" s="90"/>
      <c r="AT634" s="90"/>
      <c r="AU634" s="90"/>
      <c r="AV634" s="90"/>
      <c r="AW634" s="90"/>
      <c r="AX634" s="90"/>
      <c r="AY634" s="90"/>
      <c r="AZ634" s="90"/>
      <c r="BA634" s="90"/>
      <c r="BB634" s="90"/>
      <c r="BC634" s="90"/>
      <c r="BD634" s="90"/>
      <c r="BE634" s="90"/>
      <c r="BF634" s="90"/>
      <c r="BG634" s="90"/>
      <c r="BH634" s="90"/>
      <c r="BI634" s="90"/>
    </row>
    <row r="635" ht="12.75" customHeight="1">
      <c r="A635" s="90"/>
      <c r="B635" s="90"/>
      <c r="C635" s="400"/>
      <c r="D635" s="90"/>
      <c r="E635" s="102"/>
      <c r="F635" s="90"/>
      <c r="G635" s="90"/>
      <c r="H635" s="102"/>
      <c r="I635" s="102"/>
      <c r="J635" s="102"/>
      <c r="K635" s="102"/>
      <c r="L635" s="102"/>
      <c r="M635" s="102"/>
      <c r="N635" s="102"/>
      <c r="O635" s="102"/>
      <c r="P635" s="102"/>
      <c r="Q635" s="102"/>
      <c r="R635" s="102"/>
      <c r="S635" s="102"/>
      <c r="T635" s="102"/>
      <c r="U635" s="102"/>
      <c r="V635" s="102"/>
      <c r="W635" s="102"/>
      <c r="X635" s="102"/>
      <c r="Y635" s="102"/>
      <c r="Z635" s="102"/>
      <c r="AA635" s="102"/>
      <c r="AB635" s="102"/>
      <c r="AC635" s="102"/>
      <c r="AD635" s="102"/>
      <c r="AE635" s="102"/>
      <c r="AF635" s="102"/>
      <c r="AG635" s="102"/>
      <c r="AH635" s="102"/>
      <c r="AI635" s="102"/>
      <c r="AJ635" s="102"/>
      <c r="AK635" s="102"/>
      <c r="AL635" s="102"/>
      <c r="AM635" s="102"/>
      <c r="AN635" s="102"/>
      <c r="AO635" s="400"/>
      <c r="AP635" s="90"/>
      <c r="AQ635" s="90"/>
      <c r="AR635" s="90"/>
      <c r="AS635" s="90"/>
      <c r="AT635" s="90"/>
      <c r="AU635" s="90"/>
      <c r="AV635" s="90"/>
      <c r="AW635" s="90"/>
      <c r="AX635" s="90"/>
      <c r="AY635" s="90"/>
      <c r="AZ635" s="90"/>
      <c r="BA635" s="90"/>
      <c r="BB635" s="90"/>
      <c r="BC635" s="90"/>
      <c r="BD635" s="90"/>
      <c r="BE635" s="90"/>
      <c r="BF635" s="90"/>
      <c r="BG635" s="90"/>
      <c r="BH635" s="90"/>
      <c r="BI635" s="90"/>
    </row>
    <row r="636" ht="12.75" customHeight="1">
      <c r="A636" s="90"/>
      <c r="B636" s="90"/>
      <c r="C636" s="400"/>
      <c r="D636" s="90"/>
      <c r="E636" s="102"/>
      <c r="F636" s="90"/>
      <c r="G636" s="90"/>
      <c r="H636" s="102"/>
      <c r="I636" s="102"/>
      <c r="J636" s="102"/>
      <c r="K636" s="102"/>
      <c r="L636" s="102"/>
      <c r="M636" s="102"/>
      <c r="N636" s="102"/>
      <c r="O636" s="102"/>
      <c r="P636" s="102"/>
      <c r="Q636" s="102"/>
      <c r="R636" s="102"/>
      <c r="S636" s="102"/>
      <c r="T636" s="102"/>
      <c r="U636" s="102"/>
      <c r="V636" s="102"/>
      <c r="W636" s="102"/>
      <c r="X636" s="102"/>
      <c r="Y636" s="102"/>
      <c r="Z636" s="102"/>
      <c r="AA636" s="102"/>
      <c r="AB636" s="102"/>
      <c r="AC636" s="102"/>
      <c r="AD636" s="102"/>
      <c r="AE636" s="102"/>
      <c r="AF636" s="102"/>
      <c r="AG636" s="102"/>
      <c r="AH636" s="102"/>
      <c r="AI636" s="102"/>
      <c r="AJ636" s="102"/>
      <c r="AK636" s="102"/>
      <c r="AL636" s="102"/>
      <c r="AM636" s="102"/>
      <c r="AN636" s="102"/>
      <c r="AO636" s="400"/>
      <c r="AP636" s="90"/>
      <c r="AQ636" s="90"/>
      <c r="AR636" s="90"/>
      <c r="AS636" s="90"/>
      <c r="AT636" s="90"/>
      <c r="AU636" s="90"/>
      <c r="AV636" s="90"/>
      <c r="AW636" s="90"/>
      <c r="AX636" s="90"/>
      <c r="AY636" s="90"/>
      <c r="AZ636" s="90"/>
      <c r="BA636" s="90"/>
      <c r="BB636" s="90"/>
      <c r="BC636" s="90"/>
      <c r="BD636" s="90"/>
      <c r="BE636" s="90"/>
      <c r="BF636" s="90"/>
      <c r="BG636" s="90"/>
      <c r="BH636" s="90"/>
      <c r="BI636" s="90"/>
    </row>
    <row r="637" ht="12.75" customHeight="1">
      <c r="A637" s="90"/>
      <c r="B637" s="90"/>
      <c r="C637" s="400"/>
      <c r="D637" s="90"/>
      <c r="E637" s="102"/>
      <c r="F637" s="90"/>
      <c r="G637" s="90"/>
      <c r="H637" s="102"/>
      <c r="I637" s="102"/>
      <c r="J637" s="102"/>
      <c r="K637" s="102"/>
      <c r="L637" s="102"/>
      <c r="M637" s="102"/>
      <c r="N637" s="102"/>
      <c r="O637" s="102"/>
      <c r="P637" s="102"/>
      <c r="Q637" s="102"/>
      <c r="R637" s="102"/>
      <c r="S637" s="102"/>
      <c r="T637" s="102"/>
      <c r="U637" s="102"/>
      <c r="V637" s="102"/>
      <c r="W637" s="102"/>
      <c r="X637" s="102"/>
      <c r="Y637" s="102"/>
      <c r="Z637" s="102"/>
      <c r="AA637" s="102"/>
      <c r="AB637" s="102"/>
      <c r="AC637" s="102"/>
      <c r="AD637" s="102"/>
      <c r="AE637" s="102"/>
      <c r="AF637" s="102"/>
      <c r="AG637" s="102"/>
      <c r="AH637" s="102"/>
      <c r="AI637" s="102"/>
      <c r="AJ637" s="102"/>
      <c r="AK637" s="102"/>
      <c r="AL637" s="102"/>
      <c r="AM637" s="102"/>
      <c r="AN637" s="102"/>
      <c r="AO637" s="400"/>
      <c r="AP637" s="90"/>
      <c r="AQ637" s="90"/>
      <c r="AR637" s="90"/>
      <c r="AS637" s="90"/>
      <c r="AT637" s="90"/>
      <c r="AU637" s="90"/>
      <c r="AV637" s="90"/>
      <c r="AW637" s="90"/>
      <c r="AX637" s="90"/>
      <c r="AY637" s="90"/>
      <c r="AZ637" s="90"/>
      <c r="BA637" s="90"/>
      <c r="BB637" s="90"/>
      <c r="BC637" s="90"/>
      <c r="BD637" s="90"/>
      <c r="BE637" s="90"/>
      <c r="BF637" s="90"/>
      <c r="BG637" s="90"/>
      <c r="BH637" s="90"/>
      <c r="BI637" s="90"/>
    </row>
    <row r="638" ht="12.75" customHeight="1">
      <c r="A638" s="90"/>
      <c r="B638" s="90"/>
      <c r="C638" s="400"/>
      <c r="D638" s="90"/>
      <c r="E638" s="102"/>
      <c r="F638" s="90"/>
      <c r="G638" s="90"/>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c r="AG638" s="102"/>
      <c r="AH638" s="102"/>
      <c r="AI638" s="102"/>
      <c r="AJ638" s="102"/>
      <c r="AK638" s="102"/>
      <c r="AL638" s="102"/>
      <c r="AM638" s="102"/>
      <c r="AN638" s="102"/>
      <c r="AO638" s="400"/>
      <c r="AP638" s="90"/>
      <c r="AQ638" s="90"/>
      <c r="AR638" s="90"/>
      <c r="AS638" s="90"/>
      <c r="AT638" s="90"/>
      <c r="AU638" s="90"/>
      <c r="AV638" s="90"/>
      <c r="AW638" s="90"/>
      <c r="AX638" s="90"/>
      <c r="AY638" s="90"/>
      <c r="AZ638" s="90"/>
      <c r="BA638" s="90"/>
      <c r="BB638" s="90"/>
      <c r="BC638" s="90"/>
      <c r="BD638" s="90"/>
      <c r="BE638" s="90"/>
      <c r="BF638" s="90"/>
      <c r="BG638" s="90"/>
      <c r="BH638" s="90"/>
      <c r="BI638" s="90"/>
    </row>
    <row r="639" ht="12.75" customHeight="1">
      <c r="A639" s="90"/>
      <c r="B639" s="90"/>
      <c r="C639" s="400"/>
      <c r="D639" s="90"/>
      <c r="E639" s="102"/>
      <c r="F639" s="90"/>
      <c r="G639" s="90"/>
      <c r="H639" s="102"/>
      <c r="I639" s="102"/>
      <c r="J639" s="102"/>
      <c r="K639" s="102"/>
      <c r="L639" s="102"/>
      <c r="M639" s="102"/>
      <c r="N639" s="102"/>
      <c r="O639" s="102"/>
      <c r="P639" s="102"/>
      <c r="Q639" s="102"/>
      <c r="R639" s="102"/>
      <c r="S639" s="102"/>
      <c r="T639" s="102"/>
      <c r="U639" s="102"/>
      <c r="V639" s="102"/>
      <c r="W639" s="102"/>
      <c r="X639" s="102"/>
      <c r="Y639" s="102"/>
      <c r="Z639" s="102"/>
      <c r="AA639" s="102"/>
      <c r="AB639" s="102"/>
      <c r="AC639" s="102"/>
      <c r="AD639" s="102"/>
      <c r="AE639" s="102"/>
      <c r="AF639" s="102"/>
      <c r="AG639" s="102"/>
      <c r="AH639" s="102"/>
      <c r="AI639" s="102"/>
      <c r="AJ639" s="102"/>
      <c r="AK639" s="102"/>
      <c r="AL639" s="102"/>
      <c r="AM639" s="102"/>
      <c r="AN639" s="102"/>
      <c r="AO639" s="400"/>
      <c r="AP639" s="90"/>
      <c r="AQ639" s="90"/>
      <c r="AR639" s="90"/>
      <c r="AS639" s="90"/>
      <c r="AT639" s="90"/>
      <c r="AU639" s="90"/>
      <c r="AV639" s="90"/>
      <c r="AW639" s="90"/>
      <c r="AX639" s="90"/>
      <c r="AY639" s="90"/>
      <c r="AZ639" s="90"/>
      <c r="BA639" s="90"/>
      <c r="BB639" s="90"/>
      <c r="BC639" s="90"/>
      <c r="BD639" s="90"/>
      <c r="BE639" s="90"/>
      <c r="BF639" s="90"/>
      <c r="BG639" s="90"/>
      <c r="BH639" s="90"/>
      <c r="BI639" s="90"/>
    </row>
    <row r="640" ht="12.75" customHeight="1">
      <c r="A640" s="90"/>
      <c r="B640" s="90"/>
      <c r="C640" s="400"/>
      <c r="D640" s="90"/>
      <c r="E640" s="102"/>
      <c r="F640" s="90"/>
      <c r="G640" s="90"/>
      <c r="H640" s="102"/>
      <c r="I640" s="102"/>
      <c r="J640" s="102"/>
      <c r="K640" s="102"/>
      <c r="L640" s="102"/>
      <c r="M640" s="102"/>
      <c r="N640" s="102"/>
      <c r="O640" s="102"/>
      <c r="P640" s="102"/>
      <c r="Q640" s="102"/>
      <c r="R640" s="102"/>
      <c r="S640" s="102"/>
      <c r="T640" s="102"/>
      <c r="U640" s="102"/>
      <c r="V640" s="102"/>
      <c r="W640" s="102"/>
      <c r="X640" s="102"/>
      <c r="Y640" s="102"/>
      <c r="Z640" s="102"/>
      <c r="AA640" s="102"/>
      <c r="AB640" s="102"/>
      <c r="AC640" s="102"/>
      <c r="AD640" s="102"/>
      <c r="AE640" s="102"/>
      <c r="AF640" s="102"/>
      <c r="AG640" s="102"/>
      <c r="AH640" s="102"/>
      <c r="AI640" s="102"/>
      <c r="AJ640" s="102"/>
      <c r="AK640" s="102"/>
      <c r="AL640" s="102"/>
      <c r="AM640" s="102"/>
      <c r="AN640" s="102"/>
      <c r="AO640" s="400"/>
      <c r="AP640" s="90"/>
      <c r="AQ640" s="90"/>
      <c r="AR640" s="90"/>
      <c r="AS640" s="90"/>
      <c r="AT640" s="90"/>
      <c r="AU640" s="90"/>
      <c r="AV640" s="90"/>
      <c r="AW640" s="90"/>
      <c r="AX640" s="90"/>
      <c r="AY640" s="90"/>
      <c r="AZ640" s="90"/>
      <c r="BA640" s="90"/>
      <c r="BB640" s="90"/>
      <c r="BC640" s="90"/>
      <c r="BD640" s="90"/>
      <c r="BE640" s="90"/>
      <c r="BF640" s="90"/>
      <c r="BG640" s="90"/>
      <c r="BH640" s="90"/>
      <c r="BI640" s="90"/>
    </row>
    <row r="641" ht="12.75" customHeight="1">
      <c r="A641" s="90"/>
      <c r="B641" s="90"/>
      <c r="C641" s="400"/>
      <c r="D641" s="90"/>
      <c r="E641" s="102"/>
      <c r="F641" s="90"/>
      <c r="G641" s="90"/>
      <c r="H641" s="102"/>
      <c r="I641" s="102"/>
      <c r="J641" s="102"/>
      <c r="K641" s="102"/>
      <c r="L641" s="102"/>
      <c r="M641" s="102"/>
      <c r="N641" s="102"/>
      <c r="O641" s="102"/>
      <c r="P641" s="102"/>
      <c r="Q641" s="102"/>
      <c r="R641" s="102"/>
      <c r="S641" s="102"/>
      <c r="T641" s="102"/>
      <c r="U641" s="102"/>
      <c r="V641" s="102"/>
      <c r="W641" s="102"/>
      <c r="X641" s="102"/>
      <c r="Y641" s="102"/>
      <c r="Z641" s="102"/>
      <c r="AA641" s="102"/>
      <c r="AB641" s="102"/>
      <c r="AC641" s="102"/>
      <c r="AD641" s="102"/>
      <c r="AE641" s="102"/>
      <c r="AF641" s="102"/>
      <c r="AG641" s="102"/>
      <c r="AH641" s="102"/>
      <c r="AI641" s="102"/>
      <c r="AJ641" s="102"/>
      <c r="AK641" s="102"/>
      <c r="AL641" s="102"/>
      <c r="AM641" s="102"/>
      <c r="AN641" s="102"/>
      <c r="AO641" s="400"/>
      <c r="AP641" s="90"/>
      <c r="AQ641" s="90"/>
      <c r="AR641" s="90"/>
      <c r="AS641" s="90"/>
      <c r="AT641" s="90"/>
      <c r="AU641" s="90"/>
      <c r="AV641" s="90"/>
      <c r="AW641" s="90"/>
      <c r="AX641" s="90"/>
      <c r="AY641" s="90"/>
      <c r="AZ641" s="90"/>
      <c r="BA641" s="90"/>
      <c r="BB641" s="90"/>
      <c r="BC641" s="90"/>
      <c r="BD641" s="90"/>
      <c r="BE641" s="90"/>
      <c r="BF641" s="90"/>
      <c r="BG641" s="90"/>
      <c r="BH641" s="90"/>
      <c r="BI641" s="90"/>
    </row>
    <row r="642" ht="12.75" customHeight="1">
      <c r="A642" s="90"/>
      <c r="B642" s="90"/>
      <c r="C642" s="400"/>
      <c r="D642" s="90"/>
      <c r="E642" s="102"/>
      <c r="F642" s="90"/>
      <c r="G642" s="90"/>
      <c r="H642" s="102"/>
      <c r="I642" s="102"/>
      <c r="J642" s="102"/>
      <c r="K642" s="102"/>
      <c r="L642" s="102"/>
      <c r="M642" s="102"/>
      <c r="N642" s="102"/>
      <c r="O642" s="102"/>
      <c r="P642" s="102"/>
      <c r="Q642" s="102"/>
      <c r="R642" s="102"/>
      <c r="S642" s="102"/>
      <c r="T642" s="102"/>
      <c r="U642" s="102"/>
      <c r="V642" s="102"/>
      <c r="W642" s="102"/>
      <c r="X642" s="102"/>
      <c r="Y642" s="102"/>
      <c r="Z642" s="102"/>
      <c r="AA642" s="102"/>
      <c r="AB642" s="102"/>
      <c r="AC642" s="102"/>
      <c r="AD642" s="102"/>
      <c r="AE642" s="102"/>
      <c r="AF642" s="102"/>
      <c r="AG642" s="102"/>
      <c r="AH642" s="102"/>
      <c r="AI642" s="102"/>
      <c r="AJ642" s="102"/>
      <c r="AK642" s="102"/>
      <c r="AL642" s="102"/>
      <c r="AM642" s="102"/>
      <c r="AN642" s="102"/>
      <c r="AO642" s="400"/>
      <c r="AP642" s="90"/>
      <c r="AQ642" s="90"/>
      <c r="AR642" s="90"/>
      <c r="AS642" s="90"/>
      <c r="AT642" s="90"/>
      <c r="AU642" s="90"/>
      <c r="AV642" s="90"/>
      <c r="AW642" s="90"/>
      <c r="AX642" s="90"/>
      <c r="AY642" s="90"/>
      <c r="AZ642" s="90"/>
      <c r="BA642" s="90"/>
      <c r="BB642" s="90"/>
      <c r="BC642" s="90"/>
      <c r="BD642" s="90"/>
      <c r="BE642" s="90"/>
      <c r="BF642" s="90"/>
      <c r="BG642" s="90"/>
      <c r="BH642" s="90"/>
      <c r="BI642" s="90"/>
    </row>
    <row r="643" ht="12.75" customHeight="1">
      <c r="A643" s="90"/>
      <c r="B643" s="90"/>
      <c r="C643" s="400"/>
      <c r="D643" s="90"/>
      <c r="E643" s="102"/>
      <c r="F643" s="90"/>
      <c r="G643" s="90"/>
      <c r="H643" s="102"/>
      <c r="I643" s="102"/>
      <c r="J643" s="102"/>
      <c r="K643" s="102"/>
      <c r="L643" s="102"/>
      <c r="M643" s="102"/>
      <c r="N643" s="102"/>
      <c r="O643" s="102"/>
      <c r="P643" s="102"/>
      <c r="Q643" s="102"/>
      <c r="R643" s="102"/>
      <c r="S643" s="102"/>
      <c r="T643" s="102"/>
      <c r="U643" s="102"/>
      <c r="V643" s="102"/>
      <c r="W643" s="102"/>
      <c r="X643" s="102"/>
      <c r="Y643" s="102"/>
      <c r="Z643" s="102"/>
      <c r="AA643" s="102"/>
      <c r="AB643" s="102"/>
      <c r="AC643" s="102"/>
      <c r="AD643" s="102"/>
      <c r="AE643" s="102"/>
      <c r="AF643" s="102"/>
      <c r="AG643" s="102"/>
      <c r="AH643" s="102"/>
      <c r="AI643" s="102"/>
      <c r="AJ643" s="102"/>
      <c r="AK643" s="102"/>
      <c r="AL643" s="102"/>
      <c r="AM643" s="102"/>
      <c r="AN643" s="102"/>
      <c r="AO643" s="400"/>
      <c r="AP643" s="90"/>
      <c r="AQ643" s="90"/>
      <c r="AR643" s="90"/>
      <c r="AS643" s="90"/>
      <c r="AT643" s="90"/>
      <c r="AU643" s="90"/>
      <c r="AV643" s="90"/>
      <c r="AW643" s="90"/>
      <c r="AX643" s="90"/>
      <c r="AY643" s="90"/>
      <c r="AZ643" s="90"/>
      <c r="BA643" s="90"/>
      <c r="BB643" s="90"/>
      <c r="BC643" s="90"/>
      <c r="BD643" s="90"/>
      <c r="BE643" s="90"/>
      <c r="BF643" s="90"/>
      <c r="BG643" s="90"/>
      <c r="BH643" s="90"/>
      <c r="BI643" s="90"/>
    </row>
    <row r="644" ht="12.75" customHeight="1">
      <c r="A644" s="90"/>
      <c r="B644" s="90"/>
      <c r="C644" s="400"/>
      <c r="D644" s="90"/>
      <c r="E644" s="102"/>
      <c r="F644" s="90"/>
      <c r="G644" s="90"/>
      <c r="H644" s="102"/>
      <c r="I644" s="102"/>
      <c r="J644" s="102"/>
      <c r="K644" s="102"/>
      <c r="L644" s="102"/>
      <c r="M644" s="102"/>
      <c r="N644" s="102"/>
      <c r="O644" s="102"/>
      <c r="P644" s="102"/>
      <c r="Q644" s="102"/>
      <c r="R644" s="102"/>
      <c r="S644" s="102"/>
      <c r="T644" s="102"/>
      <c r="U644" s="102"/>
      <c r="V644" s="102"/>
      <c r="W644" s="102"/>
      <c r="X644" s="102"/>
      <c r="Y644" s="102"/>
      <c r="Z644" s="102"/>
      <c r="AA644" s="102"/>
      <c r="AB644" s="102"/>
      <c r="AC644" s="102"/>
      <c r="AD644" s="102"/>
      <c r="AE644" s="102"/>
      <c r="AF644" s="102"/>
      <c r="AG644" s="102"/>
      <c r="AH644" s="102"/>
      <c r="AI644" s="102"/>
      <c r="AJ644" s="102"/>
      <c r="AK644" s="102"/>
      <c r="AL644" s="102"/>
      <c r="AM644" s="102"/>
      <c r="AN644" s="102"/>
      <c r="AO644" s="400"/>
      <c r="AP644" s="90"/>
      <c r="AQ644" s="90"/>
      <c r="AR644" s="90"/>
      <c r="AS644" s="90"/>
      <c r="AT644" s="90"/>
      <c r="AU644" s="90"/>
      <c r="AV644" s="90"/>
      <c r="AW644" s="90"/>
      <c r="AX644" s="90"/>
      <c r="AY644" s="90"/>
      <c r="AZ644" s="90"/>
      <c r="BA644" s="90"/>
      <c r="BB644" s="90"/>
      <c r="BC644" s="90"/>
      <c r="BD644" s="90"/>
      <c r="BE644" s="90"/>
      <c r="BF644" s="90"/>
      <c r="BG644" s="90"/>
      <c r="BH644" s="90"/>
      <c r="BI644" s="90"/>
    </row>
    <row r="645" ht="12.75" customHeight="1">
      <c r="A645" s="90"/>
      <c r="B645" s="90"/>
      <c r="C645" s="400"/>
      <c r="D645" s="90"/>
      <c r="E645" s="102"/>
      <c r="F645" s="90"/>
      <c r="G645" s="90"/>
      <c r="H645" s="102"/>
      <c r="I645" s="102"/>
      <c r="J645" s="102"/>
      <c r="K645" s="102"/>
      <c r="L645" s="102"/>
      <c r="M645" s="102"/>
      <c r="N645" s="102"/>
      <c r="O645" s="102"/>
      <c r="P645" s="102"/>
      <c r="Q645" s="102"/>
      <c r="R645" s="102"/>
      <c r="S645" s="102"/>
      <c r="T645" s="102"/>
      <c r="U645" s="102"/>
      <c r="V645" s="102"/>
      <c r="W645" s="102"/>
      <c r="X645" s="102"/>
      <c r="Y645" s="102"/>
      <c r="Z645" s="102"/>
      <c r="AA645" s="102"/>
      <c r="AB645" s="102"/>
      <c r="AC645" s="102"/>
      <c r="AD645" s="102"/>
      <c r="AE645" s="102"/>
      <c r="AF645" s="102"/>
      <c r="AG645" s="102"/>
      <c r="AH645" s="102"/>
      <c r="AI645" s="102"/>
      <c r="AJ645" s="102"/>
      <c r="AK645" s="102"/>
      <c r="AL645" s="102"/>
      <c r="AM645" s="102"/>
      <c r="AN645" s="102"/>
      <c r="AO645" s="400"/>
      <c r="AP645" s="90"/>
      <c r="AQ645" s="90"/>
      <c r="AR645" s="90"/>
      <c r="AS645" s="90"/>
      <c r="AT645" s="90"/>
      <c r="AU645" s="90"/>
      <c r="AV645" s="90"/>
      <c r="AW645" s="90"/>
      <c r="AX645" s="90"/>
      <c r="AY645" s="90"/>
      <c r="AZ645" s="90"/>
      <c r="BA645" s="90"/>
      <c r="BB645" s="90"/>
      <c r="BC645" s="90"/>
      <c r="BD645" s="90"/>
      <c r="BE645" s="90"/>
      <c r="BF645" s="90"/>
      <c r="BG645" s="90"/>
      <c r="BH645" s="90"/>
      <c r="BI645" s="90"/>
    </row>
    <row r="646" ht="12.75" customHeight="1">
      <c r="A646" s="90"/>
      <c r="B646" s="90"/>
      <c r="C646" s="400"/>
      <c r="D646" s="90"/>
      <c r="E646" s="102"/>
      <c r="F646" s="90"/>
      <c r="G646" s="90"/>
      <c r="H646" s="102"/>
      <c r="I646" s="102"/>
      <c r="J646" s="102"/>
      <c r="K646" s="102"/>
      <c r="L646" s="102"/>
      <c r="M646" s="102"/>
      <c r="N646" s="102"/>
      <c r="O646" s="102"/>
      <c r="P646" s="102"/>
      <c r="Q646" s="102"/>
      <c r="R646" s="102"/>
      <c r="S646" s="102"/>
      <c r="T646" s="102"/>
      <c r="U646" s="102"/>
      <c r="V646" s="102"/>
      <c r="W646" s="102"/>
      <c r="X646" s="102"/>
      <c r="Y646" s="102"/>
      <c r="Z646" s="102"/>
      <c r="AA646" s="102"/>
      <c r="AB646" s="102"/>
      <c r="AC646" s="102"/>
      <c r="AD646" s="102"/>
      <c r="AE646" s="102"/>
      <c r="AF646" s="102"/>
      <c r="AG646" s="102"/>
      <c r="AH646" s="102"/>
      <c r="AI646" s="102"/>
      <c r="AJ646" s="102"/>
      <c r="AK646" s="102"/>
      <c r="AL646" s="102"/>
      <c r="AM646" s="102"/>
      <c r="AN646" s="102"/>
      <c r="AO646" s="400"/>
      <c r="AP646" s="90"/>
      <c r="AQ646" s="90"/>
      <c r="AR646" s="90"/>
      <c r="AS646" s="90"/>
      <c r="AT646" s="90"/>
      <c r="AU646" s="90"/>
      <c r="AV646" s="90"/>
      <c r="AW646" s="90"/>
      <c r="AX646" s="90"/>
      <c r="AY646" s="90"/>
      <c r="AZ646" s="90"/>
      <c r="BA646" s="90"/>
      <c r="BB646" s="90"/>
      <c r="BC646" s="90"/>
      <c r="BD646" s="90"/>
      <c r="BE646" s="90"/>
      <c r="BF646" s="90"/>
      <c r="BG646" s="90"/>
      <c r="BH646" s="90"/>
      <c r="BI646" s="90"/>
    </row>
    <row r="647" ht="12.75" customHeight="1">
      <c r="A647" s="90"/>
      <c r="B647" s="90"/>
      <c r="C647" s="400"/>
      <c r="D647" s="90"/>
      <c r="E647" s="102"/>
      <c r="F647" s="90"/>
      <c r="G647" s="90"/>
      <c r="H647" s="102"/>
      <c r="I647" s="102"/>
      <c r="J647" s="102"/>
      <c r="K647" s="102"/>
      <c r="L647" s="102"/>
      <c r="M647" s="102"/>
      <c r="N647" s="102"/>
      <c r="O647" s="102"/>
      <c r="P647" s="102"/>
      <c r="Q647" s="102"/>
      <c r="R647" s="102"/>
      <c r="S647" s="102"/>
      <c r="T647" s="102"/>
      <c r="U647" s="102"/>
      <c r="V647" s="102"/>
      <c r="W647" s="102"/>
      <c r="X647" s="102"/>
      <c r="Y647" s="102"/>
      <c r="Z647" s="102"/>
      <c r="AA647" s="102"/>
      <c r="AB647" s="102"/>
      <c r="AC647" s="102"/>
      <c r="AD647" s="102"/>
      <c r="AE647" s="102"/>
      <c r="AF647" s="102"/>
      <c r="AG647" s="102"/>
      <c r="AH647" s="102"/>
      <c r="AI647" s="102"/>
      <c r="AJ647" s="102"/>
      <c r="AK647" s="102"/>
      <c r="AL647" s="102"/>
      <c r="AM647" s="102"/>
      <c r="AN647" s="102"/>
      <c r="AO647" s="400"/>
      <c r="AP647" s="90"/>
      <c r="AQ647" s="90"/>
      <c r="AR647" s="90"/>
      <c r="AS647" s="90"/>
      <c r="AT647" s="90"/>
      <c r="AU647" s="90"/>
      <c r="AV647" s="90"/>
      <c r="AW647" s="90"/>
      <c r="AX647" s="90"/>
      <c r="AY647" s="90"/>
      <c r="AZ647" s="90"/>
      <c r="BA647" s="90"/>
      <c r="BB647" s="90"/>
      <c r="BC647" s="90"/>
      <c r="BD647" s="90"/>
      <c r="BE647" s="90"/>
      <c r="BF647" s="90"/>
      <c r="BG647" s="90"/>
      <c r="BH647" s="90"/>
      <c r="BI647" s="90"/>
    </row>
    <row r="648" ht="12.75" customHeight="1">
      <c r="A648" s="90"/>
      <c r="B648" s="90"/>
      <c r="C648" s="400"/>
      <c r="D648" s="90"/>
      <c r="E648" s="102"/>
      <c r="F648" s="90"/>
      <c r="G648" s="90"/>
      <c r="H648" s="102"/>
      <c r="I648" s="102"/>
      <c r="J648" s="102"/>
      <c r="K648" s="102"/>
      <c r="L648" s="102"/>
      <c r="M648" s="102"/>
      <c r="N648" s="102"/>
      <c r="O648" s="102"/>
      <c r="P648" s="102"/>
      <c r="Q648" s="102"/>
      <c r="R648" s="102"/>
      <c r="S648" s="102"/>
      <c r="T648" s="102"/>
      <c r="U648" s="102"/>
      <c r="V648" s="102"/>
      <c r="W648" s="102"/>
      <c r="X648" s="102"/>
      <c r="Y648" s="102"/>
      <c r="Z648" s="102"/>
      <c r="AA648" s="102"/>
      <c r="AB648" s="102"/>
      <c r="AC648" s="102"/>
      <c r="AD648" s="102"/>
      <c r="AE648" s="102"/>
      <c r="AF648" s="102"/>
      <c r="AG648" s="102"/>
      <c r="AH648" s="102"/>
      <c r="AI648" s="102"/>
      <c r="AJ648" s="102"/>
      <c r="AK648" s="102"/>
      <c r="AL648" s="102"/>
      <c r="AM648" s="102"/>
      <c r="AN648" s="102"/>
      <c r="AO648" s="400"/>
      <c r="AP648" s="90"/>
      <c r="AQ648" s="90"/>
      <c r="AR648" s="90"/>
      <c r="AS648" s="90"/>
      <c r="AT648" s="90"/>
      <c r="AU648" s="90"/>
      <c r="AV648" s="90"/>
      <c r="AW648" s="90"/>
      <c r="AX648" s="90"/>
      <c r="AY648" s="90"/>
      <c r="AZ648" s="90"/>
      <c r="BA648" s="90"/>
      <c r="BB648" s="90"/>
      <c r="BC648" s="90"/>
      <c r="BD648" s="90"/>
      <c r="BE648" s="90"/>
      <c r="BF648" s="90"/>
      <c r="BG648" s="90"/>
      <c r="BH648" s="90"/>
      <c r="BI648" s="90"/>
    </row>
    <row r="649" ht="12.75" customHeight="1">
      <c r="A649" s="90"/>
      <c r="B649" s="90"/>
      <c r="C649" s="400"/>
      <c r="D649" s="90"/>
      <c r="E649" s="102"/>
      <c r="F649" s="90"/>
      <c r="G649" s="90"/>
      <c r="H649" s="102"/>
      <c r="I649" s="102"/>
      <c r="J649" s="102"/>
      <c r="K649" s="102"/>
      <c r="L649" s="102"/>
      <c r="M649" s="102"/>
      <c r="N649" s="102"/>
      <c r="O649" s="102"/>
      <c r="P649" s="102"/>
      <c r="Q649" s="102"/>
      <c r="R649" s="102"/>
      <c r="S649" s="102"/>
      <c r="T649" s="102"/>
      <c r="U649" s="102"/>
      <c r="V649" s="102"/>
      <c r="W649" s="102"/>
      <c r="X649" s="102"/>
      <c r="Y649" s="102"/>
      <c r="Z649" s="102"/>
      <c r="AA649" s="102"/>
      <c r="AB649" s="102"/>
      <c r="AC649" s="102"/>
      <c r="AD649" s="102"/>
      <c r="AE649" s="102"/>
      <c r="AF649" s="102"/>
      <c r="AG649" s="102"/>
      <c r="AH649" s="102"/>
      <c r="AI649" s="102"/>
      <c r="AJ649" s="102"/>
      <c r="AK649" s="102"/>
      <c r="AL649" s="102"/>
      <c r="AM649" s="102"/>
      <c r="AN649" s="102"/>
      <c r="AO649" s="400"/>
      <c r="AP649" s="90"/>
      <c r="AQ649" s="90"/>
      <c r="AR649" s="90"/>
      <c r="AS649" s="90"/>
      <c r="AT649" s="90"/>
      <c r="AU649" s="90"/>
      <c r="AV649" s="90"/>
      <c r="AW649" s="90"/>
      <c r="AX649" s="90"/>
      <c r="AY649" s="90"/>
      <c r="AZ649" s="90"/>
      <c r="BA649" s="90"/>
      <c r="BB649" s="90"/>
      <c r="BC649" s="90"/>
      <c r="BD649" s="90"/>
      <c r="BE649" s="90"/>
      <c r="BF649" s="90"/>
      <c r="BG649" s="90"/>
      <c r="BH649" s="90"/>
      <c r="BI649" s="90"/>
    </row>
    <row r="650" ht="12.75" customHeight="1">
      <c r="A650" s="90"/>
      <c r="B650" s="90"/>
      <c r="C650" s="400"/>
      <c r="D650" s="90"/>
      <c r="E650" s="102"/>
      <c r="F650" s="90"/>
      <c r="G650" s="90"/>
      <c r="H650" s="102"/>
      <c r="I650" s="102"/>
      <c r="J650" s="102"/>
      <c r="K650" s="102"/>
      <c r="L650" s="102"/>
      <c r="M650" s="102"/>
      <c r="N650" s="102"/>
      <c r="O650" s="102"/>
      <c r="P650" s="102"/>
      <c r="Q650" s="102"/>
      <c r="R650" s="102"/>
      <c r="S650" s="102"/>
      <c r="T650" s="102"/>
      <c r="U650" s="102"/>
      <c r="V650" s="102"/>
      <c r="W650" s="102"/>
      <c r="X650" s="102"/>
      <c r="Y650" s="102"/>
      <c r="Z650" s="102"/>
      <c r="AA650" s="102"/>
      <c r="AB650" s="102"/>
      <c r="AC650" s="102"/>
      <c r="AD650" s="102"/>
      <c r="AE650" s="102"/>
      <c r="AF650" s="102"/>
      <c r="AG650" s="102"/>
      <c r="AH650" s="102"/>
      <c r="AI650" s="102"/>
      <c r="AJ650" s="102"/>
      <c r="AK650" s="102"/>
      <c r="AL650" s="102"/>
      <c r="AM650" s="102"/>
      <c r="AN650" s="102"/>
      <c r="AO650" s="400"/>
      <c r="AP650" s="90"/>
      <c r="AQ650" s="90"/>
      <c r="AR650" s="90"/>
      <c r="AS650" s="90"/>
      <c r="AT650" s="90"/>
      <c r="AU650" s="90"/>
      <c r="AV650" s="90"/>
      <c r="AW650" s="90"/>
      <c r="AX650" s="90"/>
      <c r="AY650" s="90"/>
      <c r="AZ650" s="90"/>
      <c r="BA650" s="90"/>
      <c r="BB650" s="90"/>
      <c r="BC650" s="90"/>
      <c r="BD650" s="90"/>
      <c r="BE650" s="90"/>
      <c r="BF650" s="90"/>
      <c r="BG650" s="90"/>
      <c r="BH650" s="90"/>
      <c r="BI650" s="90"/>
    </row>
    <row r="651" ht="12.75" customHeight="1">
      <c r="A651" s="90"/>
      <c r="B651" s="90"/>
      <c r="C651" s="400"/>
      <c r="D651" s="90"/>
      <c r="E651" s="102"/>
      <c r="F651" s="90"/>
      <c r="G651" s="90"/>
      <c r="H651" s="102"/>
      <c r="I651" s="102"/>
      <c r="J651" s="102"/>
      <c r="K651" s="102"/>
      <c r="L651" s="102"/>
      <c r="M651" s="102"/>
      <c r="N651" s="102"/>
      <c r="O651" s="102"/>
      <c r="P651" s="102"/>
      <c r="Q651" s="102"/>
      <c r="R651" s="102"/>
      <c r="S651" s="102"/>
      <c r="T651" s="102"/>
      <c r="U651" s="102"/>
      <c r="V651" s="102"/>
      <c r="W651" s="102"/>
      <c r="X651" s="102"/>
      <c r="Y651" s="102"/>
      <c r="Z651" s="102"/>
      <c r="AA651" s="102"/>
      <c r="AB651" s="102"/>
      <c r="AC651" s="102"/>
      <c r="AD651" s="102"/>
      <c r="AE651" s="102"/>
      <c r="AF651" s="102"/>
      <c r="AG651" s="102"/>
      <c r="AH651" s="102"/>
      <c r="AI651" s="102"/>
      <c r="AJ651" s="102"/>
      <c r="AK651" s="102"/>
      <c r="AL651" s="102"/>
      <c r="AM651" s="102"/>
      <c r="AN651" s="102"/>
      <c r="AO651" s="400"/>
      <c r="AP651" s="90"/>
      <c r="AQ651" s="90"/>
      <c r="AR651" s="90"/>
      <c r="AS651" s="90"/>
      <c r="AT651" s="90"/>
      <c r="AU651" s="90"/>
      <c r="AV651" s="90"/>
      <c r="AW651" s="90"/>
      <c r="AX651" s="90"/>
      <c r="AY651" s="90"/>
      <c r="AZ651" s="90"/>
      <c r="BA651" s="90"/>
      <c r="BB651" s="90"/>
      <c r="BC651" s="90"/>
      <c r="BD651" s="90"/>
      <c r="BE651" s="90"/>
      <c r="BF651" s="90"/>
      <c r="BG651" s="90"/>
      <c r="BH651" s="90"/>
      <c r="BI651" s="90"/>
    </row>
    <row r="652" ht="12.75" customHeight="1">
      <c r="A652" s="90"/>
      <c r="B652" s="90"/>
      <c r="C652" s="400"/>
      <c r="D652" s="90"/>
      <c r="E652" s="102"/>
      <c r="F652" s="90"/>
      <c r="G652" s="90"/>
      <c r="H652" s="102"/>
      <c r="I652" s="102"/>
      <c r="J652" s="102"/>
      <c r="K652" s="102"/>
      <c r="L652" s="102"/>
      <c r="M652" s="102"/>
      <c r="N652" s="102"/>
      <c r="O652" s="102"/>
      <c r="P652" s="102"/>
      <c r="Q652" s="102"/>
      <c r="R652" s="102"/>
      <c r="S652" s="102"/>
      <c r="T652" s="102"/>
      <c r="U652" s="102"/>
      <c r="V652" s="102"/>
      <c r="W652" s="102"/>
      <c r="X652" s="102"/>
      <c r="Y652" s="102"/>
      <c r="Z652" s="102"/>
      <c r="AA652" s="102"/>
      <c r="AB652" s="102"/>
      <c r="AC652" s="102"/>
      <c r="AD652" s="102"/>
      <c r="AE652" s="102"/>
      <c r="AF652" s="102"/>
      <c r="AG652" s="102"/>
      <c r="AH652" s="102"/>
      <c r="AI652" s="102"/>
      <c r="AJ652" s="102"/>
      <c r="AK652" s="102"/>
      <c r="AL652" s="102"/>
      <c r="AM652" s="102"/>
      <c r="AN652" s="102"/>
      <c r="AO652" s="400"/>
      <c r="AP652" s="90"/>
      <c r="AQ652" s="90"/>
      <c r="AR652" s="90"/>
      <c r="AS652" s="90"/>
      <c r="AT652" s="90"/>
      <c r="AU652" s="90"/>
      <c r="AV652" s="90"/>
      <c r="AW652" s="90"/>
      <c r="AX652" s="90"/>
      <c r="AY652" s="90"/>
      <c r="AZ652" s="90"/>
      <c r="BA652" s="90"/>
      <c r="BB652" s="90"/>
      <c r="BC652" s="90"/>
      <c r="BD652" s="90"/>
      <c r="BE652" s="90"/>
      <c r="BF652" s="90"/>
      <c r="BG652" s="90"/>
      <c r="BH652" s="90"/>
      <c r="BI652" s="90"/>
    </row>
    <row r="653" ht="12.75" customHeight="1">
      <c r="A653" s="90"/>
      <c r="B653" s="90"/>
      <c r="C653" s="400"/>
      <c r="D653" s="90"/>
      <c r="E653" s="102"/>
      <c r="F653" s="90"/>
      <c r="G653" s="90"/>
      <c r="H653" s="102"/>
      <c r="I653" s="102"/>
      <c r="J653" s="102"/>
      <c r="K653" s="102"/>
      <c r="L653" s="102"/>
      <c r="M653" s="102"/>
      <c r="N653" s="102"/>
      <c r="O653" s="102"/>
      <c r="P653" s="102"/>
      <c r="Q653" s="102"/>
      <c r="R653" s="102"/>
      <c r="S653" s="102"/>
      <c r="T653" s="102"/>
      <c r="U653" s="102"/>
      <c r="V653" s="102"/>
      <c r="W653" s="102"/>
      <c r="X653" s="102"/>
      <c r="Y653" s="102"/>
      <c r="Z653" s="102"/>
      <c r="AA653" s="102"/>
      <c r="AB653" s="102"/>
      <c r="AC653" s="102"/>
      <c r="AD653" s="102"/>
      <c r="AE653" s="102"/>
      <c r="AF653" s="102"/>
      <c r="AG653" s="102"/>
      <c r="AH653" s="102"/>
      <c r="AI653" s="102"/>
      <c r="AJ653" s="102"/>
      <c r="AK653" s="102"/>
      <c r="AL653" s="102"/>
      <c r="AM653" s="102"/>
      <c r="AN653" s="102"/>
      <c r="AO653" s="400"/>
      <c r="AP653" s="90"/>
      <c r="AQ653" s="90"/>
      <c r="AR653" s="90"/>
      <c r="AS653" s="90"/>
      <c r="AT653" s="90"/>
      <c r="AU653" s="90"/>
      <c r="AV653" s="90"/>
      <c r="AW653" s="90"/>
      <c r="AX653" s="90"/>
      <c r="AY653" s="90"/>
      <c r="AZ653" s="90"/>
      <c r="BA653" s="90"/>
      <c r="BB653" s="90"/>
      <c r="BC653" s="90"/>
      <c r="BD653" s="90"/>
      <c r="BE653" s="90"/>
      <c r="BF653" s="90"/>
      <c r="BG653" s="90"/>
      <c r="BH653" s="90"/>
      <c r="BI653" s="90"/>
    </row>
    <row r="654" ht="12.75" customHeight="1">
      <c r="A654" s="90"/>
      <c r="B654" s="90"/>
      <c r="C654" s="400"/>
      <c r="D654" s="90"/>
      <c r="E654" s="102"/>
      <c r="F654" s="90"/>
      <c r="G654" s="90"/>
      <c r="H654" s="102"/>
      <c r="I654" s="102"/>
      <c r="J654" s="102"/>
      <c r="K654" s="102"/>
      <c r="L654" s="102"/>
      <c r="M654" s="102"/>
      <c r="N654" s="102"/>
      <c r="O654" s="102"/>
      <c r="P654" s="102"/>
      <c r="Q654" s="102"/>
      <c r="R654" s="102"/>
      <c r="S654" s="102"/>
      <c r="T654" s="102"/>
      <c r="U654" s="102"/>
      <c r="V654" s="102"/>
      <c r="W654" s="102"/>
      <c r="X654" s="102"/>
      <c r="Y654" s="102"/>
      <c r="Z654" s="102"/>
      <c r="AA654" s="102"/>
      <c r="AB654" s="102"/>
      <c r="AC654" s="102"/>
      <c r="AD654" s="102"/>
      <c r="AE654" s="102"/>
      <c r="AF654" s="102"/>
      <c r="AG654" s="102"/>
      <c r="AH654" s="102"/>
      <c r="AI654" s="102"/>
      <c r="AJ654" s="102"/>
      <c r="AK654" s="102"/>
      <c r="AL654" s="102"/>
      <c r="AM654" s="102"/>
      <c r="AN654" s="102"/>
      <c r="AO654" s="400"/>
      <c r="AP654" s="90"/>
      <c r="AQ654" s="90"/>
      <c r="AR654" s="90"/>
      <c r="AS654" s="90"/>
      <c r="AT654" s="90"/>
      <c r="AU654" s="90"/>
      <c r="AV654" s="90"/>
      <c r="AW654" s="90"/>
      <c r="AX654" s="90"/>
      <c r="AY654" s="90"/>
      <c r="AZ654" s="90"/>
      <c r="BA654" s="90"/>
      <c r="BB654" s="90"/>
      <c r="BC654" s="90"/>
      <c r="BD654" s="90"/>
      <c r="BE654" s="90"/>
      <c r="BF654" s="90"/>
      <c r="BG654" s="90"/>
      <c r="BH654" s="90"/>
      <c r="BI654" s="90"/>
    </row>
    <row r="655" ht="12.75" customHeight="1">
      <c r="A655" s="90"/>
      <c r="B655" s="90"/>
      <c r="C655" s="400"/>
      <c r="D655" s="90"/>
      <c r="E655" s="102"/>
      <c r="F655" s="90"/>
      <c r="G655" s="90"/>
      <c r="H655" s="102"/>
      <c r="I655" s="102"/>
      <c r="J655" s="102"/>
      <c r="K655" s="102"/>
      <c r="L655" s="102"/>
      <c r="M655" s="102"/>
      <c r="N655" s="102"/>
      <c r="O655" s="102"/>
      <c r="P655" s="102"/>
      <c r="Q655" s="102"/>
      <c r="R655" s="102"/>
      <c r="S655" s="102"/>
      <c r="T655" s="102"/>
      <c r="U655" s="102"/>
      <c r="V655" s="102"/>
      <c r="W655" s="102"/>
      <c r="X655" s="102"/>
      <c r="Y655" s="102"/>
      <c r="Z655" s="102"/>
      <c r="AA655" s="102"/>
      <c r="AB655" s="102"/>
      <c r="AC655" s="102"/>
      <c r="AD655" s="102"/>
      <c r="AE655" s="102"/>
      <c r="AF655" s="102"/>
      <c r="AG655" s="102"/>
      <c r="AH655" s="102"/>
      <c r="AI655" s="102"/>
      <c r="AJ655" s="102"/>
      <c r="AK655" s="102"/>
      <c r="AL655" s="102"/>
      <c r="AM655" s="102"/>
      <c r="AN655" s="102"/>
      <c r="AO655" s="400"/>
      <c r="AP655" s="90"/>
      <c r="AQ655" s="90"/>
      <c r="AR655" s="90"/>
      <c r="AS655" s="90"/>
      <c r="AT655" s="90"/>
      <c r="AU655" s="90"/>
      <c r="AV655" s="90"/>
      <c r="AW655" s="90"/>
      <c r="AX655" s="90"/>
      <c r="AY655" s="90"/>
      <c r="AZ655" s="90"/>
      <c r="BA655" s="90"/>
      <c r="BB655" s="90"/>
      <c r="BC655" s="90"/>
      <c r="BD655" s="90"/>
      <c r="BE655" s="90"/>
      <c r="BF655" s="90"/>
      <c r="BG655" s="90"/>
      <c r="BH655" s="90"/>
      <c r="BI655" s="90"/>
    </row>
    <row r="656" ht="12.75" customHeight="1">
      <c r="A656" s="90"/>
      <c r="B656" s="90"/>
      <c r="C656" s="400"/>
      <c r="D656" s="90"/>
      <c r="E656" s="102"/>
      <c r="F656" s="90"/>
      <c r="G656" s="90"/>
      <c r="H656" s="102"/>
      <c r="I656" s="102"/>
      <c r="J656" s="102"/>
      <c r="K656" s="102"/>
      <c r="L656" s="102"/>
      <c r="M656" s="102"/>
      <c r="N656" s="102"/>
      <c r="O656" s="102"/>
      <c r="P656" s="102"/>
      <c r="Q656" s="102"/>
      <c r="R656" s="102"/>
      <c r="S656" s="102"/>
      <c r="T656" s="102"/>
      <c r="U656" s="102"/>
      <c r="V656" s="102"/>
      <c r="W656" s="102"/>
      <c r="X656" s="102"/>
      <c r="Y656" s="102"/>
      <c r="Z656" s="102"/>
      <c r="AA656" s="102"/>
      <c r="AB656" s="102"/>
      <c r="AC656" s="102"/>
      <c r="AD656" s="102"/>
      <c r="AE656" s="102"/>
      <c r="AF656" s="102"/>
      <c r="AG656" s="102"/>
      <c r="AH656" s="102"/>
      <c r="AI656" s="102"/>
      <c r="AJ656" s="102"/>
      <c r="AK656" s="102"/>
      <c r="AL656" s="102"/>
      <c r="AM656" s="102"/>
      <c r="AN656" s="102"/>
      <c r="AO656" s="400"/>
      <c r="AP656" s="90"/>
      <c r="AQ656" s="90"/>
      <c r="AR656" s="90"/>
      <c r="AS656" s="90"/>
      <c r="AT656" s="90"/>
      <c r="AU656" s="90"/>
      <c r="AV656" s="90"/>
      <c r="AW656" s="90"/>
      <c r="AX656" s="90"/>
      <c r="AY656" s="90"/>
      <c r="AZ656" s="90"/>
      <c r="BA656" s="90"/>
      <c r="BB656" s="90"/>
      <c r="BC656" s="90"/>
      <c r="BD656" s="90"/>
      <c r="BE656" s="90"/>
      <c r="BF656" s="90"/>
      <c r="BG656" s="90"/>
      <c r="BH656" s="90"/>
      <c r="BI656" s="90"/>
    </row>
    <row r="657" ht="12.75" customHeight="1">
      <c r="A657" s="90"/>
      <c r="B657" s="90"/>
      <c r="C657" s="400"/>
      <c r="D657" s="90"/>
      <c r="E657" s="102"/>
      <c r="F657" s="90"/>
      <c r="G657" s="90"/>
      <c r="H657" s="102"/>
      <c r="I657" s="102"/>
      <c r="J657" s="102"/>
      <c r="K657" s="102"/>
      <c r="L657" s="102"/>
      <c r="M657" s="102"/>
      <c r="N657" s="102"/>
      <c r="O657" s="102"/>
      <c r="P657" s="102"/>
      <c r="Q657" s="102"/>
      <c r="R657" s="102"/>
      <c r="S657" s="102"/>
      <c r="T657" s="102"/>
      <c r="U657" s="102"/>
      <c r="V657" s="102"/>
      <c r="W657" s="102"/>
      <c r="X657" s="102"/>
      <c r="Y657" s="102"/>
      <c r="Z657" s="102"/>
      <c r="AA657" s="102"/>
      <c r="AB657" s="102"/>
      <c r="AC657" s="102"/>
      <c r="AD657" s="102"/>
      <c r="AE657" s="102"/>
      <c r="AF657" s="102"/>
      <c r="AG657" s="102"/>
      <c r="AH657" s="102"/>
      <c r="AI657" s="102"/>
      <c r="AJ657" s="102"/>
      <c r="AK657" s="102"/>
      <c r="AL657" s="102"/>
      <c r="AM657" s="102"/>
      <c r="AN657" s="102"/>
      <c r="AO657" s="400"/>
      <c r="AP657" s="90"/>
      <c r="AQ657" s="90"/>
      <c r="AR657" s="90"/>
      <c r="AS657" s="90"/>
      <c r="AT657" s="90"/>
      <c r="AU657" s="90"/>
      <c r="AV657" s="90"/>
      <c r="AW657" s="90"/>
      <c r="AX657" s="90"/>
      <c r="AY657" s="90"/>
      <c r="AZ657" s="90"/>
      <c r="BA657" s="90"/>
      <c r="BB657" s="90"/>
      <c r="BC657" s="90"/>
      <c r="BD657" s="90"/>
      <c r="BE657" s="90"/>
      <c r="BF657" s="90"/>
      <c r="BG657" s="90"/>
      <c r="BH657" s="90"/>
      <c r="BI657" s="90"/>
    </row>
    <row r="658" ht="12.75" customHeight="1">
      <c r="A658" s="90"/>
      <c r="B658" s="90"/>
      <c r="C658" s="400"/>
      <c r="D658" s="90"/>
      <c r="E658" s="102"/>
      <c r="F658" s="90"/>
      <c r="G658" s="90"/>
      <c r="H658" s="102"/>
      <c r="I658" s="102"/>
      <c r="J658" s="102"/>
      <c r="K658" s="102"/>
      <c r="L658" s="102"/>
      <c r="M658" s="102"/>
      <c r="N658" s="102"/>
      <c r="O658" s="102"/>
      <c r="P658" s="102"/>
      <c r="Q658" s="102"/>
      <c r="R658" s="102"/>
      <c r="S658" s="102"/>
      <c r="T658" s="102"/>
      <c r="U658" s="102"/>
      <c r="V658" s="102"/>
      <c r="W658" s="102"/>
      <c r="X658" s="102"/>
      <c r="Y658" s="102"/>
      <c r="Z658" s="102"/>
      <c r="AA658" s="102"/>
      <c r="AB658" s="102"/>
      <c r="AC658" s="102"/>
      <c r="AD658" s="102"/>
      <c r="AE658" s="102"/>
      <c r="AF658" s="102"/>
      <c r="AG658" s="102"/>
      <c r="AH658" s="102"/>
      <c r="AI658" s="102"/>
      <c r="AJ658" s="102"/>
      <c r="AK658" s="102"/>
      <c r="AL658" s="102"/>
      <c r="AM658" s="102"/>
      <c r="AN658" s="102"/>
      <c r="AO658" s="400"/>
      <c r="AP658" s="90"/>
      <c r="AQ658" s="90"/>
      <c r="AR658" s="90"/>
      <c r="AS658" s="90"/>
      <c r="AT658" s="90"/>
      <c r="AU658" s="90"/>
      <c r="AV658" s="90"/>
      <c r="AW658" s="90"/>
      <c r="AX658" s="90"/>
      <c r="AY658" s="90"/>
      <c r="AZ658" s="90"/>
      <c r="BA658" s="90"/>
      <c r="BB658" s="90"/>
      <c r="BC658" s="90"/>
      <c r="BD658" s="90"/>
      <c r="BE658" s="90"/>
      <c r="BF658" s="90"/>
      <c r="BG658" s="90"/>
      <c r="BH658" s="90"/>
      <c r="BI658" s="90"/>
    </row>
    <row r="659" ht="12.75" customHeight="1">
      <c r="A659" s="90"/>
      <c r="B659" s="90"/>
      <c r="C659" s="400"/>
      <c r="D659" s="90"/>
      <c r="E659" s="102"/>
      <c r="F659" s="90"/>
      <c r="G659" s="90"/>
      <c r="H659" s="102"/>
      <c r="I659" s="102"/>
      <c r="J659" s="102"/>
      <c r="K659" s="102"/>
      <c r="L659" s="102"/>
      <c r="M659" s="102"/>
      <c r="N659" s="102"/>
      <c r="O659" s="102"/>
      <c r="P659" s="102"/>
      <c r="Q659" s="102"/>
      <c r="R659" s="102"/>
      <c r="S659" s="102"/>
      <c r="T659" s="102"/>
      <c r="U659" s="102"/>
      <c r="V659" s="102"/>
      <c r="W659" s="102"/>
      <c r="X659" s="102"/>
      <c r="Y659" s="102"/>
      <c r="Z659" s="102"/>
      <c r="AA659" s="102"/>
      <c r="AB659" s="102"/>
      <c r="AC659" s="102"/>
      <c r="AD659" s="102"/>
      <c r="AE659" s="102"/>
      <c r="AF659" s="102"/>
      <c r="AG659" s="102"/>
      <c r="AH659" s="102"/>
      <c r="AI659" s="102"/>
      <c r="AJ659" s="102"/>
      <c r="AK659" s="102"/>
      <c r="AL659" s="102"/>
      <c r="AM659" s="102"/>
      <c r="AN659" s="102"/>
      <c r="AO659" s="400"/>
      <c r="AP659" s="90"/>
      <c r="AQ659" s="90"/>
      <c r="AR659" s="90"/>
      <c r="AS659" s="90"/>
      <c r="AT659" s="90"/>
      <c r="AU659" s="90"/>
      <c r="AV659" s="90"/>
      <c r="AW659" s="90"/>
      <c r="AX659" s="90"/>
      <c r="AY659" s="90"/>
      <c r="AZ659" s="90"/>
      <c r="BA659" s="90"/>
      <c r="BB659" s="90"/>
      <c r="BC659" s="90"/>
      <c r="BD659" s="90"/>
      <c r="BE659" s="90"/>
      <c r="BF659" s="90"/>
      <c r="BG659" s="90"/>
      <c r="BH659" s="90"/>
      <c r="BI659" s="90"/>
    </row>
    <row r="660" ht="12.75" customHeight="1">
      <c r="A660" s="90"/>
      <c r="B660" s="90"/>
      <c r="C660" s="400"/>
      <c r="D660" s="90"/>
      <c r="E660" s="102"/>
      <c r="F660" s="90"/>
      <c r="G660" s="90"/>
      <c r="H660" s="102"/>
      <c r="I660" s="102"/>
      <c r="J660" s="102"/>
      <c r="K660" s="102"/>
      <c r="L660" s="102"/>
      <c r="M660" s="102"/>
      <c r="N660" s="102"/>
      <c r="O660" s="102"/>
      <c r="P660" s="102"/>
      <c r="Q660" s="102"/>
      <c r="R660" s="102"/>
      <c r="S660" s="102"/>
      <c r="T660" s="102"/>
      <c r="U660" s="102"/>
      <c r="V660" s="102"/>
      <c r="W660" s="102"/>
      <c r="X660" s="102"/>
      <c r="Y660" s="102"/>
      <c r="Z660" s="102"/>
      <c r="AA660" s="102"/>
      <c r="AB660" s="102"/>
      <c r="AC660" s="102"/>
      <c r="AD660" s="102"/>
      <c r="AE660" s="102"/>
      <c r="AF660" s="102"/>
      <c r="AG660" s="102"/>
      <c r="AH660" s="102"/>
      <c r="AI660" s="102"/>
      <c r="AJ660" s="102"/>
      <c r="AK660" s="102"/>
      <c r="AL660" s="102"/>
      <c r="AM660" s="102"/>
      <c r="AN660" s="102"/>
      <c r="AO660" s="400"/>
      <c r="AP660" s="90"/>
      <c r="AQ660" s="90"/>
      <c r="AR660" s="90"/>
      <c r="AS660" s="90"/>
      <c r="AT660" s="90"/>
      <c r="AU660" s="90"/>
      <c r="AV660" s="90"/>
      <c r="AW660" s="90"/>
      <c r="AX660" s="90"/>
      <c r="AY660" s="90"/>
      <c r="AZ660" s="90"/>
      <c r="BA660" s="90"/>
      <c r="BB660" s="90"/>
      <c r="BC660" s="90"/>
      <c r="BD660" s="90"/>
      <c r="BE660" s="90"/>
      <c r="BF660" s="90"/>
      <c r="BG660" s="90"/>
      <c r="BH660" s="90"/>
      <c r="BI660" s="90"/>
    </row>
    <row r="661" ht="12.75" customHeight="1">
      <c r="A661" s="90"/>
      <c r="B661" s="90"/>
      <c r="C661" s="400"/>
      <c r="D661" s="90"/>
      <c r="E661" s="102"/>
      <c r="F661" s="90"/>
      <c r="G661" s="90"/>
      <c r="H661" s="102"/>
      <c r="I661" s="102"/>
      <c r="J661" s="102"/>
      <c r="K661" s="102"/>
      <c r="L661" s="102"/>
      <c r="M661" s="102"/>
      <c r="N661" s="102"/>
      <c r="O661" s="102"/>
      <c r="P661" s="102"/>
      <c r="Q661" s="102"/>
      <c r="R661" s="102"/>
      <c r="S661" s="102"/>
      <c r="T661" s="102"/>
      <c r="U661" s="102"/>
      <c r="V661" s="102"/>
      <c r="W661" s="102"/>
      <c r="X661" s="102"/>
      <c r="Y661" s="102"/>
      <c r="Z661" s="102"/>
      <c r="AA661" s="102"/>
      <c r="AB661" s="102"/>
      <c r="AC661" s="102"/>
      <c r="AD661" s="102"/>
      <c r="AE661" s="102"/>
      <c r="AF661" s="102"/>
      <c r="AG661" s="102"/>
      <c r="AH661" s="102"/>
      <c r="AI661" s="102"/>
      <c r="AJ661" s="102"/>
      <c r="AK661" s="102"/>
      <c r="AL661" s="102"/>
      <c r="AM661" s="102"/>
      <c r="AN661" s="102"/>
      <c r="AO661" s="400"/>
      <c r="AP661" s="90"/>
      <c r="AQ661" s="90"/>
      <c r="AR661" s="90"/>
      <c r="AS661" s="90"/>
      <c r="AT661" s="90"/>
      <c r="AU661" s="90"/>
      <c r="AV661" s="90"/>
      <c r="AW661" s="90"/>
      <c r="AX661" s="90"/>
      <c r="AY661" s="90"/>
      <c r="AZ661" s="90"/>
      <c r="BA661" s="90"/>
      <c r="BB661" s="90"/>
      <c r="BC661" s="90"/>
      <c r="BD661" s="90"/>
      <c r="BE661" s="90"/>
      <c r="BF661" s="90"/>
      <c r="BG661" s="90"/>
      <c r="BH661" s="90"/>
      <c r="BI661" s="90"/>
    </row>
    <row r="662" ht="12.75" customHeight="1">
      <c r="A662" s="90"/>
      <c r="B662" s="90"/>
      <c r="C662" s="400"/>
      <c r="D662" s="90"/>
      <c r="E662" s="102"/>
      <c r="F662" s="90"/>
      <c r="G662" s="90"/>
      <c r="H662" s="102"/>
      <c r="I662" s="102"/>
      <c r="J662" s="102"/>
      <c r="K662" s="102"/>
      <c r="L662" s="102"/>
      <c r="M662" s="102"/>
      <c r="N662" s="102"/>
      <c r="O662" s="102"/>
      <c r="P662" s="102"/>
      <c r="Q662" s="102"/>
      <c r="R662" s="102"/>
      <c r="S662" s="102"/>
      <c r="T662" s="102"/>
      <c r="U662" s="102"/>
      <c r="V662" s="102"/>
      <c r="W662" s="102"/>
      <c r="X662" s="102"/>
      <c r="Y662" s="102"/>
      <c r="Z662" s="102"/>
      <c r="AA662" s="102"/>
      <c r="AB662" s="102"/>
      <c r="AC662" s="102"/>
      <c r="AD662" s="102"/>
      <c r="AE662" s="102"/>
      <c r="AF662" s="102"/>
      <c r="AG662" s="102"/>
      <c r="AH662" s="102"/>
      <c r="AI662" s="102"/>
      <c r="AJ662" s="102"/>
      <c r="AK662" s="102"/>
      <c r="AL662" s="102"/>
      <c r="AM662" s="102"/>
      <c r="AN662" s="102"/>
      <c r="AO662" s="400"/>
      <c r="AP662" s="90"/>
      <c r="AQ662" s="90"/>
      <c r="AR662" s="90"/>
      <c r="AS662" s="90"/>
      <c r="AT662" s="90"/>
      <c r="AU662" s="90"/>
      <c r="AV662" s="90"/>
      <c r="AW662" s="90"/>
      <c r="AX662" s="90"/>
      <c r="AY662" s="90"/>
      <c r="AZ662" s="90"/>
      <c r="BA662" s="90"/>
      <c r="BB662" s="90"/>
      <c r="BC662" s="90"/>
      <c r="BD662" s="90"/>
      <c r="BE662" s="90"/>
      <c r="BF662" s="90"/>
      <c r="BG662" s="90"/>
      <c r="BH662" s="90"/>
      <c r="BI662" s="90"/>
    </row>
    <row r="663" ht="12.75" customHeight="1">
      <c r="A663" s="90"/>
      <c r="B663" s="90"/>
      <c r="C663" s="400"/>
      <c r="D663" s="90"/>
      <c r="E663" s="102"/>
      <c r="F663" s="90"/>
      <c r="G663" s="90"/>
      <c r="H663" s="102"/>
      <c r="I663" s="102"/>
      <c r="J663" s="102"/>
      <c r="K663" s="102"/>
      <c r="L663" s="102"/>
      <c r="M663" s="102"/>
      <c r="N663" s="102"/>
      <c r="O663" s="102"/>
      <c r="P663" s="102"/>
      <c r="Q663" s="102"/>
      <c r="R663" s="102"/>
      <c r="S663" s="102"/>
      <c r="T663" s="102"/>
      <c r="U663" s="102"/>
      <c r="V663" s="102"/>
      <c r="W663" s="102"/>
      <c r="X663" s="102"/>
      <c r="Y663" s="102"/>
      <c r="Z663" s="102"/>
      <c r="AA663" s="102"/>
      <c r="AB663" s="102"/>
      <c r="AC663" s="102"/>
      <c r="AD663" s="102"/>
      <c r="AE663" s="102"/>
      <c r="AF663" s="102"/>
      <c r="AG663" s="102"/>
      <c r="AH663" s="102"/>
      <c r="AI663" s="102"/>
      <c r="AJ663" s="102"/>
      <c r="AK663" s="102"/>
      <c r="AL663" s="102"/>
      <c r="AM663" s="102"/>
      <c r="AN663" s="102"/>
      <c r="AO663" s="400"/>
      <c r="AP663" s="90"/>
      <c r="AQ663" s="90"/>
      <c r="AR663" s="90"/>
      <c r="AS663" s="90"/>
      <c r="AT663" s="90"/>
      <c r="AU663" s="90"/>
      <c r="AV663" s="90"/>
      <c r="AW663" s="90"/>
      <c r="AX663" s="90"/>
      <c r="AY663" s="90"/>
      <c r="AZ663" s="90"/>
      <c r="BA663" s="90"/>
      <c r="BB663" s="90"/>
      <c r="BC663" s="90"/>
      <c r="BD663" s="90"/>
      <c r="BE663" s="90"/>
      <c r="BF663" s="90"/>
      <c r="BG663" s="90"/>
      <c r="BH663" s="90"/>
      <c r="BI663" s="90"/>
    </row>
    <row r="664" ht="12.75" customHeight="1">
      <c r="A664" s="90"/>
      <c r="B664" s="90"/>
      <c r="C664" s="400"/>
      <c r="D664" s="90"/>
      <c r="E664" s="102"/>
      <c r="F664" s="90"/>
      <c r="G664" s="90"/>
      <c r="H664" s="102"/>
      <c r="I664" s="102"/>
      <c r="J664" s="102"/>
      <c r="K664" s="102"/>
      <c r="L664" s="102"/>
      <c r="M664" s="102"/>
      <c r="N664" s="102"/>
      <c r="O664" s="102"/>
      <c r="P664" s="102"/>
      <c r="Q664" s="102"/>
      <c r="R664" s="102"/>
      <c r="S664" s="102"/>
      <c r="T664" s="102"/>
      <c r="U664" s="102"/>
      <c r="V664" s="102"/>
      <c r="W664" s="102"/>
      <c r="X664" s="102"/>
      <c r="Y664" s="102"/>
      <c r="Z664" s="102"/>
      <c r="AA664" s="102"/>
      <c r="AB664" s="102"/>
      <c r="AC664" s="102"/>
      <c r="AD664" s="102"/>
      <c r="AE664" s="102"/>
      <c r="AF664" s="102"/>
      <c r="AG664" s="102"/>
      <c r="AH664" s="102"/>
      <c r="AI664" s="102"/>
      <c r="AJ664" s="102"/>
      <c r="AK664" s="102"/>
      <c r="AL664" s="102"/>
      <c r="AM664" s="102"/>
      <c r="AN664" s="102"/>
      <c r="AO664" s="400"/>
      <c r="AP664" s="90"/>
      <c r="AQ664" s="90"/>
      <c r="AR664" s="90"/>
      <c r="AS664" s="90"/>
      <c r="AT664" s="90"/>
      <c r="AU664" s="90"/>
      <c r="AV664" s="90"/>
      <c r="AW664" s="90"/>
      <c r="AX664" s="90"/>
      <c r="AY664" s="90"/>
      <c r="AZ664" s="90"/>
      <c r="BA664" s="90"/>
      <c r="BB664" s="90"/>
      <c r="BC664" s="90"/>
      <c r="BD664" s="90"/>
      <c r="BE664" s="90"/>
      <c r="BF664" s="90"/>
      <c r="BG664" s="90"/>
      <c r="BH664" s="90"/>
      <c r="BI664" s="90"/>
    </row>
    <row r="665" ht="12.75" customHeight="1">
      <c r="A665" s="90"/>
      <c r="B665" s="90"/>
      <c r="C665" s="400"/>
      <c r="D665" s="90"/>
      <c r="E665" s="102"/>
      <c r="F665" s="90"/>
      <c r="G665" s="90"/>
      <c r="H665" s="102"/>
      <c r="I665" s="102"/>
      <c r="J665" s="102"/>
      <c r="K665" s="102"/>
      <c r="L665" s="102"/>
      <c r="M665" s="102"/>
      <c r="N665" s="102"/>
      <c r="O665" s="102"/>
      <c r="P665" s="102"/>
      <c r="Q665" s="102"/>
      <c r="R665" s="102"/>
      <c r="S665" s="102"/>
      <c r="T665" s="102"/>
      <c r="U665" s="102"/>
      <c r="V665" s="102"/>
      <c r="W665" s="102"/>
      <c r="X665" s="102"/>
      <c r="Y665" s="102"/>
      <c r="Z665" s="102"/>
      <c r="AA665" s="102"/>
      <c r="AB665" s="102"/>
      <c r="AC665" s="102"/>
      <c r="AD665" s="102"/>
      <c r="AE665" s="102"/>
      <c r="AF665" s="102"/>
      <c r="AG665" s="102"/>
      <c r="AH665" s="102"/>
      <c r="AI665" s="102"/>
      <c r="AJ665" s="102"/>
      <c r="AK665" s="102"/>
      <c r="AL665" s="102"/>
      <c r="AM665" s="102"/>
      <c r="AN665" s="102"/>
      <c r="AO665" s="400"/>
      <c r="AP665" s="90"/>
      <c r="AQ665" s="90"/>
      <c r="AR665" s="90"/>
      <c r="AS665" s="90"/>
      <c r="AT665" s="90"/>
      <c r="AU665" s="90"/>
      <c r="AV665" s="90"/>
      <c r="AW665" s="90"/>
      <c r="AX665" s="90"/>
      <c r="AY665" s="90"/>
      <c r="AZ665" s="90"/>
      <c r="BA665" s="90"/>
      <c r="BB665" s="90"/>
      <c r="BC665" s="90"/>
      <c r="BD665" s="90"/>
      <c r="BE665" s="90"/>
      <c r="BF665" s="90"/>
      <c r="BG665" s="90"/>
      <c r="BH665" s="90"/>
      <c r="BI665" s="90"/>
    </row>
    <row r="666" ht="12.75" customHeight="1">
      <c r="A666" s="90"/>
      <c r="B666" s="90"/>
      <c r="C666" s="400"/>
      <c r="D666" s="90"/>
      <c r="E666" s="102"/>
      <c r="F666" s="90"/>
      <c r="G666" s="90"/>
      <c r="H666" s="102"/>
      <c r="I666" s="102"/>
      <c r="J666" s="102"/>
      <c r="K666" s="102"/>
      <c r="L666" s="102"/>
      <c r="M666" s="102"/>
      <c r="N666" s="102"/>
      <c r="O666" s="102"/>
      <c r="P666" s="102"/>
      <c r="Q666" s="102"/>
      <c r="R666" s="102"/>
      <c r="S666" s="102"/>
      <c r="T666" s="102"/>
      <c r="U666" s="102"/>
      <c r="V666" s="102"/>
      <c r="W666" s="102"/>
      <c r="X666" s="102"/>
      <c r="Y666" s="102"/>
      <c r="Z666" s="102"/>
      <c r="AA666" s="102"/>
      <c r="AB666" s="102"/>
      <c r="AC666" s="102"/>
      <c r="AD666" s="102"/>
      <c r="AE666" s="102"/>
      <c r="AF666" s="102"/>
      <c r="AG666" s="102"/>
      <c r="AH666" s="102"/>
      <c r="AI666" s="102"/>
      <c r="AJ666" s="102"/>
      <c r="AK666" s="102"/>
      <c r="AL666" s="102"/>
      <c r="AM666" s="102"/>
      <c r="AN666" s="102"/>
      <c r="AO666" s="400"/>
      <c r="AP666" s="90"/>
      <c r="AQ666" s="90"/>
      <c r="AR666" s="90"/>
      <c r="AS666" s="90"/>
      <c r="AT666" s="90"/>
      <c r="AU666" s="90"/>
      <c r="AV666" s="90"/>
      <c r="AW666" s="90"/>
      <c r="AX666" s="90"/>
      <c r="AY666" s="90"/>
      <c r="AZ666" s="90"/>
      <c r="BA666" s="90"/>
      <c r="BB666" s="90"/>
      <c r="BC666" s="90"/>
      <c r="BD666" s="90"/>
      <c r="BE666" s="90"/>
      <c r="BF666" s="90"/>
      <c r="BG666" s="90"/>
      <c r="BH666" s="90"/>
      <c r="BI666" s="90"/>
    </row>
    <row r="667" ht="12.75" customHeight="1">
      <c r="A667" s="90"/>
      <c r="B667" s="90"/>
      <c r="C667" s="400"/>
      <c r="D667" s="90"/>
      <c r="E667" s="102"/>
      <c r="F667" s="90"/>
      <c r="G667" s="90"/>
      <c r="H667" s="102"/>
      <c r="I667" s="102"/>
      <c r="J667" s="102"/>
      <c r="K667" s="102"/>
      <c r="L667" s="102"/>
      <c r="M667" s="102"/>
      <c r="N667" s="102"/>
      <c r="O667" s="102"/>
      <c r="P667" s="102"/>
      <c r="Q667" s="102"/>
      <c r="R667" s="102"/>
      <c r="S667" s="102"/>
      <c r="T667" s="102"/>
      <c r="U667" s="102"/>
      <c r="V667" s="102"/>
      <c r="W667" s="102"/>
      <c r="X667" s="102"/>
      <c r="Y667" s="102"/>
      <c r="Z667" s="102"/>
      <c r="AA667" s="102"/>
      <c r="AB667" s="102"/>
      <c r="AC667" s="102"/>
      <c r="AD667" s="102"/>
      <c r="AE667" s="102"/>
      <c r="AF667" s="102"/>
      <c r="AG667" s="102"/>
      <c r="AH667" s="102"/>
      <c r="AI667" s="102"/>
      <c r="AJ667" s="102"/>
      <c r="AK667" s="102"/>
      <c r="AL667" s="102"/>
      <c r="AM667" s="102"/>
      <c r="AN667" s="102"/>
      <c r="AO667" s="400"/>
      <c r="AP667" s="90"/>
      <c r="AQ667" s="90"/>
      <c r="AR667" s="90"/>
      <c r="AS667" s="90"/>
      <c r="AT667" s="90"/>
      <c r="AU667" s="90"/>
      <c r="AV667" s="90"/>
      <c r="AW667" s="90"/>
      <c r="AX667" s="90"/>
      <c r="AY667" s="90"/>
      <c r="AZ667" s="90"/>
      <c r="BA667" s="90"/>
      <c r="BB667" s="90"/>
      <c r="BC667" s="90"/>
      <c r="BD667" s="90"/>
      <c r="BE667" s="90"/>
      <c r="BF667" s="90"/>
      <c r="BG667" s="90"/>
      <c r="BH667" s="90"/>
      <c r="BI667" s="90"/>
    </row>
    <row r="668" ht="12.75" customHeight="1">
      <c r="A668" s="90"/>
      <c r="B668" s="90"/>
      <c r="C668" s="400"/>
      <c r="D668" s="90"/>
      <c r="E668" s="102"/>
      <c r="F668" s="90"/>
      <c r="G668" s="90"/>
      <c r="H668" s="102"/>
      <c r="I668" s="102"/>
      <c r="J668" s="102"/>
      <c r="K668" s="102"/>
      <c r="L668" s="102"/>
      <c r="M668" s="102"/>
      <c r="N668" s="102"/>
      <c r="O668" s="102"/>
      <c r="P668" s="102"/>
      <c r="Q668" s="102"/>
      <c r="R668" s="102"/>
      <c r="S668" s="102"/>
      <c r="T668" s="102"/>
      <c r="U668" s="102"/>
      <c r="V668" s="102"/>
      <c r="W668" s="102"/>
      <c r="X668" s="102"/>
      <c r="Y668" s="102"/>
      <c r="Z668" s="102"/>
      <c r="AA668" s="102"/>
      <c r="AB668" s="102"/>
      <c r="AC668" s="102"/>
      <c r="AD668" s="102"/>
      <c r="AE668" s="102"/>
      <c r="AF668" s="102"/>
      <c r="AG668" s="102"/>
      <c r="AH668" s="102"/>
      <c r="AI668" s="102"/>
      <c r="AJ668" s="102"/>
      <c r="AK668" s="102"/>
      <c r="AL668" s="102"/>
      <c r="AM668" s="102"/>
      <c r="AN668" s="102"/>
      <c r="AO668" s="400"/>
      <c r="AP668" s="90"/>
      <c r="AQ668" s="90"/>
      <c r="AR668" s="90"/>
      <c r="AS668" s="90"/>
      <c r="AT668" s="90"/>
      <c r="AU668" s="90"/>
      <c r="AV668" s="90"/>
      <c r="AW668" s="90"/>
      <c r="AX668" s="90"/>
      <c r="AY668" s="90"/>
      <c r="AZ668" s="90"/>
      <c r="BA668" s="90"/>
      <c r="BB668" s="90"/>
      <c r="BC668" s="90"/>
      <c r="BD668" s="90"/>
      <c r="BE668" s="90"/>
      <c r="BF668" s="90"/>
      <c r="BG668" s="90"/>
      <c r="BH668" s="90"/>
      <c r="BI668" s="90"/>
    </row>
    <row r="669" ht="12.75" customHeight="1">
      <c r="A669" s="90"/>
      <c r="B669" s="90"/>
      <c r="C669" s="400"/>
      <c r="D669" s="90"/>
      <c r="E669" s="102"/>
      <c r="F669" s="90"/>
      <c r="G669" s="90"/>
      <c r="H669" s="102"/>
      <c r="I669" s="102"/>
      <c r="J669" s="102"/>
      <c r="K669" s="102"/>
      <c r="L669" s="102"/>
      <c r="M669" s="102"/>
      <c r="N669" s="102"/>
      <c r="O669" s="102"/>
      <c r="P669" s="102"/>
      <c r="Q669" s="102"/>
      <c r="R669" s="102"/>
      <c r="S669" s="102"/>
      <c r="T669" s="102"/>
      <c r="U669" s="102"/>
      <c r="V669" s="102"/>
      <c r="W669" s="102"/>
      <c r="X669" s="102"/>
      <c r="Y669" s="102"/>
      <c r="Z669" s="102"/>
      <c r="AA669" s="102"/>
      <c r="AB669" s="102"/>
      <c r="AC669" s="102"/>
      <c r="AD669" s="102"/>
      <c r="AE669" s="102"/>
      <c r="AF669" s="102"/>
      <c r="AG669" s="102"/>
      <c r="AH669" s="102"/>
      <c r="AI669" s="102"/>
      <c r="AJ669" s="102"/>
      <c r="AK669" s="102"/>
      <c r="AL669" s="102"/>
      <c r="AM669" s="102"/>
      <c r="AN669" s="102"/>
      <c r="AO669" s="400"/>
      <c r="AP669" s="90"/>
      <c r="AQ669" s="90"/>
      <c r="AR669" s="90"/>
      <c r="AS669" s="90"/>
      <c r="AT669" s="90"/>
      <c r="AU669" s="90"/>
      <c r="AV669" s="90"/>
      <c r="AW669" s="90"/>
      <c r="AX669" s="90"/>
      <c r="AY669" s="90"/>
      <c r="AZ669" s="90"/>
      <c r="BA669" s="90"/>
      <c r="BB669" s="90"/>
      <c r="BC669" s="90"/>
      <c r="BD669" s="90"/>
      <c r="BE669" s="90"/>
      <c r="BF669" s="90"/>
      <c r="BG669" s="90"/>
      <c r="BH669" s="90"/>
      <c r="BI669" s="90"/>
    </row>
    <row r="670" ht="12.75" customHeight="1">
      <c r="A670" s="90"/>
      <c r="B670" s="90"/>
      <c r="C670" s="400"/>
      <c r="D670" s="90"/>
      <c r="E670" s="102"/>
      <c r="F670" s="90"/>
      <c r="G670" s="90"/>
      <c r="H670" s="102"/>
      <c r="I670" s="102"/>
      <c r="J670" s="102"/>
      <c r="K670" s="102"/>
      <c r="L670" s="102"/>
      <c r="M670" s="102"/>
      <c r="N670" s="102"/>
      <c r="O670" s="102"/>
      <c r="P670" s="102"/>
      <c r="Q670" s="102"/>
      <c r="R670" s="102"/>
      <c r="S670" s="102"/>
      <c r="T670" s="102"/>
      <c r="U670" s="102"/>
      <c r="V670" s="102"/>
      <c r="W670" s="102"/>
      <c r="X670" s="102"/>
      <c r="Y670" s="102"/>
      <c r="Z670" s="102"/>
      <c r="AA670" s="102"/>
      <c r="AB670" s="102"/>
      <c r="AC670" s="102"/>
      <c r="AD670" s="102"/>
      <c r="AE670" s="102"/>
      <c r="AF670" s="102"/>
      <c r="AG670" s="102"/>
      <c r="AH670" s="102"/>
      <c r="AI670" s="102"/>
      <c r="AJ670" s="102"/>
      <c r="AK670" s="102"/>
      <c r="AL670" s="102"/>
      <c r="AM670" s="102"/>
      <c r="AN670" s="102"/>
      <c r="AO670" s="400"/>
      <c r="AP670" s="90"/>
      <c r="AQ670" s="90"/>
      <c r="AR670" s="90"/>
      <c r="AS670" s="90"/>
      <c r="AT670" s="90"/>
      <c r="AU670" s="90"/>
      <c r="AV670" s="90"/>
      <c r="AW670" s="90"/>
      <c r="AX670" s="90"/>
      <c r="AY670" s="90"/>
      <c r="AZ670" s="90"/>
      <c r="BA670" s="90"/>
      <c r="BB670" s="90"/>
      <c r="BC670" s="90"/>
      <c r="BD670" s="90"/>
      <c r="BE670" s="90"/>
      <c r="BF670" s="90"/>
      <c r="BG670" s="90"/>
      <c r="BH670" s="90"/>
      <c r="BI670" s="90"/>
    </row>
    <row r="671" ht="12.75" customHeight="1">
      <c r="A671" s="90"/>
      <c r="B671" s="90"/>
      <c r="C671" s="400"/>
      <c r="D671" s="90"/>
      <c r="E671" s="102"/>
      <c r="F671" s="90"/>
      <c r="G671" s="90"/>
      <c r="H671" s="102"/>
      <c r="I671" s="102"/>
      <c r="J671" s="102"/>
      <c r="K671" s="102"/>
      <c r="L671" s="102"/>
      <c r="M671" s="102"/>
      <c r="N671" s="102"/>
      <c r="O671" s="102"/>
      <c r="P671" s="102"/>
      <c r="Q671" s="102"/>
      <c r="R671" s="102"/>
      <c r="S671" s="102"/>
      <c r="T671" s="102"/>
      <c r="U671" s="102"/>
      <c r="V671" s="102"/>
      <c r="W671" s="102"/>
      <c r="X671" s="102"/>
      <c r="Y671" s="102"/>
      <c r="Z671" s="102"/>
      <c r="AA671" s="102"/>
      <c r="AB671" s="102"/>
      <c r="AC671" s="102"/>
      <c r="AD671" s="102"/>
      <c r="AE671" s="102"/>
      <c r="AF671" s="102"/>
      <c r="AG671" s="102"/>
      <c r="AH671" s="102"/>
      <c r="AI671" s="102"/>
      <c r="AJ671" s="102"/>
      <c r="AK671" s="102"/>
      <c r="AL671" s="102"/>
      <c r="AM671" s="102"/>
      <c r="AN671" s="102"/>
      <c r="AO671" s="400"/>
      <c r="AP671" s="90"/>
      <c r="AQ671" s="90"/>
      <c r="AR671" s="90"/>
      <c r="AS671" s="90"/>
      <c r="AT671" s="90"/>
      <c r="AU671" s="90"/>
      <c r="AV671" s="90"/>
      <c r="AW671" s="90"/>
      <c r="AX671" s="90"/>
      <c r="AY671" s="90"/>
      <c r="AZ671" s="90"/>
      <c r="BA671" s="90"/>
      <c r="BB671" s="90"/>
      <c r="BC671" s="90"/>
      <c r="BD671" s="90"/>
      <c r="BE671" s="90"/>
      <c r="BF671" s="90"/>
      <c r="BG671" s="90"/>
      <c r="BH671" s="90"/>
      <c r="BI671" s="90"/>
    </row>
    <row r="672" ht="12.75" customHeight="1">
      <c r="A672" s="90"/>
      <c r="B672" s="90"/>
      <c r="C672" s="400"/>
      <c r="D672" s="90"/>
      <c r="E672" s="102"/>
      <c r="F672" s="90"/>
      <c r="G672" s="90"/>
      <c r="H672" s="102"/>
      <c r="I672" s="102"/>
      <c r="J672" s="102"/>
      <c r="K672" s="102"/>
      <c r="L672" s="102"/>
      <c r="M672" s="102"/>
      <c r="N672" s="102"/>
      <c r="O672" s="102"/>
      <c r="P672" s="102"/>
      <c r="Q672" s="102"/>
      <c r="R672" s="102"/>
      <c r="S672" s="102"/>
      <c r="T672" s="102"/>
      <c r="U672" s="102"/>
      <c r="V672" s="102"/>
      <c r="W672" s="102"/>
      <c r="X672" s="102"/>
      <c r="Y672" s="102"/>
      <c r="Z672" s="102"/>
      <c r="AA672" s="102"/>
      <c r="AB672" s="102"/>
      <c r="AC672" s="102"/>
      <c r="AD672" s="102"/>
      <c r="AE672" s="102"/>
      <c r="AF672" s="102"/>
      <c r="AG672" s="102"/>
      <c r="AH672" s="102"/>
      <c r="AI672" s="102"/>
      <c r="AJ672" s="102"/>
      <c r="AK672" s="102"/>
      <c r="AL672" s="102"/>
      <c r="AM672" s="102"/>
      <c r="AN672" s="102"/>
      <c r="AO672" s="400"/>
      <c r="AP672" s="90"/>
      <c r="AQ672" s="90"/>
      <c r="AR672" s="90"/>
      <c r="AS672" s="90"/>
      <c r="AT672" s="90"/>
      <c r="AU672" s="90"/>
      <c r="AV672" s="90"/>
      <c r="AW672" s="90"/>
      <c r="AX672" s="90"/>
      <c r="AY672" s="90"/>
      <c r="AZ672" s="90"/>
      <c r="BA672" s="90"/>
      <c r="BB672" s="90"/>
      <c r="BC672" s="90"/>
      <c r="BD672" s="90"/>
      <c r="BE672" s="90"/>
      <c r="BF672" s="90"/>
      <c r="BG672" s="90"/>
      <c r="BH672" s="90"/>
      <c r="BI672" s="90"/>
    </row>
    <row r="673" ht="12.75" customHeight="1">
      <c r="A673" s="90"/>
      <c r="B673" s="90"/>
      <c r="C673" s="400"/>
      <c r="D673" s="90"/>
      <c r="E673" s="102"/>
      <c r="F673" s="90"/>
      <c r="G673" s="90"/>
      <c r="H673" s="102"/>
      <c r="I673" s="102"/>
      <c r="J673" s="102"/>
      <c r="K673" s="102"/>
      <c r="L673" s="102"/>
      <c r="M673" s="102"/>
      <c r="N673" s="102"/>
      <c r="O673" s="102"/>
      <c r="P673" s="102"/>
      <c r="Q673" s="102"/>
      <c r="R673" s="102"/>
      <c r="S673" s="102"/>
      <c r="T673" s="102"/>
      <c r="U673" s="102"/>
      <c r="V673" s="102"/>
      <c r="W673" s="102"/>
      <c r="X673" s="102"/>
      <c r="Y673" s="102"/>
      <c r="Z673" s="102"/>
      <c r="AA673" s="102"/>
      <c r="AB673" s="102"/>
      <c r="AC673" s="102"/>
      <c r="AD673" s="102"/>
      <c r="AE673" s="102"/>
      <c r="AF673" s="102"/>
      <c r="AG673" s="102"/>
      <c r="AH673" s="102"/>
      <c r="AI673" s="102"/>
      <c r="AJ673" s="102"/>
      <c r="AK673" s="102"/>
      <c r="AL673" s="102"/>
      <c r="AM673" s="102"/>
      <c r="AN673" s="102"/>
      <c r="AO673" s="400"/>
      <c r="AP673" s="90"/>
      <c r="AQ673" s="90"/>
      <c r="AR673" s="90"/>
      <c r="AS673" s="90"/>
      <c r="AT673" s="90"/>
      <c r="AU673" s="90"/>
      <c r="AV673" s="90"/>
      <c r="AW673" s="90"/>
      <c r="AX673" s="90"/>
      <c r="AY673" s="90"/>
      <c r="AZ673" s="90"/>
      <c r="BA673" s="90"/>
      <c r="BB673" s="90"/>
      <c r="BC673" s="90"/>
      <c r="BD673" s="90"/>
      <c r="BE673" s="90"/>
      <c r="BF673" s="90"/>
      <c r="BG673" s="90"/>
      <c r="BH673" s="90"/>
      <c r="BI673" s="90"/>
    </row>
    <row r="674" ht="12.75" customHeight="1">
      <c r="A674" s="90"/>
      <c r="B674" s="90"/>
      <c r="C674" s="400"/>
      <c r="D674" s="90"/>
      <c r="E674" s="102"/>
      <c r="F674" s="90"/>
      <c r="G674" s="90"/>
      <c r="H674" s="102"/>
      <c r="I674" s="102"/>
      <c r="J674" s="102"/>
      <c r="K674" s="102"/>
      <c r="L674" s="102"/>
      <c r="M674" s="102"/>
      <c r="N674" s="102"/>
      <c r="O674" s="102"/>
      <c r="P674" s="102"/>
      <c r="Q674" s="102"/>
      <c r="R674" s="102"/>
      <c r="S674" s="102"/>
      <c r="T674" s="102"/>
      <c r="U674" s="102"/>
      <c r="V674" s="102"/>
      <c r="W674" s="102"/>
      <c r="X674" s="102"/>
      <c r="Y674" s="102"/>
      <c r="Z674" s="102"/>
      <c r="AA674" s="102"/>
      <c r="AB674" s="102"/>
      <c r="AC674" s="102"/>
      <c r="AD674" s="102"/>
      <c r="AE674" s="102"/>
      <c r="AF674" s="102"/>
      <c r="AG674" s="102"/>
      <c r="AH674" s="102"/>
      <c r="AI674" s="102"/>
      <c r="AJ674" s="102"/>
      <c r="AK674" s="102"/>
      <c r="AL674" s="102"/>
      <c r="AM674" s="102"/>
      <c r="AN674" s="102"/>
      <c r="AO674" s="400"/>
      <c r="AP674" s="90"/>
      <c r="AQ674" s="90"/>
      <c r="AR674" s="90"/>
      <c r="AS674" s="90"/>
      <c r="AT674" s="90"/>
      <c r="AU674" s="90"/>
      <c r="AV674" s="90"/>
      <c r="AW674" s="90"/>
      <c r="AX674" s="90"/>
      <c r="AY674" s="90"/>
      <c r="AZ674" s="90"/>
      <c r="BA674" s="90"/>
      <c r="BB674" s="90"/>
      <c r="BC674" s="90"/>
      <c r="BD674" s="90"/>
      <c r="BE674" s="90"/>
      <c r="BF674" s="90"/>
      <c r="BG674" s="90"/>
      <c r="BH674" s="90"/>
      <c r="BI674" s="90"/>
    </row>
    <row r="675" ht="12.75" customHeight="1">
      <c r="A675" s="90"/>
      <c r="B675" s="90"/>
      <c r="C675" s="400"/>
      <c r="D675" s="90"/>
      <c r="E675" s="102"/>
      <c r="F675" s="90"/>
      <c r="G675" s="90"/>
      <c r="H675" s="102"/>
      <c r="I675" s="102"/>
      <c r="J675" s="102"/>
      <c r="K675" s="102"/>
      <c r="L675" s="102"/>
      <c r="M675" s="102"/>
      <c r="N675" s="102"/>
      <c r="O675" s="102"/>
      <c r="P675" s="102"/>
      <c r="Q675" s="102"/>
      <c r="R675" s="102"/>
      <c r="S675" s="102"/>
      <c r="T675" s="102"/>
      <c r="U675" s="102"/>
      <c r="V675" s="102"/>
      <c r="W675" s="102"/>
      <c r="X675" s="102"/>
      <c r="Y675" s="102"/>
      <c r="Z675" s="102"/>
      <c r="AA675" s="102"/>
      <c r="AB675" s="102"/>
      <c r="AC675" s="102"/>
      <c r="AD675" s="102"/>
      <c r="AE675" s="102"/>
      <c r="AF675" s="102"/>
      <c r="AG675" s="102"/>
      <c r="AH675" s="102"/>
      <c r="AI675" s="102"/>
      <c r="AJ675" s="102"/>
      <c r="AK675" s="102"/>
      <c r="AL675" s="102"/>
      <c r="AM675" s="102"/>
      <c r="AN675" s="102"/>
      <c r="AO675" s="400"/>
      <c r="AP675" s="90"/>
      <c r="AQ675" s="90"/>
      <c r="AR675" s="90"/>
      <c r="AS675" s="90"/>
      <c r="AT675" s="90"/>
      <c r="AU675" s="90"/>
      <c r="AV675" s="90"/>
      <c r="AW675" s="90"/>
      <c r="AX675" s="90"/>
      <c r="AY675" s="90"/>
      <c r="AZ675" s="90"/>
      <c r="BA675" s="90"/>
      <c r="BB675" s="90"/>
      <c r="BC675" s="90"/>
      <c r="BD675" s="90"/>
      <c r="BE675" s="90"/>
      <c r="BF675" s="90"/>
      <c r="BG675" s="90"/>
      <c r="BH675" s="90"/>
      <c r="BI675" s="90"/>
    </row>
    <row r="676" ht="12.75" customHeight="1">
      <c r="A676" s="90"/>
      <c r="B676" s="90"/>
      <c r="C676" s="400"/>
      <c r="D676" s="90"/>
      <c r="E676" s="102"/>
      <c r="F676" s="90"/>
      <c r="G676" s="90"/>
      <c r="H676" s="102"/>
      <c r="I676" s="102"/>
      <c r="J676" s="102"/>
      <c r="K676" s="102"/>
      <c r="L676" s="102"/>
      <c r="M676" s="102"/>
      <c r="N676" s="102"/>
      <c r="O676" s="102"/>
      <c r="P676" s="102"/>
      <c r="Q676" s="102"/>
      <c r="R676" s="102"/>
      <c r="S676" s="102"/>
      <c r="T676" s="102"/>
      <c r="U676" s="102"/>
      <c r="V676" s="102"/>
      <c r="W676" s="102"/>
      <c r="X676" s="102"/>
      <c r="Y676" s="102"/>
      <c r="Z676" s="102"/>
      <c r="AA676" s="102"/>
      <c r="AB676" s="102"/>
      <c r="AC676" s="102"/>
      <c r="AD676" s="102"/>
      <c r="AE676" s="102"/>
      <c r="AF676" s="102"/>
      <c r="AG676" s="102"/>
      <c r="AH676" s="102"/>
      <c r="AI676" s="102"/>
      <c r="AJ676" s="102"/>
      <c r="AK676" s="102"/>
      <c r="AL676" s="102"/>
      <c r="AM676" s="102"/>
      <c r="AN676" s="102"/>
      <c r="AO676" s="400"/>
      <c r="AP676" s="90"/>
      <c r="AQ676" s="90"/>
      <c r="AR676" s="90"/>
      <c r="AS676" s="90"/>
      <c r="AT676" s="90"/>
      <c r="AU676" s="90"/>
      <c r="AV676" s="90"/>
      <c r="AW676" s="90"/>
      <c r="AX676" s="90"/>
      <c r="AY676" s="90"/>
      <c r="AZ676" s="90"/>
      <c r="BA676" s="90"/>
      <c r="BB676" s="90"/>
      <c r="BC676" s="90"/>
      <c r="BD676" s="90"/>
      <c r="BE676" s="90"/>
      <c r="BF676" s="90"/>
      <c r="BG676" s="90"/>
      <c r="BH676" s="90"/>
      <c r="BI676" s="90"/>
    </row>
    <row r="677" ht="12.75" customHeight="1">
      <c r="A677" s="90"/>
      <c r="B677" s="90"/>
      <c r="C677" s="400"/>
      <c r="D677" s="90"/>
      <c r="E677" s="102"/>
      <c r="F677" s="90"/>
      <c r="G677" s="90"/>
      <c r="H677" s="102"/>
      <c r="I677" s="102"/>
      <c r="J677" s="102"/>
      <c r="K677" s="102"/>
      <c r="L677" s="102"/>
      <c r="M677" s="102"/>
      <c r="N677" s="102"/>
      <c r="O677" s="102"/>
      <c r="P677" s="102"/>
      <c r="Q677" s="102"/>
      <c r="R677" s="102"/>
      <c r="S677" s="102"/>
      <c r="T677" s="102"/>
      <c r="U677" s="102"/>
      <c r="V677" s="102"/>
      <c r="W677" s="102"/>
      <c r="X677" s="102"/>
      <c r="Y677" s="102"/>
      <c r="Z677" s="102"/>
      <c r="AA677" s="102"/>
      <c r="AB677" s="102"/>
      <c r="AC677" s="102"/>
      <c r="AD677" s="102"/>
      <c r="AE677" s="102"/>
      <c r="AF677" s="102"/>
      <c r="AG677" s="102"/>
      <c r="AH677" s="102"/>
      <c r="AI677" s="102"/>
      <c r="AJ677" s="102"/>
      <c r="AK677" s="102"/>
      <c r="AL677" s="102"/>
      <c r="AM677" s="102"/>
      <c r="AN677" s="102"/>
      <c r="AO677" s="400"/>
      <c r="AP677" s="90"/>
      <c r="AQ677" s="90"/>
      <c r="AR677" s="90"/>
      <c r="AS677" s="90"/>
      <c r="AT677" s="90"/>
      <c r="AU677" s="90"/>
      <c r="AV677" s="90"/>
      <c r="AW677" s="90"/>
      <c r="AX677" s="90"/>
      <c r="AY677" s="90"/>
      <c r="AZ677" s="90"/>
      <c r="BA677" s="90"/>
      <c r="BB677" s="90"/>
      <c r="BC677" s="90"/>
      <c r="BD677" s="90"/>
      <c r="BE677" s="90"/>
      <c r="BF677" s="90"/>
      <c r="BG677" s="90"/>
      <c r="BH677" s="90"/>
      <c r="BI677" s="90"/>
    </row>
    <row r="678" ht="12.75" customHeight="1">
      <c r="A678" s="90"/>
      <c r="B678" s="90"/>
      <c r="C678" s="400"/>
      <c r="D678" s="90"/>
      <c r="E678" s="102"/>
      <c r="F678" s="90"/>
      <c r="G678" s="90"/>
      <c r="H678" s="102"/>
      <c r="I678" s="102"/>
      <c r="J678" s="102"/>
      <c r="K678" s="102"/>
      <c r="L678" s="102"/>
      <c r="M678" s="102"/>
      <c r="N678" s="102"/>
      <c r="O678" s="102"/>
      <c r="P678" s="102"/>
      <c r="Q678" s="102"/>
      <c r="R678" s="102"/>
      <c r="S678" s="102"/>
      <c r="T678" s="102"/>
      <c r="U678" s="102"/>
      <c r="V678" s="102"/>
      <c r="W678" s="102"/>
      <c r="X678" s="102"/>
      <c r="Y678" s="102"/>
      <c r="Z678" s="102"/>
      <c r="AA678" s="102"/>
      <c r="AB678" s="102"/>
      <c r="AC678" s="102"/>
      <c r="AD678" s="102"/>
      <c r="AE678" s="102"/>
      <c r="AF678" s="102"/>
      <c r="AG678" s="102"/>
      <c r="AH678" s="102"/>
      <c r="AI678" s="102"/>
      <c r="AJ678" s="102"/>
      <c r="AK678" s="102"/>
      <c r="AL678" s="102"/>
      <c r="AM678" s="102"/>
      <c r="AN678" s="102"/>
      <c r="AO678" s="400"/>
      <c r="AP678" s="90"/>
      <c r="AQ678" s="90"/>
      <c r="AR678" s="90"/>
      <c r="AS678" s="90"/>
      <c r="AT678" s="90"/>
      <c r="AU678" s="90"/>
      <c r="AV678" s="90"/>
      <c r="AW678" s="90"/>
      <c r="AX678" s="90"/>
      <c r="AY678" s="90"/>
      <c r="AZ678" s="90"/>
      <c r="BA678" s="90"/>
      <c r="BB678" s="90"/>
      <c r="BC678" s="90"/>
      <c r="BD678" s="90"/>
      <c r="BE678" s="90"/>
      <c r="BF678" s="90"/>
      <c r="BG678" s="90"/>
      <c r="BH678" s="90"/>
      <c r="BI678" s="90"/>
    </row>
    <row r="679" ht="12.75" customHeight="1">
      <c r="A679" s="90"/>
      <c r="B679" s="90"/>
      <c r="C679" s="400"/>
      <c r="D679" s="90"/>
      <c r="E679" s="102"/>
      <c r="F679" s="90"/>
      <c r="G679" s="90"/>
      <c r="H679" s="102"/>
      <c r="I679" s="102"/>
      <c r="J679" s="102"/>
      <c r="K679" s="102"/>
      <c r="L679" s="102"/>
      <c r="M679" s="102"/>
      <c r="N679" s="102"/>
      <c r="O679" s="102"/>
      <c r="P679" s="102"/>
      <c r="Q679" s="102"/>
      <c r="R679" s="102"/>
      <c r="S679" s="102"/>
      <c r="T679" s="102"/>
      <c r="U679" s="102"/>
      <c r="V679" s="102"/>
      <c r="W679" s="102"/>
      <c r="X679" s="102"/>
      <c r="Y679" s="102"/>
      <c r="Z679" s="102"/>
      <c r="AA679" s="102"/>
      <c r="AB679" s="102"/>
      <c r="AC679" s="102"/>
      <c r="AD679" s="102"/>
      <c r="AE679" s="102"/>
      <c r="AF679" s="102"/>
      <c r="AG679" s="102"/>
      <c r="AH679" s="102"/>
      <c r="AI679" s="102"/>
      <c r="AJ679" s="102"/>
      <c r="AK679" s="102"/>
      <c r="AL679" s="102"/>
      <c r="AM679" s="102"/>
      <c r="AN679" s="102"/>
      <c r="AO679" s="400"/>
      <c r="AP679" s="90"/>
      <c r="AQ679" s="90"/>
      <c r="AR679" s="90"/>
      <c r="AS679" s="90"/>
      <c r="AT679" s="90"/>
      <c r="AU679" s="90"/>
      <c r="AV679" s="90"/>
      <c r="AW679" s="90"/>
      <c r="AX679" s="90"/>
      <c r="AY679" s="90"/>
      <c r="AZ679" s="90"/>
      <c r="BA679" s="90"/>
      <c r="BB679" s="90"/>
      <c r="BC679" s="90"/>
      <c r="BD679" s="90"/>
      <c r="BE679" s="90"/>
      <c r="BF679" s="90"/>
      <c r="BG679" s="90"/>
      <c r="BH679" s="90"/>
      <c r="BI679" s="90"/>
    </row>
    <row r="680" ht="12.75" customHeight="1">
      <c r="A680" s="90"/>
      <c r="B680" s="90"/>
      <c r="C680" s="400"/>
      <c r="D680" s="90"/>
      <c r="E680" s="102"/>
      <c r="F680" s="90"/>
      <c r="G680" s="90"/>
      <c r="H680" s="102"/>
      <c r="I680" s="102"/>
      <c r="J680" s="102"/>
      <c r="K680" s="102"/>
      <c r="L680" s="102"/>
      <c r="M680" s="102"/>
      <c r="N680" s="102"/>
      <c r="O680" s="102"/>
      <c r="P680" s="102"/>
      <c r="Q680" s="102"/>
      <c r="R680" s="102"/>
      <c r="S680" s="102"/>
      <c r="T680" s="102"/>
      <c r="U680" s="102"/>
      <c r="V680" s="102"/>
      <c r="W680" s="102"/>
      <c r="X680" s="102"/>
      <c r="Y680" s="102"/>
      <c r="Z680" s="102"/>
      <c r="AA680" s="102"/>
      <c r="AB680" s="102"/>
      <c r="AC680" s="102"/>
      <c r="AD680" s="102"/>
      <c r="AE680" s="102"/>
      <c r="AF680" s="102"/>
      <c r="AG680" s="102"/>
      <c r="AH680" s="102"/>
      <c r="AI680" s="102"/>
      <c r="AJ680" s="102"/>
      <c r="AK680" s="102"/>
      <c r="AL680" s="102"/>
      <c r="AM680" s="102"/>
      <c r="AN680" s="102"/>
      <c r="AO680" s="400"/>
      <c r="AP680" s="90"/>
      <c r="AQ680" s="90"/>
      <c r="AR680" s="90"/>
      <c r="AS680" s="90"/>
      <c r="AT680" s="90"/>
      <c r="AU680" s="90"/>
      <c r="AV680" s="90"/>
      <c r="AW680" s="90"/>
      <c r="AX680" s="90"/>
      <c r="AY680" s="90"/>
      <c r="AZ680" s="90"/>
      <c r="BA680" s="90"/>
      <c r="BB680" s="90"/>
      <c r="BC680" s="90"/>
      <c r="BD680" s="90"/>
      <c r="BE680" s="90"/>
      <c r="BF680" s="90"/>
      <c r="BG680" s="90"/>
      <c r="BH680" s="90"/>
      <c r="BI680" s="90"/>
    </row>
    <row r="681" ht="12.75" customHeight="1">
      <c r="A681" s="90"/>
      <c r="B681" s="90"/>
      <c r="C681" s="400"/>
      <c r="D681" s="90"/>
      <c r="E681" s="102"/>
      <c r="F681" s="90"/>
      <c r="G681" s="90"/>
      <c r="H681" s="102"/>
      <c r="I681" s="102"/>
      <c r="J681" s="102"/>
      <c r="K681" s="102"/>
      <c r="L681" s="102"/>
      <c r="M681" s="102"/>
      <c r="N681" s="102"/>
      <c r="O681" s="102"/>
      <c r="P681" s="102"/>
      <c r="Q681" s="102"/>
      <c r="R681" s="102"/>
      <c r="S681" s="102"/>
      <c r="T681" s="102"/>
      <c r="U681" s="102"/>
      <c r="V681" s="102"/>
      <c r="W681" s="102"/>
      <c r="X681" s="102"/>
      <c r="Y681" s="102"/>
      <c r="Z681" s="102"/>
      <c r="AA681" s="102"/>
      <c r="AB681" s="102"/>
      <c r="AC681" s="102"/>
      <c r="AD681" s="102"/>
      <c r="AE681" s="102"/>
      <c r="AF681" s="102"/>
      <c r="AG681" s="102"/>
      <c r="AH681" s="102"/>
      <c r="AI681" s="102"/>
      <c r="AJ681" s="102"/>
      <c r="AK681" s="102"/>
      <c r="AL681" s="102"/>
      <c r="AM681" s="102"/>
      <c r="AN681" s="102"/>
      <c r="AO681" s="400"/>
      <c r="AP681" s="90"/>
      <c r="AQ681" s="90"/>
      <c r="AR681" s="90"/>
      <c r="AS681" s="90"/>
      <c r="AT681" s="90"/>
      <c r="AU681" s="90"/>
      <c r="AV681" s="90"/>
      <c r="AW681" s="90"/>
      <c r="AX681" s="90"/>
      <c r="AY681" s="90"/>
      <c r="AZ681" s="90"/>
      <c r="BA681" s="90"/>
      <c r="BB681" s="90"/>
      <c r="BC681" s="90"/>
      <c r="BD681" s="90"/>
      <c r="BE681" s="90"/>
      <c r="BF681" s="90"/>
      <c r="BG681" s="90"/>
      <c r="BH681" s="90"/>
      <c r="BI681" s="90"/>
    </row>
    <row r="682" ht="12.75" customHeight="1">
      <c r="A682" s="90"/>
      <c r="B682" s="90"/>
      <c r="C682" s="400"/>
      <c r="D682" s="90"/>
      <c r="E682" s="102"/>
      <c r="F682" s="90"/>
      <c r="G682" s="90"/>
      <c r="H682" s="102"/>
      <c r="I682" s="102"/>
      <c r="J682" s="102"/>
      <c r="K682" s="102"/>
      <c r="L682" s="102"/>
      <c r="M682" s="102"/>
      <c r="N682" s="102"/>
      <c r="O682" s="102"/>
      <c r="P682" s="102"/>
      <c r="Q682" s="102"/>
      <c r="R682" s="102"/>
      <c r="S682" s="102"/>
      <c r="T682" s="102"/>
      <c r="U682" s="102"/>
      <c r="V682" s="102"/>
      <c r="W682" s="102"/>
      <c r="X682" s="102"/>
      <c r="Y682" s="102"/>
      <c r="Z682" s="102"/>
      <c r="AA682" s="102"/>
      <c r="AB682" s="102"/>
      <c r="AC682" s="102"/>
      <c r="AD682" s="102"/>
      <c r="AE682" s="102"/>
      <c r="AF682" s="102"/>
      <c r="AG682" s="102"/>
      <c r="AH682" s="102"/>
      <c r="AI682" s="102"/>
      <c r="AJ682" s="102"/>
      <c r="AK682" s="102"/>
      <c r="AL682" s="102"/>
      <c r="AM682" s="102"/>
      <c r="AN682" s="102"/>
      <c r="AO682" s="400"/>
      <c r="AP682" s="90"/>
      <c r="AQ682" s="90"/>
      <c r="AR682" s="90"/>
      <c r="AS682" s="90"/>
      <c r="AT682" s="90"/>
      <c r="AU682" s="90"/>
      <c r="AV682" s="90"/>
      <c r="AW682" s="90"/>
      <c r="AX682" s="90"/>
      <c r="AY682" s="90"/>
      <c r="AZ682" s="90"/>
      <c r="BA682" s="90"/>
      <c r="BB682" s="90"/>
      <c r="BC682" s="90"/>
      <c r="BD682" s="90"/>
      <c r="BE682" s="90"/>
      <c r="BF682" s="90"/>
      <c r="BG682" s="90"/>
      <c r="BH682" s="90"/>
      <c r="BI682" s="90"/>
    </row>
    <row r="683" ht="12.75" customHeight="1">
      <c r="A683" s="90"/>
      <c r="B683" s="90"/>
      <c r="C683" s="400"/>
      <c r="D683" s="90"/>
      <c r="E683" s="102"/>
      <c r="F683" s="90"/>
      <c r="G683" s="90"/>
      <c r="H683" s="102"/>
      <c r="I683" s="102"/>
      <c r="J683" s="102"/>
      <c r="K683" s="102"/>
      <c r="L683" s="102"/>
      <c r="M683" s="102"/>
      <c r="N683" s="102"/>
      <c r="O683" s="102"/>
      <c r="P683" s="102"/>
      <c r="Q683" s="102"/>
      <c r="R683" s="102"/>
      <c r="S683" s="102"/>
      <c r="T683" s="102"/>
      <c r="U683" s="102"/>
      <c r="V683" s="102"/>
      <c r="W683" s="102"/>
      <c r="X683" s="102"/>
      <c r="Y683" s="102"/>
      <c r="Z683" s="102"/>
      <c r="AA683" s="102"/>
      <c r="AB683" s="102"/>
      <c r="AC683" s="102"/>
      <c r="AD683" s="102"/>
      <c r="AE683" s="102"/>
      <c r="AF683" s="102"/>
      <c r="AG683" s="102"/>
      <c r="AH683" s="102"/>
      <c r="AI683" s="102"/>
      <c r="AJ683" s="102"/>
      <c r="AK683" s="102"/>
      <c r="AL683" s="102"/>
      <c r="AM683" s="102"/>
      <c r="AN683" s="102"/>
      <c r="AO683" s="400"/>
      <c r="AP683" s="90"/>
      <c r="AQ683" s="90"/>
      <c r="AR683" s="90"/>
      <c r="AS683" s="90"/>
      <c r="AT683" s="90"/>
      <c r="AU683" s="90"/>
      <c r="AV683" s="90"/>
      <c r="AW683" s="90"/>
      <c r="AX683" s="90"/>
      <c r="AY683" s="90"/>
      <c r="AZ683" s="90"/>
      <c r="BA683" s="90"/>
      <c r="BB683" s="90"/>
      <c r="BC683" s="90"/>
      <c r="BD683" s="90"/>
      <c r="BE683" s="90"/>
      <c r="BF683" s="90"/>
      <c r="BG683" s="90"/>
      <c r="BH683" s="90"/>
      <c r="BI683" s="90"/>
    </row>
    <row r="684" ht="12.75" customHeight="1">
      <c r="A684" s="90"/>
      <c r="B684" s="90"/>
      <c r="C684" s="400"/>
      <c r="D684" s="90"/>
      <c r="E684" s="102"/>
      <c r="F684" s="90"/>
      <c r="G684" s="90"/>
      <c r="H684" s="102"/>
      <c r="I684" s="102"/>
      <c r="J684" s="102"/>
      <c r="K684" s="102"/>
      <c r="L684" s="102"/>
      <c r="M684" s="102"/>
      <c r="N684" s="102"/>
      <c r="O684" s="102"/>
      <c r="P684" s="102"/>
      <c r="Q684" s="102"/>
      <c r="R684" s="102"/>
      <c r="S684" s="102"/>
      <c r="T684" s="102"/>
      <c r="U684" s="102"/>
      <c r="V684" s="102"/>
      <c r="W684" s="102"/>
      <c r="X684" s="102"/>
      <c r="Y684" s="102"/>
      <c r="Z684" s="102"/>
      <c r="AA684" s="102"/>
      <c r="AB684" s="102"/>
      <c r="AC684" s="102"/>
      <c r="AD684" s="102"/>
      <c r="AE684" s="102"/>
      <c r="AF684" s="102"/>
      <c r="AG684" s="102"/>
      <c r="AH684" s="102"/>
      <c r="AI684" s="102"/>
      <c r="AJ684" s="102"/>
      <c r="AK684" s="102"/>
      <c r="AL684" s="102"/>
      <c r="AM684" s="102"/>
      <c r="AN684" s="102"/>
      <c r="AO684" s="400"/>
      <c r="AP684" s="90"/>
      <c r="AQ684" s="90"/>
      <c r="AR684" s="90"/>
      <c r="AS684" s="90"/>
      <c r="AT684" s="90"/>
      <c r="AU684" s="90"/>
      <c r="AV684" s="90"/>
      <c r="AW684" s="90"/>
      <c r="AX684" s="90"/>
      <c r="AY684" s="90"/>
      <c r="AZ684" s="90"/>
      <c r="BA684" s="90"/>
      <c r="BB684" s="90"/>
      <c r="BC684" s="90"/>
      <c r="BD684" s="90"/>
      <c r="BE684" s="90"/>
      <c r="BF684" s="90"/>
      <c r="BG684" s="90"/>
      <c r="BH684" s="90"/>
      <c r="BI684" s="90"/>
    </row>
    <row r="685" ht="12.75" customHeight="1">
      <c r="A685" s="90"/>
      <c r="B685" s="90"/>
      <c r="C685" s="400"/>
      <c r="D685" s="90"/>
      <c r="E685" s="102"/>
      <c r="F685" s="90"/>
      <c r="G685" s="90"/>
      <c r="H685" s="102"/>
      <c r="I685" s="102"/>
      <c r="J685" s="102"/>
      <c r="K685" s="102"/>
      <c r="L685" s="102"/>
      <c r="M685" s="102"/>
      <c r="N685" s="102"/>
      <c r="O685" s="102"/>
      <c r="P685" s="102"/>
      <c r="Q685" s="102"/>
      <c r="R685" s="102"/>
      <c r="S685" s="102"/>
      <c r="T685" s="102"/>
      <c r="U685" s="102"/>
      <c r="V685" s="102"/>
      <c r="W685" s="102"/>
      <c r="X685" s="102"/>
      <c r="Y685" s="102"/>
      <c r="Z685" s="102"/>
      <c r="AA685" s="102"/>
      <c r="AB685" s="102"/>
      <c r="AC685" s="102"/>
      <c r="AD685" s="102"/>
      <c r="AE685" s="102"/>
      <c r="AF685" s="102"/>
      <c r="AG685" s="102"/>
      <c r="AH685" s="102"/>
      <c r="AI685" s="102"/>
      <c r="AJ685" s="102"/>
      <c r="AK685" s="102"/>
      <c r="AL685" s="102"/>
      <c r="AM685" s="102"/>
      <c r="AN685" s="102"/>
      <c r="AO685" s="400"/>
      <c r="AP685" s="90"/>
      <c r="AQ685" s="90"/>
      <c r="AR685" s="90"/>
      <c r="AS685" s="90"/>
      <c r="AT685" s="90"/>
      <c r="AU685" s="90"/>
      <c r="AV685" s="90"/>
      <c r="AW685" s="90"/>
      <c r="AX685" s="90"/>
      <c r="AY685" s="90"/>
      <c r="AZ685" s="90"/>
      <c r="BA685" s="90"/>
      <c r="BB685" s="90"/>
      <c r="BC685" s="90"/>
      <c r="BD685" s="90"/>
      <c r="BE685" s="90"/>
      <c r="BF685" s="90"/>
      <c r="BG685" s="90"/>
      <c r="BH685" s="90"/>
      <c r="BI685" s="90"/>
    </row>
    <row r="686" ht="12.75" customHeight="1">
      <c r="A686" s="90"/>
      <c r="B686" s="90"/>
      <c r="C686" s="400"/>
      <c r="D686" s="90"/>
      <c r="E686" s="102"/>
      <c r="F686" s="90"/>
      <c r="G686" s="90"/>
      <c r="H686" s="102"/>
      <c r="I686" s="102"/>
      <c r="J686" s="102"/>
      <c r="K686" s="102"/>
      <c r="L686" s="102"/>
      <c r="M686" s="102"/>
      <c r="N686" s="102"/>
      <c r="O686" s="102"/>
      <c r="P686" s="102"/>
      <c r="Q686" s="102"/>
      <c r="R686" s="102"/>
      <c r="S686" s="102"/>
      <c r="T686" s="102"/>
      <c r="U686" s="102"/>
      <c r="V686" s="102"/>
      <c r="W686" s="102"/>
      <c r="X686" s="102"/>
      <c r="Y686" s="102"/>
      <c r="Z686" s="102"/>
      <c r="AA686" s="102"/>
      <c r="AB686" s="102"/>
      <c r="AC686" s="102"/>
      <c r="AD686" s="102"/>
      <c r="AE686" s="102"/>
      <c r="AF686" s="102"/>
      <c r="AG686" s="102"/>
      <c r="AH686" s="102"/>
      <c r="AI686" s="102"/>
      <c r="AJ686" s="102"/>
      <c r="AK686" s="102"/>
      <c r="AL686" s="102"/>
      <c r="AM686" s="102"/>
      <c r="AN686" s="102"/>
      <c r="AO686" s="400"/>
      <c r="AP686" s="90"/>
      <c r="AQ686" s="90"/>
      <c r="AR686" s="90"/>
      <c r="AS686" s="90"/>
      <c r="AT686" s="90"/>
      <c r="AU686" s="90"/>
      <c r="AV686" s="90"/>
      <c r="AW686" s="90"/>
      <c r="AX686" s="90"/>
      <c r="AY686" s="90"/>
      <c r="AZ686" s="90"/>
      <c r="BA686" s="90"/>
      <c r="BB686" s="90"/>
      <c r="BC686" s="90"/>
      <c r="BD686" s="90"/>
      <c r="BE686" s="90"/>
      <c r="BF686" s="90"/>
      <c r="BG686" s="90"/>
      <c r="BH686" s="90"/>
      <c r="BI686" s="90"/>
    </row>
    <row r="687" ht="12.75" customHeight="1">
      <c r="A687" s="90"/>
      <c r="B687" s="90"/>
      <c r="C687" s="400"/>
      <c r="D687" s="90"/>
      <c r="E687" s="102"/>
      <c r="F687" s="90"/>
      <c r="G687" s="90"/>
      <c r="H687" s="102"/>
      <c r="I687" s="102"/>
      <c r="J687" s="102"/>
      <c r="K687" s="102"/>
      <c r="L687" s="102"/>
      <c r="M687" s="102"/>
      <c r="N687" s="102"/>
      <c r="O687" s="102"/>
      <c r="P687" s="102"/>
      <c r="Q687" s="102"/>
      <c r="R687" s="102"/>
      <c r="S687" s="102"/>
      <c r="T687" s="102"/>
      <c r="U687" s="102"/>
      <c r="V687" s="102"/>
      <c r="W687" s="102"/>
      <c r="X687" s="102"/>
      <c r="Y687" s="102"/>
      <c r="Z687" s="102"/>
      <c r="AA687" s="102"/>
      <c r="AB687" s="102"/>
      <c r="AC687" s="102"/>
      <c r="AD687" s="102"/>
      <c r="AE687" s="102"/>
      <c r="AF687" s="102"/>
      <c r="AG687" s="102"/>
      <c r="AH687" s="102"/>
      <c r="AI687" s="102"/>
      <c r="AJ687" s="102"/>
      <c r="AK687" s="102"/>
      <c r="AL687" s="102"/>
      <c r="AM687" s="102"/>
      <c r="AN687" s="102"/>
      <c r="AO687" s="400"/>
      <c r="AP687" s="90"/>
      <c r="AQ687" s="90"/>
      <c r="AR687" s="90"/>
      <c r="AS687" s="90"/>
      <c r="AT687" s="90"/>
      <c r="AU687" s="90"/>
      <c r="AV687" s="90"/>
      <c r="AW687" s="90"/>
      <c r="AX687" s="90"/>
      <c r="AY687" s="90"/>
      <c r="AZ687" s="90"/>
      <c r="BA687" s="90"/>
      <c r="BB687" s="90"/>
      <c r="BC687" s="90"/>
      <c r="BD687" s="90"/>
      <c r="BE687" s="90"/>
      <c r="BF687" s="90"/>
      <c r="BG687" s="90"/>
      <c r="BH687" s="90"/>
      <c r="BI687" s="90"/>
    </row>
    <row r="688" ht="12.75" customHeight="1">
      <c r="A688" s="90"/>
      <c r="B688" s="90"/>
      <c r="C688" s="400"/>
      <c r="D688" s="90"/>
      <c r="E688" s="102"/>
      <c r="F688" s="90"/>
      <c r="G688" s="90"/>
      <c r="H688" s="102"/>
      <c r="I688" s="102"/>
      <c r="J688" s="102"/>
      <c r="K688" s="102"/>
      <c r="L688" s="102"/>
      <c r="M688" s="102"/>
      <c r="N688" s="102"/>
      <c r="O688" s="102"/>
      <c r="P688" s="102"/>
      <c r="Q688" s="102"/>
      <c r="R688" s="102"/>
      <c r="S688" s="102"/>
      <c r="T688" s="102"/>
      <c r="U688" s="102"/>
      <c r="V688" s="102"/>
      <c r="W688" s="102"/>
      <c r="X688" s="102"/>
      <c r="Y688" s="102"/>
      <c r="Z688" s="102"/>
      <c r="AA688" s="102"/>
      <c r="AB688" s="102"/>
      <c r="AC688" s="102"/>
      <c r="AD688" s="102"/>
      <c r="AE688" s="102"/>
      <c r="AF688" s="102"/>
      <c r="AG688" s="102"/>
      <c r="AH688" s="102"/>
      <c r="AI688" s="102"/>
      <c r="AJ688" s="102"/>
      <c r="AK688" s="102"/>
      <c r="AL688" s="102"/>
      <c r="AM688" s="102"/>
      <c r="AN688" s="102"/>
      <c r="AO688" s="400"/>
      <c r="AP688" s="90"/>
      <c r="AQ688" s="90"/>
      <c r="AR688" s="90"/>
      <c r="AS688" s="90"/>
      <c r="AT688" s="90"/>
      <c r="AU688" s="90"/>
      <c r="AV688" s="90"/>
      <c r="AW688" s="90"/>
      <c r="AX688" s="90"/>
      <c r="AY688" s="90"/>
      <c r="AZ688" s="90"/>
      <c r="BA688" s="90"/>
      <c r="BB688" s="90"/>
      <c r="BC688" s="90"/>
      <c r="BD688" s="90"/>
      <c r="BE688" s="90"/>
      <c r="BF688" s="90"/>
      <c r="BG688" s="90"/>
      <c r="BH688" s="90"/>
      <c r="BI688" s="90"/>
    </row>
    <row r="689" ht="12.75" customHeight="1">
      <c r="A689" s="90"/>
      <c r="B689" s="90"/>
      <c r="C689" s="400"/>
      <c r="D689" s="90"/>
      <c r="E689" s="102"/>
      <c r="F689" s="90"/>
      <c r="G689" s="90"/>
      <c r="H689" s="102"/>
      <c r="I689" s="102"/>
      <c r="J689" s="102"/>
      <c r="K689" s="102"/>
      <c r="L689" s="102"/>
      <c r="M689" s="102"/>
      <c r="N689" s="102"/>
      <c r="O689" s="102"/>
      <c r="P689" s="102"/>
      <c r="Q689" s="102"/>
      <c r="R689" s="102"/>
      <c r="S689" s="102"/>
      <c r="T689" s="102"/>
      <c r="U689" s="102"/>
      <c r="V689" s="102"/>
      <c r="W689" s="102"/>
      <c r="X689" s="102"/>
      <c r="Y689" s="102"/>
      <c r="Z689" s="102"/>
      <c r="AA689" s="102"/>
      <c r="AB689" s="102"/>
      <c r="AC689" s="102"/>
      <c r="AD689" s="102"/>
      <c r="AE689" s="102"/>
      <c r="AF689" s="102"/>
      <c r="AG689" s="102"/>
      <c r="AH689" s="102"/>
      <c r="AI689" s="102"/>
      <c r="AJ689" s="102"/>
      <c r="AK689" s="102"/>
      <c r="AL689" s="102"/>
      <c r="AM689" s="102"/>
      <c r="AN689" s="102"/>
      <c r="AO689" s="400"/>
      <c r="AP689" s="90"/>
      <c r="AQ689" s="90"/>
      <c r="AR689" s="90"/>
      <c r="AS689" s="90"/>
      <c r="AT689" s="90"/>
      <c r="AU689" s="90"/>
      <c r="AV689" s="90"/>
      <c r="AW689" s="90"/>
      <c r="AX689" s="90"/>
      <c r="AY689" s="90"/>
      <c r="AZ689" s="90"/>
      <c r="BA689" s="90"/>
      <c r="BB689" s="90"/>
      <c r="BC689" s="90"/>
      <c r="BD689" s="90"/>
      <c r="BE689" s="90"/>
      <c r="BF689" s="90"/>
      <c r="BG689" s="90"/>
      <c r="BH689" s="90"/>
      <c r="BI689" s="90"/>
    </row>
    <row r="690" ht="12.75" customHeight="1">
      <c r="A690" s="90"/>
      <c r="B690" s="90"/>
      <c r="C690" s="400"/>
      <c r="D690" s="90"/>
      <c r="E690" s="102"/>
      <c r="F690" s="90"/>
      <c r="G690" s="90"/>
      <c r="H690" s="102"/>
      <c r="I690" s="102"/>
      <c r="J690" s="102"/>
      <c r="K690" s="102"/>
      <c r="L690" s="102"/>
      <c r="M690" s="102"/>
      <c r="N690" s="102"/>
      <c r="O690" s="102"/>
      <c r="P690" s="102"/>
      <c r="Q690" s="102"/>
      <c r="R690" s="102"/>
      <c r="S690" s="102"/>
      <c r="T690" s="102"/>
      <c r="U690" s="102"/>
      <c r="V690" s="102"/>
      <c r="W690" s="102"/>
      <c r="X690" s="102"/>
      <c r="Y690" s="102"/>
      <c r="Z690" s="102"/>
      <c r="AA690" s="102"/>
      <c r="AB690" s="102"/>
      <c r="AC690" s="102"/>
      <c r="AD690" s="102"/>
      <c r="AE690" s="102"/>
      <c r="AF690" s="102"/>
      <c r="AG690" s="102"/>
      <c r="AH690" s="102"/>
      <c r="AI690" s="102"/>
      <c r="AJ690" s="102"/>
      <c r="AK690" s="102"/>
      <c r="AL690" s="102"/>
      <c r="AM690" s="102"/>
      <c r="AN690" s="102"/>
      <c r="AO690" s="400"/>
      <c r="AP690" s="90"/>
      <c r="AQ690" s="90"/>
      <c r="AR690" s="90"/>
      <c r="AS690" s="90"/>
      <c r="AT690" s="90"/>
      <c r="AU690" s="90"/>
      <c r="AV690" s="90"/>
      <c r="AW690" s="90"/>
      <c r="AX690" s="90"/>
      <c r="AY690" s="90"/>
      <c r="AZ690" s="90"/>
      <c r="BA690" s="90"/>
      <c r="BB690" s="90"/>
      <c r="BC690" s="90"/>
      <c r="BD690" s="90"/>
      <c r="BE690" s="90"/>
      <c r="BF690" s="90"/>
      <c r="BG690" s="90"/>
      <c r="BH690" s="90"/>
      <c r="BI690" s="90"/>
    </row>
    <row r="691" ht="12.75" customHeight="1">
      <c r="A691" s="90"/>
      <c r="B691" s="90"/>
      <c r="C691" s="400"/>
      <c r="D691" s="90"/>
      <c r="E691" s="102"/>
      <c r="F691" s="90"/>
      <c r="G691" s="90"/>
      <c r="H691" s="102"/>
      <c r="I691" s="102"/>
      <c r="J691" s="102"/>
      <c r="K691" s="102"/>
      <c r="L691" s="102"/>
      <c r="M691" s="102"/>
      <c r="N691" s="102"/>
      <c r="O691" s="102"/>
      <c r="P691" s="102"/>
      <c r="Q691" s="102"/>
      <c r="R691" s="102"/>
      <c r="S691" s="102"/>
      <c r="T691" s="102"/>
      <c r="U691" s="102"/>
      <c r="V691" s="102"/>
      <c r="W691" s="102"/>
      <c r="X691" s="102"/>
      <c r="Y691" s="102"/>
      <c r="Z691" s="102"/>
      <c r="AA691" s="102"/>
      <c r="AB691" s="102"/>
      <c r="AC691" s="102"/>
      <c r="AD691" s="102"/>
      <c r="AE691" s="102"/>
      <c r="AF691" s="102"/>
      <c r="AG691" s="102"/>
      <c r="AH691" s="102"/>
      <c r="AI691" s="102"/>
      <c r="AJ691" s="102"/>
      <c r="AK691" s="102"/>
      <c r="AL691" s="102"/>
      <c r="AM691" s="102"/>
      <c r="AN691" s="102"/>
      <c r="AO691" s="400"/>
      <c r="AP691" s="90"/>
      <c r="AQ691" s="90"/>
      <c r="AR691" s="90"/>
      <c r="AS691" s="90"/>
      <c r="AT691" s="90"/>
      <c r="AU691" s="90"/>
      <c r="AV691" s="90"/>
      <c r="AW691" s="90"/>
      <c r="AX691" s="90"/>
      <c r="AY691" s="90"/>
      <c r="AZ691" s="90"/>
      <c r="BA691" s="90"/>
      <c r="BB691" s="90"/>
      <c r="BC691" s="90"/>
      <c r="BD691" s="90"/>
      <c r="BE691" s="90"/>
      <c r="BF691" s="90"/>
      <c r="BG691" s="90"/>
      <c r="BH691" s="90"/>
      <c r="BI691" s="90"/>
    </row>
    <row r="692" ht="12.75" customHeight="1">
      <c r="A692" s="90"/>
      <c r="B692" s="90"/>
      <c r="C692" s="400"/>
      <c r="D692" s="90"/>
      <c r="E692" s="102"/>
      <c r="F692" s="90"/>
      <c r="G692" s="90"/>
      <c r="H692" s="102"/>
      <c r="I692" s="102"/>
      <c r="J692" s="102"/>
      <c r="K692" s="102"/>
      <c r="L692" s="102"/>
      <c r="M692" s="102"/>
      <c r="N692" s="102"/>
      <c r="O692" s="102"/>
      <c r="P692" s="102"/>
      <c r="Q692" s="102"/>
      <c r="R692" s="102"/>
      <c r="S692" s="102"/>
      <c r="T692" s="102"/>
      <c r="U692" s="102"/>
      <c r="V692" s="102"/>
      <c r="W692" s="102"/>
      <c r="X692" s="102"/>
      <c r="Y692" s="102"/>
      <c r="Z692" s="102"/>
      <c r="AA692" s="102"/>
      <c r="AB692" s="102"/>
      <c r="AC692" s="102"/>
      <c r="AD692" s="102"/>
      <c r="AE692" s="102"/>
      <c r="AF692" s="102"/>
      <c r="AG692" s="102"/>
      <c r="AH692" s="102"/>
      <c r="AI692" s="102"/>
      <c r="AJ692" s="102"/>
      <c r="AK692" s="102"/>
      <c r="AL692" s="102"/>
      <c r="AM692" s="102"/>
      <c r="AN692" s="102"/>
      <c r="AO692" s="400"/>
      <c r="AP692" s="90"/>
      <c r="AQ692" s="90"/>
      <c r="AR692" s="90"/>
      <c r="AS692" s="90"/>
      <c r="AT692" s="90"/>
      <c r="AU692" s="90"/>
      <c r="AV692" s="90"/>
      <c r="AW692" s="90"/>
      <c r="AX692" s="90"/>
      <c r="AY692" s="90"/>
      <c r="AZ692" s="90"/>
      <c r="BA692" s="90"/>
      <c r="BB692" s="90"/>
      <c r="BC692" s="90"/>
      <c r="BD692" s="90"/>
      <c r="BE692" s="90"/>
      <c r="BF692" s="90"/>
      <c r="BG692" s="90"/>
      <c r="BH692" s="90"/>
      <c r="BI692" s="90"/>
    </row>
    <row r="693" ht="12.75" customHeight="1">
      <c r="A693" s="90"/>
      <c r="B693" s="90"/>
      <c r="C693" s="400"/>
      <c r="D693" s="90"/>
      <c r="E693" s="102"/>
      <c r="F693" s="90"/>
      <c r="G693" s="90"/>
      <c r="H693" s="102"/>
      <c r="I693" s="102"/>
      <c r="J693" s="102"/>
      <c r="K693" s="102"/>
      <c r="L693" s="102"/>
      <c r="M693" s="102"/>
      <c r="N693" s="102"/>
      <c r="O693" s="102"/>
      <c r="P693" s="102"/>
      <c r="Q693" s="102"/>
      <c r="R693" s="102"/>
      <c r="S693" s="102"/>
      <c r="T693" s="102"/>
      <c r="U693" s="102"/>
      <c r="V693" s="102"/>
      <c r="W693" s="102"/>
      <c r="X693" s="102"/>
      <c r="Y693" s="102"/>
      <c r="Z693" s="102"/>
      <c r="AA693" s="102"/>
      <c r="AB693" s="102"/>
      <c r="AC693" s="102"/>
      <c r="AD693" s="102"/>
      <c r="AE693" s="102"/>
      <c r="AF693" s="102"/>
      <c r="AG693" s="102"/>
      <c r="AH693" s="102"/>
      <c r="AI693" s="102"/>
      <c r="AJ693" s="102"/>
      <c r="AK693" s="102"/>
      <c r="AL693" s="102"/>
      <c r="AM693" s="102"/>
      <c r="AN693" s="102"/>
      <c r="AO693" s="400"/>
      <c r="AP693" s="90"/>
      <c r="AQ693" s="90"/>
      <c r="AR693" s="90"/>
      <c r="AS693" s="90"/>
      <c r="AT693" s="90"/>
      <c r="AU693" s="90"/>
      <c r="AV693" s="90"/>
      <c r="AW693" s="90"/>
      <c r="AX693" s="90"/>
      <c r="AY693" s="90"/>
      <c r="AZ693" s="90"/>
      <c r="BA693" s="90"/>
      <c r="BB693" s="90"/>
      <c r="BC693" s="90"/>
      <c r="BD693" s="90"/>
      <c r="BE693" s="90"/>
      <c r="BF693" s="90"/>
      <c r="BG693" s="90"/>
      <c r="BH693" s="90"/>
      <c r="BI693" s="90"/>
    </row>
    <row r="694" ht="12.75" customHeight="1">
      <c r="A694" s="90"/>
      <c r="B694" s="90"/>
      <c r="C694" s="400"/>
      <c r="D694" s="90"/>
      <c r="E694" s="102"/>
      <c r="F694" s="90"/>
      <c r="G694" s="90"/>
      <c r="H694" s="102"/>
      <c r="I694" s="102"/>
      <c r="J694" s="102"/>
      <c r="K694" s="102"/>
      <c r="L694" s="102"/>
      <c r="M694" s="102"/>
      <c r="N694" s="102"/>
      <c r="O694" s="102"/>
      <c r="P694" s="102"/>
      <c r="Q694" s="102"/>
      <c r="R694" s="102"/>
      <c r="S694" s="102"/>
      <c r="T694" s="102"/>
      <c r="U694" s="102"/>
      <c r="V694" s="102"/>
      <c r="W694" s="102"/>
      <c r="X694" s="102"/>
      <c r="Y694" s="102"/>
      <c r="Z694" s="102"/>
      <c r="AA694" s="102"/>
      <c r="AB694" s="102"/>
      <c r="AC694" s="102"/>
      <c r="AD694" s="102"/>
      <c r="AE694" s="102"/>
      <c r="AF694" s="102"/>
      <c r="AG694" s="102"/>
      <c r="AH694" s="102"/>
      <c r="AI694" s="102"/>
      <c r="AJ694" s="102"/>
      <c r="AK694" s="102"/>
      <c r="AL694" s="102"/>
      <c r="AM694" s="102"/>
      <c r="AN694" s="102"/>
      <c r="AO694" s="400"/>
      <c r="AP694" s="90"/>
      <c r="AQ694" s="90"/>
      <c r="AR694" s="90"/>
      <c r="AS694" s="90"/>
      <c r="AT694" s="90"/>
      <c r="AU694" s="90"/>
      <c r="AV694" s="90"/>
      <c r="AW694" s="90"/>
      <c r="AX694" s="90"/>
      <c r="AY694" s="90"/>
      <c r="AZ694" s="90"/>
      <c r="BA694" s="90"/>
      <c r="BB694" s="90"/>
      <c r="BC694" s="90"/>
      <c r="BD694" s="90"/>
      <c r="BE694" s="90"/>
      <c r="BF694" s="90"/>
      <c r="BG694" s="90"/>
      <c r="BH694" s="90"/>
      <c r="BI694" s="90"/>
    </row>
    <row r="695" ht="12.75" customHeight="1">
      <c r="A695" s="90"/>
      <c r="B695" s="90"/>
      <c r="C695" s="400"/>
      <c r="D695" s="90"/>
      <c r="E695" s="102"/>
      <c r="F695" s="90"/>
      <c r="G695" s="90"/>
      <c r="H695" s="102"/>
      <c r="I695" s="102"/>
      <c r="J695" s="102"/>
      <c r="K695" s="102"/>
      <c r="L695" s="102"/>
      <c r="M695" s="102"/>
      <c r="N695" s="102"/>
      <c r="O695" s="102"/>
      <c r="P695" s="102"/>
      <c r="Q695" s="102"/>
      <c r="R695" s="102"/>
      <c r="S695" s="102"/>
      <c r="T695" s="102"/>
      <c r="U695" s="102"/>
      <c r="V695" s="102"/>
      <c r="W695" s="102"/>
      <c r="X695" s="102"/>
      <c r="Y695" s="102"/>
      <c r="Z695" s="102"/>
      <c r="AA695" s="102"/>
      <c r="AB695" s="102"/>
      <c r="AC695" s="102"/>
      <c r="AD695" s="102"/>
      <c r="AE695" s="102"/>
      <c r="AF695" s="102"/>
      <c r="AG695" s="102"/>
      <c r="AH695" s="102"/>
      <c r="AI695" s="102"/>
      <c r="AJ695" s="102"/>
      <c r="AK695" s="102"/>
      <c r="AL695" s="102"/>
      <c r="AM695" s="102"/>
      <c r="AN695" s="102"/>
      <c r="AO695" s="400"/>
      <c r="AP695" s="90"/>
      <c r="AQ695" s="90"/>
      <c r="AR695" s="90"/>
      <c r="AS695" s="90"/>
      <c r="AT695" s="90"/>
      <c r="AU695" s="90"/>
      <c r="AV695" s="90"/>
      <c r="AW695" s="90"/>
      <c r="AX695" s="90"/>
      <c r="AY695" s="90"/>
      <c r="AZ695" s="90"/>
      <c r="BA695" s="90"/>
      <c r="BB695" s="90"/>
      <c r="BC695" s="90"/>
      <c r="BD695" s="90"/>
      <c r="BE695" s="90"/>
      <c r="BF695" s="90"/>
      <c r="BG695" s="90"/>
      <c r="BH695" s="90"/>
      <c r="BI695" s="90"/>
    </row>
    <row r="696" ht="12.75" customHeight="1">
      <c r="A696" s="90"/>
      <c r="B696" s="90"/>
      <c r="C696" s="400"/>
      <c r="D696" s="90"/>
      <c r="E696" s="102"/>
      <c r="F696" s="90"/>
      <c r="G696" s="90"/>
      <c r="H696" s="102"/>
      <c r="I696" s="102"/>
      <c r="J696" s="102"/>
      <c r="K696" s="102"/>
      <c r="L696" s="102"/>
      <c r="M696" s="102"/>
      <c r="N696" s="102"/>
      <c r="O696" s="102"/>
      <c r="P696" s="102"/>
      <c r="Q696" s="102"/>
      <c r="R696" s="102"/>
      <c r="S696" s="102"/>
      <c r="T696" s="102"/>
      <c r="U696" s="102"/>
      <c r="V696" s="102"/>
      <c r="W696" s="102"/>
      <c r="X696" s="102"/>
      <c r="Y696" s="102"/>
      <c r="Z696" s="102"/>
      <c r="AA696" s="102"/>
      <c r="AB696" s="102"/>
      <c r="AC696" s="102"/>
      <c r="AD696" s="102"/>
      <c r="AE696" s="102"/>
      <c r="AF696" s="102"/>
      <c r="AG696" s="102"/>
      <c r="AH696" s="102"/>
      <c r="AI696" s="102"/>
      <c r="AJ696" s="102"/>
      <c r="AK696" s="102"/>
      <c r="AL696" s="102"/>
      <c r="AM696" s="102"/>
      <c r="AN696" s="102"/>
      <c r="AO696" s="400"/>
      <c r="AP696" s="90"/>
      <c r="AQ696" s="90"/>
      <c r="AR696" s="90"/>
      <c r="AS696" s="90"/>
      <c r="AT696" s="90"/>
      <c r="AU696" s="90"/>
      <c r="AV696" s="90"/>
      <c r="AW696" s="90"/>
      <c r="AX696" s="90"/>
      <c r="AY696" s="90"/>
      <c r="AZ696" s="90"/>
      <c r="BA696" s="90"/>
      <c r="BB696" s="90"/>
      <c r="BC696" s="90"/>
      <c r="BD696" s="90"/>
      <c r="BE696" s="90"/>
      <c r="BF696" s="90"/>
      <c r="BG696" s="90"/>
      <c r="BH696" s="90"/>
      <c r="BI696" s="90"/>
    </row>
    <row r="697" ht="12.75" customHeight="1">
      <c r="A697" s="90"/>
      <c r="B697" s="90"/>
      <c r="C697" s="400"/>
      <c r="D697" s="90"/>
      <c r="E697" s="102"/>
      <c r="F697" s="90"/>
      <c r="G697" s="90"/>
      <c r="H697" s="102"/>
      <c r="I697" s="102"/>
      <c r="J697" s="102"/>
      <c r="K697" s="102"/>
      <c r="L697" s="102"/>
      <c r="M697" s="102"/>
      <c r="N697" s="102"/>
      <c r="O697" s="102"/>
      <c r="P697" s="102"/>
      <c r="Q697" s="102"/>
      <c r="R697" s="102"/>
      <c r="S697" s="102"/>
      <c r="T697" s="102"/>
      <c r="U697" s="102"/>
      <c r="V697" s="102"/>
      <c r="W697" s="102"/>
      <c r="X697" s="102"/>
      <c r="Y697" s="102"/>
      <c r="Z697" s="102"/>
      <c r="AA697" s="102"/>
      <c r="AB697" s="102"/>
      <c r="AC697" s="102"/>
      <c r="AD697" s="102"/>
      <c r="AE697" s="102"/>
      <c r="AF697" s="102"/>
      <c r="AG697" s="102"/>
      <c r="AH697" s="102"/>
      <c r="AI697" s="102"/>
      <c r="AJ697" s="102"/>
      <c r="AK697" s="102"/>
      <c r="AL697" s="102"/>
      <c r="AM697" s="102"/>
      <c r="AN697" s="102"/>
      <c r="AO697" s="400"/>
      <c r="AP697" s="90"/>
      <c r="AQ697" s="90"/>
      <c r="AR697" s="90"/>
      <c r="AS697" s="90"/>
      <c r="AT697" s="90"/>
      <c r="AU697" s="90"/>
      <c r="AV697" s="90"/>
      <c r="AW697" s="90"/>
      <c r="AX697" s="90"/>
      <c r="AY697" s="90"/>
      <c r="AZ697" s="90"/>
      <c r="BA697" s="90"/>
      <c r="BB697" s="90"/>
      <c r="BC697" s="90"/>
      <c r="BD697" s="90"/>
      <c r="BE697" s="90"/>
      <c r="BF697" s="90"/>
      <c r="BG697" s="90"/>
      <c r="BH697" s="90"/>
      <c r="BI697" s="90"/>
    </row>
    <row r="698" ht="12.75" customHeight="1">
      <c r="A698" s="90"/>
      <c r="B698" s="90"/>
      <c r="C698" s="400"/>
      <c r="D698" s="90"/>
      <c r="E698" s="102"/>
      <c r="F698" s="90"/>
      <c r="G698" s="90"/>
      <c r="H698" s="102"/>
      <c r="I698" s="102"/>
      <c r="J698" s="102"/>
      <c r="K698" s="102"/>
      <c r="L698" s="102"/>
      <c r="M698" s="102"/>
      <c r="N698" s="102"/>
      <c r="O698" s="102"/>
      <c r="P698" s="102"/>
      <c r="Q698" s="102"/>
      <c r="R698" s="102"/>
      <c r="S698" s="102"/>
      <c r="T698" s="102"/>
      <c r="U698" s="102"/>
      <c r="V698" s="102"/>
      <c r="W698" s="102"/>
      <c r="X698" s="102"/>
      <c r="Y698" s="102"/>
      <c r="Z698" s="102"/>
      <c r="AA698" s="102"/>
      <c r="AB698" s="102"/>
      <c r="AC698" s="102"/>
      <c r="AD698" s="102"/>
      <c r="AE698" s="102"/>
      <c r="AF698" s="102"/>
      <c r="AG698" s="102"/>
      <c r="AH698" s="102"/>
      <c r="AI698" s="102"/>
      <c r="AJ698" s="102"/>
      <c r="AK698" s="102"/>
      <c r="AL698" s="102"/>
      <c r="AM698" s="102"/>
      <c r="AN698" s="102"/>
      <c r="AO698" s="400"/>
      <c r="AP698" s="90"/>
      <c r="AQ698" s="90"/>
      <c r="AR698" s="90"/>
      <c r="AS698" s="90"/>
      <c r="AT698" s="90"/>
      <c r="AU698" s="90"/>
      <c r="AV698" s="90"/>
      <c r="AW698" s="90"/>
      <c r="AX698" s="90"/>
      <c r="AY698" s="90"/>
      <c r="AZ698" s="90"/>
      <c r="BA698" s="90"/>
      <c r="BB698" s="90"/>
      <c r="BC698" s="90"/>
      <c r="BD698" s="90"/>
      <c r="BE698" s="90"/>
      <c r="BF698" s="90"/>
      <c r="BG698" s="90"/>
      <c r="BH698" s="90"/>
      <c r="BI698" s="90"/>
    </row>
    <row r="699" ht="12.75" customHeight="1">
      <c r="A699" s="90"/>
      <c r="B699" s="90"/>
      <c r="C699" s="400"/>
      <c r="D699" s="90"/>
      <c r="E699" s="102"/>
      <c r="F699" s="90"/>
      <c r="G699" s="90"/>
      <c r="H699" s="102"/>
      <c r="I699" s="102"/>
      <c r="J699" s="102"/>
      <c r="K699" s="102"/>
      <c r="L699" s="102"/>
      <c r="M699" s="102"/>
      <c r="N699" s="102"/>
      <c r="O699" s="102"/>
      <c r="P699" s="102"/>
      <c r="Q699" s="102"/>
      <c r="R699" s="102"/>
      <c r="S699" s="102"/>
      <c r="T699" s="102"/>
      <c r="U699" s="102"/>
      <c r="V699" s="102"/>
      <c r="W699" s="102"/>
      <c r="X699" s="102"/>
      <c r="Y699" s="102"/>
      <c r="Z699" s="102"/>
      <c r="AA699" s="102"/>
      <c r="AB699" s="102"/>
      <c r="AC699" s="102"/>
      <c r="AD699" s="102"/>
      <c r="AE699" s="102"/>
      <c r="AF699" s="102"/>
      <c r="AG699" s="102"/>
      <c r="AH699" s="102"/>
      <c r="AI699" s="102"/>
      <c r="AJ699" s="102"/>
      <c r="AK699" s="102"/>
      <c r="AL699" s="102"/>
      <c r="AM699" s="102"/>
      <c r="AN699" s="102"/>
      <c r="AO699" s="400"/>
      <c r="AP699" s="90"/>
      <c r="AQ699" s="90"/>
      <c r="AR699" s="90"/>
      <c r="AS699" s="90"/>
      <c r="AT699" s="90"/>
      <c r="AU699" s="90"/>
      <c r="AV699" s="90"/>
      <c r="AW699" s="90"/>
      <c r="AX699" s="90"/>
      <c r="AY699" s="90"/>
      <c r="AZ699" s="90"/>
      <c r="BA699" s="90"/>
      <c r="BB699" s="90"/>
      <c r="BC699" s="90"/>
      <c r="BD699" s="90"/>
      <c r="BE699" s="90"/>
      <c r="BF699" s="90"/>
      <c r="BG699" s="90"/>
      <c r="BH699" s="90"/>
      <c r="BI699" s="90"/>
    </row>
    <row r="700" ht="12.75" customHeight="1">
      <c r="A700" s="90"/>
      <c r="B700" s="90"/>
      <c r="C700" s="400"/>
      <c r="D700" s="90"/>
      <c r="E700" s="102"/>
      <c r="F700" s="90"/>
      <c r="G700" s="90"/>
      <c r="H700" s="102"/>
      <c r="I700" s="102"/>
      <c r="J700" s="102"/>
      <c r="K700" s="102"/>
      <c r="L700" s="102"/>
      <c r="M700" s="102"/>
      <c r="N700" s="102"/>
      <c r="O700" s="102"/>
      <c r="P700" s="102"/>
      <c r="Q700" s="102"/>
      <c r="R700" s="102"/>
      <c r="S700" s="102"/>
      <c r="T700" s="102"/>
      <c r="U700" s="102"/>
      <c r="V700" s="102"/>
      <c r="W700" s="102"/>
      <c r="X700" s="102"/>
      <c r="Y700" s="102"/>
      <c r="Z700" s="102"/>
      <c r="AA700" s="102"/>
      <c r="AB700" s="102"/>
      <c r="AC700" s="102"/>
      <c r="AD700" s="102"/>
      <c r="AE700" s="102"/>
      <c r="AF700" s="102"/>
      <c r="AG700" s="102"/>
      <c r="AH700" s="102"/>
      <c r="AI700" s="102"/>
      <c r="AJ700" s="102"/>
      <c r="AK700" s="102"/>
      <c r="AL700" s="102"/>
      <c r="AM700" s="102"/>
      <c r="AN700" s="102"/>
      <c r="AO700" s="400"/>
      <c r="AP700" s="90"/>
      <c r="AQ700" s="90"/>
      <c r="AR700" s="90"/>
      <c r="AS700" s="90"/>
      <c r="AT700" s="90"/>
      <c r="AU700" s="90"/>
      <c r="AV700" s="90"/>
      <c r="AW700" s="90"/>
      <c r="AX700" s="90"/>
      <c r="AY700" s="90"/>
      <c r="AZ700" s="90"/>
      <c r="BA700" s="90"/>
      <c r="BB700" s="90"/>
      <c r="BC700" s="90"/>
      <c r="BD700" s="90"/>
      <c r="BE700" s="90"/>
      <c r="BF700" s="90"/>
      <c r="BG700" s="90"/>
      <c r="BH700" s="90"/>
      <c r="BI700" s="90"/>
    </row>
    <row r="701" ht="12.75" customHeight="1">
      <c r="A701" s="90"/>
      <c r="B701" s="90"/>
      <c r="C701" s="400"/>
      <c r="D701" s="90"/>
      <c r="E701" s="102"/>
      <c r="F701" s="90"/>
      <c r="G701" s="90"/>
      <c r="H701" s="102"/>
      <c r="I701" s="102"/>
      <c r="J701" s="102"/>
      <c r="K701" s="102"/>
      <c r="L701" s="102"/>
      <c r="M701" s="102"/>
      <c r="N701" s="102"/>
      <c r="O701" s="102"/>
      <c r="P701" s="102"/>
      <c r="Q701" s="102"/>
      <c r="R701" s="102"/>
      <c r="S701" s="102"/>
      <c r="T701" s="102"/>
      <c r="U701" s="102"/>
      <c r="V701" s="102"/>
      <c r="W701" s="102"/>
      <c r="X701" s="102"/>
      <c r="Y701" s="102"/>
      <c r="Z701" s="102"/>
      <c r="AA701" s="102"/>
      <c r="AB701" s="102"/>
      <c r="AC701" s="102"/>
      <c r="AD701" s="102"/>
      <c r="AE701" s="102"/>
      <c r="AF701" s="102"/>
      <c r="AG701" s="102"/>
      <c r="AH701" s="102"/>
      <c r="AI701" s="102"/>
      <c r="AJ701" s="102"/>
      <c r="AK701" s="102"/>
      <c r="AL701" s="102"/>
      <c r="AM701" s="102"/>
      <c r="AN701" s="102"/>
      <c r="AO701" s="400"/>
      <c r="AP701" s="90"/>
      <c r="AQ701" s="90"/>
      <c r="AR701" s="90"/>
      <c r="AS701" s="90"/>
      <c r="AT701" s="90"/>
      <c r="AU701" s="90"/>
      <c r="AV701" s="90"/>
      <c r="AW701" s="90"/>
      <c r="AX701" s="90"/>
      <c r="AY701" s="90"/>
      <c r="AZ701" s="90"/>
      <c r="BA701" s="90"/>
      <c r="BB701" s="90"/>
      <c r="BC701" s="90"/>
      <c r="BD701" s="90"/>
      <c r="BE701" s="90"/>
      <c r="BF701" s="90"/>
      <c r="BG701" s="90"/>
      <c r="BH701" s="90"/>
      <c r="BI701" s="90"/>
    </row>
    <row r="702" ht="12.75" customHeight="1">
      <c r="A702" s="90"/>
      <c r="B702" s="90"/>
      <c r="C702" s="400"/>
      <c r="D702" s="90"/>
      <c r="E702" s="102"/>
      <c r="F702" s="90"/>
      <c r="G702" s="90"/>
      <c r="H702" s="102"/>
      <c r="I702" s="102"/>
      <c r="J702" s="102"/>
      <c r="K702" s="102"/>
      <c r="L702" s="102"/>
      <c r="M702" s="102"/>
      <c r="N702" s="102"/>
      <c r="O702" s="102"/>
      <c r="P702" s="102"/>
      <c r="Q702" s="102"/>
      <c r="R702" s="102"/>
      <c r="S702" s="102"/>
      <c r="T702" s="102"/>
      <c r="U702" s="102"/>
      <c r="V702" s="102"/>
      <c r="W702" s="102"/>
      <c r="X702" s="102"/>
      <c r="Y702" s="102"/>
      <c r="Z702" s="102"/>
      <c r="AA702" s="102"/>
      <c r="AB702" s="102"/>
      <c r="AC702" s="102"/>
      <c r="AD702" s="102"/>
      <c r="AE702" s="102"/>
      <c r="AF702" s="102"/>
      <c r="AG702" s="102"/>
      <c r="AH702" s="102"/>
      <c r="AI702" s="102"/>
      <c r="AJ702" s="102"/>
      <c r="AK702" s="102"/>
      <c r="AL702" s="102"/>
      <c r="AM702" s="102"/>
      <c r="AN702" s="102"/>
      <c r="AO702" s="400"/>
      <c r="AP702" s="90"/>
      <c r="AQ702" s="90"/>
      <c r="AR702" s="90"/>
      <c r="AS702" s="90"/>
      <c r="AT702" s="90"/>
      <c r="AU702" s="90"/>
      <c r="AV702" s="90"/>
      <c r="AW702" s="90"/>
      <c r="AX702" s="90"/>
      <c r="AY702" s="90"/>
      <c r="AZ702" s="90"/>
      <c r="BA702" s="90"/>
      <c r="BB702" s="90"/>
      <c r="BC702" s="90"/>
      <c r="BD702" s="90"/>
      <c r="BE702" s="90"/>
      <c r="BF702" s="90"/>
      <c r="BG702" s="90"/>
      <c r="BH702" s="90"/>
      <c r="BI702" s="90"/>
    </row>
    <row r="703" ht="12.75" customHeight="1">
      <c r="A703" s="90"/>
      <c r="B703" s="90"/>
      <c r="C703" s="400"/>
      <c r="D703" s="90"/>
      <c r="E703" s="102"/>
      <c r="F703" s="90"/>
      <c r="G703" s="90"/>
      <c r="H703" s="102"/>
      <c r="I703" s="102"/>
      <c r="J703" s="102"/>
      <c r="K703" s="102"/>
      <c r="L703" s="102"/>
      <c r="M703" s="102"/>
      <c r="N703" s="102"/>
      <c r="O703" s="102"/>
      <c r="P703" s="102"/>
      <c r="Q703" s="102"/>
      <c r="R703" s="102"/>
      <c r="S703" s="102"/>
      <c r="T703" s="102"/>
      <c r="U703" s="102"/>
      <c r="V703" s="102"/>
      <c r="W703" s="102"/>
      <c r="X703" s="102"/>
      <c r="Y703" s="102"/>
      <c r="Z703" s="102"/>
      <c r="AA703" s="102"/>
      <c r="AB703" s="102"/>
      <c r="AC703" s="102"/>
      <c r="AD703" s="102"/>
      <c r="AE703" s="102"/>
      <c r="AF703" s="102"/>
      <c r="AG703" s="102"/>
      <c r="AH703" s="102"/>
      <c r="AI703" s="102"/>
      <c r="AJ703" s="102"/>
      <c r="AK703" s="102"/>
      <c r="AL703" s="102"/>
      <c r="AM703" s="102"/>
      <c r="AN703" s="102"/>
      <c r="AO703" s="400"/>
      <c r="AP703" s="90"/>
      <c r="AQ703" s="90"/>
      <c r="AR703" s="90"/>
      <c r="AS703" s="90"/>
      <c r="AT703" s="90"/>
      <c r="AU703" s="90"/>
      <c r="AV703" s="90"/>
      <c r="AW703" s="90"/>
      <c r="AX703" s="90"/>
      <c r="AY703" s="90"/>
      <c r="AZ703" s="90"/>
      <c r="BA703" s="90"/>
      <c r="BB703" s="90"/>
      <c r="BC703" s="90"/>
      <c r="BD703" s="90"/>
      <c r="BE703" s="90"/>
      <c r="BF703" s="90"/>
      <c r="BG703" s="90"/>
      <c r="BH703" s="90"/>
      <c r="BI703" s="90"/>
    </row>
    <row r="704" ht="12.75" customHeight="1">
      <c r="A704" s="90"/>
      <c r="B704" s="90"/>
      <c r="C704" s="400"/>
      <c r="D704" s="90"/>
      <c r="E704" s="102"/>
      <c r="F704" s="90"/>
      <c r="G704" s="90"/>
      <c r="H704" s="102"/>
      <c r="I704" s="102"/>
      <c r="J704" s="102"/>
      <c r="K704" s="102"/>
      <c r="L704" s="102"/>
      <c r="M704" s="102"/>
      <c r="N704" s="102"/>
      <c r="O704" s="102"/>
      <c r="P704" s="102"/>
      <c r="Q704" s="102"/>
      <c r="R704" s="102"/>
      <c r="S704" s="102"/>
      <c r="T704" s="102"/>
      <c r="U704" s="102"/>
      <c r="V704" s="102"/>
      <c r="W704" s="102"/>
      <c r="X704" s="102"/>
      <c r="Y704" s="102"/>
      <c r="Z704" s="102"/>
      <c r="AA704" s="102"/>
      <c r="AB704" s="102"/>
      <c r="AC704" s="102"/>
      <c r="AD704" s="102"/>
      <c r="AE704" s="102"/>
      <c r="AF704" s="102"/>
      <c r="AG704" s="102"/>
      <c r="AH704" s="102"/>
      <c r="AI704" s="102"/>
      <c r="AJ704" s="102"/>
      <c r="AK704" s="102"/>
      <c r="AL704" s="102"/>
      <c r="AM704" s="102"/>
      <c r="AN704" s="102"/>
      <c r="AO704" s="400"/>
      <c r="AP704" s="90"/>
      <c r="AQ704" s="90"/>
      <c r="AR704" s="90"/>
      <c r="AS704" s="90"/>
      <c r="AT704" s="90"/>
      <c r="AU704" s="90"/>
      <c r="AV704" s="90"/>
      <c r="AW704" s="90"/>
      <c r="AX704" s="90"/>
      <c r="AY704" s="90"/>
      <c r="AZ704" s="90"/>
      <c r="BA704" s="90"/>
      <c r="BB704" s="90"/>
      <c r="BC704" s="90"/>
      <c r="BD704" s="90"/>
      <c r="BE704" s="90"/>
      <c r="BF704" s="90"/>
      <c r="BG704" s="90"/>
      <c r="BH704" s="90"/>
      <c r="BI704" s="90"/>
    </row>
    <row r="705" ht="12.75" customHeight="1">
      <c r="A705" s="90"/>
      <c r="B705" s="90"/>
      <c r="C705" s="400"/>
      <c r="D705" s="90"/>
      <c r="E705" s="102"/>
      <c r="F705" s="90"/>
      <c r="G705" s="90"/>
      <c r="H705" s="102"/>
      <c r="I705" s="102"/>
      <c r="J705" s="102"/>
      <c r="K705" s="102"/>
      <c r="L705" s="102"/>
      <c r="M705" s="102"/>
      <c r="N705" s="102"/>
      <c r="O705" s="102"/>
      <c r="P705" s="102"/>
      <c r="Q705" s="102"/>
      <c r="R705" s="102"/>
      <c r="S705" s="102"/>
      <c r="T705" s="102"/>
      <c r="U705" s="102"/>
      <c r="V705" s="102"/>
      <c r="W705" s="102"/>
      <c r="X705" s="102"/>
      <c r="Y705" s="102"/>
      <c r="Z705" s="102"/>
      <c r="AA705" s="102"/>
      <c r="AB705" s="102"/>
      <c r="AC705" s="102"/>
      <c r="AD705" s="102"/>
      <c r="AE705" s="102"/>
      <c r="AF705" s="102"/>
      <c r="AG705" s="102"/>
      <c r="AH705" s="102"/>
      <c r="AI705" s="102"/>
      <c r="AJ705" s="102"/>
      <c r="AK705" s="102"/>
      <c r="AL705" s="102"/>
      <c r="AM705" s="102"/>
      <c r="AN705" s="102"/>
      <c r="AO705" s="400"/>
      <c r="AP705" s="90"/>
      <c r="AQ705" s="90"/>
      <c r="AR705" s="90"/>
      <c r="AS705" s="90"/>
      <c r="AT705" s="90"/>
      <c r="AU705" s="90"/>
      <c r="AV705" s="90"/>
      <c r="AW705" s="90"/>
      <c r="AX705" s="90"/>
      <c r="AY705" s="90"/>
      <c r="AZ705" s="90"/>
      <c r="BA705" s="90"/>
      <c r="BB705" s="90"/>
      <c r="BC705" s="90"/>
      <c r="BD705" s="90"/>
      <c r="BE705" s="90"/>
      <c r="BF705" s="90"/>
      <c r="BG705" s="90"/>
      <c r="BH705" s="90"/>
      <c r="BI705" s="90"/>
    </row>
    <row r="706" ht="12.75" customHeight="1">
      <c r="A706" s="90"/>
      <c r="B706" s="90"/>
      <c r="C706" s="400"/>
      <c r="D706" s="90"/>
      <c r="E706" s="102"/>
      <c r="F706" s="90"/>
      <c r="G706" s="90"/>
      <c r="H706" s="102"/>
      <c r="I706" s="102"/>
      <c r="J706" s="102"/>
      <c r="K706" s="102"/>
      <c r="L706" s="102"/>
      <c r="M706" s="102"/>
      <c r="N706" s="102"/>
      <c r="O706" s="102"/>
      <c r="P706" s="102"/>
      <c r="Q706" s="102"/>
      <c r="R706" s="102"/>
      <c r="S706" s="102"/>
      <c r="T706" s="102"/>
      <c r="U706" s="102"/>
      <c r="V706" s="102"/>
      <c r="W706" s="102"/>
      <c r="X706" s="102"/>
      <c r="Y706" s="102"/>
      <c r="Z706" s="102"/>
      <c r="AA706" s="102"/>
      <c r="AB706" s="102"/>
      <c r="AC706" s="102"/>
      <c r="AD706" s="102"/>
      <c r="AE706" s="102"/>
      <c r="AF706" s="102"/>
      <c r="AG706" s="102"/>
      <c r="AH706" s="102"/>
      <c r="AI706" s="102"/>
      <c r="AJ706" s="102"/>
      <c r="AK706" s="102"/>
      <c r="AL706" s="102"/>
      <c r="AM706" s="102"/>
      <c r="AN706" s="102"/>
      <c r="AO706" s="400"/>
      <c r="AP706" s="90"/>
      <c r="AQ706" s="90"/>
      <c r="AR706" s="90"/>
      <c r="AS706" s="90"/>
      <c r="AT706" s="90"/>
      <c r="AU706" s="90"/>
      <c r="AV706" s="90"/>
      <c r="AW706" s="90"/>
      <c r="AX706" s="90"/>
      <c r="AY706" s="90"/>
      <c r="AZ706" s="90"/>
      <c r="BA706" s="90"/>
      <c r="BB706" s="90"/>
      <c r="BC706" s="90"/>
      <c r="BD706" s="90"/>
      <c r="BE706" s="90"/>
      <c r="BF706" s="90"/>
      <c r="BG706" s="90"/>
      <c r="BH706" s="90"/>
      <c r="BI706" s="90"/>
    </row>
    <row r="707" ht="12.75" customHeight="1">
      <c r="A707" s="90"/>
      <c r="B707" s="90"/>
      <c r="C707" s="400"/>
      <c r="D707" s="90"/>
      <c r="E707" s="102"/>
      <c r="F707" s="90"/>
      <c r="G707" s="90"/>
      <c r="H707" s="102"/>
      <c r="I707" s="102"/>
      <c r="J707" s="102"/>
      <c r="K707" s="102"/>
      <c r="L707" s="102"/>
      <c r="M707" s="102"/>
      <c r="N707" s="102"/>
      <c r="O707" s="102"/>
      <c r="P707" s="102"/>
      <c r="Q707" s="102"/>
      <c r="R707" s="102"/>
      <c r="S707" s="102"/>
      <c r="T707" s="102"/>
      <c r="U707" s="102"/>
      <c r="V707" s="102"/>
      <c r="W707" s="102"/>
      <c r="X707" s="102"/>
      <c r="Y707" s="102"/>
      <c r="Z707" s="102"/>
      <c r="AA707" s="102"/>
      <c r="AB707" s="102"/>
      <c r="AC707" s="102"/>
      <c r="AD707" s="102"/>
      <c r="AE707" s="102"/>
      <c r="AF707" s="102"/>
      <c r="AG707" s="102"/>
      <c r="AH707" s="102"/>
      <c r="AI707" s="102"/>
      <c r="AJ707" s="102"/>
      <c r="AK707" s="102"/>
      <c r="AL707" s="102"/>
      <c r="AM707" s="102"/>
      <c r="AN707" s="102"/>
      <c r="AO707" s="400"/>
      <c r="AP707" s="90"/>
      <c r="AQ707" s="90"/>
      <c r="AR707" s="90"/>
      <c r="AS707" s="90"/>
      <c r="AT707" s="90"/>
      <c r="AU707" s="90"/>
      <c r="AV707" s="90"/>
      <c r="AW707" s="90"/>
      <c r="AX707" s="90"/>
      <c r="AY707" s="90"/>
      <c r="AZ707" s="90"/>
      <c r="BA707" s="90"/>
      <c r="BB707" s="90"/>
      <c r="BC707" s="90"/>
      <c r="BD707" s="90"/>
      <c r="BE707" s="90"/>
      <c r="BF707" s="90"/>
      <c r="BG707" s="90"/>
      <c r="BH707" s="90"/>
      <c r="BI707" s="90"/>
    </row>
    <row r="708" ht="12.75" customHeight="1">
      <c r="A708" s="90"/>
      <c r="B708" s="90"/>
      <c r="C708" s="400"/>
      <c r="D708" s="90"/>
      <c r="E708" s="102"/>
      <c r="F708" s="90"/>
      <c r="G708" s="90"/>
      <c r="H708" s="102"/>
      <c r="I708" s="102"/>
      <c r="J708" s="102"/>
      <c r="K708" s="102"/>
      <c r="L708" s="102"/>
      <c r="M708" s="102"/>
      <c r="N708" s="102"/>
      <c r="O708" s="102"/>
      <c r="P708" s="102"/>
      <c r="Q708" s="102"/>
      <c r="R708" s="102"/>
      <c r="S708" s="102"/>
      <c r="T708" s="102"/>
      <c r="U708" s="102"/>
      <c r="V708" s="102"/>
      <c r="W708" s="102"/>
      <c r="X708" s="102"/>
      <c r="Y708" s="102"/>
      <c r="Z708" s="102"/>
      <c r="AA708" s="102"/>
      <c r="AB708" s="102"/>
      <c r="AC708" s="102"/>
      <c r="AD708" s="102"/>
      <c r="AE708" s="102"/>
      <c r="AF708" s="102"/>
      <c r="AG708" s="102"/>
      <c r="AH708" s="102"/>
      <c r="AI708" s="102"/>
      <c r="AJ708" s="102"/>
      <c r="AK708" s="102"/>
      <c r="AL708" s="102"/>
      <c r="AM708" s="102"/>
      <c r="AN708" s="102"/>
      <c r="AO708" s="400"/>
      <c r="AP708" s="90"/>
      <c r="AQ708" s="90"/>
      <c r="AR708" s="90"/>
      <c r="AS708" s="90"/>
      <c r="AT708" s="90"/>
      <c r="AU708" s="90"/>
      <c r="AV708" s="90"/>
      <c r="AW708" s="90"/>
      <c r="AX708" s="90"/>
      <c r="AY708" s="90"/>
      <c r="AZ708" s="90"/>
      <c r="BA708" s="90"/>
      <c r="BB708" s="90"/>
      <c r="BC708" s="90"/>
      <c r="BD708" s="90"/>
      <c r="BE708" s="90"/>
      <c r="BF708" s="90"/>
      <c r="BG708" s="90"/>
      <c r="BH708" s="90"/>
      <c r="BI708" s="90"/>
    </row>
    <row r="709" ht="12.75" customHeight="1">
      <c r="A709" s="90"/>
      <c r="B709" s="90"/>
      <c r="C709" s="400"/>
      <c r="D709" s="90"/>
      <c r="E709" s="102"/>
      <c r="F709" s="90"/>
      <c r="G709" s="90"/>
      <c r="H709" s="102"/>
      <c r="I709" s="102"/>
      <c r="J709" s="102"/>
      <c r="K709" s="102"/>
      <c r="L709" s="102"/>
      <c r="M709" s="102"/>
      <c r="N709" s="102"/>
      <c r="O709" s="102"/>
      <c r="P709" s="102"/>
      <c r="Q709" s="102"/>
      <c r="R709" s="102"/>
      <c r="S709" s="102"/>
      <c r="T709" s="102"/>
      <c r="U709" s="102"/>
      <c r="V709" s="102"/>
      <c r="W709" s="102"/>
      <c r="X709" s="102"/>
      <c r="Y709" s="102"/>
      <c r="Z709" s="102"/>
      <c r="AA709" s="102"/>
      <c r="AB709" s="102"/>
      <c r="AC709" s="102"/>
      <c r="AD709" s="102"/>
      <c r="AE709" s="102"/>
      <c r="AF709" s="102"/>
      <c r="AG709" s="102"/>
      <c r="AH709" s="102"/>
      <c r="AI709" s="102"/>
      <c r="AJ709" s="102"/>
      <c r="AK709" s="102"/>
      <c r="AL709" s="102"/>
      <c r="AM709" s="102"/>
      <c r="AN709" s="102"/>
      <c r="AO709" s="400"/>
      <c r="AP709" s="90"/>
      <c r="AQ709" s="90"/>
      <c r="AR709" s="90"/>
      <c r="AS709" s="90"/>
      <c r="AT709" s="90"/>
      <c r="AU709" s="90"/>
      <c r="AV709" s="90"/>
      <c r="AW709" s="90"/>
      <c r="AX709" s="90"/>
      <c r="AY709" s="90"/>
      <c r="AZ709" s="90"/>
      <c r="BA709" s="90"/>
      <c r="BB709" s="90"/>
      <c r="BC709" s="90"/>
      <c r="BD709" s="90"/>
      <c r="BE709" s="90"/>
      <c r="BF709" s="90"/>
      <c r="BG709" s="90"/>
      <c r="BH709" s="90"/>
      <c r="BI709" s="90"/>
    </row>
    <row r="710" ht="12.75" customHeight="1">
      <c r="A710" s="90"/>
      <c r="B710" s="90"/>
      <c r="C710" s="400"/>
      <c r="D710" s="90"/>
      <c r="E710" s="102"/>
      <c r="F710" s="90"/>
      <c r="G710" s="90"/>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c r="AG710" s="102"/>
      <c r="AH710" s="102"/>
      <c r="AI710" s="102"/>
      <c r="AJ710" s="102"/>
      <c r="AK710" s="102"/>
      <c r="AL710" s="102"/>
      <c r="AM710" s="102"/>
      <c r="AN710" s="102"/>
      <c r="AO710" s="400"/>
      <c r="AP710" s="90"/>
      <c r="AQ710" s="90"/>
      <c r="AR710" s="90"/>
      <c r="AS710" s="90"/>
      <c r="AT710" s="90"/>
      <c r="AU710" s="90"/>
      <c r="AV710" s="90"/>
      <c r="AW710" s="90"/>
      <c r="AX710" s="90"/>
      <c r="AY710" s="90"/>
      <c r="AZ710" s="90"/>
      <c r="BA710" s="90"/>
      <c r="BB710" s="90"/>
      <c r="BC710" s="90"/>
      <c r="BD710" s="90"/>
      <c r="BE710" s="90"/>
      <c r="BF710" s="90"/>
      <c r="BG710" s="90"/>
      <c r="BH710" s="90"/>
      <c r="BI710" s="90"/>
    </row>
    <row r="711" ht="12.75" customHeight="1">
      <c r="A711" s="90"/>
      <c r="B711" s="90"/>
      <c r="C711" s="400"/>
      <c r="D711" s="90"/>
      <c r="E711" s="102"/>
      <c r="F711" s="90"/>
      <c r="G711" s="90"/>
      <c r="H711" s="102"/>
      <c r="I711" s="102"/>
      <c r="J711" s="102"/>
      <c r="K711" s="102"/>
      <c r="L711" s="102"/>
      <c r="M711" s="102"/>
      <c r="N711" s="102"/>
      <c r="O711" s="102"/>
      <c r="P711" s="102"/>
      <c r="Q711" s="102"/>
      <c r="R711" s="102"/>
      <c r="S711" s="102"/>
      <c r="T711" s="102"/>
      <c r="U711" s="102"/>
      <c r="V711" s="102"/>
      <c r="W711" s="102"/>
      <c r="X711" s="102"/>
      <c r="Y711" s="102"/>
      <c r="Z711" s="102"/>
      <c r="AA711" s="102"/>
      <c r="AB711" s="102"/>
      <c r="AC711" s="102"/>
      <c r="AD711" s="102"/>
      <c r="AE711" s="102"/>
      <c r="AF711" s="102"/>
      <c r="AG711" s="102"/>
      <c r="AH711" s="102"/>
      <c r="AI711" s="102"/>
      <c r="AJ711" s="102"/>
      <c r="AK711" s="102"/>
      <c r="AL711" s="102"/>
      <c r="AM711" s="102"/>
      <c r="AN711" s="102"/>
      <c r="AO711" s="400"/>
      <c r="AP711" s="90"/>
      <c r="AQ711" s="90"/>
      <c r="AR711" s="90"/>
      <c r="AS711" s="90"/>
      <c r="AT711" s="90"/>
      <c r="AU711" s="90"/>
      <c r="AV711" s="90"/>
      <c r="AW711" s="90"/>
      <c r="AX711" s="90"/>
      <c r="AY711" s="90"/>
      <c r="AZ711" s="90"/>
      <c r="BA711" s="90"/>
      <c r="BB711" s="90"/>
      <c r="BC711" s="90"/>
      <c r="BD711" s="90"/>
      <c r="BE711" s="90"/>
      <c r="BF711" s="90"/>
      <c r="BG711" s="90"/>
      <c r="BH711" s="90"/>
      <c r="BI711" s="90"/>
    </row>
    <row r="712" ht="12.75" customHeight="1">
      <c r="A712" s="90"/>
      <c r="B712" s="90"/>
      <c r="C712" s="400"/>
      <c r="D712" s="90"/>
      <c r="E712" s="102"/>
      <c r="F712" s="90"/>
      <c r="G712" s="90"/>
      <c r="H712" s="102"/>
      <c r="I712" s="102"/>
      <c r="J712" s="102"/>
      <c r="K712" s="102"/>
      <c r="L712" s="102"/>
      <c r="M712" s="102"/>
      <c r="N712" s="102"/>
      <c r="O712" s="102"/>
      <c r="P712" s="102"/>
      <c r="Q712" s="102"/>
      <c r="R712" s="102"/>
      <c r="S712" s="102"/>
      <c r="T712" s="102"/>
      <c r="U712" s="102"/>
      <c r="V712" s="102"/>
      <c r="W712" s="102"/>
      <c r="X712" s="102"/>
      <c r="Y712" s="102"/>
      <c r="Z712" s="102"/>
      <c r="AA712" s="102"/>
      <c r="AB712" s="102"/>
      <c r="AC712" s="102"/>
      <c r="AD712" s="102"/>
      <c r="AE712" s="102"/>
      <c r="AF712" s="102"/>
      <c r="AG712" s="102"/>
      <c r="AH712" s="102"/>
      <c r="AI712" s="102"/>
      <c r="AJ712" s="102"/>
      <c r="AK712" s="102"/>
      <c r="AL712" s="102"/>
      <c r="AM712" s="102"/>
      <c r="AN712" s="102"/>
      <c r="AO712" s="400"/>
      <c r="AP712" s="90"/>
      <c r="AQ712" s="90"/>
      <c r="AR712" s="90"/>
      <c r="AS712" s="90"/>
      <c r="AT712" s="90"/>
      <c r="AU712" s="90"/>
      <c r="AV712" s="90"/>
      <c r="AW712" s="90"/>
      <c r="AX712" s="90"/>
      <c r="AY712" s="90"/>
      <c r="AZ712" s="90"/>
      <c r="BA712" s="90"/>
      <c r="BB712" s="90"/>
      <c r="BC712" s="90"/>
      <c r="BD712" s="90"/>
      <c r="BE712" s="90"/>
      <c r="BF712" s="90"/>
      <c r="BG712" s="90"/>
      <c r="BH712" s="90"/>
      <c r="BI712" s="90"/>
    </row>
    <row r="713" ht="12.75" customHeight="1">
      <c r="A713" s="90"/>
      <c r="B713" s="90"/>
      <c r="C713" s="400"/>
      <c r="D713" s="90"/>
      <c r="E713" s="102"/>
      <c r="F713" s="90"/>
      <c r="G713" s="90"/>
      <c r="H713" s="102"/>
      <c r="I713" s="102"/>
      <c r="J713" s="102"/>
      <c r="K713" s="102"/>
      <c r="L713" s="102"/>
      <c r="M713" s="102"/>
      <c r="N713" s="102"/>
      <c r="O713" s="102"/>
      <c r="P713" s="102"/>
      <c r="Q713" s="102"/>
      <c r="R713" s="102"/>
      <c r="S713" s="102"/>
      <c r="T713" s="102"/>
      <c r="U713" s="102"/>
      <c r="V713" s="102"/>
      <c r="W713" s="102"/>
      <c r="X713" s="102"/>
      <c r="Y713" s="102"/>
      <c r="Z713" s="102"/>
      <c r="AA713" s="102"/>
      <c r="AB713" s="102"/>
      <c r="AC713" s="102"/>
      <c r="AD713" s="102"/>
      <c r="AE713" s="102"/>
      <c r="AF713" s="102"/>
      <c r="AG713" s="102"/>
      <c r="AH713" s="102"/>
      <c r="AI713" s="102"/>
      <c r="AJ713" s="102"/>
      <c r="AK713" s="102"/>
      <c r="AL713" s="102"/>
      <c r="AM713" s="102"/>
      <c r="AN713" s="102"/>
      <c r="AO713" s="400"/>
      <c r="AP713" s="90"/>
      <c r="AQ713" s="90"/>
      <c r="AR713" s="90"/>
      <c r="AS713" s="90"/>
      <c r="AT713" s="90"/>
      <c r="AU713" s="90"/>
      <c r="AV713" s="90"/>
      <c r="AW713" s="90"/>
      <c r="AX713" s="90"/>
      <c r="AY713" s="90"/>
      <c r="AZ713" s="90"/>
      <c r="BA713" s="90"/>
      <c r="BB713" s="90"/>
      <c r="BC713" s="90"/>
      <c r="BD713" s="90"/>
      <c r="BE713" s="90"/>
      <c r="BF713" s="90"/>
      <c r="BG713" s="90"/>
      <c r="BH713" s="90"/>
      <c r="BI713" s="90"/>
    </row>
    <row r="714" ht="12.75" customHeight="1">
      <c r="A714" s="90"/>
      <c r="B714" s="90"/>
      <c r="C714" s="400"/>
      <c r="D714" s="90"/>
      <c r="E714" s="102"/>
      <c r="F714" s="90"/>
      <c r="G714" s="90"/>
      <c r="H714" s="102"/>
      <c r="I714" s="102"/>
      <c r="J714" s="102"/>
      <c r="K714" s="102"/>
      <c r="L714" s="102"/>
      <c r="M714" s="102"/>
      <c r="N714" s="102"/>
      <c r="O714" s="102"/>
      <c r="P714" s="102"/>
      <c r="Q714" s="102"/>
      <c r="R714" s="102"/>
      <c r="S714" s="102"/>
      <c r="T714" s="102"/>
      <c r="U714" s="102"/>
      <c r="V714" s="102"/>
      <c r="W714" s="102"/>
      <c r="X714" s="102"/>
      <c r="Y714" s="102"/>
      <c r="Z714" s="102"/>
      <c r="AA714" s="102"/>
      <c r="AB714" s="102"/>
      <c r="AC714" s="102"/>
      <c r="AD714" s="102"/>
      <c r="AE714" s="102"/>
      <c r="AF714" s="102"/>
      <c r="AG714" s="102"/>
      <c r="AH714" s="102"/>
      <c r="AI714" s="102"/>
      <c r="AJ714" s="102"/>
      <c r="AK714" s="102"/>
      <c r="AL714" s="102"/>
      <c r="AM714" s="102"/>
      <c r="AN714" s="102"/>
      <c r="AO714" s="400"/>
      <c r="AP714" s="90"/>
      <c r="AQ714" s="90"/>
      <c r="AR714" s="90"/>
      <c r="AS714" s="90"/>
      <c r="AT714" s="90"/>
      <c r="AU714" s="90"/>
      <c r="AV714" s="90"/>
      <c r="AW714" s="90"/>
      <c r="AX714" s="90"/>
      <c r="AY714" s="90"/>
      <c r="AZ714" s="90"/>
      <c r="BA714" s="90"/>
      <c r="BB714" s="90"/>
      <c r="BC714" s="90"/>
      <c r="BD714" s="90"/>
      <c r="BE714" s="90"/>
      <c r="BF714" s="90"/>
      <c r="BG714" s="90"/>
      <c r="BH714" s="90"/>
      <c r="BI714" s="90"/>
    </row>
    <row r="715" ht="12.75" customHeight="1">
      <c r="A715" s="90"/>
      <c r="B715" s="90"/>
      <c r="C715" s="400"/>
      <c r="D715" s="90"/>
      <c r="E715" s="102"/>
      <c r="F715" s="90"/>
      <c r="G715" s="90"/>
      <c r="H715" s="102"/>
      <c r="I715" s="102"/>
      <c r="J715" s="102"/>
      <c r="K715" s="102"/>
      <c r="L715" s="102"/>
      <c r="M715" s="102"/>
      <c r="N715" s="102"/>
      <c r="O715" s="102"/>
      <c r="P715" s="102"/>
      <c r="Q715" s="102"/>
      <c r="R715" s="102"/>
      <c r="S715" s="102"/>
      <c r="T715" s="102"/>
      <c r="U715" s="102"/>
      <c r="V715" s="102"/>
      <c r="W715" s="102"/>
      <c r="X715" s="102"/>
      <c r="Y715" s="102"/>
      <c r="Z715" s="102"/>
      <c r="AA715" s="102"/>
      <c r="AB715" s="102"/>
      <c r="AC715" s="102"/>
      <c r="AD715" s="102"/>
      <c r="AE715" s="102"/>
      <c r="AF715" s="102"/>
      <c r="AG715" s="102"/>
      <c r="AH715" s="102"/>
      <c r="AI715" s="102"/>
      <c r="AJ715" s="102"/>
      <c r="AK715" s="102"/>
      <c r="AL715" s="102"/>
      <c r="AM715" s="102"/>
      <c r="AN715" s="102"/>
      <c r="AO715" s="400"/>
      <c r="AP715" s="90"/>
      <c r="AQ715" s="90"/>
      <c r="AR715" s="90"/>
      <c r="AS715" s="90"/>
      <c r="AT715" s="90"/>
      <c r="AU715" s="90"/>
      <c r="AV715" s="90"/>
      <c r="AW715" s="90"/>
      <c r="AX715" s="90"/>
      <c r="AY715" s="90"/>
      <c r="AZ715" s="90"/>
      <c r="BA715" s="90"/>
      <c r="BB715" s="90"/>
      <c r="BC715" s="90"/>
      <c r="BD715" s="90"/>
      <c r="BE715" s="90"/>
      <c r="BF715" s="90"/>
      <c r="BG715" s="90"/>
      <c r="BH715" s="90"/>
      <c r="BI715" s="90"/>
    </row>
    <row r="716" ht="12.75" customHeight="1">
      <c r="A716" s="90"/>
      <c r="B716" s="90"/>
      <c r="C716" s="400"/>
      <c r="D716" s="90"/>
      <c r="E716" s="102"/>
      <c r="F716" s="90"/>
      <c r="G716" s="90"/>
      <c r="H716" s="102"/>
      <c r="I716" s="102"/>
      <c r="J716" s="102"/>
      <c r="K716" s="102"/>
      <c r="L716" s="102"/>
      <c r="M716" s="102"/>
      <c r="N716" s="102"/>
      <c r="O716" s="102"/>
      <c r="P716" s="102"/>
      <c r="Q716" s="102"/>
      <c r="R716" s="102"/>
      <c r="S716" s="102"/>
      <c r="T716" s="102"/>
      <c r="U716" s="102"/>
      <c r="V716" s="102"/>
      <c r="W716" s="102"/>
      <c r="X716" s="102"/>
      <c r="Y716" s="102"/>
      <c r="Z716" s="102"/>
      <c r="AA716" s="102"/>
      <c r="AB716" s="102"/>
      <c r="AC716" s="102"/>
      <c r="AD716" s="102"/>
      <c r="AE716" s="102"/>
      <c r="AF716" s="102"/>
      <c r="AG716" s="102"/>
      <c r="AH716" s="102"/>
      <c r="AI716" s="102"/>
      <c r="AJ716" s="102"/>
      <c r="AK716" s="102"/>
      <c r="AL716" s="102"/>
      <c r="AM716" s="102"/>
      <c r="AN716" s="102"/>
      <c r="AO716" s="400"/>
      <c r="AP716" s="90"/>
      <c r="AQ716" s="90"/>
      <c r="AR716" s="90"/>
      <c r="AS716" s="90"/>
      <c r="AT716" s="90"/>
      <c r="AU716" s="90"/>
      <c r="AV716" s="90"/>
      <c r="AW716" s="90"/>
      <c r="AX716" s="90"/>
      <c r="AY716" s="90"/>
      <c r="AZ716" s="90"/>
      <c r="BA716" s="90"/>
      <c r="BB716" s="90"/>
      <c r="BC716" s="90"/>
      <c r="BD716" s="90"/>
      <c r="BE716" s="90"/>
      <c r="BF716" s="90"/>
      <c r="BG716" s="90"/>
      <c r="BH716" s="90"/>
      <c r="BI716" s="90"/>
    </row>
    <row r="717" ht="12.75" customHeight="1">
      <c r="A717" s="90"/>
      <c r="B717" s="90"/>
      <c r="C717" s="400"/>
      <c r="D717" s="90"/>
      <c r="E717" s="102"/>
      <c r="F717" s="90"/>
      <c r="G717" s="90"/>
      <c r="H717" s="102"/>
      <c r="I717" s="102"/>
      <c r="J717" s="102"/>
      <c r="K717" s="102"/>
      <c r="L717" s="102"/>
      <c r="M717" s="102"/>
      <c r="N717" s="102"/>
      <c r="O717" s="102"/>
      <c r="P717" s="102"/>
      <c r="Q717" s="102"/>
      <c r="R717" s="102"/>
      <c r="S717" s="102"/>
      <c r="T717" s="102"/>
      <c r="U717" s="102"/>
      <c r="V717" s="102"/>
      <c r="W717" s="102"/>
      <c r="X717" s="102"/>
      <c r="Y717" s="102"/>
      <c r="Z717" s="102"/>
      <c r="AA717" s="102"/>
      <c r="AB717" s="102"/>
      <c r="AC717" s="102"/>
      <c r="AD717" s="102"/>
      <c r="AE717" s="102"/>
      <c r="AF717" s="102"/>
      <c r="AG717" s="102"/>
      <c r="AH717" s="102"/>
      <c r="AI717" s="102"/>
      <c r="AJ717" s="102"/>
      <c r="AK717" s="102"/>
      <c r="AL717" s="102"/>
      <c r="AM717" s="102"/>
      <c r="AN717" s="102"/>
      <c r="AO717" s="400"/>
      <c r="AP717" s="90"/>
      <c r="AQ717" s="90"/>
      <c r="AR717" s="90"/>
      <c r="AS717" s="90"/>
      <c r="AT717" s="90"/>
      <c r="AU717" s="90"/>
      <c r="AV717" s="90"/>
      <c r="AW717" s="90"/>
      <c r="AX717" s="90"/>
      <c r="AY717" s="90"/>
      <c r="AZ717" s="90"/>
      <c r="BA717" s="90"/>
      <c r="BB717" s="90"/>
      <c r="BC717" s="90"/>
      <c r="BD717" s="90"/>
      <c r="BE717" s="90"/>
      <c r="BF717" s="90"/>
      <c r="BG717" s="90"/>
      <c r="BH717" s="90"/>
      <c r="BI717" s="90"/>
    </row>
    <row r="718" ht="12.75" customHeight="1">
      <c r="A718" s="90"/>
      <c r="B718" s="90"/>
      <c r="C718" s="400"/>
      <c r="D718" s="90"/>
      <c r="E718" s="102"/>
      <c r="F718" s="90"/>
      <c r="G718" s="90"/>
      <c r="H718" s="102"/>
      <c r="I718" s="102"/>
      <c r="J718" s="102"/>
      <c r="K718" s="102"/>
      <c r="L718" s="102"/>
      <c r="M718" s="102"/>
      <c r="N718" s="102"/>
      <c r="O718" s="102"/>
      <c r="P718" s="102"/>
      <c r="Q718" s="102"/>
      <c r="R718" s="102"/>
      <c r="S718" s="102"/>
      <c r="T718" s="102"/>
      <c r="U718" s="102"/>
      <c r="V718" s="102"/>
      <c r="W718" s="102"/>
      <c r="X718" s="102"/>
      <c r="Y718" s="102"/>
      <c r="Z718" s="102"/>
      <c r="AA718" s="102"/>
      <c r="AB718" s="102"/>
      <c r="AC718" s="102"/>
      <c r="AD718" s="102"/>
      <c r="AE718" s="102"/>
      <c r="AF718" s="102"/>
      <c r="AG718" s="102"/>
      <c r="AH718" s="102"/>
      <c r="AI718" s="102"/>
      <c r="AJ718" s="102"/>
      <c r="AK718" s="102"/>
      <c r="AL718" s="102"/>
      <c r="AM718" s="102"/>
      <c r="AN718" s="102"/>
      <c r="AO718" s="400"/>
      <c r="AP718" s="90"/>
      <c r="AQ718" s="90"/>
      <c r="AR718" s="90"/>
      <c r="AS718" s="90"/>
      <c r="AT718" s="90"/>
      <c r="AU718" s="90"/>
      <c r="AV718" s="90"/>
      <c r="AW718" s="90"/>
      <c r="AX718" s="90"/>
      <c r="AY718" s="90"/>
      <c r="AZ718" s="90"/>
      <c r="BA718" s="90"/>
      <c r="BB718" s="90"/>
      <c r="BC718" s="90"/>
      <c r="BD718" s="90"/>
      <c r="BE718" s="90"/>
      <c r="BF718" s="90"/>
      <c r="BG718" s="90"/>
      <c r="BH718" s="90"/>
      <c r="BI718" s="90"/>
    </row>
    <row r="719" ht="12.75" customHeight="1">
      <c r="A719" s="90"/>
      <c r="B719" s="90"/>
      <c r="C719" s="400"/>
      <c r="D719" s="90"/>
      <c r="E719" s="102"/>
      <c r="F719" s="90"/>
      <c r="G719" s="90"/>
      <c r="H719" s="102"/>
      <c r="I719" s="102"/>
      <c r="J719" s="102"/>
      <c r="K719" s="102"/>
      <c r="L719" s="102"/>
      <c r="M719" s="102"/>
      <c r="N719" s="102"/>
      <c r="O719" s="102"/>
      <c r="P719" s="102"/>
      <c r="Q719" s="102"/>
      <c r="R719" s="102"/>
      <c r="S719" s="102"/>
      <c r="T719" s="102"/>
      <c r="U719" s="102"/>
      <c r="V719" s="102"/>
      <c r="W719" s="102"/>
      <c r="X719" s="102"/>
      <c r="Y719" s="102"/>
      <c r="Z719" s="102"/>
      <c r="AA719" s="102"/>
      <c r="AB719" s="102"/>
      <c r="AC719" s="102"/>
      <c r="AD719" s="102"/>
      <c r="AE719" s="102"/>
      <c r="AF719" s="102"/>
      <c r="AG719" s="102"/>
      <c r="AH719" s="102"/>
      <c r="AI719" s="102"/>
      <c r="AJ719" s="102"/>
      <c r="AK719" s="102"/>
      <c r="AL719" s="102"/>
      <c r="AM719" s="102"/>
      <c r="AN719" s="102"/>
      <c r="AO719" s="400"/>
      <c r="AP719" s="90"/>
      <c r="AQ719" s="90"/>
      <c r="AR719" s="90"/>
      <c r="AS719" s="90"/>
      <c r="AT719" s="90"/>
      <c r="AU719" s="90"/>
      <c r="AV719" s="90"/>
      <c r="AW719" s="90"/>
      <c r="AX719" s="90"/>
      <c r="AY719" s="90"/>
      <c r="AZ719" s="90"/>
      <c r="BA719" s="90"/>
      <c r="BB719" s="90"/>
      <c r="BC719" s="90"/>
      <c r="BD719" s="90"/>
      <c r="BE719" s="90"/>
      <c r="BF719" s="90"/>
      <c r="BG719" s="90"/>
      <c r="BH719" s="90"/>
      <c r="BI719" s="90"/>
    </row>
    <row r="720" ht="12.75" customHeight="1">
      <c r="A720" s="90"/>
      <c r="B720" s="90"/>
      <c r="C720" s="400"/>
      <c r="D720" s="90"/>
      <c r="E720" s="102"/>
      <c r="F720" s="90"/>
      <c r="G720" s="90"/>
      <c r="H720" s="102"/>
      <c r="I720" s="102"/>
      <c r="J720" s="102"/>
      <c r="K720" s="102"/>
      <c r="L720" s="102"/>
      <c r="M720" s="102"/>
      <c r="N720" s="102"/>
      <c r="O720" s="102"/>
      <c r="P720" s="102"/>
      <c r="Q720" s="102"/>
      <c r="R720" s="102"/>
      <c r="S720" s="102"/>
      <c r="T720" s="102"/>
      <c r="U720" s="102"/>
      <c r="V720" s="102"/>
      <c r="W720" s="102"/>
      <c r="X720" s="102"/>
      <c r="Y720" s="102"/>
      <c r="Z720" s="102"/>
      <c r="AA720" s="102"/>
      <c r="AB720" s="102"/>
      <c r="AC720" s="102"/>
      <c r="AD720" s="102"/>
      <c r="AE720" s="102"/>
      <c r="AF720" s="102"/>
      <c r="AG720" s="102"/>
      <c r="AH720" s="102"/>
      <c r="AI720" s="102"/>
      <c r="AJ720" s="102"/>
      <c r="AK720" s="102"/>
      <c r="AL720" s="102"/>
      <c r="AM720" s="102"/>
      <c r="AN720" s="102"/>
      <c r="AO720" s="400"/>
      <c r="AP720" s="90"/>
      <c r="AQ720" s="90"/>
      <c r="AR720" s="90"/>
      <c r="AS720" s="90"/>
      <c r="AT720" s="90"/>
      <c r="AU720" s="90"/>
      <c r="AV720" s="90"/>
      <c r="AW720" s="90"/>
      <c r="AX720" s="90"/>
      <c r="AY720" s="90"/>
      <c r="AZ720" s="90"/>
      <c r="BA720" s="90"/>
      <c r="BB720" s="90"/>
      <c r="BC720" s="90"/>
      <c r="BD720" s="90"/>
      <c r="BE720" s="90"/>
      <c r="BF720" s="90"/>
      <c r="BG720" s="90"/>
      <c r="BH720" s="90"/>
      <c r="BI720" s="90"/>
    </row>
    <row r="721" ht="12.75" customHeight="1">
      <c r="A721" s="90"/>
      <c r="B721" s="90"/>
      <c r="C721" s="400"/>
      <c r="D721" s="90"/>
      <c r="E721" s="102"/>
      <c r="F721" s="90"/>
      <c r="G721" s="90"/>
      <c r="H721" s="102"/>
      <c r="I721" s="102"/>
      <c r="J721" s="102"/>
      <c r="K721" s="102"/>
      <c r="L721" s="102"/>
      <c r="M721" s="102"/>
      <c r="N721" s="102"/>
      <c r="O721" s="102"/>
      <c r="P721" s="102"/>
      <c r="Q721" s="102"/>
      <c r="R721" s="102"/>
      <c r="S721" s="102"/>
      <c r="T721" s="102"/>
      <c r="U721" s="102"/>
      <c r="V721" s="102"/>
      <c r="W721" s="102"/>
      <c r="X721" s="102"/>
      <c r="Y721" s="102"/>
      <c r="Z721" s="102"/>
      <c r="AA721" s="102"/>
      <c r="AB721" s="102"/>
      <c r="AC721" s="102"/>
      <c r="AD721" s="102"/>
      <c r="AE721" s="102"/>
      <c r="AF721" s="102"/>
      <c r="AG721" s="102"/>
      <c r="AH721" s="102"/>
      <c r="AI721" s="102"/>
      <c r="AJ721" s="102"/>
      <c r="AK721" s="102"/>
      <c r="AL721" s="102"/>
      <c r="AM721" s="102"/>
      <c r="AN721" s="102"/>
      <c r="AO721" s="400"/>
      <c r="AP721" s="90"/>
      <c r="AQ721" s="90"/>
      <c r="AR721" s="90"/>
      <c r="AS721" s="90"/>
      <c r="AT721" s="90"/>
      <c r="AU721" s="90"/>
      <c r="AV721" s="90"/>
      <c r="AW721" s="90"/>
      <c r="AX721" s="90"/>
      <c r="AY721" s="90"/>
      <c r="AZ721" s="90"/>
      <c r="BA721" s="90"/>
      <c r="BB721" s="90"/>
      <c r="BC721" s="90"/>
      <c r="BD721" s="90"/>
      <c r="BE721" s="90"/>
      <c r="BF721" s="90"/>
      <c r="BG721" s="90"/>
      <c r="BH721" s="90"/>
      <c r="BI721" s="90"/>
    </row>
    <row r="722" ht="12.75" customHeight="1">
      <c r="A722" s="90"/>
      <c r="B722" s="90"/>
      <c r="C722" s="400"/>
      <c r="D722" s="90"/>
      <c r="E722" s="102"/>
      <c r="F722" s="90"/>
      <c r="G722" s="90"/>
      <c r="H722" s="102"/>
      <c r="I722" s="102"/>
      <c r="J722" s="102"/>
      <c r="K722" s="102"/>
      <c r="L722" s="102"/>
      <c r="M722" s="102"/>
      <c r="N722" s="102"/>
      <c r="O722" s="102"/>
      <c r="P722" s="102"/>
      <c r="Q722" s="102"/>
      <c r="R722" s="102"/>
      <c r="S722" s="102"/>
      <c r="T722" s="102"/>
      <c r="U722" s="102"/>
      <c r="V722" s="102"/>
      <c r="W722" s="102"/>
      <c r="X722" s="102"/>
      <c r="Y722" s="102"/>
      <c r="Z722" s="102"/>
      <c r="AA722" s="102"/>
      <c r="AB722" s="102"/>
      <c r="AC722" s="102"/>
      <c r="AD722" s="102"/>
      <c r="AE722" s="102"/>
      <c r="AF722" s="102"/>
      <c r="AG722" s="102"/>
      <c r="AH722" s="102"/>
      <c r="AI722" s="102"/>
      <c r="AJ722" s="102"/>
      <c r="AK722" s="102"/>
      <c r="AL722" s="102"/>
      <c r="AM722" s="102"/>
      <c r="AN722" s="102"/>
      <c r="AO722" s="400"/>
      <c r="AP722" s="90"/>
      <c r="AQ722" s="90"/>
      <c r="AR722" s="90"/>
      <c r="AS722" s="90"/>
      <c r="AT722" s="90"/>
      <c r="AU722" s="90"/>
      <c r="AV722" s="90"/>
      <c r="AW722" s="90"/>
      <c r="AX722" s="90"/>
      <c r="AY722" s="90"/>
      <c r="AZ722" s="90"/>
      <c r="BA722" s="90"/>
      <c r="BB722" s="90"/>
      <c r="BC722" s="90"/>
      <c r="BD722" s="90"/>
      <c r="BE722" s="90"/>
      <c r="BF722" s="90"/>
      <c r="BG722" s="90"/>
      <c r="BH722" s="90"/>
      <c r="BI722" s="90"/>
    </row>
    <row r="723" ht="12.75" customHeight="1">
      <c r="A723" s="90"/>
      <c r="B723" s="90"/>
      <c r="C723" s="400"/>
      <c r="D723" s="90"/>
      <c r="E723" s="102"/>
      <c r="F723" s="90"/>
      <c r="G723" s="90"/>
      <c r="H723" s="102"/>
      <c r="I723" s="102"/>
      <c r="J723" s="102"/>
      <c r="K723" s="102"/>
      <c r="L723" s="102"/>
      <c r="M723" s="102"/>
      <c r="N723" s="102"/>
      <c r="O723" s="102"/>
      <c r="P723" s="102"/>
      <c r="Q723" s="102"/>
      <c r="R723" s="102"/>
      <c r="S723" s="102"/>
      <c r="T723" s="102"/>
      <c r="U723" s="102"/>
      <c r="V723" s="102"/>
      <c r="W723" s="102"/>
      <c r="X723" s="102"/>
      <c r="Y723" s="102"/>
      <c r="Z723" s="102"/>
      <c r="AA723" s="102"/>
      <c r="AB723" s="102"/>
      <c r="AC723" s="102"/>
      <c r="AD723" s="102"/>
      <c r="AE723" s="102"/>
      <c r="AF723" s="102"/>
      <c r="AG723" s="102"/>
      <c r="AH723" s="102"/>
      <c r="AI723" s="102"/>
      <c r="AJ723" s="102"/>
      <c r="AK723" s="102"/>
      <c r="AL723" s="102"/>
      <c r="AM723" s="102"/>
      <c r="AN723" s="102"/>
      <c r="AO723" s="400"/>
      <c r="AP723" s="90"/>
      <c r="AQ723" s="90"/>
      <c r="AR723" s="90"/>
      <c r="AS723" s="90"/>
      <c r="AT723" s="90"/>
      <c r="AU723" s="90"/>
      <c r="AV723" s="90"/>
      <c r="AW723" s="90"/>
      <c r="AX723" s="90"/>
      <c r="AY723" s="90"/>
      <c r="AZ723" s="90"/>
      <c r="BA723" s="90"/>
      <c r="BB723" s="90"/>
      <c r="BC723" s="90"/>
      <c r="BD723" s="90"/>
      <c r="BE723" s="90"/>
      <c r="BF723" s="90"/>
      <c r="BG723" s="90"/>
      <c r="BH723" s="90"/>
      <c r="BI723" s="90"/>
    </row>
    <row r="724" ht="12.75" customHeight="1">
      <c r="A724" s="90"/>
      <c r="B724" s="90"/>
      <c r="C724" s="400"/>
      <c r="D724" s="90"/>
      <c r="E724" s="102"/>
      <c r="F724" s="90"/>
      <c r="G724" s="90"/>
      <c r="H724" s="102"/>
      <c r="I724" s="102"/>
      <c r="J724" s="102"/>
      <c r="K724" s="102"/>
      <c r="L724" s="102"/>
      <c r="M724" s="102"/>
      <c r="N724" s="102"/>
      <c r="O724" s="102"/>
      <c r="P724" s="102"/>
      <c r="Q724" s="102"/>
      <c r="R724" s="102"/>
      <c r="S724" s="102"/>
      <c r="T724" s="102"/>
      <c r="U724" s="102"/>
      <c r="V724" s="102"/>
      <c r="W724" s="102"/>
      <c r="X724" s="102"/>
      <c r="Y724" s="102"/>
      <c r="Z724" s="102"/>
      <c r="AA724" s="102"/>
      <c r="AB724" s="102"/>
      <c r="AC724" s="102"/>
      <c r="AD724" s="102"/>
      <c r="AE724" s="102"/>
      <c r="AF724" s="102"/>
      <c r="AG724" s="102"/>
      <c r="AH724" s="102"/>
      <c r="AI724" s="102"/>
      <c r="AJ724" s="102"/>
      <c r="AK724" s="102"/>
      <c r="AL724" s="102"/>
      <c r="AM724" s="102"/>
      <c r="AN724" s="102"/>
      <c r="AO724" s="400"/>
      <c r="AP724" s="90"/>
      <c r="AQ724" s="90"/>
      <c r="AR724" s="90"/>
      <c r="AS724" s="90"/>
      <c r="AT724" s="90"/>
      <c r="AU724" s="90"/>
      <c r="AV724" s="90"/>
      <c r="AW724" s="90"/>
      <c r="AX724" s="90"/>
      <c r="AY724" s="90"/>
      <c r="AZ724" s="90"/>
      <c r="BA724" s="90"/>
      <c r="BB724" s="90"/>
      <c r="BC724" s="90"/>
      <c r="BD724" s="90"/>
      <c r="BE724" s="90"/>
      <c r="BF724" s="90"/>
      <c r="BG724" s="90"/>
      <c r="BH724" s="90"/>
      <c r="BI724" s="90"/>
    </row>
    <row r="725" ht="12.75" customHeight="1">
      <c r="A725" s="90"/>
      <c r="B725" s="90"/>
      <c r="C725" s="400"/>
      <c r="D725" s="90"/>
      <c r="E725" s="102"/>
      <c r="F725" s="90"/>
      <c r="G725" s="90"/>
      <c r="H725" s="102"/>
      <c r="I725" s="102"/>
      <c r="J725" s="102"/>
      <c r="K725" s="102"/>
      <c r="L725" s="102"/>
      <c r="M725" s="102"/>
      <c r="N725" s="102"/>
      <c r="O725" s="102"/>
      <c r="P725" s="102"/>
      <c r="Q725" s="102"/>
      <c r="R725" s="102"/>
      <c r="S725" s="102"/>
      <c r="T725" s="102"/>
      <c r="U725" s="102"/>
      <c r="V725" s="102"/>
      <c r="W725" s="102"/>
      <c r="X725" s="102"/>
      <c r="Y725" s="102"/>
      <c r="Z725" s="102"/>
      <c r="AA725" s="102"/>
      <c r="AB725" s="102"/>
      <c r="AC725" s="102"/>
      <c r="AD725" s="102"/>
      <c r="AE725" s="102"/>
      <c r="AF725" s="102"/>
      <c r="AG725" s="102"/>
      <c r="AH725" s="102"/>
      <c r="AI725" s="102"/>
      <c r="AJ725" s="102"/>
      <c r="AK725" s="102"/>
      <c r="AL725" s="102"/>
      <c r="AM725" s="102"/>
      <c r="AN725" s="102"/>
      <c r="AO725" s="400"/>
      <c r="AP725" s="90"/>
      <c r="AQ725" s="90"/>
      <c r="AR725" s="90"/>
      <c r="AS725" s="90"/>
      <c r="AT725" s="90"/>
      <c r="AU725" s="90"/>
      <c r="AV725" s="90"/>
      <c r="AW725" s="90"/>
      <c r="AX725" s="90"/>
      <c r="AY725" s="90"/>
      <c r="AZ725" s="90"/>
      <c r="BA725" s="90"/>
      <c r="BB725" s="90"/>
      <c r="BC725" s="90"/>
      <c r="BD725" s="90"/>
      <c r="BE725" s="90"/>
      <c r="BF725" s="90"/>
      <c r="BG725" s="90"/>
      <c r="BH725" s="90"/>
      <c r="BI725" s="90"/>
    </row>
    <row r="726" ht="12.75" customHeight="1">
      <c r="A726" s="90"/>
      <c r="B726" s="90"/>
      <c r="C726" s="400"/>
      <c r="D726" s="90"/>
      <c r="E726" s="102"/>
      <c r="F726" s="90"/>
      <c r="G726" s="90"/>
      <c r="H726" s="102"/>
      <c r="I726" s="102"/>
      <c r="J726" s="102"/>
      <c r="K726" s="102"/>
      <c r="L726" s="102"/>
      <c r="M726" s="102"/>
      <c r="N726" s="102"/>
      <c r="O726" s="102"/>
      <c r="P726" s="102"/>
      <c r="Q726" s="102"/>
      <c r="R726" s="102"/>
      <c r="S726" s="102"/>
      <c r="T726" s="102"/>
      <c r="U726" s="102"/>
      <c r="V726" s="102"/>
      <c r="W726" s="102"/>
      <c r="X726" s="102"/>
      <c r="Y726" s="102"/>
      <c r="Z726" s="102"/>
      <c r="AA726" s="102"/>
      <c r="AB726" s="102"/>
      <c r="AC726" s="102"/>
      <c r="AD726" s="102"/>
      <c r="AE726" s="102"/>
      <c r="AF726" s="102"/>
      <c r="AG726" s="102"/>
      <c r="AH726" s="102"/>
      <c r="AI726" s="102"/>
      <c r="AJ726" s="102"/>
      <c r="AK726" s="102"/>
      <c r="AL726" s="102"/>
      <c r="AM726" s="102"/>
      <c r="AN726" s="102"/>
      <c r="AO726" s="400"/>
      <c r="AP726" s="90"/>
      <c r="AQ726" s="90"/>
      <c r="AR726" s="90"/>
      <c r="AS726" s="90"/>
      <c r="AT726" s="90"/>
      <c r="AU726" s="90"/>
      <c r="AV726" s="90"/>
      <c r="AW726" s="90"/>
      <c r="AX726" s="90"/>
      <c r="AY726" s="90"/>
      <c r="AZ726" s="90"/>
      <c r="BA726" s="90"/>
      <c r="BB726" s="90"/>
      <c r="BC726" s="90"/>
      <c r="BD726" s="90"/>
      <c r="BE726" s="90"/>
      <c r="BF726" s="90"/>
      <c r="BG726" s="90"/>
      <c r="BH726" s="90"/>
      <c r="BI726" s="90"/>
    </row>
    <row r="727" ht="12.75" customHeight="1">
      <c r="A727" s="90"/>
      <c r="B727" s="90"/>
      <c r="C727" s="400"/>
      <c r="D727" s="90"/>
      <c r="E727" s="102"/>
      <c r="F727" s="90"/>
      <c r="G727" s="90"/>
      <c r="H727" s="102"/>
      <c r="I727" s="102"/>
      <c r="J727" s="102"/>
      <c r="K727" s="102"/>
      <c r="L727" s="102"/>
      <c r="M727" s="102"/>
      <c r="N727" s="102"/>
      <c r="O727" s="102"/>
      <c r="P727" s="102"/>
      <c r="Q727" s="102"/>
      <c r="R727" s="102"/>
      <c r="S727" s="102"/>
      <c r="T727" s="102"/>
      <c r="U727" s="102"/>
      <c r="V727" s="102"/>
      <c r="W727" s="102"/>
      <c r="X727" s="102"/>
      <c r="Y727" s="102"/>
      <c r="Z727" s="102"/>
      <c r="AA727" s="102"/>
      <c r="AB727" s="102"/>
      <c r="AC727" s="102"/>
      <c r="AD727" s="102"/>
      <c r="AE727" s="102"/>
      <c r="AF727" s="102"/>
      <c r="AG727" s="102"/>
      <c r="AH727" s="102"/>
      <c r="AI727" s="102"/>
      <c r="AJ727" s="102"/>
      <c r="AK727" s="102"/>
      <c r="AL727" s="102"/>
      <c r="AM727" s="102"/>
      <c r="AN727" s="102"/>
      <c r="AO727" s="400"/>
      <c r="AP727" s="90"/>
      <c r="AQ727" s="90"/>
      <c r="AR727" s="90"/>
      <c r="AS727" s="90"/>
      <c r="AT727" s="90"/>
      <c r="AU727" s="90"/>
      <c r="AV727" s="90"/>
      <c r="AW727" s="90"/>
      <c r="AX727" s="90"/>
      <c r="AY727" s="90"/>
      <c r="AZ727" s="90"/>
      <c r="BA727" s="90"/>
      <c r="BB727" s="90"/>
      <c r="BC727" s="90"/>
      <c r="BD727" s="90"/>
      <c r="BE727" s="90"/>
      <c r="BF727" s="90"/>
      <c r="BG727" s="90"/>
      <c r="BH727" s="90"/>
      <c r="BI727" s="90"/>
    </row>
    <row r="728" ht="12.75" customHeight="1">
      <c r="A728" s="90"/>
      <c r="B728" s="90"/>
      <c r="C728" s="400"/>
      <c r="D728" s="90"/>
      <c r="E728" s="102"/>
      <c r="F728" s="90"/>
      <c r="G728" s="90"/>
      <c r="H728" s="102"/>
      <c r="I728" s="102"/>
      <c r="J728" s="102"/>
      <c r="K728" s="102"/>
      <c r="L728" s="102"/>
      <c r="M728" s="102"/>
      <c r="N728" s="102"/>
      <c r="O728" s="102"/>
      <c r="P728" s="102"/>
      <c r="Q728" s="102"/>
      <c r="R728" s="102"/>
      <c r="S728" s="102"/>
      <c r="T728" s="102"/>
      <c r="U728" s="102"/>
      <c r="V728" s="102"/>
      <c r="W728" s="102"/>
      <c r="X728" s="102"/>
      <c r="Y728" s="102"/>
      <c r="Z728" s="102"/>
      <c r="AA728" s="102"/>
      <c r="AB728" s="102"/>
      <c r="AC728" s="102"/>
      <c r="AD728" s="102"/>
      <c r="AE728" s="102"/>
      <c r="AF728" s="102"/>
      <c r="AG728" s="102"/>
      <c r="AH728" s="102"/>
      <c r="AI728" s="102"/>
      <c r="AJ728" s="102"/>
      <c r="AK728" s="102"/>
      <c r="AL728" s="102"/>
      <c r="AM728" s="102"/>
      <c r="AN728" s="102"/>
      <c r="AO728" s="400"/>
      <c r="AP728" s="90"/>
      <c r="AQ728" s="90"/>
      <c r="AR728" s="90"/>
      <c r="AS728" s="90"/>
      <c r="AT728" s="90"/>
      <c r="AU728" s="90"/>
      <c r="AV728" s="90"/>
      <c r="AW728" s="90"/>
      <c r="AX728" s="90"/>
      <c r="AY728" s="90"/>
      <c r="AZ728" s="90"/>
      <c r="BA728" s="90"/>
      <c r="BB728" s="90"/>
      <c r="BC728" s="90"/>
      <c r="BD728" s="90"/>
      <c r="BE728" s="90"/>
      <c r="BF728" s="90"/>
      <c r="BG728" s="90"/>
      <c r="BH728" s="90"/>
      <c r="BI728" s="90"/>
    </row>
    <row r="729" ht="12.75" customHeight="1">
      <c r="A729" s="90"/>
      <c r="B729" s="90"/>
      <c r="C729" s="400"/>
      <c r="D729" s="90"/>
      <c r="E729" s="102"/>
      <c r="F729" s="90"/>
      <c r="G729" s="90"/>
      <c r="H729" s="102"/>
      <c r="I729" s="102"/>
      <c r="J729" s="102"/>
      <c r="K729" s="102"/>
      <c r="L729" s="102"/>
      <c r="M729" s="102"/>
      <c r="N729" s="102"/>
      <c r="O729" s="102"/>
      <c r="P729" s="102"/>
      <c r="Q729" s="102"/>
      <c r="R729" s="102"/>
      <c r="S729" s="102"/>
      <c r="T729" s="102"/>
      <c r="U729" s="102"/>
      <c r="V729" s="102"/>
      <c r="W729" s="102"/>
      <c r="X729" s="102"/>
      <c r="Y729" s="102"/>
      <c r="Z729" s="102"/>
      <c r="AA729" s="102"/>
      <c r="AB729" s="102"/>
      <c r="AC729" s="102"/>
      <c r="AD729" s="102"/>
      <c r="AE729" s="102"/>
      <c r="AF729" s="102"/>
      <c r="AG729" s="102"/>
      <c r="AH729" s="102"/>
      <c r="AI729" s="102"/>
      <c r="AJ729" s="102"/>
      <c r="AK729" s="102"/>
      <c r="AL729" s="102"/>
      <c r="AM729" s="102"/>
      <c r="AN729" s="102"/>
      <c r="AO729" s="400"/>
      <c r="AP729" s="90"/>
      <c r="AQ729" s="90"/>
      <c r="AR729" s="90"/>
      <c r="AS729" s="90"/>
      <c r="AT729" s="90"/>
      <c r="AU729" s="90"/>
      <c r="AV729" s="90"/>
      <c r="AW729" s="90"/>
      <c r="AX729" s="90"/>
      <c r="AY729" s="90"/>
      <c r="AZ729" s="90"/>
      <c r="BA729" s="90"/>
      <c r="BB729" s="90"/>
      <c r="BC729" s="90"/>
      <c r="BD729" s="90"/>
      <c r="BE729" s="90"/>
      <c r="BF729" s="90"/>
      <c r="BG729" s="90"/>
      <c r="BH729" s="90"/>
      <c r="BI729" s="90"/>
    </row>
    <row r="730" ht="12.75" customHeight="1">
      <c r="A730" s="90"/>
      <c r="B730" s="90"/>
      <c r="C730" s="400"/>
      <c r="D730" s="90"/>
      <c r="E730" s="102"/>
      <c r="F730" s="90"/>
      <c r="G730" s="90"/>
      <c r="H730" s="102"/>
      <c r="I730" s="102"/>
      <c r="J730" s="102"/>
      <c r="K730" s="102"/>
      <c r="L730" s="102"/>
      <c r="M730" s="102"/>
      <c r="N730" s="102"/>
      <c r="O730" s="102"/>
      <c r="P730" s="102"/>
      <c r="Q730" s="102"/>
      <c r="R730" s="102"/>
      <c r="S730" s="102"/>
      <c r="T730" s="102"/>
      <c r="U730" s="102"/>
      <c r="V730" s="102"/>
      <c r="W730" s="102"/>
      <c r="X730" s="102"/>
      <c r="Y730" s="102"/>
      <c r="Z730" s="102"/>
      <c r="AA730" s="102"/>
      <c r="AB730" s="102"/>
      <c r="AC730" s="102"/>
      <c r="AD730" s="102"/>
      <c r="AE730" s="102"/>
      <c r="AF730" s="102"/>
      <c r="AG730" s="102"/>
      <c r="AH730" s="102"/>
      <c r="AI730" s="102"/>
      <c r="AJ730" s="102"/>
      <c r="AK730" s="102"/>
      <c r="AL730" s="102"/>
      <c r="AM730" s="102"/>
      <c r="AN730" s="102"/>
      <c r="AO730" s="400"/>
      <c r="AP730" s="90"/>
      <c r="AQ730" s="90"/>
      <c r="AR730" s="90"/>
      <c r="AS730" s="90"/>
      <c r="AT730" s="90"/>
      <c r="AU730" s="90"/>
      <c r="AV730" s="90"/>
      <c r="AW730" s="90"/>
      <c r="AX730" s="90"/>
      <c r="AY730" s="90"/>
      <c r="AZ730" s="90"/>
      <c r="BA730" s="90"/>
      <c r="BB730" s="90"/>
      <c r="BC730" s="90"/>
      <c r="BD730" s="90"/>
      <c r="BE730" s="90"/>
      <c r="BF730" s="90"/>
      <c r="BG730" s="90"/>
      <c r="BH730" s="90"/>
      <c r="BI730" s="90"/>
    </row>
    <row r="731" ht="12.75" customHeight="1">
      <c r="A731" s="90"/>
      <c r="B731" s="90"/>
      <c r="C731" s="400"/>
      <c r="D731" s="90"/>
      <c r="E731" s="102"/>
      <c r="F731" s="90"/>
      <c r="G731" s="90"/>
      <c r="H731" s="102"/>
      <c r="I731" s="102"/>
      <c r="J731" s="102"/>
      <c r="K731" s="102"/>
      <c r="L731" s="102"/>
      <c r="M731" s="102"/>
      <c r="N731" s="102"/>
      <c r="O731" s="102"/>
      <c r="P731" s="102"/>
      <c r="Q731" s="102"/>
      <c r="R731" s="102"/>
      <c r="S731" s="102"/>
      <c r="T731" s="102"/>
      <c r="U731" s="102"/>
      <c r="V731" s="102"/>
      <c r="W731" s="102"/>
      <c r="X731" s="102"/>
      <c r="Y731" s="102"/>
      <c r="Z731" s="102"/>
      <c r="AA731" s="102"/>
      <c r="AB731" s="102"/>
      <c r="AC731" s="102"/>
      <c r="AD731" s="102"/>
      <c r="AE731" s="102"/>
      <c r="AF731" s="102"/>
      <c r="AG731" s="102"/>
      <c r="AH731" s="102"/>
      <c r="AI731" s="102"/>
      <c r="AJ731" s="102"/>
      <c r="AK731" s="102"/>
      <c r="AL731" s="102"/>
      <c r="AM731" s="102"/>
      <c r="AN731" s="102"/>
      <c r="AO731" s="400"/>
      <c r="AP731" s="90"/>
      <c r="AQ731" s="90"/>
      <c r="AR731" s="90"/>
      <c r="AS731" s="90"/>
      <c r="AT731" s="90"/>
      <c r="AU731" s="90"/>
      <c r="AV731" s="90"/>
      <c r="AW731" s="90"/>
      <c r="AX731" s="90"/>
      <c r="AY731" s="90"/>
      <c r="AZ731" s="90"/>
      <c r="BA731" s="90"/>
      <c r="BB731" s="90"/>
      <c r="BC731" s="90"/>
      <c r="BD731" s="90"/>
      <c r="BE731" s="90"/>
      <c r="BF731" s="90"/>
      <c r="BG731" s="90"/>
      <c r="BH731" s="90"/>
      <c r="BI731" s="90"/>
    </row>
    <row r="732" ht="12.75" customHeight="1">
      <c r="A732" s="90"/>
      <c r="B732" s="90"/>
      <c r="C732" s="400"/>
      <c r="D732" s="90"/>
      <c r="E732" s="102"/>
      <c r="F732" s="90"/>
      <c r="G732" s="90"/>
      <c r="H732" s="102"/>
      <c r="I732" s="102"/>
      <c r="J732" s="102"/>
      <c r="K732" s="102"/>
      <c r="L732" s="102"/>
      <c r="M732" s="102"/>
      <c r="N732" s="102"/>
      <c r="O732" s="102"/>
      <c r="P732" s="102"/>
      <c r="Q732" s="102"/>
      <c r="R732" s="102"/>
      <c r="S732" s="102"/>
      <c r="T732" s="102"/>
      <c r="U732" s="102"/>
      <c r="V732" s="102"/>
      <c r="W732" s="102"/>
      <c r="X732" s="102"/>
      <c r="Y732" s="102"/>
      <c r="Z732" s="102"/>
      <c r="AA732" s="102"/>
      <c r="AB732" s="102"/>
      <c r="AC732" s="102"/>
      <c r="AD732" s="102"/>
      <c r="AE732" s="102"/>
      <c r="AF732" s="102"/>
      <c r="AG732" s="102"/>
      <c r="AH732" s="102"/>
      <c r="AI732" s="102"/>
      <c r="AJ732" s="102"/>
      <c r="AK732" s="102"/>
      <c r="AL732" s="102"/>
      <c r="AM732" s="102"/>
      <c r="AN732" s="102"/>
      <c r="AO732" s="400"/>
      <c r="AP732" s="90"/>
      <c r="AQ732" s="90"/>
      <c r="AR732" s="90"/>
      <c r="AS732" s="90"/>
      <c r="AT732" s="90"/>
      <c r="AU732" s="90"/>
      <c r="AV732" s="90"/>
      <c r="AW732" s="90"/>
      <c r="AX732" s="90"/>
      <c r="AY732" s="90"/>
      <c r="AZ732" s="90"/>
      <c r="BA732" s="90"/>
      <c r="BB732" s="90"/>
      <c r="BC732" s="90"/>
      <c r="BD732" s="90"/>
      <c r="BE732" s="90"/>
      <c r="BF732" s="90"/>
      <c r="BG732" s="90"/>
      <c r="BH732" s="90"/>
      <c r="BI732" s="90"/>
    </row>
    <row r="733" ht="12.75" customHeight="1">
      <c r="A733" s="90"/>
      <c r="B733" s="90"/>
      <c r="C733" s="400"/>
      <c r="D733" s="90"/>
      <c r="E733" s="102"/>
      <c r="F733" s="90"/>
      <c r="G733" s="90"/>
      <c r="H733" s="102"/>
      <c r="I733" s="102"/>
      <c r="J733" s="102"/>
      <c r="K733" s="102"/>
      <c r="L733" s="102"/>
      <c r="M733" s="102"/>
      <c r="N733" s="102"/>
      <c r="O733" s="102"/>
      <c r="P733" s="102"/>
      <c r="Q733" s="102"/>
      <c r="R733" s="102"/>
      <c r="S733" s="102"/>
      <c r="T733" s="102"/>
      <c r="U733" s="102"/>
      <c r="V733" s="102"/>
      <c r="W733" s="102"/>
      <c r="X733" s="102"/>
      <c r="Y733" s="102"/>
      <c r="Z733" s="102"/>
      <c r="AA733" s="102"/>
      <c r="AB733" s="102"/>
      <c r="AC733" s="102"/>
      <c r="AD733" s="102"/>
      <c r="AE733" s="102"/>
      <c r="AF733" s="102"/>
      <c r="AG733" s="102"/>
      <c r="AH733" s="102"/>
      <c r="AI733" s="102"/>
      <c r="AJ733" s="102"/>
      <c r="AK733" s="102"/>
      <c r="AL733" s="102"/>
      <c r="AM733" s="102"/>
      <c r="AN733" s="102"/>
      <c r="AO733" s="400"/>
      <c r="AP733" s="90"/>
      <c r="AQ733" s="90"/>
      <c r="AR733" s="90"/>
      <c r="AS733" s="90"/>
      <c r="AT733" s="90"/>
      <c r="AU733" s="90"/>
      <c r="AV733" s="90"/>
      <c r="AW733" s="90"/>
      <c r="AX733" s="90"/>
      <c r="AY733" s="90"/>
      <c r="AZ733" s="90"/>
      <c r="BA733" s="90"/>
      <c r="BB733" s="90"/>
      <c r="BC733" s="90"/>
      <c r="BD733" s="90"/>
      <c r="BE733" s="90"/>
      <c r="BF733" s="90"/>
      <c r="BG733" s="90"/>
      <c r="BH733" s="90"/>
      <c r="BI733" s="90"/>
    </row>
    <row r="734" ht="12.75" customHeight="1">
      <c r="A734" s="90"/>
      <c r="B734" s="90"/>
      <c r="C734" s="400"/>
      <c r="D734" s="90"/>
      <c r="E734" s="102"/>
      <c r="F734" s="90"/>
      <c r="G734" s="90"/>
      <c r="H734" s="102"/>
      <c r="I734" s="102"/>
      <c r="J734" s="102"/>
      <c r="K734" s="102"/>
      <c r="L734" s="102"/>
      <c r="M734" s="102"/>
      <c r="N734" s="102"/>
      <c r="O734" s="102"/>
      <c r="P734" s="102"/>
      <c r="Q734" s="102"/>
      <c r="R734" s="102"/>
      <c r="S734" s="102"/>
      <c r="T734" s="102"/>
      <c r="U734" s="102"/>
      <c r="V734" s="102"/>
      <c r="W734" s="102"/>
      <c r="X734" s="102"/>
      <c r="Y734" s="102"/>
      <c r="Z734" s="102"/>
      <c r="AA734" s="102"/>
      <c r="AB734" s="102"/>
      <c r="AC734" s="102"/>
      <c r="AD734" s="102"/>
      <c r="AE734" s="102"/>
      <c r="AF734" s="102"/>
      <c r="AG734" s="102"/>
      <c r="AH734" s="102"/>
      <c r="AI734" s="102"/>
      <c r="AJ734" s="102"/>
      <c r="AK734" s="102"/>
      <c r="AL734" s="102"/>
      <c r="AM734" s="102"/>
      <c r="AN734" s="102"/>
      <c r="AO734" s="400"/>
      <c r="AP734" s="90"/>
      <c r="AQ734" s="90"/>
      <c r="AR734" s="90"/>
      <c r="AS734" s="90"/>
      <c r="AT734" s="90"/>
      <c r="AU734" s="90"/>
      <c r="AV734" s="90"/>
      <c r="AW734" s="90"/>
      <c r="AX734" s="90"/>
      <c r="AY734" s="90"/>
      <c r="AZ734" s="90"/>
      <c r="BA734" s="90"/>
      <c r="BB734" s="90"/>
      <c r="BC734" s="90"/>
      <c r="BD734" s="90"/>
      <c r="BE734" s="90"/>
      <c r="BF734" s="90"/>
      <c r="BG734" s="90"/>
      <c r="BH734" s="90"/>
      <c r="BI734" s="90"/>
    </row>
    <row r="735" ht="12.75" customHeight="1">
      <c r="A735" s="90"/>
      <c r="B735" s="90"/>
      <c r="C735" s="400"/>
      <c r="D735" s="90"/>
      <c r="E735" s="102"/>
      <c r="F735" s="90"/>
      <c r="G735" s="90"/>
      <c r="H735" s="102"/>
      <c r="I735" s="102"/>
      <c r="J735" s="102"/>
      <c r="K735" s="102"/>
      <c r="L735" s="102"/>
      <c r="M735" s="102"/>
      <c r="N735" s="102"/>
      <c r="O735" s="102"/>
      <c r="P735" s="102"/>
      <c r="Q735" s="102"/>
      <c r="R735" s="102"/>
      <c r="S735" s="102"/>
      <c r="T735" s="102"/>
      <c r="U735" s="102"/>
      <c r="V735" s="102"/>
      <c r="W735" s="102"/>
      <c r="X735" s="102"/>
      <c r="Y735" s="102"/>
      <c r="Z735" s="102"/>
      <c r="AA735" s="102"/>
      <c r="AB735" s="102"/>
      <c r="AC735" s="102"/>
      <c r="AD735" s="102"/>
      <c r="AE735" s="102"/>
      <c r="AF735" s="102"/>
      <c r="AG735" s="102"/>
      <c r="AH735" s="102"/>
      <c r="AI735" s="102"/>
      <c r="AJ735" s="102"/>
      <c r="AK735" s="102"/>
      <c r="AL735" s="102"/>
      <c r="AM735" s="102"/>
      <c r="AN735" s="102"/>
      <c r="AO735" s="400"/>
      <c r="AP735" s="90"/>
      <c r="AQ735" s="90"/>
      <c r="AR735" s="90"/>
      <c r="AS735" s="90"/>
      <c r="AT735" s="90"/>
      <c r="AU735" s="90"/>
      <c r="AV735" s="90"/>
      <c r="AW735" s="90"/>
      <c r="AX735" s="90"/>
      <c r="AY735" s="90"/>
      <c r="AZ735" s="90"/>
      <c r="BA735" s="90"/>
      <c r="BB735" s="90"/>
      <c r="BC735" s="90"/>
      <c r="BD735" s="90"/>
      <c r="BE735" s="90"/>
      <c r="BF735" s="90"/>
      <c r="BG735" s="90"/>
      <c r="BH735" s="90"/>
      <c r="BI735" s="90"/>
    </row>
    <row r="736" ht="12.75" customHeight="1">
      <c r="A736" s="90"/>
      <c r="B736" s="90"/>
      <c r="C736" s="400"/>
      <c r="D736" s="90"/>
      <c r="E736" s="102"/>
      <c r="F736" s="90"/>
      <c r="G736" s="90"/>
      <c r="H736" s="102"/>
      <c r="I736" s="102"/>
      <c r="J736" s="102"/>
      <c r="K736" s="102"/>
      <c r="L736" s="102"/>
      <c r="M736" s="102"/>
      <c r="N736" s="102"/>
      <c r="O736" s="102"/>
      <c r="P736" s="102"/>
      <c r="Q736" s="102"/>
      <c r="R736" s="102"/>
      <c r="S736" s="102"/>
      <c r="T736" s="102"/>
      <c r="U736" s="102"/>
      <c r="V736" s="102"/>
      <c r="W736" s="102"/>
      <c r="X736" s="102"/>
      <c r="Y736" s="102"/>
      <c r="Z736" s="102"/>
      <c r="AA736" s="102"/>
      <c r="AB736" s="102"/>
      <c r="AC736" s="102"/>
      <c r="AD736" s="102"/>
      <c r="AE736" s="102"/>
      <c r="AF736" s="102"/>
      <c r="AG736" s="102"/>
      <c r="AH736" s="102"/>
      <c r="AI736" s="102"/>
      <c r="AJ736" s="102"/>
      <c r="AK736" s="102"/>
      <c r="AL736" s="102"/>
      <c r="AM736" s="102"/>
      <c r="AN736" s="102"/>
      <c r="AO736" s="400"/>
      <c r="AP736" s="90"/>
      <c r="AQ736" s="90"/>
      <c r="AR736" s="90"/>
      <c r="AS736" s="90"/>
      <c r="AT736" s="90"/>
      <c r="AU736" s="90"/>
      <c r="AV736" s="90"/>
      <c r="AW736" s="90"/>
      <c r="AX736" s="90"/>
      <c r="AY736" s="90"/>
      <c r="AZ736" s="90"/>
      <c r="BA736" s="90"/>
      <c r="BB736" s="90"/>
      <c r="BC736" s="90"/>
      <c r="BD736" s="90"/>
      <c r="BE736" s="90"/>
      <c r="BF736" s="90"/>
      <c r="BG736" s="90"/>
      <c r="BH736" s="90"/>
      <c r="BI736" s="90"/>
    </row>
    <row r="737" ht="12.75" customHeight="1">
      <c r="A737" s="90"/>
      <c r="B737" s="90"/>
      <c r="C737" s="400"/>
      <c r="D737" s="90"/>
      <c r="E737" s="102"/>
      <c r="F737" s="90"/>
      <c r="G737" s="90"/>
      <c r="H737" s="102"/>
      <c r="I737" s="102"/>
      <c r="J737" s="102"/>
      <c r="K737" s="102"/>
      <c r="L737" s="102"/>
      <c r="M737" s="102"/>
      <c r="N737" s="102"/>
      <c r="O737" s="102"/>
      <c r="P737" s="102"/>
      <c r="Q737" s="102"/>
      <c r="R737" s="102"/>
      <c r="S737" s="102"/>
      <c r="T737" s="102"/>
      <c r="U737" s="102"/>
      <c r="V737" s="102"/>
      <c r="W737" s="102"/>
      <c r="X737" s="102"/>
      <c r="Y737" s="102"/>
      <c r="Z737" s="102"/>
      <c r="AA737" s="102"/>
      <c r="AB737" s="102"/>
      <c r="AC737" s="102"/>
      <c r="AD737" s="102"/>
      <c r="AE737" s="102"/>
      <c r="AF737" s="102"/>
      <c r="AG737" s="102"/>
      <c r="AH737" s="102"/>
      <c r="AI737" s="102"/>
      <c r="AJ737" s="102"/>
      <c r="AK737" s="102"/>
      <c r="AL737" s="102"/>
      <c r="AM737" s="102"/>
      <c r="AN737" s="102"/>
      <c r="AO737" s="400"/>
      <c r="AP737" s="90"/>
      <c r="AQ737" s="90"/>
      <c r="AR737" s="90"/>
      <c r="AS737" s="90"/>
      <c r="AT737" s="90"/>
      <c r="AU737" s="90"/>
      <c r="AV737" s="90"/>
      <c r="AW737" s="90"/>
      <c r="AX737" s="90"/>
      <c r="AY737" s="90"/>
      <c r="AZ737" s="90"/>
      <c r="BA737" s="90"/>
      <c r="BB737" s="90"/>
      <c r="BC737" s="90"/>
      <c r="BD737" s="90"/>
      <c r="BE737" s="90"/>
      <c r="BF737" s="90"/>
      <c r="BG737" s="90"/>
      <c r="BH737" s="90"/>
      <c r="BI737" s="90"/>
    </row>
    <row r="738" ht="12.75" customHeight="1">
      <c r="A738" s="90"/>
      <c r="B738" s="90"/>
      <c r="C738" s="400"/>
      <c r="D738" s="90"/>
      <c r="E738" s="102"/>
      <c r="F738" s="90"/>
      <c r="G738" s="90"/>
      <c r="H738" s="102"/>
      <c r="I738" s="102"/>
      <c r="J738" s="102"/>
      <c r="K738" s="102"/>
      <c r="L738" s="102"/>
      <c r="M738" s="102"/>
      <c r="N738" s="102"/>
      <c r="O738" s="102"/>
      <c r="P738" s="102"/>
      <c r="Q738" s="102"/>
      <c r="R738" s="102"/>
      <c r="S738" s="102"/>
      <c r="T738" s="102"/>
      <c r="U738" s="102"/>
      <c r="V738" s="102"/>
      <c r="W738" s="102"/>
      <c r="X738" s="102"/>
      <c r="Y738" s="102"/>
      <c r="Z738" s="102"/>
      <c r="AA738" s="102"/>
      <c r="AB738" s="102"/>
      <c r="AC738" s="102"/>
      <c r="AD738" s="102"/>
      <c r="AE738" s="102"/>
      <c r="AF738" s="102"/>
      <c r="AG738" s="102"/>
      <c r="AH738" s="102"/>
      <c r="AI738" s="102"/>
      <c r="AJ738" s="102"/>
      <c r="AK738" s="102"/>
      <c r="AL738" s="102"/>
      <c r="AM738" s="102"/>
      <c r="AN738" s="102"/>
      <c r="AO738" s="400"/>
      <c r="AP738" s="90"/>
      <c r="AQ738" s="90"/>
      <c r="AR738" s="90"/>
      <c r="AS738" s="90"/>
      <c r="AT738" s="90"/>
      <c r="AU738" s="90"/>
      <c r="AV738" s="90"/>
      <c r="AW738" s="90"/>
      <c r="AX738" s="90"/>
      <c r="AY738" s="90"/>
      <c r="AZ738" s="90"/>
      <c r="BA738" s="90"/>
      <c r="BB738" s="90"/>
      <c r="BC738" s="90"/>
      <c r="BD738" s="90"/>
      <c r="BE738" s="90"/>
      <c r="BF738" s="90"/>
      <c r="BG738" s="90"/>
      <c r="BH738" s="90"/>
      <c r="BI738" s="90"/>
    </row>
    <row r="739" ht="12.75" customHeight="1">
      <c r="A739" s="90"/>
      <c r="B739" s="90"/>
      <c r="C739" s="400"/>
      <c r="D739" s="90"/>
      <c r="E739" s="102"/>
      <c r="F739" s="90"/>
      <c r="G739" s="90"/>
      <c r="H739" s="102"/>
      <c r="I739" s="102"/>
      <c r="J739" s="102"/>
      <c r="K739" s="102"/>
      <c r="L739" s="102"/>
      <c r="M739" s="102"/>
      <c r="N739" s="102"/>
      <c r="O739" s="102"/>
      <c r="P739" s="102"/>
      <c r="Q739" s="102"/>
      <c r="R739" s="102"/>
      <c r="S739" s="102"/>
      <c r="T739" s="102"/>
      <c r="U739" s="102"/>
      <c r="V739" s="102"/>
      <c r="W739" s="102"/>
      <c r="X739" s="102"/>
      <c r="Y739" s="102"/>
      <c r="Z739" s="102"/>
      <c r="AA739" s="102"/>
      <c r="AB739" s="102"/>
      <c r="AC739" s="102"/>
      <c r="AD739" s="102"/>
      <c r="AE739" s="102"/>
      <c r="AF739" s="102"/>
      <c r="AG739" s="102"/>
      <c r="AH739" s="102"/>
      <c r="AI739" s="102"/>
      <c r="AJ739" s="102"/>
      <c r="AK739" s="102"/>
      <c r="AL739" s="102"/>
      <c r="AM739" s="102"/>
      <c r="AN739" s="102"/>
      <c r="AO739" s="400"/>
      <c r="AP739" s="90"/>
      <c r="AQ739" s="90"/>
      <c r="AR739" s="90"/>
      <c r="AS739" s="90"/>
      <c r="AT739" s="90"/>
      <c r="AU739" s="90"/>
      <c r="AV739" s="90"/>
      <c r="AW739" s="90"/>
      <c r="AX739" s="90"/>
      <c r="AY739" s="90"/>
      <c r="AZ739" s="90"/>
      <c r="BA739" s="90"/>
      <c r="BB739" s="90"/>
      <c r="BC739" s="90"/>
      <c r="BD739" s="90"/>
      <c r="BE739" s="90"/>
      <c r="BF739" s="90"/>
      <c r="BG739" s="90"/>
      <c r="BH739" s="90"/>
      <c r="BI739" s="90"/>
    </row>
    <row r="740" ht="12.75" customHeight="1">
      <c r="A740" s="90"/>
      <c r="B740" s="90"/>
      <c r="C740" s="400"/>
      <c r="D740" s="90"/>
      <c r="E740" s="102"/>
      <c r="F740" s="90"/>
      <c r="G740" s="90"/>
      <c r="H740" s="102"/>
      <c r="I740" s="102"/>
      <c r="J740" s="102"/>
      <c r="K740" s="102"/>
      <c r="L740" s="102"/>
      <c r="M740" s="102"/>
      <c r="N740" s="102"/>
      <c r="O740" s="102"/>
      <c r="P740" s="102"/>
      <c r="Q740" s="102"/>
      <c r="R740" s="102"/>
      <c r="S740" s="102"/>
      <c r="T740" s="102"/>
      <c r="U740" s="102"/>
      <c r="V740" s="102"/>
      <c r="W740" s="102"/>
      <c r="X740" s="102"/>
      <c r="Y740" s="102"/>
      <c r="Z740" s="102"/>
      <c r="AA740" s="102"/>
      <c r="AB740" s="102"/>
      <c r="AC740" s="102"/>
      <c r="AD740" s="102"/>
      <c r="AE740" s="102"/>
      <c r="AF740" s="102"/>
      <c r="AG740" s="102"/>
      <c r="AH740" s="102"/>
      <c r="AI740" s="102"/>
      <c r="AJ740" s="102"/>
      <c r="AK740" s="102"/>
      <c r="AL740" s="102"/>
      <c r="AM740" s="102"/>
      <c r="AN740" s="102"/>
      <c r="AO740" s="400"/>
      <c r="AP740" s="90"/>
      <c r="AQ740" s="90"/>
      <c r="AR740" s="90"/>
      <c r="AS740" s="90"/>
      <c r="AT740" s="90"/>
      <c r="AU740" s="90"/>
      <c r="AV740" s="90"/>
      <c r="AW740" s="90"/>
      <c r="AX740" s="90"/>
      <c r="AY740" s="90"/>
      <c r="AZ740" s="90"/>
      <c r="BA740" s="90"/>
      <c r="BB740" s="90"/>
      <c r="BC740" s="90"/>
      <c r="BD740" s="90"/>
      <c r="BE740" s="90"/>
      <c r="BF740" s="90"/>
      <c r="BG740" s="90"/>
      <c r="BH740" s="90"/>
      <c r="BI740" s="90"/>
    </row>
    <row r="741" ht="12.75" customHeight="1">
      <c r="A741" s="90"/>
      <c r="B741" s="90"/>
      <c r="C741" s="400"/>
      <c r="D741" s="90"/>
      <c r="E741" s="102"/>
      <c r="F741" s="90"/>
      <c r="G741" s="90"/>
      <c r="H741" s="102"/>
      <c r="I741" s="102"/>
      <c r="J741" s="102"/>
      <c r="K741" s="102"/>
      <c r="L741" s="102"/>
      <c r="M741" s="102"/>
      <c r="N741" s="102"/>
      <c r="O741" s="102"/>
      <c r="P741" s="102"/>
      <c r="Q741" s="102"/>
      <c r="R741" s="102"/>
      <c r="S741" s="102"/>
      <c r="T741" s="102"/>
      <c r="U741" s="102"/>
      <c r="V741" s="102"/>
      <c r="W741" s="102"/>
      <c r="X741" s="102"/>
      <c r="Y741" s="102"/>
      <c r="Z741" s="102"/>
      <c r="AA741" s="102"/>
      <c r="AB741" s="102"/>
      <c r="AC741" s="102"/>
      <c r="AD741" s="102"/>
      <c r="AE741" s="102"/>
      <c r="AF741" s="102"/>
      <c r="AG741" s="102"/>
      <c r="AH741" s="102"/>
      <c r="AI741" s="102"/>
      <c r="AJ741" s="102"/>
      <c r="AK741" s="102"/>
      <c r="AL741" s="102"/>
      <c r="AM741" s="102"/>
      <c r="AN741" s="102"/>
      <c r="AO741" s="400"/>
      <c r="AP741" s="90"/>
      <c r="AQ741" s="90"/>
      <c r="AR741" s="90"/>
      <c r="AS741" s="90"/>
      <c r="AT741" s="90"/>
      <c r="AU741" s="90"/>
      <c r="AV741" s="90"/>
      <c r="AW741" s="90"/>
      <c r="AX741" s="90"/>
      <c r="AY741" s="90"/>
      <c r="AZ741" s="90"/>
      <c r="BA741" s="90"/>
      <c r="BB741" s="90"/>
      <c r="BC741" s="90"/>
      <c r="BD741" s="90"/>
      <c r="BE741" s="90"/>
      <c r="BF741" s="90"/>
      <c r="BG741" s="90"/>
      <c r="BH741" s="90"/>
      <c r="BI741" s="90"/>
    </row>
    <row r="742" ht="12.75" customHeight="1">
      <c r="A742" s="90"/>
      <c r="B742" s="90"/>
      <c r="C742" s="400"/>
      <c r="D742" s="90"/>
      <c r="E742" s="102"/>
      <c r="F742" s="90"/>
      <c r="G742" s="90"/>
      <c r="H742" s="102"/>
      <c r="I742" s="102"/>
      <c r="J742" s="102"/>
      <c r="K742" s="102"/>
      <c r="L742" s="102"/>
      <c r="M742" s="102"/>
      <c r="N742" s="102"/>
      <c r="O742" s="102"/>
      <c r="P742" s="102"/>
      <c r="Q742" s="102"/>
      <c r="R742" s="102"/>
      <c r="S742" s="102"/>
      <c r="T742" s="102"/>
      <c r="U742" s="102"/>
      <c r="V742" s="102"/>
      <c r="W742" s="102"/>
      <c r="X742" s="102"/>
      <c r="Y742" s="102"/>
      <c r="Z742" s="102"/>
      <c r="AA742" s="102"/>
      <c r="AB742" s="102"/>
      <c r="AC742" s="102"/>
      <c r="AD742" s="102"/>
      <c r="AE742" s="102"/>
      <c r="AF742" s="102"/>
      <c r="AG742" s="102"/>
      <c r="AH742" s="102"/>
      <c r="AI742" s="102"/>
      <c r="AJ742" s="102"/>
      <c r="AK742" s="102"/>
      <c r="AL742" s="102"/>
      <c r="AM742" s="102"/>
      <c r="AN742" s="102"/>
      <c r="AO742" s="400"/>
      <c r="AP742" s="90"/>
      <c r="AQ742" s="90"/>
      <c r="AR742" s="90"/>
      <c r="AS742" s="90"/>
      <c r="AT742" s="90"/>
      <c r="AU742" s="90"/>
      <c r="AV742" s="90"/>
      <c r="AW742" s="90"/>
      <c r="AX742" s="90"/>
      <c r="AY742" s="90"/>
      <c r="AZ742" s="90"/>
      <c r="BA742" s="90"/>
      <c r="BB742" s="90"/>
      <c r="BC742" s="90"/>
      <c r="BD742" s="90"/>
      <c r="BE742" s="90"/>
      <c r="BF742" s="90"/>
      <c r="BG742" s="90"/>
      <c r="BH742" s="90"/>
      <c r="BI742" s="90"/>
    </row>
    <row r="743" ht="12.75" customHeight="1">
      <c r="A743" s="90"/>
      <c r="B743" s="90"/>
      <c r="C743" s="400"/>
      <c r="D743" s="90"/>
      <c r="E743" s="102"/>
      <c r="F743" s="90"/>
      <c r="G743" s="90"/>
      <c r="H743" s="102"/>
      <c r="I743" s="102"/>
      <c r="J743" s="102"/>
      <c r="K743" s="102"/>
      <c r="L743" s="102"/>
      <c r="M743" s="102"/>
      <c r="N743" s="102"/>
      <c r="O743" s="102"/>
      <c r="P743" s="102"/>
      <c r="Q743" s="102"/>
      <c r="R743" s="102"/>
      <c r="S743" s="102"/>
      <c r="T743" s="102"/>
      <c r="U743" s="102"/>
      <c r="V743" s="102"/>
      <c r="W743" s="102"/>
      <c r="X743" s="102"/>
      <c r="Y743" s="102"/>
      <c r="Z743" s="102"/>
      <c r="AA743" s="102"/>
      <c r="AB743" s="102"/>
      <c r="AC743" s="102"/>
      <c r="AD743" s="102"/>
      <c r="AE743" s="102"/>
      <c r="AF743" s="102"/>
      <c r="AG743" s="102"/>
      <c r="AH743" s="102"/>
      <c r="AI743" s="102"/>
      <c r="AJ743" s="102"/>
      <c r="AK743" s="102"/>
      <c r="AL743" s="102"/>
      <c r="AM743" s="102"/>
      <c r="AN743" s="102"/>
      <c r="AO743" s="400"/>
      <c r="AP743" s="90"/>
      <c r="AQ743" s="90"/>
      <c r="AR743" s="90"/>
      <c r="AS743" s="90"/>
      <c r="AT743" s="90"/>
      <c r="AU743" s="90"/>
      <c r="AV743" s="90"/>
      <c r="AW743" s="90"/>
      <c r="AX743" s="90"/>
      <c r="AY743" s="90"/>
      <c r="AZ743" s="90"/>
      <c r="BA743" s="90"/>
      <c r="BB743" s="90"/>
      <c r="BC743" s="90"/>
      <c r="BD743" s="90"/>
      <c r="BE743" s="90"/>
      <c r="BF743" s="90"/>
      <c r="BG743" s="90"/>
      <c r="BH743" s="90"/>
      <c r="BI743" s="90"/>
    </row>
    <row r="744" ht="12.75" customHeight="1">
      <c r="A744" s="90"/>
      <c r="B744" s="90"/>
      <c r="C744" s="400"/>
      <c r="D744" s="90"/>
      <c r="E744" s="102"/>
      <c r="F744" s="90"/>
      <c r="G744" s="90"/>
      <c r="H744" s="102"/>
      <c r="I744" s="102"/>
      <c r="J744" s="102"/>
      <c r="K744" s="102"/>
      <c r="L744" s="102"/>
      <c r="M744" s="102"/>
      <c r="N744" s="102"/>
      <c r="O744" s="102"/>
      <c r="P744" s="102"/>
      <c r="Q744" s="102"/>
      <c r="R744" s="102"/>
      <c r="S744" s="102"/>
      <c r="T744" s="102"/>
      <c r="U744" s="102"/>
      <c r="V744" s="102"/>
      <c r="W744" s="102"/>
      <c r="X744" s="102"/>
      <c r="Y744" s="102"/>
      <c r="Z744" s="102"/>
      <c r="AA744" s="102"/>
      <c r="AB744" s="102"/>
      <c r="AC744" s="102"/>
      <c r="AD744" s="102"/>
      <c r="AE744" s="102"/>
      <c r="AF744" s="102"/>
      <c r="AG744" s="102"/>
      <c r="AH744" s="102"/>
      <c r="AI744" s="102"/>
      <c r="AJ744" s="102"/>
      <c r="AK744" s="102"/>
      <c r="AL744" s="102"/>
      <c r="AM744" s="102"/>
      <c r="AN744" s="102"/>
      <c r="AO744" s="400"/>
      <c r="AP744" s="90"/>
      <c r="AQ744" s="90"/>
      <c r="AR744" s="90"/>
      <c r="AS744" s="90"/>
      <c r="AT744" s="90"/>
      <c r="AU744" s="90"/>
      <c r="AV744" s="90"/>
      <c r="AW744" s="90"/>
      <c r="AX744" s="90"/>
      <c r="AY744" s="90"/>
      <c r="AZ744" s="90"/>
      <c r="BA744" s="90"/>
      <c r="BB744" s="90"/>
      <c r="BC744" s="90"/>
      <c r="BD744" s="90"/>
      <c r="BE744" s="90"/>
      <c r="BF744" s="90"/>
      <c r="BG744" s="90"/>
      <c r="BH744" s="90"/>
      <c r="BI744" s="90"/>
    </row>
    <row r="745" ht="12.75" customHeight="1">
      <c r="A745" s="90"/>
      <c r="B745" s="90"/>
      <c r="C745" s="400"/>
      <c r="D745" s="90"/>
      <c r="E745" s="102"/>
      <c r="F745" s="90"/>
      <c r="G745" s="90"/>
      <c r="H745" s="102"/>
      <c r="I745" s="102"/>
      <c r="J745" s="102"/>
      <c r="K745" s="102"/>
      <c r="L745" s="102"/>
      <c r="M745" s="102"/>
      <c r="N745" s="102"/>
      <c r="O745" s="102"/>
      <c r="P745" s="102"/>
      <c r="Q745" s="102"/>
      <c r="R745" s="102"/>
      <c r="S745" s="102"/>
      <c r="T745" s="102"/>
      <c r="U745" s="102"/>
      <c r="V745" s="102"/>
      <c r="W745" s="102"/>
      <c r="X745" s="102"/>
      <c r="Y745" s="102"/>
      <c r="Z745" s="102"/>
      <c r="AA745" s="102"/>
      <c r="AB745" s="102"/>
      <c r="AC745" s="102"/>
      <c r="AD745" s="102"/>
      <c r="AE745" s="102"/>
      <c r="AF745" s="102"/>
      <c r="AG745" s="102"/>
      <c r="AH745" s="102"/>
      <c r="AI745" s="102"/>
      <c r="AJ745" s="102"/>
      <c r="AK745" s="102"/>
      <c r="AL745" s="102"/>
      <c r="AM745" s="102"/>
      <c r="AN745" s="102"/>
      <c r="AO745" s="400"/>
      <c r="AP745" s="90"/>
      <c r="AQ745" s="90"/>
      <c r="AR745" s="90"/>
      <c r="AS745" s="90"/>
      <c r="AT745" s="90"/>
      <c r="AU745" s="90"/>
      <c r="AV745" s="90"/>
      <c r="AW745" s="90"/>
      <c r="AX745" s="90"/>
      <c r="AY745" s="90"/>
      <c r="AZ745" s="90"/>
      <c r="BA745" s="90"/>
      <c r="BB745" s="90"/>
      <c r="BC745" s="90"/>
      <c r="BD745" s="90"/>
      <c r="BE745" s="90"/>
      <c r="BF745" s="90"/>
      <c r="BG745" s="90"/>
      <c r="BH745" s="90"/>
      <c r="BI745" s="90"/>
    </row>
    <row r="746" ht="12.75" customHeight="1">
      <c r="A746" s="90"/>
      <c r="B746" s="90"/>
      <c r="C746" s="400"/>
      <c r="D746" s="90"/>
      <c r="E746" s="102"/>
      <c r="F746" s="90"/>
      <c r="G746" s="90"/>
      <c r="H746" s="102"/>
      <c r="I746" s="102"/>
      <c r="J746" s="102"/>
      <c r="K746" s="102"/>
      <c r="L746" s="102"/>
      <c r="M746" s="102"/>
      <c r="N746" s="102"/>
      <c r="O746" s="102"/>
      <c r="P746" s="102"/>
      <c r="Q746" s="102"/>
      <c r="R746" s="102"/>
      <c r="S746" s="102"/>
      <c r="T746" s="102"/>
      <c r="U746" s="102"/>
      <c r="V746" s="102"/>
      <c r="W746" s="102"/>
      <c r="X746" s="102"/>
      <c r="Y746" s="102"/>
      <c r="Z746" s="102"/>
      <c r="AA746" s="102"/>
      <c r="AB746" s="102"/>
      <c r="AC746" s="102"/>
      <c r="AD746" s="102"/>
      <c r="AE746" s="102"/>
      <c r="AF746" s="102"/>
      <c r="AG746" s="102"/>
      <c r="AH746" s="102"/>
      <c r="AI746" s="102"/>
      <c r="AJ746" s="102"/>
      <c r="AK746" s="102"/>
      <c r="AL746" s="102"/>
      <c r="AM746" s="102"/>
      <c r="AN746" s="102"/>
      <c r="AO746" s="400"/>
      <c r="AP746" s="90"/>
      <c r="AQ746" s="90"/>
      <c r="AR746" s="90"/>
      <c r="AS746" s="90"/>
      <c r="AT746" s="90"/>
      <c r="AU746" s="90"/>
      <c r="AV746" s="90"/>
      <c r="AW746" s="90"/>
      <c r="AX746" s="90"/>
      <c r="AY746" s="90"/>
      <c r="AZ746" s="90"/>
      <c r="BA746" s="90"/>
      <c r="BB746" s="90"/>
      <c r="BC746" s="90"/>
      <c r="BD746" s="90"/>
      <c r="BE746" s="90"/>
      <c r="BF746" s="90"/>
      <c r="BG746" s="90"/>
      <c r="BH746" s="90"/>
      <c r="BI746" s="90"/>
    </row>
    <row r="747" ht="12.75" customHeight="1">
      <c r="A747" s="90"/>
      <c r="B747" s="90"/>
      <c r="C747" s="400"/>
      <c r="D747" s="90"/>
      <c r="E747" s="102"/>
      <c r="F747" s="90"/>
      <c r="G747" s="90"/>
      <c r="H747" s="102"/>
      <c r="I747" s="102"/>
      <c r="J747" s="102"/>
      <c r="K747" s="102"/>
      <c r="L747" s="102"/>
      <c r="M747" s="102"/>
      <c r="N747" s="102"/>
      <c r="O747" s="102"/>
      <c r="P747" s="102"/>
      <c r="Q747" s="102"/>
      <c r="R747" s="102"/>
      <c r="S747" s="102"/>
      <c r="T747" s="102"/>
      <c r="U747" s="102"/>
      <c r="V747" s="102"/>
      <c r="W747" s="102"/>
      <c r="X747" s="102"/>
      <c r="Y747" s="102"/>
      <c r="Z747" s="102"/>
      <c r="AA747" s="102"/>
      <c r="AB747" s="102"/>
      <c r="AC747" s="102"/>
      <c r="AD747" s="102"/>
      <c r="AE747" s="102"/>
      <c r="AF747" s="102"/>
      <c r="AG747" s="102"/>
      <c r="AH747" s="102"/>
      <c r="AI747" s="102"/>
      <c r="AJ747" s="102"/>
      <c r="AK747" s="102"/>
      <c r="AL747" s="102"/>
      <c r="AM747" s="102"/>
      <c r="AN747" s="102"/>
      <c r="AO747" s="400"/>
      <c r="AP747" s="90"/>
      <c r="AQ747" s="90"/>
      <c r="AR747" s="90"/>
      <c r="AS747" s="90"/>
      <c r="AT747" s="90"/>
      <c r="AU747" s="90"/>
      <c r="AV747" s="90"/>
      <c r="AW747" s="90"/>
      <c r="AX747" s="90"/>
      <c r="AY747" s="90"/>
      <c r="AZ747" s="90"/>
      <c r="BA747" s="90"/>
      <c r="BB747" s="90"/>
      <c r="BC747" s="90"/>
      <c r="BD747" s="90"/>
      <c r="BE747" s="90"/>
      <c r="BF747" s="90"/>
      <c r="BG747" s="90"/>
      <c r="BH747" s="90"/>
      <c r="BI747" s="90"/>
    </row>
    <row r="748" ht="12.75" customHeight="1">
      <c r="A748" s="90"/>
      <c r="B748" s="90"/>
      <c r="C748" s="400"/>
      <c r="D748" s="90"/>
      <c r="E748" s="102"/>
      <c r="F748" s="90"/>
      <c r="G748" s="90"/>
      <c r="H748" s="102"/>
      <c r="I748" s="102"/>
      <c r="J748" s="102"/>
      <c r="K748" s="102"/>
      <c r="L748" s="102"/>
      <c r="M748" s="102"/>
      <c r="N748" s="102"/>
      <c r="O748" s="102"/>
      <c r="P748" s="102"/>
      <c r="Q748" s="102"/>
      <c r="R748" s="102"/>
      <c r="S748" s="102"/>
      <c r="T748" s="102"/>
      <c r="U748" s="102"/>
      <c r="V748" s="102"/>
      <c r="W748" s="102"/>
      <c r="X748" s="102"/>
      <c r="Y748" s="102"/>
      <c r="Z748" s="102"/>
      <c r="AA748" s="102"/>
      <c r="AB748" s="102"/>
      <c r="AC748" s="102"/>
      <c r="AD748" s="102"/>
      <c r="AE748" s="102"/>
      <c r="AF748" s="102"/>
      <c r="AG748" s="102"/>
      <c r="AH748" s="102"/>
      <c r="AI748" s="102"/>
      <c r="AJ748" s="102"/>
      <c r="AK748" s="102"/>
      <c r="AL748" s="102"/>
      <c r="AM748" s="102"/>
      <c r="AN748" s="102"/>
      <c r="AO748" s="400"/>
      <c r="AP748" s="90"/>
      <c r="AQ748" s="90"/>
      <c r="AR748" s="90"/>
      <c r="AS748" s="90"/>
      <c r="AT748" s="90"/>
      <c r="AU748" s="90"/>
      <c r="AV748" s="90"/>
      <c r="AW748" s="90"/>
      <c r="AX748" s="90"/>
      <c r="AY748" s="90"/>
      <c r="AZ748" s="90"/>
      <c r="BA748" s="90"/>
      <c r="BB748" s="90"/>
      <c r="BC748" s="90"/>
      <c r="BD748" s="90"/>
      <c r="BE748" s="90"/>
      <c r="BF748" s="90"/>
      <c r="BG748" s="90"/>
      <c r="BH748" s="90"/>
      <c r="BI748" s="90"/>
    </row>
    <row r="749" ht="12.75" customHeight="1">
      <c r="A749" s="90"/>
      <c r="B749" s="90"/>
      <c r="C749" s="400"/>
      <c r="D749" s="90"/>
      <c r="E749" s="102"/>
      <c r="F749" s="90"/>
      <c r="G749" s="90"/>
      <c r="H749" s="102"/>
      <c r="I749" s="102"/>
      <c r="J749" s="102"/>
      <c r="K749" s="102"/>
      <c r="L749" s="102"/>
      <c r="M749" s="102"/>
      <c r="N749" s="102"/>
      <c r="O749" s="102"/>
      <c r="P749" s="102"/>
      <c r="Q749" s="102"/>
      <c r="R749" s="102"/>
      <c r="S749" s="102"/>
      <c r="T749" s="102"/>
      <c r="U749" s="102"/>
      <c r="V749" s="102"/>
      <c r="W749" s="102"/>
      <c r="X749" s="102"/>
      <c r="Y749" s="102"/>
      <c r="Z749" s="102"/>
      <c r="AA749" s="102"/>
      <c r="AB749" s="102"/>
      <c r="AC749" s="102"/>
      <c r="AD749" s="102"/>
      <c r="AE749" s="102"/>
      <c r="AF749" s="102"/>
      <c r="AG749" s="102"/>
      <c r="AH749" s="102"/>
      <c r="AI749" s="102"/>
      <c r="AJ749" s="102"/>
      <c r="AK749" s="102"/>
      <c r="AL749" s="102"/>
      <c r="AM749" s="102"/>
      <c r="AN749" s="102"/>
      <c r="AO749" s="400"/>
      <c r="AP749" s="90"/>
      <c r="AQ749" s="90"/>
      <c r="AR749" s="90"/>
      <c r="AS749" s="90"/>
      <c r="AT749" s="90"/>
      <c r="AU749" s="90"/>
      <c r="AV749" s="90"/>
      <c r="AW749" s="90"/>
      <c r="AX749" s="90"/>
      <c r="AY749" s="90"/>
      <c r="AZ749" s="90"/>
      <c r="BA749" s="90"/>
      <c r="BB749" s="90"/>
      <c r="BC749" s="90"/>
      <c r="BD749" s="90"/>
      <c r="BE749" s="90"/>
      <c r="BF749" s="90"/>
      <c r="BG749" s="90"/>
      <c r="BH749" s="90"/>
      <c r="BI749" s="90"/>
    </row>
    <row r="750" ht="12.75" customHeight="1">
      <c r="A750" s="90"/>
      <c r="B750" s="90"/>
      <c r="C750" s="400"/>
      <c r="D750" s="90"/>
      <c r="E750" s="102"/>
      <c r="F750" s="90"/>
      <c r="G750" s="90"/>
      <c r="H750" s="102"/>
      <c r="I750" s="102"/>
      <c r="J750" s="102"/>
      <c r="K750" s="102"/>
      <c r="L750" s="102"/>
      <c r="M750" s="102"/>
      <c r="N750" s="102"/>
      <c r="O750" s="102"/>
      <c r="P750" s="102"/>
      <c r="Q750" s="102"/>
      <c r="R750" s="102"/>
      <c r="S750" s="102"/>
      <c r="T750" s="102"/>
      <c r="U750" s="102"/>
      <c r="V750" s="102"/>
      <c r="W750" s="102"/>
      <c r="X750" s="102"/>
      <c r="Y750" s="102"/>
      <c r="Z750" s="102"/>
      <c r="AA750" s="102"/>
      <c r="AB750" s="102"/>
      <c r="AC750" s="102"/>
      <c r="AD750" s="102"/>
      <c r="AE750" s="102"/>
      <c r="AF750" s="102"/>
      <c r="AG750" s="102"/>
      <c r="AH750" s="102"/>
      <c r="AI750" s="102"/>
      <c r="AJ750" s="102"/>
      <c r="AK750" s="102"/>
      <c r="AL750" s="102"/>
      <c r="AM750" s="102"/>
      <c r="AN750" s="102"/>
      <c r="AO750" s="400"/>
      <c r="AP750" s="90"/>
      <c r="AQ750" s="90"/>
      <c r="AR750" s="90"/>
      <c r="AS750" s="90"/>
      <c r="AT750" s="90"/>
      <c r="AU750" s="90"/>
      <c r="AV750" s="90"/>
      <c r="AW750" s="90"/>
      <c r="AX750" s="90"/>
      <c r="AY750" s="90"/>
      <c r="AZ750" s="90"/>
      <c r="BA750" s="90"/>
      <c r="BB750" s="90"/>
      <c r="BC750" s="90"/>
      <c r="BD750" s="90"/>
      <c r="BE750" s="90"/>
      <c r="BF750" s="90"/>
      <c r="BG750" s="90"/>
      <c r="BH750" s="90"/>
      <c r="BI750" s="90"/>
    </row>
    <row r="751" ht="12.75" customHeight="1">
      <c r="A751" s="90"/>
      <c r="B751" s="90"/>
      <c r="C751" s="400"/>
      <c r="D751" s="90"/>
      <c r="E751" s="102"/>
      <c r="F751" s="90"/>
      <c r="G751" s="90"/>
      <c r="H751" s="102"/>
      <c r="I751" s="102"/>
      <c r="J751" s="102"/>
      <c r="K751" s="102"/>
      <c r="L751" s="102"/>
      <c r="M751" s="102"/>
      <c r="N751" s="102"/>
      <c r="O751" s="102"/>
      <c r="P751" s="102"/>
      <c r="Q751" s="102"/>
      <c r="R751" s="102"/>
      <c r="S751" s="102"/>
      <c r="T751" s="102"/>
      <c r="U751" s="102"/>
      <c r="V751" s="102"/>
      <c r="W751" s="102"/>
      <c r="X751" s="102"/>
      <c r="Y751" s="102"/>
      <c r="Z751" s="102"/>
      <c r="AA751" s="102"/>
      <c r="AB751" s="102"/>
      <c r="AC751" s="102"/>
      <c r="AD751" s="102"/>
      <c r="AE751" s="102"/>
      <c r="AF751" s="102"/>
      <c r="AG751" s="102"/>
      <c r="AH751" s="102"/>
      <c r="AI751" s="102"/>
      <c r="AJ751" s="102"/>
      <c r="AK751" s="102"/>
      <c r="AL751" s="102"/>
      <c r="AM751" s="102"/>
      <c r="AN751" s="102"/>
      <c r="AO751" s="400"/>
      <c r="AP751" s="90"/>
      <c r="AQ751" s="90"/>
      <c r="AR751" s="90"/>
      <c r="AS751" s="90"/>
      <c r="AT751" s="90"/>
      <c r="AU751" s="90"/>
      <c r="AV751" s="90"/>
      <c r="AW751" s="90"/>
      <c r="AX751" s="90"/>
      <c r="AY751" s="90"/>
      <c r="AZ751" s="90"/>
      <c r="BA751" s="90"/>
      <c r="BB751" s="90"/>
      <c r="BC751" s="90"/>
      <c r="BD751" s="90"/>
      <c r="BE751" s="90"/>
      <c r="BF751" s="90"/>
      <c r="BG751" s="90"/>
      <c r="BH751" s="90"/>
      <c r="BI751" s="90"/>
    </row>
    <row r="752" ht="12.75" customHeight="1">
      <c r="A752" s="90"/>
      <c r="B752" s="90"/>
      <c r="C752" s="400"/>
      <c r="D752" s="90"/>
      <c r="E752" s="102"/>
      <c r="F752" s="90"/>
      <c r="G752" s="90"/>
      <c r="H752" s="102"/>
      <c r="I752" s="102"/>
      <c r="J752" s="102"/>
      <c r="K752" s="102"/>
      <c r="L752" s="102"/>
      <c r="M752" s="102"/>
      <c r="N752" s="102"/>
      <c r="O752" s="102"/>
      <c r="P752" s="102"/>
      <c r="Q752" s="102"/>
      <c r="R752" s="102"/>
      <c r="S752" s="102"/>
      <c r="T752" s="102"/>
      <c r="U752" s="102"/>
      <c r="V752" s="102"/>
      <c r="W752" s="102"/>
      <c r="X752" s="102"/>
      <c r="Y752" s="102"/>
      <c r="Z752" s="102"/>
      <c r="AA752" s="102"/>
      <c r="AB752" s="102"/>
      <c r="AC752" s="102"/>
      <c r="AD752" s="102"/>
      <c r="AE752" s="102"/>
      <c r="AF752" s="102"/>
      <c r="AG752" s="102"/>
      <c r="AH752" s="102"/>
      <c r="AI752" s="102"/>
      <c r="AJ752" s="102"/>
      <c r="AK752" s="102"/>
      <c r="AL752" s="102"/>
      <c r="AM752" s="102"/>
      <c r="AN752" s="102"/>
      <c r="AO752" s="400"/>
      <c r="AP752" s="90"/>
      <c r="AQ752" s="90"/>
      <c r="AR752" s="90"/>
      <c r="AS752" s="90"/>
      <c r="AT752" s="90"/>
      <c r="AU752" s="90"/>
      <c r="AV752" s="90"/>
      <c r="AW752" s="90"/>
      <c r="AX752" s="90"/>
      <c r="AY752" s="90"/>
      <c r="AZ752" s="90"/>
      <c r="BA752" s="90"/>
      <c r="BB752" s="90"/>
      <c r="BC752" s="90"/>
      <c r="BD752" s="90"/>
      <c r="BE752" s="90"/>
      <c r="BF752" s="90"/>
      <c r="BG752" s="90"/>
      <c r="BH752" s="90"/>
      <c r="BI752" s="90"/>
    </row>
    <row r="753" ht="12.75" customHeight="1">
      <c r="A753" s="90"/>
      <c r="B753" s="90"/>
      <c r="C753" s="400"/>
      <c r="D753" s="90"/>
      <c r="E753" s="102"/>
      <c r="F753" s="90"/>
      <c r="G753" s="90"/>
      <c r="H753" s="102"/>
      <c r="I753" s="102"/>
      <c r="J753" s="102"/>
      <c r="K753" s="102"/>
      <c r="L753" s="102"/>
      <c r="M753" s="102"/>
      <c r="N753" s="102"/>
      <c r="O753" s="102"/>
      <c r="P753" s="102"/>
      <c r="Q753" s="102"/>
      <c r="R753" s="102"/>
      <c r="S753" s="102"/>
      <c r="T753" s="102"/>
      <c r="U753" s="102"/>
      <c r="V753" s="102"/>
      <c r="W753" s="102"/>
      <c r="X753" s="102"/>
      <c r="Y753" s="102"/>
      <c r="Z753" s="102"/>
      <c r="AA753" s="102"/>
      <c r="AB753" s="102"/>
      <c r="AC753" s="102"/>
      <c r="AD753" s="102"/>
      <c r="AE753" s="102"/>
      <c r="AF753" s="102"/>
      <c r="AG753" s="102"/>
      <c r="AH753" s="102"/>
      <c r="AI753" s="102"/>
      <c r="AJ753" s="102"/>
      <c r="AK753" s="102"/>
      <c r="AL753" s="102"/>
      <c r="AM753" s="102"/>
      <c r="AN753" s="102"/>
      <c r="AO753" s="400"/>
      <c r="AP753" s="90"/>
      <c r="AQ753" s="90"/>
      <c r="AR753" s="90"/>
      <c r="AS753" s="90"/>
      <c r="AT753" s="90"/>
      <c r="AU753" s="90"/>
      <c r="AV753" s="90"/>
      <c r="AW753" s="90"/>
      <c r="AX753" s="90"/>
      <c r="AY753" s="90"/>
      <c r="AZ753" s="90"/>
      <c r="BA753" s="90"/>
      <c r="BB753" s="90"/>
      <c r="BC753" s="90"/>
      <c r="BD753" s="90"/>
      <c r="BE753" s="90"/>
      <c r="BF753" s="90"/>
      <c r="BG753" s="90"/>
      <c r="BH753" s="90"/>
      <c r="BI753" s="90"/>
    </row>
    <row r="754" ht="12.75" customHeight="1">
      <c r="A754" s="90"/>
      <c r="B754" s="90"/>
      <c r="C754" s="400"/>
      <c r="D754" s="90"/>
      <c r="E754" s="102"/>
      <c r="F754" s="90"/>
      <c r="G754" s="90"/>
      <c r="H754" s="102"/>
      <c r="I754" s="102"/>
      <c r="J754" s="102"/>
      <c r="K754" s="102"/>
      <c r="L754" s="102"/>
      <c r="M754" s="102"/>
      <c r="N754" s="102"/>
      <c r="O754" s="102"/>
      <c r="P754" s="102"/>
      <c r="Q754" s="102"/>
      <c r="R754" s="102"/>
      <c r="S754" s="102"/>
      <c r="T754" s="102"/>
      <c r="U754" s="102"/>
      <c r="V754" s="102"/>
      <c r="W754" s="102"/>
      <c r="X754" s="102"/>
      <c r="Y754" s="102"/>
      <c r="Z754" s="102"/>
      <c r="AA754" s="102"/>
      <c r="AB754" s="102"/>
      <c r="AC754" s="102"/>
      <c r="AD754" s="102"/>
      <c r="AE754" s="102"/>
      <c r="AF754" s="102"/>
      <c r="AG754" s="102"/>
      <c r="AH754" s="102"/>
      <c r="AI754" s="102"/>
      <c r="AJ754" s="102"/>
      <c r="AK754" s="102"/>
      <c r="AL754" s="102"/>
      <c r="AM754" s="102"/>
      <c r="AN754" s="102"/>
      <c r="AO754" s="400"/>
      <c r="AP754" s="90"/>
      <c r="AQ754" s="90"/>
      <c r="AR754" s="90"/>
      <c r="AS754" s="90"/>
      <c r="AT754" s="90"/>
      <c r="AU754" s="90"/>
      <c r="AV754" s="90"/>
      <c r="AW754" s="90"/>
      <c r="AX754" s="90"/>
      <c r="AY754" s="90"/>
      <c r="AZ754" s="90"/>
      <c r="BA754" s="90"/>
      <c r="BB754" s="90"/>
      <c r="BC754" s="90"/>
      <c r="BD754" s="90"/>
      <c r="BE754" s="90"/>
      <c r="BF754" s="90"/>
      <c r="BG754" s="90"/>
      <c r="BH754" s="90"/>
      <c r="BI754" s="90"/>
    </row>
    <row r="755" ht="12.75" customHeight="1">
      <c r="A755" s="90"/>
      <c r="B755" s="90"/>
      <c r="C755" s="400"/>
      <c r="D755" s="90"/>
      <c r="E755" s="102"/>
      <c r="F755" s="90"/>
      <c r="G755" s="90"/>
      <c r="H755" s="102"/>
      <c r="I755" s="102"/>
      <c r="J755" s="102"/>
      <c r="K755" s="102"/>
      <c r="L755" s="102"/>
      <c r="M755" s="102"/>
      <c r="N755" s="102"/>
      <c r="O755" s="102"/>
      <c r="P755" s="102"/>
      <c r="Q755" s="102"/>
      <c r="R755" s="102"/>
      <c r="S755" s="102"/>
      <c r="T755" s="102"/>
      <c r="U755" s="102"/>
      <c r="V755" s="102"/>
      <c r="W755" s="102"/>
      <c r="X755" s="102"/>
      <c r="Y755" s="102"/>
      <c r="Z755" s="102"/>
      <c r="AA755" s="102"/>
      <c r="AB755" s="102"/>
      <c r="AC755" s="102"/>
      <c r="AD755" s="102"/>
      <c r="AE755" s="102"/>
      <c r="AF755" s="102"/>
      <c r="AG755" s="102"/>
      <c r="AH755" s="102"/>
      <c r="AI755" s="102"/>
      <c r="AJ755" s="102"/>
      <c r="AK755" s="102"/>
      <c r="AL755" s="102"/>
      <c r="AM755" s="102"/>
      <c r="AN755" s="102"/>
      <c r="AO755" s="400"/>
      <c r="AP755" s="90"/>
      <c r="AQ755" s="90"/>
      <c r="AR755" s="90"/>
      <c r="AS755" s="90"/>
      <c r="AT755" s="90"/>
      <c r="AU755" s="90"/>
      <c r="AV755" s="90"/>
      <c r="AW755" s="90"/>
      <c r="AX755" s="90"/>
      <c r="AY755" s="90"/>
      <c r="AZ755" s="90"/>
      <c r="BA755" s="90"/>
      <c r="BB755" s="90"/>
      <c r="BC755" s="90"/>
      <c r="BD755" s="90"/>
      <c r="BE755" s="90"/>
      <c r="BF755" s="90"/>
      <c r="BG755" s="90"/>
      <c r="BH755" s="90"/>
      <c r="BI755" s="90"/>
    </row>
    <row r="756" ht="12.75" customHeight="1">
      <c r="A756" s="90"/>
      <c r="B756" s="90"/>
      <c r="C756" s="400"/>
      <c r="D756" s="90"/>
      <c r="E756" s="102"/>
      <c r="F756" s="90"/>
      <c r="G756" s="90"/>
      <c r="H756" s="102"/>
      <c r="I756" s="102"/>
      <c r="J756" s="102"/>
      <c r="K756" s="102"/>
      <c r="L756" s="102"/>
      <c r="M756" s="102"/>
      <c r="N756" s="102"/>
      <c r="O756" s="102"/>
      <c r="P756" s="102"/>
      <c r="Q756" s="102"/>
      <c r="R756" s="102"/>
      <c r="S756" s="102"/>
      <c r="T756" s="102"/>
      <c r="U756" s="102"/>
      <c r="V756" s="102"/>
      <c r="W756" s="102"/>
      <c r="X756" s="102"/>
      <c r="Y756" s="102"/>
      <c r="Z756" s="102"/>
      <c r="AA756" s="102"/>
      <c r="AB756" s="102"/>
      <c r="AC756" s="102"/>
      <c r="AD756" s="102"/>
      <c r="AE756" s="102"/>
      <c r="AF756" s="102"/>
      <c r="AG756" s="102"/>
      <c r="AH756" s="102"/>
      <c r="AI756" s="102"/>
      <c r="AJ756" s="102"/>
      <c r="AK756" s="102"/>
      <c r="AL756" s="102"/>
      <c r="AM756" s="102"/>
      <c r="AN756" s="102"/>
      <c r="AO756" s="400"/>
      <c r="AP756" s="90"/>
      <c r="AQ756" s="90"/>
      <c r="AR756" s="90"/>
      <c r="AS756" s="90"/>
      <c r="AT756" s="90"/>
      <c r="AU756" s="90"/>
      <c r="AV756" s="90"/>
      <c r="AW756" s="90"/>
      <c r="AX756" s="90"/>
      <c r="AY756" s="90"/>
      <c r="AZ756" s="90"/>
      <c r="BA756" s="90"/>
      <c r="BB756" s="90"/>
      <c r="BC756" s="90"/>
      <c r="BD756" s="90"/>
      <c r="BE756" s="90"/>
      <c r="BF756" s="90"/>
      <c r="BG756" s="90"/>
      <c r="BH756" s="90"/>
      <c r="BI756" s="90"/>
    </row>
    <row r="757" ht="12.75" customHeight="1">
      <c r="A757" s="90"/>
      <c r="B757" s="90"/>
      <c r="C757" s="400"/>
      <c r="D757" s="90"/>
      <c r="E757" s="102"/>
      <c r="F757" s="90"/>
      <c r="G757" s="90"/>
      <c r="H757" s="102"/>
      <c r="I757" s="102"/>
      <c r="J757" s="102"/>
      <c r="K757" s="102"/>
      <c r="L757" s="102"/>
      <c r="M757" s="102"/>
      <c r="N757" s="102"/>
      <c r="O757" s="102"/>
      <c r="P757" s="102"/>
      <c r="Q757" s="102"/>
      <c r="R757" s="102"/>
      <c r="S757" s="102"/>
      <c r="T757" s="102"/>
      <c r="U757" s="102"/>
      <c r="V757" s="102"/>
      <c r="W757" s="102"/>
      <c r="X757" s="102"/>
      <c r="Y757" s="102"/>
      <c r="Z757" s="102"/>
      <c r="AA757" s="102"/>
      <c r="AB757" s="102"/>
      <c r="AC757" s="102"/>
      <c r="AD757" s="102"/>
      <c r="AE757" s="102"/>
      <c r="AF757" s="102"/>
      <c r="AG757" s="102"/>
      <c r="AH757" s="102"/>
      <c r="AI757" s="102"/>
      <c r="AJ757" s="102"/>
      <c r="AK757" s="102"/>
      <c r="AL757" s="102"/>
      <c r="AM757" s="102"/>
      <c r="AN757" s="102"/>
      <c r="AO757" s="400"/>
      <c r="AP757" s="90"/>
      <c r="AQ757" s="90"/>
      <c r="AR757" s="90"/>
      <c r="AS757" s="90"/>
      <c r="AT757" s="90"/>
      <c r="AU757" s="90"/>
      <c r="AV757" s="90"/>
      <c r="AW757" s="90"/>
      <c r="AX757" s="90"/>
      <c r="AY757" s="90"/>
      <c r="AZ757" s="90"/>
      <c r="BA757" s="90"/>
      <c r="BB757" s="90"/>
      <c r="BC757" s="90"/>
      <c r="BD757" s="90"/>
      <c r="BE757" s="90"/>
      <c r="BF757" s="90"/>
      <c r="BG757" s="90"/>
      <c r="BH757" s="90"/>
      <c r="BI757" s="90"/>
    </row>
    <row r="758" ht="12.75" customHeight="1">
      <c r="A758" s="90"/>
      <c r="B758" s="90"/>
      <c r="C758" s="400"/>
      <c r="D758" s="90"/>
      <c r="E758" s="102"/>
      <c r="F758" s="90"/>
      <c r="G758" s="90"/>
      <c r="H758" s="102"/>
      <c r="I758" s="102"/>
      <c r="J758" s="102"/>
      <c r="K758" s="102"/>
      <c r="L758" s="102"/>
      <c r="M758" s="102"/>
      <c r="N758" s="102"/>
      <c r="O758" s="102"/>
      <c r="P758" s="102"/>
      <c r="Q758" s="102"/>
      <c r="R758" s="102"/>
      <c r="S758" s="102"/>
      <c r="T758" s="102"/>
      <c r="U758" s="102"/>
      <c r="V758" s="102"/>
      <c r="W758" s="102"/>
      <c r="X758" s="102"/>
      <c r="Y758" s="102"/>
      <c r="Z758" s="102"/>
      <c r="AA758" s="102"/>
      <c r="AB758" s="102"/>
      <c r="AC758" s="102"/>
      <c r="AD758" s="102"/>
      <c r="AE758" s="102"/>
      <c r="AF758" s="102"/>
      <c r="AG758" s="102"/>
      <c r="AH758" s="102"/>
      <c r="AI758" s="102"/>
      <c r="AJ758" s="102"/>
      <c r="AK758" s="102"/>
      <c r="AL758" s="102"/>
      <c r="AM758" s="102"/>
      <c r="AN758" s="102"/>
      <c r="AO758" s="400"/>
      <c r="AP758" s="90"/>
      <c r="AQ758" s="90"/>
      <c r="AR758" s="90"/>
      <c r="AS758" s="90"/>
      <c r="AT758" s="90"/>
      <c r="AU758" s="90"/>
      <c r="AV758" s="90"/>
      <c r="AW758" s="90"/>
      <c r="AX758" s="90"/>
      <c r="AY758" s="90"/>
      <c r="AZ758" s="90"/>
      <c r="BA758" s="90"/>
      <c r="BB758" s="90"/>
      <c r="BC758" s="90"/>
      <c r="BD758" s="90"/>
      <c r="BE758" s="90"/>
      <c r="BF758" s="90"/>
      <c r="BG758" s="90"/>
      <c r="BH758" s="90"/>
      <c r="BI758" s="90"/>
    </row>
    <row r="759" ht="12.75" customHeight="1">
      <c r="A759" s="90"/>
      <c r="B759" s="90"/>
      <c r="C759" s="400"/>
      <c r="D759" s="90"/>
      <c r="E759" s="102"/>
      <c r="F759" s="90"/>
      <c r="G759" s="90"/>
      <c r="H759" s="102"/>
      <c r="I759" s="102"/>
      <c r="J759" s="102"/>
      <c r="K759" s="102"/>
      <c r="L759" s="102"/>
      <c r="M759" s="102"/>
      <c r="N759" s="102"/>
      <c r="O759" s="102"/>
      <c r="P759" s="102"/>
      <c r="Q759" s="102"/>
      <c r="R759" s="102"/>
      <c r="S759" s="102"/>
      <c r="T759" s="102"/>
      <c r="U759" s="102"/>
      <c r="V759" s="102"/>
      <c r="W759" s="102"/>
      <c r="X759" s="102"/>
      <c r="Y759" s="102"/>
      <c r="Z759" s="102"/>
      <c r="AA759" s="102"/>
      <c r="AB759" s="102"/>
      <c r="AC759" s="102"/>
      <c r="AD759" s="102"/>
      <c r="AE759" s="102"/>
      <c r="AF759" s="102"/>
      <c r="AG759" s="102"/>
      <c r="AH759" s="102"/>
      <c r="AI759" s="102"/>
      <c r="AJ759" s="102"/>
      <c r="AK759" s="102"/>
      <c r="AL759" s="102"/>
      <c r="AM759" s="102"/>
      <c r="AN759" s="102"/>
      <c r="AO759" s="400"/>
      <c r="AP759" s="90"/>
      <c r="AQ759" s="90"/>
      <c r="AR759" s="90"/>
      <c r="AS759" s="90"/>
      <c r="AT759" s="90"/>
      <c r="AU759" s="90"/>
      <c r="AV759" s="90"/>
      <c r="AW759" s="90"/>
      <c r="AX759" s="90"/>
      <c r="AY759" s="90"/>
      <c r="AZ759" s="90"/>
      <c r="BA759" s="90"/>
      <c r="BB759" s="90"/>
      <c r="BC759" s="90"/>
      <c r="BD759" s="90"/>
      <c r="BE759" s="90"/>
      <c r="BF759" s="90"/>
      <c r="BG759" s="90"/>
      <c r="BH759" s="90"/>
      <c r="BI759" s="90"/>
    </row>
    <row r="760" ht="12.75" customHeight="1">
      <c r="A760" s="90"/>
      <c r="B760" s="90"/>
      <c r="C760" s="400"/>
      <c r="D760" s="90"/>
      <c r="E760" s="102"/>
      <c r="F760" s="90"/>
      <c r="G760" s="90"/>
      <c r="H760" s="102"/>
      <c r="I760" s="102"/>
      <c r="J760" s="102"/>
      <c r="K760" s="102"/>
      <c r="L760" s="102"/>
      <c r="M760" s="102"/>
      <c r="N760" s="102"/>
      <c r="O760" s="102"/>
      <c r="P760" s="102"/>
      <c r="Q760" s="102"/>
      <c r="R760" s="102"/>
      <c r="S760" s="102"/>
      <c r="T760" s="102"/>
      <c r="U760" s="102"/>
      <c r="V760" s="102"/>
      <c r="W760" s="102"/>
      <c r="X760" s="102"/>
      <c r="Y760" s="102"/>
      <c r="Z760" s="102"/>
      <c r="AA760" s="102"/>
      <c r="AB760" s="102"/>
      <c r="AC760" s="102"/>
      <c r="AD760" s="102"/>
      <c r="AE760" s="102"/>
      <c r="AF760" s="102"/>
      <c r="AG760" s="102"/>
      <c r="AH760" s="102"/>
      <c r="AI760" s="102"/>
      <c r="AJ760" s="102"/>
      <c r="AK760" s="102"/>
      <c r="AL760" s="102"/>
      <c r="AM760" s="102"/>
      <c r="AN760" s="102"/>
      <c r="AO760" s="400"/>
      <c r="AP760" s="90"/>
      <c r="AQ760" s="90"/>
      <c r="AR760" s="90"/>
      <c r="AS760" s="90"/>
      <c r="AT760" s="90"/>
      <c r="AU760" s="90"/>
      <c r="AV760" s="90"/>
      <c r="AW760" s="90"/>
      <c r="AX760" s="90"/>
      <c r="AY760" s="90"/>
      <c r="AZ760" s="90"/>
      <c r="BA760" s="90"/>
      <c r="BB760" s="90"/>
      <c r="BC760" s="90"/>
      <c r="BD760" s="90"/>
      <c r="BE760" s="90"/>
      <c r="BF760" s="90"/>
      <c r="BG760" s="90"/>
      <c r="BH760" s="90"/>
      <c r="BI760" s="90"/>
    </row>
    <row r="761" ht="12.75" customHeight="1">
      <c r="A761" s="90"/>
      <c r="B761" s="90"/>
      <c r="C761" s="400"/>
      <c r="D761" s="90"/>
      <c r="E761" s="102"/>
      <c r="F761" s="90"/>
      <c r="G761" s="90"/>
      <c r="H761" s="102"/>
      <c r="I761" s="102"/>
      <c r="J761" s="102"/>
      <c r="K761" s="102"/>
      <c r="L761" s="102"/>
      <c r="M761" s="102"/>
      <c r="N761" s="102"/>
      <c r="O761" s="102"/>
      <c r="P761" s="102"/>
      <c r="Q761" s="102"/>
      <c r="R761" s="102"/>
      <c r="S761" s="102"/>
      <c r="T761" s="102"/>
      <c r="U761" s="102"/>
      <c r="V761" s="102"/>
      <c r="W761" s="102"/>
      <c r="X761" s="102"/>
      <c r="Y761" s="102"/>
      <c r="Z761" s="102"/>
      <c r="AA761" s="102"/>
      <c r="AB761" s="102"/>
      <c r="AC761" s="102"/>
      <c r="AD761" s="102"/>
      <c r="AE761" s="102"/>
      <c r="AF761" s="102"/>
      <c r="AG761" s="102"/>
      <c r="AH761" s="102"/>
      <c r="AI761" s="102"/>
      <c r="AJ761" s="102"/>
      <c r="AK761" s="102"/>
      <c r="AL761" s="102"/>
      <c r="AM761" s="102"/>
      <c r="AN761" s="102"/>
      <c r="AO761" s="400"/>
      <c r="AP761" s="90"/>
      <c r="AQ761" s="90"/>
      <c r="AR761" s="90"/>
      <c r="AS761" s="90"/>
      <c r="AT761" s="90"/>
      <c r="AU761" s="90"/>
      <c r="AV761" s="90"/>
      <c r="AW761" s="90"/>
      <c r="AX761" s="90"/>
      <c r="AY761" s="90"/>
      <c r="AZ761" s="90"/>
      <c r="BA761" s="90"/>
      <c r="BB761" s="90"/>
      <c r="BC761" s="90"/>
      <c r="BD761" s="90"/>
      <c r="BE761" s="90"/>
      <c r="BF761" s="90"/>
      <c r="BG761" s="90"/>
      <c r="BH761" s="90"/>
      <c r="BI761" s="90"/>
    </row>
    <row r="762" ht="12.75" customHeight="1">
      <c r="A762" s="90"/>
      <c r="B762" s="90"/>
      <c r="C762" s="400"/>
      <c r="D762" s="90"/>
      <c r="E762" s="102"/>
      <c r="F762" s="90"/>
      <c r="G762" s="90"/>
      <c r="H762" s="102"/>
      <c r="I762" s="102"/>
      <c r="J762" s="102"/>
      <c r="K762" s="102"/>
      <c r="L762" s="102"/>
      <c r="M762" s="102"/>
      <c r="N762" s="102"/>
      <c r="O762" s="102"/>
      <c r="P762" s="102"/>
      <c r="Q762" s="102"/>
      <c r="R762" s="102"/>
      <c r="S762" s="102"/>
      <c r="T762" s="102"/>
      <c r="U762" s="102"/>
      <c r="V762" s="102"/>
      <c r="W762" s="102"/>
      <c r="X762" s="102"/>
      <c r="Y762" s="102"/>
      <c r="Z762" s="102"/>
      <c r="AA762" s="102"/>
      <c r="AB762" s="102"/>
      <c r="AC762" s="102"/>
      <c r="AD762" s="102"/>
      <c r="AE762" s="102"/>
      <c r="AF762" s="102"/>
      <c r="AG762" s="102"/>
      <c r="AH762" s="102"/>
      <c r="AI762" s="102"/>
      <c r="AJ762" s="102"/>
      <c r="AK762" s="102"/>
      <c r="AL762" s="102"/>
      <c r="AM762" s="102"/>
      <c r="AN762" s="102"/>
      <c r="AO762" s="400"/>
      <c r="AP762" s="90"/>
      <c r="AQ762" s="90"/>
      <c r="AR762" s="90"/>
      <c r="AS762" s="90"/>
      <c r="AT762" s="90"/>
      <c r="AU762" s="90"/>
      <c r="AV762" s="90"/>
      <c r="AW762" s="90"/>
      <c r="AX762" s="90"/>
      <c r="AY762" s="90"/>
      <c r="AZ762" s="90"/>
      <c r="BA762" s="90"/>
      <c r="BB762" s="90"/>
      <c r="BC762" s="90"/>
      <c r="BD762" s="90"/>
      <c r="BE762" s="90"/>
      <c r="BF762" s="90"/>
      <c r="BG762" s="90"/>
      <c r="BH762" s="90"/>
      <c r="BI762" s="90"/>
    </row>
    <row r="763" ht="12.75" customHeight="1">
      <c r="A763" s="90"/>
      <c r="B763" s="90"/>
      <c r="C763" s="400"/>
      <c r="D763" s="90"/>
      <c r="E763" s="102"/>
      <c r="F763" s="90"/>
      <c r="G763" s="90"/>
      <c r="H763" s="102"/>
      <c r="I763" s="102"/>
      <c r="J763" s="102"/>
      <c r="K763" s="102"/>
      <c r="L763" s="102"/>
      <c r="M763" s="102"/>
      <c r="N763" s="102"/>
      <c r="O763" s="102"/>
      <c r="P763" s="102"/>
      <c r="Q763" s="102"/>
      <c r="R763" s="102"/>
      <c r="S763" s="102"/>
      <c r="T763" s="102"/>
      <c r="U763" s="102"/>
      <c r="V763" s="102"/>
      <c r="W763" s="102"/>
      <c r="X763" s="102"/>
      <c r="Y763" s="102"/>
      <c r="Z763" s="102"/>
      <c r="AA763" s="102"/>
      <c r="AB763" s="102"/>
      <c r="AC763" s="102"/>
      <c r="AD763" s="102"/>
      <c r="AE763" s="102"/>
      <c r="AF763" s="102"/>
      <c r="AG763" s="102"/>
      <c r="AH763" s="102"/>
      <c r="AI763" s="102"/>
      <c r="AJ763" s="102"/>
      <c r="AK763" s="102"/>
      <c r="AL763" s="102"/>
      <c r="AM763" s="102"/>
      <c r="AN763" s="102"/>
      <c r="AO763" s="400"/>
      <c r="AP763" s="90"/>
      <c r="AQ763" s="90"/>
      <c r="AR763" s="90"/>
      <c r="AS763" s="90"/>
      <c r="AT763" s="90"/>
      <c r="AU763" s="90"/>
      <c r="AV763" s="90"/>
      <c r="AW763" s="90"/>
      <c r="AX763" s="90"/>
      <c r="AY763" s="90"/>
      <c r="AZ763" s="90"/>
      <c r="BA763" s="90"/>
      <c r="BB763" s="90"/>
      <c r="BC763" s="90"/>
      <c r="BD763" s="90"/>
      <c r="BE763" s="90"/>
      <c r="BF763" s="90"/>
      <c r="BG763" s="90"/>
      <c r="BH763" s="90"/>
      <c r="BI763" s="90"/>
    </row>
    <row r="764" ht="12.75" customHeight="1">
      <c r="A764" s="90"/>
      <c r="B764" s="90"/>
      <c r="C764" s="400"/>
      <c r="D764" s="90"/>
      <c r="E764" s="102"/>
      <c r="F764" s="90"/>
      <c r="G764" s="90"/>
      <c r="H764" s="102"/>
      <c r="I764" s="102"/>
      <c r="J764" s="102"/>
      <c r="K764" s="102"/>
      <c r="L764" s="102"/>
      <c r="M764" s="102"/>
      <c r="N764" s="102"/>
      <c r="O764" s="102"/>
      <c r="P764" s="102"/>
      <c r="Q764" s="102"/>
      <c r="R764" s="102"/>
      <c r="S764" s="102"/>
      <c r="T764" s="102"/>
      <c r="U764" s="102"/>
      <c r="V764" s="102"/>
      <c r="W764" s="102"/>
      <c r="X764" s="102"/>
      <c r="Y764" s="102"/>
      <c r="Z764" s="102"/>
      <c r="AA764" s="102"/>
      <c r="AB764" s="102"/>
      <c r="AC764" s="102"/>
      <c r="AD764" s="102"/>
      <c r="AE764" s="102"/>
      <c r="AF764" s="102"/>
      <c r="AG764" s="102"/>
      <c r="AH764" s="102"/>
      <c r="AI764" s="102"/>
      <c r="AJ764" s="102"/>
      <c r="AK764" s="102"/>
      <c r="AL764" s="102"/>
      <c r="AM764" s="102"/>
      <c r="AN764" s="102"/>
      <c r="AO764" s="400"/>
      <c r="AP764" s="90"/>
      <c r="AQ764" s="90"/>
      <c r="AR764" s="90"/>
      <c r="AS764" s="90"/>
      <c r="AT764" s="90"/>
      <c r="AU764" s="90"/>
      <c r="AV764" s="90"/>
      <c r="AW764" s="90"/>
      <c r="AX764" s="90"/>
      <c r="AY764" s="90"/>
      <c r="AZ764" s="90"/>
      <c r="BA764" s="90"/>
      <c r="BB764" s="90"/>
      <c r="BC764" s="90"/>
      <c r="BD764" s="90"/>
      <c r="BE764" s="90"/>
      <c r="BF764" s="90"/>
      <c r="BG764" s="90"/>
      <c r="BH764" s="90"/>
      <c r="BI764" s="90"/>
    </row>
    <row r="765" ht="12.75" customHeight="1">
      <c r="A765" s="90"/>
      <c r="B765" s="90"/>
      <c r="C765" s="400"/>
      <c r="D765" s="90"/>
      <c r="E765" s="102"/>
      <c r="F765" s="90"/>
      <c r="G765" s="90"/>
      <c r="H765" s="102"/>
      <c r="I765" s="102"/>
      <c r="J765" s="102"/>
      <c r="K765" s="102"/>
      <c r="L765" s="102"/>
      <c r="M765" s="102"/>
      <c r="N765" s="102"/>
      <c r="O765" s="102"/>
      <c r="P765" s="102"/>
      <c r="Q765" s="102"/>
      <c r="R765" s="102"/>
      <c r="S765" s="102"/>
      <c r="T765" s="102"/>
      <c r="U765" s="102"/>
      <c r="V765" s="102"/>
      <c r="W765" s="102"/>
      <c r="X765" s="102"/>
      <c r="Y765" s="102"/>
      <c r="Z765" s="102"/>
      <c r="AA765" s="102"/>
      <c r="AB765" s="102"/>
      <c r="AC765" s="102"/>
      <c r="AD765" s="102"/>
      <c r="AE765" s="102"/>
      <c r="AF765" s="102"/>
      <c r="AG765" s="102"/>
      <c r="AH765" s="102"/>
      <c r="AI765" s="102"/>
      <c r="AJ765" s="102"/>
      <c r="AK765" s="102"/>
      <c r="AL765" s="102"/>
      <c r="AM765" s="102"/>
      <c r="AN765" s="102"/>
      <c r="AO765" s="400"/>
      <c r="AP765" s="90"/>
      <c r="AQ765" s="90"/>
      <c r="AR765" s="90"/>
      <c r="AS765" s="90"/>
      <c r="AT765" s="90"/>
      <c r="AU765" s="90"/>
      <c r="AV765" s="90"/>
      <c r="AW765" s="90"/>
      <c r="AX765" s="90"/>
      <c r="AY765" s="90"/>
      <c r="AZ765" s="90"/>
      <c r="BA765" s="90"/>
      <c r="BB765" s="90"/>
      <c r="BC765" s="90"/>
      <c r="BD765" s="90"/>
      <c r="BE765" s="90"/>
      <c r="BF765" s="90"/>
      <c r="BG765" s="90"/>
      <c r="BH765" s="90"/>
      <c r="BI765" s="90"/>
    </row>
    <row r="766" ht="12.75" customHeight="1">
      <c r="A766" s="90"/>
      <c r="B766" s="90"/>
      <c r="C766" s="400"/>
      <c r="D766" s="90"/>
      <c r="E766" s="102"/>
      <c r="F766" s="90"/>
      <c r="G766" s="90"/>
      <c r="H766" s="102"/>
      <c r="I766" s="102"/>
      <c r="J766" s="102"/>
      <c r="K766" s="102"/>
      <c r="L766" s="102"/>
      <c r="M766" s="102"/>
      <c r="N766" s="102"/>
      <c r="O766" s="102"/>
      <c r="P766" s="102"/>
      <c r="Q766" s="102"/>
      <c r="R766" s="102"/>
      <c r="S766" s="102"/>
      <c r="T766" s="102"/>
      <c r="U766" s="102"/>
      <c r="V766" s="102"/>
      <c r="W766" s="102"/>
      <c r="X766" s="102"/>
      <c r="Y766" s="102"/>
      <c r="Z766" s="102"/>
      <c r="AA766" s="102"/>
      <c r="AB766" s="102"/>
      <c r="AC766" s="102"/>
      <c r="AD766" s="102"/>
      <c r="AE766" s="102"/>
      <c r="AF766" s="102"/>
      <c r="AG766" s="102"/>
      <c r="AH766" s="102"/>
      <c r="AI766" s="102"/>
      <c r="AJ766" s="102"/>
      <c r="AK766" s="102"/>
      <c r="AL766" s="102"/>
      <c r="AM766" s="102"/>
      <c r="AN766" s="102"/>
      <c r="AO766" s="400"/>
      <c r="AP766" s="90"/>
      <c r="AQ766" s="90"/>
      <c r="AR766" s="90"/>
      <c r="AS766" s="90"/>
      <c r="AT766" s="90"/>
      <c r="AU766" s="90"/>
      <c r="AV766" s="90"/>
      <c r="AW766" s="90"/>
      <c r="AX766" s="90"/>
      <c r="AY766" s="90"/>
      <c r="AZ766" s="90"/>
      <c r="BA766" s="90"/>
      <c r="BB766" s="90"/>
      <c r="BC766" s="90"/>
      <c r="BD766" s="90"/>
      <c r="BE766" s="90"/>
      <c r="BF766" s="90"/>
      <c r="BG766" s="90"/>
      <c r="BH766" s="90"/>
      <c r="BI766" s="90"/>
    </row>
    <row r="767" ht="12.75" customHeight="1">
      <c r="A767" s="90"/>
      <c r="B767" s="90"/>
      <c r="C767" s="400"/>
      <c r="D767" s="90"/>
      <c r="E767" s="102"/>
      <c r="F767" s="90"/>
      <c r="G767" s="90"/>
      <c r="H767" s="102"/>
      <c r="I767" s="102"/>
      <c r="J767" s="102"/>
      <c r="K767" s="102"/>
      <c r="L767" s="102"/>
      <c r="M767" s="102"/>
      <c r="N767" s="102"/>
      <c r="O767" s="102"/>
      <c r="P767" s="102"/>
      <c r="Q767" s="102"/>
      <c r="R767" s="102"/>
      <c r="S767" s="102"/>
      <c r="T767" s="102"/>
      <c r="U767" s="102"/>
      <c r="V767" s="102"/>
      <c r="W767" s="102"/>
      <c r="X767" s="102"/>
      <c r="Y767" s="102"/>
      <c r="Z767" s="102"/>
      <c r="AA767" s="102"/>
      <c r="AB767" s="102"/>
      <c r="AC767" s="102"/>
      <c r="AD767" s="102"/>
      <c r="AE767" s="102"/>
      <c r="AF767" s="102"/>
      <c r="AG767" s="102"/>
      <c r="AH767" s="102"/>
      <c r="AI767" s="102"/>
      <c r="AJ767" s="102"/>
      <c r="AK767" s="102"/>
      <c r="AL767" s="102"/>
      <c r="AM767" s="102"/>
      <c r="AN767" s="102"/>
      <c r="AO767" s="400"/>
      <c r="AP767" s="90"/>
      <c r="AQ767" s="90"/>
      <c r="AR767" s="90"/>
      <c r="AS767" s="90"/>
      <c r="AT767" s="90"/>
      <c r="AU767" s="90"/>
      <c r="AV767" s="90"/>
      <c r="AW767" s="90"/>
      <c r="AX767" s="90"/>
      <c r="AY767" s="90"/>
      <c r="AZ767" s="90"/>
      <c r="BA767" s="90"/>
      <c r="BB767" s="90"/>
      <c r="BC767" s="90"/>
      <c r="BD767" s="90"/>
      <c r="BE767" s="90"/>
      <c r="BF767" s="90"/>
      <c r="BG767" s="90"/>
      <c r="BH767" s="90"/>
      <c r="BI767" s="90"/>
    </row>
    <row r="768" ht="12.75" customHeight="1">
      <c r="A768" s="90"/>
      <c r="B768" s="90"/>
      <c r="C768" s="400"/>
      <c r="D768" s="90"/>
      <c r="E768" s="102"/>
      <c r="F768" s="90"/>
      <c r="G768" s="90"/>
      <c r="H768" s="102"/>
      <c r="I768" s="102"/>
      <c r="J768" s="102"/>
      <c r="K768" s="102"/>
      <c r="L768" s="102"/>
      <c r="M768" s="102"/>
      <c r="N768" s="102"/>
      <c r="O768" s="102"/>
      <c r="P768" s="102"/>
      <c r="Q768" s="102"/>
      <c r="R768" s="102"/>
      <c r="S768" s="102"/>
      <c r="T768" s="102"/>
      <c r="U768" s="102"/>
      <c r="V768" s="102"/>
      <c r="W768" s="102"/>
      <c r="X768" s="102"/>
      <c r="Y768" s="102"/>
      <c r="Z768" s="102"/>
      <c r="AA768" s="102"/>
      <c r="AB768" s="102"/>
      <c r="AC768" s="102"/>
      <c r="AD768" s="102"/>
      <c r="AE768" s="102"/>
      <c r="AF768" s="102"/>
      <c r="AG768" s="102"/>
      <c r="AH768" s="102"/>
      <c r="AI768" s="102"/>
      <c r="AJ768" s="102"/>
      <c r="AK768" s="102"/>
      <c r="AL768" s="102"/>
      <c r="AM768" s="102"/>
      <c r="AN768" s="102"/>
      <c r="AO768" s="400"/>
      <c r="AP768" s="90"/>
      <c r="AQ768" s="90"/>
      <c r="AR768" s="90"/>
      <c r="AS768" s="90"/>
      <c r="AT768" s="90"/>
      <c r="AU768" s="90"/>
      <c r="AV768" s="90"/>
      <c r="AW768" s="90"/>
      <c r="AX768" s="90"/>
      <c r="AY768" s="90"/>
      <c r="AZ768" s="90"/>
      <c r="BA768" s="90"/>
      <c r="BB768" s="90"/>
      <c r="BC768" s="90"/>
      <c r="BD768" s="90"/>
      <c r="BE768" s="90"/>
      <c r="BF768" s="90"/>
      <c r="BG768" s="90"/>
      <c r="BH768" s="90"/>
      <c r="BI768" s="90"/>
    </row>
    <row r="769" ht="12.75" customHeight="1">
      <c r="A769" s="90"/>
      <c r="B769" s="90"/>
      <c r="C769" s="400"/>
      <c r="D769" s="90"/>
      <c r="E769" s="102"/>
      <c r="F769" s="90"/>
      <c r="G769" s="90"/>
      <c r="H769" s="102"/>
      <c r="I769" s="102"/>
      <c r="J769" s="102"/>
      <c r="K769" s="102"/>
      <c r="L769" s="102"/>
      <c r="M769" s="102"/>
      <c r="N769" s="102"/>
      <c r="O769" s="102"/>
      <c r="P769" s="102"/>
      <c r="Q769" s="102"/>
      <c r="R769" s="102"/>
      <c r="S769" s="102"/>
      <c r="T769" s="102"/>
      <c r="U769" s="102"/>
      <c r="V769" s="102"/>
      <c r="W769" s="102"/>
      <c r="X769" s="102"/>
      <c r="Y769" s="102"/>
      <c r="Z769" s="102"/>
      <c r="AA769" s="102"/>
      <c r="AB769" s="102"/>
      <c r="AC769" s="102"/>
      <c r="AD769" s="102"/>
      <c r="AE769" s="102"/>
      <c r="AF769" s="102"/>
      <c r="AG769" s="102"/>
      <c r="AH769" s="102"/>
      <c r="AI769" s="102"/>
      <c r="AJ769" s="102"/>
      <c r="AK769" s="102"/>
      <c r="AL769" s="102"/>
      <c r="AM769" s="102"/>
      <c r="AN769" s="102"/>
      <c r="AO769" s="400"/>
      <c r="AP769" s="90"/>
      <c r="AQ769" s="90"/>
      <c r="AR769" s="90"/>
      <c r="AS769" s="90"/>
      <c r="AT769" s="90"/>
      <c r="AU769" s="90"/>
      <c r="AV769" s="90"/>
      <c r="AW769" s="90"/>
      <c r="AX769" s="90"/>
      <c r="AY769" s="90"/>
      <c r="AZ769" s="90"/>
      <c r="BA769" s="90"/>
      <c r="BB769" s="90"/>
      <c r="BC769" s="90"/>
      <c r="BD769" s="90"/>
      <c r="BE769" s="90"/>
      <c r="BF769" s="90"/>
      <c r="BG769" s="90"/>
      <c r="BH769" s="90"/>
      <c r="BI769" s="90"/>
    </row>
    <row r="770" ht="12.75" customHeight="1">
      <c r="A770" s="90"/>
      <c r="B770" s="90"/>
      <c r="C770" s="400"/>
      <c r="D770" s="90"/>
      <c r="E770" s="102"/>
      <c r="F770" s="90"/>
      <c r="G770" s="90"/>
      <c r="H770" s="102"/>
      <c r="I770" s="102"/>
      <c r="J770" s="102"/>
      <c r="K770" s="102"/>
      <c r="L770" s="102"/>
      <c r="M770" s="102"/>
      <c r="N770" s="102"/>
      <c r="O770" s="102"/>
      <c r="P770" s="102"/>
      <c r="Q770" s="102"/>
      <c r="R770" s="102"/>
      <c r="S770" s="102"/>
      <c r="T770" s="102"/>
      <c r="U770" s="102"/>
      <c r="V770" s="102"/>
      <c r="W770" s="102"/>
      <c r="X770" s="102"/>
      <c r="Y770" s="102"/>
      <c r="Z770" s="102"/>
      <c r="AA770" s="102"/>
      <c r="AB770" s="102"/>
      <c r="AC770" s="102"/>
      <c r="AD770" s="102"/>
      <c r="AE770" s="102"/>
      <c r="AF770" s="102"/>
      <c r="AG770" s="102"/>
      <c r="AH770" s="102"/>
      <c r="AI770" s="102"/>
      <c r="AJ770" s="102"/>
      <c r="AK770" s="102"/>
      <c r="AL770" s="102"/>
      <c r="AM770" s="102"/>
      <c r="AN770" s="102"/>
      <c r="AO770" s="400"/>
      <c r="AP770" s="90"/>
      <c r="AQ770" s="90"/>
      <c r="AR770" s="90"/>
      <c r="AS770" s="90"/>
      <c r="AT770" s="90"/>
      <c r="AU770" s="90"/>
      <c r="AV770" s="90"/>
      <c r="AW770" s="90"/>
      <c r="AX770" s="90"/>
      <c r="AY770" s="90"/>
      <c r="AZ770" s="90"/>
      <c r="BA770" s="90"/>
      <c r="BB770" s="90"/>
      <c r="BC770" s="90"/>
      <c r="BD770" s="90"/>
      <c r="BE770" s="90"/>
      <c r="BF770" s="90"/>
      <c r="BG770" s="90"/>
      <c r="BH770" s="90"/>
      <c r="BI770" s="90"/>
    </row>
    <row r="771" ht="12.75" customHeight="1">
      <c r="A771" s="90"/>
      <c r="B771" s="90"/>
      <c r="C771" s="400"/>
      <c r="D771" s="90"/>
      <c r="E771" s="102"/>
      <c r="F771" s="90"/>
      <c r="G771" s="90"/>
      <c r="H771" s="102"/>
      <c r="I771" s="102"/>
      <c r="J771" s="102"/>
      <c r="K771" s="102"/>
      <c r="L771" s="102"/>
      <c r="M771" s="102"/>
      <c r="N771" s="102"/>
      <c r="O771" s="102"/>
      <c r="P771" s="102"/>
      <c r="Q771" s="102"/>
      <c r="R771" s="102"/>
      <c r="S771" s="102"/>
      <c r="T771" s="102"/>
      <c r="U771" s="102"/>
      <c r="V771" s="102"/>
      <c r="W771" s="102"/>
      <c r="X771" s="102"/>
      <c r="Y771" s="102"/>
      <c r="Z771" s="102"/>
      <c r="AA771" s="102"/>
      <c r="AB771" s="102"/>
      <c r="AC771" s="102"/>
      <c r="AD771" s="102"/>
      <c r="AE771" s="102"/>
      <c r="AF771" s="102"/>
      <c r="AG771" s="102"/>
      <c r="AH771" s="102"/>
      <c r="AI771" s="102"/>
      <c r="AJ771" s="102"/>
      <c r="AK771" s="102"/>
      <c r="AL771" s="102"/>
      <c r="AM771" s="102"/>
      <c r="AN771" s="102"/>
      <c r="AO771" s="400"/>
      <c r="AP771" s="90"/>
      <c r="AQ771" s="90"/>
      <c r="AR771" s="90"/>
      <c r="AS771" s="90"/>
      <c r="AT771" s="90"/>
      <c r="AU771" s="90"/>
      <c r="AV771" s="90"/>
      <c r="AW771" s="90"/>
      <c r="AX771" s="90"/>
      <c r="AY771" s="90"/>
      <c r="AZ771" s="90"/>
      <c r="BA771" s="90"/>
      <c r="BB771" s="90"/>
      <c r="BC771" s="90"/>
      <c r="BD771" s="90"/>
      <c r="BE771" s="90"/>
      <c r="BF771" s="90"/>
      <c r="BG771" s="90"/>
      <c r="BH771" s="90"/>
      <c r="BI771" s="90"/>
    </row>
    <row r="772" ht="12.75" customHeight="1">
      <c r="A772" s="90"/>
      <c r="B772" s="90"/>
      <c r="C772" s="400"/>
      <c r="D772" s="90"/>
      <c r="E772" s="102"/>
      <c r="F772" s="90"/>
      <c r="G772" s="90"/>
      <c r="H772" s="102"/>
      <c r="I772" s="102"/>
      <c r="J772" s="102"/>
      <c r="K772" s="102"/>
      <c r="L772" s="102"/>
      <c r="M772" s="102"/>
      <c r="N772" s="102"/>
      <c r="O772" s="102"/>
      <c r="P772" s="102"/>
      <c r="Q772" s="102"/>
      <c r="R772" s="102"/>
      <c r="S772" s="102"/>
      <c r="T772" s="102"/>
      <c r="U772" s="102"/>
      <c r="V772" s="102"/>
      <c r="W772" s="102"/>
      <c r="X772" s="102"/>
      <c r="Y772" s="102"/>
      <c r="Z772" s="102"/>
      <c r="AA772" s="102"/>
      <c r="AB772" s="102"/>
      <c r="AC772" s="102"/>
      <c r="AD772" s="102"/>
      <c r="AE772" s="102"/>
      <c r="AF772" s="102"/>
      <c r="AG772" s="102"/>
      <c r="AH772" s="102"/>
      <c r="AI772" s="102"/>
      <c r="AJ772" s="102"/>
      <c r="AK772" s="102"/>
      <c r="AL772" s="102"/>
      <c r="AM772" s="102"/>
      <c r="AN772" s="102"/>
      <c r="AO772" s="400"/>
      <c r="AP772" s="90"/>
      <c r="AQ772" s="90"/>
      <c r="AR772" s="90"/>
      <c r="AS772" s="90"/>
      <c r="AT772" s="90"/>
      <c r="AU772" s="90"/>
      <c r="AV772" s="90"/>
      <c r="AW772" s="90"/>
      <c r="AX772" s="90"/>
      <c r="AY772" s="90"/>
      <c r="AZ772" s="90"/>
      <c r="BA772" s="90"/>
      <c r="BB772" s="90"/>
      <c r="BC772" s="90"/>
      <c r="BD772" s="90"/>
      <c r="BE772" s="90"/>
      <c r="BF772" s="90"/>
      <c r="BG772" s="90"/>
      <c r="BH772" s="90"/>
      <c r="BI772" s="90"/>
    </row>
    <row r="773" ht="12.75" customHeight="1">
      <c r="A773" s="90"/>
      <c r="B773" s="90"/>
      <c r="C773" s="400"/>
      <c r="D773" s="90"/>
      <c r="E773" s="102"/>
      <c r="F773" s="90"/>
      <c r="G773" s="90"/>
      <c r="H773" s="102"/>
      <c r="I773" s="102"/>
      <c r="J773" s="102"/>
      <c r="K773" s="102"/>
      <c r="L773" s="102"/>
      <c r="M773" s="102"/>
      <c r="N773" s="102"/>
      <c r="O773" s="102"/>
      <c r="P773" s="102"/>
      <c r="Q773" s="102"/>
      <c r="R773" s="102"/>
      <c r="S773" s="102"/>
      <c r="T773" s="102"/>
      <c r="U773" s="102"/>
      <c r="V773" s="102"/>
      <c r="W773" s="102"/>
      <c r="X773" s="102"/>
      <c r="Y773" s="102"/>
      <c r="Z773" s="102"/>
      <c r="AA773" s="102"/>
      <c r="AB773" s="102"/>
      <c r="AC773" s="102"/>
      <c r="AD773" s="102"/>
      <c r="AE773" s="102"/>
      <c r="AF773" s="102"/>
      <c r="AG773" s="102"/>
      <c r="AH773" s="102"/>
      <c r="AI773" s="102"/>
      <c r="AJ773" s="102"/>
      <c r="AK773" s="102"/>
      <c r="AL773" s="102"/>
      <c r="AM773" s="102"/>
      <c r="AN773" s="102"/>
      <c r="AO773" s="400"/>
      <c r="AP773" s="90"/>
      <c r="AQ773" s="90"/>
      <c r="AR773" s="90"/>
      <c r="AS773" s="90"/>
      <c r="AT773" s="90"/>
      <c r="AU773" s="90"/>
      <c r="AV773" s="90"/>
      <c r="AW773" s="90"/>
      <c r="AX773" s="90"/>
      <c r="AY773" s="90"/>
      <c r="AZ773" s="90"/>
      <c r="BA773" s="90"/>
      <c r="BB773" s="90"/>
      <c r="BC773" s="90"/>
      <c r="BD773" s="90"/>
      <c r="BE773" s="90"/>
      <c r="BF773" s="90"/>
      <c r="BG773" s="90"/>
      <c r="BH773" s="90"/>
      <c r="BI773" s="90"/>
    </row>
    <row r="774" ht="12.75" customHeight="1">
      <c r="A774" s="90"/>
      <c r="B774" s="90"/>
      <c r="C774" s="400"/>
      <c r="D774" s="90"/>
      <c r="E774" s="102"/>
      <c r="F774" s="90"/>
      <c r="G774" s="90"/>
      <c r="H774" s="102"/>
      <c r="I774" s="102"/>
      <c r="J774" s="102"/>
      <c r="K774" s="102"/>
      <c r="L774" s="102"/>
      <c r="M774" s="102"/>
      <c r="N774" s="102"/>
      <c r="O774" s="102"/>
      <c r="P774" s="102"/>
      <c r="Q774" s="102"/>
      <c r="R774" s="102"/>
      <c r="S774" s="102"/>
      <c r="T774" s="102"/>
      <c r="U774" s="102"/>
      <c r="V774" s="102"/>
      <c r="W774" s="102"/>
      <c r="X774" s="102"/>
      <c r="Y774" s="102"/>
      <c r="Z774" s="102"/>
      <c r="AA774" s="102"/>
      <c r="AB774" s="102"/>
      <c r="AC774" s="102"/>
      <c r="AD774" s="102"/>
      <c r="AE774" s="102"/>
      <c r="AF774" s="102"/>
      <c r="AG774" s="102"/>
      <c r="AH774" s="102"/>
      <c r="AI774" s="102"/>
      <c r="AJ774" s="102"/>
      <c r="AK774" s="102"/>
      <c r="AL774" s="102"/>
      <c r="AM774" s="102"/>
      <c r="AN774" s="102"/>
      <c r="AO774" s="400"/>
      <c r="AP774" s="90"/>
      <c r="AQ774" s="90"/>
      <c r="AR774" s="90"/>
      <c r="AS774" s="90"/>
      <c r="AT774" s="90"/>
      <c r="AU774" s="90"/>
      <c r="AV774" s="90"/>
      <c r="AW774" s="90"/>
      <c r="AX774" s="90"/>
      <c r="AY774" s="90"/>
      <c r="AZ774" s="90"/>
      <c r="BA774" s="90"/>
      <c r="BB774" s="90"/>
      <c r="BC774" s="90"/>
      <c r="BD774" s="90"/>
      <c r="BE774" s="90"/>
      <c r="BF774" s="90"/>
      <c r="BG774" s="90"/>
      <c r="BH774" s="90"/>
      <c r="BI774" s="90"/>
    </row>
    <row r="775" ht="12.75" customHeight="1">
      <c r="A775" s="90"/>
      <c r="B775" s="90"/>
      <c r="C775" s="400"/>
      <c r="D775" s="90"/>
      <c r="E775" s="102"/>
      <c r="F775" s="90"/>
      <c r="G775" s="90"/>
      <c r="H775" s="102"/>
      <c r="I775" s="102"/>
      <c r="J775" s="102"/>
      <c r="K775" s="102"/>
      <c r="L775" s="102"/>
      <c r="M775" s="102"/>
      <c r="N775" s="102"/>
      <c r="O775" s="102"/>
      <c r="P775" s="102"/>
      <c r="Q775" s="102"/>
      <c r="R775" s="102"/>
      <c r="S775" s="102"/>
      <c r="T775" s="102"/>
      <c r="U775" s="102"/>
      <c r="V775" s="102"/>
      <c r="W775" s="102"/>
      <c r="X775" s="102"/>
      <c r="Y775" s="102"/>
      <c r="Z775" s="102"/>
      <c r="AA775" s="102"/>
      <c r="AB775" s="102"/>
      <c r="AC775" s="102"/>
      <c r="AD775" s="102"/>
      <c r="AE775" s="102"/>
      <c r="AF775" s="102"/>
      <c r="AG775" s="102"/>
      <c r="AH775" s="102"/>
      <c r="AI775" s="102"/>
      <c r="AJ775" s="102"/>
      <c r="AK775" s="102"/>
      <c r="AL775" s="102"/>
      <c r="AM775" s="102"/>
      <c r="AN775" s="102"/>
      <c r="AO775" s="400"/>
      <c r="AP775" s="90"/>
      <c r="AQ775" s="90"/>
      <c r="AR775" s="90"/>
      <c r="AS775" s="90"/>
      <c r="AT775" s="90"/>
      <c r="AU775" s="90"/>
      <c r="AV775" s="90"/>
      <c r="AW775" s="90"/>
      <c r="AX775" s="90"/>
      <c r="AY775" s="90"/>
      <c r="AZ775" s="90"/>
      <c r="BA775" s="90"/>
      <c r="BB775" s="90"/>
      <c r="BC775" s="90"/>
      <c r="BD775" s="90"/>
      <c r="BE775" s="90"/>
      <c r="BF775" s="90"/>
      <c r="BG775" s="90"/>
      <c r="BH775" s="90"/>
      <c r="BI775" s="90"/>
    </row>
    <row r="776" ht="12.75" customHeight="1">
      <c r="A776" s="90"/>
      <c r="B776" s="90"/>
      <c r="C776" s="400"/>
      <c r="D776" s="90"/>
      <c r="E776" s="102"/>
      <c r="F776" s="90"/>
      <c r="G776" s="90"/>
      <c r="H776" s="102"/>
      <c r="I776" s="102"/>
      <c r="J776" s="102"/>
      <c r="K776" s="102"/>
      <c r="L776" s="102"/>
      <c r="M776" s="102"/>
      <c r="N776" s="102"/>
      <c r="O776" s="102"/>
      <c r="P776" s="102"/>
      <c r="Q776" s="102"/>
      <c r="R776" s="102"/>
      <c r="S776" s="102"/>
      <c r="T776" s="102"/>
      <c r="U776" s="102"/>
      <c r="V776" s="102"/>
      <c r="W776" s="102"/>
      <c r="X776" s="102"/>
      <c r="Y776" s="102"/>
      <c r="Z776" s="102"/>
      <c r="AA776" s="102"/>
      <c r="AB776" s="102"/>
      <c r="AC776" s="102"/>
      <c r="AD776" s="102"/>
      <c r="AE776" s="102"/>
      <c r="AF776" s="102"/>
      <c r="AG776" s="102"/>
      <c r="AH776" s="102"/>
      <c r="AI776" s="102"/>
      <c r="AJ776" s="102"/>
      <c r="AK776" s="102"/>
      <c r="AL776" s="102"/>
      <c r="AM776" s="102"/>
      <c r="AN776" s="102"/>
      <c r="AO776" s="400"/>
      <c r="AP776" s="90"/>
      <c r="AQ776" s="90"/>
      <c r="AR776" s="90"/>
      <c r="AS776" s="90"/>
      <c r="AT776" s="90"/>
      <c r="AU776" s="90"/>
      <c r="AV776" s="90"/>
      <c r="AW776" s="90"/>
      <c r="AX776" s="90"/>
      <c r="AY776" s="90"/>
      <c r="AZ776" s="90"/>
      <c r="BA776" s="90"/>
      <c r="BB776" s="90"/>
      <c r="BC776" s="90"/>
      <c r="BD776" s="90"/>
      <c r="BE776" s="90"/>
      <c r="BF776" s="90"/>
      <c r="BG776" s="90"/>
      <c r="BH776" s="90"/>
      <c r="BI776" s="90"/>
    </row>
    <row r="777" ht="12.75" customHeight="1">
      <c r="A777" s="90"/>
      <c r="B777" s="90"/>
      <c r="C777" s="400"/>
      <c r="D777" s="90"/>
      <c r="E777" s="102"/>
      <c r="F777" s="90"/>
      <c r="G777" s="90"/>
      <c r="H777" s="102"/>
      <c r="I777" s="102"/>
      <c r="J777" s="102"/>
      <c r="K777" s="102"/>
      <c r="L777" s="102"/>
      <c r="M777" s="102"/>
      <c r="N777" s="102"/>
      <c r="O777" s="102"/>
      <c r="P777" s="102"/>
      <c r="Q777" s="102"/>
      <c r="R777" s="102"/>
      <c r="S777" s="102"/>
      <c r="T777" s="102"/>
      <c r="U777" s="102"/>
      <c r="V777" s="102"/>
      <c r="W777" s="102"/>
      <c r="X777" s="102"/>
      <c r="Y777" s="102"/>
      <c r="Z777" s="102"/>
      <c r="AA777" s="102"/>
      <c r="AB777" s="102"/>
      <c r="AC777" s="102"/>
      <c r="AD777" s="102"/>
      <c r="AE777" s="102"/>
      <c r="AF777" s="102"/>
      <c r="AG777" s="102"/>
      <c r="AH777" s="102"/>
      <c r="AI777" s="102"/>
      <c r="AJ777" s="102"/>
      <c r="AK777" s="102"/>
      <c r="AL777" s="102"/>
      <c r="AM777" s="102"/>
      <c r="AN777" s="102"/>
      <c r="AO777" s="400"/>
      <c r="AP777" s="90"/>
      <c r="AQ777" s="90"/>
      <c r="AR777" s="90"/>
      <c r="AS777" s="90"/>
      <c r="AT777" s="90"/>
      <c r="AU777" s="90"/>
      <c r="AV777" s="90"/>
      <c r="AW777" s="90"/>
      <c r="AX777" s="90"/>
      <c r="AY777" s="90"/>
      <c r="AZ777" s="90"/>
      <c r="BA777" s="90"/>
      <c r="BB777" s="90"/>
      <c r="BC777" s="90"/>
      <c r="BD777" s="90"/>
      <c r="BE777" s="90"/>
      <c r="BF777" s="90"/>
      <c r="BG777" s="90"/>
      <c r="BH777" s="90"/>
      <c r="BI777" s="90"/>
    </row>
    <row r="778" ht="12.75" customHeight="1">
      <c r="A778" s="90"/>
      <c r="B778" s="90"/>
      <c r="C778" s="400"/>
      <c r="D778" s="90"/>
      <c r="E778" s="102"/>
      <c r="F778" s="90"/>
      <c r="G778" s="90"/>
      <c r="H778" s="102"/>
      <c r="I778" s="102"/>
      <c r="J778" s="102"/>
      <c r="K778" s="102"/>
      <c r="L778" s="102"/>
      <c r="M778" s="102"/>
      <c r="N778" s="102"/>
      <c r="O778" s="102"/>
      <c r="P778" s="102"/>
      <c r="Q778" s="102"/>
      <c r="R778" s="102"/>
      <c r="S778" s="102"/>
      <c r="T778" s="102"/>
      <c r="U778" s="102"/>
      <c r="V778" s="102"/>
      <c r="W778" s="102"/>
      <c r="X778" s="102"/>
      <c r="Y778" s="102"/>
      <c r="Z778" s="102"/>
      <c r="AA778" s="102"/>
      <c r="AB778" s="102"/>
      <c r="AC778" s="102"/>
      <c r="AD778" s="102"/>
      <c r="AE778" s="102"/>
      <c r="AF778" s="102"/>
      <c r="AG778" s="102"/>
      <c r="AH778" s="102"/>
      <c r="AI778" s="102"/>
      <c r="AJ778" s="102"/>
      <c r="AK778" s="102"/>
      <c r="AL778" s="102"/>
      <c r="AM778" s="102"/>
      <c r="AN778" s="102"/>
      <c r="AO778" s="400"/>
      <c r="AP778" s="90"/>
      <c r="AQ778" s="90"/>
      <c r="AR778" s="90"/>
      <c r="AS778" s="90"/>
      <c r="AT778" s="90"/>
      <c r="AU778" s="90"/>
      <c r="AV778" s="90"/>
      <c r="AW778" s="90"/>
      <c r="AX778" s="90"/>
      <c r="AY778" s="90"/>
      <c r="AZ778" s="90"/>
      <c r="BA778" s="90"/>
      <c r="BB778" s="90"/>
      <c r="BC778" s="90"/>
      <c r="BD778" s="90"/>
      <c r="BE778" s="90"/>
      <c r="BF778" s="90"/>
      <c r="BG778" s="90"/>
      <c r="BH778" s="90"/>
      <c r="BI778" s="90"/>
    </row>
    <row r="779" ht="12.75" customHeight="1">
      <c r="A779" s="90"/>
      <c r="B779" s="90"/>
      <c r="C779" s="400"/>
      <c r="D779" s="90"/>
      <c r="E779" s="102"/>
      <c r="F779" s="90"/>
      <c r="G779" s="90"/>
      <c r="H779" s="102"/>
      <c r="I779" s="102"/>
      <c r="J779" s="102"/>
      <c r="K779" s="102"/>
      <c r="L779" s="102"/>
      <c r="M779" s="102"/>
      <c r="N779" s="102"/>
      <c r="O779" s="102"/>
      <c r="P779" s="102"/>
      <c r="Q779" s="102"/>
      <c r="R779" s="102"/>
      <c r="S779" s="102"/>
      <c r="T779" s="102"/>
      <c r="U779" s="102"/>
      <c r="V779" s="102"/>
      <c r="W779" s="102"/>
      <c r="X779" s="102"/>
      <c r="Y779" s="102"/>
      <c r="Z779" s="102"/>
      <c r="AA779" s="102"/>
      <c r="AB779" s="102"/>
      <c r="AC779" s="102"/>
      <c r="AD779" s="102"/>
      <c r="AE779" s="102"/>
      <c r="AF779" s="102"/>
      <c r="AG779" s="102"/>
      <c r="AH779" s="102"/>
      <c r="AI779" s="102"/>
      <c r="AJ779" s="102"/>
      <c r="AK779" s="102"/>
      <c r="AL779" s="102"/>
      <c r="AM779" s="102"/>
      <c r="AN779" s="102"/>
      <c r="AO779" s="400"/>
      <c r="AP779" s="90"/>
      <c r="AQ779" s="90"/>
      <c r="AR779" s="90"/>
      <c r="AS779" s="90"/>
      <c r="AT779" s="90"/>
      <c r="AU779" s="90"/>
      <c r="AV779" s="90"/>
      <c r="AW779" s="90"/>
      <c r="AX779" s="90"/>
      <c r="AY779" s="90"/>
      <c r="AZ779" s="90"/>
      <c r="BA779" s="90"/>
      <c r="BB779" s="90"/>
      <c r="BC779" s="90"/>
      <c r="BD779" s="90"/>
      <c r="BE779" s="90"/>
      <c r="BF779" s="90"/>
      <c r="BG779" s="90"/>
      <c r="BH779" s="90"/>
      <c r="BI779" s="90"/>
    </row>
    <row r="780" ht="12.75" customHeight="1">
      <c r="A780" s="90"/>
      <c r="B780" s="90"/>
      <c r="C780" s="400"/>
      <c r="D780" s="90"/>
      <c r="E780" s="102"/>
      <c r="F780" s="90"/>
      <c r="G780" s="90"/>
      <c r="H780" s="102"/>
      <c r="I780" s="102"/>
      <c r="J780" s="102"/>
      <c r="K780" s="102"/>
      <c r="L780" s="102"/>
      <c r="M780" s="102"/>
      <c r="N780" s="102"/>
      <c r="O780" s="102"/>
      <c r="P780" s="102"/>
      <c r="Q780" s="102"/>
      <c r="R780" s="102"/>
      <c r="S780" s="102"/>
      <c r="T780" s="102"/>
      <c r="U780" s="102"/>
      <c r="V780" s="102"/>
      <c r="W780" s="102"/>
      <c r="X780" s="102"/>
      <c r="Y780" s="102"/>
      <c r="Z780" s="102"/>
      <c r="AA780" s="102"/>
      <c r="AB780" s="102"/>
      <c r="AC780" s="102"/>
      <c r="AD780" s="102"/>
      <c r="AE780" s="102"/>
      <c r="AF780" s="102"/>
      <c r="AG780" s="102"/>
      <c r="AH780" s="102"/>
      <c r="AI780" s="102"/>
      <c r="AJ780" s="102"/>
      <c r="AK780" s="102"/>
      <c r="AL780" s="102"/>
      <c r="AM780" s="102"/>
      <c r="AN780" s="102"/>
      <c r="AO780" s="400"/>
      <c r="AP780" s="90"/>
      <c r="AQ780" s="90"/>
      <c r="AR780" s="90"/>
      <c r="AS780" s="90"/>
      <c r="AT780" s="90"/>
      <c r="AU780" s="90"/>
      <c r="AV780" s="90"/>
      <c r="AW780" s="90"/>
      <c r="AX780" s="90"/>
      <c r="AY780" s="90"/>
      <c r="AZ780" s="90"/>
      <c r="BA780" s="90"/>
      <c r="BB780" s="90"/>
      <c r="BC780" s="90"/>
      <c r="BD780" s="90"/>
      <c r="BE780" s="90"/>
      <c r="BF780" s="90"/>
      <c r="BG780" s="90"/>
      <c r="BH780" s="90"/>
      <c r="BI780" s="90"/>
    </row>
    <row r="781" ht="12.75" customHeight="1">
      <c r="A781" s="90"/>
      <c r="B781" s="90"/>
      <c r="C781" s="400"/>
      <c r="D781" s="90"/>
      <c r="E781" s="102"/>
      <c r="F781" s="90"/>
      <c r="G781" s="90"/>
      <c r="H781" s="102"/>
      <c r="I781" s="102"/>
      <c r="J781" s="102"/>
      <c r="K781" s="102"/>
      <c r="L781" s="102"/>
      <c r="M781" s="102"/>
      <c r="N781" s="102"/>
      <c r="O781" s="102"/>
      <c r="P781" s="102"/>
      <c r="Q781" s="102"/>
      <c r="R781" s="102"/>
      <c r="S781" s="102"/>
      <c r="T781" s="102"/>
      <c r="U781" s="102"/>
      <c r="V781" s="102"/>
      <c r="W781" s="102"/>
      <c r="X781" s="102"/>
      <c r="Y781" s="102"/>
      <c r="Z781" s="102"/>
      <c r="AA781" s="102"/>
      <c r="AB781" s="102"/>
      <c r="AC781" s="102"/>
      <c r="AD781" s="102"/>
      <c r="AE781" s="102"/>
      <c r="AF781" s="102"/>
      <c r="AG781" s="102"/>
      <c r="AH781" s="102"/>
      <c r="AI781" s="102"/>
      <c r="AJ781" s="102"/>
      <c r="AK781" s="102"/>
      <c r="AL781" s="102"/>
      <c r="AM781" s="102"/>
      <c r="AN781" s="102"/>
      <c r="AO781" s="400"/>
      <c r="AP781" s="90"/>
      <c r="AQ781" s="90"/>
      <c r="AR781" s="90"/>
      <c r="AS781" s="90"/>
      <c r="AT781" s="90"/>
      <c r="AU781" s="90"/>
      <c r="AV781" s="90"/>
      <c r="AW781" s="90"/>
      <c r="AX781" s="90"/>
      <c r="AY781" s="90"/>
      <c r="AZ781" s="90"/>
      <c r="BA781" s="90"/>
      <c r="BB781" s="90"/>
      <c r="BC781" s="90"/>
      <c r="BD781" s="90"/>
      <c r="BE781" s="90"/>
      <c r="BF781" s="90"/>
      <c r="BG781" s="90"/>
      <c r="BH781" s="90"/>
      <c r="BI781" s="90"/>
    </row>
    <row r="782" ht="12.75" customHeight="1">
      <c r="A782" s="90"/>
      <c r="B782" s="90"/>
      <c r="C782" s="400"/>
      <c r="D782" s="90"/>
      <c r="E782" s="102"/>
      <c r="F782" s="90"/>
      <c r="G782" s="90"/>
      <c r="H782" s="102"/>
      <c r="I782" s="102"/>
      <c r="J782" s="102"/>
      <c r="K782" s="102"/>
      <c r="L782" s="102"/>
      <c r="M782" s="102"/>
      <c r="N782" s="102"/>
      <c r="O782" s="102"/>
      <c r="P782" s="102"/>
      <c r="Q782" s="102"/>
      <c r="R782" s="102"/>
      <c r="S782" s="102"/>
      <c r="T782" s="102"/>
      <c r="U782" s="102"/>
      <c r="V782" s="102"/>
      <c r="W782" s="102"/>
      <c r="X782" s="102"/>
      <c r="Y782" s="102"/>
      <c r="Z782" s="102"/>
      <c r="AA782" s="102"/>
      <c r="AB782" s="102"/>
      <c r="AC782" s="102"/>
      <c r="AD782" s="102"/>
      <c r="AE782" s="102"/>
      <c r="AF782" s="102"/>
      <c r="AG782" s="102"/>
      <c r="AH782" s="102"/>
      <c r="AI782" s="102"/>
      <c r="AJ782" s="102"/>
      <c r="AK782" s="102"/>
      <c r="AL782" s="102"/>
      <c r="AM782" s="102"/>
      <c r="AN782" s="102"/>
      <c r="AO782" s="400"/>
      <c r="AP782" s="90"/>
      <c r="AQ782" s="90"/>
      <c r="AR782" s="90"/>
      <c r="AS782" s="90"/>
      <c r="AT782" s="90"/>
      <c r="AU782" s="90"/>
      <c r="AV782" s="90"/>
      <c r="AW782" s="90"/>
      <c r="AX782" s="90"/>
      <c r="AY782" s="90"/>
      <c r="AZ782" s="90"/>
      <c r="BA782" s="90"/>
      <c r="BB782" s="90"/>
      <c r="BC782" s="90"/>
      <c r="BD782" s="90"/>
      <c r="BE782" s="90"/>
      <c r="BF782" s="90"/>
      <c r="BG782" s="90"/>
      <c r="BH782" s="90"/>
      <c r="BI782" s="90"/>
    </row>
    <row r="783" ht="12.75" customHeight="1">
      <c r="A783" s="90"/>
      <c r="B783" s="90"/>
      <c r="C783" s="400"/>
      <c r="D783" s="90"/>
      <c r="E783" s="102"/>
      <c r="F783" s="90"/>
      <c r="G783" s="90"/>
      <c r="H783" s="102"/>
      <c r="I783" s="102"/>
      <c r="J783" s="102"/>
      <c r="K783" s="102"/>
      <c r="L783" s="102"/>
      <c r="M783" s="102"/>
      <c r="N783" s="102"/>
      <c r="O783" s="102"/>
      <c r="P783" s="102"/>
      <c r="Q783" s="102"/>
      <c r="R783" s="102"/>
      <c r="S783" s="102"/>
      <c r="T783" s="102"/>
      <c r="U783" s="102"/>
      <c r="V783" s="102"/>
      <c r="W783" s="102"/>
      <c r="X783" s="102"/>
      <c r="Y783" s="102"/>
      <c r="Z783" s="102"/>
      <c r="AA783" s="102"/>
      <c r="AB783" s="102"/>
      <c r="AC783" s="102"/>
      <c r="AD783" s="102"/>
      <c r="AE783" s="102"/>
      <c r="AF783" s="102"/>
      <c r="AG783" s="102"/>
      <c r="AH783" s="102"/>
      <c r="AI783" s="102"/>
      <c r="AJ783" s="102"/>
      <c r="AK783" s="102"/>
      <c r="AL783" s="102"/>
      <c r="AM783" s="102"/>
      <c r="AN783" s="102"/>
      <c r="AO783" s="400"/>
      <c r="AP783" s="90"/>
      <c r="AQ783" s="90"/>
      <c r="AR783" s="90"/>
      <c r="AS783" s="90"/>
      <c r="AT783" s="90"/>
      <c r="AU783" s="90"/>
      <c r="AV783" s="90"/>
      <c r="AW783" s="90"/>
      <c r="AX783" s="90"/>
      <c r="AY783" s="90"/>
      <c r="AZ783" s="90"/>
      <c r="BA783" s="90"/>
      <c r="BB783" s="90"/>
      <c r="BC783" s="90"/>
      <c r="BD783" s="90"/>
      <c r="BE783" s="90"/>
      <c r="BF783" s="90"/>
      <c r="BG783" s="90"/>
      <c r="BH783" s="90"/>
      <c r="BI783" s="90"/>
    </row>
    <row r="784" ht="12.75" customHeight="1">
      <c r="A784" s="90"/>
      <c r="B784" s="90"/>
      <c r="C784" s="400"/>
      <c r="D784" s="90"/>
      <c r="E784" s="102"/>
      <c r="F784" s="90"/>
      <c r="G784" s="90"/>
      <c r="H784" s="102"/>
      <c r="I784" s="102"/>
      <c r="J784" s="102"/>
      <c r="K784" s="102"/>
      <c r="L784" s="102"/>
      <c r="M784" s="102"/>
      <c r="N784" s="102"/>
      <c r="O784" s="102"/>
      <c r="P784" s="102"/>
      <c r="Q784" s="102"/>
      <c r="R784" s="102"/>
      <c r="S784" s="102"/>
      <c r="T784" s="102"/>
      <c r="U784" s="102"/>
      <c r="V784" s="102"/>
      <c r="W784" s="102"/>
      <c r="X784" s="102"/>
      <c r="Y784" s="102"/>
      <c r="Z784" s="102"/>
      <c r="AA784" s="102"/>
      <c r="AB784" s="102"/>
      <c r="AC784" s="102"/>
      <c r="AD784" s="102"/>
      <c r="AE784" s="102"/>
      <c r="AF784" s="102"/>
      <c r="AG784" s="102"/>
      <c r="AH784" s="102"/>
      <c r="AI784" s="102"/>
      <c r="AJ784" s="102"/>
      <c r="AK784" s="102"/>
      <c r="AL784" s="102"/>
      <c r="AM784" s="102"/>
      <c r="AN784" s="102"/>
      <c r="AO784" s="400"/>
      <c r="AP784" s="90"/>
      <c r="AQ784" s="90"/>
      <c r="AR784" s="90"/>
      <c r="AS784" s="90"/>
      <c r="AT784" s="90"/>
      <c r="AU784" s="90"/>
      <c r="AV784" s="90"/>
      <c r="AW784" s="90"/>
      <c r="AX784" s="90"/>
      <c r="AY784" s="90"/>
      <c r="AZ784" s="90"/>
      <c r="BA784" s="90"/>
      <c r="BB784" s="90"/>
      <c r="BC784" s="90"/>
      <c r="BD784" s="90"/>
      <c r="BE784" s="90"/>
      <c r="BF784" s="90"/>
      <c r="BG784" s="90"/>
      <c r="BH784" s="90"/>
      <c r="BI784" s="90"/>
    </row>
    <row r="785" ht="12.75" customHeight="1">
      <c r="A785" s="90"/>
      <c r="B785" s="90"/>
      <c r="C785" s="400"/>
      <c r="D785" s="90"/>
      <c r="E785" s="102"/>
      <c r="F785" s="90"/>
      <c r="G785" s="90"/>
      <c r="H785" s="102"/>
      <c r="I785" s="102"/>
      <c r="J785" s="102"/>
      <c r="K785" s="102"/>
      <c r="L785" s="102"/>
      <c r="M785" s="102"/>
      <c r="N785" s="102"/>
      <c r="O785" s="102"/>
      <c r="P785" s="102"/>
      <c r="Q785" s="102"/>
      <c r="R785" s="102"/>
      <c r="S785" s="102"/>
      <c r="T785" s="102"/>
      <c r="U785" s="102"/>
      <c r="V785" s="102"/>
      <c r="W785" s="102"/>
      <c r="X785" s="102"/>
      <c r="Y785" s="102"/>
      <c r="Z785" s="102"/>
      <c r="AA785" s="102"/>
      <c r="AB785" s="102"/>
      <c r="AC785" s="102"/>
      <c r="AD785" s="102"/>
      <c r="AE785" s="102"/>
      <c r="AF785" s="102"/>
      <c r="AG785" s="102"/>
      <c r="AH785" s="102"/>
      <c r="AI785" s="102"/>
      <c r="AJ785" s="102"/>
      <c r="AK785" s="102"/>
      <c r="AL785" s="102"/>
      <c r="AM785" s="102"/>
      <c r="AN785" s="102"/>
      <c r="AO785" s="400"/>
      <c r="AP785" s="90"/>
      <c r="AQ785" s="90"/>
      <c r="AR785" s="90"/>
      <c r="AS785" s="90"/>
      <c r="AT785" s="90"/>
      <c r="AU785" s="90"/>
      <c r="AV785" s="90"/>
      <c r="AW785" s="90"/>
      <c r="AX785" s="90"/>
      <c r="AY785" s="90"/>
      <c r="AZ785" s="90"/>
      <c r="BA785" s="90"/>
      <c r="BB785" s="90"/>
      <c r="BC785" s="90"/>
      <c r="BD785" s="90"/>
      <c r="BE785" s="90"/>
      <c r="BF785" s="90"/>
      <c r="BG785" s="90"/>
      <c r="BH785" s="90"/>
      <c r="BI785" s="90"/>
    </row>
    <row r="786" ht="12.75" customHeight="1">
      <c r="A786" s="90"/>
      <c r="B786" s="90"/>
      <c r="C786" s="400"/>
      <c r="D786" s="90"/>
      <c r="E786" s="102"/>
      <c r="F786" s="90"/>
      <c r="G786" s="90"/>
      <c r="H786" s="102"/>
      <c r="I786" s="102"/>
      <c r="J786" s="102"/>
      <c r="K786" s="102"/>
      <c r="L786" s="102"/>
      <c r="M786" s="102"/>
      <c r="N786" s="102"/>
      <c r="O786" s="102"/>
      <c r="P786" s="102"/>
      <c r="Q786" s="102"/>
      <c r="R786" s="102"/>
      <c r="S786" s="102"/>
      <c r="T786" s="102"/>
      <c r="U786" s="102"/>
      <c r="V786" s="102"/>
      <c r="W786" s="102"/>
      <c r="X786" s="102"/>
      <c r="Y786" s="102"/>
      <c r="Z786" s="102"/>
      <c r="AA786" s="102"/>
      <c r="AB786" s="102"/>
      <c r="AC786" s="102"/>
      <c r="AD786" s="102"/>
      <c r="AE786" s="102"/>
      <c r="AF786" s="102"/>
      <c r="AG786" s="102"/>
      <c r="AH786" s="102"/>
      <c r="AI786" s="102"/>
      <c r="AJ786" s="102"/>
      <c r="AK786" s="102"/>
      <c r="AL786" s="102"/>
      <c r="AM786" s="102"/>
      <c r="AN786" s="102"/>
      <c r="AO786" s="400"/>
      <c r="AP786" s="90"/>
      <c r="AQ786" s="90"/>
      <c r="AR786" s="90"/>
      <c r="AS786" s="90"/>
      <c r="AT786" s="90"/>
      <c r="AU786" s="90"/>
      <c r="AV786" s="90"/>
      <c r="AW786" s="90"/>
      <c r="AX786" s="90"/>
      <c r="AY786" s="90"/>
      <c r="AZ786" s="90"/>
      <c r="BA786" s="90"/>
      <c r="BB786" s="90"/>
      <c r="BC786" s="90"/>
      <c r="BD786" s="90"/>
      <c r="BE786" s="90"/>
      <c r="BF786" s="90"/>
      <c r="BG786" s="90"/>
      <c r="BH786" s="90"/>
      <c r="BI786" s="90"/>
    </row>
    <row r="787" ht="12.75" customHeight="1">
      <c r="A787" s="90"/>
      <c r="B787" s="90"/>
      <c r="C787" s="400"/>
      <c r="D787" s="90"/>
      <c r="E787" s="102"/>
      <c r="F787" s="90"/>
      <c r="G787" s="90"/>
      <c r="H787" s="102"/>
      <c r="I787" s="102"/>
      <c r="J787" s="102"/>
      <c r="K787" s="102"/>
      <c r="L787" s="102"/>
      <c r="M787" s="102"/>
      <c r="N787" s="102"/>
      <c r="O787" s="102"/>
      <c r="P787" s="102"/>
      <c r="Q787" s="102"/>
      <c r="R787" s="102"/>
      <c r="S787" s="102"/>
      <c r="T787" s="102"/>
      <c r="U787" s="102"/>
      <c r="V787" s="102"/>
      <c r="W787" s="102"/>
      <c r="X787" s="102"/>
      <c r="Y787" s="102"/>
      <c r="Z787" s="102"/>
      <c r="AA787" s="102"/>
      <c r="AB787" s="102"/>
      <c r="AC787" s="102"/>
      <c r="AD787" s="102"/>
      <c r="AE787" s="102"/>
      <c r="AF787" s="102"/>
      <c r="AG787" s="102"/>
      <c r="AH787" s="102"/>
      <c r="AI787" s="102"/>
      <c r="AJ787" s="102"/>
      <c r="AK787" s="102"/>
      <c r="AL787" s="102"/>
      <c r="AM787" s="102"/>
      <c r="AN787" s="102"/>
      <c r="AO787" s="400"/>
      <c r="AP787" s="90"/>
      <c r="AQ787" s="90"/>
      <c r="AR787" s="90"/>
      <c r="AS787" s="90"/>
      <c r="AT787" s="90"/>
      <c r="AU787" s="90"/>
      <c r="AV787" s="90"/>
      <c r="AW787" s="90"/>
      <c r="AX787" s="90"/>
      <c r="AY787" s="90"/>
      <c r="AZ787" s="90"/>
      <c r="BA787" s="90"/>
      <c r="BB787" s="90"/>
      <c r="BC787" s="90"/>
      <c r="BD787" s="90"/>
      <c r="BE787" s="90"/>
      <c r="BF787" s="90"/>
      <c r="BG787" s="90"/>
      <c r="BH787" s="90"/>
      <c r="BI787" s="90"/>
    </row>
    <row r="788" ht="12.75" customHeight="1">
      <c r="A788" s="90"/>
      <c r="B788" s="90"/>
      <c r="C788" s="400"/>
      <c r="D788" s="90"/>
      <c r="E788" s="102"/>
      <c r="F788" s="90"/>
      <c r="G788" s="90"/>
      <c r="H788" s="102"/>
      <c r="I788" s="102"/>
      <c r="J788" s="102"/>
      <c r="K788" s="102"/>
      <c r="L788" s="102"/>
      <c r="M788" s="102"/>
      <c r="N788" s="102"/>
      <c r="O788" s="102"/>
      <c r="P788" s="102"/>
      <c r="Q788" s="102"/>
      <c r="R788" s="102"/>
      <c r="S788" s="102"/>
      <c r="T788" s="102"/>
      <c r="U788" s="102"/>
      <c r="V788" s="102"/>
      <c r="W788" s="102"/>
      <c r="X788" s="102"/>
      <c r="Y788" s="102"/>
      <c r="Z788" s="102"/>
      <c r="AA788" s="102"/>
      <c r="AB788" s="102"/>
      <c r="AC788" s="102"/>
      <c r="AD788" s="102"/>
      <c r="AE788" s="102"/>
      <c r="AF788" s="102"/>
      <c r="AG788" s="102"/>
      <c r="AH788" s="102"/>
      <c r="AI788" s="102"/>
      <c r="AJ788" s="102"/>
      <c r="AK788" s="102"/>
      <c r="AL788" s="102"/>
      <c r="AM788" s="102"/>
      <c r="AN788" s="102"/>
      <c r="AO788" s="400"/>
      <c r="AP788" s="90"/>
      <c r="AQ788" s="90"/>
      <c r="AR788" s="90"/>
      <c r="AS788" s="90"/>
      <c r="AT788" s="90"/>
      <c r="AU788" s="90"/>
      <c r="AV788" s="90"/>
      <c r="AW788" s="90"/>
      <c r="AX788" s="90"/>
      <c r="AY788" s="90"/>
      <c r="AZ788" s="90"/>
      <c r="BA788" s="90"/>
      <c r="BB788" s="90"/>
      <c r="BC788" s="90"/>
      <c r="BD788" s="90"/>
      <c r="BE788" s="90"/>
      <c r="BF788" s="90"/>
      <c r="BG788" s="90"/>
      <c r="BH788" s="90"/>
      <c r="BI788" s="90"/>
    </row>
    <row r="789" ht="12.75" customHeight="1">
      <c r="A789" s="90"/>
      <c r="B789" s="90"/>
      <c r="C789" s="400"/>
      <c r="D789" s="90"/>
      <c r="E789" s="102"/>
      <c r="F789" s="90"/>
      <c r="G789" s="90"/>
      <c r="H789" s="102"/>
      <c r="I789" s="102"/>
      <c r="J789" s="102"/>
      <c r="K789" s="102"/>
      <c r="L789" s="102"/>
      <c r="M789" s="102"/>
      <c r="N789" s="102"/>
      <c r="O789" s="102"/>
      <c r="P789" s="102"/>
      <c r="Q789" s="102"/>
      <c r="R789" s="102"/>
      <c r="S789" s="102"/>
      <c r="T789" s="102"/>
      <c r="U789" s="102"/>
      <c r="V789" s="102"/>
      <c r="W789" s="102"/>
      <c r="X789" s="102"/>
      <c r="Y789" s="102"/>
      <c r="Z789" s="102"/>
      <c r="AA789" s="102"/>
      <c r="AB789" s="102"/>
      <c r="AC789" s="102"/>
      <c r="AD789" s="102"/>
      <c r="AE789" s="102"/>
      <c r="AF789" s="102"/>
      <c r="AG789" s="102"/>
      <c r="AH789" s="102"/>
      <c r="AI789" s="102"/>
      <c r="AJ789" s="102"/>
      <c r="AK789" s="102"/>
      <c r="AL789" s="102"/>
      <c r="AM789" s="102"/>
      <c r="AN789" s="102"/>
      <c r="AO789" s="400"/>
      <c r="AP789" s="90"/>
      <c r="AQ789" s="90"/>
      <c r="AR789" s="90"/>
      <c r="AS789" s="90"/>
      <c r="AT789" s="90"/>
      <c r="AU789" s="90"/>
      <c r="AV789" s="90"/>
      <c r="AW789" s="90"/>
      <c r="AX789" s="90"/>
      <c r="AY789" s="90"/>
      <c r="AZ789" s="90"/>
      <c r="BA789" s="90"/>
      <c r="BB789" s="90"/>
      <c r="BC789" s="90"/>
      <c r="BD789" s="90"/>
      <c r="BE789" s="90"/>
      <c r="BF789" s="90"/>
      <c r="BG789" s="90"/>
      <c r="BH789" s="90"/>
      <c r="BI789" s="90"/>
    </row>
    <row r="790" ht="12.75" customHeight="1">
      <c r="A790" s="90"/>
      <c r="B790" s="90"/>
      <c r="C790" s="400"/>
      <c r="D790" s="90"/>
      <c r="E790" s="102"/>
      <c r="F790" s="90"/>
      <c r="G790" s="90"/>
      <c r="H790" s="102"/>
      <c r="I790" s="102"/>
      <c r="J790" s="102"/>
      <c r="K790" s="102"/>
      <c r="L790" s="102"/>
      <c r="M790" s="102"/>
      <c r="N790" s="102"/>
      <c r="O790" s="102"/>
      <c r="P790" s="102"/>
      <c r="Q790" s="102"/>
      <c r="R790" s="102"/>
      <c r="S790" s="102"/>
      <c r="T790" s="102"/>
      <c r="U790" s="102"/>
      <c r="V790" s="102"/>
      <c r="W790" s="102"/>
      <c r="X790" s="102"/>
      <c r="Y790" s="102"/>
      <c r="Z790" s="102"/>
      <c r="AA790" s="102"/>
      <c r="AB790" s="102"/>
      <c r="AC790" s="102"/>
      <c r="AD790" s="102"/>
      <c r="AE790" s="102"/>
      <c r="AF790" s="102"/>
      <c r="AG790" s="102"/>
      <c r="AH790" s="102"/>
      <c r="AI790" s="102"/>
      <c r="AJ790" s="102"/>
      <c r="AK790" s="102"/>
      <c r="AL790" s="102"/>
      <c r="AM790" s="102"/>
      <c r="AN790" s="102"/>
      <c r="AO790" s="400"/>
      <c r="AP790" s="90"/>
      <c r="AQ790" s="90"/>
      <c r="AR790" s="90"/>
      <c r="AS790" s="90"/>
      <c r="AT790" s="90"/>
      <c r="AU790" s="90"/>
      <c r="AV790" s="90"/>
      <c r="AW790" s="90"/>
      <c r="AX790" s="90"/>
      <c r="AY790" s="90"/>
      <c r="AZ790" s="90"/>
      <c r="BA790" s="90"/>
      <c r="BB790" s="90"/>
      <c r="BC790" s="90"/>
      <c r="BD790" s="90"/>
      <c r="BE790" s="90"/>
      <c r="BF790" s="90"/>
      <c r="BG790" s="90"/>
      <c r="BH790" s="90"/>
      <c r="BI790" s="90"/>
    </row>
    <row r="791" ht="12.75" customHeight="1">
      <c r="A791" s="90"/>
      <c r="B791" s="90"/>
      <c r="C791" s="400"/>
      <c r="D791" s="90"/>
      <c r="E791" s="102"/>
      <c r="F791" s="90"/>
      <c r="G791" s="90"/>
      <c r="H791" s="102"/>
      <c r="I791" s="102"/>
      <c r="J791" s="102"/>
      <c r="K791" s="102"/>
      <c r="L791" s="102"/>
      <c r="M791" s="102"/>
      <c r="N791" s="102"/>
      <c r="O791" s="102"/>
      <c r="P791" s="102"/>
      <c r="Q791" s="102"/>
      <c r="R791" s="102"/>
      <c r="S791" s="102"/>
      <c r="T791" s="102"/>
      <c r="U791" s="102"/>
      <c r="V791" s="102"/>
      <c r="W791" s="102"/>
      <c r="X791" s="102"/>
      <c r="Y791" s="102"/>
      <c r="Z791" s="102"/>
      <c r="AA791" s="102"/>
      <c r="AB791" s="102"/>
      <c r="AC791" s="102"/>
      <c r="AD791" s="102"/>
      <c r="AE791" s="102"/>
      <c r="AF791" s="102"/>
      <c r="AG791" s="102"/>
      <c r="AH791" s="102"/>
      <c r="AI791" s="102"/>
      <c r="AJ791" s="102"/>
      <c r="AK791" s="102"/>
      <c r="AL791" s="102"/>
      <c r="AM791" s="102"/>
      <c r="AN791" s="102"/>
      <c r="AO791" s="400"/>
      <c r="AP791" s="90"/>
      <c r="AQ791" s="90"/>
      <c r="AR791" s="90"/>
      <c r="AS791" s="90"/>
      <c r="AT791" s="90"/>
      <c r="AU791" s="90"/>
      <c r="AV791" s="90"/>
      <c r="AW791" s="90"/>
      <c r="AX791" s="90"/>
      <c r="AY791" s="90"/>
      <c r="AZ791" s="90"/>
      <c r="BA791" s="90"/>
      <c r="BB791" s="90"/>
      <c r="BC791" s="90"/>
      <c r="BD791" s="90"/>
      <c r="BE791" s="90"/>
      <c r="BF791" s="90"/>
      <c r="BG791" s="90"/>
      <c r="BH791" s="90"/>
      <c r="BI791" s="90"/>
    </row>
    <row r="792" ht="12.75" customHeight="1">
      <c r="A792" s="90"/>
      <c r="B792" s="90"/>
      <c r="C792" s="400"/>
      <c r="D792" s="90"/>
      <c r="E792" s="102"/>
      <c r="F792" s="90"/>
      <c r="G792" s="90"/>
      <c r="H792" s="102"/>
      <c r="I792" s="102"/>
      <c r="J792" s="102"/>
      <c r="K792" s="102"/>
      <c r="L792" s="102"/>
      <c r="M792" s="102"/>
      <c r="N792" s="102"/>
      <c r="O792" s="102"/>
      <c r="P792" s="102"/>
      <c r="Q792" s="102"/>
      <c r="R792" s="102"/>
      <c r="S792" s="102"/>
      <c r="T792" s="102"/>
      <c r="U792" s="102"/>
      <c r="V792" s="102"/>
      <c r="W792" s="102"/>
      <c r="X792" s="102"/>
      <c r="Y792" s="102"/>
      <c r="Z792" s="102"/>
      <c r="AA792" s="102"/>
      <c r="AB792" s="102"/>
      <c r="AC792" s="102"/>
      <c r="AD792" s="102"/>
      <c r="AE792" s="102"/>
      <c r="AF792" s="102"/>
      <c r="AG792" s="102"/>
      <c r="AH792" s="102"/>
      <c r="AI792" s="102"/>
      <c r="AJ792" s="102"/>
      <c r="AK792" s="102"/>
      <c r="AL792" s="102"/>
      <c r="AM792" s="102"/>
      <c r="AN792" s="102"/>
      <c r="AO792" s="400"/>
      <c r="AP792" s="90"/>
      <c r="AQ792" s="90"/>
      <c r="AR792" s="90"/>
      <c r="AS792" s="90"/>
      <c r="AT792" s="90"/>
      <c r="AU792" s="90"/>
      <c r="AV792" s="90"/>
      <c r="AW792" s="90"/>
      <c r="AX792" s="90"/>
      <c r="AY792" s="90"/>
      <c r="AZ792" s="90"/>
      <c r="BA792" s="90"/>
      <c r="BB792" s="90"/>
      <c r="BC792" s="90"/>
      <c r="BD792" s="90"/>
      <c r="BE792" s="90"/>
      <c r="BF792" s="90"/>
      <c r="BG792" s="90"/>
      <c r="BH792" s="90"/>
      <c r="BI792" s="90"/>
    </row>
    <row r="793" ht="12.75" customHeight="1">
      <c r="A793" s="90"/>
      <c r="B793" s="90"/>
      <c r="C793" s="400"/>
      <c r="D793" s="90"/>
      <c r="E793" s="102"/>
      <c r="F793" s="90"/>
      <c r="G793" s="90"/>
      <c r="H793" s="102"/>
      <c r="I793" s="102"/>
      <c r="J793" s="102"/>
      <c r="K793" s="102"/>
      <c r="L793" s="102"/>
      <c r="M793" s="102"/>
      <c r="N793" s="102"/>
      <c r="O793" s="102"/>
      <c r="P793" s="102"/>
      <c r="Q793" s="102"/>
      <c r="R793" s="102"/>
      <c r="S793" s="102"/>
      <c r="T793" s="102"/>
      <c r="U793" s="102"/>
      <c r="V793" s="102"/>
      <c r="W793" s="102"/>
      <c r="X793" s="102"/>
      <c r="Y793" s="102"/>
      <c r="Z793" s="102"/>
      <c r="AA793" s="102"/>
      <c r="AB793" s="102"/>
      <c r="AC793" s="102"/>
      <c r="AD793" s="102"/>
      <c r="AE793" s="102"/>
      <c r="AF793" s="102"/>
      <c r="AG793" s="102"/>
      <c r="AH793" s="102"/>
      <c r="AI793" s="102"/>
      <c r="AJ793" s="102"/>
      <c r="AK793" s="102"/>
      <c r="AL793" s="102"/>
      <c r="AM793" s="102"/>
      <c r="AN793" s="102"/>
      <c r="AO793" s="400"/>
      <c r="AP793" s="90"/>
      <c r="AQ793" s="90"/>
      <c r="AR793" s="90"/>
      <c r="AS793" s="90"/>
      <c r="AT793" s="90"/>
      <c r="AU793" s="90"/>
      <c r="AV793" s="90"/>
      <c r="AW793" s="90"/>
      <c r="AX793" s="90"/>
      <c r="AY793" s="90"/>
      <c r="AZ793" s="90"/>
      <c r="BA793" s="90"/>
      <c r="BB793" s="90"/>
      <c r="BC793" s="90"/>
      <c r="BD793" s="90"/>
      <c r="BE793" s="90"/>
      <c r="BF793" s="90"/>
      <c r="BG793" s="90"/>
      <c r="BH793" s="90"/>
      <c r="BI793" s="90"/>
    </row>
    <row r="794" ht="12.75" customHeight="1">
      <c r="A794" s="90"/>
      <c r="B794" s="90"/>
      <c r="C794" s="400"/>
      <c r="D794" s="90"/>
      <c r="E794" s="102"/>
      <c r="F794" s="90"/>
      <c r="G794" s="90"/>
      <c r="H794" s="102"/>
      <c r="I794" s="102"/>
      <c r="J794" s="102"/>
      <c r="K794" s="102"/>
      <c r="L794" s="102"/>
      <c r="M794" s="102"/>
      <c r="N794" s="102"/>
      <c r="O794" s="102"/>
      <c r="P794" s="102"/>
      <c r="Q794" s="102"/>
      <c r="R794" s="102"/>
      <c r="S794" s="102"/>
      <c r="T794" s="102"/>
      <c r="U794" s="102"/>
      <c r="V794" s="102"/>
      <c r="W794" s="102"/>
      <c r="X794" s="102"/>
      <c r="Y794" s="102"/>
      <c r="Z794" s="102"/>
      <c r="AA794" s="102"/>
      <c r="AB794" s="102"/>
      <c r="AC794" s="102"/>
      <c r="AD794" s="102"/>
      <c r="AE794" s="102"/>
      <c r="AF794" s="102"/>
      <c r="AG794" s="102"/>
      <c r="AH794" s="102"/>
      <c r="AI794" s="102"/>
      <c r="AJ794" s="102"/>
      <c r="AK794" s="102"/>
      <c r="AL794" s="102"/>
      <c r="AM794" s="102"/>
      <c r="AN794" s="102"/>
      <c r="AO794" s="400"/>
      <c r="AP794" s="90"/>
      <c r="AQ794" s="90"/>
      <c r="AR794" s="90"/>
      <c r="AS794" s="90"/>
      <c r="AT794" s="90"/>
      <c r="AU794" s="90"/>
      <c r="AV794" s="90"/>
      <c r="AW794" s="90"/>
      <c r="AX794" s="90"/>
      <c r="AY794" s="90"/>
      <c r="AZ794" s="90"/>
      <c r="BA794" s="90"/>
      <c r="BB794" s="90"/>
      <c r="BC794" s="90"/>
      <c r="BD794" s="90"/>
      <c r="BE794" s="90"/>
      <c r="BF794" s="90"/>
      <c r="BG794" s="90"/>
      <c r="BH794" s="90"/>
      <c r="BI794" s="90"/>
    </row>
    <row r="795" ht="12.75" customHeight="1">
      <c r="A795" s="90"/>
      <c r="B795" s="90"/>
      <c r="C795" s="400"/>
      <c r="D795" s="90"/>
      <c r="E795" s="102"/>
      <c r="F795" s="90"/>
      <c r="G795" s="90"/>
      <c r="H795" s="102"/>
      <c r="I795" s="102"/>
      <c r="J795" s="102"/>
      <c r="K795" s="102"/>
      <c r="L795" s="102"/>
      <c r="M795" s="102"/>
      <c r="N795" s="102"/>
      <c r="O795" s="102"/>
      <c r="P795" s="102"/>
      <c r="Q795" s="102"/>
      <c r="R795" s="102"/>
      <c r="S795" s="102"/>
      <c r="T795" s="102"/>
      <c r="U795" s="102"/>
      <c r="V795" s="102"/>
      <c r="W795" s="102"/>
      <c r="X795" s="102"/>
      <c r="Y795" s="102"/>
      <c r="Z795" s="102"/>
      <c r="AA795" s="102"/>
      <c r="AB795" s="102"/>
      <c r="AC795" s="102"/>
      <c r="AD795" s="102"/>
      <c r="AE795" s="102"/>
      <c r="AF795" s="102"/>
      <c r="AG795" s="102"/>
      <c r="AH795" s="102"/>
      <c r="AI795" s="102"/>
      <c r="AJ795" s="102"/>
      <c r="AK795" s="102"/>
      <c r="AL795" s="102"/>
      <c r="AM795" s="102"/>
      <c r="AN795" s="102"/>
      <c r="AO795" s="400"/>
      <c r="AP795" s="90"/>
      <c r="AQ795" s="90"/>
      <c r="AR795" s="90"/>
      <c r="AS795" s="90"/>
      <c r="AT795" s="90"/>
      <c r="AU795" s="90"/>
      <c r="AV795" s="90"/>
      <c r="AW795" s="90"/>
      <c r="AX795" s="90"/>
      <c r="AY795" s="90"/>
      <c r="AZ795" s="90"/>
      <c r="BA795" s="90"/>
      <c r="BB795" s="90"/>
      <c r="BC795" s="90"/>
      <c r="BD795" s="90"/>
      <c r="BE795" s="90"/>
      <c r="BF795" s="90"/>
      <c r="BG795" s="90"/>
      <c r="BH795" s="90"/>
      <c r="BI795" s="90"/>
    </row>
    <row r="796" ht="12.75" customHeight="1">
      <c r="A796" s="90"/>
      <c r="B796" s="90"/>
      <c r="C796" s="400"/>
      <c r="D796" s="90"/>
      <c r="E796" s="102"/>
      <c r="F796" s="90"/>
      <c r="G796" s="90"/>
      <c r="H796" s="102"/>
      <c r="I796" s="102"/>
      <c r="J796" s="102"/>
      <c r="K796" s="102"/>
      <c r="L796" s="102"/>
      <c r="M796" s="102"/>
      <c r="N796" s="102"/>
      <c r="O796" s="102"/>
      <c r="P796" s="102"/>
      <c r="Q796" s="102"/>
      <c r="R796" s="102"/>
      <c r="S796" s="102"/>
      <c r="T796" s="102"/>
      <c r="U796" s="102"/>
      <c r="V796" s="102"/>
      <c r="W796" s="102"/>
      <c r="X796" s="102"/>
      <c r="Y796" s="102"/>
      <c r="Z796" s="102"/>
      <c r="AA796" s="102"/>
      <c r="AB796" s="102"/>
      <c r="AC796" s="102"/>
      <c r="AD796" s="102"/>
      <c r="AE796" s="102"/>
      <c r="AF796" s="102"/>
      <c r="AG796" s="102"/>
      <c r="AH796" s="102"/>
      <c r="AI796" s="102"/>
      <c r="AJ796" s="102"/>
      <c r="AK796" s="102"/>
      <c r="AL796" s="102"/>
      <c r="AM796" s="102"/>
      <c r="AN796" s="102"/>
      <c r="AO796" s="400"/>
      <c r="AP796" s="90"/>
      <c r="AQ796" s="90"/>
      <c r="AR796" s="90"/>
      <c r="AS796" s="90"/>
      <c r="AT796" s="90"/>
      <c r="AU796" s="90"/>
      <c r="AV796" s="90"/>
      <c r="AW796" s="90"/>
      <c r="AX796" s="90"/>
      <c r="AY796" s="90"/>
      <c r="AZ796" s="90"/>
      <c r="BA796" s="90"/>
      <c r="BB796" s="90"/>
      <c r="BC796" s="90"/>
      <c r="BD796" s="90"/>
      <c r="BE796" s="90"/>
      <c r="BF796" s="90"/>
      <c r="BG796" s="90"/>
      <c r="BH796" s="90"/>
      <c r="BI796" s="90"/>
    </row>
    <row r="797" ht="12.75" customHeight="1">
      <c r="A797" s="90"/>
      <c r="B797" s="90"/>
      <c r="C797" s="400"/>
      <c r="D797" s="90"/>
      <c r="E797" s="102"/>
      <c r="F797" s="90"/>
      <c r="G797" s="90"/>
      <c r="H797" s="102"/>
      <c r="I797" s="102"/>
      <c r="J797" s="102"/>
      <c r="K797" s="102"/>
      <c r="L797" s="102"/>
      <c r="M797" s="102"/>
      <c r="N797" s="102"/>
      <c r="O797" s="102"/>
      <c r="P797" s="102"/>
      <c r="Q797" s="102"/>
      <c r="R797" s="102"/>
      <c r="S797" s="102"/>
      <c r="T797" s="102"/>
      <c r="U797" s="102"/>
      <c r="V797" s="102"/>
      <c r="W797" s="102"/>
      <c r="X797" s="102"/>
      <c r="Y797" s="102"/>
      <c r="Z797" s="102"/>
      <c r="AA797" s="102"/>
      <c r="AB797" s="102"/>
      <c r="AC797" s="102"/>
      <c r="AD797" s="102"/>
      <c r="AE797" s="102"/>
      <c r="AF797" s="102"/>
      <c r="AG797" s="102"/>
      <c r="AH797" s="102"/>
      <c r="AI797" s="102"/>
      <c r="AJ797" s="102"/>
      <c r="AK797" s="102"/>
      <c r="AL797" s="102"/>
      <c r="AM797" s="102"/>
      <c r="AN797" s="102"/>
      <c r="AO797" s="400"/>
      <c r="AP797" s="90"/>
      <c r="AQ797" s="90"/>
      <c r="AR797" s="90"/>
      <c r="AS797" s="90"/>
      <c r="AT797" s="90"/>
      <c r="AU797" s="90"/>
      <c r="AV797" s="90"/>
      <c r="AW797" s="90"/>
      <c r="AX797" s="90"/>
      <c r="AY797" s="90"/>
      <c r="AZ797" s="90"/>
      <c r="BA797" s="90"/>
      <c r="BB797" s="90"/>
      <c r="BC797" s="90"/>
      <c r="BD797" s="90"/>
      <c r="BE797" s="90"/>
      <c r="BF797" s="90"/>
      <c r="BG797" s="90"/>
      <c r="BH797" s="90"/>
      <c r="BI797" s="90"/>
    </row>
    <row r="798" ht="12.75" customHeight="1">
      <c r="A798" s="90"/>
      <c r="B798" s="90"/>
      <c r="C798" s="400"/>
      <c r="D798" s="90"/>
      <c r="E798" s="102"/>
      <c r="F798" s="90"/>
      <c r="G798" s="90"/>
      <c r="H798" s="102"/>
      <c r="I798" s="102"/>
      <c r="J798" s="102"/>
      <c r="K798" s="102"/>
      <c r="L798" s="102"/>
      <c r="M798" s="102"/>
      <c r="N798" s="102"/>
      <c r="O798" s="102"/>
      <c r="P798" s="102"/>
      <c r="Q798" s="102"/>
      <c r="R798" s="102"/>
      <c r="S798" s="102"/>
      <c r="T798" s="102"/>
      <c r="U798" s="102"/>
      <c r="V798" s="102"/>
      <c r="W798" s="102"/>
      <c r="X798" s="102"/>
      <c r="Y798" s="102"/>
      <c r="Z798" s="102"/>
      <c r="AA798" s="102"/>
      <c r="AB798" s="102"/>
      <c r="AC798" s="102"/>
      <c r="AD798" s="102"/>
      <c r="AE798" s="102"/>
      <c r="AF798" s="102"/>
      <c r="AG798" s="102"/>
      <c r="AH798" s="102"/>
      <c r="AI798" s="102"/>
      <c r="AJ798" s="102"/>
      <c r="AK798" s="102"/>
      <c r="AL798" s="102"/>
      <c r="AM798" s="102"/>
      <c r="AN798" s="102"/>
      <c r="AO798" s="400"/>
      <c r="AP798" s="90"/>
      <c r="AQ798" s="90"/>
      <c r="AR798" s="90"/>
      <c r="AS798" s="90"/>
      <c r="AT798" s="90"/>
      <c r="AU798" s="90"/>
      <c r="AV798" s="90"/>
      <c r="AW798" s="90"/>
      <c r="AX798" s="90"/>
      <c r="AY798" s="90"/>
      <c r="AZ798" s="90"/>
      <c r="BA798" s="90"/>
      <c r="BB798" s="90"/>
      <c r="BC798" s="90"/>
      <c r="BD798" s="90"/>
      <c r="BE798" s="90"/>
      <c r="BF798" s="90"/>
      <c r="BG798" s="90"/>
      <c r="BH798" s="90"/>
      <c r="BI798" s="90"/>
    </row>
    <row r="799" ht="12.75" customHeight="1">
      <c r="A799" s="90"/>
      <c r="B799" s="90"/>
      <c r="C799" s="400"/>
      <c r="D799" s="90"/>
      <c r="E799" s="102"/>
      <c r="F799" s="90"/>
      <c r="G799" s="90"/>
      <c r="H799" s="102"/>
      <c r="I799" s="102"/>
      <c r="J799" s="102"/>
      <c r="K799" s="102"/>
      <c r="L799" s="102"/>
      <c r="M799" s="102"/>
      <c r="N799" s="102"/>
      <c r="O799" s="102"/>
      <c r="P799" s="102"/>
      <c r="Q799" s="102"/>
      <c r="R799" s="102"/>
      <c r="S799" s="102"/>
      <c r="T799" s="102"/>
      <c r="U799" s="102"/>
      <c r="V799" s="102"/>
      <c r="W799" s="102"/>
      <c r="X799" s="102"/>
      <c r="Y799" s="102"/>
      <c r="Z799" s="102"/>
      <c r="AA799" s="102"/>
      <c r="AB799" s="102"/>
      <c r="AC799" s="102"/>
      <c r="AD799" s="102"/>
      <c r="AE799" s="102"/>
      <c r="AF799" s="102"/>
      <c r="AG799" s="102"/>
      <c r="AH799" s="102"/>
      <c r="AI799" s="102"/>
      <c r="AJ799" s="102"/>
      <c r="AK799" s="102"/>
      <c r="AL799" s="102"/>
      <c r="AM799" s="102"/>
      <c r="AN799" s="102"/>
      <c r="AO799" s="400"/>
      <c r="AP799" s="90"/>
      <c r="AQ799" s="90"/>
      <c r="AR799" s="90"/>
      <c r="AS799" s="90"/>
      <c r="AT799" s="90"/>
      <c r="AU799" s="90"/>
      <c r="AV799" s="90"/>
      <c r="AW799" s="90"/>
      <c r="AX799" s="90"/>
      <c r="AY799" s="90"/>
      <c r="AZ799" s="90"/>
      <c r="BA799" s="90"/>
      <c r="BB799" s="90"/>
      <c r="BC799" s="90"/>
      <c r="BD799" s="90"/>
      <c r="BE799" s="90"/>
      <c r="BF799" s="90"/>
      <c r="BG799" s="90"/>
      <c r="BH799" s="90"/>
      <c r="BI799" s="90"/>
    </row>
    <row r="800" ht="12.75" customHeight="1">
      <c r="A800" s="90"/>
      <c r="B800" s="90"/>
      <c r="C800" s="400"/>
      <c r="D800" s="90"/>
      <c r="E800" s="102"/>
      <c r="F800" s="90"/>
      <c r="G800" s="90"/>
      <c r="H800" s="102"/>
      <c r="I800" s="102"/>
      <c r="J800" s="102"/>
      <c r="K800" s="102"/>
      <c r="L800" s="102"/>
      <c r="M800" s="102"/>
      <c r="N800" s="102"/>
      <c r="O800" s="102"/>
      <c r="P800" s="102"/>
      <c r="Q800" s="102"/>
      <c r="R800" s="102"/>
      <c r="S800" s="102"/>
      <c r="T800" s="102"/>
      <c r="U800" s="102"/>
      <c r="V800" s="102"/>
      <c r="W800" s="102"/>
      <c r="X800" s="102"/>
      <c r="Y800" s="102"/>
      <c r="Z800" s="102"/>
      <c r="AA800" s="102"/>
      <c r="AB800" s="102"/>
      <c r="AC800" s="102"/>
      <c r="AD800" s="102"/>
      <c r="AE800" s="102"/>
      <c r="AF800" s="102"/>
      <c r="AG800" s="102"/>
      <c r="AH800" s="102"/>
      <c r="AI800" s="102"/>
      <c r="AJ800" s="102"/>
      <c r="AK800" s="102"/>
      <c r="AL800" s="102"/>
      <c r="AM800" s="102"/>
      <c r="AN800" s="102"/>
      <c r="AO800" s="400"/>
      <c r="AP800" s="90"/>
      <c r="AQ800" s="90"/>
      <c r="AR800" s="90"/>
      <c r="AS800" s="90"/>
      <c r="AT800" s="90"/>
      <c r="AU800" s="90"/>
      <c r="AV800" s="90"/>
      <c r="AW800" s="90"/>
      <c r="AX800" s="90"/>
      <c r="AY800" s="90"/>
      <c r="AZ800" s="90"/>
      <c r="BA800" s="90"/>
      <c r="BB800" s="90"/>
      <c r="BC800" s="90"/>
      <c r="BD800" s="90"/>
      <c r="BE800" s="90"/>
      <c r="BF800" s="90"/>
      <c r="BG800" s="90"/>
      <c r="BH800" s="90"/>
      <c r="BI800" s="90"/>
    </row>
    <row r="801" ht="12.75" customHeight="1">
      <c r="A801" s="90"/>
      <c r="B801" s="90"/>
      <c r="C801" s="400"/>
      <c r="D801" s="90"/>
      <c r="E801" s="102"/>
      <c r="F801" s="90"/>
      <c r="G801" s="90"/>
      <c r="H801" s="102"/>
      <c r="I801" s="102"/>
      <c r="J801" s="102"/>
      <c r="K801" s="102"/>
      <c r="L801" s="102"/>
      <c r="M801" s="102"/>
      <c r="N801" s="102"/>
      <c r="O801" s="102"/>
      <c r="P801" s="102"/>
      <c r="Q801" s="102"/>
      <c r="R801" s="102"/>
      <c r="S801" s="102"/>
      <c r="T801" s="102"/>
      <c r="U801" s="102"/>
      <c r="V801" s="102"/>
      <c r="W801" s="102"/>
      <c r="X801" s="102"/>
      <c r="Y801" s="102"/>
      <c r="Z801" s="102"/>
      <c r="AA801" s="102"/>
      <c r="AB801" s="102"/>
      <c r="AC801" s="102"/>
      <c r="AD801" s="102"/>
      <c r="AE801" s="102"/>
      <c r="AF801" s="102"/>
      <c r="AG801" s="102"/>
      <c r="AH801" s="102"/>
      <c r="AI801" s="102"/>
      <c r="AJ801" s="102"/>
      <c r="AK801" s="102"/>
      <c r="AL801" s="102"/>
      <c r="AM801" s="102"/>
      <c r="AN801" s="102"/>
      <c r="AO801" s="400"/>
      <c r="AP801" s="90"/>
      <c r="AQ801" s="90"/>
      <c r="AR801" s="90"/>
      <c r="AS801" s="90"/>
      <c r="AT801" s="90"/>
      <c r="AU801" s="90"/>
      <c r="AV801" s="90"/>
      <c r="AW801" s="90"/>
      <c r="AX801" s="90"/>
      <c r="AY801" s="90"/>
      <c r="AZ801" s="90"/>
      <c r="BA801" s="90"/>
      <c r="BB801" s="90"/>
      <c r="BC801" s="90"/>
      <c r="BD801" s="90"/>
      <c r="BE801" s="90"/>
      <c r="BF801" s="90"/>
      <c r="BG801" s="90"/>
      <c r="BH801" s="90"/>
      <c r="BI801" s="90"/>
    </row>
    <row r="802" ht="12.75" customHeight="1">
      <c r="A802" s="90"/>
      <c r="B802" s="90"/>
      <c r="C802" s="400"/>
      <c r="D802" s="90"/>
      <c r="E802" s="102"/>
      <c r="F802" s="90"/>
      <c r="G802" s="90"/>
      <c r="H802" s="102"/>
      <c r="I802" s="102"/>
      <c r="J802" s="102"/>
      <c r="K802" s="102"/>
      <c r="L802" s="102"/>
      <c r="M802" s="102"/>
      <c r="N802" s="102"/>
      <c r="O802" s="102"/>
      <c r="P802" s="102"/>
      <c r="Q802" s="102"/>
      <c r="R802" s="102"/>
      <c r="S802" s="102"/>
      <c r="T802" s="102"/>
      <c r="U802" s="102"/>
      <c r="V802" s="102"/>
      <c r="W802" s="102"/>
      <c r="X802" s="102"/>
      <c r="Y802" s="102"/>
      <c r="Z802" s="102"/>
      <c r="AA802" s="102"/>
      <c r="AB802" s="102"/>
      <c r="AC802" s="102"/>
      <c r="AD802" s="102"/>
      <c r="AE802" s="102"/>
      <c r="AF802" s="102"/>
      <c r="AG802" s="102"/>
      <c r="AH802" s="102"/>
      <c r="AI802" s="102"/>
      <c r="AJ802" s="102"/>
      <c r="AK802" s="102"/>
      <c r="AL802" s="102"/>
      <c r="AM802" s="102"/>
      <c r="AN802" s="102"/>
      <c r="AO802" s="400"/>
      <c r="AP802" s="90"/>
      <c r="AQ802" s="90"/>
      <c r="AR802" s="90"/>
      <c r="AS802" s="90"/>
      <c r="AT802" s="90"/>
      <c r="AU802" s="90"/>
      <c r="AV802" s="90"/>
      <c r="AW802" s="90"/>
      <c r="AX802" s="90"/>
      <c r="AY802" s="90"/>
      <c r="AZ802" s="90"/>
      <c r="BA802" s="90"/>
      <c r="BB802" s="90"/>
      <c r="BC802" s="90"/>
      <c r="BD802" s="90"/>
      <c r="BE802" s="90"/>
      <c r="BF802" s="90"/>
      <c r="BG802" s="90"/>
      <c r="BH802" s="90"/>
      <c r="BI802" s="90"/>
    </row>
    <row r="803" ht="12.75" customHeight="1">
      <c r="A803" s="90"/>
      <c r="B803" s="90"/>
      <c r="C803" s="400"/>
      <c r="D803" s="90"/>
      <c r="E803" s="102"/>
      <c r="F803" s="90"/>
      <c r="G803" s="90"/>
      <c r="H803" s="102"/>
      <c r="I803" s="102"/>
      <c r="J803" s="102"/>
      <c r="K803" s="102"/>
      <c r="L803" s="102"/>
      <c r="M803" s="102"/>
      <c r="N803" s="102"/>
      <c r="O803" s="102"/>
      <c r="P803" s="102"/>
      <c r="Q803" s="102"/>
      <c r="R803" s="102"/>
      <c r="S803" s="102"/>
      <c r="T803" s="102"/>
      <c r="U803" s="102"/>
      <c r="V803" s="102"/>
      <c r="W803" s="102"/>
      <c r="X803" s="102"/>
      <c r="Y803" s="102"/>
      <c r="Z803" s="102"/>
      <c r="AA803" s="102"/>
      <c r="AB803" s="102"/>
      <c r="AC803" s="102"/>
      <c r="AD803" s="102"/>
      <c r="AE803" s="102"/>
      <c r="AF803" s="102"/>
      <c r="AG803" s="102"/>
      <c r="AH803" s="102"/>
      <c r="AI803" s="102"/>
      <c r="AJ803" s="102"/>
      <c r="AK803" s="102"/>
      <c r="AL803" s="102"/>
      <c r="AM803" s="102"/>
      <c r="AN803" s="102"/>
      <c r="AO803" s="400"/>
      <c r="AP803" s="90"/>
      <c r="AQ803" s="90"/>
      <c r="AR803" s="90"/>
      <c r="AS803" s="90"/>
      <c r="AT803" s="90"/>
      <c r="AU803" s="90"/>
      <c r="AV803" s="90"/>
      <c r="AW803" s="90"/>
      <c r="AX803" s="90"/>
      <c r="AY803" s="90"/>
      <c r="AZ803" s="90"/>
      <c r="BA803" s="90"/>
      <c r="BB803" s="90"/>
      <c r="BC803" s="90"/>
      <c r="BD803" s="90"/>
      <c r="BE803" s="90"/>
      <c r="BF803" s="90"/>
      <c r="BG803" s="90"/>
      <c r="BH803" s="90"/>
      <c r="BI803" s="90"/>
    </row>
    <row r="804" ht="12.75" customHeight="1">
      <c r="A804" s="90"/>
      <c r="B804" s="90"/>
      <c r="C804" s="400"/>
      <c r="D804" s="90"/>
      <c r="E804" s="102"/>
      <c r="F804" s="90"/>
      <c r="G804" s="90"/>
      <c r="H804" s="102"/>
      <c r="I804" s="102"/>
      <c r="J804" s="102"/>
      <c r="K804" s="102"/>
      <c r="L804" s="102"/>
      <c r="M804" s="102"/>
      <c r="N804" s="102"/>
      <c r="O804" s="102"/>
      <c r="P804" s="102"/>
      <c r="Q804" s="102"/>
      <c r="R804" s="102"/>
      <c r="S804" s="102"/>
      <c r="T804" s="102"/>
      <c r="U804" s="102"/>
      <c r="V804" s="102"/>
      <c r="W804" s="102"/>
      <c r="X804" s="102"/>
      <c r="Y804" s="102"/>
      <c r="Z804" s="102"/>
      <c r="AA804" s="102"/>
      <c r="AB804" s="102"/>
      <c r="AC804" s="102"/>
      <c r="AD804" s="102"/>
      <c r="AE804" s="102"/>
      <c r="AF804" s="102"/>
      <c r="AG804" s="102"/>
      <c r="AH804" s="102"/>
      <c r="AI804" s="102"/>
      <c r="AJ804" s="102"/>
      <c r="AK804" s="102"/>
      <c r="AL804" s="102"/>
      <c r="AM804" s="102"/>
      <c r="AN804" s="102"/>
      <c r="AO804" s="400"/>
      <c r="AP804" s="90"/>
      <c r="AQ804" s="90"/>
      <c r="AR804" s="90"/>
      <c r="AS804" s="90"/>
      <c r="AT804" s="90"/>
      <c r="AU804" s="90"/>
      <c r="AV804" s="90"/>
      <c r="AW804" s="90"/>
      <c r="AX804" s="90"/>
      <c r="AY804" s="90"/>
      <c r="AZ804" s="90"/>
      <c r="BA804" s="90"/>
      <c r="BB804" s="90"/>
      <c r="BC804" s="90"/>
      <c r="BD804" s="90"/>
      <c r="BE804" s="90"/>
      <c r="BF804" s="90"/>
      <c r="BG804" s="90"/>
      <c r="BH804" s="90"/>
      <c r="BI804" s="90"/>
    </row>
    <row r="805" ht="12.75" customHeight="1">
      <c r="A805" s="90"/>
      <c r="B805" s="90"/>
      <c r="C805" s="400"/>
      <c r="D805" s="90"/>
      <c r="E805" s="102"/>
      <c r="F805" s="90"/>
      <c r="G805" s="90"/>
      <c r="H805" s="102"/>
      <c r="I805" s="102"/>
      <c r="J805" s="102"/>
      <c r="K805" s="102"/>
      <c r="L805" s="102"/>
      <c r="M805" s="102"/>
      <c r="N805" s="102"/>
      <c r="O805" s="102"/>
      <c r="P805" s="102"/>
      <c r="Q805" s="102"/>
      <c r="R805" s="102"/>
      <c r="S805" s="102"/>
      <c r="T805" s="102"/>
      <c r="U805" s="102"/>
      <c r="V805" s="102"/>
      <c r="W805" s="102"/>
      <c r="X805" s="102"/>
      <c r="Y805" s="102"/>
      <c r="Z805" s="102"/>
      <c r="AA805" s="102"/>
      <c r="AB805" s="102"/>
      <c r="AC805" s="102"/>
      <c r="AD805" s="102"/>
      <c r="AE805" s="102"/>
      <c r="AF805" s="102"/>
      <c r="AG805" s="102"/>
      <c r="AH805" s="102"/>
      <c r="AI805" s="102"/>
      <c r="AJ805" s="102"/>
      <c r="AK805" s="102"/>
      <c r="AL805" s="102"/>
      <c r="AM805" s="102"/>
      <c r="AN805" s="102"/>
      <c r="AO805" s="400"/>
      <c r="AP805" s="90"/>
      <c r="AQ805" s="90"/>
      <c r="AR805" s="90"/>
      <c r="AS805" s="90"/>
      <c r="AT805" s="90"/>
      <c r="AU805" s="90"/>
      <c r="AV805" s="90"/>
      <c r="AW805" s="90"/>
      <c r="AX805" s="90"/>
      <c r="AY805" s="90"/>
      <c r="AZ805" s="90"/>
      <c r="BA805" s="90"/>
      <c r="BB805" s="90"/>
      <c r="BC805" s="90"/>
      <c r="BD805" s="90"/>
      <c r="BE805" s="90"/>
      <c r="BF805" s="90"/>
      <c r="BG805" s="90"/>
      <c r="BH805" s="90"/>
      <c r="BI805" s="90"/>
    </row>
    <row r="806" ht="12.75" customHeight="1">
      <c r="A806" s="90"/>
      <c r="B806" s="90"/>
      <c r="C806" s="400"/>
      <c r="D806" s="90"/>
      <c r="E806" s="102"/>
      <c r="F806" s="90"/>
      <c r="G806" s="90"/>
      <c r="H806" s="102"/>
      <c r="I806" s="102"/>
      <c r="J806" s="102"/>
      <c r="K806" s="102"/>
      <c r="L806" s="102"/>
      <c r="M806" s="102"/>
      <c r="N806" s="102"/>
      <c r="O806" s="102"/>
      <c r="P806" s="102"/>
      <c r="Q806" s="102"/>
      <c r="R806" s="102"/>
      <c r="S806" s="102"/>
      <c r="T806" s="102"/>
      <c r="U806" s="102"/>
      <c r="V806" s="102"/>
      <c r="W806" s="102"/>
      <c r="X806" s="102"/>
      <c r="Y806" s="102"/>
      <c r="Z806" s="102"/>
      <c r="AA806" s="102"/>
      <c r="AB806" s="102"/>
      <c r="AC806" s="102"/>
      <c r="AD806" s="102"/>
      <c r="AE806" s="102"/>
      <c r="AF806" s="102"/>
      <c r="AG806" s="102"/>
      <c r="AH806" s="102"/>
      <c r="AI806" s="102"/>
      <c r="AJ806" s="102"/>
      <c r="AK806" s="102"/>
      <c r="AL806" s="102"/>
      <c r="AM806" s="102"/>
      <c r="AN806" s="102"/>
      <c r="AO806" s="400"/>
      <c r="AP806" s="90"/>
      <c r="AQ806" s="90"/>
      <c r="AR806" s="90"/>
      <c r="AS806" s="90"/>
      <c r="AT806" s="90"/>
      <c r="AU806" s="90"/>
      <c r="AV806" s="90"/>
      <c r="AW806" s="90"/>
      <c r="AX806" s="90"/>
      <c r="AY806" s="90"/>
      <c r="AZ806" s="90"/>
      <c r="BA806" s="90"/>
      <c r="BB806" s="90"/>
      <c r="BC806" s="90"/>
      <c r="BD806" s="90"/>
      <c r="BE806" s="90"/>
      <c r="BF806" s="90"/>
      <c r="BG806" s="90"/>
      <c r="BH806" s="90"/>
      <c r="BI806" s="90"/>
    </row>
    <row r="807" ht="12.75" customHeight="1">
      <c r="A807" s="90"/>
      <c r="B807" s="90"/>
      <c r="C807" s="400"/>
      <c r="D807" s="90"/>
      <c r="E807" s="102"/>
      <c r="F807" s="90"/>
      <c r="G807" s="90"/>
      <c r="H807" s="102"/>
      <c r="I807" s="102"/>
      <c r="J807" s="102"/>
      <c r="K807" s="102"/>
      <c r="L807" s="102"/>
      <c r="M807" s="102"/>
      <c r="N807" s="102"/>
      <c r="O807" s="102"/>
      <c r="P807" s="102"/>
      <c r="Q807" s="102"/>
      <c r="R807" s="102"/>
      <c r="S807" s="102"/>
      <c r="T807" s="102"/>
      <c r="U807" s="102"/>
      <c r="V807" s="102"/>
      <c r="W807" s="102"/>
      <c r="X807" s="102"/>
      <c r="Y807" s="102"/>
      <c r="Z807" s="102"/>
      <c r="AA807" s="102"/>
      <c r="AB807" s="102"/>
      <c r="AC807" s="102"/>
      <c r="AD807" s="102"/>
      <c r="AE807" s="102"/>
      <c r="AF807" s="102"/>
      <c r="AG807" s="102"/>
      <c r="AH807" s="102"/>
      <c r="AI807" s="102"/>
      <c r="AJ807" s="102"/>
      <c r="AK807" s="102"/>
      <c r="AL807" s="102"/>
      <c r="AM807" s="102"/>
      <c r="AN807" s="102"/>
      <c r="AO807" s="400"/>
      <c r="AP807" s="90"/>
      <c r="AQ807" s="90"/>
      <c r="AR807" s="90"/>
      <c r="AS807" s="90"/>
      <c r="AT807" s="90"/>
      <c r="AU807" s="90"/>
      <c r="AV807" s="90"/>
      <c r="AW807" s="90"/>
      <c r="AX807" s="90"/>
      <c r="AY807" s="90"/>
      <c r="AZ807" s="90"/>
      <c r="BA807" s="90"/>
      <c r="BB807" s="90"/>
      <c r="BC807" s="90"/>
      <c r="BD807" s="90"/>
      <c r="BE807" s="90"/>
      <c r="BF807" s="90"/>
      <c r="BG807" s="90"/>
      <c r="BH807" s="90"/>
      <c r="BI807" s="90"/>
    </row>
    <row r="808" ht="12.75" customHeight="1">
      <c r="A808" s="90"/>
      <c r="B808" s="90"/>
      <c r="C808" s="400"/>
      <c r="D808" s="90"/>
      <c r="E808" s="102"/>
      <c r="F808" s="90"/>
      <c r="G808" s="90"/>
      <c r="H808" s="102"/>
      <c r="I808" s="102"/>
      <c r="J808" s="102"/>
      <c r="K808" s="102"/>
      <c r="L808" s="102"/>
      <c r="M808" s="102"/>
      <c r="N808" s="102"/>
      <c r="O808" s="102"/>
      <c r="P808" s="102"/>
      <c r="Q808" s="102"/>
      <c r="R808" s="102"/>
      <c r="S808" s="102"/>
      <c r="T808" s="102"/>
      <c r="U808" s="102"/>
      <c r="V808" s="102"/>
      <c r="W808" s="102"/>
      <c r="X808" s="102"/>
      <c r="Y808" s="102"/>
      <c r="Z808" s="102"/>
      <c r="AA808" s="102"/>
      <c r="AB808" s="102"/>
      <c r="AC808" s="102"/>
      <c r="AD808" s="102"/>
      <c r="AE808" s="102"/>
      <c r="AF808" s="102"/>
      <c r="AG808" s="102"/>
      <c r="AH808" s="102"/>
      <c r="AI808" s="102"/>
      <c r="AJ808" s="102"/>
      <c r="AK808" s="102"/>
      <c r="AL808" s="102"/>
      <c r="AM808" s="102"/>
      <c r="AN808" s="102"/>
      <c r="AO808" s="400"/>
      <c r="AP808" s="90"/>
      <c r="AQ808" s="90"/>
      <c r="AR808" s="90"/>
      <c r="AS808" s="90"/>
      <c r="AT808" s="90"/>
      <c r="AU808" s="90"/>
      <c r="AV808" s="90"/>
      <c r="AW808" s="90"/>
      <c r="AX808" s="90"/>
      <c r="AY808" s="90"/>
      <c r="AZ808" s="90"/>
      <c r="BA808" s="90"/>
      <c r="BB808" s="90"/>
      <c r="BC808" s="90"/>
      <c r="BD808" s="90"/>
      <c r="BE808" s="90"/>
      <c r="BF808" s="90"/>
      <c r="BG808" s="90"/>
      <c r="BH808" s="90"/>
      <c r="BI808" s="90"/>
    </row>
    <row r="809" ht="12.75" customHeight="1">
      <c r="A809" s="90"/>
      <c r="B809" s="90"/>
      <c r="C809" s="400"/>
      <c r="D809" s="90"/>
      <c r="E809" s="102"/>
      <c r="F809" s="90"/>
      <c r="G809" s="90"/>
      <c r="H809" s="102"/>
      <c r="I809" s="102"/>
      <c r="J809" s="102"/>
      <c r="K809" s="102"/>
      <c r="L809" s="102"/>
      <c r="M809" s="102"/>
      <c r="N809" s="102"/>
      <c r="O809" s="102"/>
      <c r="P809" s="102"/>
      <c r="Q809" s="102"/>
      <c r="R809" s="102"/>
      <c r="S809" s="102"/>
      <c r="T809" s="102"/>
      <c r="U809" s="102"/>
      <c r="V809" s="102"/>
      <c r="W809" s="102"/>
      <c r="X809" s="102"/>
      <c r="Y809" s="102"/>
      <c r="Z809" s="102"/>
      <c r="AA809" s="102"/>
      <c r="AB809" s="102"/>
      <c r="AC809" s="102"/>
      <c r="AD809" s="102"/>
      <c r="AE809" s="102"/>
      <c r="AF809" s="102"/>
      <c r="AG809" s="102"/>
      <c r="AH809" s="102"/>
      <c r="AI809" s="102"/>
      <c r="AJ809" s="102"/>
      <c r="AK809" s="102"/>
      <c r="AL809" s="102"/>
      <c r="AM809" s="102"/>
      <c r="AN809" s="102"/>
      <c r="AO809" s="400"/>
      <c r="AP809" s="90"/>
      <c r="AQ809" s="90"/>
      <c r="AR809" s="90"/>
      <c r="AS809" s="90"/>
      <c r="AT809" s="90"/>
      <c r="AU809" s="90"/>
      <c r="AV809" s="90"/>
      <c r="AW809" s="90"/>
      <c r="AX809" s="90"/>
      <c r="AY809" s="90"/>
      <c r="AZ809" s="90"/>
      <c r="BA809" s="90"/>
      <c r="BB809" s="90"/>
      <c r="BC809" s="90"/>
      <c r="BD809" s="90"/>
      <c r="BE809" s="90"/>
      <c r="BF809" s="90"/>
      <c r="BG809" s="90"/>
      <c r="BH809" s="90"/>
      <c r="BI809" s="90"/>
    </row>
    <row r="810" ht="12.75" customHeight="1">
      <c r="A810" s="90"/>
      <c r="B810" s="90"/>
      <c r="C810" s="400"/>
      <c r="D810" s="90"/>
      <c r="E810" s="102"/>
      <c r="F810" s="90"/>
      <c r="G810" s="90"/>
      <c r="H810" s="102"/>
      <c r="I810" s="102"/>
      <c r="J810" s="102"/>
      <c r="K810" s="102"/>
      <c r="L810" s="102"/>
      <c r="M810" s="102"/>
      <c r="N810" s="102"/>
      <c r="O810" s="102"/>
      <c r="P810" s="102"/>
      <c r="Q810" s="102"/>
      <c r="R810" s="102"/>
      <c r="S810" s="102"/>
      <c r="T810" s="102"/>
      <c r="U810" s="102"/>
      <c r="V810" s="102"/>
      <c r="W810" s="102"/>
      <c r="X810" s="102"/>
      <c r="Y810" s="102"/>
      <c r="Z810" s="102"/>
      <c r="AA810" s="102"/>
      <c r="AB810" s="102"/>
      <c r="AC810" s="102"/>
      <c r="AD810" s="102"/>
      <c r="AE810" s="102"/>
      <c r="AF810" s="102"/>
      <c r="AG810" s="102"/>
      <c r="AH810" s="102"/>
      <c r="AI810" s="102"/>
      <c r="AJ810" s="102"/>
      <c r="AK810" s="102"/>
      <c r="AL810" s="102"/>
      <c r="AM810" s="102"/>
      <c r="AN810" s="102"/>
      <c r="AO810" s="400"/>
      <c r="AP810" s="90"/>
      <c r="AQ810" s="90"/>
      <c r="AR810" s="90"/>
      <c r="AS810" s="90"/>
      <c r="AT810" s="90"/>
      <c r="AU810" s="90"/>
      <c r="AV810" s="90"/>
      <c r="AW810" s="90"/>
      <c r="AX810" s="90"/>
      <c r="AY810" s="90"/>
      <c r="AZ810" s="90"/>
      <c r="BA810" s="90"/>
      <c r="BB810" s="90"/>
      <c r="BC810" s="90"/>
      <c r="BD810" s="90"/>
      <c r="BE810" s="90"/>
      <c r="BF810" s="90"/>
      <c r="BG810" s="90"/>
      <c r="BH810" s="90"/>
      <c r="BI810" s="90"/>
    </row>
    <row r="811" ht="12.75" customHeight="1">
      <c r="A811" s="90"/>
      <c r="B811" s="90"/>
      <c r="C811" s="400"/>
      <c r="D811" s="90"/>
      <c r="E811" s="102"/>
      <c r="F811" s="90"/>
      <c r="G811" s="90"/>
      <c r="H811" s="102"/>
      <c r="I811" s="102"/>
      <c r="J811" s="102"/>
      <c r="K811" s="102"/>
      <c r="L811" s="102"/>
      <c r="M811" s="102"/>
      <c r="N811" s="102"/>
      <c r="O811" s="102"/>
      <c r="P811" s="102"/>
      <c r="Q811" s="102"/>
      <c r="R811" s="102"/>
      <c r="S811" s="102"/>
      <c r="T811" s="102"/>
      <c r="U811" s="102"/>
      <c r="V811" s="102"/>
      <c r="W811" s="102"/>
      <c r="X811" s="102"/>
      <c r="Y811" s="102"/>
      <c r="Z811" s="102"/>
      <c r="AA811" s="102"/>
      <c r="AB811" s="102"/>
      <c r="AC811" s="102"/>
      <c r="AD811" s="102"/>
      <c r="AE811" s="102"/>
      <c r="AF811" s="102"/>
      <c r="AG811" s="102"/>
      <c r="AH811" s="102"/>
      <c r="AI811" s="102"/>
      <c r="AJ811" s="102"/>
      <c r="AK811" s="102"/>
      <c r="AL811" s="102"/>
      <c r="AM811" s="102"/>
      <c r="AN811" s="102"/>
      <c r="AO811" s="400"/>
      <c r="AP811" s="90"/>
      <c r="AQ811" s="90"/>
      <c r="AR811" s="90"/>
      <c r="AS811" s="90"/>
      <c r="AT811" s="90"/>
      <c r="AU811" s="90"/>
      <c r="AV811" s="90"/>
      <c r="AW811" s="90"/>
      <c r="AX811" s="90"/>
      <c r="AY811" s="90"/>
      <c r="AZ811" s="90"/>
      <c r="BA811" s="90"/>
      <c r="BB811" s="90"/>
      <c r="BC811" s="90"/>
      <c r="BD811" s="90"/>
      <c r="BE811" s="90"/>
      <c r="BF811" s="90"/>
      <c r="BG811" s="90"/>
      <c r="BH811" s="90"/>
      <c r="BI811" s="90"/>
    </row>
    <row r="812" ht="12.75" customHeight="1">
      <c r="A812" s="90"/>
      <c r="B812" s="90"/>
      <c r="C812" s="400"/>
      <c r="D812" s="90"/>
      <c r="E812" s="102"/>
      <c r="F812" s="90"/>
      <c r="G812" s="90"/>
      <c r="H812" s="102"/>
      <c r="I812" s="102"/>
      <c r="J812" s="102"/>
      <c r="K812" s="102"/>
      <c r="L812" s="102"/>
      <c r="M812" s="102"/>
      <c r="N812" s="102"/>
      <c r="O812" s="102"/>
      <c r="P812" s="102"/>
      <c r="Q812" s="102"/>
      <c r="R812" s="102"/>
      <c r="S812" s="102"/>
      <c r="T812" s="102"/>
      <c r="U812" s="102"/>
      <c r="V812" s="102"/>
      <c r="W812" s="102"/>
      <c r="X812" s="102"/>
      <c r="Y812" s="102"/>
      <c r="Z812" s="102"/>
      <c r="AA812" s="102"/>
      <c r="AB812" s="102"/>
      <c r="AC812" s="102"/>
      <c r="AD812" s="102"/>
      <c r="AE812" s="102"/>
      <c r="AF812" s="102"/>
      <c r="AG812" s="102"/>
      <c r="AH812" s="102"/>
      <c r="AI812" s="102"/>
      <c r="AJ812" s="102"/>
      <c r="AK812" s="102"/>
      <c r="AL812" s="102"/>
      <c r="AM812" s="102"/>
      <c r="AN812" s="102"/>
      <c r="AO812" s="400"/>
      <c r="AP812" s="90"/>
      <c r="AQ812" s="90"/>
      <c r="AR812" s="90"/>
      <c r="AS812" s="90"/>
      <c r="AT812" s="90"/>
      <c r="AU812" s="90"/>
      <c r="AV812" s="90"/>
      <c r="AW812" s="90"/>
      <c r="AX812" s="90"/>
      <c r="AY812" s="90"/>
      <c r="AZ812" s="90"/>
      <c r="BA812" s="90"/>
      <c r="BB812" s="90"/>
      <c r="BC812" s="90"/>
      <c r="BD812" s="90"/>
      <c r="BE812" s="90"/>
      <c r="BF812" s="90"/>
      <c r="BG812" s="90"/>
      <c r="BH812" s="90"/>
      <c r="BI812" s="90"/>
    </row>
    <row r="813" ht="12.75" customHeight="1">
      <c r="A813" s="90"/>
      <c r="B813" s="90"/>
      <c r="C813" s="400"/>
      <c r="D813" s="90"/>
      <c r="E813" s="102"/>
      <c r="F813" s="90"/>
      <c r="G813" s="90"/>
      <c r="H813" s="102"/>
      <c r="I813" s="102"/>
      <c r="J813" s="102"/>
      <c r="K813" s="102"/>
      <c r="L813" s="102"/>
      <c r="M813" s="102"/>
      <c r="N813" s="102"/>
      <c r="O813" s="102"/>
      <c r="P813" s="102"/>
      <c r="Q813" s="102"/>
      <c r="R813" s="102"/>
      <c r="S813" s="102"/>
      <c r="T813" s="102"/>
      <c r="U813" s="102"/>
      <c r="V813" s="102"/>
      <c r="W813" s="102"/>
      <c r="X813" s="102"/>
      <c r="Y813" s="102"/>
      <c r="Z813" s="102"/>
      <c r="AA813" s="102"/>
      <c r="AB813" s="102"/>
      <c r="AC813" s="102"/>
      <c r="AD813" s="102"/>
      <c r="AE813" s="102"/>
      <c r="AF813" s="102"/>
      <c r="AG813" s="102"/>
      <c r="AH813" s="102"/>
      <c r="AI813" s="102"/>
      <c r="AJ813" s="102"/>
      <c r="AK813" s="102"/>
      <c r="AL813" s="102"/>
      <c r="AM813" s="102"/>
      <c r="AN813" s="102"/>
      <c r="AO813" s="400"/>
      <c r="AP813" s="90"/>
      <c r="AQ813" s="90"/>
      <c r="AR813" s="90"/>
      <c r="AS813" s="90"/>
      <c r="AT813" s="90"/>
      <c r="AU813" s="90"/>
      <c r="AV813" s="90"/>
      <c r="AW813" s="90"/>
      <c r="AX813" s="90"/>
      <c r="AY813" s="90"/>
      <c r="AZ813" s="90"/>
      <c r="BA813" s="90"/>
      <c r="BB813" s="90"/>
      <c r="BC813" s="90"/>
      <c r="BD813" s="90"/>
      <c r="BE813" s="90"/>
      <c r="BF813" s="90"/>
      <c r="BG813" s="90"/>
      <c r="BH813" s="90"/>
      <c r="BI813" s="90"/>
    </row>
    <row r="814" ht="12.75" customHeight="1">
      <c r="A814" s="90"/>
      <c r="B814" s="90"/>
      <c r="C814" s="400"/>
      <c r="D814" s="90"/>
      <c r="E814" s="102"/>
      <c r="F814" s="90"/>
      <c r="G814" s="90"/>
      <c r="H814" s="102"/>
      <c r="I814" s="102"/>
      <c r="J814" s="102"/>
      <c r="K814" s="102"/>
      <c r="L814" s="102"/>
      <c r="M814" s="102"/>
      <c r="N814" s="102"/>
      <c r="O814" s="102"/>
      <c r="P814" s="102"/>
      <c r="Q814" s="102"/>
      <c r="R814" s="102"/>
      <c r="S814" s="102"/>
      <c r="T814" s="102"/>
      <c r="U814" s="102"/>
      <c r="V814" s="102"/>
      <c r="W814" s="102"/>
      <c r="X814" s="102"/>
      <c r="Y814" s="102"/>
      <c r="Z814" s="102"/>
      <c r="AA814" s="102"/>
      <c r="AB814" s="102"/>
      <c r="AC814" s="102"/>
      <c r="AD814" s="102"/>
      <c r="AE814" s="102"/>
      <c r="AF814" s="102"/>
      <c r="AG814" s="102"/>
      <c r="AH814" s="102"/>
      <c r="AI814" s="102"/>
      <c r="AJ814" s="102"/>
      <c r="AK814" s="102"/>
      <c r="AL814" s="102"/>
      <c r="AM814" s="102"/>
      <c r="AN814" s="102"/>
      <c r="AO814" s="400"/>
      <c r="AP814" s="90"/>
      <c r="AQ814" s="90"/>
      <c r="AR814" s="90"/>
      <c r="AS814" s="90"/>
      <c r="AT814" s="90"/>
      <c r="AU814" s="90"/>
      <c r="AV814" s="90"/>
      <c r="AW814" s="90"/>
      <c r="AX814" s="90"/>
      <c r="AY814" s="90"/>
      <c r="AZ814" s="90"/>
      <c r="BA814" s="90"/>
      <c r="BB814" s="90"/>
      <c r="BC814" s="90"/>
      <c r="BD814" s="90"/>
      <c r="BE814" s="90"/>
      <c r="BF814" s="90"/>
      <c r="BG814" s="90"/>
      <c r="BH814" s="90"/>
      <c r="BI814" s="90"/>
    </row>
    <row r="815" ht="12.75" customHeight="1">
      <c r="A815" s="90"/>
      <c r="B815" s="90"/>
      <c r="C815" s="400"/>
      <c r="D815" s="90"/>
      <c r="E815" s="102"/>
      <c r="F815" s="90"/>
      <c r="G815" s="90"/>
      <c r="H815" s="102"/>
      <c r="I815" s="102"/>
      <c r="J815" s="102"/>
      <c r="K815" s="102"/>
      <c r="L815" s="102"/>
      <c r="M815" s="102"/>
      <c r="N815" s="102"/>
      <c r="O815" s="102"/>
      <c r="P815" s="102"/>
      <c r="Q815" s="102"/>
      <c r="R815" s="102"/>
      <c r="S815" s="102"/>
      <c r="T815" s="102"/>
      <c r="U815" s="102"/>
      <c r="V815" s="102"/>
      <c r="W815" s="102"/>
      <c r="X815" s="102"/>
      <c r="Y815" s="102"/>
      <c r="Z815" s="102"/>
      <c r="AA815" s="102"/>
      <c r="AB815" s="102"/>
      <c r="AC815" s="102"/>
      <c r="AD815" s="102"/>
      <c r="AE815" s="102"/>
      <c r="AF815" s="102"/>
      <c r="AG815" s="102"/>
      <c r="AH815" s="102"/>
      <c r="AI815" s="102"/>
      <c r="AJ815" s="102"/>
      <c r="AK815" s="102"/>
      <c r="AL815" s="102"/>
      <c r="AM815" s="102"/>
      <c r="AN815" s="102"/>
      <c r="AO815" s="400"/>
      <c r="AP815" s="90"/>
      <c r="AQ815" s="90"/>
      <c r="AR815" s="90"/>
      <c r="AS815" s="90"/>
      <c r="AT815" s="90"/>
      <c r="AU815" s="90"/>
      <c r="AV815" s="90"/>
      <c r="AW815" s="90"/>
      <c r="AX815" s="90"/>
      <c r="AY815" s="90"/>
      <c r="AZ815" s="90"/>
      <c r="BA815" s="90"/>
      <c r="BB815" s="90"/>
      <c r="BC815" s="90"/>
      <c r="BD815" s="90"/>
      <c r="BE815" s="90"/>
      <c r="BF815" s="90"/>
      <c r="BG815" s="90"/>
      <c r="BH815" s="90"/>
      <c r="BI815" s="90"/>
    </row>
    <row r="816" ht="12.75" customHeight="1">
      <c r="A816" s="90"/>
      <c r="B816" s="90"/>
      <c r="C816" s="400"/>
      <c r="D816" s="90"/>
      <c r="E816" s="102"/>
      <c r="F816" s="90"/>
      <c r="G816" s="90"/>
      <c r="H816" s="102"/>
      <c r="I816" s="102"/>
      <c r="J816" s="102"/>
      <c r="K816" s="102"/>
      <c r="L816" s="102"/>
      <c r="M816" s="102"/>
      <c r="N816" s="102"/>
      <c r="O816" s="102"/>
      <c r="P816" s="102"/>
      <c r="Q816" s="102"/>
      <c r="R816" s="102"/>
      <c r="S816" s="102"/>
      <c r="T816" s="102"/>
      <c r="U816" s="102"/>
      <c r="V816" s="102"/>
      <c r="W816" s="102"/>
      <c r="X816" s="102"/>
      <c r="Y816" s="102"/>
      <c r="Z816" s="102"/>
      <c r="AA816" s="102"/>
      <c r="AB816" s="102"/>
      <c r="AC816" s="102"/>
      <c r="AD816" s="102"/>
      <c r="AE816" s="102"/>
      <c r="AF816" s="102"/>
      <c r="AG816" s="102"/>
      <c r="AH816" s="102"/>
      <c r="AI816" s="102"/>
      <c r="AJ816" s="102"/>
      <c r="AK816" s="102"/>
      <c r="AL816" s="102"/>
      <c r="AM816" s="102"/>
      <c r="AN816" s="102"/>
      <c r="AO816" s="400"/>
      <c r="AP816" s="90"/>
      <c r="AQ816" s="90"/>
      <c r="AR816" s="90"/>
      <c r="AS816" s="90"/>
      <c r="AT816" s="90"/>
      <c r="AU816" s="90"/>
      <c r="AV816" s="90"/>
      <c r="AW816" s="90"/>
      <c r="AX816" s="90"/>
      <c r="AY816" s="90"/>
      <c r="AZ816" s="90"/>
      <c r="BA816" s="90"/>
      <c r="BB816" s="90"/>
      <c r="BC816" s="90"/>
      <c r="BD816" s="90"/>
      <c r="BE816" s="90"/>
      <c r="BF816" s="90"/>
      <c r="BG816" s="90"/>
      <c r="BH816" s="90"/>
      <c r="BI816" s="90"/>
    </row>
    <row r="817" ht="12.75" customHeight="1">
      <c r="A817" s="90"/>
      <c r="B817" s="90"/>
      <c r="C817" s="400"/>
      <c r="D817" s="90"/>
      <c r="E817" s="102"/>
      <c r="F817" s="90"/>
      <c r="G817" s="90"/>
      <c r="H817" s="102"/>
      <c r="I817" s="102"/>
      <c r="J817" s="102"/>
      <c r="K817" s="102"/>
      <c r="L817" s="102"/>
      <c r="M817" s="102"/>
      <c r="N817" s="102"/>
      <c r="O817" s="102"/>
      <c r="P817" s="102"/>
      <c r="Q817" s="102"/>
      <c r="R817" s="102"/>
      <c r="S817" s="102"/>
      <c r="T817" s="102"/>
      <c r="U817" s="102"/>
      <c r="V817" s="102"/>
      <c r="W817" s="102"/>
      <c r="X817" s="102"/>
      <c r="Y817" s="102"/>
      <c r="Z817" s="102"/>
      <c r="AA817" s="102"/>
      <c r="AB817" s="102"/>
      <c r="AC817" s="102"/>
      <c r="AD817" s="102"/>
      <c r="AE817" s="102"/>
      <c r="AF817" s="102"/>
      <c r="AG817" s="102"/>
      <c r="AH817" s="102"/>
      <c r="AI817" s="102"/>
      <c r="AJ817" s="102"/>
      <c r="AK817" s="102"/>
      <c r="AL817" s="102"/>
      <c r="AM817" s="102"/>
      <c r="AN817" s="102"/>
      <c r="AO817" s="400"/>
      <c r="AP817" s="90"/>
      <c r="AQ817" s="90"/>
      <c r="AR817" s="90"/>
      <c r="AS817" s="90"/>
      <c r="AT817" s="90"/>
      <c r="AU817" s="90"/>
      <c r="AV817" s="90"/>
      <c r="AW817" s="90"/>
      <c r="AX817" s="90"/>
      <c r="AY817" s="90"/>
      <c r="AZ817" s="90"/>
      <c r="BA817" s="90"/>
      <c r="BB817" s="90"/>
      <c r="BC817" s="90"/>
      <c r="BD817" s="90"/>
      <c r="BE817" s="90"/>
      <c r="BF817" s="90"/>
      <c r="BG817" s="90"/>
      <c r="BH817" s="90"/>
      <c r="BI817" s="90"/>
    </row>
    <row r="818" ht="12.75" customHeight="1">
      <c r="A818" s="90"/>
      <c r="B818" s="90"/>
      <c r="C818" s="400"/>
      <c r="D818" s="90"/>
      <c r="E818" s="102"/>
      <c r="F818" s="90"/>
      <c r="G818" s="90"/>
      <c r="H818" s="102"/>
      <c r="I818" s="102"/>
      <c r="J818" s="102"/>
      <c r="K818" s="102"/>
      <c r="L818" s="102"/>
      <c r="M818" s="102"/>
      <c r="N818" s="102"/>
      <c r="O818" s="102"/>
      <c r="P818" s="102"/>
      <c r="Q818" s="102"/>
      <c r="R818" s="102"/>
      <c r="S818" s="102"/>
      <c r="T818" s="102"/>
      <c r="U818" s="102"/>
      <c r="V818" s="102"/>
      <c r="W818" s="102"/>
      <c r="X818" s="102"/>
      <c r="Y818" s="102"/>
      <c r="Z818" s="102"/>
      <c r="AA818" s="102"/>
      <c r="AB818" s="102"/>
      <c r="AC818" s="102"/>
      <c r="AD818" s="102"/>
      <c r="AE818" s="102"/>
      <c r="AF818" s="102"/>
      <c r="AG818" s="102"/>
      <c r="AH818" s="102"/>
      <c r="AI818" s="102"/>
      <c r="AJ818" s="102"/>
      <c r="AK818" s="102"/>
      <c r="AL818" s="102"/>
      <c r="AM818" s="102"/>
      <c r="AN818" s="102"/>
      <c r="AO818" s="400"/>
      <c r="AP818" s="90"/>
      <c r="AQ818" s="90"/>
      <c r="AR818" s="90"/>
      <c r="AS818" s="90"/>
      <c r="AT818" s="90"/>
      <c r="AU818" s="90"/>
      <c r="AV818" s="90"/>
      <c r="AW818" s="90"/>
      <c r="AX818" s="90"/>
      <c r="AY818" s="90"/>
      <c r="AZ818" s="90"/>
      <c r="BA818" s="90"/>
      <c r="BB818" s="90"/>
      <c r="BC818" s="90"/>
      <c r="BD818" s="90"/>
      <c r="BE818" s="90"/>
      <c r="BF818" s="90"/>
      <c r="BG818" s="90"/>
      <c r="BH818" s="90"/>
      <c r="BI818" s="90"/>
    </row>
    <row r="819" ht="12.75" customHeight="1">
      <c r="A819" s="90"/>
      <c r="B819" s="90"/>
      <c r="C819" s="400"/>
      <c r="D819" s="90"/>
      <c r="E819" s="102"/>
      <c r="F819" s="90"/>
      <c r="G819" s="90"/>
      <c r="H819" s="102"/>
      <c r="I819" s="102"/>
      <c r="J819" s="102"/>
      <c r="K819" s="102"/>
      <c r="L819" s="102"/>
      <c r="M819" s="102"/>
      <c r="N819" s="102"/>
      <c r="O819" s="102"/>
      <c r="P819" s="102"/>
      <c r="Q819" s="102"/>
      <c r="R819" s="102"/>
      <c r="S819" s="102"/>
      <c r="T819" s="102"/>
      <c r="U819" s="102"/>
      <c r="V819" s="102"/>
      <c r="W819" s="102"/>
      <c r="X819" s="102"/>
      <c r="Y819" s="102"/>
      <c r="Z819" s="102"/>
      <c r="AA819" s="102"/>
      <c r="AB819" s="102"/>
      <c r="AC819" s="102"/>
      <c r="AD819" s="102"/>
      <c r="AE819" s="102"/>
      <c r="AF819" s="102"/>
      <c r="AG819" s="102"/>
      <c r="AH819" s="102"/>
      <c r="AI819" s="102"/>
      <c r="AJ819" s="102"/>
      <c r="AK819" s="102"/>
      <c r="AL819" s="102"/>
      <c r="AM819" s="102"/>
      <c r="AN819" s="102"/>
      <c r="AO819" s="400"/>
      <c r="AP819" s="90"/>
      <c r="AQ819" s="90"/>
      <c r="AR819" s="90"/>
      <c r="AS819" s="90"/>
      <c r="AT819" s="90"/>
      <c r="AU819" s="90"/>
      <c r="AV819" s="90"/>
      <c r="AW819" s="90"/>
      <c r="AX819" s="90"/>
      <c r="AY819" s="90"/>
      <c r="AZ819" s="90"/>
      <c r="BA819" s="90"/>
      <c r="BB819" s="90"/>
      <c r="BC819" s="90"/>
      <c r="BD819" s="90"/>
      <c r="BE819" s="90"/>
      <c r="BF819" s="90"/>
      <c r="BG819" s="90"/>
      <c r="BH819" s="90"/>
      <c r="BI819" s="90"/>
    </row>
    <row r="820" ht="12.75" customHeight="1">
      <c r="A820" s="90"/>
      <c r="B820" s="90"/>
      <c r="C820" s="400"/>
      <c r="D820" s="90"/>
      <c r="E820" s="102"/>
      <c r="F820" s="90"/>
      <c r="G820" s="90"/>
      <c r="H820" s="102"/>
      <c r="I820" s="102"/>
      <c r="J820" s="102"/>
      <c r="K820" s="102"/>
      <c r="L820" s="102"/>
      <c r="M820" s="102"/>
      <c r="N820" s="102"/>
      <c r="O820" s="102"/>
      <c r="P820" s="102"/>
      <c r="Q820" s="102"/>
      <c r="R820" s="102"/>
      <c r="S820" s="102"/>
      <c r="T820" s="102"/>
      <c r="U820" s="102"/>
      <c r="V820" s="102"/>
      <c r="W820" s="102"/>
      <c r="X820" s="102"/>
      <c r="Y820" s="102"/>
      <c r="Z820" s="102"/>
      <c r="AA820" s="102"/>
      <c r="AB820" s="102"/>
      <c r="AC820" s="102"/>
      <c r="AD820" s="102"/>
      <c r="AE820" s="102"/>
      <c r="AF820" s="102"/>
      <c r="AG820" s="102"/>
      <c r="AH820" s="102"/>
      <c r="AI820" s="102"/>
      <c r="AJ820" s="102"/>
      <c r="AK820" s="102"/>
      <c r="AL820" s="102"/>
      <c r="AM820" s="102"/>
      <c r="AN820" s="102"/>
      <c r="AO820" s="400"/>
      <c r="AP820" s="90"/>
      <c r="AQ820" s="90"/>
      <c r="AR820" s="90"/>
      <c r="AS820" s="90"/>
      <c r="AT820" s="90"/>
      <c r="AU820" s="90"/>
      <c r="AV820" s="90"/>
      <c r="AW820" s="90"/>
      <c r="AX820" s="90"/>
      <c r="AY820" s="90"/>
      <c r="AZ820" s="90"/>
      <c r="BA820" s="90"/>
      <c r="BB820" s="90"/>
      <c r="BC820" s="90"/>
      <c r="BD820" s="90"/>
      <c r="BE820" s="90"/>
      <c r="BF820" s="90"/>
      <c r="BG820" s="90"/>
      <c r="BH820" s="90"/>
      <c r="BI820" s="90"/>
    </row>
    <row r="821" ht="12.75" customHeight="1">
      <c r="A821" s="90"/>
      <c r="B821" s="90"/>
      <c r="C821" s="400"/>
      <c r="D821" s="90"/>
      <c r="E821" s="102"/>
      <c r="F821" s="90"/>
      <c r="G821" s="90"/>
      <c r="H821" s="102"/>
      <c r="I821" s="102"/>
      <c r="J821" s="102"/>
      <c r="K821" s="102"/>
      <c r="L821" s="102"/>
      <c r="M821" s="102"/>
      <c r="N821" s="102"/>
      <c r="O821" s="102"/>
      <c r="P821" s="102"/>
      <c r="Q821" s="102"/>
      <c r="R821" s="102"/>
      <c r="S821" s="102"/>
      <c r="T821" s="102"/>
      <c r="U821" s="102"/>
      <c r="V821" s="102"/>
      <c r="W821" s="102"/>
      <c r="X821" s="102"/>
      <c r="Y821" s="102"/>
      <c r="Z821" s="102"/>
      <c r="AA821" s="102"/>
      <c r="AB821" s="102"/>
      <c r="AC821" s="102"/>
      <c r="AD821" s="102"/>
      <c r="AE821" s="102"/>
      <c r="AF821" s="102"/>
      <c r="AG821" s="102"/>
      <c r="AH821" s="102"/>
      <c r="AI821" s="102"/>
      <c r="AJ821" s="102"/>
      <c r="AK821" s="102"/>
      <c r="AL821" s="102"/>
      <c r="AM821" s="102"/>
      <c r="AN821" s="102"/>
      <c r="AO821" s="400"/>
      <c r="AP821" s="90"/>
      <c r="AQ821" s="90"/>
      <c r="AR821" s="90"/>
      <c r="AS821" s="90"/>
      <c r="AT821" s="90"/>
      <c r="AU821" s="90"/>
      <c r="AV821" s="90"/>
      <c r="AW821" s="90"/>
      <c r="AX821" s="90"/>
      <c r="AY821" s="90"/>
      <c r="AZ821" s="90"/>
      <c r="BA821" s="90"/>
      <c r="BB821" s="90"/>
      <c r="BC821" s="90"/>
      <c r="BD821" s="90"/>
      <c r="BE821" s="90"/>
      <c r="BF821" s="90"/>
      <c r="BG821" s="90"/>
      <c r="BH821" s="90"/>
      <c r="BI821" s="90"/>
    </row>
    <row r="822" ht="12.75" customHeight="1">
      <c r="A822" s="90"/>
      <c r="B822" s="90"/>
      <c r="C822" s="400"/>
      <c r="D822" s="90"/>
      <c r="E822" s="102"/>
      <c r="F822" s="90"/>
      <c r="G822" s="90"/>
      <c r="H822" s="102"/>
      <c r="I822" s="102"/>
      <c r="J822" s="102"/>
      <c r="K822" s="102"/>
      <c r="L822" s="102"/>
      <c r="M822" s="102"/>
      <c r="N822" s="102"/>
      <c r="O822" s="102"/>
      <c r="P822" s="102"/>
      <c r="Q822" s="102"/>
      <c r="R822" s="102"/>
      <c r="S822" s="102"/>
      <c r="T822" s="102"/>
      <c r="U822" s="102"/>
      <c r="V822" s="102"/>
      <c r="W822" s="102"/>
      <c r="X822" s="102"/>
      <c r="Y822" s="102"/>
      <c r="Z822" s="102"/>
      <c r="AA822" s="102"/>
      <c r="AB822" s="102"/>
      <c r="AC822" s="102"/>
      <c r="AD822" s="102"/>
      <c r="AE822" s="102"/>
      <c r="AF822" s="102"/>
      <c r="AG822" s="102"/>
      <c r="AH822" s="102"/>
      <c r="AI822" s="102"/>
      <c r="AJ822" s="102"/>
      <c r="AK822" s="102"/>
      <c r="AL822" s="102"/>
      <c r="AM822" s="102"/>
      <c r="AN822" s="102"/>
      <c r="AO822" s="400"/>
      <c r="AP822" s="90"/>
      <c r="AQ822" s="90"/>
      <c r="AR822" s="90"/>
      <c r="AS822" s="90"/>
      <c r="AT822" s="90"/>
      <c r="AU822" s="90"/>
      <c r="AV822" s="90"/>
      <c r="AW822" s="90"/>
      <c r="AX822" s="90"/>
      <c r="AY822" s="90"/>
      <c r="AZ822" s="90"/>
      <c r="BA822" s="90"/>
      <c r="BB822" s="90"/>
      <c r="BC822" s="90"/>
      <c r="BD822" s="90"/>
      <c r="BE822" s="90"/>
      <c r="BF822" s="90"/>
      <c r="BG822" s="90"/>
      <c r="BH822" s="90"/>
      <c r="BI822" s="90"/>
    </row>
    <row r="823" ht="12.75" customHeight="1">
      <c r="A823" s="90"/>
      <c r="B823" s="90"/>
      <c r="C823" s="400"/>
      <c r="D823" s="90"/>
      <c r="E823" s="102"/>
      <c r="F823" s="90"/>
      <c r="G823" s="90"/>
      <c r="H823" s="102"/>
      <c r="I823" s="102"/>
      <c r="J823" s="102"/>
      <c r="K823" s="102"/>
      <c r="L823" s="102"/>
      <c r="M823" s="102"/>
      <c r="N823" s="102"/>
      <c r="O823" s="102"/>
      <c r="P823" s="102"/>
      <c r="Q823" s="102"/>
      <c r="R823" s="102"/>
      <c r="S823" s="102"/>
      <c r="T823" s="102"/>
      <c r="U823" s="102"/>
      <c r="V823" s="102"/>
      <c r="W823" s="102"/>
      <c r="X823" s="102"/>
      <c r="Y823" s="102"/>
      <c r="Z823" s="102"/>
      <c r="AA823" s="102"/>
      <c r="AB823" s="102"/>
      <c r="AC823" s="102"/>
      <c r="AD823" s="102"/>
      <c r="AE823" s="102"/>
      <c r="AF823" s="102"/>
      <c r="AG823" s="102"/>
      <c r="AH823" s="102"/>
      <c r="AI823" s="102"/>
      <c r="AJ823" s="102"/>
      <c r="AK823" s="102"/>
      <c r="AL823" s="102"/>
      <c r="AM823" s="102"/>
      <c r="AN823" s="102"/>
      <c r="AO823" s="400"/>
      <c r="AP823" s="90"/>
      <c r="AQ823" s="90"/>
      <c r="AR823" s="90"/>
      <c r="AS823" s="90"/>
      <c r="AT823" s="90"/>
      <c r="AU823" s="90"/>
      <c r="AV823" s="90"/>
      <c r="AW823" s="90"/>
      <c r="AX823" s="90"/>
      <c r="AY823" s="90"/>
      <c r="AZ823" s="90"/>
      <c r="BA823" s="90"/>
      <c r="BB823" s="90"/>
      <c r="BC823" s="90"/>
      <c r="BD823" s="90"/>
      <c r="BE823" s="90"/>
      <c r="BF823" s="90"/>
      <c r="BG823" s="90"/>
      <c r="BH823" s="90"/>
      <c r="BI823" s="90"/>
    </row>
    <row r="824" ht="12.75" customHeight="1">
      <c r="A824" s="90"/>
      <c r="B824" s="90"/>
      <c r="C824" s="400"/>
      <c r="D824" s="90"/>
      <c r="E824" s="102"/>
      <c r="F824" s="90"/>
      <c r="G824" s="90"/>
      <c r="H824" s="102"/>
      <c r="I824" s="102"/>
      <c r="J824" s="102"/>
      <c r="K824" s="102"/>
      <c r="L824" s="102"/>
      <c r="M824" s="102"/>
      <c r="N824" s="102"/>
      <c r="O824" s="102"/>
      <c r="P824" s="102"/>
      <c r="Q824" s="102"/>
      <c r="R824" s="102"/>
      <c r="S824" s="102"/>
      <c r="T824" s="102"/>
      <c r="U824" s="102"/>
      <c r="V824" s="102"/>
      <c r="W824" s="102"/>
      <c r="X824" s="102"/>
      <c r="Y824" s="102"/>
      <c r="Z824" s="102"/>
      <c r="AA824" s="102"/>
      <c r="AB824" s="102"/>
      <c r="AC824" s="102"/>
      <c r="AD824" s="102"/>
      <c r="AE824" s="102"/>
      <c r="AF824" s="102"/>
      <c r="AG824" s="102"/>
      <c r="AH824" s="102"/>
      <c r="AI824" s="102"/>
      <c r="AJ824" s="102"/>
      <c r="AK824" s="102"/>
      <c r="AL824" s="102"/>
      <c r="AM824" s="102"/>
      <c r="AN824" s="102"/>
      <c r="AO824" s="400"/>
      <c r="AP824" s="90"/>
      <c r="AQ824" s="90"/>
      <c r="AR824" s="90"/>
      <c r="AS824" s="90"/>
      <c r="AT824" s="90"/>
      <c r="AU824" s="90"/>
      <c r="AV824" s="90"/>
      <c r="AW824" s="90"/>
      <c r="AX824" s="90"/>
      <c r="AY824" s="90"/>
      <c r="AZ824" s="90"/>
      <c r="BA824" s="90"/>
      <c r="BB824" s="90"/>
      <c r="BC824" s="90"/>
      <c r="BD824" s="90"/>
      <c r="BE824" s="90"/>
      <c r="BF824" s="90"/>
      <c r="BG824" s="90"/>
      <c r="BH824" s="90"/>
      <c r="BI824" s="90"/>
    </row>
    <row r="825" ht="12.75" customHeight="1">
      <c r="A825" s="90"/>
      <c r="B825" s="90"/>
      <c r="C825" s="400"/>
      <c r="D825" s="90"/>
      <c r="E825" s="102"/>
      <c r="F825" s="90"/>
      <c r="G825" s="90"/>
      <c r="H825" s="102"/>
      <c r="I825" s="102"/>
      <c r="J825" s="102"/>
      <c r="K825" s="102"/>
      <c r="L825" s="102"/>
      <c r="M825" s="102"/>
      <c r="N825" s="102"/>
      <c r="O825" s="102"/>
      <c r="P825" s="102"/>
      <c r="Q825" s="102"/>
      <c r="R825" s="102"/>
      <c r="S825" s="102"/>
      <c r="T825" s="102"/>
      <c r="U825" s="102"/>
      <c r="V825" s="102"/>
      <c r="W825" s="102"/>
      <c r="X825" s="102"/>
      <c r="Y825" s="102"/>
      <c r="Z825" s="102"/>
      <c r="AA825" s="102"/>
      <c r="AB825" s="102"/>
      <c r="AC825" s="102"/>
      <c r="AD825" s="102"/>
      <c r="AE825" s="102"/>
      <c r="AF825" s="102"/>
      <c r="AG825" s="102"/>
      <c r="AH825" s="102"/>
      <c r="AI825" s="102"/>
      <c r="AJ825" s="102"/>
      <c r="AK825" s="102"/>
      <c r="AL825" s="102"/>
      <c r="AM825" s="102"/>
      <c r="AN825" s="102"/>
      <c r="AO825" s="400"/>
      <c r="AP825" s="90"/>
      <c r="AQ825" s="90"/>
      <c r="AR825" s="90"/>
      <c r="AS825" s="90"/>
      <c r="AT825" s="90"/>
      <c r="AU825" s="90"/>
      <c r="AV825" s="90"/>
      <c r="AW825" s="90"/>
      <c r="AX825" s="90"/>
      <c r="AY825" s="90"/>
      <c r="AZ825" s="90"/>
      <c r="BA825" s="90"/>
      <c r="BB825" s="90"/>
      <c r="BC825" s="90"/>
      <c r="BD825" s="90"/>
      <c r="BE825" s="90"/>
      <c r="BF825" s="90"/>
      <c r="BG825" s="90"/>
      <c r="BH825" s="90"/>
      <c r="BI825" s="90"/>
    </row>
    <row r="826" ht="12.75" customHeight="1">
      <c r="A826" s="90"/>
      <c r="B826" s="90"/>
      <c r="C826" s="400"/>
      <c r="D826" s="90"/>
      <c r="E826" s="102"/>
      <c r="F826" s="90"/>
      <c r="G826" s="90"/>
      <c r="H826" s="102"/>
      <c r="I826" s="102"/>
      <c r="J826" s="102"/>
      <c r="K826" s="102"/>
      <c r="L826" s="102"/>
      <c r="M826" s="102"/>
      <c r="N826" s="102"/>
      <c r="O826" s="102"/>
      <c r="P826" s="102"/>
      <c r="Q826" s="102"/>
      <c r="R826" s="102"/>
      <c r="S826" s="102"/>
      <c r="T826" s="102"/>
      <c r="U826" s="102"/>
      <c r="V826" s="102"/>
      <c r="W826" s="102"/>
      <c r="X826" s="102"/>
      <c r="Y826" s="102"/>
      <c r="Z826" s="102"/>
      <c r="AA826" s="102"/>
      <c r="AB826" s="102"/>
      <c r="AC826" s="102"/>
      <c r="AD826" s="102"/>
      <c r="AE826" s="102"/>
      <c r="AF826" s="102"/>
      <c r="AG826" s="102"/>
      <c r="AH826" s="102"/>
      <c r="AI826" s="102"/>
      <c r="AJ826" s="102"/>
      <c r="AK826" s="102"/>
      <c r="AL826" s="102"/>
      <c r="AM826" s="102"/>
      <c r="AN826" s="102"/>
      <c r="AO826" s="400"/>
      <c r="AP826" s="90"/>
      <c r="AQ826" s="90"/>
      <c r="AR826" s="90"/>
      <c r="AS826" s="90"/>
      <c r="AT826" s="90"/>
      <c r="AU826" s="90"/>
      <c r="AV826" s="90"/>
      <c r="AW826" s="90"/>
      <c r="AX826" s="90"/>
      <c r="AY826" s="90"/>
      <c r="AZ826" s="90"/>
      <c r="BA826" s="90"/>
      <c r="BB826" s="90"/>
      <c r="BC826" s="90"/>
      <c r="BD826" s="90"/>
      <c r="BE826" s="90"/>
      <c r="BF826" s="90"/>
      <c r="BG826" s="90"/>
      <c r="BH826" s="90"/>
      <c r="BI826" s="90"/>
    </row>
    <row r="827" ht="12.75" customHeight="1">
      <c r="A827" s="90"/>
      <c r="B827" s="90"/>
      <c r="C827" s="400"/>
      <c r="D827" s="90"/>
      <c r="E827" s="102"/>
      <c r="F827" s="90"/>
      <c r="G827" s="90"/>
      <c r="H827" s="102"/>
      <c r="I827" s="102"/>
      <c r="J827" s="102"/>
      <c r="K827" s="102"/>
      <c r="L827" s="102"/>
      <c r="M827" s="102"/>
      <c r="N827" s="102"/>
      <c r="O827" s="102"/>
      <c r="P827" s="102"/>
      <c r="Q827" s="102"/>
      <c r="R827" s="102"/>
      <c r="S827" s="102"/>
      <c r="T827" s="102"/>
      <c r="U827" s="102"/>
      <c r="V827" s="102"/>
      <c r="W827" s="102"/>
      <c r="X827" s="102"/>
      <c r="Y827" s="102"/>
      <c r="Z827" s="102"/>
      <c r="AA827" s="102"/>
      <c r="AB827" s="102"/>
      <c r="AC827" s="102"/>
      <c r="AD827" s="102"/>
      <c r="AE827" s="102"/>
      <c r="AF827" s="102"/>
      <c r="AG827" s="102"/>
      <c r="AH827" s="102"/>
      <c r="AI827" s="102"/>
      <c r="AJ827" s="102"/>
      <c r="AK827" s="102"/>
      <c r="AL827" s="102"/>
      <c r="AM827" s="102"/>
      <c r="AN827" s="102"/>
      <c r="AO827" s="400"/>
      <c r="AP827" s="90"/>
      <c r="AQ827" s="90"/>
      <c r="AR827" s="90"/>
      <c r="AS827" s="90"/>
      <c r="AT827" s="90"/>
      <c r="AU827" s="90"/>
      <c r="AV827" s="90"/>
      <c r="AW827" s="90"/>
      <c r="AX827" s="90"/>
      <c r="AY827" s="90"/>
      <c r="AZ827" s="90"/>
      <c r="BA827" s="90"/>
      <c r="BB827" s="90"/>
      <c r="BC827" s="90"/>
      <c r="BD827" s="90"/>
      <c r="BE827" s="90"/>
      <c r="BF827" s="90"/>
      <c r="BG827" s="90"/>
      <c r="BH827" s="90"/>
      <c r="BI827" s="90"/>
    </row>
    <row r="828" ht="12.75" customHeight="1">
      <c r="A828" s="90"/>
      <c r="B828" s="90"/>
      <c r="C828" s="400"/>
      <c r="D828" s="90"/>
      <c r="E828" s="102"/>
      <c r="F828" s="90"/>
      <c r="G828" s="90"/>
      <c r="H828" s="102"/>
      <c r="I828" s="102"/>
      <c r="J828" s="102"/>
      <c r="K828" s="102"/>
      <c r="L828" s="102"/>
      <c r="M828" s="102"/>
      <c r="N828" s="102"/>
      <c r="O828" s="102"/>
      <c r="P828" s="102"/>
      <c r="Q828" s="102"/>
      <c r="R828" s="102"/>
      <c r="S828" s="102"/>
      <c r="T828" s="102"/>
      <c r="U828" s="102"/>
      <c r="V828" s="102"/>
      <c r="W828" s="102"/>
      <c r="X828" s="102"/>
      <c r="Y828" s="102"/>
      <c r="Z828" s="102"/>
      <c r="AA828" s="102"/>
      <c r="AB828" s="102"/>
      <c r="AC828" s="102"/>
      <c r="AD828" s="102"/>
      <c r="AE828" s="102"/>
      <c r="AF828" s="102"/>
      <c r="AG828" s="102"/>
      <c r="AH828" s="102"/>
      <c r="AI828" s="102"/>
      <c r="AJ828" s="102"/>
      <c r="AK828" s="102"/>
      <c r="AL828" s="102"/>
      <c r="AM828" s="102"/>
      <c r="AN828" s="102"/>
      <c r="AO828" s="400"/>
      <c r="AP828" s="90"/>
      <c r="AQ828" s="90"/>
      <c r="AR828" s="90"/>
      <c r="AS828" s="90"/>
      <c r="AT828" s="90"/>
      <c r="AU828" s="90"/>
      <c r="AV828" s="90"/>
      <c r="AW828" s="90"/>
      <c r="AX828" s="90"/>
      <c r="AY828" s="90"/>
      <c r="AZ828" s="90"/>
      <c r="BA828" s="90"/>
      <c r="BB828" s="90"/>
      <c r="BC828" s="90"/>
      <c r="BD828" s="90"/>
      <c r="BE828" s="90"/>
      <c r="BF828" s="90"/>
      <c r="BG828" s="90"/>
      <c r="BH828" s="90"/>
      <c r="BI828" s="90"/>
    </row>
    <row r="829" ht="12.75" customHeight="1">
      <c r="A829" s="90"/>
      <c r="B829" s="90"/>
      <c r="C829" s="400"/>
      <c r="D829" s="90"/>
      <c r="E829" s="102"/>
      <c r="F829" s="90"/>
      <c r="G829" s="90"/>
      <c r="H829" s="102"/>
      <c r="I829" s="102"/>
      <c r="J829" s="102"/>
      <c r="K829" s="102"/>
      <c r="L829" s="102"/>
      <c r="M829" s="102"/>
      <c r="N829" s="102"/>
      <c r="O829" s="102"/>
      <c r="P829" s="102"/>
      <c r="Q829" s="102"/>
      <c r="R829" s="102"/>
      <c r="S829" s="102"/>
      <c r="T829" s="102"/>
      <c r="U829" s="102"/>
      <c r="V829" s="102"/>
      <c r="W829" s="102"/>
      <c r="X829" s="102"/>
      <c r="Y829" s="102"/>
      <c r="Z829" s="102"/>
      <c r="AA829" s="102"/>
      <c r="AB829" s="102"/>
      <c r="AC829" s="102"/>
      <c r="AD829" s="102"/>
      <c r="AE829" s="102"/>
      <c r="AF829" s="102"/>
      <c r="AG829" s="102"/>
      <c r="AH829" s="102"/>
      <c r="AI829" s="102"/>
      <c r="AJ829" s="102"/>
      <c r="AK829" s="102"/>
      <c r="AL829" s="102"/>
      <c r="AM829" s="102"/>
      <c r="AN829" s="102"/>
      <c r="AO829" s="400"/>
      <c r="AP829" s="90"/>
      <c r="AQ829" s="90"/>
      <c r="AR829" s="90"/>
      <c r="AS829" s="90"/>
      <c r="AT829" s="90"/>
      <c r="AU829" s="90"/>
      <c r="AV829" s="90"/>
      <c r="AW829" s="90"/>
      <c r="AX829" s="90"/>
      <c r="AY829" s="90"/>
      <c r="AZ829" s="90"/>
      <c r="BA829" s="90"/>
      <c r="BB829" s="90"/>
      <c r="BC829" s="90"/>
      <c r="BD829" s="90"/>
      <c r="BE829" s="90"/>
      <c r="BF829" s="90"/>
      <c r="BG829" s="90"/>
      <c r="BH829" s="90"/>
      <c r="BI829" s="90"/>
    </row>
    <row r="830" ht="12.75" customHeight="1">
      <c r="A830" s="90"/>
      <c r="B830" s="90"/>
      <c r="C830" s="400"/>
      <c r="D830" s="90"/>
      <c r="E830" s="102"/>
      <c r="F830" s="90"/>
      <c r="G830" s="90"/>
      <c r="H830" s="102"/>
      <c r="I830" s="102"/>
      <c r="J830" s="102"/>
      <c r="K830" s="102"/>
      <c r="L830" s="102"/>
      <c r="M830" s="102"/>
      <c r="N830" s="102"/>
      <c r="O830" s="102"/>
      <c r="P830" s="102"/>
      <c r="Q830" s="102"/>
      <c r="R830" s="102"/>
      <c r="S830" s="102"/>
      <c r="T830" s="102"/>
      <c r="U830" s="102"/>
      <c r="V830" s="102"/>
      <c r="W830" s="102"/>
      <c r="X830" s="102"/>
      <c r="Y830" s="102"/>
      <c r="Z830" s="102"/>
      <c r="AA830" s="102"/>
      <c r="AB830" s="102"/>
      <c r="AC830" s="102"/>
      <c r="AD830" s="102"/>
      <c r="AE830" s="102"/>
      <c r="AF830" s="102"/>
      <c r="AG830" s="102"/>
      <c r="AH830" s="102"/>
      <c r="AI830" s="102"/>
      <c r="AJ830" s="102"/>
      <c r="AK830" s="102"/>
      <c r="AL830" s="102"/>
      <c r="AM830" s="102"/>
      <c r="AN830" s="102"/>
      <c r="AO830" s="400"/>
      <c r="AP830" s="90"/>
      <c r="AQ830" s="90"/>
      <c r="AR830" s="90"/>
      <c r="AS830" s="90"/>
      <c r="AT830" s="90"/>
      <c r="AU830" s="90"/>
      <c r="AV830" s="90"/>
      <c r="AW830" s="90"/>
      <c r="AX830" s="90"/>
      <c r="AY830" s="90"/>
      <c r="AZ830" s="90"/>
      <c r="BA830" s="90"/>
      <c r="BB830" s="90"/>
      <c r="BC830" s="90"/>
      <c r="BD830" s="90"/>
      <c r="BE830" s="90"/>
      <c r="BF830" s="90"/>
      <c r="BG830" s="90"/>
      <c r="BH830" s="90"/>
      <c r="BI830" s="90"/>
    </row>
    <row r="831" ht="12.75" customHeight="1">
      <c r="A831" s="90"/>
      <c r="B831" s="90"/>
      <c r="C831" s="400"/>
      <c r="D831" s="90"/>
      <c r="E831" s="102"/>
      <c r="F831" s="90"/>
      <c r="G831" s="90"/>
      <c r="H831" s="102"/>
      <c r="I831" s="102"/>
      <c r="J831" s="102"/>
      <c r="K831" s="102"/>
      <c r="L831" s="102"/>
      <c r="M831" s="102"/>
      <c r="N831" s="102"/>
      <c r="O831" s="102"/>
      <c r="P831" s="102"/>
      <c r="Q831" s="102"/>
      <c r="R831" s="102"/>
      <c r="S831" s="102"/>
      <c r="T831" s="102"/>
      <c r="U831" s="102"/>
      <c r="V831" s="102"/>
      <c r="W831" s="102"/>
      <c r="X831" s="102"/>
      <c r="Y831" s="102"/>
      <c r="Z831" s="102"/>
      <c r="AA831" s="102"/>
      <c r="AB831" s="102"/>
      <c r="AC831" s="102"/>
      <c r="AD831" s="102"/>
      <c r="AE831" s="102"/>
      <c r="AF831" s="102"/>
      <c r="AG831" s="102"/>
      <c r="AH831" s="102"/>
      <c r="AI831" s="102"/>
      <c r="AJ831" s="102"/>
      <c r="AK831" s="102"/>
      <c r="AL831" s="102"/>
      <c r="AM831" s="102"/>
      <c r="AN831" s="102"/>
      <c r="AO831" s="400"/>
      <c r="AP831" s="90"/>
      <c r="AQ831" s="90"/>
      <c r="AR831" s="90"/>
      <c r="AS831" s="90"/>
      <c r="AT831" s="90"/>
      <c r="AU831" s="90"/>
      <c r="AV831" s="90"/>
      <c r="AW831" s="90"/>
      <c r="AX831" s="90"/>
      <c r="AY831" s="90"/>
      <c r="AZ831" s="90"/>
      <c r="BA831" s="90"/>
      <c r="BB831" s="90"/>
      <c r="BC831" s="90"/>
      <c r="BD831" s="90"/>
      <c r="BE831" s="90"/>
      <c r="BF831" s="90"/>
      <c r="BG831" s="90"/>
      <c r="BH831" s="90"/>
      <c r="BI831" s="90"/>
    </row>
    <row r="832" ht="12.75" customHeight="1">
      <c r="A832" s="90"/>
      <c r="B832" s="90"/>
      <c r="C832" s="400"/>
      <c r="D832" s="90"/>
      <c r="E832" s="102"/>
      <c r="F832" s="90"/>
      <c r="G832" s="90"/>
      <c r="H832" s="102"/>
      <c r="I832" s="102"/>
      <c r="J832" s="102"/>
      <c r="K832" s="102"/>
      <c r="L832" s="102"/>
      <c r="M832" s="102"/>
      <c r="N832" s="102"/>
      <c r="O832" s="102"/>
      <c r="P832" s="102"/>
      <c r="Q832" s="102"/>
      <c r="R832" s="102"/>
      <c r="S832" s="102"/>
      <c r="T832" s="102"/>
      <c r="U832" s="102"/>
      <c r="V832" s="102"/>
      <c r="W832" s="102"/>
      <c r="X832" s="102"/>
      <c r="Y832" s="102"/>
      <c r="Z832" s="102"/>
      <c r="AA832" s="102"/>
      <c r="AB832" s="102"/>
      <c r="AC832" s="102"/>
      <c r="AD832" s="102"/>
      <c r="AE832" s="102"/>
      <c r="AF832" s="102"/>
      <c r="AG832" s="102"/>
      <c r="AH832" s="102"/>
      <c r="AI832" s="102"/>
      <c r="AJ832" s="102"/>
      <c r="AK832" s="102"/>
      <c r="AL832" s="102"/>
      <c r="AM832" s="102"/>
      <c r="AN832" s="102"/>
      <c r="AO832" s="400"/>
      <c r="AP832" s="90"/>
      <c r="AQ832" s="90"/>
      <c r="AR832" s="90"/>
      <c r="AS832" s="90"/>
      <c r="AT832" s="90"/>
      <c r="AU832" s="90"/>
      <c r="AV832" s="90"/>
      <c r="AW832" s="90"/>
      <c r="AX832" s="90"/>
      <c r="AY832" s="90"/>
      <c r="AZ832" s="90"/>
      <c r="BA832" s="90"/>
      <c r="BB832" s="90"/>
      <c r="BC832" s="90"/>
      <c r="BD832" s="90"/>
      <c r="BE832" s="90"/>
      <c r="BF832" s="90"/>
      <c r="BG832" s="90"/>
      <c r="BH832" s="90"/>
      <c r="BI832" s="90"/>
    </row>
    <row r="833" ht="12.75" customHeight="1">
      <c r="A833" s="90"/>
      <c r="B833" s="90"/>
      <c r="C833" s="400"/>
      <c r="D833" s="90"/>
      <c r="E833" s="102"/>
      <c r="F833" s="90"/>
      <c r="G833" s="90"/>
      <c r="H833" s="102"/>
      <c r="I833" s="102"/>
      <c r="J833" s="102"/>
      <c r="K833" s="102"/>
      <c r="L833" s="102"/>
      <c r="M833" s="102"/>
      <c r="N833" s="102"/>
      <c r="O833" s="102"/>
      <c r="P833" s="102"/>
      <c r="Q833" s="102"/>
      <c r="R833" s="102"/>
      <c r="S833" s="102"/>
      <c r="T833" s="102"/>
      <c r="U833" s="102"/>
      <c r="V833" s="102"/>
      <c r="W833" s="102"/>
      <c r="X833" s="102"/>
      <c r="Y833" s="102"/>
      <c r="Z833" s="102"/>
      <c r="AA833" s="102"/>
      <c r="AB833" s="102"/>
      <c r="AC833" s="102"/>
      <c r="AD833" s="102"/>
      <c r="AE833" s="102"/>
      <c r="AF833" s="102"/>
      <c r="AG833" s="102"/>
      <c r="AH833" s="102"/>
      <c r="AI833" s="102"/>
      <c r="AJ833" s="102"/>
      <c r="AK833" s="102"/>
      <c r="AL833" s="102"/>
      <c r="AM833" s="102"/>
      <c r="AN833" s="102"/>
      <c r="AO833" s="400"/>
      <c r="AP833" s="90"/>
      <c r="AQ833" s="90"/>
      <c r="AR833" s="90"/>
      <c r="AS833" s="90"/>
      <c r="AT833" s="90"/>
      <c r="AU833" s="90"/>
      <c r="AV833" s="90"/>
      <c r="AW833" s="90"/>
      <c r="AX833" s="90"/>
      <c r="AY833" s="90"/>
      <c r="AZ833" s="90"/>
      <c r="BA833" s="90"/>
      <c r="BB833" s="90"/>
      <c r="BC833" s="90"/>
      <c r="BD833" s="90"/>
      <c r="BE833" s="90"/>
      <c r="BF833" s="90"/>
      <c r="BG833" s="90"/>
      <c r="BH833" s="90"/>
      <c r="BI833" s="90"/>
    </row>
    <row r="834" ht="12.75" customHeight="1">
      <c r="A834" s="90"/>
      <c r="B834" s="90"/>
      <c r="C834" s="400"/>
      <c r="D834" s="90"/>
      <c r="E834" s="102"/>
      <c r="F834" s="90"/>
      <c r="G834" s="90"/>
      <c r="H834" s="102"/>
      <c r="I834" s="102"/>
      <c r="J834" s="102"/>
      <c r="K834" s="102"/>
      <c r="L834" s="102"/>
      <c r="M834" s="102"/>
      <c r="N834" s="102"/>
      <c r="O834" s="102"/>
      <c r="P834" s="102"/>
      <c r="Q834" s="102"/>
      <c r="R834" s="102"/>
      <c r="S834" s="102"/>
      <c r="T834" s="102"/>
      <c r="U834" s="102"/>
      <c r="V834" s="102"/>
      <c r="W834" s="102"/>
      <c r="X834" s="102"/>
      <c r="Y834" s="102"/>
      <c r="Z834" s="102"/>
      <c r="AA834" s="102"/>
      <c r="AB834" s="102"/>
      <c r="AC834" s="102"/>
      <c r="AD834" s="102"/>
      <c r="AE834" s="102"/>
      <c r="AF834" s="102"/>
      <c r="AG834" s="102"/>
      <c r="AH834" s="102"/>
      <c r="AI834" s="102"/>
      <c r="AJ834" s="102"/>
      <c r="AK834" s="102"/>
      <c r="AL834" s="102"/>
      <c r="AM834" s="102"/>
      <c r="AN834" s="102"/>
      <c r="AO834" s="400"/>
      <c r="AP834" s="90"/>
      <c r="AQ834" s="90"/>
      <c r="AR834" s="90"/>
      <c r="AS834" s="90"/>
      <c r="AT834" s="90"/>
      <c r="AU834" s="90"/>
      <c r="AV834" s="90"/>
      <c r="AW834" s="90"/>
      <c r="AX834" s="90"/>
      <c r="AY834" s="90"/>
      <c r="AZ834" s="90"/>
      <c r="BA834" s="90"/>
      <c r="BB834" s="90"/>
      <c r="BC834" s="90"/>
      <c r="BD834" s="90"/>
      <c r="BE834" s="90"/>
      <c r="BF834" s="90"/>
      <c r="BG834" s="90"/>
      <c r="BH834" s="90"/>
      <c r="BI834" s="90"/>
    </row>
    <row r="835" ht="12.75" customHeight="1">
      <c r="A835" s="90"/>
      <c r="B835" s="90"/>
      <c r="C835" s="400"/>
      <c r="D835" s="90"/>
      <c r="E835" s="102"/>
      <c r="F835" s="90"/>
      <c r="G835" s="90"/>
      <c r="H835" s="102"/>
      <c r="I835" s="102"/>
      <c r="J835" s="102"/>
      <c r="K835" s="102"/>
      <c r="L835" s="102"/>
      <c r="M835" s="102"/>
      <c r="N835" s="102"/>
      <c r="O835" s="102"/>
      <c r="P835" s="102"/>
      <c r="Q835" s="102"/>
      <c r="R835" s="102"/>
      <c r="S835" s="102"/>
      <c r="T835" s="102"/>
      <c r="U835" s="102"/>
      <c r="V835" s="102"/>
      <c r="W835" s="102"/>
      <c r="X835" s="102"/>
      <c r="Y835" s="102"/>
      <c r="Z835" s="102"/>
      <c r="AA835" s="102"/>
      <c r="AB835" s="102"/>
      <c r="AC835" s="102"/>
      <c r="AD835" s="102"/>
      <c r="AE835" s="102"/>
      <c r="AF835" s="102"/>
      <c r="AG835" s="102"/>
      <c r="AH835" s="102"/>
      <c r="AI835" s="102"/>
      <c r="AJ835" s="102"/>
      <c r="AK835" s="102"/>
      <c r="AL835" s="102"/>
      <c r="AM835" s="102"/>
      <c r="AN835" s="102"/>
      <c r="AO835" s="400"/>
      <c r="AP835" s="90"/>
      <c r="AQ835" s="90"/>
      <c r="AR835" s="90"/>
      <c r="AS835" s="90"/>
      <c r="AT835" s="90"/>
      <c r="AU835" s="90"/>
      <c r="AV835" s="90"/>
      <c r="AW835" s="90"/>
      <c r="AX835" s="90"/>
      <c r="AY835" s="90"/>
      <c r="AZ835" s="90"/>
      <c r="BA835" s="90"/>
      <c r="BB835" s="90"/>
      <c r="BC835" s="90"/>
      <c r="BD835" s="90"/>
      <c r="BE835" s="90"/>
      <c r="BF835" s="90"/>
      <c r="BG835" s="90"/>
      <c r="BH835" s="90"/>
      <c r="BI835" s="90"/>
    </row>
    <row r="836" ht="12.75" customHeight="1">
      <c r="A836" s="90"/>
      <c r="B836" s="90"/>
      <c r="C836" s="400"/>
      <c r="D836" s="90"/>
      <c r="E836" s="102"/>
      <c r="F836" s="90"/>
      <c r="G836" s="90"/>
      <c r="H836" s="102"/>
      <c r="I836" s="102"/>
      <c r="J836" s="102"/>
      <c r="K836" s="102"/>
      <c r="L836" s="102"/>
      <c r="M836" s="102"/>
      <c r="N836" s="102"/>
      <c r="O836" s="102"/>
      <c r="P836" s="102"/>
      <c r="Q836" s="102"/>
      <c r="R836" s="102"/>
      <c r="S836" s="102"/>
      <c r="T836" s="102"/>
      <c r="U836" s="102"/>
      <c r="V836" s="102"/>
      <c r="W836" s="102"/>
      <c r="X836" s="102"/>
      <c r="Y836" s="102"/>
      <c r="Z836" s="102"/>
      <c r="AA836" s="102"/>
      <c r="AB836" s="102"/>
      <c r="AC836" s="102"/>
      <c r="AD836" s="102"/>
      <c r="AE836" s="102"/>
      <c r="AF836" s="102"/>
      <c r="AG836" s="102"/>
      <c r="AH836" s="102"/>
      <c r="AI836" s="102"/>
      <c r="AJ836" s="102"/>
      <c r="AK836" s="102"/>
      <c r="AL836" s="102"/>
      <c r="AM836" s="102"/>
      <c r="AN836" s="102"/>
      <c r="AO836" s="400"/>
      <c r="AP836" s="90"/>
      <c r="AQ836" s="90"/>
      <c r="AR836" s="90"/>
      <c r="AS836" s="90"/>
      <c r="AT836" s="90"/>
      <c r="AU836" s="90"/>
      <c r="AV836" s="90"/>
      <c r="AW836" s="90"/>
      <c r="AX836" s="90"/>
      <c r="AY836" s="90"/>
      <c r="AZ836" s="90"/>
      <c r="BA836" s="90"/>
      <c r="BB836" s="90"/>
      <c r="BC836" s="90"/>
      <c r="BD836" s="90"/>
      <c r="BE836" s="90"/>
      <c r="BF836" s="90"/>
      <c r="BG836" s="90"/>
      <c r="BH836" s="90"/>
      <c r="BI836" s="90"/>
    </row>
    <row r="837" ht="12.75" customHeight="1">
      <c r="A837" s="90"/>
      <c r="B837" s="90"/>
      <c r="C837" s="400"/>
      <c r="D837" s="90"/>
      <c r="E837" s="102"/>
      <c r="F837" s="90"/>
      <c r="G837" s="90"/>
      <c r="H837" s="102"/>
      <c r="I837" s="102"/>
      <c r="J837" s="102"/>
      <c r="K837" s="102"/>
      <c r="L837" s="102"/>
      <c r="M837" s="102"/>
      <c r="N837" s="102"/>
      <c r="O837" s="102"/>
      <c r="P837" s="102"/>
      <c r="Q837" s="102"/>
      <c r="R837" s="102"/>
      <c r="S837" s="102"/>
      <c r="T837" s="102"/>
      <c r="U837" s="102"/>
      <c r="V837" s="102"/>
      <c r="W837" s="102"/>
      <c r="X837" s="102"/>
      <c r="Y837" s="102"/>
      <c r="Z837" s="102"/>
      <c r="AA837" s="102"/>
      <c r="AB837" s="102"/>
      <c r="AC837" s="102"/>
      <c r="AD837" s="102"/>
      <c r="AE837" s="102"/>
      <c r="AF837" s="102"/>
      <c r="AG837" s="102"/>
      <c r="AH837" s="102"/>
      <c r="AI837" s="102"/>
      <c r="AJ837" s="102"/>
      <c r="AK837" s="102"/>
      <c r="AL837" s="102"/>
      <c r="AM837" s="102"/>
      <c r="AN837" s="102"/>
      <c r="AO837" s="400"/>
      <c r="AP837" s="90"/>
      <c r="AQ837" s="90"/>
      <c r="AR837" s="90"/>
      <c r="AS837" s="90"/>
      <c r="AT837" s="90"/>
      <c r="AU837" s="90"/>
      <c r="AV837" s="90"/>
      <c r="AW837" s="90"/>
      <c r="AX837" s="90"/>
      <c r="AY837" s="90"/>
      <c r="AZ837" s="90"/>
      <c r="BA837" s="90"/>
      <c r="BB837" s="90"/>
      <c r="BC837" s="90"/>
      <c r="BD837" s="90"/>
      <c r="BE837" s="90"/>
      <c r="BF837" s="90"/>
      <c r="BG837" s="90"/>
      <c r="BH837" s="90"/>
      <c r="BI837" s="90"/>
    </row>
    <row r="838" ht="12.75" customHeight="1">
      <c r="A838" s="90"/>
      <c r="B838" s="90"/>
      <c r="C838" s="400"/>
      <c r="D838" s="90"/>
      <c r="E838" s="102"/>
      <c r="F838" s="90"/>
      <c r="G838" s="90"/>
      <c r="H838" s="102"/>
      <c r="I838" s="102"/>
      <c r="J838" s="102"/>
      <c r="K838" s="102"/>
      <c r="L838" s="102"/>
      <c r="M838" s="102"/>
      <c r="N838" s="102"/>
      <c r="O838" s="102"/>
      <c r="P838" s="102"/>
      <c r="Q838" s="102"/>
      <c r="R838" s="102"/>
      <c r="S838" s="102"/>
      <c r="T838" s="102"/>
      <c r="U838" s="102"/>
      <c r="V838" s="102"/>
      <c r="W838" s="102"/>
      <c r="X838" s="102"/>
      <c r="Y838" s="102"/>
      <c r="Z838" s="102"/>
      <c r="AA838" s="102"/>
      <c r="AB838" s="102"/>
      <c r="AC838" s="102"/>
      <c r="AD838" s="102"/>
      <c r="AE838" s="102"/>
      <c r="AF838" s="102"/>
      <c r="AG838" s="102"/>
      <c r="AH838" s="102"/>
      <c r="AI838" s="102"/>
      <c r="AJ838" s="102"/>
      <c r="AK838" s="102"/>
      <c r="AL838" s="102"/>
      <c r="AM838" s="102"/>
      <c r="AN838" s="102"/>
      <c r="AO838" s="400"/>
      <c r="AP838" s="90"/>
      <c r="AQ838" s="90"/>
      <c r="AR838" s="90"/>
      <c r="AS838" s="90"/>
      <c r="AT838" s="90"/>
      <c r="AU838" s="90"/>
      <c r="AV838" s="90"/>
      <c r="AW838" s="90"/>
      <c r="AX838" s="90"/>
      <c r="AY838" s="90"/>
      <c r="AZ838" s="90"/>
      <c r="BA838" s="90"/>
      <c r="BB838" s="90"/>
      <c r="BC838" s="90"/>
      <c r="BD838" s="90"/>
      <c r="BE838" s="90"/>
      <c r="BF838" s="90"/>
      <c r="BG838" s="90"/>
      <c r="BH838" s="90"/>
      <c r="BI838" s="90"/>
    </row>
    <row r="839" ht="12.75" customHeight="1">
      <c r="A839" s="90"/>
      <c r="B839" s="90"/>
      <c r="C839" s="400"/>
      <c r="D839" s="90"/>
      <c r="E839" s="102"/>
      <c r="F839" s="90"/>
      <c r="G839" s="90"/>
      <c r="H839" s="102"/>
      <c r="I839" s="102"/>
      <c r="J839" s="102"/>
      <c r="K839" s="102"/>
      <c r="L839" s="102"/>
      <c r="M839" s="102"/>
      <c r="N839" s="102"/>
      <c r="O839" s="102"/>
      <c r="P839" s="102"/>
      <c r="Q839" s="102"/>
      <c r="R839" s="102"/>
      <c r="S839" s="102"/>
      <c r="T839" s="102"/>
      <c r="U839" s="102"/>
      <c r="V839" s="102"/>
      <c r="W839" s="102"/>
      <c r="X839" s="102"/>
      <c r="Y839" s="102"/>
      <c r="Z839" s="102"/>
      <c r="AA839" s="102"/>
      <c r="AB839" s="102"/>
      <c r="AC839" s="102"/>
      <c r="AD839" s="102"/>
      <c r="AE839" s="102"/>
      <c r="AF839" s="102"/>
      <c r="AG839" s="102"/>
      <c r="AH839" s="102"/>
      <c r="AI839" s="102"/>
      <c r="AJ839" s="102"/>
      <c r="AK839" s="102"/>
      <c r="AL839" s="102"/>
      <c r="AM839" s="102"/>
      <c r="AN839" s="102"/>
      <c r="AO839" s="400"/>
      <c r="AP839" s="90"/>
      <c r="AQ839" s="90"/>
      <c r="AR839" s="90"/>
      <c r="AS839" s="90"/>
      <c r="AT839" s="90"/>
      <c r="AU839" s="90"/>
      <c r="AV839" s="90"/>
      <c r="AW839" s="90"/>
      <c r="AX839" s="90"/>
      <c r="AY839" s="90"/>
      <c r="AZ839" s="90"/>
      <c r="BA839" s="90"/>
      <c r="BB839" s="90"/>
      <c r="BC839" s="90"/>
      <c r="BD839" s="90"/>
      <c r="BE839" s="90"/>
      <c r="BF839" s="90"/>
      <c r="BG839" s="90"/>
      <c r="BH839" s="90"/>
      <c r="BI839" s="90"/>
    </row>
    <row r="840" ht="12.75" customHeight="1">
      <c r="A840" s="90"/>
      <c r="B840" s="90"/>
      <c r="C840" s="400"/>
      <c r="D840" s="90"/>
      <c r="E840" s="102"/>
      <c r="F840" s="90"/>
      <c r="G840" s="90"/>
      <c r="H840" s="102"/>
      <c r="I840" s="102"/>
      <c r="J840" s="102"/>
      <c r="K840" s="102"/>
      <c r="L840" s="102"/>
      <c r="M840" s="102"/>
      <c r="N840" s="102"/>
      <c r="O840" s="102"/>
      <c r="P840" s="102"/>
      <c r="Q840" s="102"/>
      <c r="R840" s="102"/>
      <c r="S840" s="102"/>
      <c r="T840" s="102"/>
      <c r="U840" s="102"/>
      <c r="V840" s="102"/>
      <c r="W840" s="102"/>
      <c r="X840" s="102"/>
      <c r="Y840" s="102"/>
      <c r="Z840" s="102"/>
      <c r="AA840" s="102"/>
      <c r="AB840" s="102"/>
      <c r="AC840" s="102"/>
      <c r="AD840" s="102"/>
      <c r="AE840" s="102"/>
      <c r="AF840" s="102"/>
      <c r="AG840" s="102"/>
      <c r="AH840" s="102"/>
      <c r="AI840" s="102"/>
      <c r="AJ840" s="102"/>
      <c r="AK840" s="102"/>
      <c r="AL840" s="102"/>
      <c r="AM840" s="102"/>
      <c r="AN840" s="102"/>
      <c r="AO840" s="400"/>
      <c r="AP840" s="90"/>
      <c r="AQ840" s="90"/>
      <c r="AR840" s="90"/>
      <c r="AS840" s="90"/>
      <c r="AT840" s="90"/>
      <c r="AU840" s="90"/>
      <c r="AV840" s="90"/>
      <c r="AW840" s="90"/>
      <c r="AX840" s="90"/>
      <c r="AY840" s="90"/>
      <c r="AZ840" s="90"/>
      <c r="BA840" s="90"/>
      <c r="BB840" s="90"/>
      <c r="BC840" s="90"/>
      <c r="BD840" s="90"/>
      <c r="BE840" s="90"/>
      <c r="BF840" s="90"/>
      <c r="BG840" s="90"/>
      <c r="BH840" s="90"/>
      <c r="BI840" s="90"/>
    </row>
    <row r="841" ht="12.75" customHeight="1">
      <c r="A841" s="90"/>
      <c r="B841" s="90"/>
      <c r="C841" s="400"/>
      <c r="D841" s="90"/>
      <c r="E841" s="102"/>
      <c r="F841" s="90"/>
      <c r="G841" s="90"/>
      <c r="H841" s="102"/>
      <c r="I841" s="102"/>
      <c r="J841" s="102"/>
      <c r="K841" s="102"/>
      <c r="L841" s="102"/>
      <c r="M841" s="102"/>
      <c r="N841" s="102"/>
      <c r="O841" s="102"/>
      <c r="P841" s="102"/>
      <c r="Q841" s="102"/>
      <c r="R841" s="102"/>
      <c r="S841" s="102"/>
      <c r="T841" s="102"/>
      <c r="U841" s="102"/>
      <c r="V841" s="102"/>
      <c r="W841" s="102"/>
      <c r="X841" s="102"/>
      <c r="Y841" s="102"/>
      <c r="Z841" s="102"/>
      <c r="AA841" s="102"/>
      <c r="AB841" s="102"/>
      <c r="AC841" s="102"/>
      <c r="AD841" s="102"/>
      <c r="AE841" s="102"/>
      <c r="AF841" s="102"/>
      <c r="AG841" s="102"/>
      <c r="AH841" s="102"/>
      <c r="AI841" s="102"/>
      <c r="AJ841" s="102"/>
      <c r="AK841" s="102"/>
      <c r="AL841" s="102"/>
      <c r="AM841" s="102"/>
      <c r="AN841" s="102"/>
      <c r="AO841" s="400"/>
      <c r="AP841" s="90"/>
      <c r="AQ841" s="90"/>
      <c r="AR841" s="90"/>
      <c r="AS841" s="90"/>
      <c r="AT841" s="90"/>
      <c r="AU841" s="90"/>
      <c r="AV841" s="90"/>
      <c r="AW841" s="90"/>
      <c r="AX841" s="90"/>
      <c r="AY841" s="90"/>
      <c r="AZ841" s="90"/>
      <c r="BA841" s="90"/>
      <c r="BB841" s="90"/>
      <c r="BC841" s="90"/>
      <c r="BD841" s="90"/>
      <c r="BE841" s="90"/>
      <c r="BF841" s="90"/>
      <c r="BG841" s="90"/>
      <c r="BH841" s="90"/>
      <c r="BI841" s="90"/>
    </row>
    <row r="842" ht="12.75" customHeight="1">
      <c r="A842" s="90"/>
      <c r="B842" s="90"/>
      <c r="C842" s="400"/>
      <c r="D842" s="90"/>
      <c r="E842" s="102"/>
      <c r="F842" s="90"/>
      <c r="G842" s="90"/>
      <c r="H842" s="102"/>
      <c r="I842" s="102"/>
      <c r="J842" s="102"/>
      <c r="K842" s="102"/>
      <c r="L842" s="102"/>
      <c r="M842" s="102"/>
      <c r="N842" s="102"/>
      <c r="O842" s="102"/>
      <c r="P842" s="102"/>
      <c r="Q842" s="102"/>
      <c r="R842" s="102"/>
      <c r="S842" s="102"/>
      <c r="T842" s="102"/>
      <c r="U842" s="102"/>
      <c r="V842" s="102"/>
      <c r="W842" s="102"/>
      <c r="X842" s="102"/>
      <c r="Y842" s="102"/>
      <c r="Z842" s="102"/>
      <c r="AA842" s="102"/>
      <c r="AB842" s="102"/>
      <c r="AC842" s="102"/>
      <c r="AD842" s="102"/>
      <c r="AE842" s="102"/>
      <c r="AF842" s="102"/>
      <c r="AG842" s="102"/>
      <c r="AH842" s="102"/>
      <c r="AI842" s="102"/>
      <c r="AJ842" s="102"/>
      <c r="AK842" s="102"/>
      <c r="AL842" s="102"/>
      <c r="AM842" s="102"/>
      <c r="AN842" s="102"/>
      <c r="AO842" s="400"/>
      <c r="AP842" s="90"/>
      <c r="AQ842" s="90"/>
      <c r="AR842" s="90"/>
      <c r="AS842" s="90"/>
      <c r="AT842" s="90"/>
      <c r="AU842" s="90"/>
      <c r="AV842" s="90"/>
      <c r="AW842" s="90"/>
      <c r="AX842" s="90"/>
      <c r="AY842" s="90"/>
      <c r="AZ842" s="90"/>
      <c r="BA842" s="90"/>
      <c r="BB842" s="90"/>
      <c r="BC842" s="90"/>
      <c r="BD842" s="90"/>
      <c r="BE842" s="90"/>
      <c r="BF842" s="90"/>
      <c r="BG842" s="90"/>
      <c r="BH842" s="90"/>
      <c r="BI842" s="90"/>
    </row>
    <row r="843" ht="12.75" customHeight="1">
      <c r="A843" s="90"/>
      <c r="B843" s="90"/>
      <c r="C843" s="400"/>
      <c r="D843" s="90"/>
      <c r="E843" s="102"/>
      <c r="F843" s="90"/>
      <c r="G843" s="90"/>
      <c r="H843" s="102"/>
      <c r="I843" s="102"/>
      <c r="J843" s="102"/>
      <c r="K843" s="102"/>
      <c r="L843" s="102"/>
      <c r="M843" s="102"/>
      <c r="N843" s="102"/>
      <c r="O843" s="102"/>
      <c r="P843" s="102"/>
      <c r="Q843" s="102"/>
      <c r="R843" s="102"/>
      <c r="S843" s="102"/>
      <c r="T843" s="102"/>
      <c r="U843" s="102"/>
      <c r="V843" s="102"/>
      <c r="W843" s="102"/>
      <c r="X843" s="102"/>
      <c r="Y843" s="102"/>
      <c r="Z843" s="102"/>
      <c r="AA843" s="102"/>
      <c r="AB843" s="102"/>
      <c r="AC843" s="102"/>
      <c r="AD843" s="102"/>
      <c r="AE843" s="102"/>
      <c r="AF843" s="102"/>
      <c r="AG843" s="102"/>
      <c r="AH843" s="102"/>
      <c r="AI843" s="102"/>
      <c r="AJ843" s="102"/>
      <c r="AK843" s="102"/>
      <c r="AL843" s="102"/>
      <c r="AM843" s="102"/>
      <c r="AN843" s="102"/>
      <c r="AO843" s="400"/>
      <c r="AP843" s="90"/>
      <c r="AQ843" s="90"/>
      <c r="AR843" s="90"/>
      <c r="AS843" s="90"/>
      <c r="AT843" s="90"/>
      <c r="AU843" s="90"/>
      <c r="AV843" s="90"/>
      <c r="AW843" s="90"/>
      <c r="AX843" s="90"/>
      <c r="AY843" s="90"/>
      <c r="AZ843" s="90"/>
      <c r="BA843" s="90"/>
      <c r="BB843" s="90"/>
      <c r="BC843" s="90"/>
      <c r="BD843" s="90"/>
      <c r="BE843" s="90"/>
      <c r="BF843" s="90"/>
      <c r="BG843" s="90"/>
      <c r="BH843" s="90"/>
      <c r="BI843" s="90"/>
    </row>
    <row r="844" ht="12.75" customHeight="1">
      <c r="A844" s="90"/>
      <c r="B844" s="90"/>
      <c r="C844" s="400"/>
      <c r="D844" s="90"/>
      <c r="E844" s="102"/>
      <c r="F844" s="90"/>
      <c r="G844" s="90"/>
      <c r="H844" s="102"/>
      <c r="I844" s="102"/>
      <c r="J844" s="102"/>
      <c r="K844" s="102"/>
      <c r="L844" s="102"/>
      <c r="M844" s="102"/>
      <c r="N844" s="102"/>
      <c r="O844" s="102"/>
      <c r="P844" s="102"/>
      <c r="Q844" s="102"/>
      <c r="R844" s="102"/>
      <c r="S844" s="102"/>
      <c r="T844" s="102"/>
      <c r="U844" s="102"/>
      <c r="V844" s="102"/>
      <c r="W844" s="102"/>
      <c r="X844" s="102"/>
      <c r="Y844" s="102"/>
      <c r="Z844" s="102"/>
      <c r="AA844" s="102"/>
      <c r="AB844" s="102"/>
      <c r="AC844" s="102"/>
      <c r="AD844" s="102"/>
      <c r="AE844" s="102"/>
      <c r="AF844" s="102"/>
      <c r="AG844" s="102"/>
      <c r="AH844" s="102"/>
      <c r="AI844" s="102"/>
      <c r="AJ844" s="102"/>
      <c r="AK844" s="102"/>
      <c r="AL844" s="102"/>
      <c r="AM844" s="102"/>
      <c r="AN844" s="102"/>
      <c r="AO844" s="400"/>
      <c r="AP844" s="90"/>
      <c r="AQ844" s="90"/>
      <c r="AR844" s="90"/>
      <c r="AS844" s="90"/>
      <c r="AT844" s="90"/>
      <c r="AU844" s="90"/>
      <c r="AV844" s="90"/>
      <c r="AW844" s="90"/>
      <c r="AX844" s="90"/>
      <c r="AY844" s="90"/>
      <c r="AZ844" s="90"/>
      <c r="BA844" s="90"/>
      <c r="BB844" s="90"/>
      <c r="BC844" s="90"/>
      <c r="BD844" s="90"/>
      <c r="BE844" s="90"/>
      <c r="BF844" s="90"/>
      <c r="BG844" s="90"/>
      <c r="BH844" s="90"/>
      <c r="BI844" s="90"/>
    </row>
    <row r="845" ht="12.75" customHeight="1">
      <c r="A845" s="90"/>
      <c r="B845" s="90"/>
      <c r="C845" s="400"/>
      <c r="D845" s="90"/>
      <c r="E845" s="102"/>
      <c r="F845" s="90"/>
      <c r="G845" s="90"/>
      <c r="H845" s="102"/>
      <c r="I845" s="102"/>
      <c r="J845" s="102"/>
      <c r="K845" s="102"/>
      <c r="L845" s="102"/>
      <c r="M845" s="102"/>
      <c r="N845" s="102"/>
      <c r="O845" s="102"/>
      <c r="P845" s="102"/>
      <c r="Q845" s="102"/>
      <c r="R845" s="102"/>
      <c r="S845" s="102"/>
      <c r="T845" s="102"/>
      <c r="U845" s="102"/>
      <c r="V845" s="102"/>
      <c r="W845" s="102"/>
      <c r="X845" s="102"/>
      <c r="Y845" s="102"/>
      <c r="Z845" s="102"/>
      <c r="AA845" s="102"/>
      <c r="AB845" s="102"/>
      <c r="AC845" s="102"/>
      <c r="AD845" s="102"/>
      <c r="AE845" s="102"/>
      <c r="AF845" s="102"/>
      <c r="AG845" s="102"/>
      <c r="AH845" s="102"/>
      <c r="AI845" s="102"/>
      <c r="AJ845" s="102"/>
      <c r="AK845" s="102"/>
      <c r="AL845" s="102"/>
      <c r="AM845" s="102"/>
      <c r="AN845" s="102"/>
      <c r="AO845" s="400"/>
      <c r="AP845" s="90"/>
      <c r="AQ845" s="90"/>
      <c r="AR845" s="90"/>
      <c r="AS845" s="90"/>
      <c r="AT845" s="90"/>
      <c r="AU845" s="90"/>
      <c r="AV845" s="90"/>
      <c r="AW845" s="90"/>
      <c r="AX845" s="90"/>
      <c r="AY845" s="90"/>
      <c r="AZ845" s="90"/>
      <c r="BA845" s="90"/>
      <c r="BB845" s="90"/>
      <c r="BC845" s="90"/>
      <c r="BD845" s="90"/>
      <c r="BE845" s="90"/>
      <c r="BF845" s="90"/>
      <c r="BG845" s="90"/>
      <c r="BH845" s="90"/>
      <c r="BI845" s="90"/>
    </row>
    <row r="846" ht="12.75" customHeight="1">
      <c r="A846" s="90"/>
      <c r="B846" s="90"/>
      <c r="C846" s="400"/>
      <c r="D846" s="90"/>
      <c r="E846" s="102"/>
      <c r="F846" s="90"/>
      <c r="G846" s="90"/>
      <c r="H846" s="102"/>
      <c r="I846" s="102"/>
      <c r="J846" s="102"/>
      <c r="K846" s="102"/>
      <c r="L846" s="102"/>
      <c r="M846" s="102"/>
      <c r="N846" s="102"/>
      <c r="O846" s="102"/>
      <c r="P846" s="102"/>
      <c r="Q846" s="102"/>
      <c r="R846" s="102"/>
      <c r="S846" s="102"/>
      <c r="T846" s="102"/>
      <c r="U846" s="102"/>
      <c r="V846" s="102"/>
      <c r="W846" s="102"/>
      <c r="X846" s="102"/>
      <c r="Y846" s="102"/>
      <c r="Z846" s="102"/>
      <c r="AA846" s="102"/>
      <c r="AB846" s="102"/>
      <c r="AC846" s="102"/>
      <c r="AD846" s="102"/>
      <c r="AE846" s="102"/>
      <c r="AF846" s="102"/>
      <c r="AG846" s="102"/>
      <c r="AH846" s="102"/>
      <c r="AI846" s="102"/>
      <c r="AJ846" s="102"/>
      <c r="AK846" s="102"/>
      <c r="AL846" s="102"/>
      <c r="AM846" s="102"/>
      <c r="AN846" s="102"/>
      <c r="AO846" s="400"/>
      <c r="AP846" s="90"/>
      <c r="AQ846" s="90"/>
      <c r="AR846" s="90"/>
      <c r="AS846" s="90"/>
      <c r="AT846" s="90"/>
      <c r="AU846" s="90"/>
      <c r="AV846" s="90"/>
      <c r="AW846" s="90"/>
      <c r="AX846" s="90"/>
      <c r="AY846" s="90"/>
      <c r="AZ846" s="90"/>
      <c r="BA846" s="90"/>
      <c r="BB846" s="90"/>
      <c r="BC846" s="90"/>
      <c r="BD846" s="90"/>
      <c r="BE846" s="90"/>
      <c r="BF846" s="90"/>
      <c r="BG846" s="90"/>
      <c r="BH846" s="90"/>
      <c r="BI846" s="90"/>
    </row>
    <row r="847" ht="12.75" customHeight="1">
      <c r="A847" s="90"/>
      <c r="B847" s="90"/>
      <c r="C847" s="400"/>
      <c r="D847" s="90"/>
      <c r="E847" s="102"/>
      <c r="F847" s="90"/>
      <c r="G847" s="90"/>
      <c r="H847" s="102"/>
      <c r="I847" s="102"/>
      <c r="J847" s="102"/>
      <c r="K847" s="102"/>
      <c r="L847" s="102"/>
      <c r="M847" s="102"/>
      <c r="N847" s="102"/>
      <c r="O847" s="102"/>
      <c r="P847" s="102"/>
      <c r="Q847" s="102"/>
      <c r="R847" s="102"/>
      <c r="S847" s="102"/>
      <c r="T847" s="102"/>
      <c r="U847" s="102"/>
      <c r="V847" s="102"/>
      <c r="W847" s="102"/>
      <c r="X847" s="102"/>
      <c r="Y847" s="102"/>
      <c r="Z847" s="102"/>
      <c r="AA847" s="102"/>
      <c r="AB847" s="102"/>
      <c r="AC847" s="102"/>
      <c r="AD847" s="102"/>
      <c r="AE847" s="102"/>
      <c r="AF847" s="102"/>
      <c r="AG847" s="102"/>
      <c r="AH847" s="102"/>
      <c r="AI847" s="102"/>
      <c r="AJ847" s="102"/>
      <c r="AK847" s="102"/>
      <c r="AL847" s="102"/>
      <c r="AM847" s="102"/>
      <c r="AN847" s="102"/>
      <c r="AO847" s="400"/>
      <c r="AP847" s="90"/>
      <c r="AQ847" s="90"/>
      <c r="AR847" s="90"/>
      <c r="AS847" s="90"/>
      <c r="AT847" s="90"/>
      <c r="AU847" s="90"/>
      <c r="AV847" s="90"/>
      <c r="AW847" s="90"/>
      <c r="AX847" s="90"/>
      <c r="AY847" s="90"/>
      <c r="AZ847" s="90"/>
      <c r="BA847" s="90"/>
      <c r="BB847" s="90"/>
      <c r="BC847" s="90"/>
      <c r="BD847" s="90"/>
      <c r="BE847" s="90"/>
      <c r="BF847" s="90"/>
      <c r="BG847" s="90"/>
      <c r="BH847" s="90"/>
      <c r="BI847" s="90"/>
    </row>
    <row r="848" ht="12.75" customHeight="1">
      <c r="A848" s="90"/>
      <c r="B848" s="90"/>
      <c r="C848" s="400"/>
      <c r="D848" s="90"/>
      <c r="E848" s="102"/>
      <c r="F848" s="90"/>
      <c r="G848" s="90"/>
      <c r="H848" s="102"/>
      <c r="I848" s="102"/>
      <c r="J848" s="102"/>
      <c r="K848" s="102"/>
      <c r="L848" s="102"/>
      <c r="M848" s="102"/>
      <c r="N848" s="102"/>
      <c r="O848" s="102"/>
      <c r="P848" s="102"/>
      <c r="Q848" s="102"/>
      <c r="R848" s="102"/>
      <c r="S848" s="102"/>
      <c r="T848" s="102"/>
      <c r="U848" s="102"/>
      <c r="V848" s="102"/>
      <c r="W848" s="102"/>
      <c r="X848" s="102"/>
      <c r="Y848" s="102"/>
      <c r="Z848" s="102"/>
      <c r="AA848" s="102"/>
      <c r="AB848" s="102"/>
      <c r="AC848" s="102"/>
      <c r="AD848" s="102"/>
      <c r="AE848" s="102"/>
      <c r="AF848" s="102"/>
      <c r="AG848" s="102"/>
      <c r="AH848" s="102"/>
      <c r="AI848" s="102"/>
      <c r="AJ848" s="102"/>
      <c r="AK848" s="102"/>
      <c r="AL848" s="102"/>
      <c r="AM848" s="102"/>
      <c r="AN848" s="102"/>
      <c r="AO848" s="400"/>
      <c r="AP848" s="90"/>
      <c r="AQ848" s="90"/>
      <c r="AR848" s="90"/>
      <c r="AS848" s="90"/>
      <c r="AT848" s="90"/>
      <c r="AU848" s="90"/>
      <c r="AV848" s="90"/>
      <c r="AW848" s="90"/>
      <c r="AX848" s="90"/>
      <c r="AY848" s="90"/>
      <c r="AZ848" s="90"/>
      <c r="BA848" s="90"/>
      <c r="BB848" s="90"/>
      <c r="BC848" s="90"/>
      <c r="BD848" s="90"/>
      <c r="BE848" s="90"/>
      <c r="BF848" s="90"/>
      <c r="BG848" s="90"/>
      <c r="BH848" s="90"/>
      <c r="BI848" s="90"/>
    </row>
    <row r="849" ht="12.75" customHeight="1">
      <c r="A849" s="90"/>
      <c r="B849" s="90"/>
      <c r="C849" s="400"/>
      <c r="D849" s="90"/>
      <c r="E849" s="102"/>
      <c r="F849" s="90"/>
      <c r="G849" s="90"/>
      <c r="H849" s="102"/>
      <c r="I849" s="102"/>
      <c r="J849" s="102"/>
      <c r="K849" s="102"/>
      <c r="L849" s="102"/>
      <c r="M849" s="102"/>
      <c r="N849" s="102"/>
      <c r="O849" s="102"/>
      <c r="P849" s="102"/>
      <c r="Q849" s="102"/>
      <c r="R849" s="102"/>
      <c r="S849" s="102"/>
      <c r="T849" s="102"/>
      <c r="U849" s="102"/>
      <c r="V849" s="102"/>
      <c r="W849" s="102"/>
      <c r="X849" s="102"/>
      <c r="Y849" s="102"/>
      <c r="Z849" s="102"/>
      <c r="AA849" s="102"/>
      <c r="AB849" s="102"/>
      <c r="AC849" s="102"/>
      <c r="AD849" s="102"/>
      <c r="AE849" s="102"/>
      <c r="AF849" s="102"/>
      <c r="AG849" s="102"/>
      <c r="AH849" s="102"/>
      <c r="AI849" s="102"/>
      <c r="AJ849" s="102"/>
      <c r="AK849" s="102"/>
      <c r="AL849" s="102"/>
      <c r="AM849" s="102"/>
      <c r="AN849" s="102"/>
      <c r="AO849" s="400"/>
      <c r="AP849" s="90"/>
      <c r="AQ849" s="90"/>
      <c r="AR849" s="90"/>
      <c r="AS849" s="90"/>
      <c r="AT849" s="90"/>
      <c r="AU849" s="90"/>
      <c r="AV849" s="90"/>
      <c r="AW849" s="90"/>
      <c r="AX849" s="90"/>
      <c r="AY849" s="90"/>
      <c r="AZ849" s="90"/>
      <c r="BA849" s="90"/>
      <c r="BB849" s="90"/>
      <c r="BC849" s="90"/>
      <c r="BD849" s="90"/>
      <c r="BE849" s="90"/>
      <c r="BF849" s="90"/>
      <c r="BG849" s="90"/>
      <c r="BH849" s="90"/>
      <c r="BI849" s="90"/>
    </row>
    <row r="850" ht="12.75" customHeight="1">
      <c r="A850" s="90"/>
      <c r="B850" s="90"/>
      <c r="C850" s="400"/>
      <c r="D850" s="90"/>
      <c r="E850" s="102"/>
      <c r="F850" s="90"/>
      <c r="G850" s="90"/>
      <c r="H850" s="102"/>
      <c r="I850" s="102"/>
      <c r="J850" s="102"/>
      <c r="K850" s="102"/>
      <c r="L850" s="102"/>
      <c r="M850" s="102"/>
      <c r="N850" s="102"/>
      <c r="O850" s="102"/>
      <c r="P850" s="102"/>
      <c r="Q850" s="102"/>
      <c r="R850" s="102"/>
      <c r="S850" s="102"/>
      <c r="T850" s="102"/>
      <c r="U850" s="102"/>
      <c r="V850" s="102"/>
      <c r="W850" s="102"/>
      <c r="X850" s="102"/>
      <c r="Y850" s="102"/>
      <c r="Z850" s="102"/>
      <c r="AA850" s="102"/>
      <c r="AB850" s="102"/>
      <c r="AC850" s="102"/>
      <c r="AD850" s="102"/>
      <c r="AE850" s="102"/>
      <c r="AF850" s="102"/>
      <c r="AG850" s="102"/>
      <c r="AH850" s="102"/>
      <c r="AI850" s="102"/>
      <c r="AJ850" s="102"/>
      <c r="AK850" s="102"/>
      <c r="AL850" s="102"/>
      <c r="AM850" s="102"/>
      <c r="AN850" s="102"/>
      <c r="AO850" s="400"/>
      <c r="AP850" s="90"/>
      <c r="AQ850" s="90"/>
      <c r="AR850" s="90"/>
      <c r="AS850" s="90"/>
      <c r="AT850" s="90"/>
      <c r="AU850" s="90"/>
      <c r="AV850" s="90"/>
      <c r="AW850" s="90"/>
      <c r="AX850" s="90"/>
      <c r="AY850" s="90"/>
      <c r="AZ850" s="90"/>
      <c r="BA850" s="90"/>
      <c r="BB850" s="90"/>
      <c r="BC850" s="90"/>
      <c r="BD850" s="90"/>
      <c r="BE850" s="90"/>
      <c r="BF850" s="90"/>
      <c r="BG850" s="90"/>
      <c r="BH850" s="90"/>
      <c r="BI850" s="90"/>
    </row>
    <row r="851" ht="12.75" customHeight="1">
      <c r="A851" s="90"/>
      <c r="B851" s="90"/>
      <c r="C851" s="400"/>
      <c r="D851" s="90"/>
      <c r="E851" s="102"/>
      <c r="F851" s="90"/>
      <c r="G851" s="90"/>
      <c r="H851" s="102"/>
      <c r="I851" s="102"/>
      <c r="J851" s="102"/>
      <c r="K851" s="102"/>
      <c r="L851" s="102"/>
      <c r="M851" s="102"/>
      <c r="N851" s="102"/>
      <c r="O851" s="102"/>
      <c r="P851" s="102"/>
      <c r="Q851" s="102"/>
      <c r="R851" s="102"/>
      <c r="S851" s="102"/>
      <c r="T851" s="102"/>
      <c r="U851" s="102"/>
      <c r="V851" s="102"/>
      <c r="W851" s="102"/>
      <c r="X851" s="102"/>
      <c r="Y851" s="102"/>
      <c r="Z851" s="102"/>
      <c r="AA851" s="102"/>
      <c r="AB851" s="102"/>
      <c r="AC851" s="102"/>
      <c r="AD851" s="102"/>
      <c r="AE851" s="102"/>
      <c r="AF851" s="102"/>
      <c r="AG851" s="102"/>
      <c r="AH851" s="102"/>
      <c r="AI851" s="102"/>
      <c r="AJ851" s="102"/>
      <c r="AK851" s="102"/>
      <c r="AL851" s="102"/>
      <c r="AM851" s="102"/>
      <c r="AN851" s="102"/>
      <c r="AO851" s="400"/>
      <c r="AP851" s="90"/>
      <c r="AQ851" s="90"/>
      <c r="AR851" s="90"/>
      <c r="AS851" s="90"/>
      <c r="AT851" s="90"/>
      <c r="AU851" s="90"/>
      <c r="AV851" s="90"/>
      <c r="AW851" s="90"/>
      <c r="AX851" s="90"/>
      <c r="AY851" s="90"/>
      <c r="AZ851" s="90"/>
      <c r="BA851" s="90"/>
      <c r="BB851" s="90"/>
      <c r="BC851" s="90"/>
      <c r="BD851" s="90"/>
      <c r="BE851" s="90"/>
      <c r="BF851" s="90"/>
      <c r="BG851" s="90"/>
      <c r="BH851" s="90"/>
      <c r="BI851" s="90"/>
    </row>
    <row r="852" ht="12.75" customHeight="1">
      <c r="A852" s="90"/>
      <c r="B852" s="90"/>
      <c r="C852" s="400"/>
      <c r="D852" s="90"/>
      <c r="E852" s="102"/>
      <c r="F852" s="90"/>
      <c r="G852" s="90"/>
      <c r="H852" s="102"/>
      <c r="I852" s="102"/>
      <c r="J852" s="102"/>
      <c r="K852" s="102"/>
      <c r="L852" s="102"/>
      <c r="M852" s="102"/>
      <c r="N852" s="102"/>
      <c r="O852" s="102"/>
      <c r="P852" s="102"/>
      <c r="Q852" s="102"/>
      <c r="R852" s="102"/>
      <c r="S852" s="102"/>
      <c r="T852" s="102"/>
      <c r="U852" s="102"/>
      <c r="V852" s="102"/>
      <c r="W852" s="102"/>
      <c r="X852" s="102"/>
      <c r="Y852" s="102"/>
      <c r="Z852" s="102"/>
      <c r="AA852" s="102"/>
      <c r="AB852" s="102"/>
      <c r="AC852" s="102"/>
      <c r="AD852" s="102"/>
      <c r="AE852" s="102"/>
      <c r="AF852" s="102"/>
      <c r="AG852" s="102"/>
      <c r="AH852" s="102"/>
      <c r="AI852" s="102"/>
      <c r="AJ852" s="102"/>
      <c r="AK852" s="102"/>
      <c r="AL852" s="102"/>
      <c r="AM852" s="102"/>
      <c r="AN852" s="102"/>
      <c r="AO852" s="400"/>
      <c r="AP852" s="90"/>
      <c r="AQ852" s="90"/>
      <c r="AR852" s="90"/>
      <c r="AS852" s="90"/>
      <c r="AT852" s="90"/>
      <c r="AU852" s="90"/>
      <c r="AV852" s="90"/>
      <c r="AW852" s="90"/>
      <c r="AX852" s="90"/>
      <c r="AY852" s="90"/>
      <c r="AZ852" s="90"/>
      <c r="BA852" s="90"/>
      <c r="BB852" s="90"/>
      <c r="BC852" s="90"/>
      <c r="BD852" s="90"/>
      <c r="BE852" s="90"/>
      <c r="BF852" s="90"/>
      <c r="BG852" s="90"/>
      <c r="BH852" s="90"/>
      <c r="BI852" s="90"/>
    </row>
    <row r="853" ht="12.75" customHeight="1">
      <c r="A853" s="90"/>
      <c r="B853" s="90"/>
      <c r="C853" s="400"/>
      <c r="D853" s="90"/>
      <c r="E853" s="102"/>
      <c r="F853" s="90"/>
      <c r="G853" s="90"/>
      <c r="H853" s="102"/>
      <c r="I853" s="102"/>
      <c r="J853" s="102"/>
      <c r="K853" s="102"/>
      <c r="L853" s="102"/>
      <c r="M853" s="102"/>
      <c r="N853" s="102"/>
      <c r="O853" s="102"/>
      <c r="P853" s="102"/>
      <c r="Q853" s="102"/>
      <c r="R853" s="102"/>
      <c r="S853" s="102"/>
      <c r="T853" s="102"/>
      <c r="U853" s="102"/>
      <c r="V853" s="102"/>
      <c r="W853" s="102"/>
      <c r="X853" s="102"/>
      <c r="Y853" s="102"/>
      <c r="Z853" s="102"/>
      <c r="AA853" s="102"/>
      <c r="AB853" s="102"/>
      <c r="AC853" s="102"/>
      <c r="AD853" s="102"/>
      <c r="AE853" s="102"/>
      <c r="AF853" s="102"/>
      <c r="AG853" s="102"/>
      <c r="AH853" s="102"/>
      <c r="AI853" s="102"/>
      <c r="AJ853" s="102"/>
      <c r="AK853" s="102"/>
      <c r="AL853" s="102"/>
      <c r="AM853" s="102"/>
      <c r="AN853" s="102"/>
      <c r="AO853" s="400"/>
      <c r="AP853" s="90"/>
      <c r="AQ853" s="90"/>
      <c r="AR853" s="90"/>
      <c r="AS853" s="90"/>
      <c r="AT853" s="90"/>
      <c r="AU853" s="90"/>
      <c r="AV853" s="90"/>
      <c r="AW853" s="90"/>
      <c r="AX853" s="90"/>
      <c r="AY853" s="90"/>
      <c r="AZ853" s="90"/>
      <c r="BA853" s="90"/>
      <c r="BB853" s="90"/>
      <c r="BC853" s="90"/>
      <c r="BD853" s="90"/>
      <c r="BE853" s="90"/>
      <c r="BF853" s="90"/>
      <c r="BG853" s="90"/>
      <c r="BH853" s="90"/>
      <c r="BI853" s="90"/>
    </row>
    <row r="854" ht="12.75" customHeight="1">
      <c r="A854" s="90"/>
      <c r="B854" s="90"/>
      <c r="C854" s="400"/>
      <c r="D854" s="90"/>
      <c r="E854" s="102"/>
      <c r="F854" s="90"/>
      <c r="G854" s="90"/>
      <c r="H854" s="102"/>
      <c r="I854" s="102"/>
      <c r="J854" s="102"/>
      <c r="K854" s="102"/>
      <c r="L854" s="102"/>
      <c r="M854" s="102"/>
      <c r="N854" s="102"/>
      <c r="O854" s="102"/>
      <c r="P854" s="102"/>
      <c r="Q854" s="102"/>
      <c r="R854" s="102"/>
      <c r="S854" s="102"/>
      <c r="T854" s="102"/>
      <c r="U854" s="102"/>
      <c r="V854" s="102"/>
      <c r="W854" s="102"/>
      <c r="X854" s="102"/>
      <c r="Y854" s="102"/>
      <c r="Z854" s="102"/>
      <c r="AA854" s="102"/>
      <c r="AB854" s="102"/>
      <c r="AC854" s="102"/>
      <c r="AD854" s="102"/>
      <c r="AE854" s="102"/>
      <c r="AF854" s="102"/>
      <c r="AG854" s="102"/>
      <c r="AH854" s="102"/>
      <c r="AI854" s="102"/>
      <c r="AJ854" s="102"/>
      <c r="AK854" s="102"/>
      <c r="AL854" s="102"/>
      <c r="AM854" s="102"/>
      <c r="AN854" s="102"/>
      <c r="AO854" s="400"/>
      <c r="AP854" s="90"/>
      <c r="AQ854" s="90"/>
      <c r="AR854" s="90"/>
      <c r="AS854" s="90"/>
      <c r="AT854" s="90"/>
      <c r="AU854" s="90"/>
      <c r="AV854" s="90"/>
      <c r="AW854" s="90"/>
      <c r="AX854" s="90"/>
      <c r="AY854" s="90"/>
      <c r="AZ854" s="90"/>
      <c r="BA854" s="90"/>
      <c r="BB854" s="90"/>
      <c r="BC854" s="90"/>
      <c r="BD854" s="90"/>
      <c r="BE854" s="90"/>
      <c r="BF854" s="90"/>
      <c r="BG854" s="90"/>
      <c r="BH854" s="90"/>
      <c r="BI854" s="90"/>
    </row>
    <row r="855" ht="12.75" customHeight="1">
      <c r="A855" s="90"/>
      <c r="B855" s="90"/>
      <c r="C855" s="400"/>
      <c r="D855" s="90"/>
      <c r="E855" s="102"/>
      <c r="F855" s="90"/>
      <c r="G855" s="90"/>
      <c r="H855" s="102"/>
      <c r="I855" s="102"/>
      <c r="J855" s="102"/>
      <c r="K855" s="102"/>
      <c r="L855" s="102"/>
      <c r="M855" s="102"/>
      <c r="N855" s="102"/>
      <c r="O855" s="102"/>
      <c r="P855" s="102"/>
      <c r="Q855" s="102"/>
      <c r="R855" s="102"/>
      <c r="S855" s="102"/>
      <c r="T855" s="102"/>
      <c r="U855" s="102"/>
      <c r="V855" s="102"/>
      <c r="W855" s="102"/>
      <c r="X855" s="102"/>
      <c r="Y855" s="102"/>
      <c r="Z855" s="102"/>
      <c r="AA855" s="102"/>
      <c r="AB855" s="102"/>
      <c r="AC855" s="102"/>
      <c r="AD855" s="102"/>
      <c r="AE855" s="102"/>
      <c r="AF855" s="102"/>
      <c r="AG855" s="102"/>
      <c r="AH855" s="102"/>
      <c r="AI855" s="102"/>
      <c r="AJ855" s="102"/>
      <c r="AK855" s="102"/>
      <c r="AL855" s="102"/>
      <c r="AM855" s="102"/>
      <c r="AN855" s="102"/>
      <c r="AO855" s="400"/>
      <c r="AP855" s="90"/>
      <c r="AQ855" s="90"/>
      <c r="AR855" s="90"/>
      <c r="AS855" s="90"/>
      <c r="AT855" s="90"/>
      <c r="AU855" s="90"/>
      <c r="AV855" s="90"/>
      <c r="AW855" s="90"/>
      <c r="AX855" s="90"/>
      <c r="AY855" s="90"/>
      <c r="AZ855" s="90"/>
      <c r="BA855" s="90"/>
      <c r="BB855" s="90"/>
      <c r="BC855" s="90"/>
      <c r="BD855" s="90"/>
      <c r="BE855" s="90"/>
      <c r="BF855" s="90"/>
      <c r="BG855" s="90"/>
      <c r="BH855" s="90"/>
      <c r="BI855" s="90"/>
    </row>
    <row r="856" ht="12.75" customHeight="1">
      <c r="A856" s="90"/>
      <c r="B856" s="90"/>
      <c r="C856" s="400"/>
      <c r="D856" s="90"/>
      <c r="E856" s="102"/>
      <c r="F856" s="90"/>
      <c r="G856" s="90"/>
      <c r="H856" s="102"/>
      <c r="I856" s="102"/>
      <c r="J856" s="102"/>
      <c r="K856" s="102"/>
      <c r="L856" s="102"/>
      <c r="M856" s="102"/>
      <c r="N856" s="102"/>
      <c r="O856" s="102"/>
      <c r="P856" s="102"/>
      <c r="Q856" s="102"/>
      <c r="R856" s="102"/>
      <c r="S856" s="102"/>
      <c r="T856" s="102"/>
      <c r="U856" s="102"/>
      <c r="V856" s="102"/>
      <c r="W856" s="102"/>
      <c r="X856" s="102"/>
      <c r="Y856" s="102"/>
      <c r="Z856" s="102"/>
      <c r="AA856" s="102"/>
      <c r="AB856" s="102"/>
      <c r="AC856" s="102"/>
      <c r="AD856" s="102"/>
      <c r="AE856" s="102"/>
      <c r="AF856" s="102"/>
      <c r="AG856" s="102"/>
      <c r="AH856" s="102"/>
      <c r="AI856" s="102"/>
      <c r="AJ856" s="102"/>
      <c r="AK856" s="102"/>
      <c r="AL856" s="102"/>
      <c r="AM856" s="102"/>
      <c r="AN856" s="102"/>
      <c r="AO856" s="400"/>
      <c r="AP856" s="90"/>
      <c r="AQ856" s="90"/>
      <c r="AR856" s="90"/>
      <c r="AS856" s="90"/>
      <c r="AT856" s="90"/>
      <c r="AU856" s="90"/>
      <c r="AV856" s="90"/>
      <c r="AW856" s="90"/>
      <c r="AX856" s="90"/>
      <c r="AY856" s="90"/>
      <c r="AZ856" s="90"/>
      <c r="BA856" s="90"/>
      <c r="BB856" s="90"/>
      <c r="BC856" s="90"/>
      <c r="BD856" s="90"/>
      <c r="BE856" s="90"/>
      <c r="BF856" s="90"/>
      <c r="BG856" s="90"/>
      <c r="BH856" s="90"/>
      <c r="BI856" s="90"/>
    </row>
    <row r="857" ht="12.75" customHeight="1">
      <c r="A857" s="90"/>
      <c r="B857" s="90"/>
      <c r="C857" s="400"/>
      <c r="D857" s="90"/>
      <c r="E857" s="102"/>
      <c r="F857" s="90"/>
      <c r="G857" s="90"/>
      <c r="H857" s="102"/>
      <c r="I857" s="102"/>
      <c r="J857" s="102"/>
      <c r="K857" s="102"/>
      <c r="L857" s="102"/>
      <c r="M857" s="102"/>
      <c r="N857" s="102"/>
      <c r="O857" s="102"/>
      <c r="P857" s="102"/>
      <c r="Q857" s="102"/>
      <c r="R857" s="102"/>
      <c r="S857" s="102"/>
      <c r="T857" s="102"/>
      <c r="U857" s="102"/>
      <c r="V857" s="102"/>
      <c r="W857" s="102"/>
      <c r="X857" s="102"/>
      <c r="Y857" s="102"/>
      <c r="Z857" s="102"/>
      <c r="AA857" s="102"/>
      <c r="AB857" s="102"/>
      <c r="AC857" s="102"/>
      <c r="AD857" s="102"/>
      <c r="AE857" s="102"/>
      <c r="AF857" s="102"/>
      <c r="AG857" s="102"/>
      <c r="AH857" s="102"/>
      <c r="AI857" s="102"/>
      <c r="AJ857" s="102"/>
      <c r="AK857" s="102"/>
      <c r="AL857" s="102"/>
      <c r="AM857" s="102"/>
      <c r="AN857" s="102"/>
      <c r="AO857" s="400"/>
      <c r="AP857" s="90"/>
      <c r="AQ857" s="90"/>
      <c r="AR857" s="90"/>
      <c r="AS857" s="90"/>
      <c r="AT857" s="90"/>
      <c r="AU857" s="90"/>
      <c r="AV857" s="90"/>
      <c r="AW857" s="90"/>
      <c r="AX857" s="90"/>
      <c r="AY857" s="90"/>
      <c r="AZ857" s="90"/>
      <c r="BA857" s="90"/>
      <c r="BB857" s="90"/>
      <c r="BC857" s="90"/>
      <c r="BD857" s="90"/>
      <c r="BE857" s="90"/>
      <c r="BF857" s="90"/>
      <c r="BG857" s="90"/>
      <c r="BH857" s="90"/>
      <c r="BI857" s="90"/>
    </row>
    <row r="858" ht="12.75" customHeight="1">
      <c r="A858" s="90"/>
      <c r="B858" s="90"/>
      <c r="C858" s="400"/>
      <c r="D858" s="90"/>
      <c r="E858" s="102"/>
      <c r="F858" s="90"/>
      <c r="G858" s="90"/>
      <c r="H858" s="102"/>
      <c r="I858" s="102"/>
      <c r="J858" s="102"/>
      <c r="K858" s="102"/>
      <c r="L858" s="102"/>
      <c r="M858" s="102"/>
      <c r="N858" s="102"/>
      <c r="O858" s="102"/>
      <c r="P858" s="102"/>
      <c r="Q858" s="102"/>
      <c r="R858" s="102"/>
      <c r="S858" s="102"/>
      <c r="T858" s="102"/>
      <c r="U858" s="102"/>
      <c r="V858" s="102"/>
      <c r="W858" s="102"/>
      <c r="X858" s="102"/>
      <c r="Y858" s="102"/>
      <c r="Z858" s="102"/>
      <c r="AA858" s="102"/>
      <c r="AB858" s="102"/>
      <c r="AC858" s="102"/>
      <c r="AD858" s="102"/>
      <c r="AE858" s="102"/>
      <c r="AF858" s="102"/>
      <c r="AG858" s="102"/>
      <c r="AH858" s="102"/>
      <c r="AI858" s="102"/>
      <c r="AJ858" s="102"/>
      <c r="AK858" s="102"/>
      <c r="AL858" s="102"/>
      <c r="AM858" s="102"/>
      <c r="AN858" s="102"/>
      <c r="AO858" s="400"/>
      <c r="AP858" s="90"/>
      <c r="AQ858" s="90"/>
      <c r="AR858" s="90"/>
      <c r="AS858" s="90"/>
      <c r="AT858" s="90"/>
      <c r="AU858" s="90"/>
      <c r="AV858" s="90"/>
      <c r="AW858" s="90"/>
      <c r="AX858" s="90"/>
      <c r="AY858" s="90"/>
      <c r="AZ858" s="90"/>
      <c r="BA858" s="90"/>
      <c r="BB858" s="90"/>
      <c r="BC858" s="90"/>
      <c r="BD858" s="90"/>
      <c r="BE858" s="90"/>
      <c r="BF858" s="90"/>
      <c r="BG858" s="90"/>
      <c r="BH858" s="90"/>
      <c r="BI858" s="90"/>
    </row>
    <row r="859" ht="12.75" customHeight="1">
      <c r="A859" s="90"/>
      <c r="B859" s="90"/>
      <c r="C859" s="400"/>
      <c r="D859" s="90"/>
      <c r="E859" s="102"/>
      <c r="F859" s="90"/>
      <c r="G859" s="90"/>
      <c r="H859" s="102"/>
      <c r="I859" s="102"/>
      <c r="J859" s="102"/>
      <c r="K859" s="102"/>
      <c r="L859" s="102"/>
      <c r="M859" s="102"/>
      <c r="N859" s="102"/>
      <c r="O859" s="102"/>
      <c r="P859" s="102"/>
      <c r="Q859" s="102"/>
      <c r="R859" s="102"/>
      <c r="S859" s="102"/>
      <c r="T859" s="102"/>
      <c r="U859" s="102"/>
      <c r="V859" s="102"/>
      <c r="W859" s="102"/>
      <c r="X859" s="102"/>
      <c r="Y859" s="102"/>
      <c r="Z859" s="102"/>
      <c r="AA859" s="102"/>
      <c r="AB859" s="102"/>
      <c r="AC859" s="102"/>
      <c r="AD859" s="102"/>
      <c r="AE859" s="102"/>
      <c r="AF859" s="102"/>
      <c r="AG859" s="102"/>
      <c r="AH859" s="102"/>
      <c r="AI859" s="102"/>
      <c r="AJ859" s="102"/>
      <c r="AK859" s="102"/>
      <c r="AL859" s="102"/>
      <c r="AM859" s="102"/>
      <c r="AN859" s="102"/>
      <c r="AO859" s="400"/>
      <c r="AP859" s="90"/>
      <c r="AQ859" s="90"/>
      <c r="AR859" s="90"/>
      <c r="AS859" s="90"/>
      <c r="AT859" s="90"/>
      <c r="AU859" s="90"/>
      <c r="AV859" s="90"/>
      <c r="AW859" s="90"/>
      <c r="AX859" s="90"/>
      <c r="AY859" s="90"/>
      <c r="AZ859" s="90"/>
      <c r="BA859" s="90"/>
      <c r="BB859" s="90"/>
      <c r="BC859" s="90"/>
      <c r="BD859" s="90"/>
      <c r="BE859" s="90"/>
      <c r="BF859" s="90"/>
      <c r="BG859" s="90"/>
      <c r="BH859" s="90"/>
      <c r="BI859" s="90"/>
    </row>
    <row r="860" ht="12.75" customHeight="1">
      <c r="A860" s="90"/>
      <c r="B860" s="90"/>
      <c r="C860" s="400"/>
      <c r="D860" s="90"/>
      <c r="E860" s="102"/>
      <c r="F860" s="90"/>
      <c r="G860" s="90"/>
      <c r="H860" s="102"/>
      <c r="I860" s="102"/>
      <c r="J860" s="102"/>
      <c r="K860" s="102"/>
      <c r="L860" s="102"/>
      <c r="M860" s="102"/>
      <c r="N860" s="102"/>
      <c r="O860" s="102"/>
      <c r="P860" s="102"/>
      <c r="Q860" s="102"/>
      <c r="R860" s="102"/>
      <c r="S860" s="102"/>
      <c r="T860" s="102"/>
      <c r="U860" s="102"/>
      <c r="V860" s="102"/>
      <c r="W860" s="102"/>
      <c r="X860" s="102"/>
      <c r="Y860" s="102"/>
      <c r="Z860" s="102"/>
      <c r="AA860" s="102"/>
      <c r="AB860" s="102"/>
      <c r="AC860" s="102"/>
      <c r="AD860" s="102"/>
      <c r="AE860" s="102"/>
      <c r="AF860" s="102"/>
      <c r="AG860" s="102"/>
      <c r="AH860" s="102"/>
      <c r="AI860" s="102"/>
      <c r="AJ860" s="102"/>
      <c r="AK860" s="102"/>
      <c r="AL860" s="102"/>
      <c r="AM860" s="102"/>
      <c r="AN860" s="102"/>
      <c r="AO860" s="400"/>
      <c r="AP860" s="90"/>
      <c r="AQ860" s="90"/>
      <c r="AR860" s="90"/>
      <c r="AS860" s="90"/>
      <c r="AT860" s="90"/>
      <c r="AU860" s="90"/>
      <c r="AV860" s="90"/>
      <c r="AW860" s="90"/>
      <c r="AX860" s="90"/>
      <c r="AY860" s="90"/>
      <c r="AZ860" s="90"/>
      <c r="BA860" s="90"/>
      <c r="BB860" s="90"/>
      <c r="BC860" s="90"/>
      <c r="BD860" s="90"/>
      <c r="BE860" s="90"/>
      <c r="BF860" s="90"/>
      <c r="BG860" s="90"/>
      <c r="BH860" s="90"/>
      <c r="BI860" s="90"/>
    </row>
    <row r="861" ht="12.75" customHeight="1">
      <c r="A861" s="90"/>
      <c r="B861" s="90"/>
      <c r="C861" s="400"/>
      <c r="D861" s="90"/>
      <c r="E861" s="102"/>
      <c r="F861" s="90"/>
      <c r="G861" s="90"/>
      <c r="H861" s="102"/>
      <c r="I861" s="102"/>
      <c r="J861" s="102"/>
      <c r="K861" s="102"/>
      <c r="L861" s="102"/>
      <c r="M861" s="102"/>
      <c r="N861" s="102"/>
      <c r="O861" s="102"/>
      <c r="P861" s="102"/>
      <c r="Q861" s="102"/>
      <c r="R861" s="102"/>
      <c r="S861" s="102"/>
      <c r="T861" s="102"/>
      <c r="U861" s="102"/>
      <c r="V861" s="102"/>
      <c r="W861" s="102"/>
      <c r="X861" s="102"/>
      <c r="Y861" s="102"/>
      <c r="Z861" s="102"/>
      <c r="AA861" s="102"/>
      <c r="AB861" s="102"/>
      <c r="AC861" s="102"/>
      <c r="AD861" s="102"/>
      <c r="AE861" s="102"/>
      <c r="AF861" s="102"/>
      <c r="AG861" s="102"/>
      <c r="AH861" s="102"/>
      <c r="AI861" s="102"/>
      <c r="AJ861" s="102"/>
      <c r="AK861" s="102"/>
      <c r="AL861" s="102"/>
      <c r="AM861" s="102"/>
      <c r="AN861" s="102"/>
      <c r="AO861" s="400"/>
      <c r="AP861" s="90"/>
      <c r="AQ861" s="90"/>
      <c r="AR861" s="90"/>
      <c r="AS861" s="90"/>
      <c r="AT861" s="90"/>
      <c r="AU861" s="90"/>
      <c r="AV861" s="90"/>
      <c r="AW861" s="90"/>
      <c r="AX861" s="90"/>
      <c r="AY861" s="90"/>
      <c r="AZ861" s="90"/>
      <c r="BA861" s="90"/>
      <c r="BB861" s="90"/>
      <c r="BC861" s="90"/>
      <c r="BD861" s="90"/>
      <c r="BE861" s="90"/>
      <c r="BF861" s="90"/>
      <c r="BG861" s="90"/>
      <c r="BH861" s="90"/>
      <c r="BI861" s="90"/>
    </row>
    <row r="862" ht="12.75" customHeight="1">
      <c r="A862" s="90"/>
      <c r="B862" s="90"/>
      <c r="C862" s="400"/>
      <c r="D862" s="90"/>
      <c r="E862" s="102"/>
      <c r="F862" s="90"/>
      <c r="G862" s="90"/>
      <c r="H862" s="102"/>
      <c r="I862" s="102"/>
      <c r="J862" s="102"/>
      <c r="K862" s="102"/>
      <c r="L862" s="102"/>
      <c r="M862" s="102"/>
      <c r="N862" s="102"/>
      <c r="O862" s="102"/>
      <c r="P862" s="102"/>
      <c r="Q862" s="102"/>
      <c r="R862" s="102"/>
      <c r="S862" s="102"/>
      <c r="T862" s="102"/>
      <c r="U862" s="102"/>
      <c r="V862" s="102"/>
      <c r="W862" s="102"/>
      <c r="X862" s="102"/>
      <c r="Y862" s="102"/>
      <c r="Z862" s="102"/>
      <c r="AA862" s="102"/>
      <c r="AB862" s="102"/>
      <c r="AC862" s="102"/>
      <c r="AD862" s="102"/>
      <c r="AE862" s="102"/>
      <c r="AF862" s="102"/>
      <c r="AG862" s="102"/>
      <c r="AH862" s="102"/>
      <c r="AI862" s="102"/>
      <c r="AJ862" s="102"/>
      <c r="AK862" s="102"/>
      <c r="AL862" s="102"/>
      <c r="AM862" s="102"/>
      <c r="AN862" s="102"/>
      <c r="AO862" s="400"/>
      <c r="AP862" s="90"/>
      <c r="AQ862" s="90"/>
      <c r="AR862" s="90"/>
      <c r="AS862" s="90"/>
      <c r="AT862" s="90"/>
      <c r="AU862" s="90"/>
      <c r="AV862" s="90"/>
      <c r="AW862" s="90"/>
      <c r="AX862" s="90"/>
      <c r="AY862" s="90"/>
      <c r="AZ862" s="90"/>
      <c r="BA862" s="90"/>
      <c r="BB862" s="90"/>
      <c r="BC862" s="90"/>
      <c r="BD862" s="90"/>
      <c r="BE862" s="90"/>
      <c r="BF862" s="90"/>
      <c r="BG862" s="90"/>
      <c r="BH862" s="90"/>
      <c r="BI862" s="90"/>
    </row>
    <row r="863" ht="12.75" customHeight="1">
      <c r="A863" s="90"/>
      <c r="B863" s="90"/>
      <c r="C863" s="400"/>
      <c r="D863" s="90"/>
      <c r="E863" s="102"/>
      <c r="F863" s="90"/>
      <c r="G863" s="90"/>
      <c r="H863" s="102"/>
      <c r="I863" s="102"/>
      <c r="J863" s="102"/>
      <c r="K863" s="102"/>
      <c r="L863" s="102"/>
      <c r="M863" s="102"/>
      <c r="N863" s="102"/>
      <c r="O863" s="102"/>
      <c r="P863" s="102"/>
      <c r="Q863" s="102"/>
      <c r="R863" s="102"/>
      <c r="S863" s="102"/>
      <c r="T863" s="102"/>
      <c r="U863" s="102"/>
      <c r="V863" s="102"/>
      <c r="W863" s="102"/>
      <c r="X863" s="102"/>
      <c r="Y863" s="102"/>
      <c r="Z863" s="102"/>
      <c r="AA863" s="102"/>
      <c r="AB863" s="102"/>
      <c r="AC863" s="102"/>
      <c r="AD863" s="102"/>
      <c r="AE863" s="102"/>
      <c r="AF863" s="102"/>
      <c r="AG863" s="102"/>
      <c r="AH863" s="102"/>
      <c r="AI863" s="102"/>
      <c r="AJ863" s="102"/>
      <c r="AK863" s="102"/>
      <c r="AL863" s="102"/>
      <c r="AM863" s="102"/>
      <c r="AN863" s="102"/>
      <c r="AO863" s="400"/>
      <c r="AP863" s="90"/>
      <c r="AQ863" s="90"/>
      <c r="AR863" s="90"/>
      <c r="AS863" s="90"/>
      <c r="AT863" s="90"/>
      <c r="AU863" s="90"/>
      <c r="AV863" s="90"/>
      <c r="AW863" s="90"/>
      <c r="AX863" s="90"/>
      <c r="AY863" s="90"/>
      <c r="AZ863" s="90"/>
      <c r="BA863" s="90"/>
      <c r="BB863" s="90"/>
      <c r="BC863" s="90"/>
      <c r="BD863" s="90"/>
      <c r="BE863" s="90"/>
      <c r="BF863" s="90"/>
      <c r="BG863" s="90"/>
      <c r="BH863" s="90"/>
      <c r="BI863" s="90"/>
    </row>
    <row r="864" ht="12.75" customHeight="1">
      <c r="A864" s="90"/>
      <c r="B864" s="90"/>
      <c r="C864" s="400"/>
      <c r="D864" s="90"/>
      <c r="E864" s="102"/>
      <c r="F864" s="90"/>
      <c r="G864" s="90"/>
      <c r="H864" s="102"/>
      <c r="I864" s="102"/>
      <c r="J864" s="102"/>
      <c r="K864" s="102"/>
      <c r="L864" s="102"/>
      <c r="M864" s="102"/>
      <c r="N864" s="102"/>
      <c r="O864" s="102"/>
      <c r="P864" s="102"/>
      <c r="Q864" s="102"/>
      <c r="R864" s="102"/>
      <c r="S864" s="102"/>
      <c r="T864" s="102"/>
      <c r="U864" s="102"/>
      <c r="V864" s="102"/>
      <c r="W864" s="102"/>
      <c r="X864" s="102"/>
      <c r="Y864" s="102"/>
      <c r="Z864" s="102"/>
      <c r="AA864" s="102"/>
      <c r="AB864" s="102"/>
      <c r="AC864" s="102"/>
      <c r="AD864" s="102"/>
      <c r="AE864" s="102"/>
      <c r="AF864" s="102"/>
      <c r="AG864" s="102"/>
      <c r="AH864" s="102"/>
      <c r="AI864" s="102"/>
      <c r="AJ864" s="102"/>
      <c r="AK864" s="102"/>
      <c r="AL864" s="102"/>
      <c r="AM864" s="102"/>
      <c r="AN864" s="102"/>
      <c r="AO864" s="400"/>
      <c r="AP864" s="90"/>
      <c r="AQ864" s="90"/>
      <c r="AR864" s="90"/>
      <c r="AS864" s="90"/>
      <c r="AT864" s="90"/>
      <c r="AU864" s="90"/>
      <c r="AV864" s="90"/>
      <c r="AW864" s="90"/>
      <c r="AX864" s="90"/>
      <c r="AY864" s="90"/>
      <c r="AZ864" s="90"/>
      <c r="BA864" s="90"/>
      <c r="BB864" s="90"/>
      <c r="BC864" s="90"/>
      <c r="BD864" s="90"/>
      <c r="BE864" s="90"/>
      <c r="BF864" s="90"/>
      <c r="BG864" s="90"/>
      <c r="BH864" s="90"/>
      <c r="BI864" s="90"/>
    </row>
    <row r="865" ht="12.75" customHeight="1">
      <c r="A865" s="90"/>
      <c r="B865" s="90"/>
      <c r="C865" s="400"/>
      <c r="D865" s="90"/>
      <c r="E865" s="102"/>
      <c r="F865" s="90"/>
      <c r="G865" s="90"/>
      <c r="H865" s="102"/>
      <c r="I865" s="102"/>
      <c r="J865" s="102"/>
      <c r="K865" s="102"/>
      <c r="L865" s="102"/>
      <c r="M865" s="102"/>
      <c r="N865" s="102"/>
      <c r="O865" s="102"/>
      <c r="P865" s="102"/>
      <c r="Q865" s="102"/>
      <c r="R865" s="102"/>
      <c r="S865" s="102"/>
      <c r="T865" s="102"/>
      <c r="U865" s="102"/>
      <c r="V865" s="102"/>
      <c r="W865" s="102"/>
      <c r="X865" s="102"/>
      <c r="Y865" s="102"/>
      <c r="Z865" s="102"/>
      <c r="AA865" s="102"/>
      <c r="AB865" s="102"/>
      <c r="AC865" s="102"/>
      <c r="AD865" s="102"/>
      <c r="AE865" s="102"/>
      <c r="AF865" s="102"/>
      <c r="AG865" s="102"/>
      <c r="AH865" s="102"/>
      <c r="AI865" s="102"/>
      <c r="AJ865" s="102"/>
      <c r="AK865" s="102"/>
      <c r="AL865" s="102"/>
      <c r="AM865" s="102"/>
      <c r="AN865" s="102"/>
      <c r="AO865" s="400"/>
      <c r="AP865" s="90"/>
      <c r="AQ865" s="90"/>
      <c r="AR865" s="90"/>
      <c r="AS865" s="90"/>
      <c r="AT865" s="90"/>
      <c r="AU865" s="90"/>
      <c r="AV865" s="90"/>
      <c r="AW865" s="90"/>
      <c r="AX865" s="90"/>
      <c r="AY865" s="90"/>
      <c r="AZ865" s="90"/>
      <c r="BA865" s="90"/>
      <c r="BB865" s="90"/>
      <c r="BC865" s="90"/>
      <c r="BD865" s="90"/>
      <c r="BE865" s="90"/>
      <c r="BF865" s="90"/>
      <c r="BG865" s="90"/>
      <c r="BH865" s="90"/>
      <c r="BI865" s="90"/>
    </row>
    <row r="866" ht="12.75" customHeight="1">
      <c r="A866" s="90"/>
      <c r="B866" s="90"/>
      <c r="C866" s="400"/>
      <c r="D866" s="90"/>
      <c r="E866" s="102"/>
      <c r="F866" s="90"/>
      <c r="G866" s="90"/>
      <c r="H866" s="102"/>
      <c r="I866" s="102"/>
      <c r="J866" s="102"/>
      <c r="K866" s="102"/>
      <c r="L866" s="102"/>
      <c r="M866" s="102"/>
      <c r="N866" s="102"/>
      <c r="O866" s="102"/>
      <c r="P866" s="102"/>
      <c r="Q866" s="102"/>
      <c r="R866" s="102"/>
      <c r="S866" s="102"/>
      <c r="T866" s="102"/>
      <c r="U866" s="102"/>
      <c r="V866" s="102"/>
      <c r="W866" s="102"/>
      <c r="X866" s="102"/>
      <c r="Y866" s="102"/>
      <c r="Z866" s="102"/>
      <c r="AA866" s="102"/>
      <c r="AB866" s="102"/>
      <c r="AC866" s="102"/>
      <c r="AD866" s="102"/>
      <c r="AE866" s="102"/>
      <c r="AF866" s="102"/>
      <c r="AG866" s="102"/>
      <c r="AH866" s="102"/>
      <c r="AI866" s="102"/>
      <c r="AJ866" s="102"/>
      <c r="AK866" s="102"/>
      <c r="AL866" s="102"/>
      <c r="AM866" s="102"/>
      <c r="AN866" s="102"/>
      <c r="AO866" s="400"/>
      <c r="AP866" s="90"/>
      <c r="AQ866" s="90"/>
      <c r="AR866" s="90"/>
      <c r="AS866" s="90"/>
      <c r="AT866" s="90"/>
      <c r="AU866" s="90"/>
      <c r="AV866" s="90"/>
      <c r="AW866" s="90"/>
      <c r="AX866" s="90"/>
      <c r="AY866" s="90"/>
      <c r="AZ866" s="90"/>
      <c r="BA866" s="90"/>
      <c r="BB866" s="90"/>
      <c r="BC866" s="90"/>
      <c r="BD866" s="90"/>
      <c r="BE866" s="90"/>
      <c r="BF866" s="90"/>
      <c r="BG866" s="90"/>
      <c r="BH866" s="90"/>
      <c r="BI866" s="90"/>
    </row>
    <row r="867" ht="12.75" customHeight="1">
      <c r="A867" s="90"/>
      <c r="B867" s="90"/>
      <c r="C867" s="400"/>
      <c r="D867" s="90"/>
      <c r="E867" s="102"/>
      <c r="F867" s="90"/>
      <c r="G867" s="90"/>
      <c r="H867" s="102"/>
      <c r="I867" s="102"/>
      <c r="J867" s="102"/>
      <c r="K867" s="102"/>
      <c r="L867" s="102"/>
      <c r="M867" s="102"/>
      <c r="N867" s="102"/>
      <c r="O867" s="102"/>
      <c r="P867" s="102"/>
      <c r="Q867" s="102"/>
      <c r="R867" s="102"/>
      <c r="S867" s="102"/>
      <c r="T867" s="102"/>
      <c r="U867" s="102"/>
      <c r="V867" s="102"/>
      <c r="W867" s="102"/>
      <c r="X867" s="102"/>
      <c r="Y867" s="102"/>
      <c r="Z867" s="102"/>
      <c r="AA867" s="102"/>
      <c r="AB867" s="102"/>
      <c r="AC867" s="102"/>
      <c r="AD867" s="102"/>
      <c r="AE867" s="102"/>
      <c r="AF867" s="102"/>
      <c r="AG867" s="102"/>
      <c r="AH867" s="102"/>
      <c r="AI867" s="102"/>
      <c r="AJ867" s="102"/>
      <c r="AK867" s="102"/>
      <c r="AL867" s="102"/>
      <c r="AM867" s="102"/>
      <c r="AN867" s="102"/>
      <c r="AO867" s="400"/>
      <c r="AP867" s="90"/>
      <c r="AQ867" s="90"/>
      <c r="AR867" s="90"/>
      <c r="AS867" s="90"/>
      <c r="AT867" s="90"/>
      <c r="AU867" s="90"/>
      <c r="AV867" s="90"/>
      <c r="AW867" s="90"/>
      <c r="AX867" s="90"/>
      <c r="AY867" s="90"/>
      <c r="AZ867" s="90"/>
      <c r="BA867" s="90"/>
      <c r="BB867" s="90"/>
      <c r="BC867" s="90"/>
      <c r="BD867" s="90"/>
      <c r="BE867" s="90"/>
      <c r="BF867" s="90"/>
      <c r="BG867" s="90"/>
      <c r="BH867" s="90"/>
      <c r="BI867" s="90"/>
    </row>
    <row r="868" ht="12.75" customHeight="1">
      <c r="A868" s="90"/>
      <c r="B868" s="90"/>
      <c r="C868" s="400"/>
      <c r="D868" s="90"/>
      <c r="E868" s="102"/>
      <c r="F868" s="90"/>
      <c r="G868" s="90"/>
      <c r="H868" s="102"/>
      <c r="I868" s="102"/>
      <c r="J868" s="102"/>
      <c r="K868" s="102"/>
      <c r="L868" s="102"/>
      <c r="M868" s="102"/>
      <c r="N868" s="102"/>
      <c r="O868" s="102"/>
      <c r="P868" s="102"/>
      <c r="Q868" s="102"/>
      <c r="R868" s="102"/>
      <c r="S868" s="102"/>
      <c r="T868" s="102"/>
      <c r="U868" s="102"/>
      <c r="V868" s="102"/>
      <c r="W868" s="102"/>
      <c r="X868" s="102"/>
      <c r="Y868" s="102"/>
      <c r="Z868" s="102"/>
      <c r="AA868" s="102"/>
      <c r="AB868" s="102"/>
      <c r="AC868" s="102"/>
      <c r="AD868" s="102"/>
      <c r="AE868" s="102"/>
      <c r="AF868" s="102"/>
      <c r="AG868" s="102"/>
      <c r="AH868" s="102"/>
      <c r="AI868" s="102"/>
      <c r="AJ868" s="102"/>
      <c r="AK868" s="102"/>
      <c r="AL868" s="102"/>
      <c r="AM868" s="102"/>
      <c r="AN868" s="102"/>
      <c r="AO868" s="400"/>
      <c r="AP868" s="90"/>
      <c r="AQ868" s="90"/>
      <c r="AR868" s="90"/>
      <c r="AS868" s="90"/>
      <c r="AT868" s="90"/>
      <c r="AU868" s="90"/>
      <c r="AV868" s="90"/>
      <c r="AW868" s="90"/>
      <c r="AX868" s="90"/>
      <c r="AY868" s="90"/>
      <c r="AZ868" s="90"/>
      <c r="BA868" s="90"/>
      <c r="BB868" s="90"/>
      <c r="BC868" s="90"/>
      <c r="BD868" s="90"/>
      <c r="BE868" s="90"/>
      <c r="BF868" s="90"/>
      <c r="BG868" s="90"/>
      <c r="BH868" s="90"/>
      <c r="BI868" s="90"/>
    </row>
    <row r="869" ht="12.75" customHeight="1">
      <c r="A869" s="90"/>
      <c r="B869" s="90"/>
      <c r="C869" s="400"/>
      <c r="D869" s="90"/>
      <c r="E869" s="102"/>
      <c r="F869" s="90"/>
      <c r="G869" s="90"/>
      <c r="H869" s="102"/>
      <c r="I869" s="102"/>
      <c r="J869" s="102"/>
      <c r="K869" s="102"/>
      <c r="L869" s="102"/>
      <c r="M869" s="102"/>
      <c r="N869" s="102"/>
      <c r="O869" s="102"/>
      <c r="P869" s="102"/>
      <c r="Q869" s="102"/>
      <c r="R869" s="102"/>
      <c r="S869" s="102"/>
      <c r="T869" s="102"/>
      <c r="U869" s="102"/>
      <c r="V869" s="102"/>
      <c r="W869" s="102"/>
      <c r="X869" s="102"/>
      <c r="Y869" s="102"/>
      <c r="Z869" s="102"/>
      <c r="AA869" s="102"/>
      <c r="AB869" s="102"/>
      <c r="AC869" s="102"/>
      <c r="AD869" s="102"/>
      <c r="AE869" s="102"/>
      <c r="AF869" s="102"/>
      <c r="AG869" s="102"/>
      <c r="AH869" s="102"/>
      <c r="AI869" s="102"/>
      <c r="AJ869" s="102"/>
      <c r="AK869" s="102"/>
      <c r="AL869" s="102"/>
      <c r="AM869" s="102"/>
      <c r="AN869" s="102"/>
      <c r="AO869" s="400"/>
      <c r="AP869" s="90"/>
      <c r="AQ869" s="90"/>
      <c r="AR869" s="90"/>
      <c r="AS869" s="90"/>
      <c r="AT869" s="90"/>
      <c r="AU869" s="90"/>
      <c r="AV869" s="90"/>
      <c r="AW869" s="90"/>
      <c r="AX869" s="90"/>
      <c r="AY869" s="90"/>
      <c r="AZ869" s="90"/>
      <c r="BA869" s="90"/>
      <c r="BB869" s="90"/>
      <c r="BC869" s="90"/>
      <c r="BD869" s="90"/>
      <c r="BE869" s="90"/>
      <c r="BF869" s="90"/>
      <c r="BG869" s="90"/>
      <c r="BH869" s="90"/>
      <c r="BI869" s="90"/>
    </row>
    <row r="870" ht="12.75" customHeight="1">
      <c r="A870" s="90"/>
      <c r="B870" s="90"/>
      <c r="C870" s="400"/>
      <c r="D870" s="90"/>
      <c r="E870" s="102"/>
      <c r="F870" s="90"/>
      <c r="G870" s="90"/>
      <c r="H870" s="102"/>
      <c r="I870" s="102"/>
      <c r="J870" s="102"/>
      <c r="K870" s="102"/>
      <c r="L870" s="102"/>
      <c r="M870" s="102"/>
      <c r="N870" s="102"/>
      <c r="O870" s="102"/>
      <c r="P870" s="102"/>
      <c r="Q870" s="102"/>
      <c r="R870" s="102"/>
      <c r="S870" s="102"/>
      <c r="T870" s="102"/>
      <c r="U870" s="102"/>
      <c r="V870" s="102"/>
      <c r="W870" s="102"/>
      <c r="X870" s="102"/>
      <c r="Y870" s="102"/>
      <c r="Z870" s="102"/>
      <c r="AA870" s="102"/>
      <c r="AB870" s="102"/>
      <c r="AC870" s="102"/>
      <c r="AD870" s="102"/>
      <c r="AE870" s="102"/>
      <c r="AF870" s="102"/>
      <c r="AG870" s="102"/>
      <c r="AH870" s="102"/>
      <c r="AI870" s="102"/>
      <c r="AJ870" s="102"/>
      <c r="AK870" s="102"/>
      <c r="AL870" s="102"/>
      <c r="AM870" s="102"/>
      <c r="AN870" s="102"/>
      <c r="AO870" s="400"/>
      <c r="AP870" s="90"/>
      <c r="AQ870" s="90"/>
      <c r="AR870" s="90"/>
      <c r="AS870" s="90"/>
      <c r="AT870" s="90"/>
      <c r="AU870" s="90"/>
      <c r="AV870" s="90"/>
      <c r="AW870" s="90"/>
      <c r="AX870" s="90"/>
      <c r="AY870" s="90"/>
      <c r="AZ870" s="90"/>
      <c r="BA870" s="90"/>
      <c r="BB870" s="90"/>
      <c r="BC870" s="90"/>
      <c r="BD870" s="90"/>
      <c r="BE870" s="90"/>
      <c r="BF870" s="90"/>
      <c r="BG870" s="90"/>
      <c r="BH870" s="90"/>
      <c r="BI870" s="90"/>
    </row>
    <row r="871" ht="12.75" customHeight="1">
      <c r="A871" s="90"/>
      <c r="B871" s="90"/>
      <c r="C871" s="400"/>
      <c r="D871" s="90"/>
      <c r="E871" s="102"/>
      <c r="F871" s="90"/>
      <c r="G871" s="90"/>
      <c r="H871" s="102"/>
      <c r="I871" s="102"/>
      <c r="J871" s="102"/>
      <c r="K871" s="102"/>
      <c r="L871" s="102"/>
      <c r="M871" s="102"/>
      <c r="N871" s="102"/>
      <c r="O871" s="102"/>
      <c r="P871" s="102"/>
      <c r="Q871" s="102"/>
      <c r="R871" s="102"/>
      <c r="S871" s="102"/>
      <c r="T871" s="102"/>
      <c r="U871" s="102"/>
      <c r="V871" s="102"/>
      <c r="W871" s="102"/>
      <c r="X871" s="102"/>
      <c r="Y871" s="102"/>
      <c r="Z871" s="102"/>
      <c r="AA871" s="102"/>
      <c r="AB871" s="102"/>
      <c r="AC871" s="102"/>
      <c r="AD871" s="102"/>
      <c r="AE871" s="102"/>
      <c r="AF871" s="102"/>
      <c r="AG871" s="102"/>
      <c r="AH871" s="102"/>
      <c r="AI871" s="102"/>
      <c r="AJ871" s="102"/>
      <c r="AK871" s="102"/>
      <c r="AL871" s="102"/>
      <c r="AM871" s="102"/>
      <c r="AN871" s="102"/>
      <c r="AO871" s="400"/>
      <c r="AP871" s="90"/>
      <c r="AQ871" s="90"/>
      <c r="AR871" s="90"/>
      <c r="AS871" s="90"/>
      <c r="AT871" s="90"/>
      <c r="AU871" s="90"/>
      <c r="AV871" s="90"/>
      <c r="AW871" s="90"/>
      <c r="AX871" s="90"/>
      <c r="AY871" s="90"/>
      <c r="AZ871" s="90"/>
      <c r="BA871" s="90"/>
      <c r="BB871" s="90"/>
      <c r="BC871" s="90"/>
      <c r="BD871" s="90"/>
      <c r="BE871" s="90"/>
      <c r="BF871" s="90"/>
      <c r="BG871" s="90"/>
      <c r="BH871" s="90"/>
      <c r="BI871" s="90"/>
    </row>
    <row r="872" ht="12.75" customHeight="1">
      <c r="A872" s="90"/>
      <c r="B872" s="90"/>
      <c r="C872" s="400"/>
      <c r="D872" s="90"/>
      <c r="E872" s="102"/>
      <c r="F872" s="90"/>
      <c r="G872" s="90"/>
      <c r="H872" s="102"/>
      <c r="I872" s="102"/>
      <c r="J872" s="102"/>
      <c r="K872" s="102"/>
      <c r="L872" s="102"/>
      <c r="M872" s="102"/>
      <c r="N872" s="102"/>
      <c r="O872" s="102"/>
      <c r="P872" s="102"/>
      <c r="Q872" s="102"/>
      <c r="R872" s="102"/>
      <c r="S872" s="102"/>
      <c r="T872" s="102"/>
      <c r="U872" s="102"/>
      <c r="V872" s="102"/>
      <c r="W872" s="102"/>
      <c r="X872" s="102"/>
      <c r="Y872" s="102"/>
      <c r="Z872" s="102"/>
      <c r="AA872" s="102"/>
      <c r="AB872" s="102"/>
      <c r="AC872" s="102"/>
      <c r="AD872" s="102"/>
      <c r="AE872" s="102"/>
      <c r="AF872" s="102"/>
      <c r="AG872" s="102"/>
      <c r="AH872" s="102"/>
      <c r="AI872" s="102"/>
      <c r="AJ872" s="102"/>
      <c r="AK872" s="102"/>
      <c r="AL872" s="102"/>
      <c r="AM872" s="102"/>
      <c r="AN872" s="102"/>
      <c r="AO872" s="400"/>
      <c r="AP872" s="90"/>
      <c r="AQ872" s="90"/>
      <c r="AR872" s="90"/>
      <c r="AS872" s="90"/>
      <c r="AT872" s="90"/>
      <c r="AU872" s="90"/>
      <c r="AV872" s="90"/>
      <c r="AW872" s="90"/>
      <c r="AX872" s="90"/>
      <c r="AY872" s="90"/>
      <c r="AZ872" s="90"/>
      <c r="BA872" s="90"/>
      <c r="BB872" s="90"/>
      <c r="BC872" s="90"/>
      <c r="BD872" s="90"/>
      <c r="BE872" s="90"/>
      <c r="BF872" s="90"/>
      <c r="BG872" s="90"/>
      <c r="BH872" s="90"/>
      <c r="BI872" s="90"/>
    </row>
    <row r="873" ht="12.75" customHeight="1">
      <c r="A873" s="90"/>
      <c r="B873" s="90"/>
      <c r="C873" s="400"/>
      <c r="D873" s="90"/>
      <c r="E873" s="102"/>
      <c r="F873" s="90"/>
      <c r="G873" s="90"/>
      <c r="H873" s="102"/>
      <c r="I873" s="102"/>
      <c r="J873" s="102"/>
      <c r="K873" s="102"/>
      <c r="L873" s="102"/>
      <c r="M873" s="102"/>
      <c r="N873" s="102"/>
      <c r="O873" s="102"/>
      <c r="P873" s="102"/>
      <c r="Q873" s="102"/>
      <c r="R873" s="102"/>
      <c r="S873" s="102"/>
      <c r="T873" s="102"/>
      <c r="U873" s="102"/>
      <c r="V873" s="102"/>
      <c r="W873" s="102"/>
      <c r="X873" s="102"/>
      <c r="Y873" s="102"/>
      <c r="Z873" s="102"/>
      <c r="AA873" s="102"/>
      <c r="AB873" s="102"/>
      <c r="AC873" s="102"/>
      <c r="AD873" s="102"/>
      <c r="AE873" s="102"/>
      <c r="AF873" s="102"/>
      <c r="AG873" s="102"/>
      <c r="AH873" s="102"/>
      <c r="AI873" s="102"/>
      <c r="AJ873" s="102"/>
      <c r="AK873" s="102"/>
      <c r="AL873" s="102"/>
      <c r="AM873" s="102"/>
      <c r="AN873" s="102"/>
      <c r="AO873" s="400"/>
      <c r="AP873" s="90"/>
      <c r="AQ873" s="90"/>
      <c r="AR873" s="90"/>
      <c r="AS873" s="90"/>
      <c r="AT873" s="90"/>
      <c r="AU873" s="90"/>
      <c r="AV873" s="90"/>
      <c r="AW873" s="90"/>
      <c r="AX873" s="90"/>
      <c r="AY873" s="90"/>
      <c r="AZ873" s="90"/>
      <c r="BA873" s="90"/>
      <c r="BB873" s="90"/>
      <c r="BC873" s="90"/>
      <c r="BD873" s="90"/>
      <c r="BE873" s="90"/>
      <c r="BF873" s="90"/>
      <c r="BG873" s="90"/>
      <c r="BH873" s="90"/>
      <c r="BI873" s="90"/>
    </row>
    <row r="874" ht="12.75" customHeight="1">
      <c r="A874" s="90"/>
      <c r="B874" s="90"/>
      <c r="C874" s="400"/>
      <c r="D874" s="90"/>
      <c r="E874" s="102"/>
      <c r="F874" s="90"/>
      <c r="G874" s="90"/>
      <c r="H874" s="102"/>
      <c r="I874" s="102"/>
      <c r="J874" s="102"/>
      <c r="K874" s="102"/>
      <c r="L874" s="102"/>
      <c r="M874" s="102"/>
      <c r="N874" s="102"/>
      <c r="O874" s="102"/>
      <c r="P874" s="102"/>
      <c r="Q874" s="102"/>
      <c r="R874" s="102"/>
      <c r="S874" s="102"/>
      <c r="T874" s="102"/>
      <c r="U874" s="102"/>
      <c r="V874" s="102"/>
      <c r="W874" s="102"/>
      <c r="X874" s="102"/>
      <c r="Y874" s="102"/>
      <c r="Z874" s="102"/>
      <c r="AA874" s="102"/>
      <c r="AB874" s="102"/>
      <c r="AC874" s="102"/>
      <c r="AD874" s="102"/>
      <c r="AE874" s="102"/>
      <c r="AF874" s="102"/>
      <c r="AG874" s="102"/>
      <c r="AH874" s="102"/>
      <c r="AI874" s="102"/>
      <c r="AJ874" s="102"/>
      <c r="AK874" s="102"/>
      <c r="AL874" s="102"/>
      <c r="AM874" s="102"/>
      <c r="AN874" s="102"/>
      <c r="AO874" s="400"/>
      <c r="AP874" s="90"/>
      <c r="AQ874" s="90"/>
      <c r="AR874" s="90"/>
      <c r="AS874" s="90"/>
      <c r="AT874" s="90"/>
      <c r="AU874" s="90"/>
      <c r="AV874" s="90"/>
      <c r="AW874" s="90"/>
      <c r="AX874" s="90"/>
      <c r="AY874" s="90"/>
      <c r="AZ874" s="90"/>
      <c r="BA874" s="90"/>
      <c r="BB874" s="90"/>
      <c r="BC874" s="90"/>
      <c r="BD874" s="90"/>
      <c r="BE874" s="90"/>
      <c r="BF874" s="90"/>
      <c r="BG874" s="90"/>
      <c r="BH874" s="90"/>
      <c r="BI874" s="90"/>
    </row>
    <row r="875" ht="12.75" customHeight="1">
      <c r="A875" s="90"/>
      <c r="B875" s="90"/>
      <c r="C875" s="400"/>
      <c r="D875" s="90"/>
      <c r="E875" s="102"/>
      <c r="F875" s="90"/>
      <c r="G875" s="90"/>
      <c r="H875" s="102"/>
      <c r="I875" s="102"/>
      <c r="J875" s="102"/>
      <c r="K875" s="102"/>
      <c r="L875" s="102"/>
      <c r="M875" s="102"/>
      <c r="N875" s="102"/>
      <c r="O875" s="102"/>
      <c r="P875" s="102"/>
      <c r="Q875" s="102"/>
      <c r="R875" s="102"/>
      <c r="S875" s="102"/>
      <c r="T875" s="102"/>
      <c r="U875" s="102"/>
      <c r="V875" s="102"/>
      <c r="W875" s="102"/>
      <c r="X875" s="102"/>
      <c r="Y875" s="102"/>
      <c r="Z875" s="102"/>
      <c r="AA875" s="102"/>
      <c r="AB875" s="102"/>
      <c r="AC875" s="102"/>
      <c r="AD875" s="102"/>
      <c r="AE875" s="102"/>
      <c r="AF875" s="102"/>
      <c r="AG875" s="102"/>
      <c r="AH875" s="102"/>
      <c r="AI875" s="102"/>
      <c r="AJ875" s="102"/>
      <c r="AK875" s="102"/>
      <c r="AL875" s="102"/>
      <c r="AM875" s="102"/>
      <c r="AN875" s="102"/>
      <c r="AO875" s="400"/>
      <c r="AP875" s="90"/>
      <c r="AQ875" s="90"/>
      <c r="AR875" s="90"/>
      <c r="AS875" s="90"/>
      <c r="AT875" s="90"/>
      <c r="AU875" s="90"/>
      <c r="AV875" s="90"/>
      <c r="AW875" s="90"/>
      <c r="AX875" s="90"/>
      <c r="AY875" s="90"/>
      <c r="AZ875" s="90"/>
      <c r="BA875" s="90"/>
      <c r="BB875" s="90"/>
      <c r="BC875" s="90"/>
      <c r="BD875" s="90"/>
      <c r="BE875" s="90"/>
      <c r="BF875" s="90"/>
      <c r="BG875" s="90"/>
      <c r="BH875" s="90"/>
      <c r="BI875" s="90"/>
    </row>
    <row r="876" ht="12.75" customHeight="1">
      <c r="A876" s="90"/>
      <c r="B876" s="90"/>
      <c r="C876" s="400"/>
      <c r="D876" s="90"/>
      <c r="E876" s="102"/>
      <c r="F876" s="90"/>
      <c r="G876" s="90"/>
      <c r="H876" s="102"/>
      <c r="I876" s="102"/>
      <c r="J876" s="102"/>
      <c r="K876" s="102"/>
      <c r="L876" s="102"/>
      <c r="M876" s="102"/>
      <c r="N876" s="102"/>
      <c r="O876" s="102"/>
      <c r="P876" s="102"/>
      <c r="Q876" s="102"/>
      <c r="R876" s="102"/>
      <c r="S876" s="102"/>
      <c r="T876" s="102"/>
      <c r="U876" s="102"/>
      <c r="V876" s="102"/>
      <c r="W876" s="102"/>
      <c r="X876" s="102"/>
      <c r="Y876" s="102"/>
      <c r="Z876" s="102"/>
      <c r="AA876" s="102"/>
      <c r="AB876" s="102"/>
      <c r="AC876" s="102"/>
      <c r="AD876" s="102"/>
      <c r="AE876" s="102"/>
      <c r="AF876" s="102"/>
      <c r="AG876" s="102"/>
      <c r="AH876" s="102"/>
      <c r="AI876" s="102"/>
      <c r="AJ876" s="102"/>
      <c r="AK876" s="102"/>
      <c r="AL876" s="102"/>
      <c r="AM876" s="102"/>
      <c r="AN876" s="102"/>
      <c r="AO876" s="400"/>
      <c r="AP876" s="90"/>
      <c r="AQ876" s="90"/>
      <c r="AR876" s="90"/>
      <c r="AS876" s="90"/>
      <c r="AT876" s="90"/>
      <c r="AU876" s="90"/>
      <c r="AV876" s="90"/>
      <c r="AW876" s="90"/>
      <c r="AX876" s="90"/>
      <c r="AY876" s="90"/>
      <c r="AZ876" s="90"/>
      <c r="BA876" s="90"/>
      <c r="BB876" s="90"/>
      <c r="BC876" s="90"/>
      <c r="BD876" s="90"/>
      <c r="BE876" s="90"/>
      <c r="BF876" s="90"/>
      <c r="BG876" s="90"/>
      <c r="BH876" s="90"/>
      <c r="BI876" s="90"/>
    </row>
    <row r="877" ht="12.75" customHeight="1">
      <c r="A877" s="90"/>
      <c r="B877" s="90"/>
      <c r="C877" s="400"/>
      <c r="D877" s="90"/>
      <c r="E877" s="102"/>
      <c r="F877" s="90"/>
      <c r="G877" s="90"/>
      <c r="H877" s="102"/>
      <c r="I877" s="102"/>
      <c r="J877" s="102"/>
      <c r="K877" s="102"/>
      <c r="L877" s="102"/>
      <c r="M877" s="102"/>
      <c r="N877" s="102"/>
      <c r="O877" s="102"/>
      <c r="P877" s="102"/>
      <c r="Q877" s="102"/>
      <c r="R877" s="102"/>
      <c r="S877" s="102"/>
      <c r="T877" s="102"/>
      <c r="U877" s="102"/>
      <c r="V877" s="102"/>
      <c r="W877" s="102"/>
      <c r="X877" s="102"/>
      <c r="Y877" s="102"/>
      <c r="Z877" s="102"/>
      <c r="AA877" s="102"/>
      <c r="AB877" s="102"/>
      <c r="AC877" s="102"/>
      <c r="AD877" s="102"/>
      <c r="AE877" s="102"/>
      <c r="AF877" s="102"/>
      <c r="AG877" s="102"/>
      <c r="AH877" s="102"/>
      <c r="AI877" s="102"/>
      <c r="AJ877" s="102"/>
      <c r="AK877" s="102"/>
      <c r="AL877" s="102"/>
      <c r="AM877" s="102"/>
      <c r="AN877" s="102"/>
      <c r="AO877" s="400"/>
      <c r="AP877" s="90"/>
      <c r="AQ877" s="90"/>
      <c r="AR877" s="90"/>
      <c r="AS877" s="90"/>
      <c r="AT877" s="90"/>
      <c r="AU877" s="90"/>
      <c r="AV877" s="90"/>
      <c r="AW877" s="90"/>
      <c r="AX877" s="90"/>
      <c r="AY877" s="90"/>
      <c r="AZ877" s="90"/>
      <c r="BA877" s="90"/>
      <c r="BB877" s="90"/>
      <c r="BC877" s="90"/>
      <c r="BD877" s="90"/>
      <c r="BE877" s="90"/>
      <c r="BF877" s="90"/>
      <c r="BG877" s="90"/>
      <c r="BH877" s="90"/>
      <c r="BI877" s="90"/>
    </row>
    <row r="878" ht="12.75" customHeight="1">
      <c r="A878" s="90"/>
      <c r="B878" s="90"/>
      <c r="C878" s="400"/>
      <c r="D878" s="90"/>
      <c r="E878" s="102"/>
      <c r="F878" s="90"/>
      <c r="G878" s="90"/>
      <c r="H878" s="102"/>
      <c r="I878" s="102"/>
      <c r="J878" s="102"/>
      <c r="K878" s="102"/>
      <c r="L878" s="102"/>
      <c r="M878" s="102"/>
      <c r="N878" s="102"/>
      <c r="O878" s="102"/>
      <c r="P878" s="102"/>
      <c r="Q878" s="102"/>
      <c r="R878" s="102"/>
      <c r="S878" s="102"/>
      <c r="T878" s="102"/>
      <c r="U878" s="102"/>
      <c r="V878" s="102"/>
      <c r="W878" s="102"/>
      <c r="X878" s="102"/>
      <c r="Y878" s="102"/>
      <c r="Z878" s="102"/>
      <c r="AA878" s="102"/>
      <c r="AB878" s="102"/>
      <c r="AC878" s="102"/>
      <c r="AD878" s="102"/>
      <c r="AE878" s="102"/>
      <c r="AF878" s="102"/>
      <c r="AG878" s="102"/>
      <c r="AH878" s="102"/>
      <c r="AI878" s="102"/>
      <c r="AJ878" s="102"/>
      <c r="AK878" s="102"/>
      <c r="AL878" s="102"/>
      <c r="AM878" s="102"/>
      <c r="AN878" s="102"/>
      <c r="AO878" s="400"/>
      <c r="AP878" s="90"/>
      <c r="AQ878" s="90"/>
      <c r="AR878" s="90"/>
      <c r="AS878" s="90"/>
      <c r="AT878" s="90"/>
      <c r="AU878" s="90"/>
      <c r="AV878" s="90"/>
      <c r="AW878" s="90"/>
      <c r="AX878" s="90"/>
      <c r="AY878" s="90"/>
      <c r="AZ878" s="90"/>
      <c r="BA878" s="90"/>
      <c r="BB878" s="90"/>
      <c r="BC878" s="90"/>
      <c r="BD878" s="90"/>
      <c r="BE878" s="90"/>
      <c r="BF878" s="90"/>
      <c r="BG878" s="90"/>
      <c r="BH878" s="90"/>
      <c r="BI878" s="90"/>
    </row>
    <row r="879" ht="12.75" customHeight="1">
      <c r="A879" s="90"/>
      <c r="B879" s="90"/>
      <c r="C879" s="400"/>
      <c r="D879" s="90"/>
      <c r="E879" s="102"/>
      <c r="F879" s="90"/>
      <c r="G879" s="90"/>
      <c r="H879" s="102"/>
      <c r="I879" s="102"/>
      <c r="J879" s="102"/>
      <c r="K879" s="102"/>
      <c r="L879" s="102"/>
      <c r="M879" s="102"/>
      <c r="N879" s="102"/>
      <c r="O879" s="102"/>
      <c r="P879" s="102"/>
      <c r="Q879" s="102"/>
      <c r="R879" s="102"/>
      <c r="S879" s="102"/>
      <c r="T879" s="102"/>
      <c r="U879" s="102"/>
      <c r="V879" s="102"/>
      <c r="W879" s="102"/>
      <c r="X879" s="102"/>
      <c r="Y879" s="102"/>
      <c r="Z879" s="102"/>
      <c r="AA879" s="102"/>
      <c r="AB879" s="102"/>
      <c r="AC879" s="102"/>
      <c r="AD879" s="102"/>
      <c r="AE879" s="102"/>
      <c r="AF879" s="102"/>
      <c r="AG879" s="102"/>
      <c r="AH879" s="102"/>
      <c r="AI879" s="102"/>
      <c r="AJ879" s="102"/>
      <c r="AK879" s="102"/>
      <c r="AL879" s="102"/>
      <c r="AM879" s="102"/>
      <c r="AN879" s="102"/>
      <c r="AO879" s="400"/>
      <c r="AP879" s="90"/>
      <c r="AQ879" s="90"/>
      <c r="AR879" s="90"/>
      <c r="AS879" s="90"/>
      <c r="AT879" s="90"/>
      <c r="AU879" s="90"/>
      <c r="AV879" s="90"/>
      <c r="AW879" s="90"/>
      <c r="AX879" s="90"/>
      <c r="AY879" s="90"/>
      <c r="AZ879" s="90"/>
      <c r="BA879" s="90"/>
      <c r="BB879" s="90"/>
      <c r="BC879" s="90"/>
      <c r="BD879" s="90"/>
      <c r="BE879" s="90"/>
      <c r="BF879" s="90"/>
      <c r="BG879" s="90"/>
      <c r="BH879" s="90"/>
      <c r="BI879" s="90"/>
    </row>
    <row r="880" ht="12.75" customHeight="1">
      <c r="A880" s="90"/>
      <c r="B880" s="90"/>
      <c r="C880" s="400"/>
      <c r="D880" s="90"/>
      <c r="E880" s="102"/>
      <c r="F880" s="90"/>
      <c r="G880" s="90"/>
      <c r="H880" s="102"/>
      <c r="I880" s="102"/>
      <c r="J880" s="102"/>
      <c r="K880" s="102"/>
      <c r="L880" s="102"/>
      <c r="M880" s="102"/>
      <c r="N880" s="102"/>
      <c r="O880" s="102"/>
      <c r="P880" s="102"/>
      <c r="Q880" s="102"/>
      <c r="R880" s="102"/>
      <c r="S880" s="102"/>
      <c r="T880" s="102"/>
      <c r="U880" s="102"/>
      <c r="V880" s="102"/>
      <c r="W880" s="102"/>
      <c r="X880" s="102"/>
      <c r="Y880" s="102"/>
      <c r="Z880" s="102"/>
      <c r="AA880" s="102"/>
      <c r="AB880" s="102"/>
      <c r="AC880" s="102"/>
      <c r="AD880" s="102"/>
      <c r="AE880" s="102"/>
      <c r="AF880" s="102"/>
      <c r="AG880" s="102"/>
      <c r="AH880" s="102"/>
      <c r="AI880" s="102"/>
      <c r="AJ880" s="102"/>
      <c r="AK880" s="102"/>
      <c r="AL880" s="102"/>
      <c r="AM880" s="102"/>
      <c r="AN880" s="102"/>
      <c r="AO880" s="400"/>
      <c r="AP880" s="90"/>
      <c r="AQ880" s="90"/>
      <c r="AR880" s="90"/>
      <c r="AS880" s="90"/>
      <c r="AT880" s="90"/>
      <c r="AU880" s="90"/>
      <c r="AV880" s="90"/>
      <c r="AW880" s="90"/>
      <c r="AX880" s="90"/>
      <c r="AY880" s="90"/>
      <c r="AZ880" s="90"/>
      <c r="BA880" s="90"/>
      <c r="BB880" s="90"/>
      <c r="BC880" s="90"/>
      <c r="BD880" s="90"/>
      <c r="BE880" s="90"/>
      <c r="BF880" s="90"/>
      <c r="BG880" s="90"/>
      <c r="BH880" s="90"/>
      <c r="BI880" s="90"/>
    </row>
    <row r="881" ht="12.75" customHeight="1">
      <c r="A881" s="90"/>
      <c r="B881" s="90"/>
      <c r="C881" s="400"/>
      <c r="D881" s="90"/>
      <c r="E881" s="102"/>
      <c r="F881" s="90"/>
      <c r="G881" s="90"/>
      <c r="H881" s="102"/>
      <c r="I881" s="102"/>
      <c r="J881" s="102"/>
      <c r="K881" s="102"/>
      <c r="L881" s="102"/>
      <c r="M881" s="102"/>
      <c r="N881" s="102"/>
      <c r="O881" s="102"/>
      <c r="P881" s="102"/>
      <c r="Q881" s="102"/>
      <c r="R881" s="102"/>
      <c r="S881" s="102"/>
      <c r="T881" s="102"/>
      <c r="U881" s="102"/>
      <c r="V881" s="102"/>
      <c r="W881" s="102"/>
      <c r="X881" s="102"/>
      <c r="Y881" s="102"/>
      <c r="Z881" s="102"/>
      <c r="AA881" s="102"/>
      <c r="AB881" s="102"/>
      <c r="AC881" s="102"/>
      <c r="AD881" s="102"/>
      <c r="AE881" s="102"/>
      <c r="AF881" s="102"/>
      <c r="AG881" s="102"/>
      <c r="AH881" s="102"/>
      <c r="AI881" s="102"/>
      <c r="AJ881" s="102"/>
      <c r="AK881" s="102"/>
      <c r="AL881" s="102"/>
      <c r="AM881" s="102"/>
      <c r="AN881" s="102"/>
      <c r="AO881" s="400"/>
      <c r="AP881" s="90"/>
      <c r="AQ881" s="90"/>
      <c r="AR881" s="90"/>
      <c r="AS881" s="90"/>
      <c r="AT881" s="90"/>
      <c r="AU881" s="90"/>
      <c r="AV881" s="90"/>
      <c r="AW881" s="90"/>
      <c r="AX881" s="90"/>
      <c r="AY881" s="90"/>
      <c r="AZ881" s="90"/>
      <c r="BA881" s="90"/>
      <c r="BB881" s="90"/>
      <c r="BC881" s="90"/>
      <c r="BD881" s="90"/>
      <c r="BE881" s="90"/>
      <c r="BF881" s="90"/>
      <c r="BG881" s="90"/>
      <c r="BH881" s="90"/>
      <c r="BI881" s="90"/>
    </row>
    <row r="882" ht="12.75" customHeight="1">
      <c r="A882" s="90"/>
      <c r="B882" s="90"/>
      <c r="C882" s="400"/>
      <c r="D882" s="90"/>
      <c r="E882" s="102"/>
      <c r="F882" s="90"/>
      <c r="G882" s="90"/>
      <c r="H882" s="102"/>
      <c r="I882" s="102"/>
      <c r="J882" s="102"/>
      <c r="K882" s="102"/>
      <c r="L882" s="102"/>
      <c r="M882" s="102"/>
      <c r="N882" s="102"/>
      <c r="O882" s="102"/>
      <c r="P882" s="102"/>
      <c r="Q882" s="102"/>
      <c r="R882" s="102"/>
      <c r="S882" s="102"/>
      <c r="T882" s="102"/>
      <c r="U882" s="102"/>
      <c r="V882" s="102"/>
      <c r="W882" s="102"/>
      <c r="X882" s="102"/>
      <c r="Y882" s="102"/>
      <c r="Z882" s="102"/>
      <c r="AA882" s="102"/>
      <c r="AB882" s="102"/>
      <c r="AC882" s="102"/>
      <c r="AD882" s="102"/>
      <c r="AE882" s="102"/>
      <c r="AF882" s="102"/>
      <c r="AG882" s="102"/>
      <c r="AH882" s="102"/>
      <c r="AI882" s="102"/>
      <c r="AJ882" s="102"/>
      <c r="AK882" s="102"/>
      <c r="AL882" s="102"/>
      <c r="AM882" s="102"/>
      <c r="AN882" s="102"/>
      <c r="AO882" s="400"/>
      <c r="AP882" s="90"/>
      <c r="AQ882" s="90"/>
      <c r="AR882" s="90"/>
      <c r="AS882" s="90"/>
      <c r="AT882" s="90"/>
      <c r="AU882" s="90"/>
      <c r="AV882" s="90"/>
      <c r="AW882" s="90"/>
      <c r="AX882" s="90"/>
      <c r="AY882" s="90"/>
      <c r="AZ882" s="90"/>
      <c r="BA882" s="90"/>
      <c r="BB882" s="90"/>
      <c r="BC882" s="90"/>
      <c r="BD882" s="90"/>
      <c r="BE882" s="90"/>
      <c r="BF882" s="90"/>
      <c r="BG882" s="90"/>
      <c r="BH882" s="90"/>
      <c r="BI882" s="90"/>
    </row>
    <row r="883" ht="12.75" customHeight="1">
      <c r="A883" s="90"/>
      <c r="B883" s="90"/>
      <c r="C883" s="400"/>
      <c r="D883" s="90"/>
      <c r="E883" s="102"/>
      <c r="F883" s="90"/>
      <c r="G883" s="90"/>
      <c r="H883" s="102"/>
      <c r="I883" s="102"/>
      <c r="J883" s="102"/>
      <c r="K883" s="102"/>
      <c r="L883" s="102"/>
      <c r="M883" s="102"/>
      <c r="N883" s="102"/>
      <c r="O883" s="102"/>
      <c r="P883" s="102"/>
      <c r="Q883" s="102"/>
      <c r="R883" s="102"/>
      <c r="S883" s="102"/>
      <c r="T883" s="102"/>
      <c r="U883" s="102"/>
      <c r="V883" s="102"/>
      <c r="W883" s="102"/>
      <c r="X883" s="102"/>
      <c r="Y883" s="102"/>
      <c r="Z883" s="102"/>
      <c r="AA883" s="102"/>
      <c r="AB883" s="102"/>
      <c r="AC883" s="102"/>
      <c r="AD883" s="102"/>
      <c r="AE883" s="102"/>
      <c r="AF883" s="102"/>
      <c r="AG883" s="102"/>
      <c r="AH883" s="102"/>
      <c r="AI883" s="102"/>
      <c r="AJ883" s="102"/>
      <c r="AK883" s="102"/>
      <c r="AL883" s="102"/>
      <c r="AM883" s="102"/>
      <c r="AN883" s="102"/>
      <c r="AO883" s="400"/>
      <c r="AP883" s="90"/>
      <c r="AQ883" s="90"/>
      <c r="AR883" s="90"/>
      <c r="AS883" s="90"/>
      <c r="AT883" s="90"/>
      <c r="AU883" s="90"/>
      <c r="AV883" s="90"/>
      <c r="AW883" s="90"/>
      <c r="AX883" s="90"/>
      <c r="AY883" s="90"/>
      <c r="AZ883" s="90"/>
      <c r="BA883" s="90"/>
      <c r="BB883" s="90"/>
      <c r="BC883" s="90"/>
      <c r="BD883" s="90"/>
      <c r="BE883" s="90"/>
      <c r="BF883" s="90"/>
      <c r="BG883" s="90"/>
      <c r="BH883" s="90"/>
      <c r="BI883" s="90"/>
    </row>
    <row r="884" ht="12.75" customHeight="1">
      <c r="A884" s="90"/>
      <c r="B884" s="90"/>
      <c r="C884" s="400"/>
      <c r="D884" s="90"/>
      <c r="E884" s="102"/>
      <c r="F884" s="90"/>
      <c r="G884" s="90"/>
      <c r="H884" s="102"/>
      <c r="I884" s="102"/>
      <c r="J884" s="102"/>
      <c r="K884" s="102"/>
      <c r="L884" s="102"/>
      <c r="M884" s="102"/>
      <c r="N884" s="102"/>
      <c r="O884" s="102"/>
      <c r="P884" s="102"/>
      <c r="Q884" s="102"/>
      <c r="R884" s="102"/>
      <c r="S884" s="102"/>
      <c r="T884" s="102"/>
      <c r="U884" s="102"/>
      <c r="V884" s="102"/>
      <c r="W884" s="102"/>
      <c r="X884" s="102"/>
      <c r="Y884" s="102"/>
      <c r="Z884" s="102"/>
      <c r="AA884" s="102"/>
      <c r="AB884" s="102"/>
      <c r="AC884" s="102"/>
      <c r="AD884" s="102"/>
      <c r="AE884" s="102"/>
      <c r="AF884" s="102"/>
      <c r="AG884" s="102"/>
      <c r="AH884" s="102"/>
      <c r="AI884" s="102"/>
      <c r="AJ884" s="102"/>
      <c r="AK884" s="102"/>
      <c r="AL884" s="102"/>
      <c r="AM884" s="102"/>
      <c r="AN884" s="102"/>
      <c r="AO884" s="400"/>
      <c r="AP884" s="90"/>
      <c r="AQ884" s="90"/>
      <c r="AR884" s="90"/>
      <c r="AS884" s="90"/>
      <c r="AT884" s="90"/>
      <c r="AU884" s="90"/>
      <c r="AV884" s="90"/>
      <c r="AW884" s="90"/>
      <c r="AX884" s="90"/>
      <c r="AY884" s="90"/>
      <c r="AZ884" s="90"/>
      <c r="BA884" s="90"/>
      <c r="BB884" s="90"/>
      <c r="BC884" s="90"/>
      <c r="BD884" s="90"/>
      <c r="BE884" s="90"/>
      <c r="BF884" s="90"/>
      <c r="BG884" s="90"/>
      <c r="BH884" s="90"/>
      <c r="BI884" s="90"/>
    </row>
    <row r="885" ht="12.75" customHeight="1">
      <c r="A885" s="90"/>
      <c r="B885" s="90"/>
      <c r="C885" s="400"/>
      <c r="D885" s="90"/>
      <c r="E885" s="102"/>
      <c r="F885" s="90"/>
      <c r="G885" s="90"/>
      <c r="H885" s="102"/>
      <c r="I885" s="102"/>
      <c r="J885" s="102"/>
      <c r="K885" s="102"/>
      <c r="L885" s="102"/>
      <c r="M885" s="102"/>
      <c r="N885" s="102"/>
      <c r="O885" s="102"/>
      <c r="P885" s="102"/>
      <c r="Q885" s="102"/>
      <c r="R885" s="102"/>
      <c r="S885" s="102"/>
      <c r="T885" s="102"/>
      <c r="U885" s="102"/>
      <c r="V885" s="102"/>
      <c r="W885" s="102"/>
      <c r="X885" s="102"/>
      <c r="Y885" s="102"/>
      <c r="Z885" s="102"/>
      <c r="AA885" s="102"/>
      <c r="AB885" s="102"/>
      <c r="AC885" s="102"/>
      <c r="AD885" s="102"/>
      <c r="AE885" s="102"/>
      <c r="AF885" s="102"/>
      <c r="AG885" s="102"/>
      <c r="AH885" s="102"/>
      <c r="AI885" s="102"/>
      <c r="AJ885" s="102"/>
      <c r="AK885" s="102"/>
      <c r="AL885" s="102"/>
      <c r="AM885" s="102"/>
      <c r="AN885" s="102"/>
      <c r="AO885" s="400"/>
      <c r="AP885" s="90"/>
      <c r="AQ885" s="90"/>
      <c r="AR885" s="90"/>
      <c r="AS885" s="90"/>
      <c r="AT885" s="90"/>
      <c r="AU885" s="90"/>
      <c r="AV885" s="90"/>
      <c r="AW885" s="90"/>
      <c r="AX885" s="90"/>
      <c r="AY885" s="90"/>
      <c r="AZ885" s="90"/>
      <c r="BA885" s="90"/>
      <c r="BB885" s="90"/>
      <c r="BC885" s="90"/>
      <c r="BD885" s="90"/>
      <c r="BE885" s="90"/>
      <c r="BF885" s="90"/>
      <c r="BG885" s="90"/>
      <c r="BH885" s="90"/>
      <c r="BI885" s="90"/>
    </row>
    <row r="886" ht="12.75" customHeight="1">
      <c r="A886" s="90"/>
      <c r="B886" s="90"/>
      <c r="C886" s="400"/>
      <c r="D886" s="90"/>
      <c r="E886" s="102"/>
      <c r="F886" s="90"/>
      <c r="G886" s="90"/>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c r="AG886" s="102"/>
      <c r="AH886" s="102"/>
      <c r="AI886" s="102"/>
      <c r="AJ886" s="102"/>
      <c r="AK886" s="102"/>
      <c r="AL886" s="102"/>
      <c r="AM886" s="102"/>
      <c r="AN886" s="102"/>
      <c r="AO886" s="400"/>
      <c r="AP886" s="90"/>
      <c r="AQ886" s="90"/>
      <c r="AR886" s="90"/>
      <c r="AS886" s="90"/>
      <c r="AT886" s="90"/>
      <c r="AU886" s="90"/>
      <c r="AV886" s="90"/>
      <c r="AW886" s="90"/>
      <c r="AX886" s="90"/>
      <c r="AY886" s="90"/>
      <c r="AZ886" s="90"/>
      <c r="BA886" s="90"/>
      <c r="BB886" s="90"/>
      <c r="BC886" s="90"/>
      <c r="BD886" s="90"/>
      <c r="BE886" s="90"/>
      <c r="BF886" s="90"/>
      <c r="BG886" s="90"/>
      <c r="BH886" s="90"/>
      <c r="BI886" s="90"/>
    </row>
    <row r="887" ht="12.75" customHeight="1">
      <c r="A887" s="90"/>
      <c r="B887" s="90"/>
      <c r="C887" s="400"/>
      <c r="D887" s="90"/>
      <c r="E887" s="102"/>
      <c r="F887" s="90"/>
      <c r="G887" s="90"/>
      <c r="H887" s="102"/>
      <c r="I887" s="102"/>
      <c r="J887" s="102"/>
      <c r="K887" s="102"/>
      <c r="L887" s="102"/>
      <c r="M887" s="102"/>
      <c r="N887" s="102"/>
      <c r="O887" s="102"/>
      <c r="P887" s="102"/>
      <c r="Q887" s="102"/>
      <c r="R887" s="102"/>
      <c r="S887" s="102"/>
      <c r="T887" s="102"/>
      <c r="U887" s="102"/>
      <c r="V887" s="102"/>
      <c r="W887" s="102"/>
      <c r="X887" s="102"/>
      <c r="Y887" s="102"/>
      <c r="Z887" s="102"/>
      <c r="AA887" s="102"/>
      <c r="AB887" s="102"/>
      <c r="AC887" s="102"/>
      <c r="AD887" s="102"/>
      <c r="AE887" s="102"/>
      <c r="AF887" s="102"/>
      <c r="AG887" s="102"/>
      <c r="AH887" s="102"/>
      <c r="AI887" s="102"/>
      <c r="AJ887" s="102"/>
      <c r="AK887" s="102"/>
      <c r="AL887" s="102"/>
      <c r="AM887" s="102"/>
      <c r="AN887" s="102"/>
      <c r="AO887" s="400"/>
      <c r="AP887" s="90"/>
      <c r="AQ887" s="90"/>
      <c r="AR887" s="90"/>
      <c r="AS887" s="90"/>
      <c r="AT887" s="90"/>
      <c r="AU887" s="90"/>
      <c r="AV887" s="90"/>
      <c r="AW887" s="90"/>
      <c r="AX887" s="90"/>
      <c r="AY887" s="90"/>
      <c r="AZ887" s="90"/>
      <c r="BA887" s="90"/>
      <c r="BB887" s="90"/>
      <c r="BC887" s="90"/>
      <c r="BD887" s="90"/>
      <c r="BE887" s="90"/>
      <c r="BF887" s="90"/>
      <c r="BG887" s="90"/>
      <c r="BH887" s="90"/>
      <c r="BI887" s="90"/>
    </row>
    <row r="888" ht="12.75" customHeight="1">
      <c r="A888" s="90"/>
      <c r="B888" s="90"/>
      <c r="C888" s="400"/>
      <c r="D888" s="90"/>
      <c r="E888" s="102"/>
      <c r="F888" s="90"/>
      <c r="G888" s="90"/>
      <c r="H888" s="102"/>
      <c r="I888" s="102"/>
      <c r="J888" s="102"/>
      <c r="K888" s="102"/>
      <c r="L888" s="102"/>
      <c r="M888" s="102"/>
      <c r="N888" s="102"/>
      <c r="O888" s="102"/>
      <c r="P888" s="102"/>
      <c r="Q888" s="102"/>
      <c r="R888" s="102"/>
      <c r="S888" s="102"/>
      <c r="T888" s="102"/>
      <c r="U888" s="102"/>
      <c r="V888" s="102"/>
      <c r="W888" s="102"/>
      <c r="X888" s="102"/>
      <c r="Y888" s="102"/>
      <c r="Z888" s="102"/>
      <c r="AA888" s="102"/>
      <c r="AB888" s="102"/>
      <c r="AC888" s="102"/>
      <c r="AD888" s="102"/>
      <c r="AE888" s="102"/>
      <c r="AF888" s="102"/>
      <c r="AG888" s="102"/>
      <c r="AH888" s="102"/>
      <c r="AI888" s="102"/>
      <c r="AJ888" s="102"/>
      <c r="AK888" s="102"/>
      <c r="AL888" s="102"/>
      <c r="AM888" s="102"/>
      <c r="AN888" s="102"/>
      <c r="AO888" s="400"/>
      <c r="AP888" s="90"/>
      <c r="AQ888" s="90"/>
      <c r="AR888" s="90"/>
      <c r="AS888" s="90"/>
      <c r="AT888" s="90"/>
      <c r="AU888" s="90"/>
      <c r="AV888" s="90"/>
      <c r="AW888" s="90"/>
      <c r="AX888" s="90"/>
      <c r="AY888" s="90"/>
      <c r="AZ888" s="90"/>
      <c r="BA888" s="90"/>
      <c r="BB888" s="90"/>
      <c r="BC888" s="90"/>
      <c r="BD888" s="90"/>
      <c r="BE888" s="90"/>
      <c r="BF888" s="90"/>
      <c r="BG888" s="90"/>
      <c r="BH888" s="90"/>
      <c r="BI888" s="90"/>
    </row>
    <row r="889" ht="12.75" customHeight="1">
      <c r="A889" s="90"/>
      <c r="B889" s="90"/>
      <c r="C889" s="400"/>
      <c r="D889" s="90"/>
      <c r="E889" s="102"/>
      <c r="F889" s="90"/>
      <c r="G889" s="90"/>
      <c r="H889" s="102"/>
      <c r="I889" s="102"/>
      <c r="J889" s="102"/>
      <c r="K889" s="102"/>
      <c r="L889" s="102"/>
      <c r="M889" s="102"/>
      <c r="N889" s="102"/>
      <c r="O889" s="102"/>
      <c r="P889" s="102"/>
      <c r="Q889" s="102"/>
      <c r="R889" s="102"/>
      <c r="S889" s="102"/>
      <c r="T889" s="102"/>
      <c r="U889" s="102"/>
      <c r="V889" s="102"/>
      <c r="W889" s="102"/>
      <c r="X889" s="102"/>
      <c r="Y889" s="102"/>
      <c r="Z889" s="102"/>
      <c r="AA889" s="102"/>
      <c r="AB889" s="102"/>
      <c r="AC889" s="102"/>
      <c r="AD889" s="102"/>
      <c r="AE889" s="102"/>
      <c r="AF889" s="102"/>
      <c r="AG889" s="102"/>
      <c r="AH889" s="102"/>
      <c r="AI889" s="102"/>
      <c r="AJ889" s="102"/>
      <c r="AK889" s="102"/>
      <c r="AL889" s="102"/>
      <c r="AM889" s="102"/>
      <c r="AN889" s="102"/>
      <c r="AO889" s="400"/>
      <c r="AP889" s="90"/>
      <c r="AQ889" s="90"/>
      <c r="AR889" s="90"/>
      <c r="AS889" s="90"/>
      <c r="AT889" s="90"/>
      <c r="AU889" s="90"/>
      <c r="AV889" s="90"/>
      <c r="AW889" s="90"/>
      <c r="AX889" s="90"/>
      <c r="AY889" s="90"/>
      <c r="AZ889" s="90"/>
      <c r="BA889" s="90"/>
      <c r="BB889" s="90"/>
      <c r="BC889" s="90"/>
      <c r="BD889" s="90"/>
      <c r="BE889" s="90"/>
      <c r="BF889" s="90"/>
      <c r="BG889" s="90"/>
      <c r="BH889" s="90"/>
      <c r="BI889" s="90"/>
    </row>
    <row r="890" ht="12.75" customHeight="1">
      <c r="A890" s="90"/>
      <c r="B890" s="90"/>
      <c r="C890" s="400"/>
      <c r="D890" s="90"/>
      <c r="E890" s="102"/>
      <c r="F890" s="90"/>
      <c r="G890" s="90"/>
      <c r="H890" s="102"/>
      <c r="I890" s="102"/>
      <c r="J890" s="102"/>
      <c r="K890" s="102"/>
      <c r="L890" s="102"/>
      <c r="M890" s="102"/>
      <c r="N890" s="102"/>
      <c r="O890" s="102"/>
      <c r="P890" s="102"/>
      <c r="Q890" s="102"/>
      <c r="R890" s="102"/>
      <c r="S890" s="102"/>
      <c r="T890" s="102"/>
      <c r="U890" s="102"/>
      <c r="V890" s="102"/>
      <c r="W890" s="102"/>
      <c r="X890" s="102"/>
      <c r="Y890" s="102"/>
      <c r="Z890" s="102"/>
      <c r="AA890" s="102"/>
      <c r="AB890" s="102"/>
      <c r="AC890" s="102"/>
      <c r="AD890" s="102"/>
      <c r="AE890" s="102"/>
      <c r="AF890" s="102"/>
      <c r="AG890" s="102"/>
      <c r="AH890" s="102"/>
      <c r="AI890" s="102"/>
      <c r="AJ890" s="102"/>
      <c r="AK890" s="102"/>
      <c r="AL890" s="102"/>
      <c r="AM890" s="102"/>
      <c r="AN890" s="102"/>
      <c r="AO890" s="400"/>
      <c r="AP890" s="90"/>
      <c r="AQ890" s="90"/>
      <c r="AR890" s="90"/>
      <c r="AS890" s="90"/>
      <c r="AT890" s="90"/>
      <c r="AU890" s="90"/>
      <c r="AV890" s="90"/>
      <c r="AW890" s="90"/>
      <c r="AX890" s="90"/>
      <c r="AY890" s="90"/>
      <c r="AZ890" s="90"/>
      <c r="BA890" s="90"/>
      <c r="BB890" s="90"/>
      <c r="BC890" s="90"/>
      <c r="BD890" s="90"/>
      <c r="BE890" s="90"/>
      <c r="BF890" s="90"/>
      <c r="BG890" s="90"/>
      <c r="BH890" s="90"/>
      <c r="BI890" s="90"/>
    </row>
    <row r="891" ht="12.75" customHeight="1">
      <c r="A891" s="90"/>
      <c r="B891" s="90"/>
      <c r="C891" s="400"/>
      <c r="D891" s="90"/>
      <c r="E891" s="102"/>
      <c r="F891" s="90"/>
      <c r="G891" s="90"/>
      <c r="H891" s="102"/>
      <c r="I891" s="102"/>
      <c r="J891" s="102"/>
      <c r="K891" s="102"/>
      <c r="L891" s="102"/>
      <c r="M891" s="102"/>
      <c r="N891" s="102"/>
      <c r="O891" s="102"/>
      <c r="P891" s="102"/>
      <c r="Q891" s="102"/>
      <c r="R891" s="102"/>
      <c r="S891" s="102"/>
      <c r="T891" s="102"/>
      <c r="U891" s="102"/>
      <c r="V891" s="102"/>
      <c r="W891" s="102"/>
      <c r="X891" s="102"/>
      <c r="Y891" s="102"/>
      <c r="Z891" s="102"/>
      <c r="AA891" s="102"/>
      <c r="AB891" s="102"/>
      <c r="AC891" s="102"/>
      <c r="AD891" s="102"/>
      <c r="AE891" s="102"/>
      <c r="AF891" s="102"/>
      <c r="AG891" s="102"/>
      <c r="AH891" s="102"/>
      <c r="AI891" s="102"/>
      <c r="AJ891" s="102"/>
      <c r="AK891" s="102"/>
      <c r="AL891" s="102"/>
      <c r="AM891" s="102"/>
      <c r="AN891" s="102"/>
      <c r="AO891" s="400"/>
      <c r="AP891" s="90"/>
      <c r="AQ891" s="90"/>
      <c r="AR891" s="90"/>
      <c r="AS891" s="90"/>
      <c r="AT891" s="90"/>
      <c r="AU891" s="90"/>
      <c r="AV891" s="90"/>
      <c r="AW891" s="90"/>
      <c r="AX891" s="90"/>
      <c r="AY891" s="90"/>
      <c r="AZ891" s="90"/>
      <c r="BA891" s="90"/>
      <c r="BB891" s="90"/>
      <c r="BC891" s="90"/>
      <c r="BD891" s="90"/>
      <c r="BE891" s="90"/>
      <c r="BF891" s="90"/>
      <c r="BG891" s="90"/>
      <c r="BH891" s="90"/>
      <c r="BI891" s="90"/>
    </row>
    <row r="892" ht="12.75" customHeight="1">
      <c r="A892" s="90"/>
      <c r="B892" s="90"/>
      <c r="C892" s="400"/>
      <c r="D892" s="90"/>
      <c r="E892" s="102"/>
      <c r="F892" s="90"/>
      <c r="G892" s="90"/>
      <c r="H892" s="102"/>
      <c r="I892" s="102"/>
      <c r="J892" s="102"/>
      <c r="K892" s="102"/>
      <c r="L892" s="102"/>
      <c r="M892" s="102"/>
      <c r="N892" s="102"/>
      <c r="O892" s="102"/>
      <c r="P892" s="102"/>
      <c r="Q892" s="102"/>
      <c r="R892" s="102"/>
      <c r="S892" s="102"/>
      <c r="T892" s="102"/>
      <c r="U892" s="102"/>
      <c r="V892" s="102"/>
      <c r="W892" s="102"/>
      <c r="X892" s="102"/>
      <c r="Y892" s="102"/>
      <c r="Z892" s="102"/>
      <c r="AA892" s="102"/>
      <c r="AB892" s="102"/>
      <c r="AC892" s="102"/>
      <c r="AD892" s="102"/>
      <c r="AE892" s="102"/>
      <c r="AF892" s="102"/>
      <c r="AG892" s="102"/>
      <c r="AH892" s="102"/>
      <c r="AI892" s="102"/>
      <c r="AJ892" s="102"/>
      <c r="AK892" s="102"/>
      <c r="AL892" s="102"/>
      <c r="AM892" s="102"/>
      <c r="AN892" s="102"/>
      <c r="AO892" s="400"/>
      <c r="AP892" s="90"/>
      <c r="AQ892" s="90"/>
      <c r="AR892" s="90"/>
      <c r="AS892" s="90"/>
      <c r="AT892" s="90"/>
      <c r="AU892" s="90"/>
      <c r="AV892" s="90"/>
      <c r="AW892" s="90"/>
      <c r="AX892" s="90"/>
      <c r="AY892" s="90"/>
      <c r="AZ892" s="90"/>
      <c r="BA892" s="90"/>
      <c r="BB892" s="90"/>
      <c r="BC892" s="90"/>
      <c r="BD892" s="90"/>
      <c r="BE892" s="90"/>
      <c r="BF892" s="90"/>
      <c r="BG892" s="90"/>
      <c r="BH892" s="90"/>
      <c r="BI892" s="90"/>
    </row>
    <row r="893" ht="12.75" customHeight="1">
      <c r="A893" s="90"/>
      <c r="B893" s="90"/>
      <c r="C893" s="400"/>
      <c r="D893" s="90"/>
      <c r="E893" s="102"/>
      <c r="F893" s="90"/>
      <c r="G893" s="90"/>
      <c r="H893" s="102"/>
      <c r="I893" s="102"/>
      <c r="J893" s="102"/>
      <c r="K893" s="102"/>
      <c r="L893" s="102"/>
      <c r="M893" s="102"/>
      <c r="N893" s="102"/>
      <c r="O893" s="102"/>
      <c r="P893" s="102"/>
      <c r="Q893" s="102"/>
      <c r="R893" s="102"/>
      <c r="S893" s="102"/>
      <c r="T893" s="102"/>
      <c r="U893" s="102"/>
      <c r="V893" s="102"/>
      <c r="W893" s="102"/>
      <c r="X893" s="102"/>
      <c r="Y893" s="102"/>
      <c r="Z893" s="102"/>
      <c r="AA893" s="102"/>
      <c r="AB893" s="102"/>
      <c r="AC893" s="102"/>
      <c r="AD893" s="102"/>
      <c r="AE893" s="102"/>
      <c r="AF893" s="102"/>
      <c r="AG893" s="102"/>
      <c r="AH893" s="102"/>
      <c r="AI893" s="102"/>
      <c r="AJ893" s="102"/>
      <c r="AK893" s="102"/>
      <c r="AL893" s="102"/>
      <c r="AM893" s="102"/>
      <c r="AN893" s="102"/>
      <c r="AO893" s="400"/>
      <c r="AP893" s="90"/>
      <c r="AQ893" s="90"/>
      <c r="AR893" s="90"/>
      <c r="AS893" s="90"/>
      <c r="AT893" s="90"/>
      <c r="AU893" s="90"/>
      <c r="AV893" s="90"/>
      <c r="AW893" s="90"/>
      <c r="AX893" s="90"/>
      <c r="AY893" s="90"/>
      <c r="AZ893" s="90"/>
      <c r="BA893" s="90"/>
      <c r="BB893" s="90"/>
      <c r="BC893" s="90"/>
      <c r="BD893" s="90"/>
      <c r="BE893" s="90"/>
      <c r="BF893" s="90"/>
      <c r="BG893" s="90"/>
      <c r="BH893" s="90"/>
      <c r="BI893" s="90"/>
    </row>
    <row r="894" ht="12.75" customHeight="1">
      <c r="A894" s="90"/>
      <c r="B894" s="90"/>
      <c r="C894" s="400"/>
      <c r="D894" s="90"/>
      <c r="E894" s="102"/>
      <c r="F894" s="90"/>
      <c r="G894" s="90"/>
      <c r="H894" s="102"/>
      <c r="I894" s="102"/>
      <c r="J894" s="102"/>
      <c r="K894" s="102"/>
      <c r="L894" s="102"/>
      <c r="M894" s="102"/>
      <c r="N894" s="102"/>
      <c r="O894" s="102"/>
      <c r="P894" s="102"/>
      <c r="Q894" s="102"/>
      <c r="R894" s="102"/>
      <c r="S894" s="102"/>
      <c r="T894" s="102"/>
      <c r="U894" s="102"/>
      <c r="V894" s="102"/>
      <c r="W894" s="102"/>
      <c r="X894" s="102"/>
      <c r="Y894" s="102"/>
      <c r="Z894" s="102"/>
      <c r="AA894" s="102"/>
      <c r="AB894" s="102"/>
      <c r="AC894" s="102"/>
      <c r="AD894" s="102"/>
      <c r="AE894" s="102"/>
      <c r="AF894" s="102"/>
      <c r="AG894" s="102"/>
      <c r="AH894" s="102"/>
      <c r="AI894" s="102"/>
      <c r="AJ894" s="102"/>
      <c r="AK894" s="102"/>
      <c r="AL894" s="102"/>
      <c r="AM894" s="102"/>
      <c r="AN894" s="102"/>
      <c r="AO894" s="400"/>
      <c r="AP894" s="90"/>
      <c r="AQ894" s="90"/>
      <c r="AR894" s="90"/>
      <c r="AS894" s="90"/>
      <c r="AT894" s="90"/>
      <c r="AU894" s="90"/>
      <c r="AV894" s="90"/>
      <c r="AW894" s="90"/>
      <c r="AX894" s="90"/>
      <c r="AY894" s="90"/>
      <c r="AZ894" s="90"/>
      <c r="BA894" s="90"/>
      <c r="BB894" s="90"/>
      <c r="BC894" s="90"/>
      <c r="BD894" s="90"/>
      <c r="BE894" s="90"/>
      <c r="BF894" s="90"/>
      <c r="BG894" s="90"/>
      <c r="BH894" s="90"/>
      <c r="BI894" s="90"/>
    </row>
    <row r="895" ht="12.75" customHeight="1">
      <c r="A895" s="90"/>
      <c r="B895" s="90"/>
      <c r="C895" s="400"/>
      <c r="D895" s="90"/>
      <c r="E895" s="102"/>
      <c r="F895" s="90"/>
      <c r="G895" s="90"/>
      <c r="H895" s="102"/>
      <c r="I895" s="102"/>
      <c r="J895" s="102"/>
      <c r="K895" s="102"/>
      <c r="L895" s="102"/>
      <c r="M895" s="102"/>
      <c r="N895" s="102"/>
      <c r="O895" s="102"/>
      <c r="P895" s="102"/>
      <c r="Q895" s="102"/>
      <c r="R895" s="102"/>
      <c r="S895" s="102"/>
      <c r="T895" s="102"/>
      <c r="U895" s="102"/>
      <c r="V895" s="102"/>
      <c r="W895" s="102"/>
      <c r="X895" s="102"/>
      <c r="Y895" s="102"/>
      <c r="Z895" s="102"/>
      <c r="AA895" s="102"/>
      <c r="AB895" s="102"/>
      <c r="AC895" s="102"/>
      <c r="AD895" s="102"/>
      <c r="AE895" s="102"/>
      <c r="AF895" s="102"/>
      <c r="AG895" s="102"/>
      <c r="AH895" s="102"/>
      <c r="AI895" s="102"/>
      <c r="AJ895" s="102"/>
      <c r="AK895" s="102"/>
      <c r="AL895" s="102"/>
      <c r="AM895" s="102"/>
      <c r="AN895" s="102"/>
      <c r="AO895" s="400"/>
      <c r="AP895" s="90"/>
      <c r="AQ895" s="90"/>
      <c r="AR895" s="90"/>
      <c r="AS895" s="90"/>
      <c r="AT895" s="90"/>
      <c r="AU895" s="90"/>
      <c r="AV895" s="90"/>
      <c r="AW895" s="90"/>
      <c r="AX895" s="90"/>
      <c r="AY895" s="90"/>
      <c r="AZ895" s="90"/>
      <c r="BA895" s="90"/>
      <c r="BB895" s="90"/>
      <c r="BC895" s="90"/>
      <c r="BD895" s="90"/>
      <c r="BE895" s="90"/>
      <c r="BF895" s="90"/>
      <c r="BG895" s="90"/>
      <c r="BH895" s="90"/>
      <c r="BI895" s="90"/>
    </row>
    <row r="896" ht="12.75" customHeight="1">
      <c r="A896" s="90"/>
      <c r="B896" s="90"/>
      <c r="C896" s="400"/>
      <c r="D896" s="90"/>
      <c r="E896" s="102"/>
      <c r="F896" s="90"/>
      <c r="G896" s="90"/>
      <c r="H896" s="102"/>
      <c r="I896" s="102"/>
      <c r="J896" s="102"/>
      <c r="K896" s="102"/>
      <c r="L896" s="102"/>
      <c r="M896" s="102"/>
      <c r="N896" s="102"/>
      <c r="O896" s="102"/>
      <c r="P896" s="102"/>
      <c r="Q896" s="102"/>
      <c r="R896" s="102"/>
      <c r="S896" s="102"/>
      <c r="T896" s="102"/>
      <c r="U896" s="102"/>
      <c r="V896" s="102"/>
      <c r="W896" s="102"/>
      <c r="X896" s="102"/>
      <c r="Y896" s="102"/>
      <c r="Z896" s="102"/>
      <c r="AA896" s="102"/>
      <c r="AB896" s="102"/>
      <c r="AC896" s="102"/>
      <c r="AD896" s="102"/>
      <c r="AE896" s="102"/>
      <c r="AF896" s="102"/>
      <c r="AG896" s="102"/>
      <c r="AH896" s="102"/>
      <c r="AI896" s="102"/>
      <c r="AJ896" s="102"/>
      <c r="AK896" s="102"/>
      <c r="AL896" s="102"/>
      <c r="AM896" s="102"/>
      <c r="AN896" s="102"/>
      <c r="AO896" s="400"/>
      <c r="AP896" s="90"/>
      <c r="AQ896" s="90"/>
      <c r="AR896" s="90"/>
      <c r="AS896" s="90"/>
      <c r="AT896" s="90"/>
      <c r="AU896" s="90"/>
      <c r="AV896" s="90"/>
      <c r="AW896" s="90"/>
      <c r="AX896" s="90"/>
      <c r="AY896" s="90"/>
      <c r="AZ896" s="90"/>
      <c r="BA896" s="90"/>
      <c r="BB896" s="90"/>
      <c r="BC896" s="90"/>
      <c r="BD896" s="90"/>
      <c r="BE896" s="90"/>
      <c r="BF896" s="90"/>
      <c r="BG896" s="90"/>
      <c r="BH896" s="90"/>
      <c r="BI896" s="90"/>
    </row>
    <row r="897" ht="12.75" customHeight="1">
      <c r="A897" s="90"/>
      <c r="B897" s="90"/>
      <c r="C897" s="400"/>
      <c r="D897" s="90"/>
      <c r="E897" s="102"/>
      <c r="F897" s="90"/>
      <c r="G897" s="90"/>
      <c r="H897" s="102"/>
      <c r="I897" s="102"/>
      <c r="J897" s="102"/>
      <c r="K897" s="102"/>
      <c r="L897" s="102"/>
      <c r="M897" s="102"/>
      <c r="N897" s="102"/>
      <c r="O897" s="102"/>
      <c r="P897" s="102"/>
      <c r="Q897" s="102"/>
      <c r="R897" s="102"/>
      <c r="S897" s="102"/>
      <c r="T897" s="102"/>
      <c r="U897" s="102"/>
      <c r="V897" s="102"/>
      <c r="W897" s="102"/>
      <c r="X897" s="102"/>
      <c r="Y897" s="102"/>
      <c r="Z897" s="102"/>
      <c r="AA897" s="102"/>
      <c r="AB897" s="102"/>
      <c r="AC897" s="102"/>
      <c r="AD897" s="102"/>
      <c r="AE897" s="102"/>
      <c r="AF897" s="102"/>
      <c r="AG897" s="102"/>
      <c r="AH897" s="102"/>
      <c r="AI897" s="102"/>
      <c r="AJ897" s="102"/>
      <c r="AK897" s="102"/>
      <c r="AL897" s="102"/>
      <c r="AM897" s="102"/>
      <c r="AN897" s="102"/>
      <c r="AO897" s="400"/>
      <c r="AP897" s="90"/>
      <c r="AQ897" s="90"/>
      <c r="AR897" s="90"/>
      <c r="AS897" s="90"/>
      <c r="AT897" s="90"/>
      <c r="AU897" s="90"/>
      <c r="AV897" s="90"/>
      <c r="AW897" s="90"/>
      <c r="AX897" s="90"/>
      <c r="AY897" s="90"/>
      <c r="AZ897" s="90"/>
      <c r="BA897" s="90"/>
      <c r="BB897" s="90"/>
      <c r="BC897" s="90"/>
      <c r="BD897" s="90"/>
      <c r="BE897" s="90"/>
      <c r="BF897" s="90"/>
      <c r="BG897" s="90"/>
      <c r="BH897" s="90"/>
      <c r="BI897" s="90"/>
    </row>
    <row r="898" ht="12.75" customHeight="1">
      <c r="A898" s="90"/>
      <c r="B898" s="90"/>
      <c r="C898" s="400"/>
      <c r="D898" s="90"/>
      <c r="E898" s="102"/>
      <c r="F898" s="90"/>
      <c r="G898" s="90"/>
      <c r="H898" s="102"/>
      <c r="I898" s="102"/>
      <c r="J898" s="102"/>
      <c r="K898" s="102"/>
      <c r="L898" s="102"/>
      <c r="M898" s="102"/>
      <c r="N898" s="102"/>
      <c r="O898" s="102"/>
      <c r="P898" s="102"/>
      <c r="Q898" s="102"/>
      <c r="R898" s="102"/>
      <c r="S898" s="102"/>
      <c r="T898" s="102"/>
      <c r="U898" s="102"/>
      <c r="V898" s="102"/>
      <c r="W898" s="102"/>
      <c r="X898" s="102"/>
      <c r="Y898" s="102"/>
      <c r="Z898" s="102"/>
      <c r="AA898" s="102"/>
      <c r="AB898" s="102"/>
      <c r="AC898" s="102"/>
      <c r="AD898" s="102"/>
      <c r="AE898" s="102"/>
      <c r="AF898" s="102"/>
      <c r="AG898" s="102"/>
      <c r="AH898" s="102"/>
      <c r="AI898" s="102"/>
      <c r="AJ898" s="102"/>
      <c r="AK898" s="102"/>
      <c r="AL898" s="102"/>
      <c r="AM898" s="102"/>
      <c r="AN898" s="102"/>
      <c r="AO898" s="400"/>
      <c r="AP898" s="90"/>
      <c r="AQ898" s="90"/>
      <c r="AR898" s="90"/>
      <c r="AS898" s="90"/>
      <c r="AT898" s="90"/>
      <c r="AU898" s="90"/>
      <c r="AV898" s="90"/>
      <c r="AW898" s="90"/>
      <c r="AX898" s="90"/>
      <c r="AY898" s="90"/>
      <c r="AZ898" s="90"/>
      <c r="BA898" s="90"/>
      <c r="BB898" s="90"/>
      <c r="BC898" s="90"/>
      <c r="BD898" s="90"/>
      <c r="BE898" s="90"/>
      <c r="BF898" s="90"/>
      <c r="BG898" s="90"/>
      <c r="BH898" s="90"/>
      <c r="BI898" s="90"/>
    </row>
    <row r="899" ht="12.75" customHeight="1">
      <c r="A899" s="90"/>
      <c r="B899" s="90"/>
      <c r="C899" s="400"/>
      <c r="D899" s="90"/>
      <c r="E899" s="102"/>
      <c r="F899" s="90"/>
      <c r="G899" s="90"/>
      <c r="H899" s="102"/>
      <c r="I899" s="102"/>
      <c r="J899" s="102"/>
      <c r="K899" s="102"/>
      <c r="L899" s="102"/>
      <c r="M899" s="102"/>
      <c r="N899" s="102"/>
      <c r="O899" s="102"/>
      <c r="P899" s="102"/>
      <c r="Q899" s="102"/>
      <c r="R899" s="102"/>
      <c r="S899" s="102"/>
      <c r="T899" s="102"/>
      <c r="U899" s="102"/>
      <c r="V899" s="102"/>
      <c r="W899" s="102"/>
      <c r="X899" s="102"/>
      <c r="Y899" s="102"/>
      <c r="Z899" s="102"/>
      <c r="AA899" s="102"/>
      <c r="AB899" s="102"/>
      <c r="AC899" s="102"/>
      <c r="AD899" s="102"/>
      <c r="AE899" s="102"/>
      <c r="AF899" s="102"/>
      <c r="AG899" s="102"/>
      <c r="AH899" s="102"/>
      <c r="AI899" s="102"/>
      <c r="AJ899" s="102"/>
      <c r="AK899" s="102"/>
      <c r="AL899" s="102"/>
      <c r="AM899" s="102"/>
      <c r="AN899" s="102"/>
      <c r="AO899" s="400"/>
      <c r="AP899" s="90"/>
      <c r="AQ899" s="90"/>
      <c r="AR899" s="90"/>
      <c r="AS899" s="90"/>
      <c r="AT899" s="90"/>
      <c r="AU899" s="90"/>
      <c r="AV899" s="90"/>
      <c r="AW899" s="90"/>
      <c r="AX899" s="90"/>
      <c r="AY899" s="90"/>
      <c r="AZ899" s="90"/>
      <c r="BA899" s="90"/>
      <c r="BB899" s="90"/>
      <c r="BC899" s="90"/>
      <c r="BD899" s="90"/>
      <c r="BE899" s="90"/>
      <c r="BF899" s="90"/>
      <c r="BG899" s="90"/>
      <c r="BH899" s="90"/>
      <c r="BI899" s="90"/>
    </row>
    <row r="900" ht="12.75" customHeight="1">
      <c r="A900" s="90"/>
      <c r="B900" s="90"/>
      <c r="C900" s="400"/>
      <c r="D900" s="90"/>
      <c r="E900" s="102"/>
      <c r="F900" s="90"/>
      <c r="G900" s="90"/>
      <c r="H900" s="102"/>
      <c r="I900" s="102"/>
      <c r="J900" s="102"/>
      <c r="K900" s="102"/>
      <c r="L900" s="102"/>
      <c r="M900" s="102"/>
      <c r="N900" s="102"/>
      <c r="O900" s="102"/>
      <c r="P900" s="102"/>
      <c r="Q900" s="102"/>
      <c r="R900" s="102"/>
      <c r="S900" s="102"/>
      <c r="T900" s="102"/>
      <c r="U900" s="102"/>
      <c r="V900" s="102"/>
      <c r="W900" s="102"/>
      <c r="X900" s="102"/>
      <c r="Y900" s="102"/>
      <c r="Z900" s="102"/>
      <c r="AA900" s="102"/>
      <c r="AB900" s="102"/>
      <c r="AC900" s="102"/>
      <c r="AD900" s="102"/>
      <c r="AE900" s="102"/>
      <c r="AF900" s="102"/>
      <c r="AG900" s="102"/>
      <c r="AH900" s="102"/>
      <c r="AI900" s="102"/>
      <c r="AJ900" s="102"/>
      <c r="AK900" s="102"/>
      <c r="AL900" s="102"/>
      <c r="AM900" s="102"/>
      <c r="AN900" s="102"/>
      <c r="AO900" s="400"/>
      <c r="AP900" s="90"/>
      <c r="AQ900" s="90"/>
      <c r="AR900" s="90"/>
      <c r="AS900" s="90"/>
      <c r="AT900" s="90"/>
      <c r="AU900" s="90"/>
      <c r="AV900" s="90"/>
      <c r="AW900" s="90"/>
      <c r="AX900" s="90"/>
      <c r="AY900" s="90"/>
      <c r="AZ900" s="90"/>
      <c r="BA900" s="90"/>
      <c r="BB900" s="90"/>
      <c r="BC900" s="90"/>
      <c r="BD900" s="90"/>
      <c r="BE900" s="90"/>
      <c r="BF900" s="90"/>
      <c r="BG900" s="90"/>
      <c r="BH900" s="90"/>
      <c r="BI900" s="90"/>
    </row>
    <row r="901" ht="12.75" customHeight="1">
      <c r="A901" s="90"/>
      <c r="B901" s="90"/>
      <c r="C901" s="400"/>
      <c r="D901" s="90"/>
      <c r="E901" s="102"/>
      <c r="F901" s="90"/>
      <c r="G901" s="90"/>
      <c r="H901" s="102"/>
      <c r="I901" s="102"/>
      <c r="J901" s="102"/>
      <c r="K901" s="102"/>
      <c r="L901" s="102"/>
      <c r="M901" s="102"/>
      <c r="N901" s="102"/>
      <c r="O901" s="102"/>
      <c r="P901" s="102"/>
      <c r="Q901" s="102"/>
      <c r="R901" s="102"/>
      <c r="S901" s="102"/>
      <c r="T901" s="102"/>
      <c r="U901" s="102"/>
      <c r="V901" s="102"/>
      <c r="W901" s="102"/>
      <c r="X901" s="102"/>
      <c r="Y901" s="102"/>
      <c r="Z901" s="102"/>
      <c r="AA901" s="102"/>
      <c r="AB901" s="102"/>
      <c r="AC901" s="102"/>
      <c r="AD901" s="102"/>
      <c r="AE901" s="102"/>
      <c r="AF901" s="102"/>
      <c r="AG901" s="102"/>
      <c r="AH901" s="102"/>
      <c r="AI901" s="102"/>
      <c r="AJ901" s="102"/>
      <c r="AK901" s="102"/>
      <c r="AL901" s="102"/>
      <c r="AM901" s="102"/>
      <c r="AN901" s="102"/>
      <c r="AO901" s="400"/>
      <c r="AP901" s="90"/>
      <c r="AQ901" s="90"/>
      <c r="AR901" s="90"/>
      <c r="AS901" s="90"/>
      <c r="AT901" s="90"/>
      <c r="AU901" s="90"/>
      <c r="AV901" s="90"/>
      <c r="AW901" s="90"/>
      <c r="AX901" s="90"/>
      <c r="AY901" s="90"/>
      <c r="AZ901" s="90"/>
      <c r="BA901" s="90"/>
      <c r="BB901" s="90"/>
      <c r="BC901" s="90"/>
      <c r="BD901" s="90"/>
      <c r="BE901" s="90"/>
      <c r="BF901" s="90"/>
      <c r="BG901" s="90"/>
      <c r="BH901" s="90"/>
      <c r="BI901" s="90"/>
    </row>
    <row r="902" ht="12.75" customHeight="1">
      <c r="A902" s="90"/>
      <c r="B902" s="90"/>
      <c r="C902" s="400"/>
      <c r="D902" s="90"/>
      <c r="E902" s="102"/>
      <c r="F902" s="90"/>
      <c r="G902" s="90"/>
      <c r="H902" s="102"/>
      <c r="I902" s="102"/>
      <c r="J902" s="102"/>
      <c r="K902" s="102"/>
      <c r="L902" s="102"/>
      <c r="M902" s="102"/>
      <c r="N902" s="102"/>
      <c r="O902" s="102"/>
      <c r="P902" s="102"/>
      <c r="Q902" s="102"/>
      <c r="R902" s="102"/>
      <c r="S902" s="102"/>
      <c r="T902" s="102"/>
      <c r="U902" s="102"/>
      <c r="V902" s="102"/>
      <c r="W902" s="102"/>
      <c r="X902" s="102"/>
      <c r="Y902" s="102"/>
      <c r="Z902" s="102"/>
      <c r="AA902" s="102"/>
      <c r="AB902" s="102"/>
      <c r="AC902" s="102"/>
      <c r="AD902" s="102"/>
      <c r="AE902" s="102"/>
      <c r="AF902" s="102"/>
      <c r="AG902" s="102"/>
      <c r="AH902" s="102"/>
      <c r="AI902" s="102"/>
      <c r="AJ902" s="102"/>
      <c r="AK902" s="102"/>
      <c r="AL902" s="102"/>
      <c r="AM902" s="102"/>
      <c r="AN902" s="102"/>
      <c r="AO902" s="400"/>
      <c r="AP902" s="90"/>
      <c r="AQ902" s="90"/>
      <c r="AR902" s="90"/>
      <c r="AS902" s="90"/>
      <c r="AT902" s="90"/>
      <c r="AU902" s="90"/>
      <c r="AV902" s="90"/>
      <c r="AW902" s="90"/>
      <c r="AX902" s="90"/>
      <c r="AY902" s="90"/>
      <c r="AZ902" s="90"/>
      <c r="BA902" s="90"/>
      <c r="BB902" s="90"/>
      <c r="BC902" s="90"/>
      <c r="BD902" s="90"/>
      <c r="BE902" s="90"/>
      <c r="BF902" s="90"/>
      <c r="BG902" s="90"/>
      <c r="BH902" s="90"/>
      <c r="BI902" s="90"/>
    </row>
    <row r="903" ht="12.75" customHeight="1">
      <c r="A903" s="90"/>
      <c r="B903" s="90"/>
      <c r="C903" s="400"/>
      <c r="D903" s="90"/>
      <c r="E903" s="102"/>
      <c r="F903" s="90"/>
      <c r="G903" s="90"/>
      <c r="H903" s="102"/>
      <c r="I903" s="102"/>
      <c r="J903" s="102"/>
      <c r="K903" s="102"/>
      <c r="L903" s="102"/>
      <c r="M903" s="102"/>
      <c r="N903" s="102"/>
      <c r="O903" s="102"/>
      <c r="P903" s="102"/>
      <c r="Q903" s="102"/>
      <c r="R903" s="102"/>
      <c r="S903" s="102"/>
      <c r="T903" s="102"/>
      <c r="U903" s="102"/>
      <c r="V903" s="102"/>
      <c r="W903" s="102"/>
      <c r="X903" s="102"/>
      <c r="Y903" s="102"/>
      <c r="Z903" s="102"/>
      <c r="AA903" s="102"/>
      <c r="AB903" s="102"/>
      <c r="AC903" s="102"/>
      <c r="AD903" s="102"/>
      <c r="AE903" s="102"/>
      <c r="AF903" s="102"/>
      <c r="AG903" s="102"/>
      <c r="AH903" s="102"/>
      <c r="AI903" s="102"/>
      <c r="AJ903" s="102"/>
      <c r="AK903" s="102"/>
      <c r="AL903" s="102"/>
      <c r="AM903" s="102"/>
      <c r="AN903" s="102"/>
      <c r="AO903" s="400"/>
      <c r="AP903" s="90"/>
      <c r="AQ903" s="90"/>
      <c r="AR903" s="90"/>
      <c r="AS903" s="90"/>
      <c r="AT903" s="90"/>
      <c r="AU903" s="90"/>
      <c r="AV903" s="90"/>
      <c r="AW903" s="90"/>
      <c r="AX903" s="90"/>
      <c r="AY903" s="90"/>
      <c r="AZ903" s="90"/>
      <c r="BA903" s="90"/>
      <c r="BB903" s="90"/>
      <c r="BC903" s="90"/>
      <c r="BD903" s="90"/>
      <c r="BE903" s="90"/>
      <c r="BF903" s="90"/>
      <c r="BG903" s="90"/>
      <c r="BH903" s="90"/>
      <c r="BI903" s="90"/>
    </row>
    <row r="904" ht="12.75" customHeight="1">
      <c r="A904" s="90"/>
      <c r="B904" s="90"/>
      <c r="C904" s="400"/>
      <c r="D904" s="90"/>
      <c r="E904" s="102"/>
      <c r="F904" s="90"/>
      <c r="G904" s="90"/>
      <c r="H904" s="102"/>
      <c r="I904" s="102"/>
      <c r="J904" s="102"/>
      <c r="K904" s="102"/>
      <c r="L904" s="102"/>
      <c r="M904" s="102"/>
      <c r="N904" s="102"/>
      <c r="O904" s="102"/>
      <c r="P904" s="102"/>
      <c r="Q904" s="102"/>
      <c r="R904" s="102"/>
      <c r="S904" s="102"/>
      <c r="T904" s="102"/>
      <c r="U904" s="102"/>
      <c r="V904" s="102"/>
      <c r="W904" s="102"/>
      <c r="X904" s="102"/>
      <c r="Y904" s="102"/>
      <c r="Z904" s="102"/>
      <c r="AA904" s="102"/>
      <c r="AB904" s="102"/>
      <c r="AC904" s="102"/>
      <c r="AD904" s="102"/>
      <c r="AE904" s="102"/>
      <c r="AF904" s="102"/>
      <c r="AG904" s="102"/>
      <c r="AH904" s="102"/>
      <c r="AI904" s="102"/>
      <c r="AJ904" s="102"/>
      <c r="AK904" s="102"/>
      <c r="AL904" s="102"/>
      <c r="AM904" s="102"/>
      <c r="AN904" s="102"/>
      <c r="AO904" s="400"/>
      <c r="AP904" s="90"/>
      <c r="AQ904" s="90"/>
      <c r="AR904" s="90"/>
      <c r="AS904" s="90"/>
      <c r="AT904" s="90"/>
      <c r="AU904" s="90"/>
      <c r="AV904" s="90"/>
      <c r="AW904" s="90"/>
      <c r="AX904" s="90"/>
      <c r="AY904" s="90"/>
      <c r="AZ904" s="90"/>
      <c r="BA904" s="90"/>
      <c r="BB904" s="90"/>
      <c r="BC904" s="90"/>
      <c r="BD904" s="90"/>
      <c r="BE904" s="90"/>
      <c r="BF904" s="90"/>
      <c r="BG904" s="90"/>
      <c r="BH904" s="90"/>
      <c r="BI904" s="90"/>
    </row>
    <row r="905" ht="12.75" customHeight="1">
      <c r="A905" s="90"/>
      <c r="B905" s="90"/>
      <c r="C905" s="400"/>
      <c r="D905" s="90"/>
      <c r="E905" s="102"/>
      <c r="F905" s="90"/>
      <c r="G905" s="90"/>
      <c r="H905" s="102"/>
      <c r="I905" s="102"/>
      <c r="J905" s="102"/>
      <c r="K905" s="102"/>
      <c r="L905" s="102"/>
      <c r="M905" s="102"/>
      <c r="N905" s="102"/>
      <c r="O905" s="102"/>
      <c r="P905" s="102"/>
      <c r="Q905" s="102"/>
      <c r="R905" s="102"/>
      <c r="S905" s="102"/>
      <c r="T905" s="102"/>
      <c r="U905" s="102"/>
      <c r="V905" s="102"/>
      <c r="W905" s="102"/>
      <c r="X905" s="102"/>
      <c r="Y905" s="102"/>
      <c r="Z905" s="102"/>
      <c r="AA905" s="102"/>
      <c r="AB905" s="102"/>
      <c r="AC905" s="102"/>
      <c r="AD905" s="102"/>
      <c r="AE905" s="102"/>
      <c r="AF905" s="102"/>
      <c r="AG905" s="102"/>
      <c r="AH905" s="102"/>
      <c r="AI905" s="102"/>
      <c r="AJ905" s="102"/>
      <c r="AK905" s="102"/>
      <c r="AL905" s="102"/>
      <c r="AM905" s="102"/>
      <c r="AN905" s="102"/>
      <c r="AO905" s="400"/>
      <c r="AP905" s="90"/>
      <c r="AQ905" s="90"/>
      <c r="AR905" s="90"/>
      <c r="AS905" s="90"/>
      <c r="AT905" s="90"/>
      <c r="AU905" s="90"/>
      <c r="AV905" s="90"/>
      <c r="AW905" s="90"/>
      <c r="AX905" s="90"/>
      <c r="AY905" s="90"/>
      <c r="AZ905" s="90"/>
      <c r="BA905" s="90"/>
      <c r="BB905" s="90"/>
      <c r="BC905" s="90"/>
      <c r="BD905" s="90"/>
      <c r="BE905" s="90"/>
      <c r="BF905" s="90"/>
      <c r="BG905" s="90"/>
      <c r="BH905" s="90"/>
      <c r="BI905" s="90"/>
    </row>
    <row r="906" ht="12.75" customHeight="1">
      <c r="A906" s="90"/>
      <c r="B906" s="90"/>
      <c r="C906" s="400"/>
      <c r="D906" s="90"/>
      <c r="E906" s="102"/>
      <c r="F906" s="90"/>
      <c r="G906" s="90"/>
      <c r="H906" s="102"/>
      <c r="I906" s="102"/>
      <c r="J906" s="102"/>
      <c r="K906" s="102"/>
      <c r="L906" s="102"/>
      <c r="M906" s="102"/>
      <c r="N906" s="102"/>
      <c r="O906" s="102"/>
      <c r="P906" s="102"/>
      <c r="Q906" s="102"/>
      <c r="R906" s="102"/>
      <c r="S906" s="102"/>
      <c r="T906" s="102"/>
      <c r="U906" s="102"/>
      <c r="V906" s="102"/>
      <c r="W906" s="102"/>
      <c r="X906" s="102"/>
      <c r="Y906" s="102"/>
      <c r="Z906" s="102"/>
      <c r="AA906" s="102"/>
      <c r="AB906" s="102"/>
      <c r="AC906" s="102"/>
      <c r="AD906" s="102"/>
      <c r="AE906" s="102"/>
      <c r="AF906" s="102"/>
      <c r="AG906" s="102"/>
      <c r="AH906" s="102"/>
      <c r="AI906" s="102"/>
      <c r="AJ906" s="102"/>
      <c r="AK906" s="102"/>
      <c r="AL906" s="102"/>
      <c r="AM906" s="102"/>
      <c r="AN906" s="102"/>
      <c r="AO906" s="400"/>
      <c r="AP906" s="90"/>
      <c r="AQ906" s="90"/>
      <c r="AR906" s="90"/>
      <c r="AS906" s="90"/>
      <c r="AT906" s="90"/>
      <c r="AU906" s="90"/>
      <c r="AV906" s="90"/>
      <c r="AW906" s="90"/>
      <c r="AX906" s="90"/>
      <c r="AY906" s="90"/>
      <c r="AZ906" s="90"/>
      <c r="BA906" s="90"/>
      <c r="BB906" s="90"/>
      <c r="BC906" s="90"/>
      <c r="BD906" s="90"/>
      <c r="BE906" s="90"/>
      <c r="BF906" s="90"/>
      <c r="BG906" s="90"/>
      <c r="BH906" s="90"/>
      <c r="BI906" s="90"/>
    </row>
    <row r="907" ht="12.75" customHeight="1">
      <c r="A907" s="90"/>
      <c r="B907" s="90"/>
      <c r="C907" s="400"/>
      <c r="D907" s="90"/>
      <c r="E907" s="102"/>
      <c r="F907" s="90"/>
      <c r="G907" s="90"/>
      <c r="H907" s="102"/>
      <c r="I907" s="102"/>
      <c r="J907" s="102"/>
      <c r="K907" s="102"/>
      <c r="L907" s="102"/>
      <c r="M907" s="102"/>
      <c r="N907" s="102"/>
      <c r="O907" s="102"/>
      <c r="P907" s="102"/>
      <c r="Q907" s="102"/>
      <c r="R907" s="102"/>
      <c r="S907" s="102"/>
      <c r="T907" s="102"/>
      <c r="U907" s="102"/>
      <c r="V907" s="102"/>
      <c r="W907" s="102"/>
      <c r="X907" s="102"/>
      <c r="Y907" s="102"/>
      <c r="Z907" s="102"/>
      <c r="AA907" s="102"/>
      <c r="AB907" s="102"/>
      <c r="AC907" s="102"/>
      <c r="AD907" s="102"/>
      <c r="AE907" s="102"/>
      <c r="AF907" s="102"/>
      <c r="AG907" s="102"/>
      <c r="AH907" s="102"/>
      <c r="AI907" s="102"/>
      <c r="AJ907" s="102"/>
      <c r="AK907" s="102"/>
      <c r="AL907" s="102"/>
      <c r="AM907" s="102"/>
      <c r="AN907" s="102"/>
      <c r="AO907" s="400"/>
      <c r="AP907" s="90"/>
      <c r="AQ907" s="90"/>
      <c r="AR907" s="90"/>
      <c r="AS907" s="90"/>
      <c r="AT907" s="90"/>
      <c r="AU907" s="90"/>
      <c r="AV907" s="90"/>
      <c r="AW907" s="90"/>
      <c r="AX907" s="90"/>
      <c r="AY907" s="90"/>
      <c r="AZ907" s="90"/>
      <c r="BA907" s="90"/>
      <c r="BB907" s="90"/>
      <c r="BC907" s="90"/>
      <c r="BD907" s="90"/>
      <c r="BE907" s="90"/>
      <c r="BF907" s="90"/>
      <c r="BG907" s="90"/>
      <c r="BH907" s="90"/>
      <c r="BI907" s="90"/>
    </row>
    <row r="908" ht="12.75" customHeight="1">
      <c r="A908" s="90"/>
      <c r="B908" s="90"/>
      <c r="C908" s="400"/>
      <c r="D908" s="90"/>
      <c r="E908" s="102"/>
      <c r="F908" s="90"/>
      <c r="G908" s="90"/>
      <c r="H908" s="102"/>
      <c r="I908" s="102"/>
      <c r="J908" s="102"/>
      <c r="K908" s="102"/>
      <c r="L908" s="102"/>
      <c r="M908" s="102"/>
      <c r="N908" s="102"/>
      <c r="O908" s="102"/>
      <c r="P908" s="102"/>
      <c r="Q908" s="102"/>
      <c r="R908" s="102"/>
      <c r="S908" s="102"/>
      <c r="T908" s="102"/>
      <c r="U908" s="102"/>
      <c r="V908" s="102"/>
      <c r="W908" s="102"/>
      <c r="X908" s="102"/>
      <c r="Y908" s="102"/>
      <c r="Z908" s="102"/>
      <c r="AA908" s="102"/>
      <c r="AB908" s="102"/>
      <c r="AC908" s="102"/>
      <c r="AD908" s="102"/>
      <c r="AE908" s="102"/>
      <c r="AF908" s="102"/>
      <c r="AG908" s="102"/>
      <c r="AH908" s="102"/>
      <c r="AI908" s="102"/>
      <c r="AJ908" s="102"/>
      <c r="AK908" s="102"/>
      <c r="AL908" s="102"/>
      <c r="AM908" s="102"/>
      <c r="AN908" s="102"/>
      <c r="AO908" s="400"/>
      <c r="AP908" s="90"/>
      <c r="AQ908" s="90"/>
      <c r="AR908" s="90"/>
      <c r="AS908" s="90"/>
      <c r="AT908" s="90"/>
      <c r="AU908" s="90"/>
      <c r="AV908" s="90"/>
      <c r="AW908" s="90"/>
      <c r="AX908" s="90"/>
      <c r="AY908" s="90"/>
      <c r="AZ908" s="90"/>
      <c r="BA908" s="90"/>
      <c r="BB908" s="90"/>
      <c r="BC908" s="90"/>
      <c r="BD908" s="90"/>
      <c r="BE908" s="90"/>
      <c r="BF908" s="90"/>
      <c r="BG908" s="90"/>
      <c r="BH908" s="90"/>
      <c r="BI908" s="90"/>
    </row>
    <row r="909" ht="12.75" customHeight="1">
      <c r="A909" s="90"/>
      <c r="B909" s="90"/>
      <c r="C909" s="400"/>
      <c r="D909" s="90"/>
      <c r="E909" s="102"/>
      <c r="F909" s="90"/>
      <c r="G909" s="90"/>
      <c r="H909" s="102"/>
      <c r="I909" s="102"/>
      <c r="J909" s="102"/>
      <c r="K909" s="102"/>
      <c r="L909" s="102"/>
      <c r="M909" s="102"/>
      <c r="N909" s="102"/>
      <c r="O909" s="102"/>
      <c r="P909" s="102"/>
      <c r="Q909" s="102"/>
      <c r="R909" s="102"/>
      <c r="S909" s="102"/>
      <c r="T909" s="102"/>
      <c r="U909" s="102"/>
      <c r="V909" s="102"/>
      <c r="W909" s="102"/>
      <c r="X909" s="102"/>
      <c r="Y909" s="102"/>
      <c r="Z909" s="102"/>
      <c r="AA909" s="102"/>
      <c r="AB909" s="102"/>
      <c r="AC909" s="102"/>
      <c r="AD909" s="102"/>
      <c r="AE909" s="102"/>
      <c r="AF909" s="102"/>
      <c r="AG909" s="102"/>
      <c r="AH909" s="102"/>
      <c r="AI909" s="102"/>
      <c r="AJ909" s="102"/>
      <c r="AK909" s="102"/>
      <c r="AL909" s="102"/>
      <c r="AM909" s="102"/>
      <c r="AN909" s="102"/>
      <c r="AO909" s="400"/>
      <c r="AP909" s="90"/>
      <c r="AQ909" s="90"/>
      <c r="AR909" s="90"/>
      <c r="AS909" s="90"/>
      <c r="AT909" s="90"/>
      <c r="AU909" s="90"/>
      <c r="AV909" s="90"/>
      <c r="AW909" s="90"/>
      <c r="AX909" s="90"/>
      <c r="AY909" s="90"/>
      <c r="AZ909" s="90"/>
      <c r="BA909" s="90"/>
      <c r="BB909" s="90"/>
      <c r="BC909" s="90"/>
      <c r="BD909" s="90"/>
      <c r="BE909" s="90"/>
      <c r="BF909" s="90"/>
      <c r="BG909" s="90"/>
      <c r="BH909" s="90"/>
      <c r="BI909" s="90"/>
    </row>
    <row r="910" ht="12.75" customHeight="1">
      <c r="A910" s="90"/>
      <c r="B910" s="90"/>
      <c r="C910" s="400"/>
      <c r="D910" s="90"/>
      <c r="E910" s="102"/>
      <c r="F910" s="90"/>
      <c r="G910" s="90"/>
      <c r="H910" s="102"/>
      <c r="I910" s="102"/>
      <c r="J910" s="102"/>
      <c r="K910" s="102"/>
      <c r="L910" s="102"/>
      <c r="M910" s="102"/>
      <c r="N910" s="102"/>
      <c r="O910" s="102"/>
      <c r="P910" s="102"/>
      <c r="Q910" s="102"/>
      <c r="R910" s="102"/>
      <c r="S910" s="102"/>
      <c r="T910" s="102"/>
      <c r="U910" s="102"/>
      <c r="V910" s="102"/>
      <c r="W910" s="102"/>
      <c r="X910" s="102"/>
      <c r="Y910" s="102"/>
      <c r="Z910" s="102"/>
      <c r="AA910" s="102"/>
      <c r="AB910" s="102"/>
      <c r="AC910" s="102"/>
      <c r="AD910" s="102"/>
      <c r="AE910" s="102"/>
      <c r="AF910" s="102"/>
      <c r="AG910" s="102"/>
      <c r="AH910" s="102"/>
      <c r="AI910" s="102"/>
      <c r="AJ910" s="102"/>
      <c r="AK910" s="102"/>
      <c r="AL910" s="102"/>
      <c r="AM910" s="102"/>
      <c r="AN910" s="102"/>
      <c r="AO910" s="400"/>
      <c r="AP910" s="90"/>
      <c r="AQ910" s="90"/>
      <c r="AR910" s="90"/>
      <c r="AS910" s="90"/>
      <c r="AT910" s="90"/>
      <c r="AU910" s="90"/>
      <c r="AV910" s="90"/>
      <c r="AW910" s="90"/>
      <c r="AX910" s="90"/>
      <c r="AY910" s="90"/>
      <c r="AZ910" s="90"/>
      <c r="BA910" s="90"/>
      <c r="BB910" s="90"/>
      <c r="BC910" s="90"/>
      <c r="BD910" s="90"/>
      <c r="BE910" s="90"/>
      <c r="BF910" s="90"/>
      <c r="BG910" s="90"/>
      <c r="BH910" s="90"/>
      <c r="BI910" s="90"/>
    </row>
    <row r="911" ht="12.75" customHeight="1">
      <c r="A911" s="90"/>
      <c r="B911" s="90"/>
      <c r="C911" s="400"/>
      <c r="D911" s="90"/>
      <c r="E911" s="102"/>
      <c r="F911" s="90"/>
      <c r="G911" s="90"/>
      <c r="H911" s="102"/>
      <c r="I911" s="102"/>
      <c r="J911" s="102"/>
      <c r="K911" s="102"/>
      <c r="L911" s="102"/>
      <c r="M911" s="102"/>
      <c r="N911" s="102"/>
      <c r="O911" s="102"/>
      <c r="P911" s="102"/>
      <c r="Q911" s="102"/>
      <c r="R911" s="102"/>
      <c r="S911" s="102"/>
      <c r="T911" s="102"/>
      <c r="U911" s="102"/>
      <c r="V911" s="102"/>
      <c r="W911" s="102"/>
      <c r="X911" s="102"/>
      <c r="Y911" s="102"/>
      <c r="Z911" s="102"/>
      <c r="AA911" s="102"/>
      <c r="AB911" s="102"/>
      <c r="AC911" s="102"/>
      <c r="AD911" s="102"/>
      <c r="AE911" s="102"/>
      <c r="AF911" s="102"/>
      <c r="AG911" s="102"/>
      <c r="AH911" s="102"/>
      <c r="AI911" s="102"/>
      <c r="AJ911" s="102"/>
      <c r="AK911" s="102"/>
      <c r="AL911" s="102"/>
      <c r="AM911" s="102"/>
      <c r="AN911" s="102"/>
      <c r="AO911" s="400"/>
      <c r="AP911" s="90"/>
      <c r="AQ911" s="90"/>
      <c r="AR911" s="90"/>
      <c r="AS911" s="90"/>
      <c r="AT911" s="90"/>
      <c r="AU911" s="90"/>
      <c r="AV911" s="90"/>
      <c r="AW911" s="90"/>
      <c r="AX911" s="90"/>
      <c r="AY911" s="90"/>
      <c r="AZ911" s="90"/>
      <c r="BA911" s="90"/>
      <c r="BB911" s="90"/>
      <c r="BC911" s="90"/>
      <c r="BD911" s="90"/>
      <c r="BE911" s="90"/>
      <c r="BF911" s="90"/>
      <c r="BG911" s="90"/>
      <c r="BH911" s="90"/>
      <c r="BI911" s="90"/>
    </row>
    <row r="912" ht="12.75" customHeight="1">
      <c r="A912" s="90"/>
      <c r="B912" s="90"/>
      <c r="C912" s="400"/>
      <c r="D912" s="90"/>
      <c r="E912" s="102"/>
      <c r="F912" s="90"/>
      <c r="G912" s="90"/>
      <c r="H912" s="102"/>
      <c r="I912" s="102"/>
      <c r="J912" s="102"/>
      <c r="K912" s="102"/>
      <c r="L912" s="102"/>
      <c r="M912" s="102"/>
      <c r="N912" s="102"/>
      <c r="O912" s="102"/>
      <c r="P912" s="102"/>
      <c r="Q912" s="102"/>
      <c r="R912" s="102"/>
      <c r="S912" s="102"/>
      <c r="T912" s="102"/>
      <c r="U912" s="102"/>
      <c r="V912" s="102"/>
      <c r="W912" s="102"/>
      <c r="X912" s="102"/>
      <c r="Y912" s="102"/>
      <c r="Z912" s="102"/>
      <c r="AA912" s="102"/>
      <c r="AB912" s="102"/>
      <c r="AC912" s="102"/>
      <c r="AD912" s="102"/>
      <c r="AE912" s="102"/>
      <c r="AF912" s="102"/>
      <c r="AG912" s="102"/>
      <c r="AH912" s="102"/>
      <c r="AI912" s="102"/>
      <c r="AJ912" s="102"/>
      <c r="AK912" s="102"/>
      <c r="AL912" s="102"/>
      <c r="AM912" s="102"/>
      <c r="AN912" s="102"/>
      <c r="AO912" s="400"/>
      <c r="AP912" s="90"/>
      <c r="AQ912" s="90"/>
      <c r="AR912" s="90"/>
      <c r="AS912" s="90"/>
      <c r="AT912" s="90"/>
      <c r="AU912" s="90"/>
      <c r="AV912" s="90"/>
      <c r="AW912" s="90"/>
      <c r="AX912" s="90"/>
      <c r="AY912" s="90"/>
      <c r="AZ912" s="90"/>
      <c r="BA912" s="90"/>
      <c r="BB912" s="90"/>
      <c r="BC912" s="90"/>
      <c r="BD912" s="90"/>
      <c r="BE912" s="90"/>
      <c r="BF912" s="90"/>
      <c r="BG912" s="90"/>
      <c r="BH912" s="90"/>
      <c r="BI912" s="90"/>
    </row>
    <row r="913" ht="12.75" customHeight="1">
      <c r="A913" s="90"/>
      <c r="B913" s="90"/>
      <c r="C913" s="400"/>
      <c r="D913" s="90"/>
      <c r="E913" s="102"/>
      <c r="F913" s="90"/>
      <c r="G913" s="90"/>
      <c r="H913" s="102"/>
      <c r="I913" s="102"/>
      <c r="J913" s="102"/>
      <c r="K913" s="102"/>
      <c r="L913" s="102"/>
      <c r="M913" s="102"/>
      <c r="N913" s="102"/>
      <c r="O913" s="102"/>
      <c r="P913" s="102"/>
      <c r="Q913" s="102"/>
      <c r="R913" s="102"/>
      <c r="S913" s="102"/>
      <c r="T913" s="102"/>
      <c r="U913" s="102"/>
      <c r="V913" s="102"/>
      <c r="W913" s="102"/>
      <c r="X913" s="102"/>
      <c r="Y913" s="102"/>
      <c r="Z913" s="102"/>
      <c r="AA913" s="102"/>
      <c r="AB913" s="102"/>
      <c r="AC913" s="102"/>
      <c r="AD913" s="102"/>
      <c r="AE913" s="102"/>
      <c r="AF913" s="102"/>
      <c r="AG913" s="102"/>
      <c r="AH913" s="102"/>
      <c r="AI913" s="102"/>
      <c r="AJ913" s="102"/>
      <c r="AK913" s="102"/>
      <c r="AL913" s="102"/>
      <c r="AM913" s="102"/>
      <c r="AN913" s="102"/>
      <c r="AO913" s="400"/>
      <c r="AP913" s="90"/>
      <c r="AQ913" s="90"/>
      <c r="AR913" s="90"/>
      <c r="AS913" s="90"/>
      <c r="AT913" s="90"/>
      <c r="AU913" s="90"/>
      <c r="AV913" s="90"/>
      <c r="AW913" s="90"/>
      <c r="AX913" s="90"/>
      <c r="AY913" s="90"/>
      <c r="AZ913" s="90"/>
      <c r="BA913" s="90"/>
      <c r="BB913" s="90"/>
      <c r="BC913" s="90"/>
      <c r="BD913" s="90"/>
      <c r="BE913" s="90"/>
      <c r="BF913" s="90"/>
      <c r="BG913" s="90"/>
      <c r="BH913" s="90"/>
      <c r="BI913" s="90"/>
    </row>
    <row r="914" ht="12.75" customHeight="1">
      <c r="A914" s="90"/>
      <c r="B914" s="90"/>
      <c r="C914" s="400"/>
      <c r="D914" s="90"/>
      <c r="E914" s="102"/>
      <c r="F914" s="90"/>
      <c r="G914" s="90"/>
      <c r="H914" s="102"/>
      <c r="I914" s="102"/>
      <c r="J914" s="102"/>
      <c r="K914" s="102"/>
      <c r="L914" s="102"/>
      <c r="M914" s="102"/>
      <c r="N914" s="102"/>
      <c r="O914" s="102"/>
      <c r="P914" s="102"/>
      <c r="Q914" s="102"/>
      <c r="R914" s="102"/>
      <c r="S914" s="102"/>
      <c r="T914" s="102"/>
      <c r="U914" s="102"/>
      <c r="V914" s="102"/>
      <c r="W914" s="102"/>
      <c r="X914" s="102"/>
      <c r="Y914" s="102"/>
      <c r="Z914" s="102"/>
      <c r="AA914" s="102"/>
      <c r="AB914" s="102"/>
      <c r="AC914" s="102"/>
      <c r="AD914" s="102"/>
      <c r="AE914" s="102"/>
      <c r="AF914" s="102"/>
      <c r="AG914" s="102"/>
      <c r="AH914" s="102"/>
      <c r="AI914" s="102"/>
      <c r="AJ914" s="102"/>
      <c r="AK914" s="102"/>
      <c r="AL914" s="102"/>
      <c r="AM914" s="102"/>
      <c r="AN914" s="102"/>
      <c r="AO914" s="400"/>
      <c r="AP914" s="90"/>
      <c r="AQ914" s="90"/>
      <c r="AR914" s="90"/>
      <c r="AS914" s="90"/>
      <c r="AT914" s="90"/>
      <c r="AU914" s="90"/>
      <c r="AV914" s="90"/>
      <c r="AW914" s="90"/>
      <c r="AX914" s="90"/>
      <c r="AY914" s="90"/>
      <c r="AZ914" s="90"/>
      <c r="BA914" s="90"/>
      <c r="BB914" s="90"/>
      <c r="BC914" s="90"/>
      <c r="BD914" s="90"/>
      <c r="BE914" s="90"/>
      <c r="BF914" s="90"/>
      <c r="BG914" s="90"/>
      <c r="BH914" s="90"/>
      <c r="BI914" s="90"/>
    </row>
    <row r="915" ht="12.75" customHeight="1">
      <c r="A915" s="90"/>
      <c r="B915" s="90"/>
      <c r="C915" s="400"/>
      <c r="D915" s="90"/>
      <c r="E915" s="102"/>
      <c r="F915" s="90"/>
      <c r="G915" s="90"/>
      <c r="H915" s="102"/>
      <c r="I915" s="102"/>
      <c r="J915" s="102"/>
      <c r="K915" s="102"/>
      <c r="L915" s="102"/>
      <c r="M915" s="102"/>
      <c r="N915" s="102"/>
      <c r="O915" s="102"/>
      <c r="P915" s="102"/>
      <c r="Q915" s="102"/>
      <c r="R915" s="102"/>
      <c r="S915" s="102"/>
      <c r="T915" s="102"/>
      <c r="U915" s="102"/>
      <c r="V915" s="102"/>
      <c r="W915" s="102"/>
      <c r="X915" s="102"/>
      <c r="Y915" s="102"/>
      <c r="Z915" s="102"/>
      <c r="AA915" s="102"/>
      <c r="AB915" s="102"/>
      <c r="AC915" s="102"/>
      <c r="AD915" s="102"/>
      <c r="AE915" s="102"/>
      <c r="AF915" s="102"/>
      <c r="AG915" s="102"/>
      <c r="AH915" s="102"/>
      <c r="AI915" s="102"/>
      <c r="AJ915" s="102"/>
      <c r="AK915" s="102"/>
      <c r="AL915" s="102"/>
      <c r="AM915" s="102"/>
      <c r="AN915" s="102"/>
      <c r="AO915" s="400"/>
      <c r="AP915" s="90"/>
      <c r="AQ915" s="90"/>
      <c r="AR915" s="90"/>
      <c r="AS915" s="90"/>
      <c r="AT915" s="90"/>
      <c r="AU915" s="90"/>
      <c r="AV915" s="90"/>
      <c r="AW915" s="90"/>
      <c r="AX915" s="90"/>
      <c r="AY915" s="90"/>
      <c r="AZ915" s="90"/>
      <c r="BA915" s="90"/>
      <c r="BB915" s="90"/>
      <c r="BC915" s="90"/>
      <c r="BD915" s="90"/>
      <c r="BE915" s="90"/>
      <c r="BF915" s="90"/>
      <c r="BG915" s="90"/>
      <c r="BH915" s="90"/>
      <c r="BI915" s="90"/>
    </row>
    <row r="916" ht="12.75" customHeight="1">
      <c r="A916" s="90"/>
      <c r="B916" s="90"/>
      <c r="C916" s="400"/>
      <c r="D916" s="90"/>
      <c r="E916" s="102"/>
      <c r="F916" s="90"/>
      <c r="G916" s="90"/>
      <c r="H916" s="102"/>
      <c r="I916" s="102"/>
      <c r="J916" s="102"/>
      <c r="K916" s="102"/>
      <c r="L916" s="102"/>
      <c r="M916" s="102"/>
      <c r="N916" s="102"/>
      <c r="O916" s="102"/>
      <c r="P916" s="102"/>
      <c r="Q916" s="102"/>
      <c r="R916" s="102"/>
      <c r="S916" s="102"/>
      <c r="T916" s="102"/>
      <c r="U916" s="102"/>
      <c r="V916" s="102"/>
      <c r="W916" s="102"/>
      <c r="X916" s="102"/>
      <c r="Y916" s="102"/>
      <c r="Z916" s="102"/>
      <c r="AA916" s="102"/>
      <c r="AB916" s="102"/>
      <c r="AC916" s="102"/>
      <c r="AD916" s="102"/>
      <c r="AE916" s="102"/>
      <c r="AF916" s="102"/>
      <c r="AG916" s="102"/>
      <c r="AH916" s="102"/>
      <c r="AI916" s="102"/>
      <c r="AJ916" s="102"/>
      <c r="AK916" s="102"/>
      <c r="AL916" s="102"/>
      <c r="AM916" s="102"/>
      <c r="AN916" s="102"/>
      <c r="AO916" s="400"/>
      <c r="AP916" s="90"/>
      <c r="AQ916" s="90"/>
      <c r="AR916" s="90"/>
      <c r="AS916" s="90"/>
      <c r="AT916" s="90"/>
      <c r="AU916" s="90"/>
      <c r="AV916" s="90"/>
      <c r="AW916" s="90"/>
      <c r="AX916" s="90"/>
      <c r="AY916" s="90"/>
      <c r="AZ916" s="90"/>
      <c r="BA916" s="90"/>
      <c r="BB916" s="90"/>
      <c r="BC916" s="90"/>
      <c r="BD916" s="90"/>
      <c r="BE916" s="90"/>
      <c r="BF916" s="90"/>
      <c r="BG916" s="90"/>
      <c r="BH916" s="90"/>
      <c r="BI916" s="90"/>
    </row>
    <row r="917" ht="12.75" customHeight="1">
      <c r="A917" s="90"/>
      <c r="B917" s="90"/>
      <c r="C917" s="400"/>
      <c r="D917" s="90"/>
      <c r="E917" s="102"/>
      <c r="F917" s="90"/>
      <c r="G917" s="90"/>
      <c r="H917" s="102"/>
      <c r="I917" s="102"/>
      <c r="J917" s="102"/>
      <c r="K917" s="102"/>
      <c r="L917" s="102"/>
      <c r="M917" s="102"/>
      <c r="N917" s="102"/>
      <c r="O917" s="102"/>
      <c r="P917" s="102"/>
      <c r="Q917" s="102"/>
      <c r="R917" s="102"/>
      <c r="S917" s="102"/>
      <c r="T917" s="102"/>
      <c r="U917" s="102"/>
      <c r="V917" s="102"/>
      <c r="W917" s="102"/>
      <c r="X917" s="102"/>
      <c r="Y917" s="102"/>
      <c r="Z917" s="102"/>
      <c r="AA917" s="102"/>
      <c r="AB917" s="102"/>
      <c r="AC917" s="102"/>
      <c r="AD917" s="102"/>
      <c r="AE917" s="102"/>
      <c r="AF917" s="102"/>
      <c r="AG917" s="102"/>
      <c r="AH917" s="102"/>
      <c r="AI917" s="102"/>
      <c r="AJ917" s="102"/>
      <c r="AK917" s="102"/>
      <c r="AL917" s="102"/>
      <c r="AM917" s="102"/>
      <c r="AN917" s="102"/>
      <c r="AO917" s="400"/>
      <c r="AP917" s="90"/>
      <c r="AQ917" s="90"/>
      <c r="AR917" s="90"/>
      <c r="AS917" s="90"/>
      <c r="AT917" s="90"/>
      <c r="AU917" s="90"/>
      <c r="AV917" s="90"/>
      <c r="AW917" s="90"/>
      <c r="AX917" s="90"/>
      <c r="AY917" s="90"/>
      <c r="AZ917" s="90"/>
      <c r="BA917" s="90"/>
      <c r="BB917" s="90"/>
      <c r="BC917" s="90"/>
      <c r="BD917" s="90"/>
      <c r="BE917" s="90"/>
      <c r="BF917" s="90"/>
      <c r="BG917" s="90"/>
      <c r="BH917" s="90"/>
      <c r="BI917" s="90"/>
    </row>
    <row r="918" ht="12.75" customHeight="1">
      <c r="A918" s="90"/>
      <c r="B918" s="90"/>
      <c r="C918" s="400"/>
      <c r="D918" s="90"/>
      <c r="E918" s="102"/>
      <c r="F918" s="90"/>
      <c r="G918" s="90"/>
      <c r="H918" s="102"/>
      <c r="I918" s="102"/>
      <c r="J918" s="102"/>
      <c r="K918" s="102"/>
      <c r="L918" s="102"/>
      <c r="M918" s="102"/>
      <c r="N918" s="102"/>
      <c r="O918" s="102"/>
      <c r="P918" s="102"/>
      <c r="Q918" s="102"/>
      <c r="R918" s="102"/>
      <c r="S918" s="102"/>
      <c r="T918" s="102"/>
      <c r="U918" s="102"/>
      <c r="V918" s="102"/>
      <c r="W918" s="102"/>
      <c r="X918" s="102"/>
      <c r="Y918" s="102"/>
      <c r="Z918" s="102"/>
      <c r="AA918" s="102"/>
      <c r="AB918" s="102"/>
      <c r="AC918" s="102"/>
      <c r="AD918" s="102"/>
      <c r="AE918" s="102"/>
      <c r="AF918" s="102"/>
      <c r="AG918" s="102"/>
      <c r="AH918" s="102"/>
      <c r="AI918" s="102"/>
      <c r="AJ918" s="102"/>
      <c r="AK918" s="102"/>
      <c r="AL918" s="102"/>
      <c r="AM918" s="102"/>
      <c r="AN918" s="102"/>
      <c r="AO918" s="400"/>
      <c r="AP918" s="90"/>
      <c r="AQ918" s="90"/>
      <c r="AR918" s="90"/>
      <c r="AS918" s="90"/>
      <c r="AT918" s="90"/>
      <c r="AU918" s="90"/>
      <c r="AV918" s="90"/>
      <c r="AW918" s="90"/>
      <c r="AX918" s="90"/>
      <c r="AY918" s="90"/>
      <c r="AZ918" s="90"/>
      <c r="BA918" s="90"/>
      <c r="BB918" s="90"/>
      <c r="BC918" s="90"/>
      <c r="BD918" s="90"/>
      <c r="BE918" s="90"/>
      <c r="BF918" s="90"/>
      <c r="BG918" s="90"/>
      <c r="BH918" s="90"/>
      <c r="BI918" s="90"/>
    </row>
    <row r="919" ht="12.75" customHeight="1">
      <c r="A919" s="90"/>
      <c r="B919" s="90"/>
      <c r="C919" s="400"/>
      <c r="D919" s="90"/>
      <c r="E919" s="102"/>
      <c r="F919" s="90"/>
      <c r="G919" s="90"/>
      <c r="H919" s="102"/>
      <c r="I919" s="102"/>
      <c r="J919" s="102"/>
      <c r="K919" s="102"/>
      <c r="L919" s="102"/>
      <c r="M919" s="102"/>
      <c r="N919" s="102"/>
      <c r="O919" s="102"/>
      <c r="P919" s="102"/>
      <c r="Q919" s="102"/>
      <c r="R919" s="102"/>
      <c r="S919" s="102"/>
      <c r="T919" s="102"/>
      <c r="U919" s="102"/>
      <c r="V919" s="102"/>
      <c r="W919" s="102"/>
      <c r="X919" s="102"/>
      <c r="Y919" s="102"/>
      <c r="Z919" s="102"/>
      <c r="AA919" s="102"/>
      <c r="AB919" s="102"/>
      <c r="AC919" s="102"/>
      <c r="AD919" s="102"/>
      <c r="AE919" s="102"/>
      <c r="AF919" s="102"/>
      <c r="AG919" s="102"/>
      <c r="AH919" s="102"/>
      <c r="AI919" s="102"/>
      <c r="AJ919" s="102"/>
      <c r="AK919" s="102"/>
      <c r="AL919" s="102"/>
      <c r="AM919" s="102"/>
      <c r="AN919" s="102"/>
      <c r="AO919" s="400"/>
      <c r="AP919" s="90"/>
      <c r="AQ919" s="90"/>
      <c r="AR919" s="90"/>
      <c r="AS919" s="90"/>
      <c r="AT919" s="90"/>
      <c r="AU919" s="90"/>
      <c r="AV919" s="90"/>
      <c r="AW919" s="90"/>
      <c r="AX919" s="90"/>
      <c r="AY919" s="90"/>
      <c r="AZ919" s="90"/>
      <c r="BA919" s="90"/>
      <c r="BB919" s="90"/>
      <c r="BC919" s="90"/>
      <c r="BD919" s="90"/>
      <c r="BE919" s="90"/>
      <c r="BF919" s="90"/>
      <c r="BG919" s="90"/>
      <c r="BH919" s="90"/>
      <c r="BI919" s="90"/>
    </row>
    <row r="920" ht="12.75" customHeight="1">
      <c r="A920" s="90"/>
      <c r="B920" s="90"/>
      <c r="C920" s="400"/>
      <c r="D920" s="90"/>
      <c r="E920" s="102"/>
      <c r="F920" s="90"/>
      <c r="G920" s="90"/>
      <c r="H920" s="102"/>
      <c r="I920" s="102"/>
      <c r="J920" s="102"/>
      <c r="K920" s="102"/>
      <c r="L920" s="102"/>
      <c r="M920" s="102"/>
      <c r="N920" s="102"/>
      <c r="O920" s="102"/>
      <c r="P920" s="102"/>
      <c r="Q920" s="102"/>
      <c r="R920" s="102"/>
      <c r="S920" s="102"/>
      <c r="T920" s="102"/>
      <c r="U920" s="102"/>
      <c r="V920" s="102"/>
      <c r="W920" s="102"/>
      <c r="X920" s="102"/>
      <c r="Y920" s="102"/>
      <c r="Z920" s="102"/>
      <c r="AA920" s="102"/>
      <c r="AB920" s="102"/>
      <c r="AC920" s="102"/>
      <c r="AD920" s="102"/>
      <c r="AE920" s="102"/>
      <c r="AF920" s="102"/>
      <c r="AG920" s="102"/>
      <c r="AH920" s="102"/>
      <c r="AI920" s="102"/>
      <c r="AJ920" s="102"/>
      <c r="AK920" s="102"/>
      <c r="AL920" s="102"/>
      <c r="AM920" s="102"/>
      <c r="AN920" s="102"/>
      <c r="AO920" s="400"/>
      <c r="AP920" s="90"/>
      <c r="AQ920" s="90"/>
      <c r="AR920" s="90"/>
      <c r="AS920" s="90"/>
      <c r="AT920" s="90"/>
      <c r="AU920" s="90"/>
      <c r="AV920" s="90"/>
      <c r="AW920" s="90"/>
      <c r="AX920" s="90"/>
      <c r="AY920" s="90"/>
      <c r="AZ920" s="90"/>
      <c r="BA920" s="90"/>
      <c r="BB920" s="90"/>
      <c r="BC920" s="90"/>
      <c r="BD920" s="90"/>
      <c r="BE920" s="90"/>
      <c r="BF920" s="90"/>
      <c r="BG920" s="90"/>
      <c r="BH920" s="90"/>
      <c r="BI920" s="90"/>
    </row>
    <row r="921" ht="12.75" customHeight="1">
      <c r="A921" s="90"/>
      <c r="B921" s="90"/>
      <c r="C921" s="400"/>
      <c r="D921" s="90"/>
      <c r="E921" s="102"/>
      <c r="F921" s="90"/>
      <c r="G921" s="90"/>
      <c r="H921" s="102"/>
      <c r="I921" s="102"/>
      <c r="J921" s="102"/>
      <c r="K921" s="102"/>
      <c r="L921" s="102"/>
      <c r="M921" s="102"/>
      <c r="N921" s="102"/>
      <c r="O921" s="102"/>
      <c r="P921" s="102"/>
      <c r="Q921" s="102"/>
      <c r="R921" s="102"/>
      <c r="S921" s="102"/>
      <c r="T921" s="102"/>
      <c r="U921" s="102"/>
      <c r="V921" s="102"/>
      <c r="W921" s="102"/>
      <c r="X921" s="102"/>
      <c r="Y921" s="102"/>
      <c r="Z921" s="102"/>
      <c r="AA921" s="102"/>
      <c r="AB921" s="102"/>
      <c r="AC921" s="102"/>
      <c r="AD921" s="102"/>
      <c r="AE921" s="102"/>
      <c r="AF921" s="102"/>
      <c r="AG921" s="102"/>
      <c r="AH921" s="102"/>
      <c r="AI921" s="102"/>
      <c r="AJ921" s="102"/>
      <c r="AK921" s="102"/>
      <c r="AL921" s="102"/>
      <c r="AM921" s="102"/>
      <c r="AN921" s="102"/>
      <c r="AO921" s="400"/>
      <c r="AP921" s="90"/>
      <c r="AQ921" s="90"/>
      <c r="AR921" s="90"/>
      <c r="AS921" s="90"/>
      <c r="AT921" s="90"/>
      <c r="AU921" s="90"/>
      <c r="AV921" s="90"/>
      <c r="AW921" s="90"/>
      <c r="AX921" s="90"/>
      <c r="AY921" s="90"/>
      <c r="AZ921" s="90"/>
      <c r="BA921" s="90"/>
      <c r="BB921" s="90"/>
      <c r="BC921" s="90"/>
      <c r="BD921" s="90"/>
      <c r="BE921" s="90"/>
      <c r="BF921" s="90"/>
      <c r="BG921" s="90"/>
      <c r="BH921" s="90"/>
      <c r="BI921" s="90"/>
    </row>
    <row r="922" ht="12.75" customHeight="1">
      <c r="A922" s="90"/>
      <c r="B922" s="90"/>
      <c r="C922" s="400"/>
      <c r="D922" s="90"/>
      <c r="E922" s="102"/>
      <c r="F922" s="90"/>
      <c r="G922" s="90"/>
      <c r="H922" s="102"/>
      <c r="I922" s="102"/>
      <c r="J922" s="102"/>
      <c r="K922" s="102"/>
      <c r="L922" s="102"/>
      <c r="M922" s="102"/>
      <c r="N922" s="102"/>
      <c r="O922" s="102"/>
      <c r="P922" s="102"/>
      <c r="Q922" s="102"/>
      <c r="R922" s="102"/>
      <c r="S922" s="102"/>
      <c r="T922" s="102"/>
      <c r="U922" s="102"/>
      <c r="V922" s="102"/>
      <c r="W922" s="102"/>
      <c r="X922" s="102"/>
      <c r="Y922" s="102"/>
      <c r="Z922" s="102"/>
      <c r="AA922" s="102"/>
      <c r="AB922" s="102"/>
      <c r="AC922" s="102"/>
      <c r="AD922" s="102"/>
      <c r="AE922" s="102"/>
      <c r="AF922" s="102"/>
      <c r="AG922" s="102"/>
      <c r="AH922" s="102"/>
      <c r="AI922" s="102"/>
      <c r="AJ922" s="102"/>
      <c r="AK922" s="102"/>
      <c r="AL922" s="102"/>
      <c r="AM922" s="102"/>
      <c r="AN922" s="102"/>
      <c r="AO922" s="400"/>
      <c r="AP922" s="90"/>
      <c r="AQ922" s="90"/>
      <c r="AR922" s="90"/>
      <c r="AS922" s="90"/>
      <c r="AT922" s="90"/>
      <c r="AU922" s="90"/>
      <c r="AV922" s="90"/>
      <c r="AW922" s="90"/>
      <c r="AX922" s="90"/>
      <c r="AY922" s="90"/>
      <c r="AZ922" s="90"/>
      <c r="BA922" s="90"/>
      <c r="BB922" s="90"/>
      <c r="BC922" s="90"/>
      <c r="BD922" s="90"/>
      <c r="BE922" s="90"/>
      <c r="BF922" s="90"/>
      <c r="BG922" s="90"/>
      <c r="BH922" s="90"/>
      <c r="BI922" s="90"/>
    </row>
    <row r="923" ht="12.75" customHeight="1">
      <c r="A923" s="90"/>
      <c r="B923" s="90"/>
      <c r="C923" s="400"/>
      <c r="D923" s="90"/>
      <c r="E923" s="102"/>
      <c r="F923" s="90"/>
      <c r="G923" s="90"/>
      <c r="H923" s="102"/>
      <c r="I923" s="102"/>
      <c r="J923" s="102"/>
      <c r="K923" s="102"/>
      <c r="L923" s="102"/>
      <c r="M923" s="102"/>
      <c r="N923" s="102"/>
      <c r="O923" s="102"/>
      <c r="P923" s="102"/>
      <c r="Q923" s="102"/>
      <c r="R923" s="102"/>
      <c r="S923" s="102"/>
      <c r="T923" s="102"/>
      <c r="U923" s="102"/>
      <c r="V923" s="102"/>
      <c r="W923" s="102"/>
      <c r="X923" s="102"/>
      <c r="Y923" s="102"/>
      <c r="Z923" s="102"/>
      <c r="AA923" s="102"/>
      <c r="AB923" s="102"/>
      <c r="AC923" s="102"/>
      <c r="AD923" s="102"/>
      <c r="AE923" s="102"/>
      <c r="AF923" s="102"/>
      <c r="AG923" s="102"/>
      <c r="AH923" s="102"/>
      <c r="AI923" s="102"/>
      <c r="AJ923" s="102"/>
      <c r="AK923" s="102"/>
      <c r="AL923" s="102"/>
      <c r="AM923" s="102"/>
      <c r="AN923" s="102"/>
      <c r="AO923" s="400"/>
      <c r="AP923" s="90"/>
      <c r="AQ923" s="90"/>
      <c r="AR923" s="90"/>
      <c r="AS923" s="90"/>
      <c r="AT923" s="90"/>
      <c r="AU923" s="90"/>
      <c r="AV923" s="90"/>
      <c r="AW923" s="90"/>
      <c r="AX923" s="90"/>
      <c r="AY923" s="90"/>
      <c r="AZ923" s="90"/>
      <c r="BA923" s="90"/>
      <c r="BB923" s="90"/>
      <c r="BC923" s="90"/>
      <c r="BD923" s="90"/>
      <c r="BE923" s="90"/>
      <c r="BF923" s="90"/>
      <c r="BG923" s="90"/>
      <c r="BH923" s="90"/>
      <c r="BI923" s="90"/>
    </row>
    <row r="924" ht="12.75" customHeight="1">
      <c r="A924" s="90"/>
      <c r="B924" s="90"/>
      <c r="C924" s="400"/>
      <c r="D924" s="90"/>
      <c r="E924" s="102"/>
      <c r="F924" s="90"/>
      <c r="G924" s="90"/>
      <c r="H924" s="102"/>
      <c r="I924" s="102"/>
      <c r="J924" s="102"/>
      <c r="K924" s="102"/>
      <c r="L924" s="102"/>
      <c r="M924" s="102"/>
      <c r="N924" s="102"/>
      <c r="O924" s="102"/>
      <c r="P924" s="102"/>
      <c r="Q924" s="102"/>
      <c r="R924" s="102"/>
      <c r="S924" s="102"/>
      <c r="T924" s="102"/>
      <c r="U924" s="102"/>
      <c r="V924" s="102"/>
      <c r="W924" s="102"/>
      <c r="X924" s="102"/>
      <c r="Y924" s="102"/>
      <c r="Z924" s="102"/>
      <c r="AA924" s="102"/>
      <c r="AB924" s="102"/>
      <c r="AC924" s="102"/>
      <c r="AD924" s="102"/>
      <c r="AE924" s="102"/>
      <c r="AF924" s="102"/>
      <c r="AG924" s="102"/>
      <c r="AH924" s="102"/>
      <c r="AI924" s="102"/>
      <c r="AJ924" s="102"/>
      <c r="AK924" s="102"/>
      <c r="AL924" s="102"/>
      <c r="AM924" s="102"/>
      <c r="AN924" s="102"/>
      <c r="AO924" s="400"/>
      <c r="AP924" s="90"/>
      <c r="AQ924" s="90"/>
      <c r="AR924" s="90"/>
      <c r="AS924" s="90"/>
      <c r="AT924" s="90"/>
      <c r="AU924" s="90"/>
      <c r="AV924" s="90"/>
      <c r="AW924" s="90"/>
      <c r="AX924" s="90"/>
      <c r="AY924" s="90"/>
      <c r="AZ924" s="90"/>
      <c r="BA924" s="90"/>
      <c r="BB924" s="90"/>
      <c r="BC924" s="90"/>
      <c r="BD924" s="90"/>
      <c r="BE924" s="90"/>
      <c r="BF924" s="90"/>
      <c r="BG924" s="90"/>
      <c r="BH924" s="90"/>
      <c r="BI924" s="90"/>
    </row>
    <row r="925" ht="12.75" customHeight="1">
      <c r="A925" s="90"/>
      <c r="B925" s="90"/>
      <c r="C925" s="400"/>
      <c r="D925" s="90"/>
      <c r="E925" s="102"/>
      <c r="F925" s="90"/>
      <c r="G925" s="90"/>
      <c r="H925" s="102"/>
      <c r="I925" s="102"/>
      <c r="J925" s="102"/>
      <c r="K925" s="102"/>
      <c r="L925" s="102"/>
      <c r="M925" s="102"/>
      <c r="N925" s="102"/>
      <c r="O925" s="102"/>
      <c r="P925" s="102"/>
      <c r="Q925" s="102"/>
      <c r="R925" s="102"/>
      <c r="S925" s="102"/>
      <c r="T925" s="102"/>
      <c r="U925" s="102"/>
      <c r="V925" s="102"/>
      <c r="W925" s="102"/>
      <c r="X925" s="102"/>
      <c r="Y925" s="102"/>
      <c r="Z925" s="102"/>
      <c r="AA925" s="102"/>
      <c r="AB925" s="102"/>
      <c r="AC925" s="102"/>
      <c r="AD925" s="102"/>
      <c r="AE925" s="102"/>
      <c r="AF925" s="102"/>
      <c r="AG925" s="102"/>
      <c r="AH925" s="102"/>
      <c r="AI925" s="102"/>
      <c r="AJ925" s="102"/>
      <c r="AK925" s="102"/>
      <c r="AL925" s="102"/>
      <c r="AM925" s="102"/>
      <c r="AN925" s="102"/>
      <c r="AO925" s="400"/>
      <c r="AP925" s="90"/>
      <c r="AQ925" s="90"/>
      <c r="AR925" s="90"/>
      <c r="AS925" s="90"/>
      <c r="AT925" s="90"/>
      <c r="AU925" s="90"/>
      <c r="AV925" s="90"/>
      <c r="AW925" s="90"/>
      <c r="AX925" s="90"/>
      <c r="AY925" s="90"/>
      <c r="AZ925" s="90"/>
      <c r="BA925" s="90"/>
      <c r="BB925" s="90"/>
      <c r="BC925" s="90"/>
      <c r="BD925" s="90"/>
      <c r="BE925" s="90"/>
      <c r="BF925" s="90"/>
      <c r="BG925" s="90"/>
      <c r="BH925" s="90"/>
      <c r="BI925" s="90"/>
    </row>
    <row r="926" ht="12.75" customHeight="1">
      <c r="A926" s="90"/>
      <c r="B926" s="90"/>
      <c r="C926" s="400"/>
      <c r="D926" s="90"/>
      <c r="E926" s="102"/>
      <c r="F926" s="90"/>
      <c r="G926" s="90"/>
      <c r="H926" s="102"/>
      <c r="I926" s="102"/>
      <c r="J926" s="102"/>
      <c r="K926" s="102"/>
      <c r="L926" s="102"/>
      <c r="M926" s="102"/>
      <c r="N926" s="102"/>
      <c r="O926" s="102"/>
      <c r="P926" s="102"/>
      <c r="Q926" s="102"/>
      <c r="R926" s="102"/>
      <c r="S926" s="102"/>
      <c r="T926" s="102"/>
      <c r="U926" s="102"/>
      <c r="V926" s="102"/>
      <c r="W926" s="102"/>
      <c r="X926" s="102"/>
      <c r="Y926" s="102"/>
      <c r="Z926" s="102"/>
      <c r="AA926" s="102"/>
      <c r="AB926" s="102"/>
      <c r="AC926" s="102"/>
      <c r="AD926" s="102"/>
      <c r="AE926" s="102"/>
      <c r="AF926" s="102"/>
      <c r="AG926" s="102"/>
      <c r="AH926" s="102"/>
      <c r="AI926" s="102"/>
      <c r="AJ926" s="102"/>
      <c r="AK926" s="102"/>
      <c r="AL926" s="102"/>
      <c r="AM926" s="102"/>
      <c r="AN926" s="102"/>
      <c r="AO926" s="400"/>
      <c r="AP926" s="90"/>
      <c r="AQ926" s="90"/>
      <c r="AR926" s="90"/>
      <c r="AS926" s="90"/>
      <c r="AT926" s="90"/>
      <c r="AU926" s="90"/>
      <c r="AV926" s="90"/>
      <c r="AW926" s="90"/>
      <c r="AX926" s="90"/>
      <c r="AY926" s="90"/>
      <c r="AZ926" s="90"/>
      <c r="BA926" s="90"/>
      <c r="BB926" s="90"/>
      <c r="BC926" s="90"/>
      <c r="BD926" s="90"/>
      <c r="BE926" s="90"/>
      <c r="BF926" s="90"/>
      <c r="BG926" s="90"/>
      <c r="BH926" s="90"/>
      <c r="BI926" s="90"/>
    </row>
    <row r="927" ht="12.75" customHeight="1">
      <c r="A927" s="90"/>
      <c r="B927" s="90"/>
      <c r="C927" s="400"/>
      <c r="D927" s="90"/>
      <c r="E927" s="102"/>
      <c r="F927" s="90"/>
      <c r="G927" s="90"/>
      <c r="H927" s="102"/>
      <c r="I927" s="102"/>
      <c r="J927" s="102"/>
      <c r="K927" s="102"/>
      <c r="L927" s="102"/>
      <c r="M927" s="102"/>
      <c r="N927" s="102"/>
      <c r="O927" s="102"/>
      <c r="P927" s="102"/>
      <c r="Q927" s="102"/>
      <c r="R927" s="102"/>
      <c r="S927" s="102"/>
      <c r="T927" s="102"/>
      <c r="U927" s="102"/>
      <c r="V927" s="102"/>
      <c r="W927" s="102"/>
      <c r="X927" s="102"/>
      <c r="Y927" s="102"/>
      <c r="Z927" s="102"/>
      <c r="AA927" s="102"/>
      <c r="AB927" s="102"/>
      <c r="AC927" s="102"/>
      <c r="AD927" s="102"/>
      <c r="AE927" s="102"/>
      <c r="AF927" s="102"/>
      <c r="AG927" s="102"/>
      <c r="AH927" s="102"/>
      <c r="AI927" s="102"/>
      <c r="AJ927" s="102"/>
      <c r="AK927" s="102"/>
      <c r="AL927" s="102"/>
      <c r="AM927" s="102"/>
      <c r="AN927" s="102"/>
      <c r="AO927" s="400"/>
      <c r="AP927" s="90"/>
      <c r="AQ927" s="90"/>
      <c r="AR927" s="90"/>
      <c r="AS927" s="90"/>
      <c r="AT927" s="90"/>
      <c r="AU927" s="90"/>
      <c r="AV927" s="90"/>
      <c r="AW927" s="90"/>
      <c r="AX927" s="90"/>
      <c r="AY927" s="90"/>
      <c r="AZ927" s="90"/>
      <c r="BA927" s="90"/>
      <c r="BB927" s="90"/>
      <c r="BC927" s="90"/>
      <c r="BD927" s="90"/>
      <c r="BE927" s="90"/>
      <c r="BF927" s="90"/>
      <c r="BG927" s="90"/>
      <c r="BH927" s="90"/>
      <c r="BI927" s="90"/>
    </row>
    <row r="928" ht="12.75" customHeight="1">
      <c r="A928" s="90"/>
      <c r="B928" s="90"/>
      <c r="C928" s="400"/>
      <c r="D928" s="90"/>
      <c r="E928" s="102"/>
      <c r="F928" s="90"/>
      <c r="G928" s="90"/>
      <c r="H928" s="102"/>
      <c r="I928" s="102"/>
      <c r="J928" s="102"/>
      <c r="K928" s="102"/>
      <c r="L928" s="102"/>
      <c r="M928" s="102"/>
      <c r="N928" s="102"/>
      <c r="O928" s="102"/>
      <c r="P928" s="102"/>
      <c r="Q928" s="102"/>
      <c r="R928" s="102"/>
      <c r="S928" s="102"/>
      <c r="T928" s="102"/>
      <c r="U928" s="102"/>
      <c r="V928" s="102"/>
      <c r="W928" s="102"/>
      <c r="X928" s="102"/>
      <c r="Y928" s="102"/>
      <c r="Z928" s="102"/>
      <c r="AA928" s="102"/>
      <c r="AB928" s="102"/>
      <c r="AC928" s="102"/>
      <c r="AD928" s="102"/>
      <c r="AE928" s="102"/>
      <c r="AF928" s="102"/>
      <c r="AG928" s="102"/>
      <c r="AH928" s="102"/>
      <c r="AI928" s="102"/>
      <c r="AJ928" s="102"/>
      <c r="AK928" s="102"/>
      <c r="AL928" s="102"/>
      <c r="AM928" s="102"/>
      <c r="AN928" s="102"/>
      <c r="AO928" s="400"/>
      <c r="AP928" s="90"/>
      <c r="AQ928" s="90"/>
      <c r="AR928" s="90"/>
      <c r="AS928" s="90"/>
      <c r="AT928" s="90"/>
      <c r="AU928" s="90"/>
      <c r="AV928" s="90"/>
      <c r="AW928" s="90"/>
      <c r="AX928" s="90"/>
      <c r="AY928" s="90"/>
      <c r="AZ928" s="90"/>
      <c r="BA928" s="90"/>
      <c r="BB928" s="90"/>
      <c r="BC928" s="90"/>
      <c r="BD928" s="90"/>
      <c r="BE928" s="90"/>
      <c r="BF928" s="90"/>
      <c r="BG928" s="90"/>
      <c r="BH928" s="90"/>
      <c r="BI928" s="90"/>
    </row>
    <row r="929" ht="12.75" customHeight="1">
      <c r="A929" s="90"/>
      <c r="B929" s="90"/>
      <c r="C929" s="400"/>
      <c r="D929" s="90"/>
      <c r="E929" s="102"/>
      <c r="F929" s="90"/>
      <c r="G929" s="90"/>
      <c r="H929" s="102"/>
      <c r="I929" s="102"/>
      <c r="J929" s="102"/>
      <c r="K929" s="102"/>
      <c r="L929" s="102"/>
      <c r="M929" s="102"/>
      <c r="N929" s="102"/>
      <c r="O929" s="102"/>
      <c r="P929" s="102"/>
      <c r="Q929" s="102"/>
      <c r="R929" s="102"/>
      <c r="S929" s="102"/>
      <c r="T929" s="102"/>
      <c r="U929" s="102"/>
      <c r="V929" s="102"/>
      <c r="W929" s="102"/>
      <c r="X929" s="102"/>
      <c r="Y929" s="102"/>
      <c r="Z929" s="102"/>
      <c r="AA929" s="102"/>
      <c r="AB929" s="102"/>
      <c r="AC929" s="102"/>
      <c r="AD929" s="102"/>
      <c r="AE929" s="102"/>
      <c r="AF929" s="102"/>
      <c r="AG929" s="102"/>
      <c r="AH929" s="102"/>
      <c r="AI929" s="102"/>
      <c r="AJ929" s="102"/>
      <c r="AK929" s="102"/>
      <c r="AL929" s="102"/>
      <c r="AM929" s="102"/>
      <c r="AN929" s="102"/>
      <c r="AO929" s="400"/>
      <c r="AP929" s="90"/>
      <c r="AQ929" s="90"/>
      <c r="AR929" s="90"/>
      <c r="AS929" s="90"/>
      <c r="AT929" s="90"/>
      <c r="AU929" s="90"/>
      <c r="AV929" s="90"/>
      <c r="AW929" s="90"/>
      <c r="AX929" s="90"/>
      <c r="AY929" s="90"/>
      <c r="AZ929" s="90"/>
      <c r="BA929" s="90"/>
      <c r="BB929" s="90"/>
      <c r="BC929" s="90"/>
      <c r="BD929" s="90"/>
      <c r="BE929" s="90"/>
      <c r="BF929" s="90"/>
      <c r="BG929" s="90"/>
      <c r="BH929" s="90"/>
      <c r="BI929" s="90"/>
    </row>
    <row r="930" ht="12.75" customHeight="1">
      <c r="A930" s="90"/>
      <c r="B930" s="90"/>
      <c r="C930" s="400"/>
      <c r="D930" s="90"/>
      <c r="E930" s="102"/>
      <c r="F930" s="90"/>
      <c r="G930" s="90"/>
      <c r="H930" s="102"/>
      <c r="I930" s="102"/>
      <c r="J930" s="102"/>
      <c r="K930" s="102"/>
      <c r="L930" s="102"/>
      <c r="M930" s="102"/>
      <c r="N930" s="102"/>
      <c r="O930" s="102"/>
      <c r="P930" s="102"/>
      <c r="Q930" s="102"/>
      <c r="R930" s="102"/>
      <c r="S930" s="102"/>
      <c r="T930" s="102"/>
      <c r="U930" s="102"/>
      <c r="V930" s="102"/>
      <c r="W930" s="102"/>
      <c r="X930" s="102"/>
      <c r="Y930" s="102"/>
      <c r="Z930" s="102"/>
      <c r="AA930" s="102"/>
      <c r="AB930" s="102"/>
      <c r="AC930" s="102"/>
      <c r="AD930" s="102"/>
      <c r="AE930" s="102"/>
      <c r="AF930" s="102"/>
      <c r="AG930" s="102"/>
      <c r="AH930" s="102"/>
      <c r="AI930" s="102"/>
      <c r="AJ930" s="102"/>
      <c r="AK930" s="102"/>
      <c r="AL930" s="102"/>
      <c r="AM930" s="102"/>
      <c r="AN930" s="102"/>
      <c r="AO930" s="400"/>
      <c r="AP930" s="90"/>
      <c r="AQ930" s="90"/>
      <c r="AR930" s="90"/>
      <c r="AS930" s="90"/>
      <c r="AT930" s="90"/>
      <c r="AU930" s="90"/>
      <c r="AV930" s="90"/>
      <c r="AW930" s="90"/>
      <c r="AX930" s="90"/>
      <c r="AY930" s="90"/>
      <c r="AZ930" s="90"/>
      <c r="BA930" s="90"/>
      <c r="BB930" s="90"/>
      <c r="BC930" s="90"/>
      <c r="BD930" s="90"/>
      <c r="BE930" s="90"/>
      <c r="BF930" s="90"/>
      <c r="BG930" s="90"/>
      <c r="BH930" s="90"/>
      <c r="BI930" s="90"/>
    </row>
    <row r="931" ht="12.75" customHeight="1">
      <c r="A931" s="90"/>
      <c r="B931" s="90"/>
      <c r="C931" s="400"/>
      <c r="D931" s="90"/>
      <c r="E931" s="102"/>
      <c r="F931" s="90"/>
      <c r="G931" s="90"/>
      <c r="H931" s="102"/>
      <c r="I931" s="102"/>
      <c r="J931" s="102"/>
      <c r="K931" s="102"/>
      <c r="L931" s="102"/>
      <c r="M931" s="102"/>
      <c r="N931" s="102"/>
      <c r="O931" s="102"/>
      <c r="P931" s="102"/>
      <c r="Q931" s="102"/>
      <c r="R931" s="102"/>
      <c r="S931" s="102"/>
      <c r="T931" s="102"/>
      <c r="U931" s="102"/>
      <c r="V931" s="102"/>
      <c r="W931" s="102"/>
      <c r="X931" s="102"/>
      <c r="Y931" s="102"/>
      <c r="Z931" s="102"/>
      <c r="AA931" s="102"/>
      <c r="AB931" s="102"/>
      <c r="AC931" s="102"/>
      <c r="AD931" s="102"/>
      <c r="AE931" s="102"/>
      <c r="AF931" s="102"/>
      <c r="AG931" s="102"/>
      <c r="AH931" s="102"/>
      <c r="AI931" s="102"/>
      <c r="AJ931" s="102"/>
      <c r="AK931" s="102"/>
      <c r="AL931" s="102"/>
      <c r="AM931" s="102"/>
      <c r="AN931" s="102"/>
      <c r="AO931" s="400"/>
      <c r="AP931" s="90"/>
      <c r="AQ931" s="90"/>
      <c r="AR931" s="90"/>
      <c r="AS931" s="90"/>
      <c r="AT931" s="90"/>
      <c r="AU931" s="90"/>
      <c r="AV931" s="90"/>
      <c r="AW931" s="90"/>
      <c r="AX931" s="90"/>
      <c r="AY931" s="90"/>
      <c r="AZ931" s="90"/>
      <c r="BA931" s="90"/>
      <c r="BB931" s="90"/>
      <c r="BC931" s="90"/>
      <c r="BD931" s="90"/>
      <c r="BE931" s="90"/>
      <c r="BF931" s="90"/>
      <c r="BG931" s="90"/>
      <c r="BH931" s="90"/>
      <c r="BI931" s="90"/>
    </row>
    <row r="932" ht="12.75" customHeight="1">
      <c r="A932" s="90"/>
      <c r="B932" s="90"/>
      <c r="C932" s="400"/>
      <c r="D932" s="90"/>
      <c r="E932" s="102"/>
      <c r="F932" s="90"/>
      <c r="G932" s="90"/>
      <c r="H932" s="102"/>
      <c r="I932" s="102"/>
      <c r="J932" s="102"/>
      <c r="K932" s="102"/>
      <c r="L932" s="102"/>
      <c r="M932" s="102"/>
      <c r="N932" s="102"/>
      <c r="O932" s="102"/>
      <c r="P932" s="102"/>
      <c r="Q932" s="102"/>
      <c r="R932" s="102"/>
      <c r="S932" s="102"/>
      <c r="T932" s="102"/>
      <c r="U932" s="102"/>
      <c r="V932" s="102"/>
      <c r="W932" s="102"/>
      <c r="X932" s="102"/>
      <c r="Y932" s="102"/>
      <c r="Z932" s="102"/>
      <c r="AA932" s="102"/>
      <c r="AB932" s="102"/>
      <c r="AC932" s="102"/>
      <c r="AD932" s="102"/>
      <c r="AE932" s="102"/>
      <c r="AF932" s="102"/>
      <c r="AG932" s="102"/>
      <c r="AH932" s="102"/>
      <c r="AI932" s="102"/>
      <c r="AJ932" s="102"/>
      <c r="AK932" s="102"/>
      <c r="AL932" s="102"/>
      <c r="AM932" s="102"/>
      <c r="AN932" s="102"/>
      <c r="AO932" s="400"/>
      <c r="AP932" s="90"/>
      <c r="AQ932" s="90"/>
      <c r="AR932" s="90"/>
      <c r="AS932" s="90"/>
      <c r="AT932" s="90"/>
      <c r="AU932" s="90"/>
      <c r="AV932" s="90"/>
      <c r="AW932" s="90"/>
      <c r="AX932" s="90"/>
      <c r="AY932" s="90"/>
      <c r="AZ932" s="90"/>
      <c r="BA932" s="90"/>
      <c r="BB932" s="90"/>
      <c r="BC932" s="90"/>
      <c r="BD932" s="90"/>
      <c r="BE932" s="90"/>
      <c r="BF932" s="90"/>
      <c r="BG932" s="90"/>
      <c r="BH932" s="90"/>
      <c r="BI932" s="90"/>
    </row>
    <row r="933" ht="12.75" customHeight="1">
      <c r="A933" s="90"/>
      <c r="B933" s="90"/>
      <c r="C933" s="400"/>
      <c r="D933" s="90"/>
      <c r="E933" s="102"/>
      <c r="F933" s="90"/>
      <c r="G933" s="90"/>
      <c r="H933" s="102"/>
      <c r="I933" s="102"/>
      <c r="J933" s="102"/>
      <c r="K933" s="102"/>
      <c r="L933" s="102"/>
      <c r="M933" s="102"/>
      <c r="N933" s="102"/>
      <c r="O933" s="102"/>
      <c r="P933" s="102"/>
      <c r="Q933" s="102"/>
      <c r="R933" s="102"/>
      <c r="S933" s="102"/>
      <c r="T933" s="102"/>
      <c r="U933" s="102"/>
      <c r="V933" s="102"/>
      <c r="W933" s="102"/>
      <c r="X933" s="102"/>
      <c r="Y933" s="102"/>
      <c r="Z933" s="102"/>
      <c r="AA933" s="102"/>
      <c r="AB933" s="102"/>
      <c r="AC933" s="102"/>
      <c r="AD933" s="102"/>
      <c r="AE933" s="102"/>
      <c r="AF933" s="102"/>
      <c r="AG933" s="102"/>
      <c r="AH933" s="102"/>
      <c r="AI933" s="102"/>
      <c r="AJ933" s="102"/>
      <c r="AK933" s="102"/>
      <c r="AL933" s="102"/>
      <c r="AM933" s="102"/>
      <c r="AN933" s="102"/>
      <c r="AO933" s="400"/>
      <c r="AP933" s="90"/>
      <c r="AQ933" s="90"/>
      <c r="AR933" s="90"/>
      <c r="AS933" s="90"/>
      <c r="AT933" s="90"/>
      <c r="AU933" s="90"/>
      <c r="AV933" s="90"/>
      <c r="AW933" s="90"/>
      <c r="AX933" s="90"/>
      <c r="AY933" s="90"/>
      <c r="AZ933" s="90"/>
      <c r="BA933" s="90"/>
      <c r="BB933" s="90"/>
      <c r="BC933" s="90"/>
      <c r="BD933" s="90"/>
      <c r="BE933" s="90"/>
      <c r="BF933" s="90"/>
      <c r="BG933" s="90"/>
      <c r="BH933" s="90"/>
      <c r="BI933" s="90"/>
    </row>
    <row r="934" ht="12.75" customHeight="1">
      <c r="A934" s="90"/>
      <c r="B934" s="90"/>
      <c r="C934" s="400"/>
      <c r="D934" s="90"/>
      <c r="E934" s="102"/>
      <c r="F934" s="90"/>
      <c r="G934" s="90"/>
      <c r="H934" s="102"/>
      <c r="I934" s="102"/>
      <c r="J934" s="102"/>
      <c r="K934" s="102"/>
      <c r="L934" s="102"/>
      <c r="M934" s="102"/>
      <c r="N934" s="102"/>
      <c r="O934" s="102"/>
      <c r="P934" s="102"/>
      <c r="Q934" s="102"/>
      <c r="R934" s="102"/>
      <c r="S934" s="102"/>
      <c r="T934" s="102"/>
      <c r="U934" s="102"/>
      <c r="V934" s="102"/>
      <c r="W934" s="102"/>
      <c r="X934" s="102"/>
      <c r="Y934" s="102"/>
      <c r="Z934" s="102"/>
      <c r="AA934" s="102"/>
      <c r="AB934" s="102"/>
      <c r="AC934" s="102"/>
      <c r="AD934" s="102"/>
      <c r="AE934" s="102"/>
      <c r="AF934" s="102"/>
      <c r="AG934" s="102"/>
      <c r="AH934" s="102"/>
      <c r="AI934" s="102"/>
      <c r="AJ934" s="102"/>
      <c r="AK934" s="102"/>
      <c r="AL934" s="102"/>
      <c r="AM934" s="102"/>
      <c r="AN934" s="102"/>
      <c r="AO934" s="400"/>
      <c r="AP934" s="90"/>
      <c r="AQ934" s="90"/>
      <c r="AR934" s="90"/>
      <c r="AS934" s="90"/>
      <c r="AT934" s="90"/>
      <c r="AU934" s="90"/>
      <c r="AV934" s="90"/>
      <c r="AW934" s="90"/>
      <c r="AX934" s="90"/>
      <c r="AY934" s="90"/>
      <c r="AZ934" s="90"/>
      <c r="BA934" s="90"/>
      <c r="BB934" s="90"/>
      <c r="BC934" s="90"/>
      <c r="BD934" s="90"/>
      <c r="BE934" s="90"/>
      <c r="BF934" s="90"/>
      <c r="BG934" s="90"/>
      <c r="BH934" s="90"/>
      <c r="BI934" s="90"/>
    </row>
    <row r="935" ht="12.75" customHeight="1">
      <c r="A935" s="90"/>
      <c r="B935" s="90"/>
      <c r="C935" s="400"/>
      <c r="D935" s="90"/>
      <c r="E935" s="102"/>
      <c r="F935" s="90"/>
      <c r="G935" s="90"/>
      <c r="H935" s="102"/>
      <c r="I935" s="102"/>
      <c r="J935" s="102"/>
      <c r="K935" s="102"/>
      <c r="L935" s="102"/>
      <c r="M935" s="102"/>
      <c r="N935" s="102"/>
      <c r="O935" s="102"/>
      <c r="P935" s="102"/>
      <c r="Q935" s="102"/>
      <c r="R935" s="102"/>
      <c r="S935" s="102"/>
      <c r="T935" s="102"/>
      <c r="U935" s="102"/>
      <c r="V935" s="102"/>
      <c r="W935" s="102"/>
      <c r="X935" s="102"/>
      <c r="Y935" s="102"/>
      <c r="Z935" s="102"/>
      <c r="AA935" s="102"/>
      <c r="AB935" s="102"/>
      <c r="AC935" s="102"/>
      <c r="AD935" s="102"/>
      <c r="AE935" s="102"/>
      <c r="AF935" s="102"/>
      <c r="AG935" s="102"/>
      <c r="AH935" s="102"/>
      <c r="AI935" s="102"/>
      <c r="AJ935" s="102"/>
      <c r="AK935" s="102"/>
      <c r="AL935" s="102"/>
      <c r="AM935" s="102"/>
      <c r="AN935" s="102"/>
      <c r="AO935" s="400"/>
      <c r="AP935" s="90"/>
      <c r="AQ935" s="90"/>
      <c r="AR935" s="90"/>
      <c r="AS935" s="90"/>
      <c r="AT935" s="90"/>
      <c r="AU935" s="90"/>
      <c r="AV935" s="90"/>
      <c r="AW935" s="90"/>
      <c r="AX935" s="90"/>
      <c r="AY935" s="90"/>
      <c r="AZ935" s="90"/>
      <c r="BA935" s="90"/>
      <c r="BB935" s="90"/>
      <c r="BC935" s="90"/>
      <c r="BD935" s="90"/>
      <c r="BE935" s="90"/>
      <c r="BF935" s="90"/>
      <c r="BG935" s="90"/>
      <c r="BH935" s="90"/>
      <c r="BI935" s="90"/>
    </row>
    <row r="936" ht="12.75" customHeight="1">
      <c r="A936" s="90"/>
      <c r="B936" s="90"/>
      <c r="C936" s="400"/>
      <c r="D936" s="90"/>
      <c r="E936" s="102"/>
      <c r="F936" s="90"/>
      <c r="G936" s="90"/>
      <c r="H936" s="102"/>
      <c r="I936" s="102"/>
      <c r="J936" s="102"/>
      <c r="K936" s="102"/>
      <c r="L936" s="102"/>
      <c r="M936" s="102"/>
      <c r="N936" s="102"/>
      <c r="O936" s="102"/>
      <c r="P936" s="102"/>
      <c r="Q936" s="102"/>
      <c r="R936" s="102"/>
      <c r="S936" s="102"/>
      <c r="T936" s="102"/>
      <c r="U936" s="102"/>
      <c r="V936" s="102"/>
      <c r="W936" s="102"/>
      <c r="X936" s="102"/>
      <c r="Y936" s="102"/>
      <c r="Z936" s="102"/>
      <c r="AA936" s="102"/>
      <c r="AB936" s="102"/>
      <c r="AC936" s="102"/>
      <c r="AD936" s="102"/>
      <c r="AE936" s="102"/>
      <c r="AF936" s="102"/>
      <c r="AG936" s="102"/>
      <c r="AH936" s="102"/>
      <c r="AI936" s="102"/>
      <c r="AJ936" s="102"/>
      <c r="AK936" s="102"/>
      <c r="AL936" s="102"/>
      <c r="AM936" s="102"/>
      <c r="AN936" s="102"/>
      <c r="AO936" s="400"/>
      <c r="AP936" s="90"/>
      <c r="AQ936" s="90"/>
      <c r="AR936" s="90"/>
      <c r="AS936" s="90"/>
      <c r="AT936" s="90"/>
      <c r="AU936" s="90"/>
      <c r="AV936" s="90"/>
      <c r="AW936" s="90"/>
      <c r="AX936" s="90"/>
      <c r="AY936" s="90"/>
      <c r="AZ936" s="90"/>
      <c r="BA936" s="90"/>
      <c r="BB936" s="90"/>
      <c r="BC936" s="90"/>
      <c r="BD936" s="90"/>
      <c r="BE936" s="90"/>
      <c r="BF936" s="90"/>
      <c r="BG936" s="90"/>
      <c r="BH936" s="90"/>
      <c r="BI936" s="90"/>
    </row>
    <row r="937" ht="12.75" customHeight="1">
      <c r="A937" s="90"/>
      <c r="B937" s="90"/>
      <c r="C937" s="400"/>
      <c r="D937" s="90"/>
      <c r="E937" s="102"/>
      <c r="F937" s="90"/>
      <c r="G937" s="90"/>
      <c r="H937" s="102"/>
      <c r="I937" s="102"/>
      <c r="J937" s="102"/>
      <c r="K937" s="102"/>
      <c r="L937" s="102"/>
      <c r="M937" s="102"/>
      <c r="N937" s="102"/>
      <c r="O937" s="102"/>
      <c r="P937" s="102"/>
      <c r="Q937" s="102"/>
      <c r="R937" s="102"/>
      <c r="S937" s="102"/>
      <c r="T937" s="102"/>
      <c r="U937" s="102"/>
      <c r="V937" s="102"/>
      <c r="W937" s="102"/>
      <c r="X937" s="102"/>
      <c r="Y937" s="102"/>
      <c r="Z937" s="102"/>
      <c r="AA937" s="102"/>
      <c r="AB937" s="102"/>
      <c r="AC937" s="102"/>
      <c r="AD937" s="102"/>
      <c r="AE937" s="102"/>
      <c r="AF937" s="102"/>
      <c r="AG937" s="102"/>
      <c r="AH937" s="102"/>
      <c r="AI937" s="102"/>
      <c r="AJ937" s="102"/>
      <c r="AK937" s="102"/>
      <c r="AL937" s="102"/>
      <c r="AM937" s="102"/>
      <c r="AN937" s="102"/>
      <c r="AO937" s="400"/>
      <c r="AP937" s="90"/>
      <c r="AQ937" s="90"/>
      <c r="AR937" s="90"/>
      <c r="AS937" s="90"/>
      <c r="AT937" s="90"/>
      <c r="AU937" s="90"/>
      <c r="AV937" s="90"/>
      <c r="AW937" s="90"/>
      <c r="AX937" s="90"/>
      <c r="AY937" s="90"/>
      <c r="AZ937" s="90"/>
      <c r="BA937" s="90"/>
      <c r="BB937" s="90"/>
      <c r="BC937" s="90"/>
      <c r="BD937" s="90"/>
      <c r="BE937" s="90"/>
      <c r="BF937" s="90"/>
      <c r="BG937" s="90"/>
      <c r="BH937" s="90"/>
      <c r="BI937" s="90"/>
    </row>
    <row r="938" ht="12.75" customHeight="1">
      <c r="A938" s="90"/>
      <c r="B938" s="90"/>
      <c r="C938" s="400"/>
      <c r="D938" s="90"/>
      <c r="E938" s="102"/>
      <c r="F938" s="90"/>
      <c r="G938" s="90"/>
      <c r="H938" s="102"/>
      <c r="I938" s="102"/>
      <c r="J938" s="102"/>
      <c r="K938" s="102"/>
      <c r="L938" s="102"/>
      <c r="M938" s="102"/>
      <c r="N938" s="102"/>
      <c r="O938" s="102"/>
      <c r="P938" s="102"/>
      <c r="Q938" s="102"/>
      <c r="R938" s="102"/>
      <c r="S938" s="102"/>
      <c r="T938" s="102"/>
      <c r="U938" s="102"/>
      <c r="V938" s="102"/>
      <c r="W938" s="102"/>
      <c r="X938" s="102"/>
      <c r="Y938" s="102"/>
      <c r="Z938" s="102"/>
      <c r="AA938" s="102"/>
      <c r="AB938" s="102"/>
      <c r="AC938" s="102"/>
      <c r="AD938" s="102"/>
      <c r="AE938" s="102"/>
      <c r="AF938" s="102"/>
      <c r="AG938" s="102"/>
      <c r="AH938" s="102"/>
      <c r="AI938" s="102"/>
      <c r="AJ938" s="102"/>
      <c r="AK938" s="102"/>
      <c r="AL938" s="102"/>
      <c r="AM938" s="102"/>
      <c r="AN938" s="102"/>
      <c r="AO938" s="400"/>
      <c r="AP938" s="90"/>
      <c r="AQ938" s="90"/>
      <c r="AR938" s="90"/>
      <c r="AS938" s="90"/>
      <c r="AT938" s="90"/>
      <c r="AU938" s="90"/>
      <c r="AV938" s="90"/>
      <c r="AW938" s="90"/>
      <c r="AX938" s="90"/>
      <c r="AY938" s="90"/>
      <c r="AZ938" s="90"/>
      <c r="BA938" s="90"/>
      <c r="BB938" s="90"/>
      <c r="BC938" s="90"/>
      <c r="BD938" s="90"/>
      <c r="BE938" s="90"/>
      <c r="BF938" s="90"/>
      <c r="BG938" s="90"/>
      <c r="BH938" s="90"/>
      <c r="BI938" s="90"/>
    </row>
    <row r="939" ht="12.75" customHeight="1">
      <c r="A939" s="90"/>
      <c r="B939" s="90"/>
      <c r="C939" s="400"/>
      <c r="D939" s="90"/>
      <c r="E939" s="102"/>
      <c r="F939" s="90"/>
      <c r="G939" s="90"/>
      <c r="H939" s="102"/>
      <c r="I939" s="102"/>
      <c r="J939" s="102"/>
      <c r="K939" s="102"/>
      <c r="L939" s="102"/>
      <c r="M939" s="102"/>
      <c r="N939" s="102"/>
      <c r="O939" s="102"/>
      <c r="P939" s="102"/>
      <c r="Q939" s="102"/>
      <c r="R939" s="102"/>
      <c r="S939" s="102"/>
      <c r="T939" s="102"/>
      <c r="U939" s="102"/>
      <c r="V939" s="102"/>
      <c r="W939" s="102"/>
      <c r="X939" s="102"/>
      <c r="Y939" s="102"/>
      <c r="Z939" s="102"/>
      <c r="AA939" s="102"/>
      <c r="AB939" s="102"/>
      <c r="AC939" s="102"/>
      <c r="AD939" s="102"/>
      <c r="AE939" s="102"/>
      <c r="AF939" s="102"/>
      <c r="AG939" s="102"/>
      <c r="AH939" s="102"/>
      <c r="AI939" s="102"/>
      <c r="AJ939" s="102"/>
      <c r="AK939" s="102"/>
      <c r="AL939" s="102"/>
      <c r="AM939" s="102"/>
      <c r="AN939" s="102"/>
      <c r="AO939" s="400"/>
      <c r="AP939" s="90"/>
      <c r="AQ939" s="90"/>
      <c r="AR939" s="90"/>
      <c r="AS939" s="90"/>
      <c r="AT939" s="90"/>
      <c r="AU939" s="90"/>
      <c r="AV939" s="90"/>
      <c r="AW939" s="90"/>
      <c r="AX939" s="90"/>
      <c r="AY939" s="90"/>
      <c r="AZ939" s="90"/>
      <c r="BA939" s="90"/>
      <c r="BB939" s="90"/>
      <c r="BC939" s="90"/>
      <c r="BD939" s="90"/>
      <c r="BE939" s="90"/>
      <c r="BF939" s="90"/>
      <c r="BG939" s="90"/>
      <c r="BH939" s="90"/>
      <c r="BI939" s="90"/>
    </row>
    <row r="940" ht="12.75" customHeight="1">
      <c r="A940" s="90"/>
      <c r="B940" s="90"/>
      <c r="C940" s="400"/>
      <c r="D940" s="90"/>
      <c r="E940" s="102"/>
      <c r="F940" s="90"/>
      <c r="G940" s="90"/>
      <c r="H940" s="102"/>
      <c r="I940" s="102"/>
      <c r="J940" s="102"/>
      <c r="K940" s="102"/>
      <c r="L940" s="102"/>
      <c r="M940" s="102"/>
      <c r="N940" s="102"/>
      <c r="O940" s="102"/>
      <c r="P940" s="102"/>
      <c r="Q940" s="102"/>
      <c r="R940" s="102"/>
      <c r="S940" s="102"/>
      <c r="T940" s="102"/>
      <c r="U940" s="102"/>
      <c r="V940" s="102"/>
      <c r="W940" s="102"/>
      <c r="X940" s="102"/>
      <c r="Y940" s="102"/>
      <c r="Z940" s="102"/>
      <c r="AA940" s="102"/>
      <c r="AB940" s="102"/>
      <c r="AC940" s="102"/>
      <c r="AD940" s="102"/>
      <c r="AE940" s="102"/>
      <c r="AF940" s="102"/>
      <c r="AG940" s="102"/>
      <c r="AH940" s="102"/>
      <c r="AI940" s="102"/>
      <c r="AJ940" s="102"/>
      <c r="AK940" s="102"/>
      <c r="AL940" s="102"/>
      <c r="AM940" s="102"/>
      <c r="AN940" s="102"/>
      <c r="AO940" s="400"/>
      <c r="AP940" s="90"/>
      <c r="AQ940" s="90"/>
      <c r="AR940" s="90"/>
      <c r="AS940" s="90"/>
      <c r="AT940" s="90"/>
      <c r="AU940" s="90"/>
      <c r="AV940" s="90"/>
      <c r="AW940" s="90"/>
      <c r="AX940" s="90"/>
      <c r="AY940" s="90"/>
      <c r="AZ940" s="90"/>
      <c r="BA940" s="90"/>
      <c r="BB940" s="90"/>
      <c r="BC940" s="90"/>
      <c r="BD940" s="90"/>
      <c r="BE940" s="90"/>
      <c r="BF940" s="90"/>
      <c r="BG940" s="90"/>
      <c r="BH940" s="90"/>
      <c r="BI940" s="90"/>
    </row>
    <row r="941" ht="12.75" customHeight="1">
      <c r="A941" s="90"/>
      <c r="B941" s="90"/>
      <c r="C941" s="400"/>
      <c r="D941" s="90"/>
      <c r="E941" s="102"/>
      <c r="F941" s="90"/>
      <c r="G941" s="90"/>
      <c r="H941" s="102"/>
      <c r="I941" s="102"/>
      <c r="J941" s="102"/>
      <c r="K941" s="102"/>
      <c r="L941" s="102"/>
      <c r="M941" s="102"/>
      <c r="N941" s="102"/>
      <c r="O941" s="102"/>
      <c r="P941" s="102"/>
      <c r="Q941" s="102"/>
      <c r="R941" s="102"/>
      <c r="S941" s="102"/>
      <c r="T941" s="102"/>
      <c r="U941" s="102"/>
      <c r="V941" s="102"/>
      <c r="W941" s="102"/>
      <c r="X941" s="102"/>
      <c r="Y941" s="102"/>
      <c r="Z941" s="102"/>
      <c r="AA941" s="102"/>
      <c r="AB941" s="102"/>
      <c r="AC941" s="102"/>
      <c r="AD941" s="102"/>
      <c r="AE941" s="102"/>
      <c r="AF941" s="102"/>
      <c r="AG941" s="102"/>
      <c r="AH941" s="102"/>
      <c r="AI941" s="102"/>
      <c r="AJ941" s="102"/>
      <c r="AK941" s="102"/>
      <c r="AL941" s="102"/>
      <c r="AM941" s="102"/>
      <c r="AN941" s="102"/>
      <c r="AO941" s="400"/>
      <c r="AP941" s="90"/>
      <c r="AQ941" s="90"/>
      <c r="AR941" s="90"/>
      <c r="AS941" s="90"/>
      <c r="AT941" s="90"/>
      <c r="AU941" s="90"/>
      <c r="AV941" s="90"/>
      <c r="AW941" s="90"/>
      <c r="AX941" s="90"/>
      <c r="AY941" s="90"/>
      <c r="AZ941" s="90"/>
      <c r="BA941" s="90"/>
      <c r="BB941" s="90"/>
      <c r="BC941" s="90"/>
      <c r="BD941" s="90"/>
      <c r="BE941" s="90"/>
      <c r="BF941" s="90"/>
      <c r="BG941" s="90"/>
      <c r="BH941" s="90"/>
      <c r="BI941" s="90"/>
    </row>
    <row r="942" ht="12.75" customHeight="1">
      <c r="A942" s="90"/>
      <c r="B942" s="90"/>
      <c r="C942" s="400"/>
      <c r="D942" s="90"/>
      <c r="E942" s="102"/>
      <c r="F942" s="90"/>
      <c r="G942" s="90"/>
      <c r="H942" s="102"/>
      <c r="I942" s="102"/>
      <c r="J942" s="102"/>
      <c r="K942" s="102"/>
      <c r="L942" s="102"/>
      <c r="M942" s="102"/>
      <c r="N942" s="102"/>
      <c r="O942" s="102"/>
      <c r="P942" s="102"/>
      <c r="Q942" s="102"/>
      <c r="R942" s="102"/>
      <c r="S942" s="102"/>
      <c r="T942" s="102"/>
      <c r="U942" s="102"/>
      <c r="V942" s="102"/>
      <c r="W942" s="102"/>
      <c r="X942" s="102"/>
      <c r="Y942" s="102"/>
      <c r="Z942" s="102"/>
      <c r="AA942" s="102"/>
      <c r="AB942" s="102"/>
      <c r="AC942" s="102"/>
      <c r="AD942" s="102"/>
      <c r="AE942" s="102"/>
      <c r="AF942" s="102"/>
      <c r="AG942" s="102"/>
      <c r="AH942" s="102"/>
      <c r="AI942" s="102"/>
      <c r="AJ942" s="102"/>
      <c r="AK942" s="102"/>
      <c r="AL942" s="102"/>
      <c r="AM942" s="102"/>
      <c r="AN942" s="102"/>
      <c r="AO942" s="400"/>
      <c r="AP942" s="90"/>
      <c r="AQ942" s="90"/>
      <c r="AR942" s="90"/>
      <c r="AS942" s="90"/>
      <c r="AT942" s="90"/>
      <c r="AU942" s="90"/>
      <c r="AV942" s="90"/>
      <c r="AW942" s="90"/>
      <c r="AX942" s="90"/>
      <c r="AY942" s="90"/>
      <c r="AZ942" s="90"/>
      <c r="BA942" s="90"/>
      <c r="BB942" s="90"/>
      <c r="BC942" s="90"/>
      <c r="BD942" s="90"/>
      <c r="BE942" s="90"/>
      <c r="BF942" s="90"/>
      <c r="BG942" s="90"/>
      <c r="BH942" s="90"/>
      <c r="BI942" s="90"/>
    </row>
    <row r="943" ht="12.75" customHeight="1">
      <c r="A943" s="90"/>
      <c r="B943" s="90"/>
      <c r="C943" s="400"/>
      <c r="D943" s="90"/>
      <c r="E943" s="102"/>
      <c r="F943" s="90"/>
      <c r="G943" s="90"/>
      <c r="H943" s="102"/>
      <c r="I943" s="102"/>
      <c r="J943" s="102"/>
      <c r="K943" s="102"/>
      <c r="L943" s="102"/>
      <c r="M943" s="102"/>
      <c r="N943" s="102"/>
      <c r="O943" s="102"/>
      <c r="P943" s="102"/>
      <c r="Q943" s="102"/>
      <c r="R943" s="102"/>
      <c r="S943" s="102"/>
      <c r="T943" s="102"/>
      <c r="U943" s="102"/>
      <c r="V943" s="102"/>
      <c r="W943" s="102"/>
      <c r="X943" s="102"/>
      <c r="Y943" s="102"/>
      <c r="Z943" s="102"/>
      <c r="AA943" s="102"/>
      <c r="AB943" s="102"/>
      <c r="AC943" s="102"/>
      <c r="AD943" s="102"/>
      <c r="AE943" s="102"/>
      <c r="AF943" s="102"/>
      <c r="AG943" s="102"/>
      <c r="AH943" s="102"/>
      <c r="AI943" s="102"/>
      <c r="AJ943" s="102"/>
      <c r="AK943" s="102"/>
      <c r="AL943" s="102"/>
      <c r="AM943" s="102"/>
      <c r="AN943" s="102"/>
      <c r="AO943" s="400"/>
      <c r="AP943" s="90"/>
      <c r="AQ943" s="90"/>
      <c r="AR943" s="90"/>
      <c r="AS943" s="90"/>
      <c r="AT943" s="90"/>
      <c r="AU943" s="90"/>
      <c r="AV943" s="90"/>
      <c r="AW943" s="90"/>
      <c r="AX943" s="90"/>
      <c r="AY943" s="90"/>
      <c r="AZ943" s="90"/>
      <c r="BA943" s="90"/>
      <c r="BB943" s="90"/>
      <c r="BC943" s="90"/>
      <c r="BD943" s="90"/>
      <c r="BE943" s="90"/>
      <c r="BF943" s="90"/>
      <c r="BG943" s="90"/>
      <c r="BH943" s="90"/>
      <c r="BI943" s="90"/>
    </row>
    <row r="944" ht="12.75" customHeight="1">
      <c r="A944" s="90"/>
      <c r="B944" s="90"/>
      <c r="C944" s="400"/>
      <c r="D944" s="90"/>
      <c r="E944" s="102"/>
      <c r="F944" s="90"/>
      <c r="G944" s="90"/>
      <c r="H944" s="102"/>
      <c r="I944" s="102"/>
      <c r="J944" s="102"/>
      <c r="K944" s="102"/>
      <c r="L944" s="102"/>
      <c r="M944" s="102"/>
      <c r="N944" s="102"/>
      <c r="O944" s="102"/>
      <c r="P944" s="102"/>
      <c r="Q944" s="102"/>
      <c r="R944" s="102"/>
      <c r="S944" s="102"/>
      <c r="T944" s="102"/>
      <c r="U944" s="102"/>
      <c r="V944" s="102"/>
      <c r="W944" s="102"/>
      <c r="X944" s="102"/>
      <c r="Y944" s="102"/>
      <c r="Z944" s="102"/>
      <c r="AA944" s="102"/>
      <c r="AB944" s="102"/>
      <c r="AC944" s="102"/>
      <c r="AD944" s="102"/>
      <c r="AE944" s="102"/>
      <c r="AF944" s="102"/>
      <c r="AG944" s="102"/>
      <c r="AH944" s="102"/>
      <c r="AI944" s="102"/>
      <c r="AJ944" s="102"/>
      <c r="AK944" s="102"/>
      <c r="AL944" s="102"/>
      <c r="AM944" s="102"/>
      <c r="AN944" s="102"/>
      <c r="AO944" s="400"/>
      <c r="AP944" s="90"/>
      <c r="AQ944" s="90"/>
      <c r="AR944" s="90"/>
      <c r="AS944" s="90"/>
      <c r="AT944" s="90"/>
      <c r="AU944" s="90"/>
      <c r="AV944" s="90"/>
      <c r="AW944" s="90"/>
      <c r="AX944" s="90"/>
      <c r="AY944" s="90"/>
      <c r="AZ944" s="90"/>
      <c r="BA944" s="90"/>
      <c r="BB944" s="90"/>
      <c r="BC944" s="90"/>
      <c r="BD944" s="90"/>
      <c r="BE944" s="90"/>
      <c r="BF944" s="90"/>
      <c r="BG944" s="90"/>
      <c r="BH944" s="90"/>
      <c r="BI944" s="90"/>
    </row>
    <row r="945" ht="12.75" customHeight="1">
      <c r="A945" s="90"/>
      <c r="B945" s="90"/>
      <c r="C945" s="400"/>
      <c r="D945" s="90"/>
      <c r="E945" s="102"/>
      <c r="F945" s="90"/>
      <c r="G945" s="90"/>
      <c r="H945" s="102"/>
      <c r="I945" s="102"/>
      <c r="J945" s="102"/>
      <c r="K945" s="102"/>
      <c r="L945" s="102"/>
      <c r="M945" s="102"/>
      <c r="N945" s="102"/>
      <c r="O945" s="102"/>
      <c r="P945" s="102"/>
      <c r="Q945" s="102"/>
      <c r="R945" s="102"/>
      <c r="S945" s="102"/>
      <c r="T945" s="102"/>
      <c r="U945" s="102"/>
      <c r="V945" s="102"/>
      <c r="W945" s="102"/>
      <c r="X945" s="102"/>
      <c r="Y945" s="102"/>
      <c r="Z945" s="102"/>
      <c r="AA945" s="102"/>
      <c r="AB945" s="102"/>
      <c r="AC945" s="102"/>
      <c r="AD945" s="102"/>
      <c r="AE945" s="102"/>
      <c r="AF945" s="102"/>
      <c r="AG945" s="102"/>
      <c r="AH945" s="102"/>
      <c r="AI945" s="102"/>
      <c r="AJ945" s="102"/>
      <c r="AK945" s="102"/>
      <c r="AL945" s="102"/>
      <c r="AM945" s="102"/>
      <c r="AN945" s="102"/>
      <c r="AO945" s="400"/>
      <c r="AP945" s="90"/>
      <c r="AQ945" s="90"/>
      <c r="AR945" s="90"/>
      <c r="AS945" s="90"/>
      <c r="AT945" s="90"/>
      <c r="AU945" s="90"/>
      <c r="AV945" s="90"/>
      <c r="AW945" s="90"/>
      <c r="AX945" s="90"/>
      <c r="AY945" s="90"/>
      <c r="AZ945" s="90"/>
      <c r="BA945" s="90"/>
      <c r="BB945" s="90"/>
      <c r="BC945" s="90"/>
      <c r="BD945" s="90"/>
      <c r="BE945" s="90"/>
      <c r="BF945" s="90"/>
      <c r="BG945" s="90"/>
      <c r="BH945" s="90"/>
      <c r="BI945" s="90"/>
    </row>
    <row r="946" ht="12.75" customHeight="1">
      <c r="A946" s="90"/>
      <c r="B946" s="90"/>
      <c r="C946" s="400"/>
      <c r="D946" s="90"/>
      <c r="E946" s="102"/>
      <c r="F946" s="90"/>
      <c r="G946" s="90"/>
      <c r="H946" s="102"/>
      <c r="I946" s="102"/>
      <c r="J946" s="102"/>
      <c r="K946" s="102"/>
      <c r="L946" s="102"/>
      <c r="M946" s="102"/>
      <c r="N946" s="102"/>
      <c r="O946" s="102"/>
      <c r="P946" s="102"/>
      <c r="Q946" s="102"/>
      <c r="R946" s="102"/>
      <c r="S946" s="102"/>
      <c r="T946" s="102"/>
      <c r="U946" s="102"/>
      <c r="V946" s="102"/>
      <c r="W946" s="102"/>
      <c r="X946" s="102"/>
      <c r="Y946" s="102"/>
      <c r="Z946" s="102"/>
      <c r="AA946" s="102"/>
      <c r="AB946" s="102"/>
      <c r="AC946" s="102"/>
      <c r="AD946" s="102"/>
      <c r="AE946" s="102"/>
      <c r="AF946" s="102"/>
      <c r="AG946" s="102"/>
      <c r="AH946" s="102"/>
      <c r="AI946" s="102"/>
      <c r="AJ946" s="102"/>
      <c r="AK946" s="102"/>
      <c r="AL946" s="102"/>
      <c r="AM946" s="102"/>
      <c r="AN946" s="102"/>
      <c r="AO946" s="400"/>
      <c r="AP946" s="90"/>
      <c r="AQ946" s="90"/>
      <c r="AR946" s="90"/>
      <c r="AS946" s="90"/>
      <c r="AT946" s="90"/>
      <c r="AU946" s="90"/>
      <c r="AV946" s="90"/>
      <c r="AW946" s="90"/>
      <c r="AX946" s="90"/>
      <c r="AY946" s="90"/>
      <c r="AZ946" s="90"/>
      <c r="BA946" s="90"/>
      <c r="BB946" s="90"/>
      <c r="BC946" s="90"/>
      <c r="BD946" s="90"/>
      <c r="BE946" s="90"/>
      <c r="BF946" s="90"/>
      <c r="BG946" s="90"/>
      <c r="BH946" s="90"/>
      <c r="BI946" s="90"/>
    </row>
    <row r="947" ht="12.75" customHeight="1">
      <c r="A947" s="90"/>
      <c r="B947" s="90"/>
      <c r="C947" s="400"/>
      <c r="D947" s="90"/>
      <c r="E947" s="102"/>
      <c r="F947" s="90"/>
      <c r="G947" s="90"/>
      <c r="H947" s="102"/>
      <c r="I947" s="102"/>
      <c r="J947" s="102"/>
      <c r="K947" s="102"/>
      <c r="L947" s="102"/>
      <c r="M947" s="102"/>
      <c r="N947" s="102"/>
      <c r="O947" s="102"/>
      <c r="P947" s="102"/>
      <c r="Q947" s="102"/>
      <c r="R947" s="102"/>
      <c r="S947" s="102"/>
      <c r="T947" s="102"/>
      <c r="U947" s="102"/>
      <c r="V947" s="102"/>
      <c r="W947" s="102"/>
      <c r="X947" s="102"/>
      <c r="Y947" s="102"/>
      <c r="Z947" s="102"/>
      <c r="AA947" s="102"/>
      <c r="AB947" s="102"/>
      <c r="AC947" s="102"/>
      <c r="AD947" s="102"/>
      <c r="AE947" s="102"/>
      <c r="AF947" s="102"/>
      <c r="AG947" s="102"/>
      <c r="AH947" s="102"/>
      <c r="AI947" s="102"/>
      <c r="AJ947" s="102"/>
      <c r="AK947" s="102"/>
      <c r="AL947" s="102"/>
      <c r="AM947" s="102"/>
      <c r="AN947" s="102"/>
      <c r="AO947" s="400"/>
      <c r="AP947" s="90"/>
      <c r="AQ947" s="90"/>
      <c r="AR947" s="90"/>
      <c r="AS947" s="90"/>
      <c r="AT947" s="90"/>
      <c r="AU947" s="90"/>
      <c r="AV947" s="90"/>
      <c r="AW947" s="90"/>
      <c r="AX947" s="90"/>
      <c r="AY947" s="90"/>
      <c r="AZ947" s="90"/>
      <c r="BA947" s="90"/>
      <c r="BB947" s="90"/>
      <c r="BC947" s="90"/>
      <c r="BD947" s="90"/>
      <c r="BE947" s="90"/>
      <c r="BF947" s="90"/>
      <c r="BG947" s="90"/>
      <c r="BH947" s="90"/>
      <c r="BI947" s="90"/>
    </row>
    <row r="948" ht="12.75" customHeight="1">
      <c r="A948" s="90"/>
      <c r="B948" s="90"/>
      <c r="C948" s="400"/>
      <c r="D948" s="90"/>
      <c r="E948" s="102"/>
      <c r="F948" s="90"/>
      <c r="G948" s="90"/>
      <c r="H948" s="102"/>
      <c r="I948" s="102"/>
      <c r="J948" s="102"/>
      <c r="K948" s="102"/>
      <c r="L948" s="102"/>
      <c r="M948" s="102"/>
      <c r="N948" s="102"/>
      <c r="O948" s="102"/>
      <c r="P948" s="102"/>
      <c r="Q948" s="102"/>
      <c r="R948" s="102"/>
      <c r="S948" s="102"/>
      <c r="T948" s="102"/>
      <c r="U948" s="102"/>
      <c r="V948" s="102"/>
      <c r="W948" s="102"/>
      <c r="X948" s="102"/>
      <c r="Y948" s="102"/>
      <c r="Z948" s="102"/>
      <c r="AA948" s="102"/>
      <c r="AB948" s="102"/>
      <c r="AC948" s="102"/>
      <c r="AD948" s="102"/>
      <c r="AE948" s="102"/>
      <c r="AF948" s="102"/>
      <c r="AG948" s="102"/>
      <c r="AH948" s="102"/>
      <c r="AI948" s="102"/>
      <c r="AJ948" s="102"/>
      <c r="AK948" s="102"/>
      <c r="AL948" s="102"/>
      <c r="AM948" s="102"/>
      <c r="AN948" s="102"/>
      <c r="AO948" s="400"/>
      <c r="AP948" s="90"/>
      <c r="AQ948" s="90"/>
      <c r="AR948" s="90"/>
      <c r="AS948" s="90"/>
      <c r="AT948" s="90"/>
      <c r="AU948" s="90"/>
      <c r="AV948" s="90"/>
      <c r="AW948" s="90"/>
      <c r="AX948" s="90"/>
      <c r="AY948" s="90"/>
      <c r="AZ948" s="90"/>
      <c r="BA948" s="90"/>
      <c r="BB948" s="90"/>
      <c r="BC948" s="90"/>
      <c r="BD948" s="90"/>
      <c r="BE948" s="90"/>
      <c r="BF948" s="90"/>
      <c r="BG948" s="90"/>
      <c r="BH948" s="90"/>
      <c r="BI948" s="90"/>
    </row>
    <row r="949" ht="12.75" customHeight="1">
      <c r="A949" s="90"/>
      <c r="B949" s="90"/>
      <c r="C949" s="400"/>
      <c r="D949" s="90"/>
      <c r="E949" s="102"/>
      <c r="F949" s="90"/>
      <c r="G949" s="90"/>
      <c r="H949" s="102"/>
      <c r="I949" s="102"/>
      <c r="J949" s="102"/>
      <c r="K949" s="102"/>
      <c r="L949" s="102"/>
      <c r="M949" s="102"/>
      <c r="N949" s="102"/>
      <c r="O949" s="102"/>
      <c r="P949" s="102"/>
      <c r="Q949" s="102"/>
      <c r="R949" s="102"/>
      <c r="S949" s="102"/>
      <c r="T949" s="102"/>
      <c r="U949" s="102"/>
      <c r="V949" s="102"/>
      <c r="W949" s="102"/>
      <c r="X949" s="102"/>
      <c r="Y949" s="102"/>
      <c r="Z949" s="102"/>
      <c r="AA949" s="102"/>
      <c r="AB949" s="102"/>
      <c r="AC949" s="102"/>
      <c r="AD949" s="102"/>
      <c r="AE949" s="102"/>
      <c r="AF949" s="102"/>
      <c r="AG949" s="102"/>
      <c r="AH949" s="102"/>
      <c r="AI949" s="102"/>
      <c r="AJ949" s="102"/>
      <c r="AK949" s="102"/>
      <c r="AL949" s="102"/>
      <c r="AM949" s="102"/>
      <c r="AN949" s="102"/>
      <c r="AO949" s="400"/>
      <c r="AP949" s="90"/>
      <c r="AQ949" s="90"/>
      <c r="AR949" s="90"/>
      <c r="AS949" s="90"/>
      <c r="AT949" s="90"/>
      <c r="AU949" s="90"/>
      <c r="AV949" s="90"/>
      <c r="AW949" s="90"/>
      <c r="AX949" s="90"/>
      <c r="AY949" s="90"/>
      <c r="AZ949" s="90"/>
      <c r="BA949" s="90"/>
      <c r="BB949" s="90"/>
      <c r="BC949" s="90"/>
      <c r="BD949" s="90"/>
      <c r="BE949" s="90"/>
      <c r="BF949" s="90"/>
      <c r="BG949" s="90"/>
      <c r="BH949" s="90"/>
      <c r="BI949" s="90"/>
    </row>
    <row r="950" ht="12.75" customHeight="1">
      <c r="A950" s="90"/>
      <c r="B950" s="90"/>
      <c r="C950" s="400"/>
      <c r="D950" s="90"/>
      <c r="E950" s="102"/>
      <c r="F950" s="90"/>
      <c r="G950" s="90"/>
      <c r="H950" s="102"/>
      <c r="I950" s="102"/>
      <c r="J950" s="102"/>
      <c r="K950" s="102"/>
      <c r="L950" s="102"/>
      <c r="M950" s="102"/>
      <c r="N950" s="102"/>
      <c r="O950" s="102"/>
      <c r="P950" s="102"/>
      <c r="Q950" s="102"/>
      <c r="R950" s="102"/>
      <c r="S950" s="102"/>
      <c r="T950" s="102"/>
      <c r="U950" s="102"/>
      <c r="V950" s="102"/>
      <c r="W950" s="102"/>
      <c r="X950" s="102"/>
      <c r="Y950" s="102"/>
      <c r="Z950" s="102"/>
      <c r="AA950" s="102"/>
      <c r="AB950" s="102"/>
      <c r="AC950" s="102"/>
      <c r="AD950" s="102"/>
      <c r="AE950" s="102"/>
      <c r="AF950" s="102"/>
      <c r="AG950" s="102"/>
      <c r="AH950" s="102"/>
      <c r="AI950" s="102"/>
      <c r="AJ950" s="102"/>
      <c r="AK950" s="102"/>
      <c r="AL950" s="102"/>
      <c r="AM950" s="102"/>
      <c r="AN950" s="102"/>
      <c r="AO950" s="400"/>
      <c r="AP950" s="90"/>
      <c r="AQ950" s="90"/>
      <c r="AR950" s="90"/>
      <c r="AS950" s="90"/>
      <c r="AT950" s="90"/>
      <c r="AU950" s="90"/>
      <c r="AV950" s="90"/>
      <c r="AW950" s="90"/>
      <c r="AX950" s="90"/>
      <c r="AY950" s="90"/>
      <c r="AZ950" s="90"/>
      <c r="BA950" s="90"/>
      <c r="BB950" s="90"/>
      <c r="BC950" s="90"/>
      <c r="BD950" s="90"/>
      <c r="BE950" s="90"/>
      <c r="BF950" s="90"/>
      <c r="BG950" s="90"/>
      <c r="BH950" s="90"/>
      <c r="BI950" s="90"/>
    </row>
    <row r="951" ht="12.75" customHeight="1">
      <c r="A951" s="90"/>
      <c r="B951" s="90"/>
      <c r="C951" s="400"/>
      <c r="D951" s="90"/>
      <c r="E951" s="102"/>
      <c r="F951" s="90"/>
      <c r="G951" s="90"/>
      <c r="H951" s="102"/>
      <c r="I951" s="102"/>
      <c r="J951" s="102"/>
      <c r="K951" s="102"/>
      <c r="L951" s="102"/>
      <c r="M951" s="102"/>
      <c r="N951" s="102"/>
      <c r="O951" s="102"/>
      <c r="P951" s="102"/>
      <c r="Q951" s="102"/>
      <c r="R951" s="102"/>
      <c r="S951" s="102"/>
      <c r="T951" s="102"/>
      <c r="U951" s="102"/>
      <c r="V951" s="102"/>
      <c r="W951" s="102"/>
      <c r="X951" s="102"/>
      <c r="Y951" s="102"/>
      <c r="Z951" s="102"/>
      <c r="AA951" s="102"/>
      <c r="AB951" s="102"/>
      <c r="AC951" s="102"/>
      <c r="AD951" s="102"/>
      <c r="AE951" s="102"/>
      <c r="AF951" s="102"/>
      <c r="AG951" s="102"/>
      <c r="AH951" s="102"/>
      <c r="AI951" s="102"/>
      <c r="AJ951" s="102"/>
      <c r="AK951" s="102"/>
      <c r="AL951" s="102"/>
      <c r="AM951" s="102"/>
      <c r="AN951" s="102"/>
      <c r="AO951" s="400"/>
      <c r="AP951" s="90"/>
      <c r="AQ951" s="90"/>
      <c r="AR951" s="90"/>
      <c r="AS951" s="90"/>
      <c r="AT951" s="90"/>
      <c r="AU951" s="90"/>
      <c r="AV951" s="90"/>
      <c r="AW951" s="90"/>
      <c r="AX951" s="90"/>
      <c r="AY951" s="90"/>
      <c r="AZ951" s="90"/>
      <c r="BA951" s="90"/>
      <c r="BB951" s="90"/>
      <c r="BC951" s="90"/>
      <c r="BD951" s="90"/>
      <c r="BE951" s="90"/>
      <c r="BF951" s="90"/>
      <c r="BG951" s="90"/>
      <c r="BH951" s="90"/>
      <c r="BI951" s="90"/>
    </row>
    <row r="952" ht="12.75" customHeight="1">
      <c r="A952" s="90"/>
      <c r="B952" s="90"/>
      <c r="C952" s="400"/>
      <c r="D952" s="90"/>
      <c r="E952" s="102"/>
      <c r="F952" s="90"/>
      <c r="G952" s="90"/>
      <c r="H952" s="102"/>
      <c r="I952" s="102"/>
      <c r="J952" s="102"/>
      <c r="K952" s="102"/>
      <c r="L952" s="102"/>
      <c r="M952" s="102"/>
      <c r="N952" s="102"/>
      <c r="O952" s="102"/>
      <c r="P952" s="102"/>
      <c r="Q952" s="102"/>
      <c r="R952" s="102"/>
      <c r="S952" s="102"/>
      <c r="T952" s="102"/>
      <c r="U952" s="102"/>
      <c r="V952" s="102"/>
      <c r="W952" s="102"/>
      <c r="X952" s="102"/>
      <c r="Y952" s="102"/>
      <c r="Z952" s="102"/>
      <c r="AA952" s="102"/>
      <c r="AB952" s="102"/>
      <c r="AC952" s="102"/>
      <c r="AD952" s="102"/>
      <c r="AE952" s="102"/>
      <c r="AF952" s="102"/>
      <c r="AG952" s="102"/>
      <c r="AH952" s="102"/>
      <c r="AI952" s="102"/>
      <c r="AJ952" s="102"/>
      <c r="AK952" s="102"/>
      <c r="AL952" s="102"/>
      <c r="AM952" s="102"/>
      <c r="AN952" s="102"/>
      <c r="AO952" s="400"/>
      <c r="AP952" s="90"/>
      <c r="AQ952" s="90"/>
      <c r="AR952" s="90"/>
      <c r="AS952" s="90"/>
      <c r="AT952" s="90"/>
      <c r="AU952" s="90"/>
      <c r="AV952" s="90"/>
      <c r="AW952" s="90"/>
      <c r="AX952" s="90"/>
      <c r="AY952" s="90"/>
      <c r="AZ952" s="90"/>
      <c r="BA952" s="90"/>
      <c r="BB952" s="90"/>
      <c r="BC952" s="90"/>
      <c r="BD952" s="90"/>
      <c r="BE952" s="90"/>
      <c r="BF952" s="90"/>
      <c r="BG952" s="90"/>
      <c r="BH952" s="90"/>
      <c r="BI952" s="90"/>
    </row>
    <row r="953" ht="12.75" customHeight="1">
      <c r="A953" s="90"/>
      <c r="B953" s="90"/>
      <c r="C953" s="400"/>
      <c r="D953" s="90"/>
      <c r="E953" s="102"/>
      <c r="F953" s="90"/>
      <c r="G953" s="90"/>
      <c r="H953" s="102"/>
      <c r="I953" s="102"/>
      <c r="J953" s="102"/>
      <c r="K953" s="102"/>
      <c r="L953" s="102"/>
      <c r="M953" s="102"/>
      <c r="N953" s="102"/>
      <c r="O953" s="102"/>
      <c r="P953" s="102"/>
      <c r="Q953" s="102"/>
      <c r="R953" s="102"/>
      <c r="S953" s="102"/>
      <c r="T953" s="102"/>
      <c r="U953" s="102"/>
      <c r="V953" s="102"/>
      <c r="W953" s="102"/>
      <c r="X953" s="102"/>
      <c r="Y953" s="102"/>
      <c r="Z953" s="102"/>
      <c r="AA953" s="102"/>
      <c r="AB953" s="102"/>
      <c r="AC953" s="102"/>
      <c r="AD953" s="102"/>
      <c r="AE953" s="102"/>
      <c r="AF953" s="102"/>
      <c r="AG953" s="102"/>
      <c r="AH953" s="102"/>
      <c r="AI953" s="102"/>
      <c r="AJ953" s="102"/>
      <c r="AK953" s="102"/>
      <c r="AL953" s="102"/>
      <c r="AM953" s="102"/>
      <c r="AN953" s="102"/>
      <c r="AO953" s="400"/>
      <c r="AP953" s="90"/>
      <c r="AQ953" s="90"/>
      <c r="AR953" s="90"/>
      <c r="AS953" s="90"/>
      <c r="AT953" s="90"/>
      <c r="AU953" s="90"/>
      <c r="AV953" s="90"/>
      <c r="AW953" s="90"/>
      <c r="AX953" s="90"/>
      <c r="AY953" s="90"/>
      <c r="AZ953" s="90"/>
      <c r="BA953" s="90"/>
      <c r="BB953" s="90"/>
      <c r="BC953" s="90"/>
      <c r="BD953" s="90"/>
      <c r="BE953" s="90"/>
      <c r="BF953" s="90"/>
      <c r="BG953" s="90"/>
      <c r="BH953" s="90"/>
      <c r="BI953" s="90"/>
    </row>
    <row r="954" ht="12.75" customHeight="1">
      <c r="A954" s="90"/>
      <c r="B954" s="90"/>
      <c r="C954" s="400"/>
      <c r="D954" s="90"/>
      <c r="E954" s="102"/>
      <c r="F954" s="90"/>
      <c r="G954" s="90"/>
      <c r="H954" s="102"/>
      <c r="I954" s="102"/>
      <c r="J954" s="102"/>
      <c r="K954" s="102"/>
      <c r="L954" s="102"/>
      <c r="M954" s="102"/>
      <c r="N954" s="102"/>
      <c r="O954" s="102"/>
      <c r="P954" s="102"/>
      <c r="Q954" s="102"/>
      <c r="R954" s="102"/>
      <c r="S954" s="102"/>
      <c r="T954" s="102"/>
      <c r="U954" s="102"/>
      <c r="V954" s="102"/>
      <c r="W954" s="102"/>
      <c r="X954" s="102"/>
      <c r="Y954" s="102"/>
      <c r="Z954" s="102"/>
      <c r="AA954" s="102"/>
      <c r="AB954" s="102"/>
      <c r="AC954" s="102"/>
      <c r="AD954" s="102"/>
      <c r="AE954" s="102"/>
      <c r="AF954" s="102"/>
      <c r="AG954" s="102"/>
      <c r="AH954" s="102"/>
      <c r="AI954" s="102"/>
      <c r="AJ954" s="102"/>
      <c r="AK954" s="102"/>
      <c r="AL954" s="102"/>
      <c r="AM954" s="102"/>
      <c r="AN954" s="102"/>
      <c r="AO954" s="400"/>
      <c r="AP954" s="90"/>
      <c r="AQ954" s="90"/>
      <c r="AR954" s="90"/>
      <c r="AS954" s="90"/>
      <c r="AT954" s="90"/>
      <c r="AU954" s="90"/>
      <c r="AV954" s="90"/>
      <c r="AW954" s="90"/>
      <c r="AX954" s="90"/>
      <c r="AY954" s="90"/>
      <c r="AZ954" s="90"/>
      <c r="BA954" s="90"/>
      <c r="BB954" s="90"/>
      <c r="BC954" s="90"/>
      <c r="BD954" s="90"/>
      <c r="BE954" s="90"/>
      <c r="BF954" s="90"/>
      <c r="BG954" s="90"/>
      <c r="BH954" s="90"/>
      <c r="BI954" s="90"/>
    </row>
    <row r="955" ht="12.75" customHeight="1">
      <c r="A955" s="90"/>
      <c r="B955" s="90"/>
      <c r="C955" s="400"/>
      <c r="D955" s="90"/>
      <c r="E955" s="102"/>
      <c r="F955" s="90"/>
      <c r="G955" s="90"/>
      <c r="H955" s="102"/>
      <c r="I955" s="102"/>
      <c r="J955" s="102"/>
      <c r="K955" s="102"/>
      <c r="L955" s="102"/>
      <c r="M955" s="102"/>
      <c r="N955" s="102"/>
      <c r="O955" s="102"/>
      <c r="P955" s="102"/>
      <c r="Q955" s="102"/>
      <c r="R955" s="102"/>
      <c r="S955" s="102"/>
      <c r="T955" s="102"/>
      <c r="U955" s="102"/>
      <c r="V955" s="102"/>
      <c r="W955" s="102"/>
      <c r="X955" s="102"/>
      <c r="Y955" s="102"/>
      <c r="Z955" s="102"/>
      <c r="AA955" s="102"/>
      <c r="AB955" s="102"/>
      <c r="AC955" s="102"/>
      <c r="AD955" s="102"/>
      <c r="AE955" s="102"/>
      <c r="AF955" s="102"/>
      <c r="AG955" s="102"/>
      <c r="AH955" s="102"/>
      <c r="AI955" s="102"/>
      <c r="AJ955" s="102"/>
      <c r="AK955" s="102"/>
      <c r="AL955" s="102"/>
      <c r="AM955" s="102"/>
      <c r="AN955" s="102"/>
      <c r="AO955" s="400"/>
      <c r="AP955" s="90"/>
      <c r="AQ955" s="90"/>
      <c r="AR955" s="90"/>
      <c r="AS955" s="90"/>
      <c r="AT955" s="90"/>
      <c r="AU955" s="90"/>
      <c r="AV955" s="90"/>
      <c r="AW955" s="90"/>
      <c r="AX955" s="90"/>
      <c r="AY955" s="90"/>
      <c r="AZ955" s="90"/>
      <c r="BA955" s="90"/>
      <c r="BB955" s="90"/>
      <c r="BC955" s="90"/>
      <c r="BD955" s="90"/>
      <c r="BE955" s="90"/>
      <c r="BF955" s="90"/>
      <c r="BG955" s="90"/>
      <c r="BH955" s="90"/>
      <c r="BI955" s="90"/>
    </row>
    <row r="956" ht="12.75" customHeight="1">
      <c r="A956" s="90"/>
      <c r="B956" s="90"/>
      <c r="C956" s="400"/>
      <c r="D956" s="90"/>
      <c r="E956" s="102"/>
      <c r="F956" s="90"/>
      <c r="G956" s="90"/>
      <c r="H956" s="102"/>
      <c r="I956" s="102"/>
      <c r="J956" s="102"/>
      <c r="K956" s="102"/>
      <c r="L956" s="102"/>
      <c r="M956" s="102"/>
      <c r="N956" s="102"/>
      <c r="O956" s="102"/>
      <c r="P956" s="102"/>
      <c r="Q956" s="102"/>
      <c r="R956" s="102"/>
      <c r="S956" s="102"/>
      <c r="T956" s="102"/>
      <c r="U956" s="102"/>
      <c r="V956" s="102"/>
      <c r="W956" s="102"/>
      <c r="X956" s="102"/>
      <c r="Y956" s="102"/>
      <c r="Z956" s="102"/>
      <c r="AA956" s="102"/>
      <c r="AB956" s="102"/>
      <c r="AC956" s="102"/>
      <c r="AD956" s="102"/>
      <c r="AE956" s="102"/>
      <c r="AF956" s="102"/>
      <c r="AG956" s="102"/>
      <c r="AH956" s="102"/>
      <c r="AI956" s="102"/>
      <c r="AJ956" s="102"/>
      <c r="AK956" s="102"/>
      <c r="AL956" s="102"/>
      <c r="AM956" s="102"/>
      <c r="AN956" s="102"/>
      <c r="AO956" s="400"/>
      <c r="AP956" s="90"/>
      <c r="AQ956" s="90"/>
      <c r="AR956" s="90"/>
      <c r="AS956" s="90"/>
      <c r="AT956" s="90"/>
      <c r="AU956" s="90"/>
      <c r="AV956" s="90"/>
      <c r="AW956" s="90"/>
      <c r="AX956" s="90"/>
      <c r="AY956" s="90"/>
      <c r="AZ956" s="90"/>
      <c r="BA956" s="90"/>
      <c r="BB956" s="90"/>
      <c r="BC956" s="90"/>
      <c r="BD956" s="90"/>
      <c r="BE956" s="90"/>
      <c r="BF956" s="90"/>
      <c r="BG956" s="90"/>
      <c r="BH956" s="90"/>
      <c r="BI956" s="90"/>
    </row>
    <row r="957" ht="12.75" customHeight="1">
      <c r="A957" s="90"/>
      <c r="B957" s="90"/>
      <c r="C957" s="400"/>
      <c r="D957" s="90"/>
      <c r="E957" s="102"/>
      <c r="F957" s="90"/>
      <c r="G957" s="90"/>
      <c r="H957" s="102"/>
      <c r="I957" s="102"/>
      <c r="J957" s="102"/>
      <c r="K957" s="102"/>
      <c r="L957" s="102"/>
      <c r="M957" s="102"/>
      <c r="N957" s="102"/>
      <c r="O957" s="102"/>
      <c r="P957" s="102"/>
      <c r="Q957" s="102"/>
      <c r="R957" s="102"/>
      <c r="S957" s="102"/>
      <c r="T957" s="102"/>
      <c r="U957" s="102"/>
      <c r="V957" s="102"/>
      <c r="W957" s="102"/>
      <c r="X957" s="102"/>
      <c r="Y957" s="102"/>
      <c r="Z957" s="102"/>
      <c r="AA957" s="102"/>
      <c r="AB957" s="102"/>
      <c r="AC957" s="102"/>
      <c r="AD957" s="102"/>
      <c r="AE957" s="102"/>
      <c r="AF957" s="102"/>
      <c r="AG957" s="102"/>
      <c r="AH957" s="102"/>
      <c r="AI957" s="102"/>
      <c r="AJ957" s="102"/>
      <c r="AK957" s="102"/>
      <c r="AL957" s="102"/>
      <c r="AM957" s="102"/>
      <c r="AN957" s="102"/>
      <c r="AO957" s="400"/>
      <c r="AP957" s="90"/>
      <c r="AQ957" s="90"/>
      <c r="AR957" s="90"/>
      <c r="AS957" s="90"/>
      <c r="AT957" s="90"/>
      <c r="AU957" s="90"/>
      <c r="AV957" s="90"/>
      <c r="AW957" s="90"/>
      <c r="AX957" s="90"/>
      <c r="AY957" s="90"/>
      <c r="AZ957" s="90"/>
      <c r="BA957" s="90"/>
      <c r="BB957" s="90"/>
      <c r="BC957" s="90"/>
      <c r="BD957" s="90"/>
      <c r="BE957" s="90"/>
      <c r="BF957" s="90"/>
      <c r="BG957" s="90"/>
      <c r="BH957" s="90"/>
      <c r="BI957" s="90"/>
    </row>
    <row r="958" ht="12.75" customHeight="1">
      <c r="A958" s="90"/>
      <c r="B958" s="90"/>
      <c r="C958" s="400"/>
      <c r="D958" s="90"/>
      <c r="E958" s="102"/>
      <c r="F958" s="90"/>
      <c r="G958" s="90"/>
      <c r="H958" s="102"/>
      <c r="I958" s="102"/>
      <c r="J958" s="102"/>
      <c r="K958" s="102"/>
      <c r="L958" s="102"/>
      <c r="M958" s="102"/>
      <c r="N958" s="102"/>
      <c r="O958" s="102"/>
      <c r="P958" s="102"/>
      <c r="Q958" s="102"/>
      <c r="R958" s="102"/>
      <c r="S958" s="102"/>
      <c r="T958" s="102"/>
      <c r="U958" s="102"/>
      <c r="V958" s="102"/>
      <c r="W958" s="102"/>
      <c r="X958" s="102"/>
      <c r="Y958" s="102"/>
      <c r="Z958" s="102"/>
      <c r="AA958" s="102"/>
      <c r="AB958" s="102"/>
      <c r="AC958" s="102"/>
      <c r="AD958" s="102"/>
      <c r="AE958" s="102"/>
      <c r="AF958" s="102"/>
      <c r="AG958" s="102"/>
      <c r="AH958" s="102"/>
      <c r="AI958" s="102"/>
      <c r="AJ958" s="102"/>
      <c r="AK958" s="102"/>
      <c r="AL958" s="102"/>
      <c r="AM958" s="102"/>
      <c r="AN958" s="102"/>
      <c r="AO958" s="400"/>
      <c r="AP958" s="90"/>
      <c r="AQ958" s="90"/>
      <c r="AR958" s="90"/>
      <c r="AS958" s="90"/>
      <c r="AT958" s="90"/>
      <c r="AU958" s="90"/>
      <c r="AV958" s="90"/>
      <c r="AW958" s="90"/>
      <c r="AX958" s="90"/>
      <c r="AY958" s="90"/>
      <c r="AZ958" s="90"/>
      <c r="BA958" s="90"/>
      <c r="BB958" s="90"/>
      <c r="BC958" s="90"/>
      <c r="BD958" s="90"/>
      <c r="BE958" s="90"/>
      <c r="BF958" s="90"/>
      <c r="BG958" s="90"/>
      <c r="BH958" s="90"/>
      <c r="BI958" s="90"/>
    </row>
    <row r="959" ht="12.75" customHeight="1">
      <c r="A959" s="90"/>
      <c r="B959" s="90"/>
      <c r="C959" s="400"/>
      <c r="D959" s="90"/>
      <c r="E959" s="102"/>
      <c r="F959" s="90"/>
      <c r="G959" s="90"/>
      <c r="H959" s="102"/>
      <c r="I959" s="102"/>
      <c r="J959" s="102"/>
      <c r="K959" s="102"/>
      <c r="L959" s="102"/>
      <c r="M959" s="102"/>
      <c r="N959" s="102"/>
      <c r="O959" s="102"/>
      <c r="P959" s="102"/>
      <c r="Q959" s="102"/>
      <c r="R959" s="102"/>
      <c r="S959" s="102"/>
      <c r="T959" s="102"/>
      <c r="U959" s="102"/>
      <c r="V959" s="102"/>
      <c r="W959" s="102"/>
      <c r="X959" s="102"/>
      <c r="Y959" s="102"/>
      <c r="Z959" s="102"/>
      <c r="AA959" s="102"/>
      <c r="AB959" s="102"/>
      <c r="AC959" s="102"/>
      <c r="AD959" s="102"/>
      <c r="AE959" s="102"/>
      <c r="AF959" s="102"/>
      <c r="AG959" s="102"/>
      <c r="AH959" s="102"/>
      <c r="AI959" s="102"/>
      <c r="AJ959" s="102"/>
      <c r="AK959" s="102"/>
      <c r="AL959" s="102"/>
      <c r="AM959" s="102"/>
      <c r="AN959" s="102"/>
      <c r="AO959" s="400"/>
      <c r="AP959" s="90"/>
      <c r="AQ959" s="90"/>
      <c r="AR959" s="90"/>
      <c r="AS959" s="90"/>
      <c r="AT959" s="90"/>
      <c r="AU959" s="90"/>
      <c r="AV959" s="90"/>
      <c r="AW959" s="90"/>
      <c r="AX959" s="90"/>
      <c r="AY959" s="90"/>
      <c r="AZ959" s="90"/>
      <c r="BA959" s="90"/>
      <c r="BB959" s="90"/>
      <c r="BC959" s="90"/>
      <c r="BD959" s="90"/>
      <c r="BE959" s="90"/>
      <c r="BF959" s="90"/>
      <c r="BG959" s="90"/>
      <c r="BH959" s="90"/>
      <c r="BI959" s="90"/>
    </row>
    <row r="960" ht="12.75" customHeight="1">
      <c r="A960" s="90"/>
      <c r="B960" s="90"/>
      <c r="C960" s="400"/>
      <c r="D960" s="90"/>
      <c r="E960" s="102"/>
      <c r="F960" s="90"/>
      <c r="G960" s="90"/>
      <c r="H960" s="102"/>
      <c r="I960" s="102"/>
      <c r="J960" s="102"/>
      <c r="K960" s="102"/>
      <c r="L960" s="102"/>
      <c r="M960" s="102"/>
      <c r="N960" s="102"/>
      <c r="O960" s="102"/>
      <c r="P960" s="102"/>
      <c r="Q960" s="102"/>
      <c r="R960" s="102"/>
      <c r="S960" s="102"/>
      <c r="T960" s="102"/>
      <c r="U960" s="102"/>
      <c r="V960" s="102"/>
      <c r="W960" s="102"/>
      <c r="X960" s="102"/>
      <c r="Y960" s="102"/>
      <c r="Z960" s="102"/>
      <c r="AA960" s="102"/>
      <c r="AB960" s="102"/>
      <c r="AC960" s="102"/>
      <c r="AD960" s="102"/>
      <c r="AE960" s="102"/>
      <c r="AF960" s="102"/>
      <c r="AG960" s="102"/>
      <c r="AH960" s="102"/>
      <c r="AI960" s="102"/>
      <c r="AJ960" s="102"/>
      <c r="AK960" s="102"/>
      <c r="AL960" s="102"/>
      <c r="AM960" s="102"/>
      <c r="AN960" s="102"/>
      <c r="AO960" s="400"/>
      <c r="AP960" s="90"/>
      <c r="AQ960" s="90"/>
      <c r="AR960" s="90"/>
      <c r="AS960" s="90"/>
      <c r="AT960" s="90"/>
      <c r="AU960" s="90"/>
      <c r="AV960" s="90"/>
      <c r="AW960" s="90"/>
      <c r="AX960" s="90"/>
      <c r="AY960" s="90"/>
      <c r="AZ960" s="90"/>
      <c r="BA960" s="90"/>
      <c r="BB960" s="90"/>
      <c r="BC960" s="90"/>
      <c r="BD960" s="90"/>
      <c r="BE960" s="90"/>
      <c r="BF960" s="90"/>
      <c r="BG960" s="90"/>
      <c r="BH960" s="90"/>
      <c r="BI960" s="90"/>
    </row>
    <row r="961" ht="12.75" customHeight="1">
      <c r="A961" s="90"/>
      <c r="B961" s="90"/>
      <c r="C961" s="400"/>
      <c r="D961" s="90"/>
      <c r="E961" s="102"/>
      <c r="F961" s="90"/>
      <c r="G961" s="90"/>
      <c r="H961" s="102"/>
      <c r="I961" s="102"/>
      <c r="J961" s="102"/>
      <c r="K961" s="102"/>
      <c r="L961" s="102"/>
      <c r="M961" s="102"/>
      <c r="N961" s="102"/>
      <c r="O961" s="102"/>
      <c r="P961" s="102"/>
      <c r="Q961" s="102"/>
      <c r="R961" s="102"/>
      <c r="S961" s="102"/>
      <c r="T961" s="102"/>
      <c r="U961" s="102"/>
      <c r="V961" s="102"/>
      <c r="W961" s="102"/>
      <c r="X961" s="102"/>
      <c r="Y961" s="102"/>
      <c r="Z961" s="102"/>
      <c r="AA961" s="102"/>
      <c r="AB961" s="102"/>
      <c r="AC961" s="102"/>
      <c r="AD961" s="102"/>
      <c r="AE961" s="102"/>
      <c r="AF961" s="102"/>
      <c r="AG961" s="102"/>
      <c r="AH961" s="102"/>
      <c r="AI961" s="102"/>
      <c r="AJ961" s="102"/>
      <c r="AK961" s="102"/>
      <c r="AL961" s="102"/>
      <c r="AM961" s="102"/>
      <c r="AN961" s="102"/>
      <c r="AO961" s="400"/>
      <c r="AP961" s="90"/>
      <c r="AQ961" s="90"/>
      <c r="AR961" s="90"/>
      <c r="AS961" s="90"/>
      <c r="AT961" s="90"/>
      <c r="AU961" s="90"/>
      <c r="AV961" s="90"/>
      <c r="AW961" s="90"/>
      <c r="AX961" s="90"/>
      <c r="AY961" s="90"/>
      <c r="AZ961" s="90"/>
      <c r="BA961" s="90"/>
      <c r="BB961" s="90"/>
      <c r="BC961" s="90"/>
      <c r="BD961" s="90"/>
      <c r="BE961" s="90"/>
      <c r="BF961" s="90"/>
      <c r="BG961" s="90"/>
      <c r="BH961" s="90"/>
      <c r="BI961" s="90"/>
    </row>
    <row r="962" ht="12.75" customHeight="1">
      <c r="A962" s="90"/>
      <c r="B962" s="90"/>
      <c r="C962" s="400"/>
      <c r="D962" s="90"/>
      <c r="E962" s="102"/>
      <c r="F962" s="90"/>
      <c r="G962" s="90"/>
      <c r="H962" s="102"/>
      <c r="I962" s="102"/>
      <c r="J962" s="102"/>
      <c r="K962" s="102"/>
      <c r="L962" s="102"/>
      <c r="M962" s="102"/>
      <c r="N962" s="102"/>
      <c r="O962" s="102"/>
      <c r="P962" s="102"/>
      <c r="Q962" s="102"/>
      <c r="R962" s="102"/>
      <c r="S962" s="102"/>
      <c r="T962" s="102"/>
      <c r="U962" s="102"/>
      <c r="V962" s="102"/>
      <c r="W962" s="102"/>
      <c r="X962" s="102"/>
      <c r="Y962" s="102"/>
      <c r="Z962" s="102"/>
      <c r="AA962" s="102"/>
      <c r="AB962" s="102"/>
      <c r="AC962" s="102"/>
      <c r="AD962" s="102"/>
      <c r="AE962" s="102"/>
      <c r="AF962" s="102"/>
      <c r="AG962" s="102"/>
      <c r="AH962" s="102"/>
      <c r="AI962" s="102"/>
      <c r="AJ962" s="102"/>
      <c r="AK962" s="102"/>
      <c r="AL962" s="102"/>
      <c r="AM962" s="102"/>
      <c r="AN962" s="102"/>
      <c r="AO962" s="400"/>
      <c r="AP962" s="90"/>
      <c r="AQ962" s="90"/>
      <c r="AR962" s="90"/>
      <c r="AS962" s="90"/>
      <c r="AT962" s="90"/>
      <c r="AU962" s="90"/>
      <c r="AV962" s="90"/>
      <c r="AW962" s="90"/>
      <c r="AX962" s="90"/>
      <c r="AY962" s="90"/>
      <c r="AZ962" s="90"/>
      <c r="BA962" s="90"/>
      <c r="BB962" s="90"/>
      <c r="BC962" s="90"/>
      <c r="BD962" s="90"/>
      <c r="BE962" s="90"/>
      <c r="BF962" s="90"/>
      <c r="BG962" s="90"/>
      <c r="BH962" s="90"/>
      <c r="BI962" s="90"/>
    </row>
    <row r="963" ht="12.75" customHeight="1">
      <c r="A963" s="90"/>
      <c r="B963" s="90"/>
      <c r="C963" s="400"/>
      <c r="D963" s="90"/>
      <c r="E963" s="102"/>
      <c r="F963" s="90"/>
      <c r="G963" s="90"/>
      <c r="H963" s="102"/>
      <c r="I963" s="102"/>
      <c r="J963" s="102"/>
      <c r="K963" s="102"/>
      <c r="L963" s="102"/>
      <c r="M963" s="102"/>
      <c r="N963" s="102"/>
      <c r="O963" s="102"/>
      <c r="P963" s="102"/>
      <c r="Q963" s="102"/>
      <c r="R963" s="102"/>
      <c r="S963" s="102"/>
      <c r="T963" s="102"/>
      <c r="U963" s="102"/>
      <c r="V963" s="102"/>
      <c r="W963" s="102"/>
      <c r="X963" s="102"/>
      <c r="Y963" s="102"/>
      <c r="Z963" s="102"/>
      <c r="AA963" s="102"/>
      <c r="AB963" s="102"/>
      <c r="AC963" s="102"/>
      <c r="AD963" s="102"/>
      <c r="AE963" s="102"/>
      <c r="AF963" s="102"/>
      <c r="AG963" s="102"/>
      <c r="AH963" s="102"/>
      <c r="AI963" s="102"/>
      <c r="AJ963" s="102"/>
      <c r="AK963" s="102"/>
      <c r="AL963" s="102"/>
      <c r="AM963" s="102"/>
      <c r="AN963" s="102"/>
      <c r="AO963" s="400"/>
      <c r="AP963" s="90"/>
      <c r="AQ963" s="90"/>
      <c r="AR963" s="90"/>
      <c r="AS963" s="90"/>
      <c r="AT963" s="90"/>
      <c r="AU963" s="90"/>
      <c r="AV963" s="90"/>
      <c r="AW963" s="90"/>
      <c r="AX963" s="90"/>
      <c r="AY963" s="90"/>
      <c r="AZ963" s="90"/>
      <c r="BA963" s="90"/>
      <c r="BB963" s="90"/>
      <c r="BC963" s="90"/>
      <c r="BD963" s="90"/>
      <c r="BE963" s="90"/>
      <c r="BF963" s="90"/>
      <c r="BG963" s="90"/>
      <c r="BH963" s="90"/>
      <c r="BI963" s="90"/>
    </row>
    <row r="964" ht="12.75" customHeight="1">
      <c r="A964" s="90"/>
      <c r="B964" s="90"/>
      <c r="C964" s="400"/>
      <c r="D964" s="90"/>
      <c r="E964" s="102"/>
      <c r="F964" s="90"/>
      <c r="G964" s="90"/>
      <c r="H964" s="102"/>
      <c r="I964" s="102"/>
      <c r="J964" s="102"/>
      <c r="K964" s="102"/>
      <c r="L964" s="102"/>
      <c r="M964" s="102"/>
      <c r="N964" s="102"/>
      <c r="O964" s="102"/>
      <c r="P964" s="102"/>
      <c r="Q964" s="102"/>
      <c r="R964" s="102"/>
      <c r="S964" s="102"/>
      <c r="T964" s="102"/>
      <c r="U964" s="102"/>
      <c r="V964" s="102"/>
      <c r="W964" s="102"/>
      <c r="X964" s="102"/>
      <c r="Y964" s="102"/>
      <c r="Z964" s="102"/>
      <c r="AA964" s="102"/>
      <c r="AB964" s="102"/>
      <c r="AC964" s="102"/>
      <c r="AD964" s="102"/>
      <c r="AE964" s="102"/>
      <c r="AF964" s="102"/>
      <c r="AG964" s="102"/>
      <c r="AH964" s="102"/>
      <c r="AI964" s="102"/>
      <c r="AJ964" s="102"/>
      <c r="AK964" s="102"/>
      <c r="AL964" s="102"/>
      <c r="AM964" s="102"/>
      <c r="AN964" s="102"/>
      <c r="AO964" s="400"/>
      <c r="AP964" s="90"/>
      <c r="AQ964" s="90"/>
      <c r="AR964" s="90"/>
      <c r="AS964" s="90"/>
      <c r="AT964" s="90"/>
      <c r="AU964" s="90"/>
      <c r="AV964" s="90"/>
      <c r="AW964" s="90"/>
      <c r="AX964" s="90"/>
      <c r="AY964" s="90"/>
      <c r="AZ964" s="90"/>
      <c r="BA964" s="90"/>
      <c r="BB964" s="90"/>
      <c r="BC964" s="90"/>
      <c r="BD964" s="90"/>
      <c r="BE964" s="90"/>
      <c r="BF964" s="90"/>
      <c r="BG964" s="90"/>
      <c r="BH964" s="90"/>
      <c r="BI964" s="90"/>
    </row>
    <row r="965" ht="12.75" customHeight="1">
      <c r="A965" s="90"/>
      <c r="B965" s="90"/>
      <c r="C965" s="400"/>
      <c r="D965" s="90"/>
      <c r="E965" s="102"/>
      <c r="F965" s="90"/>
      <c r="G965" s="90"/>
      <c r="H965" s="102"/>
      <c r="I965" s="102"/>
      <c r="J965" s="102"/>
      <c r="K965" s="102"/>
      <c r="L965" s="102"/>
      <c r="M965" s="102"/>
      <c r="N965" s="102"/>
      <c r="O965" s="102"/>
      <c r="P965" s="102"/>
      <c r="Q965" s="102"/>
      <c r="R965" s="102"/>
      <c r="S965" s="102"/>
      <c r="T965" s="102"/>
      <c r="U965" s="102"/>
      <c r="V965" s="102"/>
      <c r="W965" s="102"/>
      <c r="X965" s="102"/>
      <c r="Y965" s="102"/>
      <c r="Z965" s="102"/>
      <c r="AA965" s="102"/>
      <c r="AB965" s="102"/>
      <c r="AC965" s="102"/>
      <c r="AD965" s="102"/>
      <c r="AE965" s="102"/>
      <c r="AF965" s="102"/>
      <c r="AG965" s="102"/>
      <c r="AH965" s="102"/>
      <c r="AI965" s="102"/>
      <c r="AJ965" s="102"/>
      <c r="AK965" s="102"/>
      <c r="AL965" s="102"/>
      <c r="AM965" s="102"/>
      <c r="AN965" s="102"/>
      <c r="AO965" s="400"/>
      <c r="AP965" s="90"/>
      <c r="AQ965" s="90"/>
      <c r="AR965" s="90"/>
      <c r="AS965" s="90"/>
      <c r="AT965" s="90"/>
      <c r="AU965" s="90"/>
      <c r="AV965" s="90"/>
      <c r="AW965" s="90"/>
      <c r="AX965" s="90"/>
      <c r="AY965" s="90"/>
      <c r="AZ965" s="90"/>
      <c r="BA965" s="90"/>
      <c r="BB965" s="90"/>
      <c r="BC965" s="90"/>
      <c r="BD965" s="90"/>
      <c r="BE965" s="90"/>
      <c r="BF965" s="90"/>
      <c r="BG965" s="90"/>
      <c r="BH965" s="90"/>
      <c r="BI965" s="90"/>
    </row>
    <row r="966" ht="12.75" customHeight="1">
      <c r="A966" s="90"/>
      <c r="B966" s="90"/>
      <c r="C966" s="400"/>
      <c r="D966" s="90"/>
      <c r="E966" s="102"/>
      <c r="F966" s="90"/>
      <c r="G966" s="90"/>
      <c r="H966" s="102"/>
      <c r="I966" s="102"/>
      <c r="J966" s="102"/>
      <c r="K966" s="102"/>
      <c r="L966" s="102"/>
      <c r="M966" s="102"/>
      <c r="N966" s="102"/>
      <c r="O966" s="102"/>
      <c r="P966" s="102"/>
      <c r="Q966" s="102"/>
      <c r="R966" s="102"/>
      <c r="S966" s="102"/>
      <c r="T966" s="102"/>
      <c r="U966" s="102"/>
      <c r="V966" s="102"/>
      <c r="W966" s="102"/>
      <c r="X966" s="102"/>
      <c r="Y966" s="102"/>
      <c r="Z966" s="102"/>
      <c r="AA966" s="102"/>
      <c r="AB966" s="102"/>
      <c r="AC966" s="102"/>
      <c r="AD966" s="102"/>
      <c r="AE966" s="102"/>
      <c r="AF966" s="102"/>
      <c r="AG966" s="102"/>
      <c r="AH966" s="102"/>
      <c r="AI966" s="102"/>
      <c r="AJ966" s="102"/>
      <c r="AK966" s="102"/>
      <c r="AL966" s="102"/>
      <c r="AM966" s="102"/>
      <c r="AN966" s="102"/>
      <c r="AO966" s="400"/>
      <c r="AP966" s="90"/>
      <c r="AQ966" s="90"/>
      <c r="AR966" s="90"/>
      <c r="AS966" s="90"/>
      <c r="AT966" s="90"/>
      <c r="AU966" s="90"/>
      <c r="AV966" s="90"/>
      <c r="AW966" s="90"/>
      <c r="AX966" s="90"/>
      <c r="AY966" s="90"/>
      <c r="AZ966" s="90"/>
      <c r="BA966" s="90"/>
      <c r="BB966" s="90"/>
      <c r="BC966" s="90"/>
      <c r="BD966" s="90"/>
      <c r="BE966" s="90"/>
      <c r="BF966" s="90"/>
      <c r="BG966" s="90"/>
      <c r="BH966" s="90"/>
      <c r="BI966" s="90"/>
    </row>
    <row r="967" ht="12.75" customHeight="1">
      <c r="A967" s="90"/>
      <c r="B967" s="90"/>
      <c r="C967" s="400"/>
      <c r="D967" s="90"/>
      <c r="E967" s="102"/>
      <c r="F967" s="90"/>
      <c r="G967" s="90"/>
      <c r="H967" s="102"/>
      <c r="I967" s="102"/>
      <c r="J967" s="102"/>
      <c r="K967" s="102"/>
      <c r="L967" s="102"/>
      <c r="M967" s="102"/>
      <c r="N967" s="102"/>
      <c r="O967" s="102"/>
      <c r="P967" s="102"/>
      <c r="Q967" s="102"/>
      <c r="R967" s="102"/>
      <c r="S967" s="102"/>
      <c r="T967" s="102"/>
      <c r="U967" s="102"/>
      <c r="V967" s="102"/>
      <c r="W967" s="102"/>
      <c r="X967" s="102"/>
      <c r="Y967" s="102"/>
      <c r="Z967" s="102"/>
      <c r="AA967" s="102"/>
      <c r="AB967" s="102"/>
      <c r="AC967" s="102"/>
      <c r="AD967" s="102"/>
      <c r="AE967" s="102"/>
      <c r="AF967" s="102"/>
      <c r="AG967" s="102"/>
      <c r="AH967" s="102"/>
      <c r="AI967" s="102"/>
      <c r="AJ967" s="102"/>
      <c r="AK967" s="102"/>
      <c r="AL967" s="102"/>
      <c r="AM967" s="102"/>
      <c r="AN967" s="102"/>
      <c r="AO967" s="400"/>
      <c r="AP967" s="90"/>
      <c r="AQ967" s="90"/>
      <c r="AR967" s="90"/>
      <c r="AS967" s="90"/>
      <c r="AT967" s="90"/>
      <c r="AU967" s="90"/>
      <c r="AV967" s="90"/>
      <c r="AW967" s="90"/>
      <c r="AX967" s="90"/>
      <c r="AY967" s="90"/>
      <c r="AZ967" s="90"/>
      <c r="BA967" s="90"/>
      <c r="BB967" s="90"/>
      <c r="BC967" s="90"/>
      <c r="BD967" s="90"/>
      <c r="BE967" s="90"/>
      <c r="BF967" s="90"/>
      <c r="BG967" s="90"/>
      <c r="BH967" s="90"/>
      <c r="BI967" s="90"/>
    </row>
    <row r="968" ht="12.75" customHeight="1">
      <c r="A968" s="90"/>
      <c r="B968" s="90"/>
      <c r="C968" s="400"/>
      <c r="D968" s="90"/>
      <c r="E968" s="102"/>
      <c r="F968" s="90"/>
      <c r="G968" s="90"/>
      <c r="H968" s="102"/>
      <c r="I968" s="102"/>
      <c r="J968" s="102"/>
      <c r="K968" s="102"/>
      <c r="L968" s="102"/>
      <c r="M968" s="102"/>
      <c r="N968" s="102"/>
      <c r="O968" s="102"/>
      <c r="P968" s="102"/>
      <c r="Q968" s="102"/>
      <c r="R968" s="102"/>
      <c r="S968" s="102"/>
      <c r="T968" s="102"/>
      <c r="U968" s="102"/>
      <c r="V968" s="102"/>
      <c r="W968" s="102"/>
      <c r="X968" s="102"/>
      <c r="Y968" s="102"/>
      <c r="Z968" s="102"/>
      <c r="AA968" s="102"/>
      <c r="AB968" s="102"/>
      <c r="AC968" s="102"/>
      <c r="AD968" s="102"/>
      <c r="AE968" s="102"/>
      <c r="AF968" s="102"/>
      <c r="AG968" s="102"/>
      <c r="AH968" s="102"/>
      <c r="AI968" s="102"/>
      <c r="AJ968" s="102"/>
      <c r="AK968" s="102"/>
      <c r="AL968" s="102"/>
      <c r="AM968" s="102"/>
      <c r="AN968" s="102"/>
      <c r="AO968" s="400"/>
      <c r="AP968" s="90"/>
      <c r="AQ968" s="90"/>
      <c r="AR968" s="90"/>
      <c r="AS968" s="90"/>
      <c r="AT968" s="90"/>
      <c r="AU968" s="90"/>
      <c r="AV968" s="90"/>
      <c r="AW968" s="90"/>
      <c r="AX968" s="90"/>
      <c r="AY968" s="90"/>
      <c r="AZ968" s="90"/>
      <c r="BA968" s="90"/>
      <c r="BB968" s="90"/>
      <c r="BC968" s="90"/>
      <c r="BD968" s="90"/>
      <c r="BE968" s="90"/>
      <c r="BF968" s="90"/>
      <c r="BG968" s="90"/>
      <c r="BH968" s="90"/>
      <c r="BI968" s="90"/>
    </row>
    <row r="969" ht="12.75" customHeight="1">
      <c r="A969" s="90"/>
      <c r="B969" s="90"/>
      <c r="C969" s="400"/>
      <c r="D969" s="90"/>
      <c r="E969" s="102"/>
      <c r="F969" s="90"/>
      <c r="G969" s="90"/>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c r="AG969" s="102"/>
      <c r="AH969" s="102"/>
      <c r="AI969" s="102"/>
      <c r="AJ969" s="102"/>
      <c r="AK969" s="102"/>
      <c r="AL969" s="102"/>
      <c r="AM969" s="102"/>
      <c r="AN969" s="102"/>
      <c r="AO969" s="400"/>
      <c r="AP969" s="90"/>
      <c r="AQ969" s="90"/>
      <c r="AR969" s="90"/>
      <c r="AS969" s="90"/>
      <c r="AT969" s="90"/>
      <c r="AU969" s="90"/>
      <c r="AV969" s="90"/>
      <c r="AW969" s="90"/>
      <c r="AX969" s="90"/>
      <c r="AY969" s="90"/>
      <c r="AZ969" s="90"/>
      <c r="BA969" s="90"/>
      <c r="BB969" s="90"/>
      <c r="BC969" s="90"/>
      <c r="BD969" s="90"/>
      <c r="BE969" s="90"/>
      <c r="BF969" s="90"/>
      <c r="BG969" s="90"/>
      <c r="BH969" s="90"/>
      <c r="BI969" s="90"/>
    </row>
    <row r="970" ht="12.75" customHeight="1">
      <c r="A970" s="90"/>
      <c r="B970" s="90"/>
      <c r="C970" s="400"/>
      <c r="D970" s="90"/>
      <c r="E970" s="102"/>
      <c r="F970" s="90"/>
      <c r="G970" s="90"/>
      <c r="H970" s="102"/>
      <c r="I970" s="102"/>
      <c r="J970" s="102"/>
      <c r="K970" s="102"/>
      <c r="L970" s="102"/>
      <c r="M970" s="102"/>
      <c r="N970" s="102"/>
      <c r="O970" s="102"/>
      <c r="P970" s="102"/>
      <c r="Q970" s="102"/>
      <c r="R970" s="102"/>
      <c r="S970" s="102"/>
      <c r="T970" s="102"/>
      <c r="U970" s="102"/>
      <c r="V970" s="102"/>
      <c r="W970" s="102"/>
      <c r="X970" s="102"/>
      <c r="Y970" s="102"/>
      <c r="Z970" s="102"/>
      <c r="AA970" s="102"/>
      <c r="AB970" s="102"/>
      <c r="AC970" s="102"/>
      <c r="AD970" s="102"/>
      <c r="AE970" s="102"/>
      <c r="AF970" s="102"/>
      <c r="AG970" s="102"/>
      <c r="AH970" s="102"/>
      <c r="AI970" s="102"/>
      <c r="AJ970" s="102"/>
      <c r="AK970" s="102"/>
      <c r="AL970" s="102"/>
      <c r="AM970" s="102"/>
      <c r="AN970" s="102"/>
      <c r="AO970" s="400"/>
      <c r="AP970" s="90"/>
      <c r="AQ970" s="90"/>
      <c r="AR970" s="90"/>
      <c r="AS970" s="90"/>
      <c r="AT970" s="90"/>
      <c r="AU970" s="90"/>
      <c r="AV970" s="90"/>
      <c r="AW970" s="90"/>
      <c r="AX970" s="90"/>
      <c r="AY970" s="90"/>
      <c r="AZ970" s="90"/>
      <c r="BA970" s="90"/>
      <c r="BB970" s="90"/>
      <c r="BC970" s="90"/>
      <c r="BD970" s="90"/>
      <c r="BE970" s="90"/>
      <c r="BF970" s="90"/>
      <c r="BG970" s="90"/>
      <c r="BH970" s="90"/>
      <c r="BI970" s="90"/>
    </row>
    <row r="971" ht="12.75" customHeight="1">
      <c r="A971" s="90"/>
      <c r="B971" s="90"/>
      <c r="C971" s="400"/>
      <c r="D971" s="90"/>
      <c r="E971" s="102"/>
      <c r="F971" s="90"/>
      <c r="G971" s="90"/>
      <c r="H971" s="102"/>
      <c r="I971" s="102"/>
      <c r="J971" s="102"/>
      <c r="K971" s="102"/>
      <c r="L971" s="102"/>
      <c r="M971" s="102"/>
      <c r="N971" s="102"/>
      <c r="O971" s="102"/>
      <c r="P971" s="102"/>
      <c r="Q971" s="102"/>
      <c r="R971" s="102"/>
      <c r="S971" s="102"/>
      <c r="T971" s="102"/>
      <c r="U971" s="102"/>
      <c r="V971" s="102"/>
      <c r="W971" s="102"/>
      <c r="X971" s="102"/>
      <c r="Y971" s="102"/>
      <c r="Z971" s="102"/>
      <c r="AA971" s="102"/>
      <c r="AB971" s="102"/>
      <c r="AC971" s="102"/>
      <c r="AD971" s="102"/>
      <c r="AE971" s="102"/>
      <c r="AF971" s="102"/>
      <c r="AG971" s="102"/>
      <c r="AH971" s="102"/>
      <c r="AI971" s="102"/>
      <c r="AJ971" s="102"/>
      <c r="AK971" s="102"/>
      <c r="AL971" s="102"/>
      <c r="AM971" s="102"/>
      <c r="AN971" s="102"/>
      <c r="AO971" s="400"/>
      <c r="AP971" s="90"/>
      <c r="AQ971" s="90"/>
      <c r="AR971" s="90"/>
      <c r="AS971" s="90"/>
      <c r="AT971" s="90"/>
      <c r="AU971" s="90"/>
      <c r="AV971" s="90"/>
      <c r="AW971" s="90"/>
      <c r="AX971" s="90"/>
      <c r="AY971" s="90"/>
      <c r="AZ971" s="90"/>
      <c r="BA971" s="90"/>
      <c r="BB971" s="90"/>
      <c r="BC971" s="90"/>
      <c r="BD971" s="90"/>
      <c r="BE971" s="90"/>
      <c r="BF971" s="90"/>
      <c r="BG971" s="90"/>
      <c r="BH971" s="90"/>
      <c r="BI971" s="90"/>
    </row>
    <row r="972" ht="12.75" customHeight="1">
      <c r="A972" s="90"/>
      <c r="B972" s="90"/>
      <c r="C972" s="400"/>
      <c r="D972" s="90"/>
      <c r="E972" s="102"/>
      <c r="F972" s="90"/>
      <c r="G972" s="90"/>
      <c r="H972" s="102"/>
      <c r="I972" s="102"/>
      <c r="J972" s="102"/>
      <c r="K972" s="102"/>
      <c r="L972" s="102"/>
      <c r="M972" s="102"/>
      <c r="N972" s="102"/>
      <c r="O972" s="102"/>
      <c r="P972" s="102"/>
      <c r="Q972" s="102"/>
      <c r="R972" s="102"/>
      <c r="S972" s="102"/>
      <c r="T972" s="102"/>
      <c r="U972" s="102"/>
      <c r="V972" s="102"/>
      <c r="W972" s="102"/>
      <c r="X972" s="102"/>
      <c r="Y972" s="102"/>
      <c r="Z972" s="102"/>
      <c r="AA972" s="102"/>
      <c r="AB972" s="102"/>
      <c r="AC972" s="102"/>
      <c r="AD972" s="102"/>
      <c r="AE972" s="102"/>
      <c r="AF972" s="102"/>
      <c r="AG972" s="102"/>
      <c r="AH972" s="102"/>
      <c r="AI972" s="102"/>
      <c r="AJ972" s="102"/>
      <c r="AK972" s="102"/>
      <c r="AL972" s="102"/>
      <c r="AM972" s="102"/>
      <c r="AN972" s="102"/>
      <c r="AO972" s="400"/>
      <c r="AP972" s="90"/>
      <c r="AQ972" s="90"/>
      <c r="AR972" s="90"/>
      <c r="AS972" s="90"/>
      <c r="AT972" s="90"/>
      <c r="AU972" s="90"/>
      <c r="AV972" s="90"/>
      <c r="AW972" s="90"/>
      <c r="AX972" s="90"/>
      <c r="AY972" s="90"/>
      <c r="AZ972" s="90"/>
      <c r="BA972" s="90"/>
      <c r="BB972" s="90"/>
      <c r="BC972" s="90"/>
      <c r="BD972" s="90"/>
      <c r="BE972" s="90"/>
      <c r="BF972" s="90"/>
      <c r="BG972" s="90"/>
      <c r="BH972" s="90"/>
      <c r="BI972" s="90"/>
    </row>
    <row r="973" ht="12.75" customHeight="1">
      <c r="A973" s="90"/>
      <c r="B973" s="90"/>
      <c r="C973" s="400"/>
      <c r="D973" s="90"/>
      <c r="E973" s="102"/>
      <c r="F973" s="90"/>
      <c r="G973" s="90"/>
      <c r="H973" s="102"/>
      <c r="I973" s="102"/>
      <c r="J973" s="102"/>
      <c r="K973" s="102"/>
      <c r="L973" s="102"/>
      <c r="M973" s="102"/>
      <c r="N973" s="102"/>
      <c r="O973" s="102"/>
      <c r="P973" s="102"/>
      <c r="Q973" s="102"/>
      <c r="R973" s="102"/>
      <c r="S973" s="102"/>
      <c r="T973" s="102"/>
      <c r="U973" s="102"/>
      <c r="V973" s="102"/>
      <c r="W973" s="102"/>
      <c r="X973" s="102"/>
      <c r="Y973" s="102"/>
      <c r="Z973" s="102"/>
      <c r="AA973" s="102"/>
      <c r="AB973" s="102"/>
      <c r="AC973" s="102"/>
      <c r="AD973" s="102"/>
      <c r="AE973" s="102"/>
      <c r="AF973" s="102"/>
      <c r="AG973" s="102"/>
      <c r="AH973" s="102"/>
      <c r="AI973" s="102"/>
      <c r="AJ973" s="102"/>
      <c r="AK973" s="102"/>
      <c r="AL973" s="102"/>
      <c r="AM973" s="102"/>
      <c r="AN973" s="102"/>
      <c r="AO973" s="400"/>
      <c r="AP973" s="90"/>
      <c r="AQ973" s="90"/>
      <c r="AR973" s="90"/>
      <c r="AS973" s="90"/>
      <c r="AT973" s="90"/>
      <c r="AU973" s="90"/>
      <c r="AV973" s="90"/>
      <c r="AW973" s="90"/>
      <c r="AX973" s="90"/>
      <c r="AY973" s="90"/>
      <c r="AZ973" s="90"/>
      <c r="BA973" s="90"/>
      <c r="BB973" s="90"/>
      <c r="BC973" s="90"/>
      <c r="BD973" s="90"/>
      <c r="BE973" s="90"/>
      <c r="BF973" s="90"/>
      <c r="BG973" s="90"/>
      <c r="BH973" s="90"/>
      <c r="BI973" s="90"/>
    </row>
    <row r="974" ht="12.75" customHeight="1">
      <c r="A974" s="90"/>
      <c r="B974" s="90"/>
      <c r="C974" s="400"/>
      <c r="D974" s="90"/>
      <c r="E974" s="102"/>
      <c r="F974" s="90"/>
      <c r="G974" s="90"/>
      <c r="H974" s="102"/>
      <c r="I974" s="102"/>
      <c r="J974" s="102"/>
      <c r="K974" s="102"/>
      <c r="L974" s="102"/>
      <c r="M974" s="102"/>
      <c r="N974" s="102"/>
      <c r="O974" s="102"/>
      <c r="P974" s="102"/>
      <c r="Q974" s="102"/>
      <c r="R974" s="102"/>
      <c r="S974" s="102"/>
      <c r="T974" s="102"/>
      <c r="U974" s="102"/>
      <c r="V974" s="102"/>
      <c r="W974" s="102"/>
      <c r="X974" s="102"/>
      <c r="Y974" s="102"/>
      <c r="Z974" s="102"/>
      <c r="AA974" s="102"/>
      <c r="AB974" s="102"/>
      <c r="AC974" s="102"/>
      <c r="AD974" s="102"/>
      <c r="AE974" s="102"/>
      <c r="AF974" s="102"/>
      <c r="AG974" s="102"/>
      <c r="AH974" s="102"/>
      <c r="AI974" s="102"/>
      <c r="AJ974" s="102"/>
      <c r="AK974" s="102"/>
      <c r="AL974" s="102"/>
      <c r="AM974" s="102"/>
      <c r="AN974" s="102"/>
      <c r="AO974" s="400"/>
      <c r="AP974" s="90"/>
      <c r="AQ974" s="90"/>
      <c r="AR974" s="90"/>
      <c r="AS974" s="90"/>
      <c r="AT974" s="90"/>
      <c r="AU974" s="90"/>
      <c r="AV974" s="90"/>
      <c r="AW974" s="90"/>
      <c r="AX974" s="90"/>
      <c r="AY974" s="90"/>
      <c r="AZ974" s="90"/>
      <c r="BA974" s="90"/>
      <c r="BB974" s="90"/>
      <c r="BC974" s="90"/>
      <c r="BD974" s="90"/>
      <c r="BE974" s="90"/>
      <c r="BF974" s="90"/>
      <c r="BG974" s="90"/>
      <c r="BH974" s="90"/>
      <c r="BI974" s="90"/>
    </row>
    <row r="975" ht="12.75" customHeight="1">
      <c r="A975" s="90"/>
      <c r="B975" s="90"/>
      <c r="C975" s="400"/>
      <c r="D975" s="90"/>
      <c r="E975" s="102"/>
      <c r="F975" s="90"/>
      <c r="G975" s="90"/>
      <c r="H975" s="102"/>
      <c r="I975" s="102"/>
      <c r="J975" s="102"/>
      <c r="K975" s="102"/>
      <c r="L975" s="102"/>
      <c r="M975" s="102"/>
      <c r="N975" s="102"/>
      <c r="O975" s="102"/>
      <c r="P975" s="102"/>
      <c r="Q975" s="102"/>
      <c r="R975" s="102"/>
      <c r="S975" s="102"/>
      <c r="T975" s="102"/>
      <c r="U975" s="102"/>
      <c r="V975" s="102"/>
      <c r="W975" s="102"/>
      <c r="X975" s="102"/>
      <c r="Y975" s="102"/>
      <c r="Z975" s="102"/>
      <c r="AA975" s="102"/>
      <c r="AB975" s="102"/>
      <c r="AC975" s="102"/>
      <c r="AD975" s="102"/>
      <c r="AE975" s="102"/>
      <c r="AF975" s="102"/>
      <c r="AG975" s="102"/>
      <c r="AH975" s="102"/>
      <c r="AI975" s="102"/>
      <c r="AJ975" s="102"/>
      <c r="AK975" s="102"/>
      <c r="AL975" s="102"/>
      <c r="AM975" s="102"/>
      <c r="AN975" s="102"/>
      <c r="AO975" s="400"/>
      <c r="AP975" s="90"/>
      <c r="AQ975" s="90"/>
      <c r="AR975" s="90"/>
      <c r="AS975" s="90"/>
      <c r="AT975" s="90"/>
      <c r="AU975" s="90"/>
      <c r="AV975" s="90"/>
      <c r="AW975" s="90"/>
      <c r="AX975" s="90"/>
      <c r="AY975" s="90"/>
      <c r="AZ975" s="90"/>
      <c r="BA975" s="90"/>
      <c r="BB975" s="90"/>
      <c r="BC975" s="90"/>
      <c r="BD975" s="90"/>
      <c r="BE975" s="90"/>
      <c r="BF975" s="90"/>
      <c r="BG975" s="90"/>
      <c r="BH975" s="90"/>
      <c r="BI975" s="90"/>
    </row>
    <row r="976" ht="12.75" customHeight="1">
      <c r="A976" s="90"/>
      <c r="B976" s="90"/>
      <c r="C976" s="400"/>
      <c r="D976" s="90"/>
      <c r="E976" s="102"/>
      <c r="F976" s="90"/>
      <c r="G976" s="90"/>
      <c r="H976" s="102"/>
      <c r="I976" s="102"/>
      <c r="J976" s="102"/>
      <c r="K976" s="102"/>
      <c r="L976" s="102"/>
      <c r="M976" s="102"/>
      <c r="N976" s="102"/>
      <c r="O976" s="102"/>
      <c r="P976" s="102"/>
      <c r="Q976" s="102"/>
      <c r="R976" s="102"/>
      <c r="S976" s="102"/>
      <c r="T976" s="102"/>
      <c r="U976" s="102"/>
      <c r="V976" s="102"/>
      <c r="W976" s="102"/>
      <c r="X976" s="102"/>
      <c r="Y976" s="102"/>
      <c r="Z976" s="102"/>
      <c r="AA976" s="102"/>
      <c r="AB976" s="102"/>
      <c r="AC976" s="102"/>
      <c r="AD976" s="102"/>
      <c r="AE976" s="102"/>
      <c r="AF976" s="102"/>
      <c r="AG976" s="102"/>
      <c r="AH976" s="102"/>
      <c r="AI976" s="102"/>
      <c r="AJ976" s="102"/>
      <c r="AK976" s="102"/>
      <c r="AL976" s="102"/>
      <c r="AM976" s="102"/>
      <c r="AN976" s="102"/>
      <c r="AO976" s="400"/>
      <c r="AP976" s="90"/>
      <c r="AQ976" s="90"/>
      <c r="AR976" s="90"/>
      <c r="AS976" s="90"/>
      <c r="AT976" s="90"/>
      <c r="AU976" s="90"/>
      <c r="AV976" s="90"/>
      <c r="AW976" s="90"/>
      <c r="AX976" s="90"/>
      <c r="AY976" s="90"/>
      <c r="AZ976" s="90"/>
      <c r="BA976" s="90"/>
      <c r="BB976" s="90"/>
      <c r="BC976" s="90"/>
      <c r="BD976" s="90"/>
      <c r="BE976" s="90"/>
      <c r="BF976" s="90"/>
      <c r="BG976" s="90"/>
      <c r="BH976" s="90"/>
      <c r="BI976" s="90"/>
    </row>
    <row r="977" ht="12.75" customHeight="1">
      <c r="A977" s="90"/>
      <c r="B977" s="90"/>
      <c r="C977" s="400"/>
      <c r="D977" s="90"/>
      <c r="E977" s="102"/>
      <c r="F977" s="90"/>
      <c r="G977" s="90"/>
      <c r="H977" s="102"/>
      <c r="I977" s="102"/>
      <c r="J977" s="102"/>
      <c r="K977" s="102"/>
      <c r="L977" s="102"/>
      <c r="M977" s="102"/>
      <c r="N977" s="102"/>
      <c r="O977" s="102"/>
      <c r="P977" s="102"/>
      <c r="Q977" s="102"/>
      <c r="R977" s="102"/>
      <c r="S977" s="102"/>
      <c r="T977" s="102"/>
      <c r="U977" s="102"/>
      <c r="V977" s="102"/>
      <c r="W977" s="102"/>
      <c r="X977" s="102"/>
      <c r="Y977" s="102"/>
      <c r="Z977" s="102"/>
      <c r="AA977" s="102"/>
      <c r="AB977" s="102"/>
      <c r="AC977" s="102"/>
      <c r="AD977" s="102"/>
      <c r="AE977" s="102"/>
      <c r="AF977" s="102"/>
      <c r="AG977" s="102"/>
      <c r="AH977" s="102"/>
      <c r="AI977" s="102"/>
      <c r="AJ977" s="102"/>
      <c r="AK977" s="102"/>
      <c r="AL977" s="102"/>
      <c r="AM977" s="102"/>
      <c r="AN977" s="102"/>
      <c r="AO977" s="400"/>
      <c r="AP977" s="90"/>
      <c r="AQ977" s="90"/>
      <c r="AR977" s="90"/>
      <c r="AS977" s="90"/>
      <c r="AT977" s="90"/>
      <c r="AU977" s="90"/>
      <c r="AV977" s="90"/>
      <c r="AW977" s="90"/>
      <c r="AX977" s="90"/>
      <c r="AY977" s="90"/>
      <c r="AZ977" s="90"/>
      <c r="BA977" s="90"/>
      <c r="BB977" s="90"/>
      <c r="BC977" s="90"/>
      <c r="BD977" s="90"/>
      <c r="BE977" s="90"/>
      <c r="BF977" s="90"/>
      <c r="BG977" s="90"/>
      <c r="BH977" s="90"/>
      <c r="BI977" s="90"/>
    </row>
    <row r="978" ht="12.75" customHeight="1">
      <c r="A978" s="90"/>
      <c r="B978" s="90"/>
      <c r="C978" s="400"/>
      <c r="D978" s="90"/>
      <c r="E978" s="102"/>
      <c r="F978" s="90"/>
      <c r="G978" s="90"/>
      <c r="H978" s="102"/>
      <c r="I978" s="102"/>
      <c r="J978" s="102"/>
      <c r="K978" s="102"/>
      <c r="L978" s="102"/>
      <c r="M978" s="102"/>
      <c r="N978" s="102"/>
      <c r="O978" s="102"/>
      <c r="P978" s="102"/>
      <c r="Q978" s="102"/>
      <c r="R978" s="102"/>
      <c r="S978" s="102"/>
      <c r="T978" s="102"/>
      <c r="U978" s="102"/>
      <c r="V978" s="102"/>
      <c r="W978" s="102"/>
      <c r="X978" s="102"/>
      <c r="Y978" s="102"/>
      <c r="Z978" s="102"/>
      <c r="AA978" s="102"/>
      <c r="AB978" s="102"/>
      <c r="AC978" s="102"/>
      <c r="AD978" s="102"/>
      <c r="AE978" s="102"/>
      <c r="AF978" s="102"/>
      <c r="AG978" s="102"/>
      <c r="AH978" s="102"/>
      <c r="AI978" s="102"/>
      <c r="AJ978" s="102"/>
      <c r="AK978" s="102"/>
      <c r="AL978" s="102"/>
      <c r="AM978" s="102"/>
      <c r="AN978" s="102"/>
      <c r="AO978" s="400"/>
      <c r="AP978" s="90"/>
      <c r="AQ978" s="90"/>
      <c r="AR978" s="90"/>
      <c r="AS978" s="90"/>
      <c r="AT978" s="90"/>
      <c r="AU978" s="90"/>
      <c r="AV978" s="90"/>
      <c r="AW978" s="90"/>
      <c r="AX978" s="90"/>
      <c r="AY978" s="90"/>
      <c r="AZ978" s="90"/>
      <c r="BA978" s="90"/>
      <c r="BB978" s="90"/>
      <c r="BC978" s="90"/>
      <c r="BD978" s="90"/>
      <c r="BE978" s="90"/>
      <c r="BF978" s="90"/>
      <c r="BG978" s="90"/>
      <c r="BH978" s="90"/>
      <c r="BI978" s="90"/>
    </row>
    <row r="979" ht="12.75" customHeight="1">
      <c r="A979" s="90"/>
      <c r="B979" s="90"/>
      <c r="C979" s="400"/>
      <c r="D979" s="90"/>
      <c r="E979" s="102"/>
      <c r="F979" s="90"/>
      <c r="G979" s="90"/>
      <c r="H979" s="102"/>
      <c r="I979" s="102"/>
      <c r="J979" s="102"/>
      <c r="K979" s="102"/>
      <c r="L979" s="102"/>
      <c r="M979" s="102"/>
      <c r="N979" s="102"/>
      <c r="O979" s="102"/>
      <c r="P979" s="102"/>
      <c r="Q979" s="102"/>
      <c r="R979" s="102"/>
      <c r="S979" s="102"/>
      <c r="T979" s="102"/>
      <c r="U979" s="102"/>
      <c r="V979" s="102"/>
      <c r="W979" s="102"/>
      <c r="X979" s="102"/>
      <c r="Y979" s="102"/>
      <c r="Z979" s="102"/>
      <c r="AA979" s="102"/>
      <c r="AB979" s="102"/>
      <c r="AC979" s="102"/>
      <c r="AD979" s="102"/>
      <c r="AE979" s="102"/>
      <c r="AF979" s="102"/>
      <c r="AG979" s="102"/>
      <c r="AH979" s="102"/>
      <c r="AI979" s="102"/>
      <c r="AJ979" s="102"/>
      <c r="AK979" s="102"/>
      <c r="AL979" s="102"/>
      <c r="AM979" s="102"/>
      <c r="AN979" s="102"/>
      <c r="AO979" s="400"/>
      <c r="AP979" s="90"/>
      <c r="AQ979" s="90"/>
      <c r="AR979" s="90"/>
      <c r="AS979" s="90"/>
      <c r="AT979" s="90"/>
      <c r="AU979" s="90"/>
      <c r="AV979" s="90"/>
      <c r="AW979" s="90"/>
      <c r="AX979" s="90"/>
      <c r="AY979" s="90"/>
      <c r="AZ979" s="90"/>
      <c r="BA979" s="90"/>
      <c r="BB979" s="90"/>
      <c r="BC979" s="90"/>
      <c r="BD979" s="90"/>
      <c r="BE979" s="90"/>
      <c r="BF979" s="90"/>
      <c r="BG979" s="90"/>
      <c r="BH979" s="90"/>
      <c r="BI979" s="90"/>
    </row>
    <row r="980" ht="12.75" customHeight="1">
      <c r="A980" s="90"/>
      <c r="B980" s="90"/>
      <c r="C980" s="400"/>
      <c r="D980" s="90"/>
      <c r="E980" s="102"/>
      <c r="F980" s="90"/>
      <c r="G980" s="90"/>
      <c r="H980" s="102"/>
      <c r="I980" s="102"/>
      <c r="J980" s="102"/>
      <c r="K980" s="102"/>
      <c r="L980" s="102"/>
      <c r="M980" s="102"/>
      <c r="N980" s="102"/>
      <c r="O980" s="102"/>
      <c r="P980" s="102"/>
      <c r="Q980" s="102"/>
      <c r="R980" s="102"/>
      <c r="S980" s="102"/>
      <c r="T980" s="102"/>
      <c r="U980" s="102"/>
      <c r="V980" s="102"/>
      <c r="W980" s="102"/>
      <c r="X980" s="102"/>
      <c r="Y980" s="102"/>
      <c r="Z980" s="102"/>
      <c r="AA980" s="102"/>
      <c r="AB980" s="102"/>
      <c r="AC980" s="102"/>
      <c r="AD980" s="102"/>
      <c r="AE980" s="102"/>
      <c r="AF980" s="102"/>
      <c r="AG980" s="102"/>
      <c r="AH980" s="102"/>
      <c r="AI980" s="102"/>
      <c r="AJ980" s="102"/>
      <c r="AK980" s="102"/>
      <c r="AL980" s="102"/>
      <c r="AM980" s="102"/>
      <c r="AN980" s="102"/>
      <c r="AO980" s="400"/>
      <c r="AP980" s="90"/>
      <c r="AQ980" s="90"/>
      <c r="AR980" s="90"/>
      <c r="AS980" s="90"/>
      <c r="AT980" s="90"/>
      <c r="AU980" s="90"/>
      <c r="AV980" s="90"/>
      <c r="AW980" s="90"/>
      <c r="AX980" s="90"/>
      <c r="AY980" s="90"/>
      <c r="AZ980" s="90"/>
      <c r="BA980" s="90"/>
      <c r="BB980" s="90"/>
      <c r="BC980" s="90"/>
      <c r="BD980" s="90"/>
      <c r="BE980" s="90"/>
      <c r="BF980" s="90"/>
      <c r="BG980" s="90"/>
      <c r="BH980" s="90"/>
      <c r="BI980" s="90"/>
    </row>
    <row r="981" ht="12.75" customHeight="1">
      <c r="A981" s="90"/>
      <c r="B981" s="90"/>
      <c r="C981" s="400"/>
      <c r="D981" s="90"/>
      <c r="E981" s="102"/>
      <c r="F981" s="90"/>
      <c r="G981" s="90"/>
      <c r="H981" s="102"/>
      <c r="I981" s="102"/>
      <c r="J981" s="102"/>
      <c r="K981" s="102"/>
      <c r="L981" s="102"/>
      <c r="M981" s="102"/>
      <c r="N981" s="102"/>
      <c r="O981" s="102"/>
      <c r="P981" s="102"/>
      <c r="Q981" s="102"/>
      <c r="R981" s="102"/>
      <c r="S981" s="102"/>
      <c r="T981" s="102"/>
      <c r="U981" s="102"/>
      <c r="V981" s="102"/>
      <c r="W981" s="102"/>
      <c r="X981" s="102"/>
      <c r="Y981" s="102"/>
      <c r="Z981" s="102"/>
      <c r="AA981" s="102"/>
      <c r="AB981" s="102"/>
      <c r="AC981" s="102"/>
      <c r="AD981" s="102"/>
      <c r="AE981" s="102"/>
      <c r="AF981" s="102"/>
      <c r="AG981" s="102"/>
      <c r="AH981" s="102"/>
      <c r="AI981" s="102"/>
      <c r="AJ981" s="102"/>
      <c r="AK981" s="102"/>
      <c r="AL981" s="102"/>
      <c r="AM981" s="102"/>
      <c r="AN981" s="102"/>
      <c r="AO981" s="400"/>
      <c r="AP981" s="90"/>
      <c r="AQ981" s="90"/>
      <c r="AR981" s="90"/>
      <c r="AS981" s="90"/>
      <c r="AT981" s="90"/>
      <c r="AU981" s="90"/>
      <c r="AV981" s="90"/>
      <c r="AW981" s="90"/>
      <c r="AX981" s="90"/>
      <c r="AY981" s="90"/>
      <c r="AZ981" s="90"/>
      <c r="BA981" s="90"/>
      <c r="BB981" s="90"/>
      <c r="BC981" s="90"/>
      <c r="BD981" s="90"/>
      <c r="BE981" s="90"/>
      <c r="BF981" s="90"/>
      <c r="BG981" s="90"/>
      <c r="BH981" s="90"/>
      <c r="BI981" s="90"/>
    </row>
    <row r="982" ht="12.75" customHeight="1">
      <c r="A982" s="90"/>
      <c r="B982" s="90"/>
      <c r="C982" s="400"/>
      <c r="D982" s="90"/>
      <c r="E982" s="102"/>
      <c r="F982" s="90"/>
      <c r="G982" s="90"/>
      <c r="H982" s="102"/>
      <c r="I982" s="102"/>
      <c r="J982" s="102"/>
      <c r="K982" s="102"/>
      <c r="L982" s="102"/>
      <c r="M982" s="102"/>
      <c r="N982" s="102"/>
      <c r="O982" s="102"/>
      <c r="P982" s="102"/>
      <c r="Q982" s="102"/>
      <c r="R982" s="102"/>
      <c r="S982" s="102"/>
      <c r="T982" s="102"/>
      <c r="U982" s="102"/>
      <c r="V982" s="102"/>
      <c r="W982" s="102"/>
      <c r="X982" s="102"/>
      <c r="Y982" s="102"/>
      <c r="Z982" s="102"/>
      <c r="AA982" s="102"/>
      <c r="AB982" s="102"/>
      <c r="AC982" s="102"/>
      <c r="AD982" s="102"/>
      <c r="AE982" s="102"/>
      <c r="AF982" s="102"/>
      <c r="AG982" s="102"/>
      <c r="AH982" s="102"/>
      <c r="AI982" s="102"/>
      <c r="AJ982" s="102"/>
      <c r="AK982" s="102"/>
      <c r="AL982" s="102"/>
      <c r="AM982" s="102"/>
      <c r="AN982" s="102"/>
      <c r="AO982" s="400"/>
      <c r="AP982" s="90"/>
      <c r="AQ982" s="90"/>
      <c r="AR982" s="90"/>
      <c r="AS982" s="90"/>
      <c r="AT982" s="90"/>
      <c r="AU982" s="90"/>
      <c r="AV982" s="90"/>
      <c r="AW982" s="90"/>
      <c r="AX982" s="90"/>
      <c r="AY982" s="90"/>
      <c r="AZ982" s="90"/>
      <c r="BA982" s="90"/>
      <c r="BB982" s="90"/>
      <c r="BC982" s="90"/>
      <c r="BD982" s="90"/>
      <c r="BE982" s="90"/>
      <c r="BF982" s="90"/>
      <c r="BG982" s="90"/>
      <c r="BH982" s="90"/>
      <c r="BI982" s="90"/>
    </row>
    <row r="983" ht="12.75" customHeight="1">
      <c r="A983" s="90"/>
      <c r="B983" s="90"/>
      <c r="C983" s="400"/>
      <c r="D983" s="90"/>
      <c r="E983" s="102"/>
      <c r="F983" s="90"/>
      <c r="G983" s="90"/>
      <c r="H983" s="102"/>
      <c r="I983" s="102"/>
      <c r="J983" s="102"/>
      <c r="K983" s="102"/>
      <c r="L983" s="102"/>
      <c r="M983" s="102"/>
      <c r="N983" s="102"/>
      <c r="O983" s="102"/>
      <c r="P983" s="102"/>
      <c r="Q983" s="102"/>
      <c r="R983" s="102"/>
      <c r="S983" s="102"/>
      <c r="T983" s="102"/>
      <c r="U983" s="102"/>
      <c r="V983" s="102"/>
      <c r="W983" s="102"/>
      <c r="X983" s="102"/>
      <c r="Y983" s="102"/>
      <c r="Z983" s="102"/>
      <c r="AA983" s="102"/>
      <c r="AB983" s="102"/>
      <c r="AC983" s="102"/>
      <c r="AD983" s="102"/>
      <c r="AE983" s="102"/>
      <c r="AF983" s="102"/>
      <c r="AG983" s="102"/>
      <c r="AH983" s="102"/>
      <c r="AI983" s="102"/>
      <c r="AJ983" s="102"/>
      <c r="AK983" s="102"/>
      <c r="AL983" s="102"/>
      <c r="AM983" s="102"/>
      <c r="AN983" s="102"/>
      <c r="AO983" s="400"/>
      <c r="AP983" s="90"/>
      <c r="AQ983" s="90"/>
      <c r="AR983" s="90"/>
      <c r="AS983" s="90"/>
      <c r="AT983" s="90"/>
      <c r="AU983" s="90"/>
      <c r="AV983" s="90"/>
      <c r="AW983" s="90"/>
      <c r="AX983" s="90"/>
      <c r="AY983" s="90"/>
      <c r="AZ983" s="90"/>
      <c r="BA983" s="90"/>
      <c r="BB983" s="90"/>
      <c r="BC983" s="90"/>
      <c r="BD983" s="90"/>
      <c r="BE983" s="90"/>
      <c r="BF983" s="90"/>
      <c r="BG983" s="90"/>
      <c r="BH983" s="90"/>
      <c r="BI983" s="90"/>
    </row>
    <row r="984" ht="12.75" customHeight="1">
      <c r="A984" s="90"/>
      <c r="B984" s="90"/>
      <c r="C984" s="400"/>
      <c r="D984" s="90"/>
      <c r="E984" s="102"/>
      <c r="F984" s="90"/>
      <c r="G984" s="90"/>
      <c r="H984" s="102"/>
      <c r="I984" s="102"/>
      <c r="J984" s="102"/>
      <c r="K984" s="102"/>
      <c r="L984" s="102"/>
      <c r="M984" s="102"/>
      <c r="N984" s="102"/>
      <c r="O984" s="102"/>
      <c r="P984" s="102"/>
      <c r="Q984" s="102"/>
      <c r="R984" s="102"/>
      <c r="S984" s="102"/>
      <c r="T984" s="102"/>
      <c r="U984" s="102"/>
      <c r="V984" s="102"/>
      <c r="W984" s="102"/>
      <c r="X984" s="102"/>
      <c r="Y984" s="102"/>
      <c r="Z984" s="102"/>
      <c r="AA984" s="102"/>
      <c r="AB984" s="102"/>
      <c r="AC984" s="102"/>
      <c r="AD984" s="102"/>
      <c r="AE984" s="102"/>
      <c r="AF984" s="102"/>
      <c r="AG984" s="102"/>
      <c r="AH984" s="102"/>
      <c r="AI984" s="102"/>
      <c r="AJ984" s="102"/>
      <c r="AK984" s="102"/>
      <c r="AL984" s="102"/>
      <c r="AM984" s="102"/>
      <c r="AN984" s="102"/>
      <c r="AO984" s="400"/>
      <c r="AP984" s="90"/>
      <c r="AQ984" s="90"/>
      <c r="AR984" s="90"/>
      <c r="AS984" s="90"/>
      <c r="AT984" s="90"/>
      <c r="AU984" s="90"/>
      <c r="AV984" s="90"/>
      <c r="AW984" s="90"/>
      <c r="AX984" s="90"/>
      <c r="AY984" s="90"/>
      <c r="AZ984" s="90"/>
      <c r="BA984" s="90"/>
      <c r="BB984" s="90"/>
      <c r="BC984" s="90"/>
      <c r="BD984" s="90"/>
      <c r="BE984" s="90"/>
      <c r="BF984" s="90"/>
      <c r="BG984" s="90"/>
      <c r="BH984" s="90"/>
      <c r="BI984" s="90"/>
    </row>
    <row r="985" ht="12.75" customHeight="1">
      <c r="A985" s="90"/>
      <c r="B985" s="90"/>
      <c r="C985" s="400"/>
      <c r="D985" s="90"/>
      <c r="E985" s="102"/>
      <c r="F985" s="90"/>
      <c r="G985" s="90"/>
      <c r="H985" s="102"/>
      <c r="I985" s="102"/>
      <c r="J985" s="102"/>
      <c r="K985" s="102"/>
      <c r="L985" s="102"/>
      <c r="M985" s="102"/>
      <c r="N985" s="102"/>
      <c r="O985" s="102"/>
      <c r="P985" s="102"/>
      <c r="Q985" s="102"/>
      <c r="R985" s="102"/>
      <c r="S985" s="102"/>
      <c r="T985" s="102"/>
      <c r="U985" s="102"/>
      <c r="V985" s="102"/>
      <c r="W985" s="102"/>
      <c r="X985" s="102"/>
      <c r="Y985" s="102"/>
      <c r="Z985" s="102"/>
      <c r="AA985" s="102"/>
      <c r="AB985" s="102"/>
      <c r="AC985" s="102"/>
      <c r="AD985" s="102"/>
      <c r="AE985" s="102"/>
      <c r="AF985" s="102"/>
      <c r="AG985" s="102"/>
      <c r="AH985" s="102"/>
      <c r="AI985" s="102"/>
      <c r="AJ985" s="102"/>
      <c r="AK985" s="102"/>
      <c r="AL985" s="102"/>
      <c r="AM985" s="102"/>
      <c r="AN985" s="102"/>
      <c r="AO985" s="400"/>
      <c r="AP985" s="90"/>
      <c r="AQ985" s="90"/>
      <c r="AR985" s="90"/>
      <c r="AS985" s="90"/>
      <c r="AT985" s="90"/>
      <c r="AU985" s="90"/>
      <c r="AV985" s="90"/>
      <c r="AW985" s="90"/>
      <c r="AX985" s="90"/>
      <c r="AY985" s="90"/>
      <c r="AZ985" s="90"/>
      <c r="BA985" s="90"/>
      <c r="BB985" s="90"/>
      <c r="BC985" s="90"/>
      <c r="BD985" s="90"/>
      <c r="BE985" s="90"/>
      <c r="BF985" s="90"/>
      <c r="BG985" s="90"/>
      <c r="BH985" s="90"/>
      <c r="BI985" s="90"/>
    </row>
    <row r="986" ht="12.75" customHeight="1">
      <c r="A986" s="90"/>
      <c r="B986" s="90"/>
      <c r="C986" s="400"/>
      <c r="D986" s="90"/>
      <c r="E986" s="102"/>
      <c r="F986" s="90"/>
      <c r="G986" s="90"/>
      <c r="H986" s="102"/>
      <c r="I986" s="102"/>
      <c r="J986" s="102"/>
      <c r="K986" s="102"/>
      <c r="L986" s="102"/>
      <c r="M986" s="102"/>
      <c r="N986" s="102"/>
      <c r="O986" s="102"/>
      <c r="P986" s="102"/>
      <c r="Q986" s="102"/>
      <c r="R986" s="102"/>
      <c r="S986" s="102"/>
      <c r="T986" s="102"/>
      <c r="U986" s="102"/>
      <c r="V986" s="102"/>
      <c r="W986" s="102"/>
      <c r="X986" s="102"/>
      <c r="Y986" s="102"/>
      <c r="Z986" s="102"/>
      <c r="AA986" s="102"/>
      <c r="AB986" s="102"/>
      <c r="AC986" s="102"/>
      <c r="AD986" s="102"/>
      <c r="AE986" s="102"/>
      <c r="AF986" s="102"/>
      <c r="AG986" s="102"/>
      <c r="AH986" s="102"/>
      <c r="AI986" s="102"/>
      <c r="AJ986" s="102"/>
      <c r="AK986" s="102"/>
      <c r="AL986" s="102"/>
      <c r="AM986" s="102"/>
      <c r="AN986" s="102"/>
      <c r="AO986" s="400"/>
      <c r="AP986" s="90"/>
      <c r="AQ986" s="90"/>
      <c r="AR986" s="90"/>
      <c r="AS986" s="90"/>
      <c r="AT986" s="90"/>
      <c r="AU986" s="90"/>
      <c r="AV986" s="90"/>
      <c r="AW986" s="90"/>
      <c r="AX986" s="90"/>
      <c r="AY986" s="90"/>
      <c r="AZ986" s="90"/>
      <c r="BA986" s="90"/>
      <c r="BB986" s="90"/>
      <c r="BC986" s="90"/>
      <c r="BD986" s="90"/>
      <c r="BE986" s="90"/>
      <c r="BF986" s="90"/>
      <c r="BG986" s="90"/>
      <c r="BH986" s="90"/>
      <c r="BI986" s="90"/>
    </row>
    <row r="987" ht="12.75" customHeight="1">
      <c r="A987" s="90"/>
      <c r="B987" s="90"/>
      <c r="C987" s="400"/>
      <c r="D987" s="90"/>
      <c r="E987" s="102"/>
      <c r="F987" s="90"/>
      <c r="G987" s="90"/>
      <c r="H987" s="102"/>
      <c r="I987" s="102"/>
      <c r="J987" s="102"/>
      <c r="K987" s="102"/>
      <c r="L987" s="102"/>
      <c r="M987" s="102"/>
      <c r="N987" s="102"/>
      <c r="O987" s="102"/>
      <c r="P987" s="102"/>
      <c r="Q987" s="102"/>
      <c r="R987" s="102"/>
      <c r="S987" s="102"/>
      <c r="T987" s="102"/>
      <c r="U987" s="102"/>
      <c r="V987" s="102"/>
      <c r="W987" s="102"/>
      <c r="X987" s="102"/>
      <c r="Y987" s="102"/>
      <c r="Z987" s="102"/>
      <c r="AA987" s="102"/>
      <c r="AB987" s="102"/>
      <c r="AC987" s="102"/>
      <c r="AD987" s="102"/>
      <c r="AE987" s="102"/>
      <c r="AF987" s="102"/>
      <c r="AG987" s="102"/>
      <c r="AH987" s="102"/>
      <c r="AI987" s="102"/>
      <c r="AJ987" s="102"/>
      <c r="AK987" s="102"/>
      <c r="AL987" s="102"/>
      <c r="AM987" s="102"/>
      <c r="AN987" s="102"/>
      <c r="AO987" s="400"/>
      <c r="AP987" s="90"/>
      <c r="AQ987" s="90"/>
      <c r="AR987" s="90"/>
      <c r="AS987" s="90"/>
      <c r="AT987" s="90"/>
      <c r="AU987" s="90"/>
      <c r="AV987" s="90"/>
      <c r="AW987" s="90"/>
      <c r="AX987" s="90"/>
      <c r="AY987" s="90"/>
      <c r="AZ987" s="90"/>
      <c r="BA987" s="90"/>
      <c r="BB987" s="90"/>
      <c r="BC987" s="90"/>
      <c r="BD987" s="90"/>
      <c r="BE987" s="90"/>
      <c r="BF987" s="90"/>
      <c r="BG987" s="90"/>
      <c r="BH987" s="90"/>
      <c r="BI987" s="90"/>
    </row>
    <row r="988" ht="12.75" customHeight="1">
      <c r="A988" s="90"/>
      <c r="B988" s="90"/>
      <c r="C988" s="400"/>
      <c r="D988" s="90"/>
      <c r="E988" s="102"/>
      <c r="F988" s="90"/>
      <c r="G988" s="90"/>
      <c r="H988" s="102"/>
      <c r="I988" s="102"/>
      <c r="J988" s="102"/>
      <c r="K988" s="102"/>
      <c r="L988" s="102"/>
      <c r="M988" s="102"/>
      <c r="N988" s="102"/>
      <c r="O988" s="102"/>
      <c r="P988" s="102"/>
      <c r="Q988" s="102"/>
      <c r="R988" s="102"/>
      <c r="S988" s="102"/>
      <c r="T988" s="102"/>
      <c r="U988" s="102"/>
      <c r="V988" s="102"/>
      <c r="W988" s="102"/>
      <c r="X988" s="102"/>
      <c r="Y988" s="102"/>
      <c r="Z988" s="102"/>
      <c r="AA988" s="102"/>
      <c r="AB988" s="102"/>
      <c r="AC988" s="102"/>
      <c r="AD988" s="102"/>
      <c r="AE988" s="102"/>
      <c r="AF988" s="102"/>
      <c r="AG988" s="102"/>
      <c r="AH988" s="102"/>
      <c r="AI988" s="102"/>
      <c r="AJ988" s="102"/>
      <c r="AK988" s="102"/>
      <c r="AL988" s="102"/>
      <c r="AM988" s="102"/>
      <c r="AN988" s="102"/>
      <c r="AO988" s="400"/>
      <c r="AP988" s="90"/>
      <c r="AQ988" s="90"/>
      <c r="AR988" s="90"/>
      <c r="AS988" s="90"/>
      <c r="AT988" s="90"/>
      <c r="AU988" s="90"/>
      <c r="AV988" s="90"/>
      <c r="AW988" s="90"/>
      <c r="AX988" s="90"/>
      <c r="AY988" s="90"/>
      <c r="AZ988" s="90"/>
      <c r="BA988" s="90"/>
      <c r="BB988" s="90"/>
      <c r="BC988" s="90"/>
      <c r="BD988" s="90"/>
      <c r="BE988" s="90"/>
      <c r="BF988" s="90"/>
      <c r="BG988" s="90"/>
      <c r="BH988" s="90"/>
      <c r="BI988" s="90"/>
    </row>
    <row r="989" ht="12.75" customHeight="1">
      <c r="A989" s="90"/>
      <c r="B989" s="90"/>
      <c r="C989" s="400"/>
      <c r="D989" s="90"/>
      <c r="E989" s="102"/>
      <c r="F989" s="90"/>
      <c r="G989" s="90"/>
      <c r="H989" s="102"/>
      <c r="I989" s="102"/>
      <c r="J989" s="102"/>
      <c r="K989" s="102"/>
      <c r="L989" s="102"/>
      <c r="M989" s="102"/>
      <c r="N989" s="102"/>
      <c r="O989" s="102"/>
      <c r="P989" s="102"/>
      <c r="Q989" s="102"/>
      <c r="R989" s="102"/>
      <c r="S989" s="102"/>
      <c r="T989" s="102"/>
      <c r="U989" s="102"/>
      <c r="V989" s="102"/>
      <c r="W989" s="102"/>
      <c r="X989" s="102"/>
      <c r="Y989" s="102"/>
      <c r="Z989" s="102"/>
      <c r="AA989" s="102"/>
      <c r="AB989" s="102"/>
      <c r="AC989" s="102"/>
      <c r="AD989" s="102"/>
      <c r="AE989" s="102"/>
      <c r="AF989" s="102"/>
      <c r="AG989" s="102"/>
      <c r="AH989" s="102"/>
      <c r="AI989" s="102"/>
      <c r="AJ989" s="102"/>
      <c r="AK989" s="102"/>
      <c r="AL989" s="102"/>
      <c r="AM989" s="102"/>
      <c r="AN989" s="102"/>
      <c r="AO989" s="400"/>
      <c r="AP989" s="90"/>
      <c r="AQ989" s="90"/>
      <c r="AR989" s="90"/>
      <c r="AS989" s="90"/>
      <c r="AT989" s="90"/>
      <c r="AU989" s="90"/>
      <c r="AV989" s="90"/>
      <c r="AW989" s="90"/>
      <c r="AX989" s="90"/>
      <c r="AY989" s="90"/>
      <c r="AZ989" s="90"/>
      <c r="BA989" s="90"/>
      <c r="BB989" s="90"/>
      <c r="BC989" s="90"/>
      <c r="BD989" s="90"/>
      <c r="BE989" s="90"/>
      <c r="BF989" s="90"/>
      <c r="BG989" s="90"/>
      <c r="BH989" s="90"/>
      <c r="BI989" s="90"/>
    </row>
    <row r="990" ht="12.75" customHeight="1">
      <c r="A990" s="90"/>
      <c r="B990" s="90"/>
      <c r="C990" s="400"/>
      <c r="D990" s="90"/>
      <c r="E990" s="102"/>
      <c r="F990" s="90"/>
      <c r="G990" s="90"/>
      <c r="H990" s="102"/>
      <c r="I990" s="102"/>
      <c r="J990" s="102"/>
      <c r="K990" s="102"/>
      <c r="L990" s="102"/>
      <c r="M990" s="102"/>
      <c r="N990" s="102"/>
      <c r="O990" s="102"/>
      <c r="P990" s="102"/>
      <c r="Q990" s="102"/>
      <c r="R990" s="102"/>
      <c r="S990" s="102"/>
      <c r="T990" s="102"/>
      <c r="U990" s="102"/>
      <c r="V990" s="102"/>
      <c r="W990" s="102"/>
      <c r="X990" s="102"/>
      <c r="Y990" s="102"/>
      <c r="Z990" s="102"/>
      <c r="AA990" s="102"/>
      <c r="AB990" s="102"/>
      <c r="AC990" s="102"/>
      <c r="AD990" s="102"/>
      <c r="AE990" s="102"/>
      <c r="AF990" s="102"/>
      <c r="AG990" s="102"/>
      <c r="AH990" s="102"/>
      <c r="AI990" s="102"/>
      <c r="AJ990" s="102"/>
      <c r="AK990" s="102"/>
      <c r="AL990" s="102"/>
      <c r="AM990" s="102"/>
      <c r="AN990" s="102"/>
      <c r="AO990" s="400"/>
      <c r="AP990" s="90"/>
      <c r="AQ990" s="90"/>
      <c r="AR990" s="90"/>
      <c r="AS990" s="90"/>
      <c r="AT990" s="90"/>
      <c r="AU990" s="90"/>
      <c r="AV990" s="90"/>
      <c r="AW990" s="90"/>
      <c r="AX990" s="90"/>
      <c r="AY990" s="90"/>
      <c r="AZ990" s="90"/>
      <c r="BA990" s="90"/>
      <c r="BB990" s="90"/>
      <c r="BC990" s="90"/>
      <c r="BD990" s="90"/>
      <c r="BE990" s="90"/>
      <c r="BF990" s="90"/>
      <c r="BG990" s="90"/>
      <c r="BH990" s="90"/>
      <c r="BI990" s="90"/>
    </row>
    <row r="991" ht="12.75" customHeight="1">
      <c r="A991" s="90"/>
      <c r="B991" s="90"/>
      <c r="C991" s="400"/>
      <c r="D991" s="90"/>
      <c r="E991" s="102"/>
      <c r="F991" s="90"/>
      <c r="G991" s="90"/>
      <c r="H991" s="102"/>
      <c r="I991" s="102"/>
      <c r="J991" s="102"/>
      <c r="K991" s="102"/>
      <c r="L991" s="102"/>
      <c r="M991" s="102"/>
      <c r="N991" s="102"/>
      <c r="O991" s="102"/>
      <c r="P991" s="102"/>
      <c r="Q991" s="102"/>
      <c r="R991" s="102"/>
      <c r="S991" s="102"/>
      <c r="T991" s="102"/>
      <c r="U991" s="102"/>
      <c r="V991" s="102"/>
      <c r="W991" s="102"/>
      <c r="X991" s="102"/>
      <c r="Y991" s="102"/>
      <c r="Z991" s="102"/>
      <c r="AA991" s="102"/>
      <c r="AB991" s="102"/>
      <c r="AC991" s="102"/>
      <c r="AD991" s="102"/>
      <c r="AE991" s="102"/>
      <c r="AF991" s="102"/>
      <c r="AG991" s="102"/>
      <c r="AH991" s="102"/>
      <c r="AI991" s="102"/>
      <c r="AJ991" s="102"/>
      <c r="AK991" s="102"/>
      <c r="AL991" s="102"/>
      <c r="AM991" s="102"/>
      <c r="AN991" s="102"/>
      <c r="AO991" s="400"/>
      <c r="AP991" s="90"/>
      <c r="AQ991" s="90"/>
      <c r="AR991" s="90"/>
      <c r="AS991" s="90"/>
      <c r="AT991" s="90"/>
      <c r="AU991" s="90"/>
      <c r="AV991" s="90"/>
      <c r="AW991" s="90"/>
      <c r="AX991" s="90"/>
      <c r="AY991" s="90"/>
      <c r="AZ991" s="90"/>
      <c r="BA991" s="90"/>
      <c r="BB991" s="90"/>
      <c r="BC991" s="90"/>
      <c r="BD991" s="90"/>
      <c r="BE991" s="90"/>
      <c r="BF991" s="90"/>
      <c r="BG991" s="90"/>
      <c r="BH991" s="90"/>
      <c r="BI991" s="90"/>
    </row>
    <row r="992" ht="12.75" customHeight="1">
      <c r="A992" s="90"/>
      <c r="B992" s="90"/>
      <c r="C992" s="400"/>
      <c r="D992" s="90"/>
      <c r="E992" s="102"/>
      <c r="F992" s="90"/>
      <c r="G992" s="90"/>
      <c r="H992" s="102"/>
      <c r="I992" s="102"/>
      <c r="J992" s="102"/>
      <c r="K992" s="102"/>
      <c r="L992" s="102"/>
      <c r="M992" s="102"/>
      <c r="N992" s="102"/>
      <c r="O992" s="102"/>
      <c r="P992" s="102"/>
      <c r="Q992" s="102"/>
      <c r="R992" s="102"/>
      <c r="S992" s="102"/>
      <c r="T992" s="102"/>
      <c r="U992" s="102"/>
      <c r="V992" s="102"/>
      <c r="W992" s="102"/>
      <c r="X992" s="102"/>
      <c r="Y992" s="102"/>
      <c r="Z992" s="102"/>
      <c r="AA992" s="102"/>
      <c r="AB992" s="102"/>
      <c r="AC992" s="102"/>
      <c r="AD992" s="102"/>
      <c r="AE992" s="102"/>
      <c r="AF992" s="102"/>
      <c r="AG992" s="102"/>
      <c r="AH992" s="102"/>
      <c r="AI992" s="102"/>
      <c r="AJ992" s="102"/>
      <c r="AK992" s="102"/>
      <c r="AL992" s="102"/>
      <c r="AM992" s="102"/>
      <c r="AN992" s="102"/>
      <c r="AO992" s="400"/>
      <c r="AP992" s="90"/>
      <c r="AQ992" s="90"/>
      <c r="AR992" s="90"/>
      <c r="AS992" s="90"/>
      <c r="AT992" s="90"/>
      <c r="AU992" s="90"/>
      <c r="AV992" s="90"/>
      <c r="AW992" s="90"/>
      <c r="AX992" s="90"/>
      <c r="AY992" s="90"/>
      <c r="AZ992" s="90"/>
      <c r="BA992" s="90"/>
      <c r="BB992" s="90"/>
      <c r="BC992" s="90"/>
      <c r="BD992" s="90"/>
      <c r="BE992" s="90"/>
      <c r="BF992" s="90"/>
      <c r="BG992" s="90"/>
      <c r="BH992" s="90"/>
      <c r="BI992" s="90"/>
    </row>
    <row r="993" ht="12.75" customHeight="1">
      <c r="A993" s="90"/>
      <c r="B993" s="90"/>
      <c r="C993" s="400"/>
      <c r="D993" s="90"/>
      <c r="E993" s="102"/>
      <c r="F993" s="90"/>
      <c r="G993" s="90"/>
      <c r="H993" s="102"/>
      <c r="I993" s="102"/>
      <c r="J993" s="102"/>
      <c r="K993" s="102"/>
      <c r="L993" s="102"/>
      <c r="M993" s="102"/>
      <c r="N993" s="102"/>
      <c r="O993" s="102"/>
      <c r="P993" s="102"/>
      <c r="Q993" s="102"/>
      <c r="R993" s="102"/>
      <c r="S993" s="102"/>
      <c r="T993" s="102"/>
      <c r="U993" s="102"/>
      <c r="V993" s="102"/>
      <c r="W993" s="102"/>
      <c r="X993" s="102"/>
      <c r="Y993" s="102"/>
      <c r="Z993" s="102"/>
      <c r="AA993" s="102"/>
      <c r="AB993" s="102"/>
      <c r="AC993" s="102"/>
      <c r="AD993" s="102"/>
      <c r="AE993" s="102"/>
      <c r="AF993" s="102"/>
      <c r="AG993" s="102"/>
      <c r="AH993" s="102"/>
      <c r="AI993" s="102"/>
      <c r="AJ993" s="102"/>
      <c r="AK993" s="102"/>
      <c r="AL993" s="102"/>
      <c r="AM993" s="102"/>
      <c r="AN993" s="102"/>
      <c r="AO993" s="400"/>
      <c r="AP993" s="90"/>
      <c r="AQ993" s="90"/>
      <c r="AR993" s="90"/>
      <c r="AS993" s="90"/>
      <c r="AT993" s="90"/>
      <c r="AU993" s="90"/>
      <c r="AV993" s="90"/>
      <c r="AW993" s="90"/>
      <c r="AX993" s="90"/>
      <c r="AY993" s="90"/>
      <c r="AZ993" s="90"/>
      <c r="BA993" s="90"/>
      <c r="BB993" s="90"/>
      <c r="BC993" s="90"/>
      <c r="BD993" s="90"/>
      <c r="BE993" s="90"/>
      <c r="BF993" s="90"/>
      <c r="BG993" s="90"/>
      <c r="BH993" s="90"/>
      <c r="BI993" s="90"/>
    </row>
    <row r="994" ht="12.75" customHeight="1">
      <c r="A994" s="90"/>
      <c r="B994" s="90"/>
      <c r="C994" s="400"/>
      <c r="D994" s="90"/>
      <c r="E994" s="102"/>
      <c r="F994" s="90"/>
      <c r="G994" s="90"/>
      <c r="H994" s="102"/>
      <c r="I994" s="102"/>
      <c r="J994" s="102"/>
      <c r="K994" s="102"/>
      <c r="L994" s="102"/>
      <c r="M994" s="102"/>
      <c r="N994" s="102"/>
      <c r="O994" s="102"/>
      <c r="P994" s="102"/>
      <c r="Q994" s="102"/>
      <c r="R994" s="102"/>
      <c r="S994" s="102"/>
      <c r="T994" s="102"/>
      <c r="U994" s="102"/>
      <c r="V994" s="102"/>
      <c r="W994" s="102"/>
      <c r="X994" s="102"/>
      <c r="Y994" s="102"/>
      <c r="Z994" s="102"/>
      <c r="AA994" s="102"/>
      <c r="AB994" s="102"/>
      <c r="AC994" s="102"/>
      <c r="AD994" s="102"/>
      <c r="AE994" s="102"/>
      <c r="AF994" s="102"/>
      <c r="AG994" s="102"/>
      <c r="AH994" s="102"/>
      <c r="AI994" s="102"/>
      <c r="AJ994" s="102"/>
      <c r="AK994" s="102"/>
      <c r="AL994" s="102"/>
      <c r="AM994" s="102"/>
      <c r="AN994" s="102"/>
      <c r="AO994" s="400"/>
      <c r="AP994" s="90"/>
      <c r="AQ994" s="90"/>
      <c r="AR994" s="90"/>
      <c r="AS994" s="90"/>
      <c r="AT994" s="90"/>
      <c r="AU994" s="90"/>
      <c r="AV994" s="90"/>
      <c r="AW994" s="90"/>
      <c r="AX994" s="90"/>
      <c r="AY994" s="90"/>
      <c r="AZ994" s="90"/>
      <c r="BA994" s="90"/>
      <c r="BB994" s="90"/>
      <c r="BC994" s="90"/>
      <c r="BD994" s="90"/>
      <c r="BE994" s="90"/>
      <c r="BF994" s="90"/>
      <c r="BG994" s="90"/>
      <c r="BH994" s="90"/>
      <c r="BI994" s="90"/>
    </row>
    <row r="995" ht="12.75" customHeight="1">
      <c r="A995" s="90"/>
      <c r="B995" s="90"/>
      <c r="C995" s="400"/>
      <c r="D995" s="90"/>
      <c r="E995" s="102"/>
      <c r="F995" s="90"/>
      <c r="G995" s="90"/>
      <c r="H995" s="102"/>
      <c r="I995" s="102"/>
      <c r="J995" s="102"/>
      <c r="K995" s="102"/>
      <c r="L995" s="102"/>
      <c r="M995" s="102"/>
      <c r="N995" s="102"/>
      <c r="O995" s="102"/>
      <c r="P995" s="102"/>
      <c r="Q995" s="102"/>
      <c r="R995" s="102"/>
      <c r="S995" s="102"/>
      <c r="T995" s="102"/>
      <c r="U995" s="102"/>
      <c r="V995" s="102"/>
      <c r="W995" s="102"/>
      <c r="X995" s="102"/>
      <c r="Y995" s="102"/>
      <c r="Z995" s="102"/>
      <c r="AA995" s="102"/>
      <c r="AB995" s="102"/>
      <c r="AC995" s="102"/>
      <c r="AD995" s="102"/>
      <c r="AE995" s="102"/>
      <c r="AF995" s="102"/>
      <c r="AG995" s="102"/>
      <c r="AH995" s="102"/>
      <c r="AI995" s="102"/>
      <c r="AJ995" s="102"/>
      <c r="AK995" s="102"/>
      <c r="AL995" s="102"/>
      <c r="AM995" s="102"/>
      <c r="AN995" s="102"/>
      <c r="AO995" s="400"/>
      <c r="AP995" s="90"/>
      <c r="AQ995" s="90"/>
      <c r="AR995" s="90"/>
      <c r="AS995" s="90"/>
      <c r="AT995" s="90"/>
      <c r="AU995" s="90"/>
      <c r="AV995" s="90"/>
      <c r="AW995" s="90"/>
      <c r="AX995" s="90"/>
      <c r="AY995" s="90"/>
      <c r="AZ995" s="90"/>
      <c r="BA995" s="90"/>
      <c r="BB995" s="90"/>
      <c r="BC995" s="90"/>
      <c r="BD995" s="90"/>
      <c r="BE995" s="90"/>
      <c r="BF995" s="90"/>
      <c r="BG995" s="90"/>
      <c r="BH995" s="90"/>
      <c r="BI995" s="90"/>
    </row>
    <row r="996" ht="12.75" customHeight="1">
      <c r="A996" s="90"/>
      <c r="B996" s="90"/>
      <c r="C996" s="400"/>
      <c r="D996" s="90"/>
      <c r="E996" s="102"/>
      <c r="F996" s="90"/>
      <c r="G996" s="90"/>
      <c r="H996" s="102"/>
      <c r="I996" s="102"/>
      <c r="J996" s="102"/>
      <c r="K996" s="102"/>
      <c r="L996" s="102"/>
      <c r="M996" s="102"/>
      <c r="N996" s="102"/>
      <c r="O996" s="102"/>
      <c r="P996" s="102"/>
      <c r="Q996" s="102"/>
      <c r="R996" s="102"/>
      <c r="S996" s="102"/>
      <c r="T996" s="102"/>
      <c r="U996" s="102"/>
      <c r="V996" s="102"/>
      <c r="W996" s="102"/>
      <c r="X996" s="102"/>
      <c r="Y996" s="102"/>
      <c r="Z996" s="102"/>
      <c r="AA996" s="102"/>
      <c r="AB996" s="102"/>
      <c r="AC996" s="102"/>
      <c r="AD996" s="102"/>
      <c r="AE996" s="102"/>
      <c r="AF996" s="102"/>
      <c r="AG996" s="102"/>
      <c r="AH996" s="102"/>
      <c r="AI996" s="102"/>
      <c r="AJ996" s="102"/>
      <c r="AK996" s="102"/>
      <c r="AL996" s="102"/>
      <c r="AM996" s="102"/>
      <c r="AN996" s="102"/>
      <c r="AO996" s="400"/>
      <c r="AP996" s="90"/>
      <c r="AQ996" s="90"/>
      <c r="AR996" s="90"/>
      <c r="AS996" s="90"/>
      <c r="AT996" s="90"/>
      <c r="AU996" s="90"/>
      <c r="AV996" s="90"/>
      <c r="AW996" s="90"/>
      <c r="AX996" s="90"/>
      <c r="AY996" s="90"/>
      <c r="AZ996" s="90"/>
      <c r="BA996" s="90"/>
      <c r="BB996" s="90"/>
      <c r="BC996" s="90"/>
      <c r="BD996" s="90"/>
      <c r="BE996" s="90"/>
      <c r="BF996" s="90"/>
      <c r="BG996" s="90"/>
      <c r="BH996" s="90"/>
      <c r="BI996" s="90"/>
    </row>
    <row r="997" ht="12.75" customHeight="1">
      <c r="A997" s="90"/>
      <c r="B997" s="90"/>
      <c r="C997" s="400"/>
      <c r="D997" s="90"/>
      <c r="E997" s="102"/>
      <c r="F997" s="90"/>
      <c r="G997" s="90"/>
      <c r="H997" s="102"/>
      <c r="I997" s="102"/>
      <c r="J997" s="102"/>
      <c r="K997" s="102"/>
      <c r="L997" s="102"/>
      <c r="M997" s="102"/>
      <c r="N997" s="102"/>
      <c r="O997" s="102"/>
      <c r="P997" s="102"/>
      <c r="Q997" s="102"/>
      <c r="R997" s="102"/>
      <c r="S997" s="102"/>
      <c r="T997" s="102"/>
      <c r="U997" s="102"/>
      <c r="V997" s="102"/>
      <c r="W997" s="102"/>
      <c r="X997" s="102"/>
      <c r="Y997" s="102"/>
      <c r="Z997" s="102"/>
      <c r="AA997" s="102"/>
      <c r="AB997" s="102"/>
      <c r="AC997" s="102"/>
      <c r="AD997" s="102"/>
      <c r="AE997" s="102"/>
      <c r="AF997" s="102"/>
      <c r="AG997" s="102"/>
      <c r="AH997" s="102"/>
      <c r="AI997" s="102"/>
      <c r="AJ997" s="102"/>
      <c r="AK997" s="102"/>
      <c r="AL997" s="102"/>
      <c r="AM997" s="102"/>
      <c r="AN997" s="102"/>
      <c r="AO997" s="400"/>
      <c r="AP997" s="90"/>
      <c r="AQ997" s="90"/>
      <c r="AR997" s="90"/>
      <c r="AS997" s="90"/>
      <c r="AT997" s="90"/>
      <c r="AU997" s="90"/>
      <c r="AV997" s="90"/>
      <c r="AW997" s="90"/>
      <c r="AX997" s="90"/>
      <c r="AY997" s="90"/>
      <c r="AZ997" s="90"/>
      <c r="BA997" s="90"/>
      <c r="BB997" s="90"/>
      <c r="BC997" s="90"/>
      <c r="BD997" s="90"/>
      <c r="BE997" s="90"/>
      <c r="BF997" s="90"/>
      <c r="BG997" s="90"/>
      <c r="BH997" s="90"/>
      <c r="BI997" s="90"/>
    </row>
    <row r="998" ht="12.75" customHeight="1">
      <c r="A998" s="90"/>
      <c r="B998" s="90"/>
      <c r="C998" s="400"/>
      <c r="D998" s="90"/>
      <c r="E998" s="102"/>
      <c r="F998" s="90"/>
      <c r="G998" s="90"/>
      <c r="H998" s="102"/>
      <c r="I998" s="102"/>
      <c r="J998" s="102"/>
      <c r="K998" s="102"/>
      <c r="L998" s="102"/>
      <c r="M998" s="102"/>
      <c r="N998" s="102"/>
      <c r="O998" s="102"/>
      <c r="P998" s="102"/>
      <c r="Q998" s="102"/>
      <c r="R998" s="102"/>
      <c r="S998" s="102"/>
      <c r="T998" s="102"/>
      <c r="U998" s="102"/>
      <c r="V998" s="102"/>
      <c r="W998" s="102"/>
      <c r="X998" s="102"/>
      <c r="Y998" s="102"/>
      <c r="Z998" s="102"/>
      <c r="AA998" s="102"/>
      <c r="AB998" s="102"/>
      <c r="AC998" s="102"/>
      <c r="AD998" s="102"/>
      <c r="AE998" s="102"/>
      <c r="AF998" s="102"/>
      <c r="AG998" s="102"/>
      <c r="AH998" s="102"/>
      <c r="AI998" s="102"/>
      <c r="AJ998" s="102"/>
      <c r="AK998" s="102"/>
      <c r="AL998" s="102"/>
      <c r="AM998" s="102"/>
      <c r="AN998" s="102"/>
      <c r="AO998" s="400"/>
      <c r="AP998" s="90"/>
      <c r="AQ998" s="90"/>
      <c r="AR998" s="90"/>
      <c r="AS998" s="90"/>
      <c r="AT998" s="90"/>
      <c r="AU998" s="90"/>
      <c r="AV998" s="90"/>
      <c r="AW998" s="90"/>
      <c r="AX998" s="90"/>
      <c r="AY998" s="90"/>
      <c r="AZ998" s="90"/>
      <c r="BA998" s="90"/>
      <c r="BB998" s="90"/>
      <c r="BC998" s="90"/>
      <c r="BD998" s="90"/>
      <c r="BE998" s="90"/>
      <c r="BF998" s="90"/>
      <c r="BG998" s="90"/>
      <c r="BH998" s="90"/>
      <c r="BI998" s="90"/>
    </row>
    <row r="999" ht="12.75" customHeight="1">
      <c r="A999" s="90"/>
      <c r="B999" s="90"/>
      <c r="C999" s="400"/>
      <c r="D999" s="90"/>
      <c r="E999" s="102"/>
      <c r="F999" s="90"/>
      <c r="G999" s="90"/>
      <c r="H999" s="102"/>
      <c r="I999" s="102"/>
      <c r="J999" s="102"/>
      <c r="K999" s="102"/>
      <c r="L999" s="102"/>
      <c r="M999" s="102"/>
      <c r="N999" s="102"/>
      <c r="O999" s="102"/>
      <c r="P999" s="102"/>
      <c r="Q999" s="102"/>
      <c r="R999" s="102"/>
      <c r="S999" s="102"/>
      <c r="T999" s="102"/>
      <c r="U999" s="102"/>
      <c r="V999" s="102"/>
      <c r="W999" s="102"/>
      <c r="X999" s="102"/>
      <c r="Y999" s="102"/>
      <c r="Z999" s="102"/>
      <c r="AA999" s="102"/>
      <c r="AB999" s="102"/>
      <c r="AC999" s="102"/>
      <c r="AD999" s="102"/>
      <c r="AE999" s="102"/>
      <c r="AF999" s="102"/>
      <c r="AG999" s="102"/>
      <c r="AH999" s="102"/>
      <c r="AI999" s="102"/>
      <c r="AJ999" s="102"/>
      <c r="AK999" s="102"/>
      <c r="AL999" s="102"/>
      <c r="AM999" s="102"/>
      <c r="AN999" s="102"/>
      <c r="AO999" s="400"/>
      <c r="AP999" s="90"/>
      <c r="AQ999" s="90"/>
      <c r="AR999" s="90"/>
      <c r="AS999" s="90"/>
      <c r="AT999" s="90"/>
      <c r="AU999" s="90"/>
      <c r="AV999" s="90"/>
      <c r="AW999" s="90"/>
      <c r="AX999" s="90"/>
      <c r="AY999" s="90"/>
      <c r="AZ999" s="90"/>
      <c r="BA999" s="90"/>
      <c r="BB999" s="90"/>
      <c r="BC999" s="90"/>
      <c r="BD999" s="90"/>
      <c r="BE999" s="90"/>
      <c r="BF999" s="90"/>
      <c r="BG999" s="90"/>
      <c r="BH999" s="90"/>
      <c r="BI999" s="90"/>
    </row>
    <row r="1000" ht="12.75" customHeight="1">
      <c r="A1000" s="90"/>
      <c r="B1000" s="90"/>
      <c r="C1000" s="400"/>
      <c r="D1000" s="90"/>
      <c r="E1000" s="102"/>
      <c r="F1000" s="90"/>
      <c r="G1000" s="90"/>
      <c r="H1000" s="102"/>
      <c r="I1000" s="102"/>
      <c r="J1000" s="102"/>
      <c r="K1000" s="102"/>
      <c r="L1000" s="102"/>
      <c r="M1000" s="102"/>
      <c r="N1000" s="102"/>
      <c r="O1000" s="102"/>
      <c r="P1000" s="102"/>
      <c r="Q1000" s="102"/>
      <c r="R1000" s="102"/>
      <c r="S1000" s="102"/>
      <c r="T1000" s="102"/>
      <c r="U1000" s="102"/>
      <c r="V1000" s="102"/>
      <c r="W1000" s="102"/>
      <c r="X1000" s="102"/>
      <c r="Y1000" s="102"/>
      <c r="Z1000" s="102"/>
      <c r="AA1000" s="102"/>
      <c r="AB1000" s="102"/>
      <c r="AC1000" s="102"/>
      <c r="AD1000" s="102"/>
      <c r="AE1000" s="102"/>
      <c r="AF1000" s="102"/>
      <c r="AG1000" s="102"/>
      <c r="AH1000" s="102"/>
      <c r="AI1000" s="102"/>
      <c r="AJ1000" s="102"/>
      <c r="AK1000" s="102"/>
      <c r="AL1000" s="102"/>
      <c r="AM1000" s="102"/>
      <c r="AN1000" s="102"/>
      <c r="AO1000" s="400"/>
      <c r="AP1000" s="90"/>
      <c r="AQ1000" s="90"/>
      <c r="AR1000" s="90"/>
      <c r="AS1000" s="90"/>
      <c r="AT1000" s="90"/>
      <c r="AU1000" s="90"/>
      <c r="AV1000" s="90"/>
      <c r="AW1000" s="90"/>
      <c r="AX1000" s="90"/>
      <c r="AY1000" s="90"/>
      <c r="AZ1000" s="90"/>
      <c r="BA1000" s="90"/>
      <c r="BB1000" s="90"/>
      <c r="BC1000" s="90"/>
      <c r="BD1000" s="90"/>
      <c r="BE1000" s="90"/>
      <c r="BF1000" s="90"/>
      <c r="BG1000" s="90"/>
      <c r="BH1000" s="90"/>
      <c r="BI1000" s="90"/>
    </row>
  </sheetData>
  <mergeCells count="2">
    <mergeCell ref="F31:G31"/>
    <mergeCell ref="H31:I31"/>
  </mergeCells>
  <printOptions/>
  <pageMargins bottom="0.35" footer="0.0" header="0.0" left="0.629861111111111" right="0.390277777777778" top="0.890277777777778"/>
  <pageSetup paperSize="5" scale="75" orientation="landscape"/>
  <headerFooter>
    <oddHeader>&amp;CNational Office and Bay Area Region Staffing</oddHeader>
    <oddFooter>&amp;C&amp;A&amp;R&amp;P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4.0"/>
    <col customWidth="1" min="2" max="2" width="3.88"/>
    <col customWidth="1" min="3" max="3" width="18.5"/>
    <col customWidth="1" min="4" max="23" width="9.75"/>
    <col customWidth="1" min="24" max="26" width="9.1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1"/>
      <c r="B4" s="1"/>
      <c r="C4" s="453" t="s">
        <v>271</v>
      </c>
      <c r="D4" s="454" t="s">
        <v>4</v>
      </c>
      <c r="E4" s="454" t="s">
        <v>5</v>
      </c>
      <c r="F4" s="454" t="s">
        <v>6</v>
      </c>
      <c r="G4" s="454" t="s">
        <v>7</v>
      </c>
      <c r="H4" s="454" t="s">
        <v>8</v>
      </c>
      <c r="I4" s="454" t="s">
        <v>1043</v>
      </c>
      <c r="J4" s="454" t="s">
        <v>1044</v>
      </c>
      <c r="K4" s="454" t="s">
        <v>1045</v>
      </c>
      <c r="L4" s="454" t="s">
        <v>1046</v>
      </c>
      <c r="M4" s="454" t="s">
        <v>1047</v>
      </c>
      <c r="N4" s="455" t="s">
        <v>1048</v>
      </c>
      <c r="O4" s="455" t="s">
        <v>1049</v>
      </c>
      <c r="P4" s="455" t="s">
        <v>1050</v>
      </c>
      <c r="Q4" s="455" t="s">
        <v>1051</v>
      </c>
      <c r="R4" s="455" t="s">
        <v>1052</v>
      </c>
      <c r="S4" s="455" t="s">
        <v>1053</v>
      </c>
      <c r="T4" s="455" t="s">
        <v>1054</v>
      </c>
      <c r="U4" s="455" t="s">
        <v>1055</v>
      </c>
      <c r="V4" s="455" t="s">
        <v>1056</v>
      </c>
      <c r="W4" s="455" t="s">
        <v>1057</v>
      </c>
      <c r="X4" s="455" t="s">
        <v>1058</v>
      </c>
      <c r="Y4" s="455" t="s">
        <v>1059</v>
      </c>
      <c r="Z4" s="1"/>
    </row>
    <row r="5">
      <c r="A5" s="1"/>
      <c r="B5" s="1">
        <f>'Growth Model'!C80</f>
        <v>100</v>
      </c>
      <c r="C5" s="456" t="s">
        <v>172</v>
      </c>
      <c r="D5" s="457">
        <f>'Growth Model'!F80</f>
        <v>3</v>
      </c>
      <c r="E5" s="457">
        <f>'Growth Model'!G80</f>
        <v>5</v>
      </c>
      <c r="F5" s="457">
        <f>'Growth Model'!H80</f>
        <v>8</v>
      </c>
      <c r="G5" s="457">
        <f>'Growth Model'!I80</f>
        <v>12</v>
      </c>
      <c r="H5" s="457">
        <f>'Growth Model'!J80</f>
        <v>20</v>
      </c>
      <c r="I5" s="457">
        <f>'Growth Model'!K80</f>
        <v>30</v>
      </c>
      <c r="J5" s="457">
        <f>'Growth Model'!L80</f>
        <v>47</v>
      </c>
      <c r="K5" s="457">
        <f>'Growth Model'!M80</f>
        <v>70</v>
      </c>
      <c r="L5" s="457">
        <f>'Growth Model'!N80</f>
        <v>95</v>
      </c>
      <c r="M5" s="457">
        <f>'Growth Model'!O80</f>
        <v>100</v>
      </c>
      <c r="N5" s="455"/>
      <c r="O5" s="455"/>
      <c r="P5" s="455"/>
      <c r="Q5" s="455"/>
      <c r="R5" s="455"/>
      <c r="S5" s="455"/>
      <c r="T5" s="455"/>
      <c r="U5" s="455"/>
      <c r="V5" s="455"/>
      <c r="W5" s="455"/>
      <c r="X5" s="455"/>
      <c r="Y5" s="455"/>
      <c r="Z5" s="1"/>
    </row>
    <row r="6">
      <c r="A6" s="1"/>
      <c r="B6" s="1">
        <v>30.0</v>
      </c>
      <c r="C6" s="456" t="s">
        <v>1060</v>
      </c>
      <c r="D6" s="457">
        <f t="shared" ref="D6:M6" si="1">D5-SUM(D7:D11)</f>
        <v>3</v>
      </c>
      <c r="E6" s="457">
        <f t="shared" si="1"/>
        <v>5</v>
      </c>
      <c r="F6" s="457">
        <f t="shared" si="1"/>
        <v>7</v>
      </c>
      <c r="G6" s="457">
        <f t="shared" si="1"/>
        <v>8</v>
      </c>
      <c r="H6" s="457">
        <f t="shared" si="1"/>
        <v>11</v>
      </c>
      <c r="I6" s="457">
        <f t="shared" si="1"/>
        <v>13</v>
      </c>
      <c r="J6" s="457">
        <f t="shared" si="1"/>
        <v>17</v>
      </c>
      <c r="K6" s="457">
        <f t="shared" si="1"/>
        <v>24</v>
      </c>
      <c r="L6" s="457">
        <f t="shared" si="1"/>
        <v>29</v>
      </c>
      <c r="M6" s="457">
        <f t="shared" si="1"/>
        <v>30</v>
      </c>
      <c r="N6" s="455"/>
      <c r="O6" s="455"/>
      <c r="P6" s="455"/>
      <c r="Q6" s="455"/>
      <c r="R6" s="455"/>
      <c r="S6" s="455"/>
      <c r="T6" s="455"/>
      <c r="U6" s="455"/>
      <c r="V6" s="455"/>
      <c r="W6" s="455"/>
      <c r="X6" s="455"/>
      <c r="Y6" s="455"/>
      <c r="Z6" s="1"/>
    </row>
    <row r="7">
      <c r="A7" s="1"/>
      <c r="B7" s="1">
        <v>10.0</v>
      </c>
      <c r="C7" s="456" t="s">
        <v>1061</v>
      </c>
      <c r="D7" s="457"/>
      <c r="E7" s="457"/>
      <c r="F7" s="457">
        <v>1.0</v>
      </c>
      <c r="G7" s="457">
        <v>2.0</v>
      </c>
      <c r="H7" s="457">
        <v>3.0</v>
      </c>
      <c r="I7" s="457">
        <v>5.0</v>
      </c>
      <c r="J7" s="457">
        <v>8.0</v>
      </c>
      <c r="K7" s="457">
        <v>10.0</v>
      </c>
      <c r="L7" s="457">
        <v>10.0</v>
      </c>
      <c r="M7" s="457">
        <v>10.0</v>
      </c>
      <c r="N7" s="455"/>
      <c r="O7" s="455"/>
      <c r="P7" s="455"/>
      <c r="Q7" s="455"/>
      <c r="R7" s="455"/>
      <c r="S7" s="455"/>
      <c r="T7" s="455"/>
      <c r="U7" s="455"/>
      <c r="V7" s="455"/>
      <c r="W7" s="455"/>
      <c r="X7" s="455"/>
      <c r="Y7" s="455"/>
      <c r="Z7" s="1"/>
    </row>
    <row r="8">
      <c r="A8" s="1"/>
      <c r="B8" s="1">
        <v>20.0</v>
      </c>
      <c r="C8" s="456" t="s">
        <v>1062</v>
      </c>
      <c r="D8" s="457"/>
      <c r="E8" s="457"/>
      <c r="F8" s="457"/>
      <c r="G8" s="457">
        <v>1.0</v>
      </c>
      <c r="H8" s="457">
        <v>2.0</v>
      </c>
      <c r="I8" s="457">
        <v>4.0</v>
      </c>
      <c r="J8" s="457">
        <v>8.0</v>
      </c>
      <c r="K8" s="457">
        <v>13.0</v>
      </c>
      <c r="L8" s="457">
        <v>20.0</v>
      </c>
      <c r="M8" s="457">
        <v>20.0</v>
      </c>
      <c r="N8" s="455"/>
      <c r="O8" s="455"/>
      <c r="P8" s="455"/>
      <c r="Q8" s="455"/>
      <c r="R8" s="455"/>
      <c r="S8" s="455"/>
      <c r="T8" s="455"/>
      <c r="U8" s="455"/>
      <c r="V8" s="455"/>
      <c r="W8" s="455"/>
      <c r="X8" s="455"/>
      <c r="Y8" s="455"/>
      <c r="Z8" s="1"/>
    </row>
    <row r="9">
      <c r="A9" s="1"/>
      <c r="B9" s="1">
        <v>20.0</v>
      </c>
      <c r="C9" s="456" t="s">
        <v>1063</v>
      </c>
      <c r="D9" s="457"/>
      <c r="E9" s="457"/>
      <c r="F9" s="457"/>
      <c r="G9" s="457">
        <v>1.0</v>
      </c>
      <c r="H9" s="457">
        <v>2.0</v>
      </c>
      <c r="I9" s="457">
        <v>4.0</v>
      </c>
      <c r="J9" s="457">
        <v>8.0</v>
      </c>
      <c r="K9" s="457">
        <v>13.0</v>
      </c>
      <c r="L9" s="457">
        <v>20.0</v>
      </c>
      <c r="M9" s="457">
        <v>20.0</v>
      </c>
      <c r="N9" s="455"/>
      <c r="O9" s="455"/>
      <c r="P9" s="455"/>
      <c r="Q9" s="455"/>
      <c r="R9" s="455"/>
      <c r="S9" s="455"/>
      <c r="T9" s="455"/>
      <c r="U9" s="455"/>
      <c r="V9" s="455"/>
      <c r="W9" s="455"/>
      <c r="X9" s="455"/>
      <c r="Y9" s="455"/>
      <c r="Z9" s="1"/>
    </row>
    <row r="10">
      <c r="A10" s="1"/>
      <c r="B10" s="1">
        <v>10.0</v>
      </c>
      <c r="C10" s="456" t="s">
        <v>1064</v>
      </c>
      <c r="D10" s="457"/>
      <c r="E10" s="457"/>
      <c r="F10" s="457"/>
      <c r="G10" s="457"/>
      <c r="H10" s="457">
        <v>1.0</v>
      </c>
      <c r="I10" s="457">
        <v>2.0</v>
      </c>
      <c r="J10" s="457">
        <v>3.0</v>
      </c>
      <c r="K10" s="457">
        <v>5.0</v>
      </c>
      <c r="L10" s="457">
        <v>8.0</v>
      </c>
      <c r="M10" s="457">
        <v>10.0</v>
      </c>
      <c r="N10" s="455"/>
      <c r="O10" s="455"/>
      <c r="P10" s="455"/>
      <c r="Q10" s="455"/>
      <c r="R10" s="455"/>
      <c r="S10" s="455"/>
      <c r="T10" s="455"/>
      <c r="U10" s="455"/>
      <c r="V10" s="455"/>
      <c r="W10" s="455"/>
      <c r="X10" s="455"/>
      <c r="Y10" s="455"/>
      <c r="Z10" s="1"/>
    </row>
    <row r="11">
      <c r="A11" s="1"/>
      <c r="B11" s="1">
        <v>10.0</v>
      </c>
      <c r="C11" s="456" t="s">
        <v>1065</v>
      </c>
      <c r="D11" s="457"/>
      <c r="E11" s="457"/>
      <c r="F11" s="457"/>
      <c r="G11" s="457"/>
      <c r="H11" s="457">
        <v>1.0</v>
      </c>
      <c r="I11" s="457">
        <v>2.0</v>
      </c>
      <c r="J11" s="457">
        <v>3.0</v>
      </c>
      <c r="K11" s="457">
        <v>5.0</v>
      </c>
      <c r="L11" s="457">
        <v>8.0</v>
      </c>
      <c r="M11" s="457">
        <v>10.0</v>
      </c>
      <c r="N11" s="455"/>
      <c r="O11" s="455"/>
      <c r="P11" s="455"/>
      <c r="Q11" s="455"/>
      <c r="R11" s="455"/>
      <c r="S11" s="455"/>
      <c r="T11" s="455"/>
      <c r="U11" s="455"/>
      <c r="V11" s="455"/>
      <c r="W11" s="455"/>
      <c r="X11" s="455"/>
      <c r="Y11" s="455"/>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984027777777778" footer="0.0" header="0.0" left="0.747916666666667" right="0.747916666666667" top="0.984027777777778"/>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CF305"/>
    <pageSetUpPr/>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0" outlineLevelCol="1" outlineLevelRow="1"/>
  <cols>
    <col customWidth="1" min="1" max="1" width="5.75"/>
    <col customWidth="1" min="2" max="2" width="13.0" outlineLevel="1"/>
    <col customWidth="1" min="3" max="3" width="34.5"/>
    <col customWidth="1" min="4" max="4" width="10.88" outlineLevel="1"/>
    <col customWidth="1" min="5" max="6" width="10.75"/>
    <col customWidth="1" min="7" max="7" width="11.5"/>
    <col customWidth="1" min="8" max="8" width="10.75"/>
    <col customWidth="1" min="9" max="12" width="11.88"/>
    <col customWidth="1" min="13" max="15" width="12.88"/>
    <col customWidth="1" min="16" max="16" width="15.38" outlineLevel="1"/>
    <col customWidth="1" min="17" max="18" width="16.13" outlineLevel="1"/>
    <col customWidth="1" min="19" max="20" width="16.0" outlineLevel="1"/>
    <col customWidth="1" min="21" max="21" width="15.38" outlineLevel="1"/>
    <col customWidth="1" min="22" max="22" width="16.0" outlineLevel="1"/>
    <col customWidth="1" min="23" max="23" width="16.5" outlineLevel="1"/>
    <col customWidth="1" min="24" max="25" width="16.13" outlineLevel="1"/>
    <col customWidth="1" min="26" max="26" width="16.13"/>
    <col customWidth="1" min="27" max="27" width="16.5"/>
    <col customWidth="1" min="28" max="28" width="16.13"/>
    <col customWidth="1" min="29" max="30" width="16.38"/>
    <col customWidth="1" min="31" max="31" width="16.0"/>
    <col customWidth="1" min="32" max="32" width="15.88"/>
    <col customWidth="1" min="33" max="40" width="16.38"/>
    <col customWidth="1" min="41" max="41" width="18.0"/>
    <col customWidth="1" min="42" max="43" width="17.5"/>
    <col customWidth="1" min="44" max="51" width="9.0"/>
  </cols>
  <sheetData>
    <row r="1" ht="12.75" customHeight="1">
      <c r="A1" s="90"/>
      <c r="B1" s="90"/>
    </row>
    <row r="2" ht="12.75" customHeight="1">
      <c r="A2" s="90"/>
      <c r="B2" s="90"/>
      <c r="C2" s="458" t="s">
        <v>125</v>
      </c>
      <c r="D2" s="459">
        <v>-1.0</v>
      </c>
      <c r="E2" s="459">
        <v>0.0</v>
      </c>
      <c r="F2" s="459">
        <f t="shared" ref="F2:AQ2" si="1">E2+1</f>
        <v>1</v>
      </c>
      <c r="G2" s="459">
        <f t="shared" si="1"/>
        <v>2</v>
      </c>
      <c r="H2" s="459">
        <f t="shared" si="1"/>
        <v>3</v>
      </c>
      <c r="I2" s="459">
        <f t="shared" si="1"/>
        <v>4</v>
      </c>
      <c r="J2" s="459">
        <f t="shared" si="1"/>
        <v>5</v>
      </c>
      <c r="K2" s="459">
        <f t="shared" si="1"/>
        <v>6</v>
      </c>
      <c r="L2" s="459">
        <f t="shared" si="1"/>
        <v>7</v>
      </c>
      <c r="M2" s="459">
        <f t="shared" si="1"/>
        <v>8</v>
      </c>
      <c r="N2" s="459">
        <f t="shared" si="1"/>
        <v>9</v>
      </c>
      <c r="O2" s="459">
        <f t="shared" si="1"/>
        <v>10</v>
      </c>
      <c r="P2" s="459">
        <f t="shared" si="1"/>
        <v>11</v>
      </c>
      <c r="Q2" s="459">
        <f t="shared" si="1"/>
        <v>12</v>
      </c>
      <c r="R2" s="459">
        <f t="shared" si="1"/>
        <v>13</v>
      </c>
      <c r="S2" s="459">
        <f t="shared" si="1"/>
        <v>14</v>
      </c>
      <c r="T2" s="459">
        <f t="shared" si="1"/>
        <v>15</v>
      </c>
      <c r="U2" s="459">
        <f t="shared" si="1"/>
        <v>16</v>
      </c>
      <c r="V2" s="459">
        <f t="shared" si="1"/>
        <v>17</v>
      </c>
      <c r="W2" s="459">
        <f t="shared" si="1"/>
        <v>18</v>
      </c>
      <c r="X2" s="459">
        <f t="shared" si="1"/>
        <v>19</v>
      </c>
      <c r="Y2" s="459">
        <f t="shared" si="1"/>
        <v>20</v>
      </c>
      <c r="Z2" s="459">
        <f t="shared" si="1"/>
        <v>21</v>
      </c>
      <c r="AA2" s="459">
        <f t="shared" si="1"/>
        <v>22</v>
      </c>
      <c r="AB2" s="459">
        <f t="shared" si="1"/>
        <v>23</v>
      </c>
      <c r="AC2" s="459">
        <f t="shared" si="1"/>
        <v>24</v>
      </c>
      <c r="AD2" s="459">
        <f t="shared" si="1"/>
        <v>25</v>
      </c>
      <c r="AE2" s="459">
        <f t="shared" si="1"/>
        <v>26</v>
      </c>
      <c r="AF2" s="459">
        <f t="shared" si="1"/>
        <v>27</v>
      </c>
      <c r="AG2" s="459">
        <f t="shared" si="1"/>
        <v>28</v>
      </c>
      <c r="AH2" s="459">
        <f t="shared" si="1"/>
        <v>29</v>
      </c>
      <c r="AI2" s="459">
        <f t="shared" si="1"/>
        <v>30</v>
      </c>
      <c r="AJ2" s="459">
        <f t="shared" si="1"/>
        <v>31</v>
      </c>
      <c r="AK2" s="459">
        <f t="shared" si="1"/>
        <v>32</v>
      </c>
      <c r="AL2" s="459">
        <f t="shared" si="1"/>
        <v>33</v>
      </c>
      <c r="AM2" s="459">
        <f t="shared" si="1"/>
        <v>34</v>
      </c>
      <c r="AN2" s="459">
        <f t="shared" si="1"/>
        <v>35</v>
      </c>
      <c r="AO2" s="459">
        <f t="shared" si="1"/>
        <v>36</v>
      </c>
      <c r="AP2" s="459">
        <f t="shared" si="1"/>
        <v>37</v>
      </c>
      <c r="AQ2" s="459">
        <f t="shared" si="1"/>
        <v>38</v>
      </c>
    </row>
    <row r="3" ht="12.75" customHeight="1">
      <c r="A3" s="90"/>
      <c r="B3" s="90"/>
      <c r="C3" s="67" t="s">
        <v>259</v>
      </c>
      <c r="D3" s="63">
        <v>0.0</v>
      </c>
      <c r="E3" s="63">
        <v>0.0</v>
      </c>
      <c r="F3" s="460">
        <f>OFFSET('Growth Model'!$C$2,COLUMN('Region office'!F2)-COLUMN('Region office'!$F$2),0)</f>
        <v>1</v>
      </c>
      <c r="G3" s="63">
        <f>OFFSET('Growth Model'!$C$2,COLUMN('Region office'!G2)-COLUMN('Region office'!$F$2),0)</f>
        <v>1</v>
      </c>
      <c r="H3" s="63">
        <f>OFFSET('Growth Model'!$C$2,COLUMN('Region office'!H2)-COLUMN('Region office'!$F$2),0)</f>
        <v>2</v>
      </c>
      <c r="I3" s="63">
        <f>OFFSET('Growth Model'!$C$2,COLUMN('Region office'!I2)-COLUMN('Region office'!$F$2),0)</f>
        <v>4</v>
      </c>
      <c r="J3" s="63">
        <f>OFFSET('Growth Model'!$C$2,COLUMN('Region office'!J2)-COLUMN('Region office'!$F$2),0)</f>
        <v>8</v>
      </c>
      <c r="K3" s="63">
        <f>OFFSET('Growth Model'!$C$2,COLUMN('Region office'!K2)-COLUMN('Region office'!$F$2),0)</f>
        <v>13</v>
      </c>
      <c r="L3" s="63">
        <f>OFFSET('Growth Model'!$C$2,COLUMN('Region office'!L2)-COLUMN('Region office'!$F$2),0)</f>
        <v>21</v>
      </c>
      <c r="M3" s="63">
        <f>OFFSET('Growth Model'!$C$2,COLUMN('Region office'!M2)-COLUMN('Region office'!$F$2),0)</f>
        <v>34</v>
      </c>
      <c r="N3" s="63">
        <f>OFFSET('Growth Model'!$C$2,COLUMN('Region office'!N2)-COLUMN('Region office'!$F$2),0)</f>
        <v>55</v>
      </c>
      <c r="O3" s="63">
        <f>OFFSET('Growth Model'!$C$2,COLUMN('Region office'!O2)-COLUMN('Region office'!$F$2),0)</f>
        <v>89</v>
      </c>
      <c r="P3" s="63">
        <f>OFFSET('Growth Model'!$C$2,COLUMN('Region office'!P2)-COLUMN('Region office'!$F$2),0)</f>
        <v>100</v>
      </c>
      <c r="Q3" s="63">
        <f>OFFSET('Growth Model'!$C$2,COLUMN('Region office'!Q2)-COLUMN('Region office'!$F$2),0)</f>
        <v>100</v>
      </c>
      <c r="R3" s="63">
        <f>OFFSET('Growth Model'!$C$2,COLUMN('Region office'!R2)-COLUMN('Region office'!$F$2),0)</f>
        <v>100</v>
      </c>
      <c r="S3" s="63">
        <f>OFFSET('Growth Model'!$C$2,COLUMN('Region office'!S2)-COLUMN('Region office'!$F$2),0)</f>
        <v>100</v>
      </c>
      <c r="T3" s="63">
        <f>OFFSET('Growth Model'!$C$2,COLUMN('Region office'!T2)-COLUMN('Region office'!$F$2),0)</f>
        <v>100</v>
      </c>
      <c r="U3" s="63">
        <f>OFFSET('Growth Model'!$C$2,COLUMN('Region office'!U2)-COLUMN('Region office'!$F$2),0)</f>
        <v>100</v>
      </c>
      <c r="V3" s="63">
        <f>OFFSET('Growth Model'!$C$2,COLUMN('Region office'!V2)-COLUMN('Region office'!$F$2),0)</f>
        <v>100</v>
      </c>
      <c r="W3" s="63">
        <f>OFFSET('Growth Model'!$C$2,COLUMN('Region office'!W2)-COLUMN('Region office'!$F$2),0)</f>
        <v>100</v>
      </c>
      <c r="X3" s="63">
        <f>OFFSET('Growth Model'!$C$2,COLUMN('Region office'!X2)-COLUMN('Region office'!$F$2),0)</f>
        <v>100</v>
      </c>
      <c r="Y3" s="63">
        <f>OFFSET('Growth Model'!$C$2,COLUMN('Region office'!Y2)-COLUMN('Region office'!$F$2),0)</f>
        <v>100</v>
      </c>
      <c r="Z3" s="63">
        <f t="shared" ref="Z3:AQ3" si="2">Y3</f>
        <v>100</v>
      </c>
      <c r="AA3" s="63">
        <f t="shared" si="2"/>
        <v>100</v>
      </c>
      <c r="AB3" s="63">
        <f t="shared" si="2"/>
        <v>100</v>
      </c>
      <c r="AC3" s="63">
        <f t="shared" si="2"/>
        <v>100</v>
      </c>
      <c r="AD3" s="63">
        <f t="shared" si="2"/>
        <v>100</v>
      </c>
      <c r="AE3" s="63">
        <f t="shared" si="2"/>
        <v>100</v>
      </c>
      <c r="AF3" s="63">
        <f t="shared" si="2"/>
        <v>100</v>
      </c>
      <c r="AG3" s="63">
        <f t="shared" si="2"/>
        <v>100</v>
      </c>
      <c r="AH3" s="63">
        <f t="shared" si="2"/>
        <v>100</v>
      </c>
      <c r="AI3" s="63">
        <f t="shared" si="2"/>
        <v>100</v>
      </c>
      <c r="AJ3" s="63">
        <f t="shared" si="2"/>
        <v>100</v>
      </c>
      <c r="AK3" s="63">
        <f t="shared" si="2"/>
        <v>100</v>
      </c>
      <c r="AL3" s="63">
        <f t="shared" si="2"/>
        <v>100</v>
      </c>
      <c r="AM3" s="63">
        <f t="shared" si="2"/>
        <v>100</v>
      </c>
      <c r="AN3" s="63">
        <f t="shared" si="2"/>
        <v>100</v>
      </c>
      <c r="AO3" s="63">
        <f t="shared" si="2"/>
        <v>100</v>
      </c>
      <c r="AP3" s="63">
        <f t="shared" si="2"/>
        <v>100</v>
      </c>
      <c r="AQ3" s="63">
        <f t="shared" si="2"/>
        <v>100</v>
      </c>
    </row>
    <row r="4" ht="12.75" customHeight="1" outlineLevel="1">
      <c r="A4" s="90"/>
      <c r="B4" s="90"/>
      <c r="C4" s="67" t="s">
        <v>190</v>
      </c>
      <c r="D4" s="86">
        <f>'Region Staffing'!I7</f>
        <v>0</v>
      </c>
      <c r="E4" s="86">
        <f>'Region Staffing'!J7</f>
        <v>3</v>
      </c>
      <c r="F4" s="86">
        <f>'Region Staffing'!K7</f>
        <v>4</v>
      </c>
      <c r="G4" s="86">
        <f>'Region Staffing'!L7</f>
        <v>4</v>
      </c>
      <c r="H4" s="86">
        <f>'Region Staffing'!M7</f>
        <v>4</v>
      </c>
      <c r="I4" s="86">
        <f>'Region Staffing'!N7</f>
        <v>7</v>
      </c>
      <c r="J4" s="86">
        <f>'Region Staffing'!O7</f>
        <v>7</v>
      </c>
      <c r="K4" s="86">
        <f>'Region Staffing'!P7</f>
        <v>11</v>
      </c>
      <c r="L4" s="86">
        <f>'Region Staffing'!Q7</f>
        <v>18</v>
      </c>
      <c r="M4" s="86">
        <f>'Region Staffing'!R7</f>
        <v>28</v>
      </c>
      <c r="N4" s="86">
        <f>'Region Staffing'!S7</f>
        <v>42</v>
      </c>
      <c r="O4" s="86">
        <f>'Region Staffing'!T7</f>
        <v>66</v>
      </c>
      <c r="P4" s="86">
        <f>'Region Staffing'!U7</f>
        <v>70</v>
      </c>
      <c r="Q4" s="86">
        <f>'Region Staffing'!V7</f>
        <v>69</v>
      </c>
      <c r="R4" s="86">
        <f>'Region Staffing'!W7</f>
        <v>69</v>
      </c>
      <c r="S4" s="86">
        <f>'Region Staffing'!X7</f>
        <v>69</v>
      </c>
      <c r="T4" s="86">
        <f>'Region Staffing'!Y7</f>
        <v>69</v>
      </c>
      <c r="U4" s="86">
        <f>'Region Staffing'!Z7</f>
        <v>69</v>
      </c>
      <c r="V4" s="86">
        <f>'Region Staffing'!AA7</f>
        <v>69</v>
      </c>
      <c r="W4" s="86">
        <f>'Region Staffing'!AB7</f>
        <v>69</v>
      </c>
      <c r="X4" s="86">
        <f>'Region Staffing'!AC7</f>
        <v>69</v>
      </c>
      <c r="Y4" s="86">
        <f>'Region Staffing'!AD7</f>
        <v>69</v>
      </c>
      <c r="Z4" s="86">
        <f>'Region Staffing'!AE7</f>
        <v>69</v>
      </c>
      <c r="AA4" s="86">
        <f>'Region Staffing'!AF7</f>
        <v>69</v>
      </c>
      <c r="AB4" s="86">
        <f>'Region Staffing'!AG7</f>
        <v>69</v>
      </c>
      <c r="AC4" s="86">
        <f>'Region Staffing'!AH7</f>
        <v>69</v>
      </c>
      <c r="AD4" s="86">
        <f>'Region Staffing'!AI7</f>
        <v>69</v>
      </c>
      <c r="AE4" s="86">
        <f>'Region Staffing'!AJ7</f>
        <v>69</v>
      </c>
      <c r="AF4" s="86">
        <f>'Region Staffing'!AK7</f>
        <v>69</v>
      </c>
      <c r="AG4" s="86">
        <f>'Region Staffing'!AL7</f>
        <v>69</v>
      </c>
      <c r="AH4" s="86">
        <f>'Region Staffing'!AM7</f>
        <v>69</v>
      </c>
      <c r="AI4" s="86">
        <f>'Region Staffing'!AN7</f>
        <v>69</v>
      </c>
      <c r="AJ4" s="86">
        <f>'Region Staffing'!AO7</f>
        <v>69</v>
      </c>
      <c r="AK4" s="86">
        <f>'Region Staffing'!AP7</f>
        <v>69</v>
      </c>
      <c r="AL4" s="86">
        <f>'Region Staffing'!AQ7</f>
        <v>69</v>
      </c>
      <c r="AM4" s="86">
        <f>'Region Staffing'!AR7</f>
        <v>69</v>
      </c>
      <c r="AN4" s="86">
        <f>'Region Staffing'!AS7</f>
        <v>69</v>
      </c>
      <c r="AO4" s="86">
        <f>'Region Staffing'!AT7</f>
        <v>69</v>
      </c>
      <c r="AP4" s="86">
        <f>'Region Staffing'!AU7</f>
        <v>69</v>
      </c>
      <c r="AQ4" s="86">
        <f>'Region Staffing'!AV7</f>
        <v>69</v>
      </c>
    </row>
    <row r="5" ht="12.75" customHeight="1">
      <c r="A5" s="90"/>
      <c r="B5" s="90"/>
      <c r="C5" s="67" t="s">
        <v>165</v>
      </c>
      <c r="D5" s="460">
        <f t="shared" ref="D5:AQ5" si="3">D56</f>
        <v>0</v>
      </c>
      <c r="E5" s="460">
        <f t="shared" si="3"/>
        <v>0</v>
      </c>
      <c r="F5" s="460">
        <f t="shared" si="3"/>
        <v>392</v>
      </c>
      <c r="G5" s="460">
        <f t="shared" si="3"/>
        <v>464</v>
      </c>
      <c r="H5" s="460">
        <f t="shared" si="3"/>
        <v>892</v>
      </c>
      <c r="I5" s="460">
        <f t="shared" si="3"/>
        <v>1748</v>
      </c>
      <c r="J5" s="460">
        <f t="shared" si="3"/>
        <v>3496</v>
      </c>
      <c r="K5" s="460">
        <f t="shared" si="3"/>
        <v>5816</v>
      </c>
      <c r="L5" s="460">
        <f t="shared" si="3"/>
        <v>9456</v>
      </c>
      <c r="M5" s="460">
        <f t="shared" si="3"/>
        <v>15308</v>
      </c>
      <c r="N5" s="460">
        <f t="shared" si="3"/>
        <v>24764</v>
      </c>
      <c r="O5" s="460">
        <f t="shared" si="3"/>
        <v>40072</v>
      </c>
      <c r="P5" s="460">
        <f t="shared" si="3"/>
        <v>47588</v>
      </c>
      <c r="Q5" s="460">
        <f t="shared" si="3"/>
        <v>49604</v>
      </c>
      <c r="R5" s="460">
        <f t="shared" si="3"/>
        <v>50000</v>
      </c>
      <c r="S5" s="460">
        <f t="shared" si="3"/>
        <v>50000</v>
      </c>
      <c r="T5" s="460">
        <f t="shared" si="3"/>
        <v>50000</v>
      </c>
      <c r="U5" s="460">
        <f t="shared" si="3"/>
        <v>50000</v>
      </c>
      <c r="V5" s="460">
        <f t="shared" si="3"/>
        <v>50000</v>
      </c>
      <c r="W5" s="460">
        <f t="shared" si="3"/>
        <v>50000</v>
      </c>
      <c r="X5" s="460">
        <f t="shared" si="3"/>
        <v>50000</v>
      </c>
      <c r="Y5" s="460">
        <f t="shared" si="3"/>
        <v>50000</v>
      </c>
      <c r="Z5" s="460">
        <f t="shared" si="3"/>
        <v>50000</v>
      </c>
      <c r="AA5" s="460">
        <f t="shared" si="3"/>
        <v>50000</v>
      </c>
      <c r="AB5" s="460">
        <f t="shared" si="3"/>
        <v>50000</v>
      </c>
      <c r="AC5" s="460">
        <f t="shared" si="3"/>
        <v>50000</v>
      </c>
      <c r="AD5" s="460">
        <f t="shared" si="3"/>
        <v>50000</v>
      </c>
      <c r="AE5" s="460">
        <f t="shared" si="3"/>
        <v>50000</v>
      </c>
      <c r="AF5" s="460">
        <f t="shared" si="3"/>
        <v>50000</v>
      </c>
      <c r="AG5" s="460">
        <f t="shared" si="3"/>
        <v>50000</v>
      </c>
      <c r="AH5" s="460">
        <f t="shared" si="3"/>
        <v>50000</v>
      </c>
      <c r="AI5" s="460">
        <f t="shared" si="3"/>
        <v>50000</v>
      </c>
      <c r="AJ5" s="460">
        <f t="shared" si="3"/>
        <v>50000</v>
      </c>
      <c r="AK5" s="460">
        <f t="shared" si="3"/>
        <v>50000</v>
      </c>
      <c r="AL5" s="460">
        <f t="shared" si="3"/>
        <v>50000</v>
      </c>
      <c r="AM5" s="460">
        <f t="shared" si="3"/>
        <v>50000</v>
      </c>
      <c r="AN5" s="460">
        <f t="shared" si="3"/>
        <v>50000</v>
      </c>
      <c r="AO5" s="460">
        <f t="shared" si="3"/>
        <v>50000</v>
      </c>
      <c r="AP5" s="460">
        <f t="shared" si="3"/>
        <v>50000</v>
      </c>
      <c r="AQ5" s="460">
        <f t="shared" si="3"/>
        <v>50000</v>
      </c>
    </row>
    <row r="6" ht="6.75" customHeight="1">
      <c r="A6" s="90"/>
      <c r="B6" s="90"/>
      <c r="D6" s="63"/>
      <c r="E6" s="63"/>
      <c r="F6" s="63"/>
      <c r="G6" s="63"/>
      <c r="H6" s="63"/>
      <c r="I6" s="63"/>
      <c r="J6" s="63"/>
      <c r="K6" s="63"/>
      <c r="L6" s="63"/>
      <c r="M6" s="63"/>
      <c r="N6" s="63"/>
      <c r="O6" s="63"/>
      <c r="P6" s="63"/>
      <c r="Q6" s="63"/>
      <c r="R6" s="63"/>
      <c r="S6" s="63"/>
      <c r="T6" s="63"/>
      <c r="U6" s="63"/>
      <c r="V6" s="63"/>
      <c r="W6" s="63"/>
      <c r="X6" s="63"/>
      <c r="Y6" s="63"/>
    </row>
    <row r="7" ht="12.75" customHeight="1">
      <c r="A7" s="90"/>
      <c r="B7" s="90"/>
      <c r="C7" s="67" t="s">
        <v>226</v>
      </c>
      <c r="D7" s="115">
        <f t="shared" ref="D7:AQ7" si="4">D35</f>
        <v>0</v>
      </c>
      <c r="E7" s="115">
        <f t="shared" si="4"/>
        <v>6000</v>
      </c>
      <c r="F7" s="115">
        <f t="shared" si="4"/>
        <v>121110.8742</v>
      </c>
      <c r="G7" s="115">
        <f t="shared" si="4"/>
        <v>130428.5677</v>
      </c>
      <c r="H7" s="115">
        <f t="shared" si="4"/>
        <v>261915.7966</v>
      </c>
      <c r="I7" s="115">
        <f t="shared" si="4"/>
        <v>487521.1279</v>
      </c>
      <c r="J7" s="115">
        <f t="shared" si="4"/>
        <v>988747.4064</v>
      </c>
      <c r="K7" s="115">
        <f t="shared" si="4"/>
        <v>1602181.27</v>
      </c>
      <c r="L7" s="115">
        <f t="shared" si="4"/>
        <v>2570864.629</v>
      </c>
      <c r="M7" s="115">
        <f t="shared" si="4"/>
        <v>4113124.732</v>
      </c>
      <c r="N7" s="115">
        <f t="shared" si="4"/>
        <v>6651387.45</v>
      </c>
      <c r="O7" s="115">
        <f t="shared" si="4"/>
        <v>10499663.12</v>
      </c>
      <c r="P7" s="115">
        <f t="shared" si="4"/>
        <v>11551361.21</v>
      </c>
      <c r="Q7" s="115">
        <f t="shared" si="4"/>
        <v>11059576.99</v>
      </c>
      <c r="R7" s="115">
        <f t="shared" si="4"/>
        <v>10011816.11</v>
      </c>
      <c r="S7" s="115">
        <f t="shared" si="4"/>
        <v>9644141.635</v>
      </c>
      <c r="T7" s="115">
        <f t="shared" si="4"/>
        <v>9627675.595</v>
      </c>
      <c r="U7" s="115">
        <f t="shared" si="4"/>
        <v>9614348.215</v>
      </c>
      <c r="V7" s="115">
        <f t="shared" si="4"/>
        <v>9605332.915</v>
      </c>
      <c r="W7" s="115">
        <f t="shared" si="4"/>
        <v>9603129.175</v>
      </c>
      <c r="X7" s="115">
        <f t="shared" si="4"/>
        <v>9603129.175</v>
      </c>
      <c r="Y7" s="115">
        <f t="shared" si="4"/>
        <v>9603129.175</v>
      </c>
      <c r="Z7" s="115">
        <f t="shared" si="4"/>
        <v>9603129.175</v>
      </c>
      <c r="AA7" s="115">
        <f t="shared" si="4"/>
        <v>9603129.175</v>
      </c>
      <c r="AB7" s="115">
        <f t="shared" si="4"/>
        <v>9603129.175</v>
      </c>
      <c r="AC7" s="115">
        <f t="shared" si="4"/>
        <v>9603129.175</v>
      </c>
      <c r="AD7" s="115">
        <f t="shared" si="4"/>
        <v>9603129.175</v>
      </c>
      <c r="AE7" s="115">
        <f t="shared" si="4"/>
        <v>9603129.175</v>
      </c>
      <c r="AF7" s="115">
        <f t="shared" si="4"/>
        <v>9603129.175</v>
      </c>
      <c r="AG7" s="115">
        <f t="shared" si="4"/>
        <v>9603129.175</v>
      </c>
      <c r="AH7" s="115">
        <f t="shared" si="4"/>
        <v>9603129.175</v>
      </c>
      <c r="AI7" s="115">
        <f t="shared" si="4"/>
        <v>9603129.175</v>
      </c>
      <c r="AJ7" s="115">
        <f t="shared" si="4"/>
        <v>9603129.175</v>
      </c>
      <c r="AK7" s="115">
        <f t="shared" si="4"/>
        <v>9603129.175</v>
      </c>
      <c r="AL7" s="115">
        <f t="shared" si="4"/>
        <v>9603129.175</v>
      </c>
      <c r="AM7" s="115">
        <f t="shared" si="4"/>
        <v>9603129.175</v>
      </c>
      <c r="AN7" s="115">
        <f t="shared" si="4"/>
        <v>9603129.175</v>
      </c>
      <c r="AO7" s="115">
        <f t="shared" si="4"/>
        <v>9603129.175</v>
      </c>
      <c r="AP7" s="115">
        <f t="shared" si="4"/>
        <v>9603129.175</v>
      </c>
      <c r="AQ7" s="115">
        <f t="shared" si="4"/>
        <v>9603129.175</v>
      </c>
    </row>
    <row r="8" ht="6.75" customHeight="1">
      <c r="A8" s="90"/>
      <c r="B8" s="90"/>
      <c r="E8" s="72"/>
      <c r="F8" s="72"/>
      <c r="G8" s="72"/>
      <c r="H8" s="72"/>
      <c r="I8" s="72"/>
      <c r="J8" s="72"/>
      <c r="K8" s="72"/>
      <c r="L8" s="72"/>
      <c r="M8" s="72"/>
      <c r="N8" s="72"/>
      <c r="O8" s="72"/>
    </row>
    <row r="9" ht="12.75" customHeight="1">
      <c r="A9" s="90"/>
      <c r="B9" s="90"/>
      <c r="C9" s="67" t="s">
        <v>178</v>
      </c>
      <c r="E9" s="72"/>
      <c r="F9" s="72"/>
      <c r="G9" s="72"/>
      <c r="H9" s="72"/>
      <c r="I9" s="72"/>
      <c r="J9" s="72"/>
      <c r="K9" s="72"/>
      <c r="L9" s="72"/>
      <c r="M9" s="72"/>
      <c r="N9" s="72"/>
      <c r="O9" s="72"/>
    </row>
    <row r="10" ht="12.75" customHeight="1">
      <c r="A10" s="90"/>
      <c r="B10" s="90"/>
      <c r="C10" s="66" t="s">
        <v>278</v>
      </c>
      <c r="D10" s="142">
        <f t="shared" ref="D10:AQ10" si="5">D39</f>
        <v>0</v>
      </c>
      <c r="E10" s="115">
        <f t="shared" si="5"/>
        <v>300000</v>
      </c>
      <c r="F10" s="115">
        <f t="shared" si="5"/>
        <v>440000</v>
      </c>
      <c r="G10" s="115">
        <f t="shared" si="5"/>
        <v>440000</v>
      </c>
      <c r="H10" s="115">
        <f t="shared" si="5"/>
        <v>440000</v>
      </c>
      <c r="I10" s="115">
        <f t="shared" si="5"/>
        <v>620000</v>
      </c>
      <c r="J10" s="115">
        <f t="shared" si="5"/>
        <v>620000</v>
      </c>
      <c r="K10" s="115">
        <f t="shared" si="5"/>
        <v>960000</v>
      </c>
      <c r="L10" s="115">
        <f t="shared" si="5"/>
        <v>1540000</v>
      </c>
      <c r="M10" s="115">
        <f t="shared" si="5"/>
        <v>2320000</v>
      </c>
      <c r="N10" s="115">
        <f t="shared" si="5"/>
        <v>3380000</v>
      </c>
      <c r="O10" s="115">
        <f t="shared" si="5"/>
        <v>5380000</v>
      </c>
      <c r="P10" s="115">
        <f t="shared" si="5"/>
        <v>5720000</v>
      </c>
      <c r="Q10" s="115">
        <f t="shared" si="5"/>
        <v>5660000</v>
      </c>
      <c r="R10" s="115">
        <f t="shared" si="5"/>
        <v>5660000</v>
      </c>
      <c r="S10" s="115">
        <f t="shared" si="5"/>
        <v>5660000</v>
      </c>
      <c r="T10" s="115">
        <f t="shared" si="5"/>
        <v>5660000</v>
      </c>
      <c r="U10" s="115">
        <f t="shared" si="5"/>
        <v>5660000</v>
      </c>
      <c r="V10" s="115">
        <f t="shared" si="5"/>
        <v>5660000</v>
      </c>
      <c r="W10" s="115">
        <f t="shared" si="5"/>
        <v>5660000</v>
      </c>
      <c r="X10" s="115">
        <f t="shared" si="5"/>
        <v>5660000</v>
      </c>
      <c r="Y10" s="115">
        <f t="shared" si="5"/>
        <v>5660000</v>
      </c>
      <c r="Z10" s="115">
        <f t="shared" si="5"/>
        <v>5660000</v>
      </c>
      <c r="AA10" s="115">
        <f t="shared" si="5"/>
        <v>5660000</v>
      </c>
      <c r="AB10" s="115">
        <f t="shared" si="5"/>
        <v>5660000</v>
      </c>
      <c r="AC10" s="115">
        <f t="shared" si="5"/>
        <v>5660000</v>
      </c>
      <c r="AD10" s="115">
        <f t="shared" si="5"/>
        <v>5660000</v>
      </c>
      <c r="AE10" s="115">
        <f t="shared" si="5"/>
        <v>5660000</v>
      </c>
      <c r="AF10" s="115">
        <f t="shared" si="5"/>
        <v>5660000</v>
      </c>
      <c r="AG10" s="115">
        <f t="shared" si="5"/>
        <v>5660000</v>
      </c>
      <c r="AH10" s="115">
        <f t="shared" si="5"/>
        <v>5660000</v>
      </c>
      <c r="AI10" s="115">
        <f t="shared" si="5"/>
        <v>5660000</v>
      </c>
      <c r="AJ10" s="115">
        <f t="shared" si="5"/>
        <v>5660000</v>
      </c>
      <c r="AK10" s="115">
        <f t="shared" si="5"/>
        <v>5660000</v>
      </c>
      <c r="AL10" s="115">
        <f t="shared" si="5"/>
        <v>5660000</v>
      </c>
      <c r="AM10" s="115">
        <f t="shared" si="5"/>
        <v>5660000</v>
      </c>
      <c r="AN10" s="115">
        <f t="shared" si="5"/>
        <v>5660000</v>
      </c>
      <c r="AO10" s="115">
        <f t="shared" si="5"/>
        <v>5660000</v>
      </c>
      <c r="AP10" s="115">
        <f t="shared" si="5"/>
        <v>5660000</v>
      </c>
      <c r="AQ10" s="115">
        <f t="shared" si="5"/>
        <v>5660000</v>
      </c>
    </row>
    <row r="11" ht="12.75" customHeight="1">
      <c r="A11" s="90"/>
      <c r="B11" s="90"/>
      <c r="C11" s="66" t="s">
        <v>133</v>
      </c>
      <c r="D11" s="142">
        <f t="shared" ref="D11:AQ11" si="6">D40</f>
        <v>0</v>
      </c>
      <c r="E11" s="115">
        <f t="shared" si="6"/>
        <v>66000</v>
      </c>
      <c r="F11" s="115">
        <f t="shared" si="6"/>
        <v>96800</v>
      </c>
      <c r="G11" s="115">
        <f t="shared" si="6"/>
        <v>96800</v>
      </c>
      <c r="H11" s="115">
        <f t="shared" si="6"/>
        <v>96800</v>
      </c>
      <c r="I11" s="115">
        <f t="shared" si="6"/>
        <v>136400</v>
      </c>
      <c r="J11" s="115">
        <f t="shared" si="6"/>
        <v>136400</v>
      </c>
      <c r="K11" s="115">
        <f t="shared" si="6"/>
        <v>211200</v>
      </c>
      <c r="L11" s="115">
        <f t="shared" si="6"/>
        <v>338800</v>
      </c>
      <c r="M11" s="115">
        <f t="shared" si="6"/>
        <v>510400</v>
      </c>
      <c r="N11" s="115">
        <f t="shared" si="6"/>
        <v>743600</v>
      </c>
      <c r="O11" s="115">
        <f t="shared" si="6"/>
        <v>1183600</v>
      </c>
      <c r="P11" s="115">
        <f t="shared" si="6"/>
        <v>1258400</v>
      </c>
      <c r="Q11" s="115">
        <f t="shared" si="6"/>
        <v>1245200</v>
      </c>
      <c r="R11" s="115">
        <f t="shared" si="6"/>
        <v>1245200</v>
      </c>
      <c r="S11" s="115">
        <f t="shared" si="6"/>
        <v>1245200</v>
      </c>
      <c r="T11" s="115">
        <f t="shared" si="6"/>
        <v>1245200</v>
      </c>
      <c r="U11" s="115">
        <f t="shared" si="6"/>
        <v>1245200</v>
      </c>
      <c r="V11" s="115">
        <f t="shared" si="6"/>
        <v>1245200</v>
      </c>
      <c r="W11" s="115">
        <f t="shared" si="6"/>
        <v>1245200</v>
      </c>
      <c r="X11" s="115">
        <f t="shared" si="6"/>
        <v>1245200</v>
      </c>
      <c r="Y11" s="115">
        <f t="shared" si="6"/>
        <v>1245200</v>
      </c>
      <c r="Z11" s="115">
        <f t="shared" si="6"/>
        <v>1245200</v>
      </c>
      <c r="AA11" s="115">
        <f t="shared" si="6"/>
        <v>1245200</v>
      </c>
      <c r="AB11" s="115">
        <f t="shared" si="6"/>
        <v>1245200</v>
      </c>
      <c r="AC11" s="115">
        <f t="shared" si="6"/>
        <v>1245200</v>
      </c>
      <c r="AD11" s="115">
        <f t="shared" si="6"/>
        <v>1245200</v>
      </c>
      <c r="AE11" s="115">
        <f t="shared" si="6"/>
        <v>1245200</v>
      </c>
      <c r="AF11" s="115">
        <f t="shared" si="6"/>
        <v>1245200</v>
      </c>
      <c r="AG11" s="115">
        <f t="shared" si="6"/>
        <v>1245200</v>
      </c>
      <c r="AH11" s="115">
        <f t="shared" si="6"/>
        <v>1245200</v>
      </c>
      <c r="AI11" s="115">
        <f t="shared" si="6"/>
        <v>1245200</v>
      </c>
      <c r="AJ11" s="115">
        <f t="shared" si="6"/>
        <v>1245200</v>
      </c>
      <c r="AK11" s="115">
        <f t="shared" si="6"/>
        <v>1245200</v>
      </c>
      <c r="AL11" s="115">
        <f t="shared" si="6"/>
        <v>1245200</v>
      </c>
      <c r="AM11" s="115">
        <f t="shared" si="6"/>
        <v>1245200</v>
      </c>
      <c r="AN11" s="115">
        <f t="shared" si="6"/>
        <v>1245200</v>
      </c>
      <c r="AO11" s="115">
        <f t="shared" si="6"/>
        <v>1245200</v>
      </c>
      <c r="AP11" s="115">
        <f t="shared" si="6"/>
        <v>1245200</v>
      </c>
      <c r="AQ11" s="115">
        <f t="shared" si="6"/>
        <v>1245200</v>
      </c>
    </row>
    <row r="12" ht="12.75" customHeight="1">
      <c r="A12" s="90"/>
      <c r="B12" s="90"/>
      <c r="C12" s="66" t="s">
        <v>451</v>
      </c>
      <c r="D12" s="142">
        <f t="shared" ref="D12:AQ12" si="7">D46</f>
        <v>0</v>
      </c>
      <c r="E12" s="115">
        <f t="shared" si="7"/>
        <v>15000</v>
      </c>
      <c r="F12" s="115">
        <f t="shared" si="7"/>
        <v>12500</v>
      </c>
      <c r="G12" s="115">
        <f t="shared" si="7"/>
        <v>10000</v>
      </c>
      <c r="H12" s="115">
        <f t="shared" si="7"/>
        <v>10000</v>
      </c>
      <c r="I12" s="115">
        <f t="shared" si="7"/>
        <v>25000</v>
      </c>
      <c r="J12" s="115">
        <f t="shared" si="7"/>
        <v>17500</v>
      </c>
      <c r="K12" s="115">
        <f t="shared" si="7"/>
        <v>37500</v>
      </c>
      <c r="L12" s="115">
        <f t="shared" si="7"/>
        <v>62500</v>
      </c>
      <c r="M12" s="115">
        <f t="shared" si="7"/>
        <v>95000</v>
      </c>
      <c r="N12" s="115">
        <f t="shared" si="7"/>
        <v>140000</v>
      </c>
      <c r="O12" s="115">
        <f t="shared" si="7"/>
        <v>225000</v>
      </c>
      <c r="P12" s="115">
        <f t="shared" si="7"/>
        <v>185000</v>
      </c>
      <c r="Q12" s="115">
        <f t="shared" si="7"/>
        <v>172500</v>
      </c>
      <c r="R12" s="115">
        <f t="shared" si="7"/>
        <v>172500</v>
      </c>
      <c r="S12" s="115">
        <f t="shared" si="7"/>
        <v>172500</v>
      </c>
      <c r="T12" s="115">
        <f t="shared" si="7"/>
        <v>172500</v>
      </c>
      <c r="U12" s="115">
        <f t="shared" si="7"/>
        <v>172500</v>
      </c>
      <c r="V12" s="115">
        <f t="shared" si="7"/>
        <v>172500</v>
      </c>
      <c r="W12" s="115">
        <f t="shared" si="7"/>
        <v>172500</v>
      </c>
      <c r="X12" s="115">
        <f t="shared" si="7"/>
        <v>172500</v>
      </c>
      <c r="Y12" s="115">
        <f t="shared" si="7"/>
        <v>172500</v>
      </c>
      <c r="Z12" s="115">
        <f t="shared" si="7"/>
        <v>172500</v>
      </c>
      <c r="AA12" s="115">
        <f t="shared" si="7"/>
        <v>172500</v>
      </c>
      <c r="AB12" s="115">
        <f t="shared" si="7"/>
        <v>172500</v>
      </c>
      <c r="AC12" s="115">
        <f t="shared" si="7"/>
        <v>172500</v>
      </c>
      <c r="AD12" s="115">
        <f t="shared" si="7"/>
        <v>172500</v>
      </c>
      <c r="AE12" s="115">
        <f t="shared" si="7"/>
        <v>172500</v>
      </c>
      <c r="AF12" s="115">
        <f t="shared" si="7"/>
        <v>172500</v>
      </c>
      <c r="AG12" s="115">
        <f t="shared" si="7"/>
        <v>172500</v>
      </c>
      <c r="AH12" s="115">
        <f t="shared" si="7"/>
        <v>172500</v>
      </c>
      <c r="AI12" s="115">
        <f t="shared" si="7"/>
        <v>172500</v>
      </c>
      <c r="AJ12" s="115">
        <f t="shared" si="7"/>
        <v>172500</v>
      </c>
      <c r="AK12" s="115">
        <f t="shared" si="7"/>
        <v>172500</v>
      </c>
      <c r="AL12" s="115">
        <f t="shared" si="7"/>
        <v>172500</v>
      </c>
      <c r="AM12" s="115">
        <f t="shared" si="7"/>
        <v>172500</v>
      </c>
      <c r="AN12" s="115">
        <f t="shared" si="7"/>
        <v>172500</v>
      </c>
      <c r="AO12" s="115">
        <f t="shared" si="7"/>
        <v>172500</v>
      </c>
      <c r="AP12" s="115">
        <f t="shared" si="7"/>
        <v>172500</v>
      </c>
      <c r="AQ12" s="115">
        <f t="shared" si="7"/>
        <v>172500</v>
      </c>
    </row>
    <row r="13" ht="12.75" customHeight="1">
      <c r="A13" s="90"/>
      <c r="B13" s="90"/>
      <c r="C13" s="461" t="s">
        <v>314</v>
      </c>
      <c r="D13" s="462">
        <f t="shared" ref="D13:AQ13" si="8">D54</f>
        <v>0</v>
      </c>
      <c r="E13" s="463">
        <f t="shared" si="8"/>
        <v>83000</v>
      </c>
      <c r="F13" s="463">
        <f t="shared" si="8"/>
        <v>91500</v>
      </c>
      <c r="G13" s="463">
        <f t="shared" si="8"/>
        <v>91500</v>
      </c>
      <c r="H13" s="463">
        <f t="shared" si="8"/>
        <v>96500</v>
      </c>
      <c r="I13" s="463">
        <f t="shared" si="8"/>
        <v>117000</v>
      </c>
      <c r="J13" s="463">
        <f t="shared" si="8"/>
        <v>137000</v>
      </c>
      <c r="K13" s="463">
        <f t="shared" si="8"/>
        <v>272125</v>
      </c>
      <c r="L13" s="463">
        <f t="shared" si="8"/>
        <v>400125</v>
      </c>
      <c r="M13" s="463">
        <f t="shared" si="8"/>
        <v>595750</v>
      </c>
      <c r="N13" s="463">
        <f t="shared" si="8"/>
        <v>892375</v>
      </c>
      <c r="O13" s="463">
        <f t="shared" si="8"/>
        <v>1384625</v>
      </c>
      <c r="P13" s="463">
        <f t="shared" si="8"/>
        <v>1510000</v>
      </c>
      <c r="Q13" s="463">
        <f t="shared" si="8"/>
        <v>1501000</v>
      </c>
      <c r="R13" s="463">
        <f t="shared" si="8"/>
        <v>1501000</v>
      </c>
      <c r="S13" s="463">
        <f t="shared" si="8"/>
        <v>1501000</v>
      </c>
      <c r="T13" s="463">
        <f t="shared" si="8"/>
        <v>1501000</v>
      </c>
      <c r="U13" s="463">
        <f t="shared" si="8"/>
        <v>1501000</v>
      </c>
      <c r="V13" s="463">
        <f t="shared" si="8"/>
        <v>1501000</v>
      </c>
      <c r="W13" s="463">
        <f t="shared" si="8"/>
        <v>1501000</v>
      </c>
      <c r="X13" s="463">
        <f t="shared" si="8"/>
        <v>1501000</v>
      </c>
      <c r="Y13" s="463">
        <f t="shared" si="8"/>
        <v>1501000</v>
      </c>
      <c r="Z13" s="463">
        <f t="shared" si="8"/>
        <v>1501000</v>
      </c>
      <c r="AA13" s="463">
        <f t="shared" si="8"/>
        <v>1501000</v>
      </c>
      <c r="AB13" s="463">
        <f t="shared" si="8"/>
        <v>1501000</v>
      </c>
      <c r="AC13" s="463">
        <f t="shared" si="8"/>
        <v>1501000</v>
      </c>
      <c r="AD13" s="463">
        <f t="shared" si="8"/>
        <v>1501000</v>
      </c>
      <c r="AE13" s="463">
        <f t="shared" si="8"/>
        <v>1501000</v>
      </c>
      <c r="AF13" s="463">
        <f t="shared" si="8"/>
        <v>1501000</v>
      </c>
      <c r="AG13" s="463">
        <f t="shared" si="8"/>
        <v>1501000</v>
      </c>
      <c r="AH13" s="463">
        <f t="shared" si="8"/>
        <v>1501000</v>
      </c>
      <c r="AI13" s="463">
        <f t="shared" si="8"/>
        <v>1501000</v>
      </c>
      <c r="AJ13" s="463">
        <f t="shared" si="8"/>
        <v>1501000</v>
      </c>
      <c r="AK13" s="463">
        <f t="shared" si="8"/>
        <v>1501000</v>
      </c>
      <c r="AL13" s="463">
        <f t="shared" si="8"/>
        <v>1501000</v>
      </c>
      <c r="AM13" s="463">
        <f t="shared" si="8"/>
        <v>1501000</v>
      </c>
      <c r="AN13" s="463">
        <f t="shared" si="8"/>
        <v>1501000</v>
      </c>
      <c r="AO13" s="463">
        <f t="shared" si="8"/>
        <v>1501000</v>
      </c>
      <c r="AP13" s="463">
        <f t="shared" si="8"/>
        <v>1501000</v>
      </c>
      <c r="AQ13" s="463">
        <f t="shared" si="8"/>
        <v>1501000</v>
      </c>
    </row>
    <row r="14" ht="12.75" customHeight="1">
      <c r="A14" s="90"/>
      <c r="B14" s="90"/>
      <c r="C14" s="67" t="s">
        <v>231</v>
      </c>
      <c r="D14" s="142">
        <f t="shared" ref="D14:AQ14" si="9">SUM(D10:D13)</f>
        <v>0</v>
      </c>
      <c r="E14" s="115">
        <f t="shared" si="9"/>
        <v>464000</v>
      </c>
      <c r="F14" s="115">
        <f t="shared" si="9"/>
        <v>640800</v>
      </c>
      <c r="G14" s="115">
        <f t="shared" si="9"/>
        <v>638300</v>
      </c>
      <c r="H14" s="115">
        <f t="shared" si="9"/>
        <v>643300</v>
      </c>
      <c r="I14" s="115">
        <f t="shared" si="9"/>
        <v>898400</v>
      </c>
      <c r="J14" s="115">
        <f t="shared" si="9"/>
        <v>910900</v>
      </c>
      <c r="K14" s="115">
        <f t="shared" si="9"/>
        <v>1480825</v>
      </c>
      <c r="L14" s="115">
        <f t="shared" si="9"/>
        <v>2341425</v>
      </c>
      <c r="M14" s="115">
        <f t="shared" si="9"/>
        <v>3521150</v>
      </c>
      <c r="N14" s="115">
        <f t="shared" si="9"/>
        <v>5155975</v>
      </c>
      <c r="O14" s="115">
        <f t="shared" si="9"/>
        <v>8173225</v>
      </c>
      <c r="P14" s="115">
        <f t="shared" si="9"/>
        <v>8673400</v>
      </c>
      <c r="Q14" s="115">
        <f t="shared" si="9"/>
        <v>8578700</v>
      </c>
      <c r="R14" s="115">
        <f t="shared" si="9"/>
        <v>8578700</v>
      </c>
      <c r="S14" s="115">
        <f t="shared" si="9"/>
        <v>8578700</v>
      </c>
      <c r="T14" s="115">
        <f t="shared" si="9"/>
        <v>8578700</v>
      </c>
      <c r="U14" s="115">
        <f t="shared" si="9"/>
        <v>8578700</v>
      </c>
      <c r="V14" s="115">
        <f t="shared" si="9"/>
        <v>8578700</v>
      </c>
      <c r="W14" s="115">
        <f t="shared" si="9"/>
        <v>8578700</v>
      </c>
      <c r="X14" s="115">
        <f t="shared" si="9"/>
        <v>8578700</v>
      </c>
      <c r="Y14" s="115">
        <f t="shared" si="9"/>
        <v>8578700</v>
      </c>
      <c r="Z14" s="115">
        <f t="shared" si="9"/>
        <v>8578700</v>
      </c>
      <c r="AA14" s="115">
        <f t="shared" si="9"/>
        <v>8578700</v>
      </c>
      <c r="AB14" s="115">
        <f t="shared" si="9"/>
        <v>8578700</v>
      </c>
      <c r="AC14" s="115">
        <f t="shared" si="9"/>
        <v>8578700</v>
      </c>
      <c r="AD14" s="115">
        <f t="shared" si="9"/>
        <v>8578700</v>
      </c>
      <c r="AE14" s="115">
        <f t="shared" si="9"/>
        <v>8578700</v>
      </c>
      <c r="AF14" s="115">
        <f t="shared" si="9"/>
        <v>8578700</v>
      </c>
      <c r="AG14" s="115">
        <f t="shared" si="9"/>
        <v>8578700</v>
      </c>
      <c r="AH14" s="115">
        <f t="shared" si="9"/>
        <v>8578700</v>
      </c>
      <c r="AI14" s="115">
        <f t="shared" si="9"/>
        <v>8578700</v>
      </c>
      <c r="AJ14" s="115">
        <f t="shared" si="9"/>
        <v>8578700</v>
      </c>
      <c r="AK14" s="115">
        <f t="shared" si="9"/>
        <v>8578700</v>
      </c>
      <c r="AL14" s="115">
        <f t="shared" si="9"/>
        <v>8578700</v>
      </c>
      <c r="AM14" s="115">
        <f t="shared" si="9"/>
        <v>8578700</v>
      </c>
      <c r="AN14" s="115">
        <f t="shared" si="9"/>
        <v>8578700</v>
      </c>
      <c r="AO14" s="115">
        <f t="shared" si="9"/>
        <v>8578700</v>
      </c>
      <c r="AP14" s="115">
        <f t="shared" si="9"/>
        <v>8578700</v>
      </c>
      <c r="AQ14" s="115">
        <f t="shared" si="9"/>
        <v>8578700</v>
      </c>
    </row>
    <row r="15" ht="6.75" customHeight="1">
      <c r="A15" s="90"/>
      <c r="B15" s="90"/>
      <c r="C15" s="464"/>
      <c r="D15" s="465"/>
      <c r="E15" s="466"/>
      <c r="F15" s="466"/>
      <c r="G15" s="466"/>
      <c r="H15" s="466"/>
      <c r="I15" s="466"/>
      <c r="J15" s="466"/>
      <c r="K15" s="466"/>
      <c r="L15" s="466"/>
      <c r="M15" s="466"/>
      <c r="N15" s="466"/>
      <c r="O15" s="466"/>
      <c r="P15" s="466"/>
      <c r="Q15" s="466"/>
      <c r="R15" s="466"/>
      <c r="S15" s="466"/>
      <c r="T15" s="466"/>
      <c r="U15" s="466"/>
      <c r="V15" s="466"/>
      <c r="W15" s="466"/>
      <c r="X15" s="466"/>
      <c r="Y15" s="466"/>
      <c r="Z15" s="466"/>
      <c r="AA15" s="466"/>
      <c r="AB15" s="466"/>
      <c r="AC15" s="466"/>
      <c r="AD15" s="466"/>
      <c r="AE15" s="466"/>
      <c r="AF15" s="466"/>
      <c r="AG15" s="466"/>
      <c r="AH15" s="466"/>
      <c r="AI15" s="466"/>
      <c r="AJ15" s="466"/>
      <c r="AK15" s="466"/>
      <c r="AL15" s="466"/>
      <c r="AM15" s="466"/>
      <c r="AN15" s="466"/>
      <c r="AO15" s="466"/>
      <c r="AP15" s="466"/>
      <c r="AQ15" s="466"/>
    </row>
    <row r="16" ht="12.75" customHeight="1">
      <c r="A16" s="90"/>
      <c r="B16" s="90"/>
      <c r="C16" s="467" t="s">
        <v>194</v>
      </c>
      <c r="D16" s="468">
        <f t="shared" ref="D16:AQ16" si="10">D7-D14</f>
        <v>0</v>
      </c>
      <c r="E16" s="469">
        <f t="shared" si="10"/>
        <v>-458000</v>
      </c>
      <c r="F16" s="469">
        <f t="shared" si="10"/>
        <v>-519689.1258</v>
      </c>
      <c r="G16" s="469">
        <f t="shared" si="10"/>
        <v>-507871.4323</v>
      </c>
      <c r="H16" s="469">
        <f t="shared" si="10"/>
        <v>-381384.2034</v>
      </c>
      <c r="I16" s="469">
        <f t="shared" si="10"/>
        <v>-410878.8721</v>
      </c>
      <c r="J16" s="469">
        <f t="shared" si="10"/>
        <v>77847.40641</v>
      </c>
      <c r="K16" s="469">
        <f t="shared" si="10"/>
        <v>121356.2701</v>
      </c>
      <c r="L16" s="469">
        <f t="shared" si="10"/>
        <v>229439.6287</v>
      </c>
      <c r="M16" s="469">
        <f t="shared" si="10"/>
        <v>591974.7323</v>
      </c>
      <c r="N16" s="469">
        <f t="shared" si="10"/>
        <v>1495412.45</v>
      </c>
      <c r="O16" s="469">
        <f t="shared" si="10"/>
        <v>2326438.123</v>
      </c>
      <c r="P16" s="469">
        <f t="shared" si="10"/>
        <v>2877961.206</v>
      </c>
      <c r="Q16" s="469">
        <f t="shared" si="10"/>
        <v>2480876.99</v>
      </c>
      <c r="R16" s="469">
        <f t="shared" si="10"/>
        <v>1433116.112</v>
      </c>
      <c r="S16" s="469">
        <f t="shared" si="10"/>
        <v>1065441.635</v>
      </c>
      <c r="T16" s="469">
        <f t="shared" si="10"/>
        <v>1048975.595</v>
      </c>
      <c r="U16" s="469">
        <f t="shared" si="10"/>
        <v>1035648.215</v>
      </c>
      <c r="V16" s="469">
        <f t="shared" si="10"/>
        <v>1026632.915</v>
      </c>
      <c r="W16" s="469">
        <f t="shared" si="10"/>
        <v>1024429.175</v>
      </c>
      <c r="X16" s="469">
        <f t="shared" si="10"/>
        <v>1024429.175</v>
      </c>
      <c r="Y16" s="469">
        <f t="shared" si="10"/>
        <v>1024429.175</v>
      </c>
      <c r="Z16" s="469">
        <f t="shared" si="10"/>
        <v>1024429.175</v>
      </c>
      <c r="AA16" s="469">
        <f t="shared" si="10"/>
        <v>1024429.175</v>
      </c>
      <c r="AB16" s="469">
        <f t="shared" si="10"/>
        <v>1024429.175</v>
      </c>
      <c r="AC16" s="469">
        <f t="shared" si="10"/>
        <v>1024429.175</v>
      </c>
      <c r="AD16" s="469">
        <f t="shared" si="10"/>
        <v>1024429.175</v>
      </c>
      <c r="AE16" s="469">
        <f t="shared" si="10"/>
        <v>1024429.175</v>
      </c>
      <c r="AF16" s="469">
        <f t="shared" si="10"/>
        <v>1024429.175</v>
      </c>
      <c r="AG16" s="469">
        <f t="shared" si="10"/>
        <v>1024429.175</v>
      </c>
      <c r="AH16" s="469">
        <f t="shared" si="10"/>
        <v>1024429.175</v>
      </c>
      <c r="AI16" s="469">
        <f t="shared" si="10"/>
        <v>1024429.175</v>
      </c>
      <c r="AJ16" s="469">
        <f t="shared" si="10"/>
        <v>1024429.175</v>
      </c>
      <c r="AK16" s="469">
        <f t="shared" si="10"/>
        <v>1024429.175</v>
      </c>
      <c r="AL16" s="469">
        <f t="shared" si="10"/>
        <v>1024429.175</v>
      </c>
      <c r="AM16" s="469">
        <f t="shared" si="10"/>
        <v>1024429.175</v>
      </c>
      <c r="AN16" s="469">
        <f t="shared" si="10"/>
        <v>1024429.175</v>
      </c>
      <c r="AO16" s="469">
        <f t="shared" si="10"/>
        <v>1024429.175</v>
      </c>
      <c r="AP16" s="469">
        <f t="shared" si="10"/>
        <v>1024429.175</v>
      </c>
      <c r="AQ16" s="469">
        <f t="shared" si="10"/>
        <v>1024429.175</v>
      </c>
    </row>
    <row r="17" ht="12.75" customHeight="1">
      <c r="A17" s="90"/>
      <c r="B17" s="90"/>
      <c r="C17" s="67" t="s">
        <v>1066</v>
      </c>
      <c r="E17" s="115">
        <f>SUMIF(D16:P16,"&lt;0")+D16</f>
        <v>-2277823.634</v>
      </c>
      <c r="G17" s="193"/>
      <c r="H17" s="193"/>
      <c r="I17" s="193"/>
      <c r="J17" s="193"/>
      <c r="K17" s="193"/>
      <c r="L17" s="193"/>
      <c r="M17" s="193"/>
      <c r="N17" s="193"/>
      <c r="O17" s="193"/>
      <c r="P17" s="193"/>
      <c r="Q17" s="193"/>
      <c r="R17" s="115"/>
      <c r="S17" s="115"/>
      <c r="T17" s="115"/>
      <c r="U17" s="115"/>
      <c r="V17" s="115"/>
      <c r="W17" s="115"/>
      <c r="X17" s="115"/>
      <c r="Y17" s="115"/>
      <c r="Z17" s="115"/>
      <c r="AA17" s="142"/>
      <c r="AB17" s="142"/>
      <c r="AC17" s="142"/>
      <c r="AD17" s="142"/>
      <c r="AE17" s="142"/>
      <c r="AF17" s="142"/>
      <c r="AG17" s="142"/>
      <c r="AH17" s="142"/>
      <c r="AI17" s="142"/>
      <c r="AJ17" s="142"/>
      <c r="AK17" s="142"/>
      <c r="AL17" s="142"/>
      <c r="AM17" s="142"/>
      <c r="AN17" s="142"/>
      <c r="AO17" s="142"/>
      <c r="AP17" s="142"/>
      <c r="AQ17" s="142"/>
    </row>
    <row r="18" ht="12.75" customHeight="1">
      <c r="A18" s="90"/>
      <c r="B18" s="90"/>
      <c r="I18" s="155"/>
      <c r="J18" s="155"/>
      <c r="K18" s="155"/>
      <c r="L18" s="155"/>
      <c r="M18" s="155"/>
      <c r="N18" s="155"/>
      <c r="O18" s="155"/>
      <c r="P18" s="155"/>
      <c r="Q18" s="155"/>
    </row>
    <row r="19" ht="12.75" customHeight="1" outlineLevel="1">
      <c r="A19" s="410" t="s">
        <v>1067</v>
      </c>
      <c r="B19" s="410" t="s">
        <v>1068</v>
      </c>
      <c r="C19" s="410" t="s">
        <v>1069</v>
      </c>
      <c r="D19" s="67"/>
      <c r="E19" s="67"/>
      <c r="F19" s="67"/>
      <c r="G19" s="67"/>
      <c r="H19" s="67"/>
      <c r="I19" s="67"/>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row>
    <row r="20" ht="12.75" customHeight="1" outlineLevel="1">
      <c r="A20" s="63">
        <v>-1.0</v>
      </c>
      <c r="B20" s="113">
        <f>OFFSET(RSGen_Walton!$G$11,0,ROW(A20)-ROW($A$20))</f>
        <v>0</v>
      </c>
      <c r="C20" s="79">
        <f>OFFSET(RSGen_Walton!$G$19,0,ROW(B20)-ROW($B$20))</f>
        <v>0</v>
      </c>
      <c r="D20" s="470">
        <v>1.0</v>
      </c>
      <c r="E20" s="471">
        <f t="shared" ref="E20:AO20" si="11">G3-F3</f>
        <v>0</v>
      </c>
      <c r="F20" s="470">
        <f t="shared" si="11"/>
        <v>1</v>
      </c>
      <c r="G20" s="470">
        <f t="shared" si="11"/>
        <v>2</v>
      </c>
      <c r="H20" s="470">
        <f t="shared" si="11"/>
        <v>4</v>
      </c>
      <c r="I20" s="470">
        <f t="shared" si="11"/>
        <v>5</v>
      </c>
      <c r="J20" s="470">
        <f t="shared" si="11"/>
        <v>8</v>
      </c>
      <c r="K20" s="470">
        <f t="shared" si="11"/>
        <v>13</v>
      </c>
      <c r="L20" s="470">
        <f t="shared" si="11"/>
        <v>21</v>
      </c>
      <c r="M20" s="470">
        <f t="shared" si="11"/>
        <v>34</v>
      </c>
      <c r="N20" s="470">
        <f t="shared" si="11"/>
        <v>11</v>
      </c>
      <c r="O20" s="470">
        <f t="shared" si="11"/>
        <v>0</v>
      </c>
      <c r="P20" s="470">
        <f t="shared" si="11"/>
        <v>0</v>
      </c>
      <c r="Q20" s="470">
        <f t="shared" si="11"/>
        <v>0</v>
      </c>
      <c r="R20" s="470">
        <f t="shared" si="11"/>
        <v>0</v>
      </c>
      <c r="S20" s="470">
        <f t="shared" si="11"/>
        <v>0</v>
      </c>
      <c r="T20" s="470">
        <f t="shared" si="11"/>
        <v>0</v>
      </c>
      <c r="U20" s="470">
        <f t="shared" si="11"/>
        <v>0</v>
      </c>
      <c r="V20" s="470">
        <f t="shared" si="11"/>
        <v>0</v>
      </c>
      <c r="W20" s="470">
        <f t="shared" si="11"/>
        <v>0</v>
      </c>
      <c r="X20" s="470">
        <f t="shared" si="11"/>
        <v>0</v>
      </c>
      <c r="Y20" s="470">
        <f t="shared" si="11"/>
        <v>0</v>
      </c>
      <c r="Z20" s="470">
        <f t="shared" si="11"/>
        <v>0</v>
      </c>
      <c r="AA20" s="470">
        <f t="shared" si="11"/>
        <v>0</v>
      </c>
      <c r="AB20" s="470">
        <f t="shared" si="11"/>
        <v>0</v>
      </c>
      <c r="AC20" s="470">
        <f t="shared" si="11"/>
        <v>0</v>
      </c>
      <c r="AD20" s="470">
        <f t="shared" si="11"/>
        <v>0</v>
      </c>
      <c r="AE20" s="470">
        <f t="shared" si="11"/>
        <v>0</v>
      </c>
      <c r="AF20" s="470">
        <f t="shared" si="11"/>
        <v>0</v>
      </c>
      <c r="AG20" s="470">
        <f t="shared" si="11"/>
        <v>0</v>
      </c>
      <c r="AH20" s="470">
        <f t="shared" si="11"/>
        <v>0</v>
      </c>
      <c r="AI20" s="470">
        <f t="shared" si="11"/>
        <v>0</v>
      </c>
      <c r="AJ20" s="470">
        <f t="shared" si="11"/>
        <v>0</v>
      </c>
      <c r="AK20" s="470">
        <f t="shared" si="11"/>
        <v>0</v>
      </c>
      <c r="AL20" s="470">
        <f t="shared" si="11"/>
        <v>0</v>
      </c>
      <c r="AM20" s="470">
        <f t="shared" si="11"/>
        <v>0</v>
      </c>
      <c r="AN20" s="470">
        <f t="shared" si="11"/>
        <v>0</v>
      </c>
      <c r="AO20" s="470">
        <f t="shared" si="11"/>
        <v>0</v>
      </c>
      <c r="AP20" s="470">
        <v>0.0</v>
      </c>
      <c r="AQ20" s="470">
        <v>0.0</v>
      </c>
    </row>
    <row r="21" ht="12.75" customHeight="1" outlineLevel="1">
      <c r="A21" s="63">
        <v>0.0</v>
      </c>
      <c r="B21" s="113">
        <f>OFFSET(RSGen_Walton!$G$11,0,ROW(A21)-ROW($A$20))</f>
        <v>200000</v>
      </c>
      <c r="C21" s="79">
        <f>OFFSET(RSGen_Walton!$G$19,0,ROW(B21)-ROW($B$20))</f>
        <v>6000</v>
      </c>
      <c r="D21" s="72">
        <v>0.0</v>
      </c>
      <c r="E21" s="103">
        <f>F3</f>
        <v>1</v>
      </c>
      <c r="F21" s="103">
        <f t="shared" ref="F21:AQ21" si="12">E20</f>
        <v>0</v>
      </c>
      <c r="G21" s="72">
        <f t="shared" si="12"/>
        <v>1</v>
      </c>
      <c r="H21" s="72">
        <f t="shared" si="12"/>
        <v>2</v>
      </c>
      <c r="I21" s="72">
        <f t="shared" si="12"/>
        <v>4</v>
      </c>
      <c r="J21" s="72">
        <f t="shared" si="12"/>
        <v>5</v>
      </c>
      <c r="K21" s="72">
        <f t="shared" si="12"/>
        <v>8</v>
      </c>
      <c r="L21" s="72">
        <f t="shared" si="12"/>
        <v>13</v>
      </c>
      <c r="M21" s="72">
        <f t="shared" si="12"/>
        <v>21</v>
      </c>
      <c r="N21" s="72">
        <f t="shared" si="12"/>
        <v>34</v>
      </c>
      <c r="O21" s="72">
        <f t="shared" si="12"/>
        <v>11</v>
      </c>
      <c r="P21" s="72">
        <f t="shared" si="12"/>
        <v>0</v>
      </c>
      <c r="Q21" s="72">
        <f t="shared" si="12"/>
        <v>0</v>
      </c>
      <c r="R21" s="72">
        <f t="shared" si="12"/>
        <v>0</v>
      </c>
      <c r="S21" s="72">
        <f t="shared" si="12"/>
        <v>0</v>
      </c>
      <c r="T21" s="72">
        <f t="shared" si="12"/>
        <v>0</v>
      </c>
      <c r="U21" s="72">
        <f t="shared" si="12"/>
        <v>0</v>
      </c>
      <c r="V21" s="72">
        <f t="shared" si="12"/>
        <v>0</v>
      </c>
      <c r="W21" s="72">
        <f t="shared" si="12"/>
        <v>0</v>
      </c>
      <c r="X21" s="72">
        <f t="shared" si="12"/>
        <v>0</v>
      </c>
      <c r="Y21" s="72">
        <f t="shared" si="12"/>
        <v>0</v>
      </c>
      <c r="Z21" s="72">
        <f t="shared" si="12"/>
        <v>0</v>
      </c>
      <c r="AA21" s="72">
        <f t="shared" si="12"/>
        <v>0</v>
      </c>
      <c r="AB21" s="72">
        <f t="shared" si="12"/>
        <v>0</v>
      </c>
      <c r="AC21" s="72">
        <f t="shared" si="12"/>
        <v>0</v>
      </c>
      <c r="AD21" s="72">
        <f t="shared" si="12"/>
        <v>0</v>
      </c>
      <c r="AE21" s="72">
        <f t="shared" si="12"/>
        <v>0</v>
      </c>
      <c r="AF21" s="72">
        <f t="shared" si="12"/>
        <v>0</v>
      </c>
      <c r="AG21" s="72">
        <f t="shared" si="12"/>
        <v>0</v>
      </c>
      <c r="AH21" s="72">
        <f t="shared" si="12"/>
        <v>0</v>
      </c>
      <c r="AI21" s="72">
        <f t="shared" si="12"/>
        <v>0</v>
      </c>
      <c r="AJ21" s="72">
        <f t="shared" si="12"/>
        <v>0</v>
      </c>
      <c r="AK21" s="72">
        <f t="shared" si="12"/>
        <v>0</v>
      </c>
      <c r="AL21" s="72">
        <f t="shared" si="12"/>
        <v>0</v>
      </c>
      <c r="AM21" s="72">
        <f t="shared" si="12"/>
        <v>0</v>
      </c>
      <c r="AN21" s="72">
        <f t="shared" si="12"/>
        <v>0</v>
      </c>
      <c r="AO21" s="72">
        <f t="shared" si="12"/>
        <v>0</v>
      </c>
      <c r="AP21" s="72">
        <f t="shared" si="12"/>
        <v>0</v>
      </c>
      <c r="AQ21" s="72">
        <f t="shared" si="12"/>
        <v>0</v>
      </c>
    </row>
    <row r="22" ht="12.75" customHeight="1" outlineLevel="1">
      <c r="A22" s="63">
        <v>1.0</v>
      </c>
      <c r="B22" s="113">
        <f>OFFSET(RSGen_Walton!$G$11,0,ROW(A22)-ROW($A$20))</f>
        <v>3210792.656</v>
      </c>
      <c r="C22" s="79">
        <f>OFFSET(RSGen_Walton!$G$19,0,ROW(B22)-ROW($B$20))</f>
        <v>121110.8742</v>
      </c>
      <c r="D22" s="72">
        <v>0.0</v>
      </c>
      <c r="E22" s="72">
        <f t="shared" ref="E22:AQ22" si="13">D21</f>
        <v>0</v>
      </c>
      <c r="F22" s="103">
        <f t="shared" si="13"/>
        <v>1</v>
      </c>
      <c r="G22" s="103">
        <f t="shared" si="13"/>
        <v>0</v>
      </c>
      <c r="H22" s="72">
        <f t="shared" si="13"/>
        <v>1</v>
      </c>
      <c r="I22" s="72">
        <f t="shared" si="13"/>
        <v>2</v>
      </c>
      <c r="J22" s="72">
        <f t="shared" si="13"/>
        <v>4</v>
      </c>
      <c r="K22" s="72">
        <f t="shared" si="13"/>
        <v>5</v>
      </c>
      <c r="L22" s="72">
        <f t="shared" si="13"/>
        <v>8</v>
      </c>
      <c r="M22" s="72">
        <f t="shared" si="13"/>
        <v>13</v>
      </c>
      <c r="N22" s="72">
        <f t="shared" si="13"/>
        <v>21</v>
      </c>
      <c r="O22" s="72">
        <f t="shared" si="13"/>
        <v>34</v>
      </c>
      <c r="P22" s="72">
        <f t="shared" si="13"/>
        <v>11</v>
      </c>
      <c r="Q22" s="72">
        <f t="shared" si="13"/>
        <v>0</v>
      </c>
      <c r="R22" s="72">
        <f t="shared" si="13"/>
        <v>0</v>
      </c>
      <c r="S22" s="72">
        <f t="shared" si="13"/>
        <v>0</v>
      </c>
      <c r="T22" s="72">
        <f t="shared" si="13"/>
        <v>0</v>
      </c>
      <c r="U22" s="72">
        <f t="shared" si="13"/>
        <v>0</v>
      </c>
      <c r="V22" s="72">
        <f t="shared" si="13"/>
        <v>0</v>
      </c>
      <c r="W22" s="72">
        <f t="shared" si="13"/>
        <v>0</v>
      </c>
      <c r="X22" s="72">
        <f t="shared" si="13"/>
        <v>0</v>
      </c>
      <c r="Y22" s="72">
        <f t="shared" si="13"/>
        <v>0</v>
      </c>
      <c r="Z22" s="72">
        <f t="shared" si="13"/>
        <v>0</v>
      </c>
      <c r="AA22" s="72">
        <f t="shared" si="13"/>
        <v>0</v>
      </c>
      <c r="AB22" s="72">
        <f t="shared" si="13"/>
        <v>0</v>
      </c>
      <c r="AC22" s="72">
        <f t="shared" si="13"/>
        <v>0</v>
      </c>
      <c r="AD22" s="72">
        <f t="shared" si="13"/>
        <v>0</v>
      </c>
      <c r="AE22" s="72">
        <f t="shared" si="13"/>
        <v>0</v>
      </c>
      <c r="AF22" s="72">
        <f t="shared" si="13"/>
        <v>0</v>
      </c>
      <c r="AG22" s="72">
        <f t="shared" si="13"/>
        <v>0</v>
      </c>
      <c r="AH22" s="72">
        <f t="shared" si="13"/>
        <v>0</v>
      </c>
      <c r="AI22" s="72">
        <f t="shared" si="13"/>
        <v>0</v>
      </c>
      <c r="AJ22" s="72">
        <f t="shared" si="13"/>
        <v>0</v>
      </c>
      <c r="AK22" s="72">
        <f t="shared" si="13"/>
        <v>0</v>
      </c>
      <c r="AL22" s="72">
        <f t="shared" si="13"/>
        <v>0</v>
      </c>
      <c r="AM22" s="72">
        <f t="shared" si="13"/>
        <v>0</v>
      </c>
      <c r="AN22" s="72">
        <f t="shared" si="13"/>
        <v>0</v>
      </c>
      <c r="AO22" s="72">
        <f t="shared" si="13"/>
        <v>0</v>
      </c>
      <c r="AP22" s="72">
        <f t="shared" si="13"/>
        <v>0</v>
      </c>
      <c r="AQ22" s="72">
        <f t="shared" si="13"/>
        <v>0</v>
      </c>
    </row>
    <row r="23" ht="12.75" customHeight="1" outlineLevel="1">
      <c r="A23" s="63">
        <v>2.0</v>
      </c>
      <c r="B23" s="113">
        <f>OFFSET(RSGen_Walton!$G$11,0,ROW(A23)-ROW($A$20))</f>
        <v>3329187.792</v>
      </c>
      <c r="C23" s="79">
        <f>OFFSET(RSGen_Walton!$G$19,0,ROW(B23)-ROW($B$20))</f>
        <v>124428.5677</v>
      </c>
      <c r="D23" s="72">
        <v>0.0</v>
      </c>
      <c r="E23" s="72">
        <f t="shared" ref="E23:AQ23" si="14">D22</f>
        <v>0</v>
      </c>
      <c r="F23" s="72">
        <f t="shared" si="14"/>
        <v>0</v>
      </c>
      <c r="G23" s="103">
        <f t="shared" si="14"/>
        <v>1</v>
      </c>
      <c r="H23" s="103">
        <f t="shared" si="14"/>
        <v>0</v>
      </c>
      <c r="I23" s="72">
        <f t="shared" si="14"/>
        <v>1</v>
      </c>
      <c r="J23" s="72">
        <f t="shared" si="14"/>
        <v>2</v>
      </c>
      <c r="K23" s="72">
        <f t="shared" si="14"/>
        <v>4</v>
      </c>
      <c r="L23" s="72">
        <f t="shared" si="14"/>
        <v>5</v>
      </c>
      <c r="M23" s="72">
        <f t="shared" si="14"/>
        <v>8</v>
      </c>
      <c r="N23" s="72">
        <f t="shared" si="14"/>
        <v>13</v>
      </c>
      <c r="O23" s="72">
        <f t="shared" si="14"/>
        <v>21</v>
      </c>
      <c r="P23" s="72">
        <f t="shared" si="14"/>
        <v>34</v>
      </c>
      <c r="Q23" s="72">
        <f t="shared" si="14"/>
        <v>11</v>
      </c>
      <c r="R23" s="72">
        <f t="shared" si="14"/>
        <v>0</v>
      </c>
      <c r="S23" s="72">
        <f t="shared" si="14"/>
        <v>0</v>
      </c>
      <c r="T23" s="72">
        <f t="shared" si="14"/>
        <v>0</v>
      </c>
      <c r="U23" s="72">
        <f t="shared" si="14"/>
        <v>0</v>
      </c>
      <c r="V23" s="72">
        <f t="shared" si="14"/>
        <v>0</v>
      </c>
      <c r="W23" s="72">
        <f t="shared" si="14"/>
        <v>0</v>
      </c>
      <c r="X23" s="72">
        <f t="shared" si="14"/>
        <v>0</v>
      </c>
      <c r="Y23" s="72">
        <f t="shared" si="14"/>
        <v>0</v>
      </c>
      <c r="Z23" s="72">
        <f t="shared" si="14"/>
        <v>0</v>
      </c>
      <c r="AA23" s="72">
        <f t="shared" si="14"/>
        <v>0</v>
      </c>
      <c r="AB23" s="72">
        <f t="shared" si="14"/>
        <v>0</v>
      </c>
      <c r="AC23" s="72">
        <f t="shared" si="14"/>
        <v>0</v>
      </c>
      <c r="AD23" s="72">
        <f t="shared" si="14"/>
        <v>0</v>
      </c>
      <c r="AE23" s="72">
        <f t="shared" si="14"/>
        <v>0</v>
      </c>
      <c r="AF23" s="72">
        <f t="shared" si="14"/>
        <v>0</v>
      </c>
      <c r="AG23" s="72">
        <f t="shared" si="14"/>
        <v>0</v>
      </c>
      <c r="AH23" s="72">
        <f t="shared" si="14"/>
        <v>0</v>
      </c>
      <c r="AI23" s="72">
        <f t="shared" si="14"/>
        <v>0</v>
      </c>
      <c r="AJ23" s="72">
        <f t="shared" si="14"/>
        <v>0</v>
      </c>
      <c r="AK23" s="72">
        <f t="shared" si="14"/>
        <v>0</v>
      </c>
      <c r="AL23" s="72">
        <f t="shared" si="14"/>
        <v>0</v>
      </c>
      <c r="AM23" s="72">
        <f t="shared" si="14"/>
        <v>0</v>
      </c>
      <c r="AN23" s="72">
        <f t="shared" si="14"/>
        <v>0</v>
      </c>
      <c r="AO23" s="72">
        <f t="shared" si="14"/>
        <v>0</v>
      </c>
      <c r="AP23" s="72">
        <f t="shared" si="14"/>
        <v>0</v>
      </c>
      <c r="AQ23" s="72">
        <f t="shared" si="14"/>
        <v>0</v>
      </c>
    </row>
    <row r="24" ht="12.75" customHeight="1" outlineLevel="1">
      <c r="A24" s="63">
        <v>3.0</v>
      </c>
      <c r="B24" s="113">
        <f>OFFSET(RSGen_Walton!$G$11,0,ROW(A24)-ROW($A$20))</f>
        <v>3461323.058</v>
      </c>
      <c r="C24" s="79">
        <f>OFFSET(RSGen_Walton!$G$19,0,ROW(B24)-ROW($B$20))</f>
        <v>128804.9223</v>
      </c>
      <c r="D24" s="72">
        <v>0.0</v>
      </c>
      <c r="E24" s="72">
        <f t="shared" ref="E24:AQ24" si="15">D23</f>
        <v>0</v>
      </c>
      <c r="F24" s="72">
        <f t="shared" si="15"/>
        <v>0</v>
      </c>
      <c r="G24" s="72">
        <f t="shared" si="15"/>
        <v>0</v>
      </c>
      <c r="H24" s="103">
        <f t="shared" si="15"/>
        <v>1</v>
      </c>
      <c r="I24" s="103">
        <f t="shared" si="15"/>
        <v>0</v>
      </c>
      <c r="J24" s="72">
        <f t="shared" si="15"/>
        <v>1</v>
      </c>
      <c r="K24" s="72">
        <f t="shared" si="15"/>
        <v>2</v>
      </c>
      <c r="L24" s="72">
        <f t="shared" si="15"/>
        <v>4</v>
      </c>
      <c r="M24" s="72">
        <f t="shared" si="15"/>
        <v>5</v>
      </c>
      <c r="N24" s="72">
        <f t="shared" si="15"/>
        <v>8</v>
      </c>
      <c r="O24" s="72">
        <f t="shared" si="15"/>
        <v>13</v>
      </c>
      <c r="P24" s="72">
        <f t="shared" si="15"/>
        <v>21</v>
      </c>
      <c r="Q24" s="72">
        <f t="shared" si="15"/>
        <v>34</v>
      </c>
      <c r="R24" s="72">
        <f t="shared" si="15"/>
        <v>11</v>
      </c>
      <c r="S24" s="72">
        <f t="shared" si="15"/>
        <v>0</v>
      </c>
      <c r="T24" s="72">
        <f t="shared" si="15"/>
        <v>0</v>
      </c>
      <c r="U24" s="72">
        <f t="shared" si="15"/>
        <v>0</v>
      </c>
      <c r="V24" s="72">
        <f t="shared" si="15"/>
        <v>0</v>
      </c>
      <c r="W24" s="72">
        <f t="shared" si="15"/>
        <v>0</v>
      </c>
      <c r="X24" s="72">
        <f t="shared" si="15"/>
        <v>0</v>
      </c>
      <c r="Y24" s="72">
        <f t="shared" si="15"/>
        <v>0</v>
      </c>
      <c r="Z24" s="72">
        <f t="shared" si="15"/>
        <v>0</v>
      </c>
      <c r="AA24" s="72">
        <f t="shared" si="15"/>
        <v>0</v>
      </c>
      <c r="AB24" s="72">
        <f t="shared" si="15"/>
        <v>0</v>
      </c>
      <c r="AC24" s="72">
        <f t="shared" si="15"/>
        <v>0</v>
      </c>
      <c r="AD24" s="72">
        <f t="shared" si="15"/>
        <v>0</v>
      </c>
      <c r="AE24" s="72">
        <f t="shared" si="15"/>
        <v>0</v>
      </c>
      <c r="AF24" s="72">
        <f t="shared" si="15"/>
        <v>0</v>
      </c>
      <c r="AG24" s="72">
        <f t="shared" si="15"/>
        <v>0</v>
      </c>
      <c r="AH24" s="72">
        <f t="shared" si="15"/>
        <v>0</v>
      </c>
      <c r="AI24" s="72">
        <f t="shared" si="15"/>
        <v>0</v>
      </c>
      <c r="AJ24" s="72">
        <f t="shared" si="15"/>
        <v>0</v>
      </c>
      <c r="AK24" s="72">
        <f t="shared" si="15"/>
        <v>0</v>
      </c>
      <c r="AL24" s="72">
        <f t="shared" si="15"/>
        <v>0</v>
      </c>
      <c r="AM24" s="72">
        <f t="shared" si="15"/>
        <v>0</v>
      </c>
      <c r="AN24" s="72">
        <f t="shared" si="15"/>
        <v>0</v>
      </c>
      <c r="AO24" s="72">
        <f t="shared" si="15"/>
        <v>0</v>
      </c>
      <c r="AP24" s="72">
        <f t="shared" si="15"/>
        <v>0</v>
      </c>
      <c r="AQ24" s="72">
        <f t="shared" si="15"/>
        <v>0</v>
      </c>
    </row>
    <row r="25" ht="12.75" customHeight="1" outlineLevel="1">
      <c r="A25" s="63">
        <v>4.0</v>
      </c>
      <c r="B25" s="113">
        <f>OFFSET(RSGen_Walton!$G$11,0,ROW(A25)-ROW($A$20))</f>
        <v>3470227.058</v>
      </c>
      <c r="C25" s="79">
        <f>OFFSET(RSGen_Walton!$G$19,0,ROW(B25)-ROW($B$20))</f>
        <v>96870.81175</v>
      </c>
      <c r="D25" s="72">
        <v>0.0</v>
      </c>
      <c r="E25" s="72">
        <f t="shared" ref="E25:AQ25" si="16">D24</f>
        <v>0</v>
      </c>
      <c r="F25" s="72">
        <f t="shared" si="16"/>
        <v>0</v>
      </c>
      <c r="G25" s="72">
        <f t="shared" si="16"/>
        <v>0</v>
      </c>
      <c r="H25" s="72">
        <f t="shared" si="16"/>
        <v>0</v>
      </c>
      <c r="I25" s="103">
        <f t="shared" si="16"/>
        <v>1</v>
      </c>
      <c r="J25" s="103">
        <f t="shared" si="16"/>
        <v>0</v>
      </c>
      <c r="K25" s="72">
        <f t="shared" si="16"/>
        <v>1</v>
      </c>
      <c r="L25" s="72">
        <f t="shared" si="16"/>
        <v>2</v>
      </c>
      <c r="M25" s="72">
        <f t="shared" si="16"/>
        <v>4</v>
      </c>
      <c r="N25" s="72">
        <f t="shared" si="16"/>
        <v>5</v>
      </c>
      <c r="O25" s="72">
        <f t="shared" si="16"/>
        <v>8</v>
      </c>
      <c r="P25" s="72">
        <f t="shared" si="16"/>
        <v>13</v>
      </c>
      <c r="Q25" s="72">
        <f t="shared" si="16"/>
        <v>21</v>
      </c>
      <c r="R25" s="72">
        <f t="shared" si="16"/>
        <v>34</v>
      </c>
      <c r="S25" s="72">
        <f t="shared" si="16"/>
        <v>11</v>
      </c>
      <c r="T25" s="72">
        <f t="shared" si="16"/>
        <v>0</v>
      </c>
      <c r="U25" s="72">
        <f t="shared" si="16"/>
        <v>0</v>
      </c>
      <c r="V25" s="72">
        <f t="shared" si="16"/>
        <v>0</v>
      </c>
      <c r="W25" s="72">
        <f t="shared" si="16"/>
        <v>0</v>
      </c>
      <c r="X25" s="72">
        <f t="shared" si="16"/>
        <v>0</v>
      </c>
      <c r="Y25" s="72">
        <f t="shared" si="16"/>
        <v>0</v>
      </c>
      <c r="Z25" s="72">
        <f t="shared" si="16"/>
        <v>0</v>
      </c>
      <c r="AA25" s="72">
        <f t="shared" si="16"/>
        <v>0</v>
      </c>
      <c r="AB25" s="72">
        <f t="shared" si="16"/>
        <v>0</v>
      </c>
      <c r="AC25" s="72">
        <f t="shared" si="16"/>
        <v>0</v>
      </c>
      <c r="AD25" s="72">
        <f t="shared" si="16"/>
        <v>0</v>
      </c>
      <c r="AE25" s="72">
        <f t="shared" si="16"/>
        <v>0</v>
      </c>
      <c r="AF25" s="72">
        <f t="shared" si="16"/>
        <v>0</v>
      </c>
      <c r="AG25" s="72">
        <f t="shared" si="16"/>
        <v>0</v>
      </c>
      <c r="AH25" s="72">
        <f t="shared" si="16"/>
        <v>0</v>
      </c>
      <c r="AI25" s="72">
        <f t="shared" si="16"/>
        <v>0</v>
      </c>
      <c r="AJ25" s="72">
        <f t="shared" si="16"/>
        <v>0</v>
      </c>
      <c r="AK25" s="72">
        <f t="shared" si="16"/>
        <v>0</v>
      </c>
      <c r="AL25" s="72">
        <f t="shared" si="16"/>
        <v>0</v>
      </c>
      <c r="AM25" s="72">
        <f t="shared" si="16"/>
        <v>0</v>
      </c>
      <c r="AN25" s="72">
        <f t="shared" si="16"/>
        <v>0</v>
      </c>
      <c r="AO25" s="72">
        <f t="shared" si="16"/>
        <v>0</v>
      </c>
      <c r="AP25" s="72">
        <f t="shared" si="16"/>
        <v>0</v>
      </c>
      <c r="AQ25" s="72">
        <f t="shared" si="16"/>
        <v>0</v>
      </c>
    </row>
    <row r="26" ht="12.75" customHeight="1" outlineLevel="1">
      <c r="A26" s="63">
        <v>5.0</v>
      </c>
      <c r="B26" s="113">
        <f>OFFSET(RSGen_Walton!$G$11,0,ROW(A26)-ROW($A$20))</f>
        <v>3462595.058</v>
      </c>
      <c r="C26" s="79">
        <f>OFFSET(RSGen_Walton!$G$19,0,ROW(B26)-ROW($B$20))</f>
        <v>96641.85175</v>
      </c>
      <c r="D26" s="72">
        <v>0.0</v>
      </c>
      <c r="E26" s="72">
        <f t="shared" ref="E26:AQ26" si="17">D25</f>
        <v>0</v>
      </c>
      <c r="F26" s="72">
        <f t="shared" si="17"/>
        <v>0</v>
      </c>
      <c r="G26" s="72">
        <f t="shared" si="17"/>
        <v>0</v>
      </c>
      <c r="H26" s="72">
        <f t="shared" si="17"/>
        <v>0</v>
      </c>
      <c r="I26" s="72">
        <f t="shared" si="17"/>
        <v>0</v>
      </c>
      <c r="J26" s="103">
        <f t="shared" si="17"/>
        <v>1</v>
      </c>
      <c r="K26" s="103">
        <f t="shared" si="17"/>
        <v>0</v>
      </c>
      <c r="L26" s="72">
        <f t="shared" si="17"/>
        <v>1</v>
      </c>
      <c r="M26" s="72">
        <f t="shared" si="17"/>
        <v>2</v>
      </c>
      <c r="N26" s="72">
        <f t="shared" si="17"/>
        <v>4</v>
      </c>
      <c r="O26" s="72">
        <f t="shared" si="17"/>
        <v>5</v>
      </c>
      <c r="P26" s="72">
        <f t="shared" si="17"/>
        <v>8</v>
      </c>
      <c r="Q26" s="72">
        <f t="shared" si="17"/>
        <v>13</v>
      </c>
      <c r="R26" s="72">
        <f t="shared" si="17"/>
        <v>21</v>
      </c>
      <c r="S26" s="72">
        <f t="shared" si="17"/>
        <v>34</v>
      </c>
      <c r="T26" s="72">
        <f t="shared" si="17"/>
        <v>11</v>
      </c>
      <c r="U26" s="72">
        <f t="shared" si="17"/>
        <v>0</v>
      </c>
      <c r="V26" s="72">
        <f t="shared" si="17"/>
        <v>0</v>
      </c>
      <c r="W26" s="72">
        <f t="shared" si="17"/>
        <v>0</v>
      </c>
      <c r="X26" s="72">
        <f t="shared" si="17"/>
        <v>0</v>
      </c>
      <c r="Y26" s="72">
        <f t="shared" si="17"/>
        <v>0</v>
      </c>
      <c r="Z26" s="72">
        <f t="shared" si="17"/>
        <v>0</v>
      </c>
      <c r="AA26" s="72">
        <f t="shared" si="17"/>
        <v>0</v>
      </c>
      <c r="AB26" s="72">
        <f t="shared" si="17"/>
        <v>0</v>
      </c>
      <c r="AC26" s="72">
        <f t="shared" si="17"/>
        <v>0</v>
      </c>
      <c r="AD26" s="72">
        <f t="shared" si="17"/>
        <v>0</v>
      </c>
      <c r="AE26" s="72">
        <f t="shared" si="17"/>
        <v>0</v>
      </c>
      <c r="AF26" s="72">
        <f t="shared" si="17"/>
        <v>0</v>
      </c>
      <c r="AG26" s="72">
        <f t="shared" si="17"/>
        <v>0</v>
      </c>
      <c r="AH26" s="72">
        <f t="shared" si="17"/>
        <v>0</v>
      </c>
      <c r="AI26" s="72">
        <f t="shared" si="17"/>
        <v>0</v>
      </c>
      <c r="AJ26" s="72">
        <f t="shared" si="17"/>
        <v>0</v>
      </c>
      <c r="AK26" s="72">
        <f t="shared" si="17"/>
        <v>0</v>
      </c>
      <c r="AL26" s="72">
        <f t="shared" si="17"/>
        <v>0</v>
      </c>
      <c r="AM26" s="72">
        <f t="shared" si="17"/>
        <v>0</v>
      </c>
      <c r="AN26" s="72">
        <f t="shared" si="17"/>
        <v>0</v>
      </c>
      <c r="AO26" s="72">
        <f t="shared" si="17"/>
        <v>0</v>
      </c>
      <c r="AP26" s="72">
        <f t="shared" si="17"/>
        <v>0</v>
      </c>
      <c r="AQ26" s="72">
        <f t="shared" si="17"/>
        <v>0</v>
      </c>
    </row>
    <row r="27" ht="12.75" customHeight="1" outlineLevel="1">
      <c r="A27" s="63">
        <v>6.0</v>
      </c>
      <c r="B27" s="113">
        <f>OFFSET(RSGen_Walton!$G$11,0,ROW(A27)-ROW($A$20))</f>
        <v>3455599.058</v>
      </c>
      <c r="C27" s="79">
        <f>OFFSET(RSGen_Walton!$G$19,0,ROW(B27)-ROW($B$20))</f>
        <v>96431.97175</v>
      </c>
      <c r="D27" s="72">
        <v>0.0</v>
      </c>
      <c r="E27" s="72">
        <f t="shared" ref="E27:AQ27" si="18">D26</f>
        <v>0</v>
      </c>
      <c r="F27" s="72">
        <f t="shared" si="18"/>
        <v>0</v>
      </c>
      <c r="G27" s="72">
        <f t="shared" si="18"/>
        <v>0</v>
      </c>
      <c r="H27" s="72">
        <f t="shared" si="18"/>
        <v>0</v>
      </c>
      <c r="I27" s="72">
        <f t="shared" si="18"/>
        <v>0</v>
      </c>
      <c r="J27" s="72">
        <f t="shared" si="18"/>
        <v>0</v>
      </c>
      <c r="K27" s="103">
        <f t="shared" si="18"/>
        <v>1</v>
      </c>
      <c r="L27" s="103">
        <f t="shared" si="18"/>
        <v>0</v>
      </c>
      <c r="M27" s="72">
        <f t="shared" si="18"/>
        <v>1</v>
      </c>
      <c r="N27" s="72">
        <f t="shared" si="18"/>
        <v>2</v>
      </c>
      <c r="O27" s="72">
        <f t="shared" si="18"/>
        <v>4</v>
      </c>
      <c r="P27" s="72">
        <f t="shared" si="18"/>
        <v>5</v>
      </c>
      <c r="Q27" s="72">
        <f t="shared" si="18"/>
        <v>8</v>
      </c>
      <c r="R27" s="72">
        <f t="shared" si="18"/>
        <v>13</v>
      </c>
      <c r="S27" s="72">
        <f t="shared" si="18"/>
        <v>21</v>
      </c>
      <c r="T27" s="72">
        <f t="shared" si="18"/>
        <v>34</v>
      </c>
      <c r="U27" s="72">
        <f t="shared" si="18"/>
        <v>11</v>
      </c>
      <c r="V27" s="72">
        <f t="shared" si="18"/>
        <v>0</v>
      </c>
      <c r="W27" s="72">
        <f t="shared" si="18"/>
        <v>0</v>
      </c>
      <c r="X27" s="72">
        <f t="shared" si="18"/>
        <v>0</v>
      </c>
      <c r="Y27" s="72">
        <f t="shared" si="18"/>
        <v>0</v>
      </c>
      <c r="Z27" s="72">
        <f t="shared" si="18"/>
        <v>0</v>
      </c>
      <c r="AA27" s="72">
        <f t="shared" si="18"/>
        <v>0</v>
      </c>
      <c r="AB27" s="72">
        <f t="shared" si="18"/>
        <v>0</v>
      </c>
      <c r="AC27" s="72">
        <f t="shared" si="18"/>
        <v>0</v>
      </c>
      <c r="AD27" s="72">
        <f t="shared" si="18"/>
        <v>0</v>
      </c>
      <c r="AE27" s="72">
        <f t="shared" si="18"/>
        <v>0</v>
      </c>
      <c r="AF27" s="72">
        <f t="shared" si="18"/>
        <v>0</v>
      </c>
      <c r="AG27" s="72">
        <f t="shared" si="18"/>
        <v>0</v>
      </c>
      <c r="AH27" s="72">
        <f t="shared" si="18"/>
        <v>0</v>
      </c>
      <c r="AI27" s="72">
        <f t="shared" si="18"/>
        <v>0</v>
      </c>
      <c r="AJ27" s="72">
        <f t="shared" si="18"/>
        <v>0</v>
      </c>
      <c r="AK27" s="72">
        <f t="shared" si="18"/>
        <v>0</v>
      </c>
      <c r="AL27" s="72">
        <f t="shared" si="18"/>
        <v>0</v>
      </c>
      <c r="AM27" s="72">
        <f t="shared" si="18"/>
        <v>0</v>
      </c>
      <c r="AN27" s="72">
        <f t="shared" si="18"/>
        <v>0</v>
      </c>
      <c r="AO27" s="72">
        <f t="shared" si="18"/>
        <v>0</v>
      </c>
      <c r="AP27" s="72">
        <f t="shared" si="18"/>
        <v>0</v>
      </c>
      <c r="AQ27" s="72">
        <f t="shared" si="18"/>
        <v>0</v>
      </c>
    </row>
    <row r="28" ht="12.75" customHeight="1" outlineLevel="1">
      <c r="A28" s="63">
        <v>7.0</v>
      </c>
      <c r="B28" s="113">
        <f>OFFSET(RSGen_Walton!$G$11,0,ROW(A28)-ROW($A$20))</f>
        <v>3448921.058</v>
      </c>
      <c r="C28" s="79">
        <f>OFFSET(RSGen_Walton!$G$19,0,ROW(B28)-ROW($B$20))</f>
        <v>96231.63175</v>
      </c>
      <c r="D28" s="72">
        <v>0.0</v>
      </c>
      <c r="E28" s="72">
        <f t="shared" ref="E28:AQ28" si="19">D27</f>
        <v>0</v>
      </c>
      <c r="F28" s="72">
        <f t="shared" si="19"/>
        <v>0</v>
      </c>
      <c r="G28" s="72">
        <f t="shared" si="19"/>
        <v>0</v>
      </c>
      <c r="H28" s="72">
        <f t="shared" si="19"/>
        <v>0</v>
      </c>
      <c r="I28" s="72">
        <f t="shared" si="19"/>
        <v>0</v>
      </c>
      <c r="J28" s="72">
        <f t="shared" si="19"/>
        <v>0</v>
      </c>
      <c r="K28" s="72">
        <f t="shared" si="19"/>
        <v>0</v>
      </c>
      <c r="L28" s="103">
        <f t="shared" si="19"/>
        <v>1</v>
      </c>
      <c r="M28" s="103">
        <f t="shared" si="19"/>
        <v>0</v>
      </c>
      <c r="N28" s="72">
        <f t="shared" si="19"/>
        <v>1</v>
      </c>
      <c r="O28" s="72">
        <f t="shared" si="19"/>
        <v>2</v>
      </c>
      <c r="P28" s="72">
        <f t="shared" si="19"/>
        <v>4</v>
      </c>
      <c r="Q28" s="72">
        <f t="shared" si="19"/>
        <v>5</v>
      </c>
      <c r="R28" s="72">
        <f t="shared" si="19"/>
        <v>8</v>
      </c>
      <c r="S28" s="72">
        <f t="shared" si="19"/>
        <v>13</v>
      </c>
      <c r="T28" s="72">
        <f t="shared" si="19"/>
        <v>21</v>
      </c>
      <c r="U28" s="72">
        <f t="shared" si="19"/>
        <v>34</v>
      </c>
      <c r="V28" s="72">
        <f t="shared" si="19"/>
        <v>11</v>
      </c>
      <c r="W28" s="72">
        <f t="shared" si="19"/>
        <v>0</v>
      </c>
      <c r="X28" s="72">
        <f t="shared" si="19"/>
        <v>0</v>
      </c>
      <c r="Y28" s="72">
        <f t="shared" si="19"/>
        <v>0</v>
      </c>
      <c r="Z28" s="72">
        <f t="shared" si="19"/>
        <v>0</v>
      </c>
      <c r="AA28" s="72">
        <f t="shared" si="19"/>
        <v>0</v>
      </c>
      <c r="AB28" s="72">
        <f t="shared" si="19"/>
        <v>0</v>
      </c>
      <c r="AC28" s="72">
        <f t="shared" si="19"/>
        <v>0</v>
      </c>
      <c r="AD28" s="72">
        <f t="shared" si="19"/>
        <v>0</v>
      </c>
      <c r="AE28" s="72">
        <f t="shared" si="19"/>
        <v>0</v>
      </c>
      <c r="AF28" s="72">
        <f t="shared" si="19"/>
        <v>0</v>
      </c>
      <c r="AG28" s="72">
        <f t="shared" si="19"/>
        <v>0</v>
      </c>
      <c r="AH28" s="72">
        <f t="shared" si="19"/>
        <v>0</v>
      </c>
      <c r="AI28" s="72">
        <f t="shared" si="19"/>
        <v>0</v>
      </c>
      <c r="AJ28" s="72">
        <f t="shared" si="19"/>
        <v>0</v>
      </c>
      <c r="AK28" s="72">
        <f t="shared" si="19"/>
        <v>0</v>
      </c>
      <c r="AL28" s="72">
        <f t="shared" si="19"/>
        <v>0</v>
      </c>
      <c r="AM28" s="72">
        <f t="shared" si="19"/>
        <v>0</v>
      </c>
      <c r="AN28" s="72">
        <f t="shared" si="19"/>
        <v>0</v>
      </c>
      <c r="AO28" s="72">
        <f t="shared" si="19"/>
        <v>0</v>
      </c>
      <c r="AP28" s="72">
        <f t="shared" si="19"/>
        <v>0</v>
      </c>
      <c r="AQ28" s="72">
        <f t="shared" si="19"/>
        <v>0</v>
      </c>
    </row>
    <row r="29" ht="12.75" customHeight="1" outlineLevel="1">
      <c r="A29" s="63" t="s">
        <v>1070</v>
      </c>
      <c r="B29" s="113">
        <f>OFFSET(RSGen_Walton!$G$11,0,ROW(A29)-ROW($A$20))</f>
        <v>3442243.058</v>
      </c>
      <c r="C29" s="79">
        <f>OFFSET(RSGen_Walton!$G$19,0,ROW(B29)-ROW($B$20))</f>
        <v>96031.29175</v>
      </c>
      <c r="D29" s="84">
        <v>0.0</v>
      </c>
      <c r="E29" s="84">
        <f t="shared" ref="E29:AQ29" si="20">D28+D29</f>
        <v>0</v>
      </c>
      <c r="F29" s="84">
        <f t="shared" si="20"/>
        <v>0</v>
      </c>
      <c r="G29" s="84">
        <f t="shared" si="20"/>
        <v>0</v>
      </c>
      <c r="H29" s="84">
        <f t="shared" si="20"/>
        <v>0</v>
      </c>
      <c r="I29" s="84">
        <f t="shared" si="20"/>
        <v>0</v>
      </c>
      <c r="J29" s="84">
        <f t="shared" si="20"/>
        <v>0</v>
      </c>
      <c r="K29" s="84">
        <f t="shared" si="20"/>
        <v>0</v>
      </c>
      <c r="L29" s="84">
        <f t="shared" si="20"/>
        <v>0</v>
      </c>
      <c r="M29" s="472">
        <f t="shared" si="20"/>
        <v>1</v>
      </c>
      <c r="N29" s="472">
        <f t="shared" si="20"/>
        <v>1</v>
      </c>
      <c r="O29" s="472">
        <f t="shared" si="20"/>
        <v>2</v>
      </c>
      <c r="P29" s="472">
        <f t="shared" si="20"/>
        <v>4</v>
      </c>
      <c r="Q29" s="472">
        <f t="shared" si="20"/>
        <v>8</v>
      </c>
      <c r="R29" s="472">
        <f t="shared" si="20"/>
        <v>13</v>
      </c>
      <c r="S29" s="472">
        <f t="shared" si="20"/>
        <v>21</v>
      </c>
      <c r="T29" s="472">
        <f t="shared" si="20"/>
        <v>34</v>
      </c>
      <c r="U29" s="472">
        <f t="shared" si="20"/>
        <v>55</v>
      </c>
      <c r="V29" s="472">
        <f t="shared" si="20"/>
        <v>89</v>
      </c>
      <c r="W29" s="472">
        <f t="shared" si="20"/>
        <v>100</v>
      </c>
      <c r="X29" s="472">
        <f t="shared" si="20"/>
        <v>100</v>
      </c>
      <c r="Y29" s="472">
        <f t="shared" si="20"/>
        <v>100</v>
      </c>
      <c r="Z29" s="472">
        <f t="shared" si="20"/>
        <v>100</v>
      </c>
      <c r="AA29" s="472">
        <f t="shared" si="20"/>
        <v>100</v>
      </c>
      <c r="AB29" s="472">
        <f t="shared" si="20"/>
        <v>100</v>
      </c>
      <c r="AC29" s="472">
        <f t="shared" si="20"/>
        <v>100</v>
      </c>
      <c r="AD29" s="472">
        <f t="shared" si="20"/>
        <v>100</v>
      </c>
      <c r="AE29" s="472">
        <f t="shared" si="20"/>
        <v>100</v>
      </c>
      <c r="AF29" s="472">
        <f t="shared" si="20"/>
        <v>100</v>
      </c>
      <c r="AG29" s="472">
        <f t="shared" si="20"/>
        <v>100</v>
      </c>
      <c r="AH29" s="472">
        <f t="shared" si="20"/>
        <v>100</v>
      </c>
      <c r="AI29" s="472">
        <f t="shared" si="20"/>
        <v>100</v>
      </c>
      <c r="AJ29" s="472">
        <f t="shared" si="20"/>
        <v>100</v>
      </c>
      <c r="AK29" s="472">
        <f t="shared" si="20"/>
        <v>100</v>
      </c>
      <c r="AL29" s="472">
        <f t="shared" si="20"/>
        <v>100</v>
      </c>
      <c r="AM29" s="472">
        <f t="shared" si="20"/>
        <v>100</v>
      </c>
      <c r="AN29" s="472">
        <f t="shared" si="20"/>
        <v>100</v>
      </c>
      <c r="AO29" s="472">
        <f t="shared" si="20"/>
        <v>100</v>
      </c>
      <c r="AP29" s="472">
        <f t="shared" si="20"/>
        <v>100</v>
      </c>
      <c r="AQ29" s="472">
        <f t="shared" si="20"/>
        <v>100</v>
      </c>
    </row>
    <row r="30" ht="12.75" customHeight="1">
      <c r="A30" s="90"/>
      <c r="B30" s="90"/>
      <c r="C30" s="67" t="s">
        <v>259</v>
      </c>
      <c r="D30" s="63">
        <f t="shared" ref="D30:AQ30" si="21">SUM(D22:D29)</f>
        <v>0</v>
      </c>
      <c r="E30" s="63">
        <f t="shared" si="21"/>
        <v>0</v>
      </c>
      <c r="F30" s="460">
        <f t="shared" si="21"/>
        <v>1</v>
      </c>
      <c r="G30" s="460">
        <f t="shared" si="21"/>
        <v>1</v>
      </c>
      <c r="H30" s="63">
        <f t="shared" si="21"/>
        <v>2</v>
      </c>
      <c r="I30" s="63">
        <f t="shared" si="21"/>
        <v>4</v>
      </c>
      <c r="J30" s="63">
        <f t="shared" si="21"/>
        <v>8</v>
      </c>
      <c r="K30" s="63">
        <f t="shared" si="21"/>
        <v>13</v>
      </c>
      <c r="L30" s="63">
        <f t="shared" si="21"/>
        <v>21</v>
      </c>
      <c r="M30" s="63">
        <f t="shared" si="21"/>
        <v>34</v>
      </c>
      <c r="N30" s="63">
        <f t="shared" si="21"/>
        <v>55</v>
      </c>
      <c r="O30" s="63">
        <f t="shared" si="21"/>
        <v>89</v>
      </c>
      <c r="P30" s="63">
        <f t="shared" si="21"/>
        <v>100</v>
      </c>
      <c r="Q30" s="63">
        <f t="shared" si="21"/>
        <v>100</v>
      </c>
      <c r="R30" s="63">
        <f t="shared" si="21"/>
        <v>100</v>
      </c>
      <c r="S30" s="63">
        <f t="shared" si="21"/>
        <v>100</v>
      </c>
      <c r="T30" s="63">
        <f t="shared" si="21"/>
        <v>100</v>
      </c>
      <c r="U30" s="63">
        <f t="shared" si="21"/>
        <v>100</v>
      </c>
      <c r="V30" s="63">
        <f t="shared" si="21"/>
        <v>100</v>
      </c>
      <c r="W30" s="63">
        <f t="shared" si="21"/>
        <v>100</v>
      </c>
      <c r="X30" s="63">
        <f t="shared" si="21"/>
        <v>100</v>
      </c>
      <c r="Y30" s="63">
        <f t="shared" si="21"/>
        <v>100</v>
      </c>
      <c r="Z30" s="63">
        <f t="shared" si="21"/>
        <v>100</v>
      </c>
      <c r="AA30" s="63">
        <f t="shared" si="21"/>
        <v>100</v>
      </c>
      <c r="AB30" s="63">
        <f t="shared" si="21"/>
        <v>100</v>
      </c>
      <c r="AC30" s="63">
        <f t="shared" si="21"/>
        <v>100</v>
      </c>
      <c r="AD30" s="63">
        <f t="shared" si="21"/>
        <v>100</v>
      </c>
      <c r="AE30" s="63">
        <f t="shared" si="21"/>
        <v>100</v>
      </c>
      <c r="AF30" s="63">
        <f t="shared" si="21"/>
        <v>100</v>
      </c>
      <c r="AG30" s="63">
        <f t="shared" si="21"/>
        <v>100</v>
      </c>
      <c r="AH30" s="63">
        <f t="shared" si="21"/>
        <v>100</v>
      </c>
      <c r="AI30" s="63">
        <f t="shared" si="21"/>
        <v>100</v>
      </c>
      <c r="AJ30" s="63">
        <f t="shared" si="21"/>
        <v>100</v>
      </c>
      <c r="AK30" s="63">
        <f t="shared" si="21"/>
        <v>100</v>
      </c>
      <c r="AL30" s="63">
        <f t="shared" si="21"/>
        <v>100</v>
      </c>
      <c r="AM30" s="63">
        <f t="shared" si="21"/>
        <v>100</v>
      </c>
      <c r="AN30" s="63">
        <f t="shared" si="21"/>
        <v>100</v>
      </c>
      <c r="AO30" s="63">
        <f t="shared" si="21"/>
        <v>100</v>
      </c>
      <c r="AP30" s="63">
        <f t="shared" si="21"/>
        <v>100</v>
      </c>
      <c r="AQ30" s="63">
        <f t="shared" si="21"/>
        <v>100</v>
      </c>
    </row>
    <row r="31" ht="12.75" customHeight="1">
      <c r="A31" s="90"/>
      <c r="B31" s="90"/>
      <c r="C31" s="67"/>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row>
    <row r="32" ht="12.75" customHeight="1">
      <c r="A32" s="90"/>
      <c r="B32" s="90"/>
      <c r="C32" s="67" t="s">
        <v>226</v>
      </c>
      <c r="D32" s="63"/>
      <c r="E32" s="63"/>
      <c r="F32" s="187"/>
      <c r="G32" s="187"/>
      <c r="H32" s="187"/>
      <c r="I32" s="187"/>
      <c r="J32" s="187"/>
      <c r="K32" s="187"/>
      <c r="L32" s="187"/>
      <c r="M32" s="187"/>
      <c r="N32" s="187"/>
      <c r="O32" s="187"/>
      <c r="P32" s="187"/>
      <c r="Q32" s="187"/>
      <c r="R32" s="187"/>
      <c r="S32" s="187"/>
      <c r="T32" s="187"/>
      <c r="U32" s="187"/>
      <c r="V32" s="187"/>
      <c r="W32" s="63"/>
      <c r="X32" s="63"/>
      <c r="Y32" s="63"/>
      <c r="Z32" s="63"/>
      <c r="AA32" s="63"/>
      <c r="AB32" s="63"/>
      <c r="AC32" s="63"/>
      <c r="AD32" s="63"/>
      <c r="AE32" s="63"/>
      <c r="AF32" s="63"/>
      <c r="AG32" s="63"/>
      <c r="AH32" s="63"/>
      <c r="AI32" s="63"/>
      <c r="AJ32" s="63"/>
      <c r="AK32" s="63"/>
      <c r="AL32" s="63"/>
      <c r="AM32" s="63"/>
      <c r="AN32" s="63"/>
      <c r="AO32" s="63"/>
      <c r="AP32" s="63"/>
      <c r="AQ32" s="63"/>
    </row>
    <row r="33" ht="12.75" customHeight="1">
      <c r="A33" s="90"/>
      <c r="B33" s="90"/>
      <c r="C33" s="66" t="s">
        <v>212</v>
      </c>
      <c r="D33" s="93">
        <v>0.0</v>
      </c>
      <c r="E33" s="93"/>
      <c r="F33" s="93">
        <v>0.0</v>
      </c>
      <c r="G33" s="93">
        <v>0.0</v>
      </c>
      <c r="H33" s="93">
        <v>0.0</v>
      </c>
      <c r="I33" s="93">
        <v>0.0</v>
      </c>
      <c r="J33" s="93">
        <v>0.0</v>
      </c>
      <c r="K33" s="93">
        <v>0.0</v>
      </c>
      <c r="L33" s="93">
        <v>0.0</v>
      </c>
      <c r="M33" s="93">
        <v>0.0</v>
      </c>
      <c r="N33" s="93">
        <v>0.0</v>
      </c>
      <c r="O33" s="93">
        <v>0.0</v>
      </c>
      <c r="P33" s="93">
        <v>0.0</v>
      </c>
      <c r="Q33" s="93">
        <v>0.0</v>
      </c>
      <c r="R33" s="93">
        <v>0.0</v>
      </c>
      <c r="S33" s="93">
        <v>0.0</v>
      </c>
      <c r="T33" s="93">
        <v>0.0</v>
      </c>
      <c r="U33" s="93">
        <v>0.0</v>
      </c>
      <c r="V33" s="93">
        <v>0.0</v>
      </c>
      <c r="W33" s="93">
        <v>0.0</v>
      </c>
      <c r="X33" s="93">
        <v>0.0</v>
      </c>
      <c r="Y33" s="93">
        <v>0.0</v>
      </c>
      <c r="Z33" s="93">
        <v>0.0</v>
      </c>
      <c r="AA33" s="93">
        <v>0.0</v>
      </c>
      <c r="AB33" s="93">
        <v>0.0</v>
      </c>
      <c r="AC33" s="93">
        <v>0.0</v>
      </c>
      <c r="AD33" s="93">
        <v>0.0</v>
      </c>
      <c r="AE33" s="93">
        <v>0.0</v>
      </c>
      <c r="AF33" s="93">
        <v>0.0</v>
      </c>
      <c r="AG33" s="93">
        <v>0.0</v>
      </c>
      <c r="AH33" s="93">
        <v>0.0</v>
      </c>
      <c r="AI33" s="93">
        <v>0.0</v>
      </c>
      <c r="AJ33" s="93">
        <v>0.0</v>
      </c>
      <c r="AK33" s="93">
        <v>0.0</v>
      </c>
      <c r="AL33" s="93">
        <v>0.0</v>
      </c>
      <c r="AM33" s="93">
        <v>0.0</v>
      </c>
      <c r="AN33" s="93">
        <v>0.0</v>
      </c>
      <c r="AO33" s="93">
        <v>0.0</v>
      </c>
      <c r="AP33" s="93">
        <v>0.0</v>
      </c>
      <c r="AQ33" s="93">
        <v>0.0</v>
      </c>
    </row>
    <row r="34" ht="12.75" customHeight="1">
      <c r="A34" s="90"/>
      <c r="B34" s="90"/>
      <c r="C34" s="473" t="s">
        <v>206</v>
      </c>
      <c r="D34" s="119">
        <f t="shared" ref="D34:AQ34" si="22">SUMPRODUCT($C20:$C29,D20:D29)</f>
        <v>0</v>
      </c>
      <c r="E34" s="119">
        <f t="shared" si="22"/>
        <v>6000</v>
      </c>
      <c r="F34" s="119">
        <f t="shared" si="22"/>
        <v>121110.8742</v>
      </c>
      <c r="G34" s="119">
        <f t="shared" si="22"/>
        <v>130428.5677</v>
      </c>
      <c r="H34" s="119">
        <f t="shared" si="22"/>
        <v>261915.7966</v>
      </c>
      <c r="I34" s="119">
        <f t="shared" si="22"/>
        <v>487521.1279</v>
      </c>
      <c r="J34" s="119">
        <f t="shared" si="22"/>
        <v>988747.4064</v>
      </c>
      <c r="K34" s="119">
        <f t="shared" si="22"/>
        <v>1602181.27</v>
      </c>
      <c r="L34" s="119">
        <f t="shared" si="22"/>
        <v>2570864.629</v>
      </c>
      <c r="M34" s="119">
        <f t="shared" si="22"/>
        <v>4113124.732</v>
      </c>
      <c r="N34" s="119">
        <f t="shared" si="22"/>
        <v>6651387.45</v>
      </c>
      <c r="O34" s="119">
        <f t="shared" si="22"/>
        <v>10499663.12</v>
      </c>
      <c r="P34" s="119">
        <f t="shared" si="22"/>
        <v>11551361.21</v>
      </c>
      <c r="Q34" s="119">
        <f t="shared" si="22"/>
        <v>11059576.99</v>
      </c>
      <c r="R34" s="119">
        <f t="shared" si="22"/>
        <v>10011816.11</v>
      </c>
      <c r="S34" s="119">
        <f t="shared" si="22"/>
        <v>9644141.635</v>
      </c>
      <c r="T34" s="119">
        <f t="shared" si="22"/>
        <v>9627675.595</v>
      </c>
      <c r="U34" s="119">
        <f t="shared" si="22"/>
        <v>9614348.215</v>
      </c>
      <c r="V34" s="119">
        <f t="shared" si="22"/>
        <v>9605332.915</v>
      </c>
      <c r="W34" s="119">
        <f t="shared" si="22"/>
        <v>9603129.175</v>
      </c>
      <c r="X34" s="119">
        <f t="shared" si="22"/>
        <v>9603129.175</v>
      </c>
      <c r="Y34" s="119">
        <f t="shared" si="22"/>
        <v>9603129.175</v>
      </c>
      <c r="Z34" s="119">
        <f t="shared" si="22"/>
        <v>9603129.175</v>
      </c>
      <c r="AA34" s="119">
        <f t="shared" si="22"/>
        <v>9603129.175</v>
      </c>
      <c r="AB34" s="119">
        <f t="shared" si="22"/>
        <v>9603129.175</v>
      </c>
      <c r="AC34" s="119">
        <f t="shared" si="22"/>
        <v>9603129.175</v>
      </c>
      <c r="AD34" s="119">
        <f t="shared" si="22"/>
        <v>9603129.175</v>
      </c>
      <c r="AE34" s="119">
        <f t="shared" si="22"/>
        <v>9603129.175</v>
      </c>
      <c r="AF34" s="119">
        <f t="shared" si="22"/>
        <v>9603129.175</v>
      </c>
      <c r="AG34" s="119">
        <f t="shared" si="22"/>
        <v>9603129.175</v>
      </c>
      <c r="AH34" s="119">
        <f t="shared" si="22"/>
        <v>9603129.175</v>
      </c>
      <c r="AI34" s="119">
        <f t="shared" si="22"/>
        <v>9603129.175</v>
      </c>
      <c r="AJ34" s="119">
        <f t="shared" si="22"/>
        <v>9603129.175</v>
      </c>
      <c r="AK34" s="119">
        <f t="shared" si="22"/>
        <v>9603129.175</v>
      </c>
      <c r="AL34" s="119">
        <f t="shared" si="22"/>
        <v>9603129.175</v>
      </c>
      <c r="AM34" s="119">
        <f t="shared" si="22"/>
        <v>9603129.175</v>
      </c>
      <c r="AN34" s="119">
        <f t="shared" si="22"/>
        <v>9603129.175</v>
      </c>
      <c r="AO34" s="119">
        <f t="shared" si="22"/>
        <v>9603129.175</v>
      </c>
      <c r="AP34" s="119">
        <f t="shared" si="22"/>
        <v>9603129.175</v>
      </c>
      <c r="AQ34" s="119">
        <f t="shared" si="22"/>
        <v>9603129.175</v>
      </c>
    </row>
    <row r="35" ht="12.75" customHeight="1">
      <c r="A35" s="90"/>
      <c r="B35" s="90"/>
      <c r="C35" s="67" t="s">
        <v>239</v>
      </c>
      <c r="D35" s="115">
        <f t="shared" ref="D35:AQ35" si="23">SUM(D33:D34)</f>
        <v>0</v>
      </c>
      <c r="E35" s="115">
        <f t="shared" si="23"/>
        <v>6000</v>
      </c>
      <c r="F35" s="115">
        <f t="shared" si="23"/>
        <v>121110.8742</v>
      </c>
      <c r="G35" s="115">
        <f t="shared" si="23"/>
        <v>130428.5677</v>
      </c>
      <c r="H35" s="115">
        <f t="shared" si="23"/>
        <v>261915.7966</v>
      </c>
      <c r="I35" s="115">
        <f t="shared" si="23"/>
        <v>487521.1279</v>
      </c>
      <c r="J35" s="115">
        <f t="shared" si="23"/>
        <v>988747.4064</v>
      </c>
      <c r="K35" s="115">
        <f t="shared" si="23"/>
        <v>1602181.27</v>
      </c>
      <c r="L35" s="115">
        <f t="shared" si="23"/>
        <v>2570864.629</v>
      </c>
      <c r="M35" s="115">
        <f t="shared" si="23"/>
        <v>4113124.732</v>
      </c>
      <c r="N35" s="115">
        <f t="shared" si="23"/>
        <v>6651387.45</v>
      </c>
      <c r="O35" s="115">
        <f t="shared" si="23"/>
        <v>10499663.12</v>
      </c>
      <c r="P35" s="115">
        <f t="shared" si="23"/>
        <v>11551361.21</v>
      </c>
      <c r="Q35" s="115">
        <f t="shared" si="23"/>
        <v>11059576.99</v>
      </c>
      <c r="R35" s="115">
        <f t="shared" si="23"/>
        <v>10011816.11</v>
      </c>
      <c r="S35" s="115">
        <f t="shared" si="23"/>
        <v>9644141.635</v>
      </c>
      <c r="T35" s="115">
        <f t="shared" si="23"/>
        <v>9627675.595</v>
      </c>
      <c r="U35" s="115">
        <f t="shared" si="23"/>
        <v>9614348.215</v>
      </c>
      <c r="V35" s="115">
        <f t="shared" si="23"/>
        <v>9605332.915</v>
      </c>
      <c r="W35" s="115">
        <f t="shared" si="23"/>
        <v>9603129.175</v>
      </c>
      <c r="X35" s="115">
        <f t="shared" si="23"/>
        <v>9603129.175</v>
      </c>
      <c r="Y35" s="115">
        <f t="shared" si="23"/>
        <v>9603129.175</v>
      </c>
      <c r="Z35" s="115">
        <f t="shared" si="23"/>
        <v>9603129.175</v>
      </c>
      <c r="AA35" s="115">
        <f t="shared" si="23"/>
        <v>9603129.175</v>
      </c>
      <c r="AB35" s="115">
        <f t="shared" si="23"/>
        <v>9603129.175</v>
      </c>
      <c r="AC35" s="115">
        <f t="shared" si="23"/>
        <v>9603129.175</v>
      </c>
      <c r="AD35" s="115">
        <f t="shared" si="23"/>
        <v>9603129.175</v>
      </c>
      <c r="AE35" s="115">
        <f t="shared" si="23"/>
        <v>9603129.175</v>
      </c>
      <c r="AF35" s="115">
        <f t="shared" si="23"/>
        <v>9603129.175</v>
      </c>
      <c r="AG35" s="115">
        <f t="shared" si="23"/>
        <v>9603129.175</v>
      </c>
      <c r="AH35" s="115">
        <f t="shared" si="23"/>
        <v>9603129.175</v>
      </c>
      <c r="AI35" s="115">
        <f t="shared" si="23"/>
        <v>9603129.175</v>
      </c>
      <c r="AJ35" s="115">
        <f t="shared" si="23"/>
        <v>9603129.175</v>
      </c>
      <c r="AK35" s="115">
        <f t="shared" si="23"/>
        <v>9603129.175</v>
      </c>
      <c r="AL35" s="115">
        <f t="shared" si="23"/>
        <v>9603129.175</v>
      </c>
      <c r="AM35" s="115">
        <f t="shared" si="23"/>
        <v>9603129.175</v>
      </c>
      <c r="AN35" s="115">
        <f t="shared" si="23"/>
        <v>9603129.175</v>
      </c>
      <c r="AO35" s="115">
        <f t="shared" si="23"/>
        <v>9603129.175</v>
      </c>
      <c r="AP35" s="115">
        <f t="shared" si="23"/>
        <v>9603129.175</v>
      </c>
      <c r="AQ35" s="115">
        <f t="shared" si="23"/>
        <v>9603129.175</v>
      </c>
    </row>
    <row r="36" ht="12.75" customHeight="1">
      <c r="A36" s="90"/>
      <c r="B36" s="90"/>
      <c r="C36" s="67" t="s">
        <v>263</v>
      </c>
      <c r="D36" s="115">
        <f t="shared" ref="D36:AQ36" si="24">SUMPRODUCT(D20:D29,$B$20:$B$29)</f>
        <v>0</v>
      </c>
      <c r="E36" s="115">
        <f t="shared" si="24"/>
        <v>200000</v>
      </c>
      <c r="F36" s="115">
        <f t="shared" si="24"/>
        <v>3210792.656</v>
      </c>
      <c r="G36" s="115">
        <f t="shared" si="24"/>
        <v>3529187.792</v>
      </c>
      <c r="H36" s="115">
        <f t="shared" si="24"/>
        <v>7072115.714</v>
      </c>
      <c r="I36" s="115">
        <f t="shared" si="24"/>
        <v>14021000.16</v>
      </c>
      <c r="J36" s="115">
        <f t="shared" si="24"/>
        <v>27425464.32</v>
      </c>
      <c r="K36" s="115">
        <f t="shared" si="24"/>
        <v>44819186.68</v>
      </c>
      <c r="L36" s="115">
        <f t="shared" si="24"/>
        <v>72629542.68</v>
      </c>
      <c r="M36" s="115">
        <f t="shared" si="24"/>
        <v>117584362.6</v>
      </c>
      <c r="N36" s="115">
        <f t="shared" si="24"/>
        <v>190200549.3</v>
      </c>
      <c r="O36" s="115">
        <f t="shared" si="24"/>
        <v>298956609.9</v>
      </c>
      <c r="P36" s="115">
        <f t="shared" si="24"/>
        <v>338855252.4</v>
      </c>
      <c r="Q36" s="115">
        <f t="shared" si="24"/>
        <v>344621895.9</v>
      </c>
      <c r="R36" s="115">
        <f t="shared" si="24"/>
        <v>346040085.8</v>
      </c>
      <c r="S36" s="115">
        <f t="shared" si="24"/>
        <v>345591387.8</v>
      </c>
      <c r="T36" s="115">
        <f t="shared" si="24"/>
        <v>345042519.8</v>
      </c>
      <c r="U36" s="115">
        <f t="shared" si="24"/>
        <v>344598273.8</v>
      </c>
      <c r="V36" s="115">
        <f t="shared" si="24"/>
        <v>344297763.8</v>
      </c>
      <c r="W36" s="115">
        <f t="shared" si="24"/>
        <v>344224305.8</v>
      </c>
      <c r="X36" s="115">
        <f t="shared" si="24"/>
        <v>344224305.8</v>
      </c>
      <c r="Y36" s="115">
        <f t="shared" si="24"/>
        <v>344224305.8</v>
      </c>
      <c r="Z36" s="115">
        <f t="shared" si="24"/>
        <v>344224305.8</v>
      </c>
      <c r="AA36" s="115">
        <f t="shared" si="24"/>
        <v>344224305.8</v>
      </c>
      <c r="AB36" s="115">
        <f t="shared" si="24"/>
        <v>344224305.8</v>
      </c>
      <c r="AC36" s="115">
        <f t="shared" si="24"/>
        <v>344224305.8</v>
      </c>
      <c r="AD36" s="115">
        <f t="shared" si="24"/>
        <v>344224305.8</v>
      </c>
      <c r="AE36" s="115">
        <f t="shared" si="24"/>
        <v>344224305.8</v>
      </c>
      <c r="AF36" s="115">
        <f t="shared" si="24"/>
        <v>344224305.8</v>
      </c>
      <c r="AG36" s="115">
        <f t="shared" si="24"/>
        <v>344224305.8</v>
      </c>
      <c r="AH36" s="115">
        <f t="shared" si="24"/>
        <v>344224305.8</v>
      </c>
      <c r="AI36" s="115">
        <f t="shared" si="24"/>
        <v>344224305.8</v>
      </c>
      <c r="AJ36" s="115">
        <f t="shared" si="24"/>
        <v>344224305.8</v>
      </c>
      <c r="AK36" s="115">
        <f t="shared" si="24"/>
        <v>344224305.8</v>
      </c>
      <c r="AL36" s="115">
        <f t="shared" si="24"/>
        <v>344224305.8</v>
      </c>
      <c r="AM36" s="115">
        <f t="shared" si="24"/>
        <v>344224305.8</v>
      </c>
      <c r="AN36" s="115">
        <f t="shared" si="24"/>
        <v>344224305.8</v>
      </c>
      <c r="AO36" s="115">
        <f t="shared" si="24"/>
        <v>344224305.8</v>
      </c>
      <c r="AP36" s="115">
        <f t="shared" si="24"/>
        <v>344224305.8</v>
      </c>
      <c r="AQ36" s="115">
        <f t="shared" si="24"/>
        <v>344224305.8</v>
      </c>
    </row>
    <row r="37" ht="12.75" customHeight="1">
      <c r="A37" s="90"/>
      <c r="B37" s="90"/>
      <c r="C37" s="67"/>
      <c r="D37" s="188"/>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row>
    <row r="38" ht="12.75" customHeight="1">
      <c r="A38" s="90"/>
      <c r="B38" s="90"/>
      <c r="E38" s="93"/>
      <c r="F38" s="93"/>
      <c r="G38" s="93"/>
      <c r="H38" s="93"/>
      <c r="I38" s="93"/>
      <c r="J38" s="93"/>
      <c r="K38" s="93"/>
      <c r="L38" s="93"/>
      <c r="M38" s="93"/>
      <c r="N38" s="93"/>
      <c r="O38" s="93"/>
      <c r="P38" s="93"/>
      <c r="Q38" s="93"/>
      <c r="R38" s="93"/>
      <c r="S38" s="93"/>
      <c r="T38" s="93"/>
      <c r="U38" s="93"/>
      <c r="V38" s="93"/>
      <c r="W38" s="93"/>
      <c r="X38" s="93"/>
      <c r="Y38" s="93"/>
      <c r="Z38" s="93"/>
      <c r="AA38" s="93"/>
      <c r="AB38" s="93"/>
      <c r="AC38" s="93"/>
      <c r="AD38" s="93"/>
      <c r="AE38" s="93"/>
      <c r="AF38" s="93"/>
      <c r="AG38" s="93"/>
      <c r="AH38" s="93"/>
      <c r="AI38" s="93"/>
      <c r="AJ38" s="93"/>
      <c r="AK38" s="93"/>
      <c r="AL38" s="93"/>
      <c r="AM38" s="93"/>
      <c r="AN38" s="93"/>
      <c r="AO38" s="93"/>
      <c r="AP38" s="93"/>
      <c r="AQ38" s="93"/>
    </row>
    <row r="39" ht="12.75" customHeight="1">
      <c r="A39" s="90"/>
      <c r="B39" s="90"/>
      <c r="C39" s="67" t="s">
        <v>278</v>
      </c>
      <c r="D39" s="115">
        <f>'Region Staffing'!I5</f>
        <v>0</v>
      </c>
      <c r="E39" s="115">
        <f>'Region Staffing'!J5</f>
        <v>300000</v>
      </c>
      <c r="F39" s="115">
        <f>'Region Staffing'!K5</f>
        <v>440000</v>
      </c>
      <c r="G39" s="115">
        <f>'Region Staffing'!L5</f>
        <v>440000</v>
      </c>
      <c r="H39" s="115">
        <f>'Region Staffing'!M5</f>
        <v>440000</v>
      </c>
      <c r="I39" s="115">
        <f>'Region Staffing'!N5</f>
        <v>620000</v>
      </c>
      <c r="J39" s="115">
        <f>'Region Staffing'!O5</f>
        <v>620000</v>
      </c>
      <c r="K39" s="115">
        <f>'Region Staffing'!P5</f>
        <v>960000</v>
      </c>
      <c r="L39" s="115">
        <f>'Region Staffing'!Q5</f>
        <v>1540000</v>
      </c>
      <c r="M39" s="115">
        <f>'Region Staffing'!R5</f>
        <v>2320000</v>
      </c>
      <c r="N39" s="115">
        <f>'Region Staffing'!S5</f>
        <v>3380000</v>
      </c>
      <c r="O39" s="115">
        <f>'Region Staffing'!T5</f>
        <v>5380000</v>
      </c>
      <c r="P39" s="115">
        <f>'Region Staffing'!U5</f>
        <v>5720000</v>
      </c>
      <c r="Q39" s="115">
        <f>'Region Staffing'!V5</f>
        <v>5660000</v>
      </c>
      <c r="R39" s="115">
        <f>'Region Staffing'!W5</f>
        <v>5660000</v>
      </c>
      <c r="S39" s="115">
        <f>'Region Staffing'!X5</f>
        <v>5660000</v>
      </c>
      <c r="T39" s="115">
        <f>'Region Staffing'!Y5</f>
        <v>5660000</v>
      </c>
      <c r="U39" s="115">
        <f>'Region Staffing'!Z5</f>
        <v>5660000</v>
      </c>
      <c r="V39" s="115">
        <f>'Region Staffing'!AA5</f>
        <v>5660000</v>
      </c>
      <c r="W39" s="115">
        <f>'Region Staffing'!AB5</f>
        <v>5660000</v>
      </c>
      <c r="X39" s="115">
        <f>'Region Staffing'!AC5</f>
        <v>5660000</v>
      </c>
      <c r="Y39" s="115">
        <f>'Region Staffing'!AD5</f>
        <v>5660000</v>
      </c>
      <c r="Z39" s="115">
        <f>'Region Staffing'!AE5</f>
        <v>5660000</v>
      </c>
      <c r="AA39" s="115">
        <f>'Region Staffing'!AF5</f>
        <v>5660000</v>
      </c>
      <c r="AB39" s="115">
        <f>'Region Staffing'!AG5</f>
        <v>5660000</v>
      </c>
      <c r="AC39" s="115">
        <f>'Region Staffing'!AH5</f>
        <v>5660000</v>
      </c>
      <c r="AD39" s="115">
        <f>'Region Staffing'!AI5</f>
        <v>5660000</v>
      </c>
      <c r="AE39" s="115">
        <f>'Region Staffing'!AJ5</f>
        <v>5660000</v>
      </c>
      <c r="AF39" s="115">
        <f>'Region Staffing'!AK5</f>
        <v>5660000</v>
      </c>
      <c r="AG39" s="115">
        <f>'Region Staffing'!AL5</f>
        <v>5660000</v>
      </c>
      <c r="AH39" s="115">
        <f>'Region Staffing'!AM5</f>
        <v>5660000</v>
      </c>
      <c r="AI39" s="115">
        <f>'Region Staffing'!AN5</f>
        <v>5660000</v>
      </c>
      <c r="AJ39" s="115">
        <f>'Region Staffing'!AO5</f>
        <v>5660000</v>
      </c>
      <c r="AK39" s="115">
        <f>'Region Staffing'!AP5</f>
        <v>5660000</v>
      </c>
      <c r="AL39" s="115">
        <f>'Region Staffing'!AQ5</f>
        <v>5660000</v>
      </c>
      <c r="AM39" s="115">
        <f>'Region Staffing'!AR5</f>
        <v>5660000</v>
      </c>
      <c r="AN39" s="115">
        <f>'Region Staffing'!AS5</f>
        <v>5660000</v>
      </c>
      <c r="AO39" s="115">
        <f>'Region Staffing'!AT5</f>
        <v>5660000</v>
      </c>
      <c r="AP39" s="115">
        <f>'Region Staffing'!AU5</f>
        <v>5660000</v>
      </c>
      <c r="AQ39" s="115">
        <f>'Region Staffing'!AV5</f>
        <v>5660000</v>
      </c>
    </row>
    <row r="40" ht="12.75" customHeight="1">
      <c r="A40" s="90"/>
      <c r="B40" s="474">
        <v>0.22</v>
      </c>
      <c r="C40" s="67" t="s">
        <v>133</v>
      </c>
      <c r="D40" s="115">
        <f t="shared" ref="D40:AQ40" si="25">$B40*D39</f>
        <v>0</v>
      </c>
      <c r="E40" s="115">
        <f t="shared" si="25"/>
        <v>66000</v>
      </c>
      <c r="F40" s="115">
        <f t="shared" si="25"/>
        <v>96800</v>
      </c>
      <c r="G40" s="115">
        <f t="shared" si="25"/>
        <v>96800</v>
      </c>
      <c r="H40" s="115">
        <f t="shared" si="25"/>
        <v>96800</v>
      </c>
      <c r="I40" s="115">
        <f t="shared" si="25"/>
        <v>136400</v>
      </c>
      <c r="J40" s="115">
        <f t="shared" si="25"/>
        <v>136400</v>
      </c>
      <c r="K40" s="115">
        <f t="shared" si="25"/>
        <v>211200</v>
      </c>
      <c r="L40" s="115">
        <f t="shared" si="25"/>
        <v>338800</v>
      </c>
      <c r="M40" s="115">
        <f t="shared" si="25"/>
        <v>510400</v>
      </c>
      <c r="N40" s="115">
        <f t="shared" si="25"/>
        <v>743600</v>
      </c>
      <c r="O40" s="115">
        <f t="shared" si="25"/>
        <v>1183600</v>
      </c>
      <c r="P40" s="115">
        <f t="shared" si="25"/>
        <v>1258400</v>
      </c>
      <c r="Q40" s="115">
        <f t="shared" si="25"/>
        <v>1245200</v>
      </c>
      <c r="R40" s="115">
        <f t="shared" si="25"/>
        <v>1245200</v>
      </c>
      <c r="S40" s="115">
        <f t="shared" si="25"/>
        <v>1245200</v>
      </c>
      <c r="T40" s="115">
        <f t="shared" si="25"/>
        <v>1245200</v>
      </c>
      <c r="U40" s="115">
        <f t="shared" si="25"/>
        <v>1245200</v>
      </c>
      <c r="V40" s="115">
        <f t="shared" si="25"/>
        <v>1245200</v>
      </c>
      <c r="W40" s="115">
        <f t="shared" si="25"/>
        <v>1245200</v>
      </c>
      <c r="X40" s="115">
        <f t="shared" si="25"/>
        <v>1245200</v>
      </c>
      <c r="Y40" s="115">
        <f t="shared" si="25"/>
        <v>1245200</v>
      </c>
      <c r="Z40" s="115">
        <f t="shared" si="25"/>
        <v>1245200</v>
      </c>
      <c r="AA40" s="115">
        <f t="shared" si="25"/>
        <v>1245200</v>
      </c>
      <c r="AB40" s="115">
        <f t="shared" si="25"/>
        <v>1245200</v>
      </c>
      <c r="AC40" s="115">
        <f t="shared" si="25"/>
        <v>1245200</v>
      </c>
      <c r="AD40" s="115">
        <f t="shared" si="25"/>
        <v>1245200</v>
      </c>
      <c r="AE40" s="115">
        <f t="shared" si="25"/>
        <v>1245200</v>
      </c>
      <c r="AF40" s="115">
        <f t="shared" si="25"/>
        <v>1245200</v>
      </c>
      <c r="AG40" s="115">
        <f t="shared" si="25"/>
        <v>1245200</v>
      </c>
      <c r="AH40" s="115">
        <f t="shared" si="25"/>
        <v>1245200</v>
      </c>
      <c r="AI40" s="115">
        <f t="shared" si="25"/>
        <v>1245200</v>
      </c>
      <c r="AJ40" s="115">
        <f t="shared" si="25"/>
        <v>1245200</v>
      </c>
      <c r="AK40" s="115">
        <f t="shared" si="25"/>
        <v>1245200</v>
      </c>
      <c r="AL40" s="115">
        <f t="shared" si="25"/>
        <v>1245200</v>
      </c>
      <c r="AM40" s="115">
        <f t="shared" si="25"/>
        <v>1245200</v>
      </c>
      <c r="AN40" s="115">
        <f t="shared" si="25"/>
        <v>1245200</v>
      </c>
      <c r="AO40" s="115">
        <f t="shared" si="25"/>
        <v>1245200</v>
      </c>
      <c r="AP40" s="115">
        <f t="shared" si="25"/>
        <v>1245200</v>
      </c>
      <c r="AQ40" s="115">
        <f t="shared" si="25"/>
        <v>1245200</v>
      </c>
    </row>
    <row r="41" ht="12.75" customHeight="1">
      <c r="A41" s="90"/>
      <c r="B41" s="474"/>
      <c r="C41" s="67"/>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row>
    <row r="42" ht="12.75" customHeight="1">
      <c r="A42" s="90"/>
      <c r="B42" s="90"/>
      <c r="C42" s="66" t="s">
        <v>451</v>
      </c>
      <c r="D42" s="90"/>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c r="AE42" s="93"/>
      <c r="AF42" s="93"/>
      <c r="AG42" s="93"/>
      <c r="AH42" s="93"/>
      <c r="AI42" s="93"/>
      <c r="AJ42" s="93"/>
      <c r="AK42" s="93"/>
      <c r="AL42" s="93"/>
      <c r="AM42" s="93"/>
      <c r="AN42" s="93"/>
      <c r="AO42" s="93"/>
      <c r="AP42" s="93"/>
      <c r="AQ42" s="93"/>
    </row>
    <row r="43" ht="12.75" customHeight="1">
      <c r="A43" s="90"/>
      <c r="B43" s="249">
        <v>2000.0</v>
      </c>
      <c r="C43" s="90" t="s">
        <v>1071</v>
      </c>
      <c r="D43" s="99">
        <f t="shared" ref="D43:AQ43" si="26">$B43*D$4</f>
        <v>0</v>
      </c>
      <c r="E43" s="93">
        <f t="shared" si="26"/>
        <v>6000</v>
      </c>
      <c r="F43" s="93">
        <f t="shared" si="26"/>
        <v>8000</v>
      </c>
      <c r="G43" s="93">
        <f t="shared" si="26"/>
        <v>8000</v>
      </c>
      <c r="H43" s="93">
        <f t="shared" si="26"/>
        <v>8000</v>
      </c>
      <c r="I43" s="93">
        <f t="shared" si="26"/>
        <v>14000</v>
      </c>
      <c r="J43" s="93">
        <f t="shared" si="26"/>
        <v>14000</v>
      </c>
      <c r="K43" s="93">
        <f t="shared" si="26"/>
        <v>22000</v>
      </c>
      <c r="L43" s="93">
        <f t="shared" si="26"/>
        <v>36000</v>
      </c>
      <c r="M43" s="93">
        <f t="shared" si="26"/>
        <v>56000</v>
      </c>
      <c r="N43" s="93">
        <f t="shared" si="26"/>
        <v>84000</v>
      </c>
      <c r="O43" s="93">
        <f t="shared" si="26"/>
        <v>132000</v>
      </c>
      <c r="P43" s="93">
        <f t="shared" si="26"/>
        <v>140000</v>
      </c>
      <c r="Q43" s="93">
        <f t="shared" si="26"/>
        <v>138000</v>
      </c>
      <c r="R43" s="93">
        <f t="shared" si="26"/>
        <v>138000</v>
      </c>
      <c r="S43" s="93">
        <f t="shared" si="26"/>
        <v>138000</v>
      </c>
      <c r="T43" s="93">
        <f t="shared" si="26"/>
        <v>138000</v>
      </c>
      <c r="U43" s="93">
        <f t="shared" si="26"/>
        <v>138000</v>
      </c>
      <c r="V43" s="93">
        <f t="shared" si="26"/>
        <v>138000</v>
      </c>
      <c r="W43" s="93">
        <f t="shared" si="26"/>
        <v>138000</v>
      </c>
      <c r="X43" s="93">
        <f t="shared" si="26"/>
        <v>138000</v>
      </c>
      <c r="Y43" s="93">
        <f t="shared" si="26"/>
        <v>138000</v>
      </c>
      <c r="Z43" s="93">
        <f t="shared" si="26"/>
        <v>138000</v>
      </c>
      <c r="AA43" s="93">
        <f t="shared" si="26"/>
        <v>138000</v>
      </c>
      <c r="AB43" s="93">
        <f t="shared" si="26"/>
        <v>138000</v>
      </c>
      <c r="AC43" s="93">
        <f t="shared" si="26"/>
        <v>138000</v>
      </c>
      <c r="AD43" s="93">
        <f t="shared" si="26"/>
        <v>138000</v>
      </c>
      <c r="AE43" s="93">
        <f t="shared" si="26"/>
        <v>138000</v>
      </c>
      <c r="AF43" s="93">
        <f t="shared" si="26"/>
        <v>138000</v>
      </c>
      <c r="AG43" s="93">
        <f t="shared" si="26"/>
        <v>138000</v>
      </c>
      <c r="AH43" s="93">
        <f t="shared" si="26"/>
        <v>138000</v>
      </c>
      <c r="AI43" s="93">
        <f t="shared" si="26"/>
        <v>138000</v>
      </c>
      <c r="AJ43" s="93">
        <f t="shared" si="26"/>
        <v>138000</v>
      </c>
      <c r="AK43" s="93">
        <f t="shared" si="26"/>
        <v>138000</v>
      </c>
      <c r="AL43" s="93">
        <f t="shared" si="26"/>
        <v>138000</v>
      </c>
      <c r="AM43" s="93">
        <f t="shared" si="26"/>
        <v>138000</v>
      </c>
      <c r="AN43" s="93">
        <f t="shared" si="26"/>
        <v>138000</v>
      </c>
      <c r="AO43" s="93">
        <f t="shared" si="26"/>
        <v>138000</v>
      </c>
      <c r="AP43" s="93">
        <f t="shared" si="26"/>
        <v>138000</v>
      </c>
      <c r="AQ43" s="93">
        <f t="shared" si="26"/>
        <v>138000</v>
      </c>
    </row>
    <row r="44" ht="12.75" customHeight="1">
      <c r="A44" s="90"/>
      <c r="B44" s="249">
        <v>2500.0</v>
      </c>
      <c r="C44" s="90" t="s">
        <v>1072</v>
      </c>
      <c r="D44" s="99">
        <f t="shared" ref="D44:D45" si="28">$B44*D$4</f>
        <v>0</v>
      </c>
      <c r="E44" s="93">
        <f t="shared" ref="E44:AQ44" si="27">MAX(0,$B44*(E$4-D$4))</f>
        <v>7500</v>
      </c>
      <c r="F44" s="93">
        <f t="shared" si="27"/>
        <v>2500</v>
      </c>
      <c r="G44" s="93">
        <f t="shared" si="27"/>
        <v>0</v>
      </c>
      <c r="H44" s="93">
        <f t="shared" si="27"/>
        <v>0</v>
      </c>
      <c r="I44" s="93">
        <f t="shared" si="27"/>
        <v>7500</v>
      </c>
      <c r="J44" s="93">
        <f t="shared" si="27"/>
        <v>0</v>
      </c>
      <c r="K44" s="93">
        <f t="shared" si="27"/>
        <v>10000</v>
      </c>
      <c r="L44" s="93">
        <f t="shared" si="27"/>
        <v>17500</v>
      </c>
      <c r="M44" s="93">
        <f t="shared" si="27"/>
        <v>25000</v>
      </c>
      <c r="N44" s="93">
        <f t="shared" si="27"/>
        <v>35000</v>
      </c>
      <c r="O44" s="93">
        <f t="shared" si="27"/>
        <v>60000</v>
      </c>
      <c r="P44" s="93">
        <f t="shared" si="27"/>
        <v>10000</v>
      </c>
      <c r="Q44" s="93">
        <f t="shared" si="27"/>
        <v>0</v>
      </c>
      <c r="R44" s="93">
        <f t="shared" si="27"/>
        <v>0</v>
      </c>
      <c r="S44" s="93">
        <f t="shared" si="27"/>
        <v>0</v>
      </c>
      <c r="T44" s="93">
        <f t="shared" si="27"/>
        <v>0</v>
      </c>
      <c r="U44" s="93">
        <f t="shared" si="27"/>
        <v>0</v>
      </c>
      <c r="V44" s="93">
        <f t="shared" si="27"/>
        <v>0</v>
      </c>
      <c r="W44" s="93">
        <f t="shared" si="27"/>
        <v>0</v>
      </c>
      <c r="X44" s="93">
        <f t="shared" si="27"/>
        <v>0</v>
      </c>
      <c r="Y44" s="93">
        <f t="shared" si="27"/>
        <v>0</v>
      </c>
      <c r="Z44" s="93">
        <f t="shared" si="27"/>
        <v>0</v>
      </c>
      <c r="AA44" s="93">
        <f t="shared" si="27"/>
        <v>0</v>
      </c>
      <c r="AB44" s="93">
        <f t="shared" si="27"/>
        <v>0</v>
      </c>
      <c r="AC44" s="93">
        <f t="shared" si="27"/>
        <v>0</v>
      </c>
      <c r="AD44" s="93">
        <f t="shared" si="27"/>
        <v>0</v>
      </c>
      <c r="AE44" s="93">
        <f t="shared" si="27"/>
        <v>0</v>
      </c>
      <c r="AF44" s="93">
        <f t="shared" si="27"/>
        <v>0</v>
      </c>
      <c r="AG44" s="93">
        <f t="shared" si="27"/>
        <v>0</v>
      </c>
      <c r="AH44" s="93">
        <f t="shared" si="27"/>
        <v>0</v>
      </c>
      <c r="AI44" s="93">
        <f t="shared" si="27"/>
        <v>0</v>
      </c>
      <c r="AJ44" s="93">
        <f t="shared" si="27"/>
        <v>0</v>
      </c>
      <c r="AK44" s="93">
        <f t="shared" si="27"/>
        <v>0</v>
      </c>
      <c r="AL44" s="93">
        <f t="shared" si="27"/>
        <v>0</v>
      </c>
      <c r="AM44" s="93">
        <f t="shared" si="27"/>
        <v>0</v>
      </c>
      <c r="AN44" s="93">
        <f t="shared" si="27"/>
        <v>0</v>
      </c>
      <c r="AO44" s="93">
        <f t="shared" si="27"/>
        <v>0</v>
      </c>
      <c r="AP44" s="93">
        <f t="shared" si="27"/>
        <v>0</v>
      </c>
      <c r="AQ44" s="93">
        <f t="shared" si="27"/>
        <v>0</v>
      </c>
    </row>
    <row r="45" ht="12.75" customHeight="1">
      <c r="A45" s="90"/>
      <c r="B45" s="249">
        <v>500.0</v>
      </c>
      <c r="C45" s="87" t="s">
        <v>1073</v>
      </c>
      <c r="D45" s="125">
        <f t="shared" si="28"/>
        <v>0</v>
      </c>
      <c r="E45" s="119">
        <f t="shared" ref="E45:AQ45" si="29">$B45*E$4</f>
        <v>1500</v>
      </c>
      <c r="F45" s="119">
        <f t="shared" si="29"/>
        <v>2000</v>
      </c>
      <c r="G45" s="119">
        <f t="shared" si="29"/>
        <v>2000</v>
      </c>
      <c r="H45" s="119">
        <f t="shared" si="29"/>
        <v>2000</v>
      </c>
      <c r="I45" s="119">
        <f t="shared" si="29"/>
        <v>3500</v>
      </c>
      <c r="J45" s="119">
        <f t="shared" si="29"/>
        <v>3500</v>
      </c>
      <c r="K45" s="119">
        <f t="shared" si="29"/>
        <v>5500</v>
      </c>
      <c r="L45" s="119">
        <f t="shared" si="29"/>
        <v>9000</v>
      </c>
      <c r="M45" s="119">
        <f t="shared" si="29"/>
        <v>14000</v>
      </c>
      <c r="N45" s="119">
        <f t="shared" si="29"/>
        <v>21000</v>
      </c>
      <c r="O45" s="119">
        <f t="shared" si="29"/>
        <v>33000</v>
      </c>
      <c r="P45" s="119">
        <f t="shared" si="29"/>
        <v>35000</v>
      </c>
      <c r="Q45" s="119">
        <f t="shared" si="29"/>
        <v>34500</v>
      </c>
      <c r="R45" s="119">
        <f t="shared" si="29"/>
        <v>34500</v>
      </c>
      <c r="S45" s="119">
        <f t="shared" si="29"/>
        <v>34500</v>
      </c>
      <c r="T45" s="119">
        <f t="shared" si="29"/>
        <v>34500</v>
      </c>
      <c r="U45" s="119">
        <f t="shared" si="29"/>
        <v>34500</v>
      </c>
      <c r="V45" s="119">
        <f t="shared" si="29"/>
        <v>34500</v>
      </c>
      <c r="W45" s="119">
        <f t="shared" si="29"/>
        <v>34500</v>
      </c>
      <c r="X45" s="119">
        <f t="shared" si="29"/>
        <v>34500</v>
      </c>
      <c r="Y45" s="119">
        <f t="shared" si="29"/>
        <v>34500</v>
      </c>
      <c r="Z45" s="119">
        <f t="shared" si="29"/>
        <v>34500</v>
      </c>
      <c r="AA45" s="119">
        <f t="shared" si="29"/>
        <v>34500</v>
      </c>
      <c r="AB45" s="119">
        <f t="shared" si="29"/>
        <v>34500</v>
      </c>
      <c r="AC45" s="119">
        <f t="shared" si="29"/>
        <v>34500</v>
      </c>
      <c r="AD45" s="119">
        <f t="shared" si="29"/>
        <v>34500</v>
      </c>
      <c r="AE45" s="119">
        <f t="shared" si="29"/>
        <v>34500</v>
      </c>
      <c r="AF45" s="119">
        <f t="shared" si="29"/>
        <v>34500</v>
      </c>
      <c r="AG45" s="119">
        <f t="shared" si="29"/>
        <v>34500</v>
      </c>
      <c r="AH45" s="119">
        <f t="shared" si="29"/>
        <v>34500</v>
      </c>
      <c r="AI45" s="119">
        <f t="shared" si="29"/>
        <v>34500</v>
      </c>
      <c r="AJ45" s="119">
        <f t="shared" si="29"/>
        <v>34500</v>
      </c>
      <c r="AK45" s="119">
        <f t="shared" si="29"/>
        <v>34500</v>
      </c>
      <c r="AL45" s="119">
        <f t="shared" si="29"/>
        <v>34500</v>
      </c>
      <c r="AM45" s="119">
        <f t="shared" si="29"/>
        <v>34500</v>
      </c>
      <c r="AN45" s="119">
        <f t="shared" si="29"/>
        <v>34500</v>
      </c>
      <c r="AO45" s="119">
        <f t="shared" si="29"/>
        <v>34500</v>
      </c>
      <c r="AP45" s="119">
        <f t="shared" si="29"/>
        <v>34500</v>
      </c>
      <c r="AQ45" s="119">
        <f t="shared" si="29"/>
        <v>34500</v>
      </c>
    </row>
    <row r="46" ht="12.75" customHeight="1">
      <c r="A46" s="90"/>
      <c r="B46" s="67"/>
      <c r="C46" s="67" t="s">
        <v>455</v>
      </c>
      <c r="D46" s="79">
        <f t="shared" ref="D46:AQ46" si="30">SUM(D43:D45)</f>
        <v>0</v>
      </c>
      <c r="E46" s="115">
        <f t="shared" si="30"/>
        <v>15000</v>
      </c>
      <c r="F46" s="115">
        <f t="shared" si="30"/>
        <v>12500</v>
      </c>
      <c r="G46" s="115">
        <f t="shared" si="30"/>
        <v>10000</v>
      </c>
      <c r="H46" s="115">
        <f t="shared" si="30"/>
        <v>10000</v>
      </c>
      <c r="I46" s="115">
        <f t="shared" si="30"/>
        <v>25000</v>
      </c>
      <c r="J46" s="115">
        <f t="shared" si="30"/>
        <v>17500</v>
      </c>
      <c r="K46" s="115">
        <f t="shared" si="30"/>
        <v>37500</v>
      </c>
      <c r="L46" s="115">
        <f t="shared" si="30"/>
        <v>62500</v>
      </c>
      <c r="M46" s="115">
        <f t="shared" si="30"/>
        <v>95000</v>
      </c>
      <c r="N46" s="115">
        <f t="shared" si="30"/>
        <v>140000</v>
      </c>
      <c r="O46" s="115">
        <f t="shared" si="30"/>
        <v>225000</v>
      </c>
      <c r="P46" s="115">
        <f t="shared" si="30"/>
        <v>185000</v>
      </c>
      <c r="Q46" s="115">
        <f t="shared" si="30"/>
        <v>172500</v>
      </c>
      <c r="R46" s="115">
        <f t="shared" si="30"/>
        <v>172500</v>
      </c>
      <c r="S46" s="115">
        <f t="shared" si="30"/>
        <v>172500</v>
      </c>
      <c r="T46" s="115">
        <f t="shared" si="30"/>
        <v>172500</v>
      </c>
      <c r="U46" s="115">
        <f t="shared" si="30"/>
        <v>172500</v>
      </c>
      <c r="V46" s="115">
        <f t="shared" si="30"/>
        <v>172500</v>
      </c>
      <c r="W46" s="115">
        <f t="shared" si="30"/>
        <v>172500</v>
      </c>
      <c r="X46" s="115">
        <f t="shared" si="30"/>
        <v>172500</v>
      </c>
      <c r="Y46" s="115">
        <f t="shared" si="30"/>
        <v>172500</v>
      </c>
      <c r="Z46" s="115">
        <f t="shared" si="30"/>
        <v>172500</v>
      </c>
      <c r="AA46" s="115">
        <f t="shared" si="30"/>
        <v>172500</v>
      </c>
      <c r="AB46" s="115">
        <f t="shared" si="30"/>
        <v>172500</v>
      </c>
      <c r="AC46" s="115">
        <f t="shared" si="30"/>
        <v>172500</v>
      </c>
      <c r="AD46" s="115">
        <f t="shared" si="30"/>
        <v>172500</v>
      </c>
      <c r="AE46" s="115">
        <f t="shared" si="30"/>
        <v>172500</v>
      </c>
      <c r="AF46" s="115">
        <f t="shared" si="30"/>
        <v>172500</v>
      </c>
      <c r="AG46" s="115">
        <f t="shared" si="30"/>
        <v>172500</v>
      </c>
      <c r="AH46" s="115">
        <f t="shared" si="30"/>
        <v>172500</v>
      </c>
      <c r="AI46" s="115">
        <f t="shared" si="30"/>
        <v>172500</v>
      </c>
      <c r="AJ46" s="115">
        <f t="shared" si="30"/>
        <v>172500</v>
      </c>
      <c r="AK46" s="115">
        <f t="shared" si="30"/>
        <v>172500</v>
      </c>
      <c r="AL46" s="115">
        <f t="shared" si="30"/>
        <v>172500</v>
      </c>
      <c r="AM46" s="115">
        <f t="shared" si="30"/>
        <v>172500</v>
      </c>
      <c r="AN46" s="115">
        <f t="shared" si="30"/>
        <v>172500</v>
      </c>
      <c r="AO46" s="115">
        <f t="shared" si="30"/>
        <v>172500</v>
      </c>
      <c r="AP46" s="115">
        <f t="shared" si="30"/>
        <v>172500</v>
      </c>
      <c r="AQ46" s="115">
        <f t="shared" si="30"/>
        <v>172500</v>
      </c>
    </row>
    <row r="47" ht="12.75" customHeight="1">
      <c r="A47" s="90"/>
      <c r="B47" s="67"/>
      <c r="C47" s="90"/>
      <c r="D47" s="90"/>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93"/>
      <c r="AI47" s="93"/>
      <c r="AJ47" s="93"/>
      <c r="AK47" s="93"/>
      <c r="AL47" s="93"/>
      <c r="AM47" s="93"/>
      <c r="AN47" s="93"/>
      <c r="AO47" s="93"/>
      <c r="AP47" s="93"/>
      <c r="AQ47" s="93"/>
    </row>
    <row r="48" ht="12.75" customHeight="1">
      <c r="A48" s="90"/>
      <c r="B48" s="67"/>
      <c r="C48" s="67" t="s">
        <v>314</v>
      </c>
      <c r="D48" s="90"/>
      <c r="E48" s="93"/>
      <c r="F48" s="93"/>
      <c r="G48" s="93"/>
      <c r="H48" s="69"/>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row>
    <row r="49" ht="12.75" customHeight="1">
      <c r="A49" s="90"/>
      <c r="B49" s="249">
        <v>25000.0</v>
      </c>
      <c r="C49" s="90" t="s">
        <v>456</v>
      </c>
      <c r="D49" s="99">
        <v>0.0</v>
      </c>
      <c r="E49" s="93">
        <f t="shared" ref="E49:J49" si="31">$B49</f>
        <v>25000</v>
      </c>
      <c r="F49" s="93">
        <f t="shared" si="31"/>
        <v>25000</v>
      </c>
      <c r="G49" s="93">
        <f t="shared" si="31"/>
        <v>25000</v>
      </c>
      <c r="H49" s="93">
        <f t="shared" si="31"/>
        <v>25000</v>
      </c>
      <c r="I49" s="93">
        <f t="shared" si="31"/>
        <v>25000</v>
      </c>
      <c r="J49" s="93">
        <f t="shared" si="31"/>
        <v>25000</v>
      </c>
      <c r="K49" s="93">
        <f>$B49*K3/J3</f>
        <v>40625</v>
      </c>
      <c r="L49" s="93">
        <f t="shared" ref="L49:AQ49" si="32">K49*L3/K3</f>
        <v>65625</v>
      </c>
      <c r="M49" s="93">
        <f t="shared" si="32"/>
        <v>106250</v>
      </c>
      <c r="N49" s="93">
        <f t="shared" si="32"/>
        <v>171875</v>
      </c>
      <c r="O49" s="93">
        <f t="shared" si="32"/>
        <v>278125</v>
      </c>
      <c r="P49" s="93">
        <f t="shared" si="32"/>
        <v>312500</v>
      </c>
      <c r="Q49" s="93">
        <f t="shared" si="32"/>
        <v>312500</v>
      </c>
      <c r="R49" s="93">
        <f t="shared" si="32"/>
        <v>312500</v>
      </c>
      <c r="S49" s="93">
        <f t="shared" si="32"/>
        <v>312500</v>
      </c>
      <c r="T49" s="93">
        <f t="shared" si="32"/>
        <v>312500</v>
      </c>
      <c r="U49" s="93">
        <f t="shared" si="32"/>
        <v>312500</v>
      </c>
      <c r="V49" s="93">
        <f t="shared" si="32"/>
        <v>312500</v>
      </c>
      <c r="W49" s="93">
        <f t="shared" si="32"/>
        <v>312500</v>
      </c>
      <c r="X49" s="93">
        <f t="shared" si="32"/>
        <v>312500</v>
      </c>
      <c r="Y49" s="93">
        <f t="shared" si="32"/>
        <v>312500</v>
      </c>
      <c r="Z49" s="93">
        <f t="shared" si="32"/>
        <v>312500</v>
      </c>
      <c r="AA49" s="93">
        <f t="shared" si="32"/>
        <v>312500</v>
      </c>
      <c r="AB49" s="93">
        <f t="shared" si="32"/>
        <v>312500</v>
      </c>
      <c r="AC49" s="93">
        <f t="shared" si="32"/>
        <v>312500</v>
      </c>
      <c r="AD49" s="93">
        <f t="shared" si="32"/>
        <v>312500</v>
      </c>
      <c r="AE49" s="93">
        <f t="shared" si="32"/>
        <v>312500</v>
      </c>
      <c r="AF49" s="93">
        <f t="shared" si="32"/>
        <v>312500</v>
      </c>
      <c r="AG49" s="93">
        <f t="shared" si="32"/>
        <v>312500</v>
      </c>
      <c r="AH49" s="93">
        <f t="shared" si="32"/>
        <v>312500</v>
      </c>
      <c r="AI49" s="93">
        <f t="shared" si="32"/>
        <v>312500</v>
      </c>
      <c r="AJ49" s="93">
        <f t="shared" si="32"/>
        <v>312500</v>
      </c>
      <c r="AK49" s="93">
        <f t="shared" si="32"/>
        <v>312500</v>
      </c>
      <c r="AL49" s="93">
        <f t="shared" si="32"/>
        <v>312500</v>
      </c>
      <c r="AM49" s="93">
        <f t="shared" si="32"/>
        <v>312500</v>
      </c>
      <c r="AN49" s="93">
        <f t="shared" si="32"/>
        <v>312500</v>
      </c>
      <c r="AO49" s="93">
        <f t="shared" si="32"/>
        <v>312500</v>
      </c>
      <c r="AP49" s="93">
        <f t="shared" si="32"/>
        <v>312500</v>
      </c>
      <c r="AQ49" s="93">
        <f t="shared" si="32"/>
        <v>312500</v>
      </c>
    </row>
    <row r="50" ht="12.75" customHeight="1">
      <c r="A50" s="90"/>
      <c r="B50" s="249">
        <v>3500.0</v>
      </c>
      <c r="C50" s="90" t="s">
        <v>1074</v>
      </c>
      <c r="D50" s="99">
        <f t="shared" ref="D50:AQ50" si="33">$B50*D$4</f>
        <v>0</v>
      </c>
      <c r="E50" s="93">
        <f t="shared" si="33"/>
        <v>10500</v>
      </c>
      <c r="F50" s="93">
        <f t="shared" si="33"/>
        <v>14000</v>
      </c>
      <c r="G50" s="93">
        <f t="shared" si="33"/>
        <v>14000</v>
      </c>
      <c r="H50" s="93">
        <f t="shared" si="33"/>
        <v>14000</v>
      </c>
      <c r="I50" s="93">
        <f t="shared" si="33"/>
        <v>24500</v>
      </c>
      <c r="J50" s="93">
        <f t="shared" si="33"/>
        <v>24500</v>
      </c>
      <c r="K50" s="93">
        <f t="shared" si="33"/>
        <v>38500</v>
      </c>
      <c r="L50" s="93">
        <f t="shared" si="33"/>
        <v>63000</v>
      </c>
      <c r="M50" s="93">
        <f t="shared" si="33"/>
        <v>98000</v>
      </c>
      <c r="N50" s="93">
        <f t="shared" si="33"/>
        <v>147000</v>
      </c>
      <c r="O50" s="93">
        <f t="shared" si="33"/>
        <v>231000</v>
      </c>
      <c r="P50" s="93">
        <f t="shared" si="33"/>
        <v>245000</v>
      </c>
      <c r="Q50" s="93">
        <f t="shared" si="33"/>
        <v>241500</v>
      </c>
      <c r="R50" s="93">
        <f t="shared" si="33"/>
        <v>241500</v>
      </c>
      <c r="S50" s="93">
        <f t="shared" si="33"/>
        <v>241500</v>
      </c>
      <c r="T50" s="93">
        <f t="shared" si="33"/>
        <v>241500</v>
      </c>
      <c r="U50" s="93">
        <f t="shared" si="33"/>
        <v>241500</v>
      </c>
      <c r="V50" s="93">
        <f t="shared" si="33"/>
        <v>241500</v>
      </c>
      <c r="W50" s="93">
        <f t="shared" si="33"/>
        <v>241500</v>
      </c>
      <c r="X50" s="93">
        <f t="shared" si="33"/>
        <v>241500</v>
      </c>
      <c r="Y50" s="93">
        <f t="shared" si="33"/>
        <v>241500</v>
      </c>
      <c r="Z50" s="93">
        <f t="shared" si="33"/>
        <v>241500</v>
      </c>
      <c r="AA50" s="93">
        <f t="shared" si="33"/>
        <v>241500</v>
      </c>
      <c r="AB50" s="93">
        <f t="shared" si="33"/>
        <v>241500</v>
      </c>
      <c r="AC50" s="93">
        <f t="shared" si="33"/>
        <v>241500</v>
      </c>
      <c r="AD50" s="93">
        <f t="shared" si="33"/>
        <v>241500</v>
      </c>
      <c r="AE50" s="93">
        <f t="shared" si="33"/>
        <v>241500</v>
      </c>
      <c r="AF50" s="93">
        <f t="shared" si="33"/>
        <v>241500</v>
      </c>
      <c r="AG50" s="93">
        <f t="shared" si="33"/>
        <v>241500</v>
      </c>
      <c r="AH50" s="93">
        <f t="shared" si="33"/>
        <v>241500</v>
      </c>
      <c r="AI50" s="93">
        <f t="shared" si="33"/>
        <v>241500</v>
      </c>
      <c r="AJ50" s="93">
        <f t="shared" si="33"/>
        <v>241500</v>
      </c>
      <c r="AK50" s="93">
        <f t="shared" si="33"/>
        <v>241500</v>
      </c>
      <c r="AL50" s="93">
        <f t="shared" si="33"/>
        <v>241500</v>
      </c>
      <c r="AM50" s="93">
        <f t="shared" si="33"/>
        <v>241500</v>
      </c>
      <c r="AN50" s="93">
        <f t="shared" si="33"/>
        <v>241500</v>
      </c>
      <c r="AO50" s="93">
        <f t="shared" si="33"/>
        <v>241500</v>
      </c>
      <c r="AP50" s="93">
        <f t="shared" si="33"/>
        <v>241500</v>
      </c>
      <c r="AQ50" s="93">
        <f t="shared" si="33"/>
        <v>241500</v>
      </c>
    </row>
    <row r="51" ht="12.75" customHeight="1">
      <c r="A51" s="90"/>
      <c r="B51" s="249">
        <v>5500.0</v>
      </c>
      <c r="C51" s="90" t="s">
        <v>459</v>
      </c>
      <c r="D51" s="99">
        <v>0.0</v>
      </c>
      <c r="E51" s="93">
        <v>0.0</v>
      </c>
      <c r="F51" s="93">
        <v>0.0</v>
      </c>
      <c r="G51" s="93">
        <v>0.0</v>
      </c>
      <c r="H51" s="93">
        <v>0.0</v>
      </c>
      <c r="I51" s="93">
        <v>0.0</v>
      </c>
      <c r="J51" s="93">
        <v>0.0</v>
      </c>
      <c r="K51" s="93">
        <f t="shared" ref="K51:AQ51" si="34">$B51*K4+20000</f>
        <v>80500</v>
      </c>
      <c r="L51" s="93">
        <f t="shared" si="34"/>
        <v>119000</v>
      </c>
      <c r="M51" s="93">
        <f t="shared" si="34"/>
        <v>174000</v>
      </c>
      <c r="N51" s="93">
        <f t="shared" si="34"/>
        <v>251000</v>
      </c>
      <c r="O51" s="93">
        <f t="shared" si="34"/>
        <v>383000</v>
      </c>
      <c r="P51" s="93">
        <f t="shared" si="34"/>
        <v>405000</v>
      </c>
      <c r="Q51" s="93">
        <f t="shared" si="34"/>
        <v>399500</v>
      </c>
      <c r="R51" s="93">
        <f t="shared" si="34"/>
        <v>399500</v>
      </c>
      <c r="S51" s="93">
        <f t="shared" si="34"/>
        <v>399500</v>
      </c>
      <c r="T51" s="93">
        <f t="shared" si="34"/>
        <v>399500</v>
      </c>
      <c r="U51" s="93">
        <f t="shared" si="34"/>
        <v>399500</v>
      </c>
      <c r="V51" s="93">
        <f t="shared" si="34"/>
        <v>399500</v>
      </c>
      <c r="W51" s="93">
        <f t="shared" si="34"/>
        <v>399500</v>
      </c>
      <c r="X51" s="93">
        <f t="shared" si="34"/>
        <v>399500</v>
      </c>
      <c r="Y51" s="93">
        <f t="shared" si="34"/>
        <v>399500</v>
      </c>
      <c r="Z51" s="93">
        <f t="shared" si="34"/>
        <v>399500</v>
      </c>
      <c r="AA51" s="93">
        <f t="shared" si="34"/>
        <v>399500</v>
      </c>
      <c r="AB51" s="93">
        <f t="shared" si="34"/>
        <v>399500</v>
      </c>
      <c r="AC51" s="93">
        <f t="shared" si="34"/>
        <v>399500</v>
      </c>
      <c r="AD51" s="93">
        <f t="shared" si="34"/>
        <v>399500</v>
      </c>
      <c r="AE51" s="93">
        <f t="shared" si="34"/>
        <v>399500</v>
      </c>
      <c r="AF51" s="93">
        <f t="shared" si="34"/>
        <v>399500</v>
      </c>
      <c r="AG51" s="93">
        <f t="shared" si="34"/>
        <v>399500</v>
      </c>
      <c r="AH51" s="93">
        <f t="shared" si="34"/>
        <v>399500</v>
      </c>
      <c r="AI51" s="93">
        <f t="shared" si="34"/>
        <v>399500</v>
      </c>
      <c r="AJ51" s="93">
        <f t="shared" si="34"/>
        <v>399500</v>
      </c>
      <c r="AK51" s="93">
        <f t="shared" si="34"/>
        <v>399500</v>
      </c>
      <c r="AL51" s="93">
        <f t="shared" si="34"/>
        <v>399500</v>
      </c>
      <c r="AM51" s="93">
        <f t="shared" si="34"/>
        <v>399500</v>
      </c>
      <c r="AN51" s="93">
        <f t="shared" si="34"/>
        <v>399500</v>
      </c>
      <c r="AO51" s="93">
        <f t="shared" si="34"/>
        <v>399500</v>
      </c>
      <c r="AP51" s="93">
        <f t="shared" si="34"/>
        <v>399500</v>
      </c>
      <c r="AQ51" s="93">
        <f t="shared" si="34"/>
        <v>399500</v>
      </c>
    </row>
    <row r="52" ht="12.75" customHeight="1">
      <c r="A52" s="90"/>
      <c r="B52" s="249">
        <v>47500.0</v>
      </c>
      <c r="C52" s="90" t="s">
        <v>757</v>
      </c>
      <c r="D52" s="99">
        <f>$B52*D$4</f>
        <v>0</v>
      </c>
      <c r="E52" s="93">
        <f t="shared" ref="E52:AQ52" si="35">$B52</f>
        <v>47500</v>
      </c>
      <c r="F52" s="93">
        <f t="shared" si="35"/>
        <v>47500</v>
      </c>
      <c r="G52" s="93">
        <f t="shared" si="35"/>
        <v>47500</v>
      </c>
      <c r="H52" s="93">
        <f t="shared" si="35"/>
        <v>47500</v>
      </c>
      <c r="I52" s="93">
        <f t="shared" si="35"/>
        <v>47500</v>
      </c>
      <c r="J52" s="93">
        <f t="shared" si="35"/>
        <v>47500</v>
      </c>
      <c r="K52" s="93">
        <f t="shared" si="35"/>
        <v>47500</v>
      </c>
      <c r="L52" s="93">
        <f t="shared" si="35"/>
        <v>47500</v>
      </c>
      <c r="M52" s="93">
        <f t="shared" si="35"/>
        <v>47500</v>
      </c>
      <c r="N52" s="93">
        <f t="shared" si="35"/>
        <v>47500</v>
      </c>
      <c r="O52" s="93">
        <f t="shared" si="35"/>
        <v>47500</v>
      </c>
      <c r="P52" s="93">
        <f t="shared" si="35"/>
        <v>47500</v>
      </c>
      <c r="Q52" s="93">
        <f t="shared" si="35"/>
        <v>47500</v>
      </c>
      <c r="R52" s="93">
        <f t="shared" si="35"/>
        <v>47500</v>
      </c>
      <c r="S52" s="93">
        <f t="shared" si="35"/>
        <v>47500</v>
      </c>
      <c r="T52" s="93">
        <f t="shared" si="35"/>
        <v>47500</v>
      </c>
      <c r="U52" s="93">
        <f t="shared" si="35"/>
        <v>47500</v>
      </c>
      <c r="V52" s="93">
        <f t="shared" si="35"/>
        <v>47500</v>
      </c>
      <c r="W52" s="93">
        <f t="shared" si="35"/>
        <v>47500</v>
      </c>
      <c r="X52" s="93">
        <f t="shared" si="35"/>
        <v>47500</v>
      </c>
      <c r="Y52" s="93">
        <f t="shared" si="35"/>
        <v>47500</v>
      </c>
      <c r="Z52" s="93">
        <f t="shared" si="35"/>
        <v>47500</v>
      </c>
      <c r="AA52" s="93">
        <f t="shared" si="35"/>
        <v>47500</v>
      </c>
      <c r="AB52" s="93">
        <f t="shared" si="35"/>
        <v>47500</v>
      </c>
      <c r="AC52" s="93">
        <f t="shared" si="35"/>
        <v>47500</v>
      </c>
      <c r="AD52" s="93">
        <f t="shared" si="35"/>
        <v>47500</v>
      </c>
      <c r="AE52" s="93">
        <f t="shared" si="35"/>
        <v>47500</v>
      </c>
      <c r="AF52" s="93">
        <f t="shared" si="35"/>
        <v>47500</v>
      </c>
      <c r="AG52" s="93">
        <f t="shared" si="35"/>
        <v>47500</v>
      </c>
      <c r="AH52" s="93">
        <f t="shared" si="35"/>
        <v>47500</v>
      </c>
      <c r="AI52" s="93">
        <f t="shared" si="35"/>
        <v>47500</v>
      </c>
      <c r="AJ52" s="93">
        <f t="shared" si="35"/>
        <v>47500</v>
      </c>
      <c r="AK52" s="93">
        <f t="shared" si="35"/>
        <v>47500</v>
      </c>
      <c r="AL52" s="93">
        <f t="shared" si="35"/>
        <v>47500</v>
      </c>
      <c r="AM52" s="93">
        <f t="shared" si="35"/>
        <v>47500</v>
      </c>
      <c r="AN52" s="93">
        <f t="shared" si="35"/>
        <v>47500</v>
      </c>
      <c r="AO52" s="93">
        <f t="shared" si="35"/>
        <v>47500</v>
      </c>
      <c r="AP52" s="93">
        <f t="shared" si="35"/>
        <v>47500</v>
      </c>
      <c r="AQ52" s="93">
        <f t="shared" si="35"/>
        <v>47500</v>
      </c>
    </row>
    <row r="53" ht="12.75" customHeight="1">
      <c r="A53" s="90"/>
      <c r="B53" s="249">
        <v>5000.0</v>
      </c>
      <c r="C53" s="87" t="s">
        <v>1075</v>
      </c>
      <c r="D53" s="125">
        <v>0.0</v>
      </c>
      <c r="E53" s="119">
        <f t="shared" ref="E53:AQ53" si="36">SUM(E22:E29)*$B53</f>
        <v>0</v>
      </c>
      <c r="F53" s="119">
        <f t="shared" si="36"/>
        <v>5000</v>
      </c>
      <c r="G53" s="119">
        <f t="shared" si="36"/>
        <v>5000</v>
      </c>
      <c r="H53" s="119">
        <f t="shared" si="36"/>
        <v>10000</v>
      </c>
      <c r="I53" s="119">
        <f t="shared" si="36"/>
        <v>20000</v>
      </c>
      <c r="J53" s="119">
        <f t="shared" si="36"/>
        <v>40000</v>
      </c>
      <c r="K53" s="119">
        <f t="shared" si="36"/>
        <v>65000</v>
      </c>
      <c r="L53" s="119">
        <f t="shared" si="36"/>
        <v>105000</v>
      </c>
      <c r="M53" s="119">
        <f t="shared" si="36"/>
        <v>170000</v>
      </c>
      <c r="N53" s="119">
        <f t="shared" si="36"/>
        <v>275000</v>
      </c>
      <c r="O53" s="119">
        <f t="shared" si="36"/>
        <v>445000</v>
      </c>
      <c r="P53" s="119">
        <f t="shared" si="36"/>
        <v>500000</v>
      </c>
      <c r="Q53" s="119">
        <f t="shared" si="36"/>
        <v>500000</v>
      </c>
      <c r="R53" s="119">
        <f t="shared" si="36"/>
        <v>500000</v>
      </c>
      <c r="S53" s="119">
        <f t="shared" si="36"/>
        <v>500000</v>
      </c>
      <c r="T53" s="119">
        <f t="shared" si="36"/>
        <v>500000</v>
      </c>
      <c r="U53" s="119">
        <f t="shared" si="36"/>
        <v>500000</v>
      </c>
      <c r="V53" s="119">
        <f t="shared" si="36"/>
        <v>500000</v>
      </c>
      <c r="W53" s="119">
        <f t="shared" si="36"/>
        <v>500000</v>
      </c>
      <c r="X53" s="119">
        <f t="shared" si="36"/>
        <v>500000</v>
      </c>
      <c r="Y53" s="119">
        <f t="shared" si="36"/>
        <v>500000</v>
      </c>
      <c r="Z53" s="119">
        <f t="shared" si="36"/>
        <v>500000</v>
      </c>
      <c r="AA53" s="119">
        <f t="shared" si="36"/>
        <v>500000</v>
      </c>
      <c r="AB53" s="119">
        <f t="shared" si="36"/>
        <v>500000</v>
      </c>
      <c r="AC53" s="119">
        <f t="shared" si="36"/>
        <v>500000</v>
      </c>
      <c r="AD53" s="119">
        <f t="shared" si="36"/>
        <v>500000</v>
      </c>
      <c r="AE53" s="119">
        <f t="shared" si="36"/>
        <v>500000</v>
      </c>
      <c r="AF53" s="119">
        <f t="shared" si="36"/>
        <v>500000</v>
      </c>
      <c r="AG53" s="119">
        <f t="shared" si="36"/>
        <v>500000</v>
      </c>
      <c r="AH53" s="119">
        <f t="shared" si="36"/>
        <v>500000</v>
      </c>
      <c r="AI53" s="119">
        <f t="shared" si="36"/>
        <v>500000</v>
      </c>
      <c r="AJ53" s="119">
        <f t="shared" si="36"/>
        <v>500000</v>
      </c>
      <c r="AK53" s="119">
        <f t="shared" si="36"/>
        <v>500000</v>
      </c>
      <c r="AL53" s="119">
        <f t="shared" si="36"/>
        <v>500000</v>
      </c>
      <c r="AM53" s="119">
        <f t="shared" si="36"/>
        <v>500000</v>
      </c>
      <c r="AN53" s="119">
        <f t="shared" si="36"/>
        <v>500000</v>
      </c>
      <c r="AO53" s="119">
        <f t="shared" si="36"/>
        <v>500000</v>
      </c>
      <c r="AP53" s="119">
        <f t="shared" si="36"/>
        <v>500000</v>
      </c>
      <c r="AQ53" s="119">
        <f t="shared" si="36"/>
        <v>500000</v>
      </c>
    </row>
    <row r="54" ht="12.75" customHeight="1">
      <c r="A54" s="67"/>
      <c r="B54" s="67"/>
      <c r="C54" s="67" t="s">
        <v>315</v>
      </c>
      <c r="D54" s="115">
        <f t="shared" ref="D54:AQ54" si="37">SUM(D49:D53)</f>
        <v>0</v>
      </c>
      <c r="E54" s="115">
        <f t="shared" si="37"/>
        <v>83000</v>
      </c>
      <c r="F54" s="115">
        <f t="shared" si="37"/>
        <v>91500</v>
      </c>
      <c r="G54" s="115">
        <f t="shared" si="37"/>
        <v>91500</v>
      </c>
      <c r="H54" s="115">
        <f t="shared" si="37"/>
        <v>96500</v>
      </c>
      <c r="I54" s="115">
        <f t="shared" si="37"/>
        <v>117000</v>
      </c>
      <c r="J54" s="115">
        <f t="shared" si="37"/>
        <v>137000</v>
      </c>
      <c r="K54" s="115">
        <f t="shared" si="37"/>
        <v>272125</v>
      </c>
      <c r="L54" s="115">
        <f t="shared" si="37"/>
        <v>400125</v>
      </c>
      <c r="M54" s="115">
        <f t="shared" si="37"/>
        <v>595750</v>
      </c>
      <c r="N54" s="115">
        <f t="shared" si="37"/>
        <v>892375</v>
      </c>
      <c r="O54" s="115">
        <f t="shared" si="37"/>
        <v>1384625</v>
      </c>
      <c r="P54" s="115">
        <f t="shared" si="37"/>
        <v>1510000</v>
      </c>
      <c r="Q54" s="115">
        <f t="shared" si="37"/>
        <v>1501000</v>
      </c>
      <c r="R54" s="115">
        <f t="shared" si="37"/>
        <v>1501000</v>
      </c>
      <c r="S54" s="115">
        <f t="shared" si="37"/>
        <v>1501000</v>
      </c>
      <c r="T54" s="115">
        <f t="shared" si="37"/>
        <v>1501000</v>
      </c>
      <c r="U54" s="115">
        <f t="shared" si="37"/>
        <v>1501000</v>
      </c>
      <c r="V54" s="115">
        <f t="shared" si="37"/>
        <v>1501000</v>
      </c>
      <c r="W54" s="115">
        <f t="shared" si="37"/>
        <v>1501000</v>
      </c>
      <c r="X54" s="115">
        <f t="shared" si="37"/>
        <v>1501000</v>
      </c>
      <c r="Y54" s="115">
        <f t="shared" si="37"/>
        <v>1501000</v>
      </c>
      <c r="Z54" s="115">
        <f t="shared" si="37"/>
        <v>1501000</v>
      </c>
      <c r="AA54" s="115">
        <f t="shared" si="37"/>
        <v>1501000</v>
      </c>
      <c r="AB54" s="115">
        <f t="shared" si="37"/>
        <v>1501000</v>
      </c>
      <c r="AC54" s="115">
        <f t="shared" si="37"/>
        <v>1501000</v>
      </c>
      <c r="AD54" s="115">
        <f t="shared" si="37"/>
        <v>1501000</v>
      </c>
      <c r="AE54" s="115">
        <f t="shared" si="37"/>
        <v>1501000</v>
      </c>
      <c r="AF54" s="115">
        <f t="shared" si="37"/>
        <v>1501000</v>
      </c>
      <c r="AG54" s="115">
        <f t="shared" si="37"/>
        <v>1501000</v>
      </c>
      <c r="AH54" s="115">
        <f t="shared" si="37"/>
        <v>1501000</v>
      </c>
      <c r="AI54" s="115">
        <f t="shared" si="37"/>
        <v>1501000</v>
      </c>
      <c r="AJ54" s="115">
        <f t="shared" si="37"/>
        <v>1501000</v>
      </c>
      <c r="AK54" s="115">
        <f t="shared" si="37"/>
        <v>1501000</v>
      </c>
      <c r="AL54" s="115">
        <f t="shared" si="37"/>
        <v>1501000</v>
      </c>
      <c r="AM54" s="115">
        <f t="shared" si="37"/>
        <v>1501000</v>
      </c>
      <c r="AN54" s="115">
        <f t="shared" si="37"/>
        <v>1501000</v>
      </c>
      <c r="AO54" s="115">
        <f t="shared" si="37"/>
        <v>1501000</v>
      </c>
      <c r="AP54" s="115">
        <f t="shared" si="37"/>
        <v>1501000</v>
      </c>
      <c r="AQ54" s="115">
        <f t="shared" si="37"/>
        <v>1501000</v>
      </c>
      <c r="AR54" s="67"/>
      <c r="AS54" s="67"/>
      <c r="AT54" s="67"/>
      <c r="AU54" s="67"/>
      <c r="AV54" s="67"/>
      <c r="AW54" s="67"/>
      <c r="AX54" s="67"/>
      <c r="AY54" s="67"/>
    </row>
    <row r="55" ht="12.75" customHeight="1">
      <c r="A55" s="90"/>
      <c r="B55" s="90"/>
      <c r="K55" s="155"/>
      <c r="L55" s="155"/>
      <c r="M55" s="155"/>
      <c r="N55" s="155"/>
      <c r="O55" s="155"/>
    </row>
    <row r="56" ht="12.75" hidden="1" customHeight="1" outlineLevel="1">
      <c r="A56" s="90"/>
      <c r="B56" s="90"/>
      <c r="C56" s="67" t="s">
        <v>165</v>
      </c>
      <c r="D56" s="272">
        <f t="shared" ref="D56:AQ56" si="38">SUMPRODUCT(D58:D67,$B$58:$B$67)</f>
        <v>0</v>
      </c>
      <c r="E56" s="272">
        <f t="shared" si="38"/>
        <v>0</v>
      </c>
      <c r="F56" s="272">
        <f t="shared" si="38"/>
        <v>392</v>
      </c>
      <c r="G56" s="272">
        <f t="shared" si="38"/>
        <v>464</v>
      </c>
      <c r="H56" s="272">
        <f t="shared" si="38"/>
        <v>892</v>
      </c>
      <c r="I56" s="272">
        <f t="shared" si="38"/>
        <v>1748</v>
      </c>
      <c r="J56" s="272">
        <f t="shared" si="38"/>
        <v>3496</v>
      </c>
      <c r="K56" s="272">
        <f t="shared" si="38"/>
        <v>5816</v>
      </c>
      <c r="L56" s="272">
        <f t="shared" si="38"/>
        <v>9456</v>
      </c>
      <c r="M56" s="272">
        <f t="shared" si="38"/>
        <v>15308</v>
      </c>
      <c r="N56" s="272">
        <f t="shared" si="38"/>
        <v>24764</v>
      </c>
      <c r="O56" s="272">
        <f t="shared" si="38"/>
        <v>40072</v>
      </c>
      <c r="P56" s="272">
        <f t="shared" si="38"/>
        <v>47588</v>
      </c>
      <c r="Q56" s="272">
        <f t="shared" si="38"/>
        <v>49604</v>
      </c>
      <c r="R56" s="272">
        <f t="shared" si="38"/>
        <v>50000</v>
      </c>
      <c r="S56" s="272">
        <f t="shared" si="38"/>
        <v>50000</v>
      </c>
      <c r="T56" s="272">
        <f t="shared" si="38"/>
        <v>50000</v>
      </c>
      <c r="U56" s="272">
        <f t="shared" si="38"/>
        <v>50000</v>
      </c>
      <c r="V56" s="272">
        <f t="shared" si="38"/>
        <v>50000</v>
      </c>
      <c r="W56" s="272">
        <f t="shared" si="38"/>
        <v>50000</v>
      </c>
      <c r="X56" s="272">
        <f t="shared" si="38"/>
        <v>50000</v>
      </c>
      <c r="Y56" s="272">
        <f t="shared" si="38"/>
        <v>50000</v>
      </c>
      <c r="Z56" s="272">
        <f t="shared" si="38"/>
        <v>50000</v>
      </c>
      <c r="AA56" s="272">
        <f t="shared" si="38"/>
        <v>50000</v>
      </c>
      <c r="AB56" s="272">
        <f t="shared" si="38"/>
        <v>50000</v>
      </c>
      <c r="AC56" s="272">
        <f t="shared" si="38"/>
        <v>50000</v>
      </c>
      <c r="AD56" s="272">
        <f t="shared" si="38"/>
        <v>50000</v>
      </c>
      <c r="AE56" s="272">
        <f t="shared" si="38"/>
        <v>50000</v>
      </c>
      <c r="AF56" s="272">
        <f t="shared" si="38"/>
        <v>50000</v>
      </c>
      <c r="AG56" s="272">
        <f t="shared" si="38"/>
        <v>50000</v>
      </c>
      <c r="AH56" s="272">
        <f t="shared" si="38"/>
        <v>50000</v>
      </c>
      <c r="AI56" s="272">
        <f t="shared" si="38"/>
        <v>50000</v>
      </c>
      <c r="AJ56" s="272">
        <f t="shared" si="38"/>
        <v>50000</v>
      </c>
      <c r="AK56" s="272">
        <f t="shared" si="38"/>
        <v>50000</v>
      </c>
      <c r="AL56" s="272">
        <f t="shared" si="38"/>
        <v>50000</v>
      </c>
      <c r="AM56" s="272">
        <f t="shared" si="38"/>
        <v>50000</v>
      </c>
      <c r="AN56" s="272">
        <f t="shared" si="38"/>
        <v>50000</v>
      </c>
      <c r="AO56" s="272">
        <f t="shared" si="38"/>
        <v>50000</v>
      </c>
      <c r="AP56" s="272">
        <f t="shared" si="38"/>
        <v>50000</v>
      </c>
      <c r="AQ56" s="272">
        <f t="shared" si="38"/>
        <v>50000</v>
      </c>
    </row>
    <row r="57" ht="12.75" hidden="1" customHeight="1" outlineLevel="1">
      <c r="A57" s="410" t="s">
        <v>1067</v>
      </c>
      <c r="B57" s="67" t="s">
        <v>1076</v>
      </c>
      <c r="C57" s="68" t="s">
        <v>48</v>
      </c>
    </row>
    <row r="58" ht="12.75" hidden="1" customHeight="1" outlineLevel="1">
      <c r="A58" s="63">
        <v>-1.0</v>
      </c>
      <c r="B58" s="102">
        <f>ROUND(OFFSET('RSGen 1-7'!$G$47,0,ROW(A58)-ROW($A$58)),0)</f>
        <v>0</v>
      </c>
      <c r="D58" s="68">
        <f t="shared" ref="D58:AQ58" si="39">D20</f>
        <v>1</v>
      </c>
      <c r="E58" s="475">
        <f t="shared" si="39"/>
        <v>0</v>
      </c>
      <c r="F58" s="68">
        <f t="shared" si="39"/>
        <v>1</v>
      </c>
      <c r="G58" s="68">
        <f t="shared" si="39"/>
        <v>2</v>
      </c>
      <c r="H58" s="68">
        <f t="shared" si="39"/>
        <v>4</v>
      </c>
      <c r="I58" s="68">
        <f t="shared" si="39"/>
        <v>5</v>
      </c>
      <c r="J58" s="68">
        <f t="shared" si="39"/>
        <v>8</v>
      </c>
      <c r="K58" s="68">
        <f t="shared" si="39"/>
        <v>13</v>
      </c>
      <c r="L58" s="68">
        <f t="shared" si="39"/>
        <v>21</v>
      </c>
      <c r="M58" s="68">
        <f t="shared" si="39"/>
        <v>34</v>
      </c>
      <c r="N58" s="68">
        <f t="shared" si="39"/>
        <v>11</v>
      </c>
      <c r="O58" s="68">
        <f t="shared" si="39"/>
        <v>0</v>
      </c>
      <c r="P58" s="68">
        <f t="shared" si="39"/>
        <v>0</v>
      </c>
      <c r="Q58" s="68">
        <f t="shared" si="39"/>
        <v>0</v>
      </c>
      <c r="R58" s="68">
        <f t="shared" si="39"/>
        <v>0</v>
      </c>
      <c r="S58" s="68">
        <f t="shared" si="39"/>
        <v>0</v>
      </c>
      <c r="T58" s="68">
        <f t="shared" si="39"/>
        <v>0</v>
      </c>
      <c r="U58" s="68">
        <f t="shared" si="39"/>
        <v>0</v>
      </c>
      <c r="V58" s="68">
        <f t="shared" si="39"/>
        <v>0</v>
      </c>
      <c r="W58" s="68">
        <f t="shared" si="39"/>
        <v>0</v>
      </c>
      <c r="X58" s="68">
        <f t="shared" si="39"/>
        <v>0</v>
      </c>
      <c r="Y58" s="68">
        <f t="shared" si="39"/>
        <v>0</v>
      </c>
      <c r="Z58" s="68">
        <f t="shared" si="39"/>
        <v>0</v>
      </c>
      <c r="AA58" s="68">
        <f t="shared" si="39"/>
        <v>0</v>
      </c>
      <c r="AB58" s="68">
        <f t="shared" si="39"/>
        <v>0</v>
      </c>
      <c r="AC58" s="68">
        <f t="shared" si="39"/>
        <v>0</v>
      </c>
      <c r="AD58" s="68">
        <f t="shared" si="39"/>
        <v>0</v>
      </c>
      <c r="AE58" s="68">
        <f t="shared" si="39"/>
        <v>0</v>
      </c>
      <c r="AF58" s="68">
        <f t="shared" si="39"/>
        <v>0</v>
      </c>
      <c r="AG58" s="68">
        <f t="shared" si="39"/>
        <v>0</v>
      </c>
      <c r="AH58" s="68">
        <f t="shared" si="39"/>
        <v>0</v>
      </c>
      <c r="AI58" s="68">
        <f t="shared" si="39"/>
        <v>0</v>
      </c>
      <c r="AJ58" s="68">
        <f t="shared" si="39"/>
        <v>0</v>
      </c>
      <c r="AK58" s="68">
        <f t="shared" si="39"/>
        <v>0</v>
      </c>
      <c r="AL58" s="68">
        <f t="shared" si="39"/>
        <v>0</v>
      </c>
      <c r="AM58" s="68">
        <f t="shared" si="39"/>
        <v>0</v>
      </c>
      <c r="AN58" s="68">
        <f t="shared" si="39"/>
        <v>0</v>
      </c>
      <c r="AO58" s="68">
        <f t="shared" si="39"/>
        <v>0</v>
      </c>
      <c r="AP58" s="68">
        <f t="shared" si="39"/>
        <v>0</v>
      </c>
      <c r="AQ58" s="68">
        <f t="shared" si="39"/>
        <v>0</v>
      </c>
    </row>
    <row r="59" ht="12.75" hidden="1" customHeight="1" outlineLevel="1">
      <c r="A59" s="63">
        <v>0.0</v>
      </c>
      <c r="B59" s="102">
        <f>ROUND(OFFSET('RSGen 1-7'!$G$47,0,ROW(A59)-ROW($A$58)),0)</f>
        <v>0</v>
      </c>
      <c r="D59" s="68">
        <f t="shared" ref="D59:AQ59" si="40">D21</f>
        <v>0</v>
      </c>
      <c r="E59" s="475">
        <f t="shared" si="40"/>
        <v>1</v>
      </c>
      <c r="F59" s="475">
        <f t="shared" si="40"/>
        <v>0</v>
      </c>
      <c r="G59" s="68">
        <f t="shared" si="40"/>
        <v>1</v>
      </c>
      <c r="H59" s="68">
        <f t="shared" si="40"/>
        <v>2</v>
      </c>
      <c r="I59" s="68">
        <f t="shared" si="40"/>
        <v>4</v>
      </c>
      <c r="J59" s="68">
        <f t="shared" si="40"/>
        <v>5</v>
      </c>
      <c r="K59" s="68">
        <f t="shared" si="40"/>
        <v>8</v>
      </c>
      <c r="L59" s="68">
        <f t="shared" si="40"/>
        <v>13</v>
      </c>
      <c r="M59" s="68">
        <f t="shared" si="40"/>
        <v>21</v>
      </c>
      <c r="N59" s="68">
        <f t="shared" si="40"/>
        <v>34</v>
      </c>
      <c r="O59" s="68">
        <f t="shared" si="40"/>
        <v>11</v>
      </c>
      <c r="P59" s="68">
        <f t="shared" si="40"/>
        <v>0</v>
      </c>
      <c r="Q59" s="68">
        <f t="shared" si="40"/>
        <v>0</v>
      </c>
      <c r="R59" s="68">
        <f t="shared" si="40"/>
        <v>0</v>
      </c>
      <c r="S59" s="68">
        <f t="shared" si="40"/>
        <v>0</v>
      </c>
      <c r="T59" s="68">
        <f t="shared" si="40"/>
        <v>0</v>
      </c>
      <c r="U59" s="68">
        <f t="shared" si="40"/>
        <v>0</v>
      </c>
      <c r="V59" s="68">
        <f t="shared" si="40"/>
        <v>0</v>
      </c>
      <c r="W59" s="68">
        <f t="shared" si="40"/>
        <v>0</v>
      </c>
      <c r="X59" s="68">
        <f t="shared" si="40"/>
        <v>0</v>
      </c>
      <c r="Y59" s="68">
        <f t="shared" si="40"/>
        <v>0</v>
      </c>
      <c r="Z59" s="68">
        <f t="shared" si="40"/>
        <v>0</v>
      </c>
      <c r="AA59" s="68">
        <f t="shared" si="40"/>
        <v>0</v>
      </c>
      <c r="AB59" s="68">
        <f t="shared" si="40"/>
        <v>0</v>
      </c>
      <c r="AC59" s="68">
        <f t="shared" si="40"/>
        <v>0</v>
      </c>
      <c r="AD59" s="68">
        <f t="shared" si="40"/>
        <v>0</v>
      </c>
      <c r="AE59" s="68">
        <f t="shared" si="40"/>
        <v>0</v>
      </c>
      <c r="AF59" s="68">
        <f t="shared" si="40"/>
        <v>0</v>
      </c>
      <c r="AG59" s="68">
        <f t="shared" si="40"/>
        <v>0</v>
      </c>
      <c r="AH59" s="68">
        <f t="shared" si="40"/>
        <v>0</v>
      </c>
      <c r="AI59" s="68">
        <f t="shared" si="40"/>
        <v>0</v>
      </c>
      <c r="AJ59" s="68">
        <f t="shared" si="40"/>
        <v>0</v>
      </c>
      <c r="AK59" s="68">
        <f t="shared" si="40"/>
        <v>0</v>
      </c>
      <c r="AL59" s="68">
        <f t="shared" si="40"/>
        <v>0</v>
      </c>
      <c r="AM59" s="68">
        <f t="shared" si="40"/>
        <v>0</v>
      </c>
      <c r="AN59" s="68">
        <f t="shared" si="40"/>
        <v>0</v>
      </c>
      <c r="AO59" s="68">
        <f t="shared" si="40"/>
        <v>0</v>
      </c>
      <c r="AP59" s="68">
        <f t="shared" si="40"/>
        <v>0</v>
      </c>
      <c r="AQ59" s="68">
        <f t="shared" si="40"/>
        <v>0</v>
      </c>
    </row>
    <row r="60" ht="12.75" hidden="1" customHeight="1" outlineLevel="1">
      <c r="A60" s="63">
        <v>1.0</v>
      </c>
      <c r="B60" s="102">
        <f>ROUND(OFFSET('RSGen 1-7'!$G$47,0,ROW(A60)-ROW($A$58)),0)</f>
        <v>392</v>
      </c>
      <c r="D60" s="68">
        <f t="shared" ref="D60:AQ60" si="41">D22</f>
        <v>0</v>
      </c>
      <c r="E60" s="68">
        <f t="shared" si="41"/>
        <v>0</v>
      </c>
      <c r="F60" s="475">
        <f t="shared" si="41"/>
        <v>1</v>
      </c>
      <c r="G60" s="475">
        <f t="shared" si="41"/>
        <v>0</v>
      </c>
      <c r="H60" s="68">
        <f t="shared" si="41"/>
        <v>1</v>
      </c>
      <c r="I60" s="68">
        <f t="shared" si="41"/>
        <v>2</v>
      </c>
      <c r="J60" s="68">
        <f t="shared" si="41"/>
        <v>4</v>
      </c>
      <c r="K60" s="68">
        <f t="shared" si="41"/>
        <v>5</v>
      </c>
      <c r="L60" s="68">
        <f t="shared" si="41"/>
        <v>8</v>
      </c>
      <c r="M60" s="68">
        <f t="shared" si="41"/>
        <v>13</v>
      </c>
      <c r="N60" s="68">
        <f t="shared" si="41"/>
        <v>21</v>
      </c>
      <c r="O60" s="68">
        <f t="shared" si="41"/>
        <v>34</v>
      </c>
      <c r="P60" s="68">
        <f t="shared" si="41"/>
        <v>11</v>
      </c>
      <c r="Q60" s="68">
        <f t="shared" si="41"/>
        <v>0</v>
      </c>
      <c r="R60" s="68">
        <f t="shared" si="41"/>
        <v>0</v>
      </c>
      <c r="S60" s="68">
        <f t="shared" si="41"/>
        <v>0</v>
      </c>
      <c r="T60" s="68">
        <f t="shared" si="41"/>
        <v>0</v>
      </c>
      <c r="U60" s="68">
        <f t="shared" si="41"/>
        <v>0</v>
      </c>
      <c r="V60" s="68">
        <f t="shared" si="41"/>
        <v>0</v>
      </c>
      <c r="W60" s="68">
        <f t="shared" si="41"/>
        <v>0</v>
      </c>
      <c r="X60" s="68">
        <f t="shared" si="41"/>
        <v>0</v>
      </c>
      <c r="Y60" s="68">
        <f t="shared" si="41"/>
        <v>0</v>
      </c>
      <c r="Z60" s="68">
        <f t="shared" si="41"/>
        <v>0</v>
      </c>
      <c r="AA60" s="68">
        <f t="shared" si="41"/>
        <v>0</v>
      </c>
      <c r="AB60" s="68">
        <f t="shared" si="41"/>
        <v>0</v>
      </c>
      <c r="AC60" s="68">
        <f t="shared" si="41"/>
        <v>0</v>
      </c>
      <c r="AD60" s="68">
        <f t="shared" si="41"/>
        <v>0</v>
      </c>
      <c r="AE60" s="68">
        <f t="shared" si="41"/>
        <v>0</v>
      </c>
      <c r="AF60" s="68">
        <f t="shared" si="41"/>
        <v>0</v>
      </c>
      <c r="AG60" s="68">
        <f t="shared" si="41"/>
        <v>0</v>
      </c>
      <c r="AH60" s="68">
        <f t="shared" si="41"/>
        <v>0</v>
      </c>
      <c r="AI60" s="68">
        <f t="shared" si="41"/>
        <v>0</v>
      </c>
      <c r="AJ60" s="68">
        <f t="shared" si="41"/>
        <v>0</v>
      </c>
      <c r="AK60" s="68">
        <f t="shared" si="41"/>
        <v>0</v>
      </c>
      <c r="AL60" s="68">
        <f t="shared" si="41"/>
        <v>0</v>
      </c>
      <c r="AM60" s="68">
        <f t="shared" si="41"/>
        <v>0</v>
      </c>
      <c r="AN60" s="68">
        <f t="shared" si="41"/>
        <v>0</v>
      </c>
      <c r="AO60" s="68">
        <f t="shared" si="41"/>
        <v>0</v>
      </c>
      <c r="AP60" s="68">
        <f t="shared" si="41"/>
        <v>0</v>
      </c>
      <c r="AQ60" s="68">
        <f t="shared" si="41"/>
        <v>0</v>
      </c>
    </row>
    <row r="61" ht="12.75" hidden="1" customHeight="1" outlineLevel="1">
      <c r="A61" s="63">
        <v>2.0</v>
      </c>
      <c r="B61" s="102">
        <f>ROUND(OFFSET('RSGen 1-7'!$G$47,0,ROW(A61)-ROW($A$58)),0)</f>
        <v>464</v>
      </c>
      <c r="D61" s="68">
        <f t="shared" ref="D61:AQ61" si="42">D23</f>
        <v>0</v>
      </c>
      <c r="E61" s="68">
        <f t="shared" si="42"/>
        <v>0</v>
      </c>
      <c r="F61" s="68">
        <f t="shared" si="42"/>
        <v>0</v>
      </c>
      <c r="G61" s="475">
        <f t="shared" si="42"/>
        <v>1</v>
      </c>
      <c r="H61" s="475">
        <f t="shared" si="42"/>
        <v>0</v>
      </c>
      <c r="I61" s="68">
        <f t="shared" si="42"/>
        <v>1</v>
      </c>
      <c r="J61" s="68">
        <f t="shared" si="42"/>
        <v>2</v>
      </c>
      <c r="K61" s="68">
        <f t="shared" si="42"/>
        <v>4</v>
      </c>
      <c r="L61" s="68">
        <f t="shared" si="42"/>
        <v>5</v>
      </c>
      <c r="M61" s="68">
        <f t="shared" si="42"/>
        <v>8</v>
      </c>
      <c r="N61" s="68">
        <f t="shared" si="42"/>
        <v>13</v>
      </c>
      <c r="O61" s="68">
        <f t="shared" si="42"/>
        <v>21</v>
      </c>
      <c r="P61" s="68">
        <f t="shared" si="42"/>
        <v>34</v>
      </c>
      <c r="Q61" s="68">
        <f t="shared" si="42"/>
        <v>11</v>
      </c>
      <c r="R61" s="68">
        <f t="shared" si="42"/>
        <v>0</v>
      </c>
      <c r="S61" s="68">
        <f t="shared" si="42"/>
        <v>0</v>
      </c>
      <c r="T61" s="68">
        <f t="shared" si="42"/>
        <v>0</v>
      </c>
      <c r="U61" s="68">
        <f t="shared" si="42"/>
        <v>0</v>
      </c>
      <c r="V61" s="68">
        <f t="shared" si="42"/>
        <v>0</v>
      </c>
      <c r="W61" s="68">
        <f t="shared" si="42"/>
        <v>0</v>
      </c>
      <c r="X61" s="68">
        <f t="shared" si="42"/>
        <v>0</v>
      </c>
      <c r="Y61" s="68">
        <f t="shared" si="42"/>
        <v>0</v>
      </c>
      <c r="Z61" s="68">
        <f t="shared" si="42"/>
        <v>0</v>
      </c>
      <c r="AA61" s="68">
        <f t="shared" si="42"/>
        <v>0</v>
      </c>
      <c r="AB61" s="68">
        <f t="shared" si="42"/>
        <v>0</v>
      </c>
      <c r="AC61" s="68">
        <f t="shared" si="42"/>
        <v>0</v>
      </c>
      <c r="AD61" s="68">
        <f t="shared" si="42"/>
        <v>0</v>
      </c>
      <c r="AE61" s="68">
        <f t="shared" si="42"/>
        <v>0</v>
      </c>
      <c r="AF61" s="68">
        <f t="shared" si="42"/>
        <v>0</v>
      </c>
      <c r="AG61" s="68">
        <f t="shared" si="42"/>
        <v>0</v>
      </c>
      <c r="AH61" s="68">
        <f t="shared" si="42"/>
        <v>0</v>
      </c>
      <c r="AI61" s="68">
        <f t="shared" si="42"/>
        <v>0</v>
      </c>
      <c r="AJ61" s="68">
        <f t="shared" si="42"/>
        <v>0</v>
      </c>
      <c r="AK61" s="68">
        <f t="shared" si="42"/>
        <v>0</v>
      </c>
      <c r="AL61" s="68">
        <f t="shared" si="42"/>
        <v>0</v>
      </c>
      <c r="AM61" s="68">
        <f t="shared" si="42"/>
        <v>0</v>
      </c>
      <c r="AN61" s="68">
        <f t="shared" si="42"/>
        <v>0</v>
      </c>
      <c r="AO61" s="68">
        <f t="shared" si="42"/>
        <v>0</v>
      </c>
      <c r="AP61" s="68">
        <f t="shared" si="42"/>
        <v>0</v>
      </c>
      <c r="AQ61" s="68">
        <f t="shared" si="42"/>
        <v>0</v>
      </c>
    </row>
    <row r="62" ht="12.75" hidden="1" customHeight="1" outlineLevel="1">
      <c r="A62" s="63">
        <v>3.0</v>
      </c>
      <c r="B62" s="102">
        <f>ROUND(OFFSET('RSGen 1-7'!$G$47,0,ROW(A62)-ROW($A$58)),0)</f>
        <v>500</v>
      </c>
      <c r="D62" s="68">
        <f t="shared" ref="D62:AQ62" si="43">D24</f>
        <v>0</v>
      </c>
      <c r="E62" s="68">
        <f t="shared" si="43"/>
        <v>0</v>
      </c>
      <c r="F62" s="68">
        <f t="shared" si="43"/>
        <v>0</v>
      </c>
      <c r="G62" s="68">
        <f t="shared" si="43"/>
        <v>0</v>
      </c>
      <c r="H62" s="475">
        <f t="shared" si="43"/>
        <v>1</v>
      </c>
      <c r="I62" s="475">
        <f t="shared" si="43"/>
        <v>0</v>
      </c>
      <c r="J62" s="68">
        <f t="shared" si="43"/>
        <v>1</v>
      </c>
      <c r="K62" s="68">
        <f t="shared" si="43"/>
        <v>2</v>
      </c>
      <c r="L62" s="68">
        <f t="shared" si="43"/>
        <v>4</v>
      </c>
      <c r="M62" s="68">
        <f t="shared" si="43"/>
        <v>5</v>
      </c>
      <c r="N62" s="68">
        <f t="shared" si="43"/>
        <v>8</v>
      </c>
      <c r="O62" s="68">
        <f t="shared" si="43"/>
        <v>13</v>
      </c>
      <c r="P62" s="68">
        <f t="shared" si="43"/>
        <v>21</v>
      </c>
      <c r="Q62" s="68">
        <f t="shared" si="43"/>
        <v>34</v>
      </c>
      <c r="R62" s="68">
        <f t="shared" si="43"/>
        <v>11</v>
      </c>
      <c r="S62" s="68">
        <f t="shared" si="43"/>
        <v>0</v>
      </c>
      <c r="T62" s="68">
        <f t="shared" si="43"/>
        <v>0</v>
      </c>
      <c r="U62" s="68">
        <f t="shared" si="43"/>
        <v>0</v>
      </c>
      <c r="V62" s="68">
        <f t="shared" si="43"/>
        <v>0</v>
      </c>
      <c r="W62" s="68">
        <f t="shared" si="43"/>
        <v>0</v>
      </c>
      <c r="X62" s="68">
        <f t="shared" si="43"/>
        <v>0</v>
      </c>
      <c r="Y62" s="68">
        <f t="shared" si="43"/>
        <v>0</v>
      </c>
      <c r="Z62" s="68">
        <f t="shared" si="43"/>
        <v>0</v>
      </c>
      <c r="AA62" s="68">
        <f t="shared" si="43"/>
        <v>0</v>
      </c>
      <c r="AB62" s="68">
        <f t="shared" si="43"/>
        <v>0</v>
      </c>
      <c r="AC62" s="68">
        <f t="shared" si="43"/>
        <v>0</v>
      </c>
      <c r="AD62" s="68">
        <f t="shared" si="43"/>
        <v>0</v>
      </c>
      <c r="AE62" s="68">
        <f t="shared" si="43"/>
        <v>0</v>
      </c>
      <c r="AF62" s="68">
        <f t="shared" si="43"/>
        <v>0</v>
      </c>
      <c r="AG62" s="68">
        <f t="shared" si="43"/>
        <v>0</v>
      </c>
      <c r="AH62" s="68">
        <f t="shared" si="43"/>
        <v>0</v>
      </c>
      <c r="AI62" s="68">
        <f t="shared" si="43"/>
        <v>0</v>
      </c>
      <c r="AJ62" s="68">
        <f t="shared" si="43"/>
        <v>0</v>
      </c>
      <c r="AK62" s="68">
        <f t="shared" si="43"/>
        <v>0</v>
      </c>
      <c r="AL62" s="68">
        <f t="shared" si="43"/>
        <v>0</v>
      </c>
      <c r="AM62" s="68">
        <f t="shared" si="43"/>
        <v>0</v>
      </c>
      <c r="AN62" s="68">
        <f t="shared" si="43"/>
        <v>0</v>
      </c>
      <c r="AO62" s="68">
        <f t="shared" si="43"/>
        <v>0</v>
      </c>
      <c r="AP62" s="68">
        <f t="shared" si="43"/>
        <v>0</v>
      </c>
      <c r="AQ62" s="68">
        <f t="shared" si="43"/>
        <v>0</v>
      </c>
    </row>
    <row r="63" ht="12.75" hidden="1" customHeight="1" outlineLevel="1">
      <c r="A63" s="63">
        <v>4.0</v>
      </c>
      <c r="B63" s="102">
        <f>ROUND(OFFSET('RSGen 1-7'!$G$47,0,ROW(A63)-ROW($A$58)),0)</f>
        <v>500</v>
      </c>
      <c r="D63" s="68">
        <f t="shared" ref="D63:AQ63" si="44">D25</f>
        <v>0</v>
      </c>
      <c r="E63" s="68">
        <f t="shared" si="44"/>
        <v>0</v>
      </c>
      <c r="F63" s="68">
        <f t="shared" si="44"/>
        <v>0</v>
      </c>
      <c r="G63" s="68">
        <f t="shared" si="44"/>
        <v>0</v>
      </c>
      <c r="H63" s="68">
        <f t="shared" si="44"/>
        <v>0</v>
      </c>
      <c r="I63" s="475">
        <f t="shared" si="44"/>
        <v>1</v>
      </c>
      <c r="J63" s="475">
        <f t="shared" si="44"/>
        <v>0</v>
      </c>
      <c r="K63" s="68">
        <f t="shared" si="44"/>
        <v>1</v>
      </c>
      <c r="L63" s="68">
        <f t="shared" si="44"/>
        <v>2</v>
      </c>
      <c r="M63" s="68">
        <f t="shared" si="44"/>
        <v>4</v>
      </c>
      <c r="N63" s="68">
        <f t="shared" si="44"/>
        <v>5</v>
      </c>
      <c r="O63" s="68">
        <f t="shared" si="44"/>
        <v>8</v>
      </c>
      <c r="P63" s="68">
        <f t="shared" si="44"/>
        <v>13</v>
      </c>
      <c r="Q63" s="68">
        <f t="shared" si="44"/>
        <v>21</v>
      </c>
      <c r="R63" s="68">
        <f t="shared" si="44"/>
        <v>34</v>
      </c>
      <c r="S63" s="68">
        <f t="shared" si="44"/>
        <v>11</v>
      </c>
      <c r="T63" s="68">
        <f t="shared" si="44"/>
        <v>0</v>
      </c>
      <c r="U63" s="68">
        <f t="shared" si="44"/>
        <v>0</v>
      </c>
      <c r="V63" s="68">
        <f t="shared" si="44"/>
        <v>0</v>
      </c>
      <c r="W63" s="68">
        <f t="shared" si="44"/>
        <v>0</v>
      </c>
      <c r="X63" s="68">
        <f t="shared" si="44"/>
        <v>0</v>
      </c>
      <c r="Y63" s="68">
        <f t="shared" si="44"/>
        <v>0</v>
      </c>
      <c r="Z63" s="68">
        <f t="shared" si="44"/>
        <v>0</v>
      </c>
      <c r="AA63" s="68">
        <f t="shared" si="44"/>
        <v>0</v>
      </c>
      <c r="AB63" s="68">
        <f t="shared" si="44"/>
        <v>0</v>
      </c>
      <c r="AC63" s="68">
        <f t="shared" si="44"/>
        <v>0</v>
      </c>
      <c r="AD63" s="68">
        <f t="shared" si="44"/>
        <v>0</v>
      </c>
      <c r="AE63" s="68">
        <f t="shared" si="44"/>
        <v>0</v>
      </c>
      <c r="AF63" s="68">
        <f t="shared" si="44"/>
        <v>0</v>
      </c>
      <c r="AG63" s="68">
        <f t="shared" si="44"/>
        <v>0</v>
      </c>
      <c r="AH63" s="68">
        <f t="shared" si="44"/>
        <v>0</v>
      </c>
      <c r="AI63" s="68">
        <f t="shared" si="44"/>
        <v>0</v>
      </c>
      <c r="AJ63" s="68">
        <f t="shared" si="44"/>
        <v>0</v>
      </c>
      <c r="AK63" s="68">
        <f t="shared" si="44"/>
        <v>0</v>
      </c>
      <c r="AL63" s="68">
        <f t="shared" si="44"/>
        <v>0</v>
      </c>
      <c r="AM63" s="68">
        <f t="shared" si="44"/>
        <v>0</v>
      </c>
      <c r="AN63" s="68">
        <f t="shared" si="44"/>
        <v>0</v>
      </c>
      <c r="AO63" s="68">
        <f t="shared" si="44"/>
        <v>0</v>
      </c>
      <c r="AP63" s="68">
        <f t="shared" si="44"/>
        <v>0</v>
      </c>
      <c r="AQ63" s="68">
        <f t="shared" si="44"/>
        <v>0</v>
      </c>
    </row>
    <row r="64" ht="12.75" hidden="1" customHeight="1" outlineLevel="1">
      <c r="A64" s="63">
        <v>5.0</v>
      </c>
      <c r="B64" s="102">
        <f>ROUND(OFFSET('RSGen 1-7'!$G$47,0,ROW(A64)-ROW($A$58)),0)</f>
        <v>500</v>
      </c>
      <c r="D64" s="68">
        <f t="shared" ref="D64:AQ64" si="45">D26</f>
        <v>0</v>
      </c>
      <c r="E64" s="68">
        <f t="shared" si="45"/>
        <v>0</v>
      </c>
      <c r="F64" s="68">
        <f t="shared" si="45"/>
        <v>0</v>
      </c>
      <c r="G64" s="68">
        <f t="shared" si="45"/>
        <v>0</v>
      </c>
      <c r="H64" s="68">
        <f t="shared" si="45"/>
        <v>0</v>
      </c>
      <c r="I64" s="68">
        <f t="shared" si="45"/>
        <v>0</v>
      </c>
      <c r="J64" s="475">
        <f t="shared" si="45"/>
        <v>1</v>
      </c>
      <c r="K64" s="475">
        <f t="shared" si="45"/>
        <v>0</v>
      </c>
      <c r="L64" s="68">
        <f t="shared" si="45"/>
        <v>1</v>
      </c>
      <c r="M64" s="68">
        <f t="shared" si="45"/>
        <v>2</v>
      </c>
      <c r="N64" s="68">
        <f t="shared" si="45"/>
        <v>4</v>
      </c>
      <c r="O64" s="68">
        <f t="shared" si="45"/>
        <v>5</v>
      </c>
      <c r="P64" s="68">
        <f t="shared" si="45"/>
        <v>8</v>
      </c>
      <c r="Q64" s="68">
        <f t="shared" si="45"/>
        <v>13</v>
      </c>
      <c r="R64" s="68">
        <f t="shared" si="45"/>
        <v>21</v>
      </c>
      <c r="S64" s="68">
        <f t="shared" si="45"/>
        <v>34</v>
      </c>
      <c r="T64" s="68">
        <f t="shared" si="45"/>
        <v>11</v>
      </c>
      <c r="U64" s="68">
        <f t="shared" si="45"/>
        <v>0</v>
      </c>
      <c r="V64" s="68">
        <f t="shared" si="45"/>
        <v>0</v>
      </c>
      <c r="W64" s="68">
        <f t="shared" si="45"/>
        <v>0</v>
      </c>
      <c r="X64" s="68">
        <f t="shared" si="45"/>
        <v>0</v>
      </c>
      <c r="Y64" s="68">
        <f t="shared" si="45"/>
        <v>0</v>
      </c>
      <c r="Z64" s="68">
        <f t="shared" si="45"/>
        <v>0</v>
      </c>
      <c r="AA64" s="68">
        <f t="shared" si="45"/>
        <v>0</v>
      </c>
      <c r="AB64" s="68">
        <f t="shared" si="45"/>
        <v>0</v>
      </c>
      <c r="AC64" s="68">
        <f t="shared" si="45"/>
        <v>0</v>
      </c>
      <c r="AD64" s="68">
        <f t="shared" si="45"/>
        <v>0</v>
      </c>
      <c r="AE64" s="68">
        <f t="shared" si="45"/>
        <v>0</v>
      </c>
      <c r="AF64" s="68">
        <f t="shared" si="45"/>
        <v>0</v>
      </c>
      <c r="AG64" s="68">
        <f t="shared" si="45"/>
        <v>0</v>
      </c>
      <c r="AH64" s="68">
        <f t="shared" si="45"/>
        <v>0</v>
      </c>
      <c r="AI64" s="68">
        <f t="shared" si="45"/>
        <v>0</v>
      </c>
      <c r="AJ64" s="68">
        <f t="shared" si="45"/>
        <v>0</v>
      </c>
      <c r="AK64" s="68">
        <f t="shared" si="45"/>
        <v>0</v>
      </c>
      <c r="AL64" s="68">
        <f t="shared" si="45"/>
        <v>0</v>
      </c>
      <c r="AM64" s="68">
        <f t="shared" si="45"/>
        <v>0</v>
      </c>
      <c r="AN64" s="68">
        <f t="shared" si="45"/>
        <v>0</v>
      </c>
      <c r="AO64" s="68">
        <f t="shared" si="45"/>
        <v>0</v>
      </c>
      <c r="AP64" s="68">
        <f t="shared" si="45"/>
        <v>0</v>
      </c>
      <c r="AQ64" s="68">
        <f t="shared" si="45"/>
        <v>0</v>
      </c>
    </row>
    <row r="65" ht="12.75" hidden="1" customHeight="1" outlineLevel="1">
      <c r="A65" s="63">
        <v>6.0</v>
      </c>
      <c r="B65" s="102">
        <f>ROUND(OFFSET('RSGen 1-7'!$G$47,0,ROW(A65)-ROW($A$58)),0)</f>
        <v>500</v>
      </c>
      <c r="D65" s="68">
        <f t="shared" ref="D65:AQ65" si="46">D27</f>
        <v>0</v>
      </c>
      <c r="E65" s="68">
        <f t="shared" si="46"/>
        <v>0</v>
      </c>
      <c r="F65" s="68">
        <f t="shared" si="46"/>
        <v>0</v>
      </c>
      <c r="G65" s="68">
        <f t="shared" si="46"/>
        <v>0</v>
      </c>
      <c r="H65" s="68">
        <f t="shared" si="46"/>
        <v>0</v>
      </c>
      <c r="I65" s="68">
        <f t="shared" si="46"/>
        <v>0</v>
      </c>
      <c r="J65" s="68">
        <f t="shared" si="46"/>
        <v>0</v>
      </c>
      <c r="K65" s="475">
        <f t="shared" si="46"/>
        <v>1</v>
      </c>
      <c r="L65" s="475">
        <f t="shared" si="46"/>
        <v>0</v>
      </c>
      <c r="M65" s="68">
        <f t="shared" si="46"/>
        <v>1</v>
      </c>
      <c r="N65" s="68">
        <f t="shared" si="46"/>
        <v>2</v>
      </c>
      <c r="O65" s="68">
        <f t="shared" si="46"/>
        <v>4</v>
      </c>
      <c r="P65" s="68">
        <f t="shared" si="46"/>
        <v>5</v>
      </c>
      <c r="Q65" s="68">
        <f t="shared" si="46"/>
        <v>8</v>
      </c>
      <c r="R65" s="68">
        <f t="shared" si="46"/>
        <v>13</v>
      </c>
      <c r="S65" s="68">
        <f t="shared" si="46"/>
        <v>21</v>
      </c>
      <c r="T65" s="68">
        <f t="shared" si="46"/>
        <v>34</v>
      </c>
      <c r="U65" s="68">
        <f t="shared" si="46"/>
        <v>11</v>
      </c>
      <c r="V65" s="68">
        <f t="shared" si="46"/>
        <v>0</v>
      </c>
      <c r="W65" s="68">
        <f t="shared" si="46"/>
        <v>0</v>
      </c>
      <c r="X65" s="68">
        <f t="shared" si="46"/>
        <v>0</v>
      </c>
      <c r="Y65" s="68">
        <f t="shared" si="46"/>
        <v>0</v>
      </c>
      <c r="Z65" s="68">
        <f t="shared" si="46"/>
        <v>0</v>
      </c>
      <c r="AA65" s="68">
        <f t="shared" si="46"/>
        <v>0</v>
      </c>
      <c r="AB65" s="68">
        <f t="shared" si="46"/>
        <v>0</v>
      </c>
      <c r="AC65" s="68">
        <f t="shared" si="46"/>
        <v>0</v>
      </c>
      <c r="AD65" s="68">
        <f t="shared" si="46"/>
        <v>0</v>
      </c>
      <c r="AE65" s="68">
        <f t="shared" si="46"/>
        <v>0</v>
      </c>
      <c r="AF65" s="68">
        <f t="shared" si="46"/>
        <v>0</v>
      </c>
      <c r="AG65" s="68">
        <f t="shared" si="46"/>
        <v>0</v>
      </c>
      <c r="AH65" s="68">
        <f t="shared" si="46"/>
        <v>0</v>
      </c>
      <c r="AI65" s="68">
        <f t="shared" si="46"/>
        <v>0</v>
      </c>
      <c r="AJ65" s="68">
        <f t="shared" si="46"/>
        <v>0</v>
      </c>
      <c r="AK65" s="68">
        <f t="shared" si="46"/>
        <v>0</v>
      </c>
      <c r="AL65" s="68">
        <f t="shared" si="46"/>
        <v>0</v>
      </c>
      <c r="AM65" s="68">
        <f t="shared" si="46"/>
        <v>0</v>
      </c>
      <c r="AN65" s="68">
        <f t="shared" si="46"/>
        <v>0</v>
      </c>
      <c r="AO65" s="68">
        <f t="shared" si="46"/>
        <v>0</v>
      </c>
      <c r="AP65" s="68">
        <f t="shared" si="46"/>
        <v>0</v>
      </c>
      <c r="AQ65" s="68">
        <f t="shared" si="46"/>
        <v>0</v>
      </c>
    </row>
    <row r="66" ht="12.75" hidden="1" customHeight="1" outlineLevel="1">
      <c r="A66" s="63">
        <v>7.0</v>
      </c>
      <c r="B66" s="102">
        <f>ROUND(OFFSET('RSGen 1-7'!$G$47,0,ROW(A66)-ROW($A$58)),0)</f>
        <v>500</v>
      </c>
      <c r="D66" s="68">
        <f t="shared" ref="D66:AQ66" si="47">D28</f>
        <v>0</v>
      </c>
      <c r="E66" s="68">
        <f t="shared" si="47"/>
        <v>0</v>
      </c>
      <c r="F66" s="68">
        <f t="shared" si="47"/>
        <v>0</v>
      </c>
      <c r="G66" s="68">
        <f t="shared" si="47"/>
        <v>0</v>
      </c>
      <c r="H66" s="68">
        <f t="shared" si="47"/>
        <v>0</v>
      </c>
      <c r="I66" s="68">
        <f t="shared" si="47"/>
        <v>0</v>
      </c>
      <c r="J66" s="68">
        <f t="shared" si="47"/>
        <v>0</v>
      </c>
      <c r="K66" s="68">
        <f t="shared" si="47"/>
        <v>0</v>
      </c>
      <c r="L66" s="475">
        <f t="shared" si="47"/>
        <v>1</v>
      </c>
      <c r="M66" s="475">
        <f t="shared" si="47"/>
        <v>0</v>
      </c>
      <c r="N66" s="68">
        <f t="shared" si="47"/>
        <v>1</v>
      </c>
      <c r="O66" s="68">
        <f t="shared" si="47"/>
        <v>2</v>
      </c>
      <c r="P66" s="68">
        <f t="shared" si="47"/>
        <v>4</v>
      </c>
      <c r="Q66" s="68">
        <f t="shared" si="47"/>
        <v>5</v>
      </c>
      <c r="R66" s="68">
        <f t="shared" si="47"/>
        <v>8</v>
      </c>
      <c r="S66" s="68">
        <f t="shared" si="47"/>
        <v>13</v>
      </c>
      <c r="T66" s="68">
        <f t="shared" si="47"/>
        <v>21</v>
      </c>
      <c r="U66" s="68">
        <f t="shared" si="47"/>
        <v>34</v>
      </c>
      <c r="V66" s="68">
        <f t="shared" si="47"/>
        <v>11</v>
      </c>
      <c r="W66" s="68">
        <f t="shared" si="47"/>
        <v>0</v>
      </c>
      <c r="X66" s="68">
        <f t="shared" si="47"/>
        <v>0</v>
      </c>
      <c r="Y66" s="68">
        <f t="shared" si="47"/>
        <v>0</v>
      </c>
      <c r="Z66" s="68">
        <f t="shared" si="47"/>
        <v>0</v>
      </c>
      <c r="AA66" s="68">
        <f t="shared" si="47"/>
        <v>0</v>
      </c>
      <c r="AB66" s="68">
        <f t="shared" si="47"/>
        <v>0</v>
      </c>
      <c r="AC66" s="68">
        <f t="shared" si="47"/>
        <v>0</v>
      </c>
      <c r="AD66" s="68">
        <f t="shared" si="47"/>
        <v>0</v>
      </c>
      <c r="AE66" s="68">
        <f t="shared" si="47"/>
        <v>0</v>
      </c>
      <c r="AF66" s="68">
        <f t="shared" si="47"/>
        <v>0</v>
      </c>
      <c r="AG66" s="68">
        <f t="shared" si="47"/>
        <v>0</v>
      </c>
      <c r="AH66" s="68">
        <f t="shared" si="47"/>
        <v>0</v>
      </c>
      <c r="AI66" s="68">
        <f t="shared" si="47"/>
        <v>0</v>
      </c>
      <c r="AJ66" s="68">
        <f t="shared" si="47"/>
        <v>0</v>
      </c>
      <c r="AK66" s="68">
        <f t="shared" si="47"/>
        <v>0</v>
      </c>
      <c r="AL66" s="68">
        <f t="shared" si="47"/>
        <v>0</v>
      </c>
      <c r="AM66" s="68">
        <f t="shared" si="47"/>
        <v>0</v>
      </c>
      <c r="AN66" s="68">
        <f t="shared" si="47"/>
        <v>0</v>
      </c>
      <c r="AO66" s="68">
        <f t="shared" si="47"/>
        <v>0</v>
      </c>
      <c r="AP66" s="68">
        <f t="shared" si="47"/>
        <v>0</v>
      </c>
      <c r="AQ66" s="68">
        <f t="shared" si="47"/>
        <v>0</v>
      </c>
    </row>
    <row r="67" ht="12.75" hidden="1" customHeight="1" outlineLevel="1">
      <c r="A67" s="63" t="s">
        <v>1070</v>
      </c>
      <c r="B67" s="102">
        <f>ROUND(OFFSET('RSGen 1-7'!$G$47,0,ROW(A67)-ROW($A$58)),0)</f>
        <v>500</v>
      </c>
      <c r="D67" s="68">
        <f t="shared" ref="D67:AQ67" si="48">D29</f>
        <v>0</v>
      </c>
      <c r="E67" s="68">
        <f t="shared" si="48"/>
        <v>0</v>
      </c>
      <c r="F67" s="68">
        <f t="shared" si="48"/>
        <v>0</v>
      </c>
      <c r="G67" s="68">
        <f t="shared" si="48"/>
        <v>0</v>
      </c>
      <c r="H67" s="68">
        <f t="shared" si="48"/>
        <v>0</v>
      </c>
      <c r="I67" s="68">
        <f t="shared" si="48"/>
        <v>0</v>
      </c>
      <c r="J67" s="68">
        <f t="shared" si="48"/>
        <v>0</v>
      </c>
      <c r="K67" s="68">
        <f t="shared" si="48"/>
        <v>0</v>
      </c>
      <c r="L67" s="68">
        <f t="shared" si="48"/>
        <v>0</v>
      </c>
      <c r="M67" s="475">
        <f t="shared" si="48"/>
        <v>1</v>
      </c>
      <c r="N67" s="475">
        <f t="shared" si="48"/>
        <v>1</v>
      </c>
      <c r="O67" s="475">
        <f t="shared" si="48"/>
        <v>2</v>
      </c>
      <c r="P67" s="475">
        <f t="shared" si="48"/>
        <v>4</v>
      </c>
      <c r="Q67" s="475">
        <f t="shared" si="48"/>
        <v>8</v>
      </c>
      <c r="R67" s="475">
        <f t="shared" si="48"/>
        <v>13</v>
      </c>
      <c r="S67" s="475">
        <f t="shared" si="48"/>
        <v>21</v>
      </c>
      <c r="T67" s="475">
        <f t="shared" si="48"/>
        <v>34</v>
      </c>
      <c r="U67" s="475">
        <f t="shared" si="48"/>
        <v>55</v>
      </c>
      <c r="V67" s="475">
        <f t="shared" si="48"/>
        <v>89</v>
      </c>
      <c r="W67" s="475">
        <f t="shared" si="48"/>
        <v>100</v>
      </c>
      <c r="X67" s="475">
        <f t="shared" si="48"/>
        <v>100</v>
      </c>
      <c r="Y67" s="475">
        <f t="shared" si="48"/>
        <v>100</v>
      </c>
      <c r="Z67" s="475">
        <f t="shared" si="48"/>
        <v>100</v>
      </c>
      <c r="AA67" s="475">
        <f t="shared" si="48"/>
        <v>100</v>
      </c>
      <c r="AB67" s="475">
        <f t="shared" si="48"/>
        <v>100</v>
      </c>
      <c r="AC67" s="475">
        <f t="shared" si="48"/>
        <v>100</v>
      </c>
      <c r="AD67" s="475">
        <f t="shared" si="48"/>
        <v>100</v>
      </c>
      <c r="AE67" s="475">
        <f t="shared" si="48"/>
        <v>100</v>
      </c>
      <c r="AF67" s="475">
        <f t="shared" si="48"/>
        <v>100</v>
      </c>
      <c r="AG67" s="475">
        <f t="shared" si="48"/>
        <v>100</v>
      </c>
      <c r="AH67" s="475">
        <f t="shared" si="48"/>
        <v>100</v>
      </c>
      <c r="AI67" s="475">
        <f t="shared" si="48"/>
        <v>100</v>
      </c>
      <c r="AJ67" s="475">
        <f t="shared" si="48"/>
        <v>100</v>
      </c>
      <c r="AK67" s="475">
        <f t="shared" si="48"/>
        <v>100</v>
      </c>
      <c r="AL67" s="475">
        <f t="shared" si="48"/>
        <v>100</v>
      </c>
      <c r="AM67" s="475">
        <f t="shared" si="48"/>
        <v>100</v>
      </c>
      <c r="AN67" s="475">
        <f t="shared" si="48"/>
        <v>100</v>
      </c>
      <c r="AO67" s="475">
        <f t="shared" si="48"/>
        <v>100</v>
      </c>
      <c r="AP67" s="475">
        <f t="shared" si="48"/>
        <v>100</v>
      </c>
      <c r="AQ67" s="475">
        <f t="shared" si="48"/>
        <v>100</v>
      </c>
    </row>
    <row r="68" ht="12.75" hidden="1" customHeight="1" outlineLevel="1">
      <c r="A68" s="90"/>
      <c r="B68" s="90"/>
    </row>
    <row r="69" ht="12.75" customHeight="1">
      <c r="A69" s="90"/>
      <c r="B69" s="90"/>
    </row>
    <row r="70" ht="12.75" customHeight="1">
      <c r="A70" s="90"/>
      <c r="B70" s="90"/>
    </row>
    <row r="71" ht="12.75" customHeight="1">
      <c r="A71" s="90"/>
      <c r="B71" s="90"/>
    </row>
    <row r="72" ht="12.75" customHeight="1">
      <c r="A72" s="90"/>
      <c r="B72" s="90"/>
    </row>
    <row r="73" ht="12.75" customHeight="1">
      <c r="A73" s="90"/>
      <c r="B73" s="90"/>
    </row>
    <row r="74" ht="12.75" customHeight="1">
      <c r="A74" s="90"/>
      <c r="B74" s="90"/>
    </row>
    <row r="75" ht="12.75" customHeight="1">
      <c r="A75" s="90"/>
      <c r="B75" s="90"/>
    </row>
    <row r="76" ht="12.75" customHeight="1">
      <c r="A76" s="90"/>
      <c r="B76" s="90"/>
    </row>
    <row r="77" ht="12.75" customHeight="1">
      <c r="A77" s="90"/>
      <c r="B77" s="90"/>
    </row>
    <row r="78" ht="12.75" customHeight="1">
      <c r="A78" s="90"/>
      <c r="B78" s="90"/>
    </row>
    <row r="79" ht="12.75" customHeight="1">
      <c r="A79" s="90"/>
      <c r="B79" s="90"/>
    </row>
    <row r="80" ht="12.75" customHeight="1">
      <c r="A80" s="90"/>
      <c r="B80" s="90"/>
    </row>
    <row r="81" ht="12.75" customHeight="1">
      <c r="A81" s="90"/>
      <c r="B81" s="90"/>
    </row>
    <row r="82" ht="12.75" customHeight="1">
      <c r="A82" s="90"/>
      <c r="B82" s="90"/>
    </row>
    <row r="83" ht="12.75" customHeight="1">
      <c r="A83" s="90"/>
      <c r="B83" s="90"/>
    </row>
    <row r="84" ht="12.75" customHeight="1">
      <c r="A84" s="90"/>
      <c r="B84" s="90"/>
    </row>
    <row r="85" ht="12.75" customHeight="1">
      <c r="A85" s="90"/>
      <c r="B85" s="90"/>
    </row>
    <row r="86" ht="12.75" customHeight="1">
      <c r="A86" s="90"/>
      <c r="B86" s="90"/>
    </row>
    <row r="87" ht="12.75" customHeight="1">
      <c r="A87" s="90"/>
      <c r="B87" s="90"/>
    </row>
    <row r="88" ht="12.75" customHeight="1">
      <c r="A88" s="90"/>
      <c r="B88" s="90"/>
    </row>
    <row r="89" ht="12.75" customHeight="1">
      <c r="A89" s="90"/>
      <c r="B89" s="90"/>
    </row>
    <row r="90" ht="12.75" customHeight="1">
      <c r="A90" s="90"/>
      <c r="B90" s="90"/>
    </row>
    <row r="91" ht="12.75" customHeight="1">
      <c r="A91" s="90"/>
      <c r="B91" s="90"/>
    </row>
    <row r="92" ht="12.75" customHeight="1">
      <c r="A92" s="90"/>
      <c r="B92" s="90"/>
    </row>
    <row r="93" ht="12.75" customHeight="1">
      <c r="A93" s="90"/>
      <c r="B93" s="90"/>
    </row>
    <row r="94" ht="12.75" customHeight="1">
      <c r="A94" s="90"/>
      <c r="B94" s="90"/>
    </row>
    <row r="95" ht="12.75" customHeight="1">
      <c r="A95" s="90"/>
      <c r="B95" s="90"/>
    </row>
    <row r="96" ht="12.75" customHeight="1">
      <c r="A96" s="90"/>
      <c r="B96" s="90"/>
    </row>
    <row r="97" ht="12.75" customHeight="1">
      <c r="A97" s="90"/>
      <c r="B97" s="90"/>
    </row>
    <row r="98" ht="12.75" customHeight="1">
      <c r="A98" s="90"/>
      <c r="B98" s="90"/>
    </row>
    <row r="99" ht="12.75" customHeight="1">
      <c r="A99" s="90"/>
      <c r="B99" s="90"/>
    </row>
    <row r="100" ht="12.75" customHeight="1">
      <c r="A100" s="90"/>
      <c r="B100" s="90"/>
    </row>
    <row r="101" ht="12.75" customHeight="1">
      <c r="A101" s="90"/>
      <c r="B101" s="90"/>
    </row>
    <row r="102" ht="12.75" customHeight="1">
      <c r="A102" s="90"/>
      <c r="B102" s="90"/>
    </row>
    <row r="103" ht="12.75" customHeight="1">
      <c r="A103" s="90"/>
      <c r="B103" s="90"/>
    </row>
    <row r="104" ht="12.75" customHeight="1">
      <c r="A104" s="90"/>
      <c r="B104" s="90"/>
    </row>
    <row r="105" ht="12.75" customHeight="1">
      <c r="A105" s="90"/>
      <c r="B105" s="90"/>
    </row>
    <row r="106" ht="12.75" customHeight="1">
      <c r="A106" s="90"/>
      <c r="B106" s="90"/>
    </row>
    <row r="107" ht="12.75" customHeight="1">
      <c r="A107" s="90"/>
      <c r="B107" s="90"/>
    </row>
    <row r="108" ht="12.75" customHeight="1">
      <c r="A108" s="90"/>
      <c r="B108" s="90"/>
    </row>
    <row r="109" ht="12.75" customHeight="1">
      <c r="A109" s="90"/>
      <c r="B109" s="90"/>
    </row>
    <row r="110" ht="12.75" customHeight="1">
      <c r="A110" s="90"/>
      <c r="B110" s="90"/>
    </row>
    <row r="111" ht="12.75" customHeight="1">
      <c r="A111" s="90"/>
      <c r="B111" s="90"/>
    </row>
    <row r="112" ht="12.75" customHeight="1">
      <c r="A112" s="90"/>
      <c r="B112" s="90"/>
    </row>
    <row r="113" ht="12.75" customHeight="1">
      <c r="A113" s="90"/>
      <c r="B113" s="90"/>
    </row>
    <row r="114" ht="12.75" customHeight="1">
      <c r="A114" s="90"/>
      <c r="B114" s="90"/>
    </row>
    <row r="115" ht="12.75" customHeight="1">
      <c r="A115" s="90"/>
      <c r="B115" s="90"/>
    </row>
    <row r="116" ht="12.75" customHeight="1">
      <c r="A116" s="90"/>
      <c r="B116" s="90"/>
    </row>
    <row r="117" ht="12.75" customHeight="1">
      <c r="A117" s="90"/>
      <c r="B117" s="90"/>
    </row>
    <row r="118" ht="12.75" customHeight="1">
      <c r="A118" s="90"/>
      <c r="B118" s="90"/>
    </row>
    <row r="119" ht="12.75" customHeight="1">
      <c r="A119" s="90"/>
      <c r="B119" s="90"/>
    </row>
    <row r="120" ht="12.75" customHeight="1">
      <c r="A120" s="90"/>
      <c r="B120" s="90"/>
    </row>
    <row r="121" ht="12.75" customHeight="1">
      <c r="A121" s="90"/>
      <c r="B121" s="90"/>
    </row>
    <row r="122" ht="12.75" customHeight="1">
      <c r="A122" s="90"/>
      <c r="B122" s="90"/>
    </row>
    <row r="123" ht="12.75" customHeight="1">
      <c r="A123" s="90"/>
      <c r="B123" s="90"/>
    </row>
    <row r="124" ht="12.75" customHeight="1">
      <c r="A124" s="90"/>
      <c r="B124" s="90"/>
    </row>
    <row r="125" ht="12.75" customHeight="1">
      <c r="A125" s="90"/>
      <c r="B125" s="90"/>
    </row>
    <row r="126" ht="12.75" customHeight="1">
      <c r="A126" s="90"/>
      <c r="B126" s="90"/>
    </row>
    <row r="127" ht="12.75" customHeight="1">
      <c r="A127" s="90"/>
      <c r="B127" s="90"/>
    </row>
    <row r="128" ht="12.75" customHeight="1">
      <c r="A128" s="90"/>
      <c r="B128" s="90"/>
    </row>
    <row r="129" ht="12.75" customHeight="1">
      <c r="A129" s="90"/>
      <c r="B129" s="90"/>
    </row>
    <row r="130" ht="12.75" customHeight="1">
      <c r="A130" s="90"/>
      <c r="B130" s="90"/>
    </row>
    <row r="131" ht="12.75" customHeight="1">
      <c r="A131" s="90"/>
      <c r="B131" s="90"/>
    </row>
    <row r="132" ht="12.75" customHeight="1">
      <c r="A132" s="90"/>
      <c r="B132" s="90"/>
    </row>
    <row r="133" ht="12.75" customHeight="1">
      <c r="A133" s="90"/>
      <c r="B133" s="90"/>
    </row>
    <row r="134" ht="12.75" customHeight="1">
      <c r="A134" s="90"/>
      <c r="B134" s="90"/>
    </row>
    <row r="135" ht="12.75" customHeight="1">
      <c r="A135" s="90"/>
      <c r="B135" s="90"/>
    </row>
    <row r="136" ht="12.75" customHeight="1">
      <c r="A136" s="90"/>
      <c r="B136" s="90"/>
    </row>
    <row r="137" ht="12.75" customHeight="1">
      <c r="A137" s="90"/>
      <c r="B137" s="90"/>
    </row>
    <row r="138" ht="12.75" customHeight="1">
      <c r="A138" s="90"/>
      <c r="B138" s="90"/>
    </row>
    <row r="139" ht="12.75" customHeight="1">
      <c r="A139" s="90"/>
      <c r="B139" s="90"/>
    </row>
    <row r="140" ht="12.75" customHeight="1">
      <c r="A140" s="90"/>
      <c r="B140" s="90"/>
    </row>
    <row r="141" ht="12.75" customHeight="1">
      <c r="A141" s="90"/>
      <c r="B141" s="90"/>
    </row>
    <row r="142" ht="12.75" customHeight="1">
      <c r="A142" s="90"/>
      <c r="B142" s="90"/>
    </row>
    <row r="143" ht="12.75" customHeight="1">
      <c r="A143" s="90"/>
      <c r="B143" s="90"/>
    </row>
    <row r="144" ht="12.75" customHeight="1">
      <c r="A144" s="90"/>
      <c r="B144" s="90"/>
    </row>
    <row r="145" ht="12.75" customHeight="1">
      <c r="A145" s="90"/>
      <c r="B145" s="90"/>
    </row>
    <row r="146" ht="12.75" customHeight="1">
      <c r="A146" s="90"/>
      <c r="B146" s="90"/>
    </row>
    <row r="147" ht="12.75" customHeight="1">
      <c r="A147" s="90"/>
      <c r="B147" s="90"/>
    </row>
    <row r="148" ht="12.75" customHeight="1">
      <c r="A148" s="90"/>
      <c r="B148" s="90"/>
    </row>
    <row r="149" ht="12.75" customHeight="1">
      <c r="A149" s="90"/>
      <c r="B149" s="90"/>
    </row>
    <row r="150" ht="12.75" customHeight="1">
      <c r="A150" s="90"/>
      <c r="B150" s="90"/>
    </row>
    <row r="151" ht="12.75" customHeight="1">
      <c r="A151" s="90"/>
      <c r="B151" s="90"/>
    </row>
    <row r="152" ht="12.75" customHeight="1">
      <c r="A152" s="90"/>
      <c r="B152" s="90"/>
    </row>
    <row r="153" ht="12.75" customHeight="1">
      <c r="A153" s="90"/>
      <c r="B153" s="90"/>
    </row>
    <row r="154" ht="12.75" customHeight="1">
      <c r="A154" s="90"/>
      <c r="B154" s="90"/>
    </row>
    <row r="155" ht="12.75" customHeight="1">
      <c r="A155" s="90"/>
      <c r="B155" s="90"/>
    </row>
    <row r="156" ht="12.75" customHeight="1">
      <c r="A156" s="90"/>
      <c r="B156" s="90"/>
    </row>
    <row r="157" ht="12.75" customHeight="1">
      <c r="A157" s="90"/>
      <c r="B157" s="90"/>
    </row>
    <row r="158" ht="12.75" customHeight="1">
      <c r="A158" s="90"/>
      <c r="B158" s="90"/>
    </row>
    <row r="159" ht="12.75" customHeight="1">
      <c r="A159" s="90"/>
      <c r="B159" s="90"/>
    </row>
    <row r="160" ht="12.75" customHeight="1">
      <c r="A160" s="90"/>
      <c r="B160" s="90"/>
    </row>
    <row r="161" ht="12.75" customHeight="1">
      <c r="A161" s="90"/>
      <c r="B161" s="90"/>
    </row>
    <row r="162" ht="12.75" customHeight="1">
      <c r="A162" s="90"/>
      <c r="B162" s="90"/>
    </row>
    <row r="163" ht="12.75" customHeight="1">
      <c r="A163" s="90"/>
      <c r="B163" s="90"/>
    </row>
    <row r="164" ht="12.75" customHeight="1">
      <c r="A164" s="90"/>
      <c r="B164" s="90"/>
    </row>
    <row r="165" ht="12.75" customHeight="1">
      <c r="A165" s="90"/>
      <c r="B165" s="90"/>
    </row>
    <row r="166" ht="12.75" customHeight="1">
      <c r="A166" s="90"/>
      <c r="B166" s="90"/>
    </row>
    <row r="167" ht="12.75" customHeight="1">
      <c r="A167" s="90"/>
      <c r="B167" s="90"/>
    </row>
    <row r="168" ht="12.75" customHeight="1">
      <c r="A168" s="90"/>
      <c r="B168" s="90"/>
    </row>
    <row r="169" ht="12.75" customHeight="1">
      <c r="A169" s="90"/>
      <c r="B169" s="90"/>
    </row>
    <row r="170" ht="12.75" customHeight="1">
      <c r="A170" s="90"/>
      <c r="B170" s="90"/>
    </row>
    <row r="171" ht="12.75" customHeight="1">
      <c r="A171" s="90"/>
      <c r="B171" s="90"/>
    </row>
    <row r="172" ht="12.75" customHeight="1">
      <c r="A172" s="90"/>
      <c r="B172" s="90"/>
    </row>
    <row r="173" ht="12.75" customHeight="1">
      <c r="A173" s="90"/>
      <c r="B173" s="90"/>
    </row>
    <row r="174" ht="12.75" customHeight="1">
      <c r="A174" s="90"/>
      <c r="B174" s="90"/>
    </row>
    <row r="175" ht="12.75" customHeight="1">
      <c r="A175" s="90"/>
      <c r="B175" s="90"/>
    </row>
    <row r="176" ht="12.75" customHeight="1">
      <c r="A176" s="90"/>
      <c r="B176" s="90"/>
    </row>
    <row r="177" ht="12.75" customHeight="1">
      <c r="A177" s="90"/>
      <c r="B177" s="90"/>
    </row>
    <row r="178" ht="12.75" customHeight="1">
      <c r="A178" s="90"/>
      <c r="B178" s="90"/>
    </row>
    <row r="179" ht="12.75" customHeight="1">
      <c r="A179" s="90"/>
      <c r="B179" s="90"/>
    </row>
    <row r="180" ht="12.75" customHeight="1">
      <c r="A180" s="90"/>
      <c r="B180" s="90"/>
    </row>
    <row r="181" ht="12.75" customHeight="1">
      <c r="A181" s="90"/>
      <c r="B181" s="90"/>
    </row>
    <row r="182" ht="12.75" customHeight="1">
      <c r="A182" s="90"/>
      <c r="B182" s="90"/>
    </row>
    <row r="183" ht="12.75" customHeight="1">
      <c r="A183" s="90"/>
      <c r="B183" s="90"/>
    </row>
    <row r="184" ht="12.75" customHeight="1">
      <c r="A184" s="90"/>
      <c r="B184" s="90"/>
    </row>
    <row r="185" ht="12.75" customHeight="1">
      <c r="A185" s="90"/>
      <c r="B185" s="90"/>
    </row>
    <row r="186" ht="12.75" customHeight="1">
      <c r="A186" s="90"/>
      <c r="B186" s="90"/>
    </row>
    <row r="187" ht="12.75" customHeight="1">
      <c r="A187" s="90"/>
      <c r="B187" s="90"/>
    </row>
    <row r="188" ht="12.75" customHeight="1">
      <c r="A188" s="90"/>
      <c r="B188" s="90"/>
    </row>
    <row r="189" ht="12.75" customHeight="1">
      <c r="A189" s="90"/>
      <c r="B189" s="90"/>
    </row>
    <row r="190" ht="12.75" customHeight="1">
      <c r="A190" s="90"/>
      <c r="B190" s="90"/>
    </row>
    <row r="191" ht="12.75" customHeight="1">
      <c r="A191" s="90"/>
      <c r="B191" s="90"/>
    </row>
    <row r="192" ht="12.75" customHeight="1">
      <c r="A192" s="90"/>
      <c r="B192" s="90"/>
    </row>
    <row r="193" ht="12.75" customHeight="1">
      <c r="A193" s="90"/>
      <c r="B193" s="90"/>
    </row>
    <row r="194" ht="12.75" customHeight="1">
      <c r="A194" s="90"/>
      <c r="B194" s="90"/>
    </row>
    <row r="195" ht="12.75" customHeight="1">
      <c r="A195" s="90"/>
      <c r="B195" s="90"/>
    </row>
    <row r="196" ht="12.75" customHeight="1">
      <c r="A196" s="90"/>
      <c r="B196" s="90"/>
    </row>
    <row r="197" ht="12.75" customHeight="1">
      <c r="A197" s="90"/>
      <c r="B197" s="90"/>
    </row>
    <row r="198" ht="12.75" customHeight="1">
      <c r="A198" s="90"/>
      <c r="B198" s="90"/>
    </row>
    <row r="199" ht="12.75" customHeight="1">
      <c r="A199" s="90"/>
      <c r="B199" s="90"/>
    </row>
    <row r="200" ht="12.75" customHeight="1">
      <c r="A200" s="90"/>
      <c r="B200" s="90"/>
    </row>
    <row r="201" ht="12.75" customHeight="1">
      <c r="A201" s="90"/>
      <c r="B201" s="90"/>
    </row>
    <row r="202" ht="12.75" customHeight="1">
      <c r="A202" s="90"/>
      <c r="B202" s="90"/>
    </row>
    <row r="203" ht="12.75" customHeight="1">
      <c r="A203" s="90"/>
      <c r="B203" s="90"/>
    </row>
    <row r="204" ht="12.75" customHeight="1">
      <c r="A204" s="90"/>
      <c r="B204" s="90"/>
    </row>
    <row r="205" ht="12.75" customHeight="1">
      <c r="A205" s="90"/>
      <c r="B205" s="90"/>
    </row>
    <row r="206" ht="12.75" customHeight="1">
      <c r="A206" s="90"/>
      <c r="B206" s="90"/>
    </row>
    <row r="207" ht="12.75" customHeight="1">
      <c r="A207" s="90"/>
      <c r="B207" s="90"/>
    </row>
    <row r="208" ht="12.75" customHeight="1">
      <c r="A208" s="90"/>
      <c r="B208" s="90"/>
    </row>
    <row r="209" ht="12.75" customHeight="1">
      <c r="A209" s="90"/>
      <c r="B209" s="90"/>
    </row>
    <row r="210" ht="12.75" customHeight="1">
      <c r="A210" s="90"/>
      <c r="B210" s="90"/>
    </row>
    <row r="211" ht="12.75" customHeight="1">
      <c r="A211" s="90"/>
      <c r="B211" s="90"/>
    </row>
    <row r="212" ht="12.75" customHeight="1">
      <c r="A212" s="90"/>
      <c r="B212" s="90"/>
    </row>
    <row r="213" ht="12.75" customHeight="1">
      <c r="A213" s="90"/>
      <c r="B213" s="90"/>
    </row>
    <row r="214" ht="12.75" customHeight="1">
      <c r="A214" s="90"/>
      <c r="B214" s="90"/>
    </row>
    <row r="215" ht="12.75" customHeight="1">
      <c r="A215" s="90"/>
      <c r="B215" s="90"/>
    </row>
    <row r="216" ht="12.75" customHeight="1">
      <c r="A216" s="90"/>
      <c r="B216" s="90"/>
    </row>
    <row r="217" ht="12.75" customHeight="1">
      <c r="A217" s="90"/>
      <c r="B217" s="90"/>
    </row>
    <row r="218" ht="12.75" customHeight="1">
      <c r="A218" s="90"/>
      <c r="B218" s="90"/>
    </row>
    <row r="219" ht="12.75" customHeight="1">
      <c r="A219" s="90"/>
      <c r="B219" s="90"/>
    </row>
    <row r="220" ht="12.75" customHeight="1">
      <c r="A220" s="90"/>
      <c r="B220" s="90"/>
    </row>
    <row r="221" ht="12.75" customHeight="1">
      <c r="A221" s="90"/>
      <c r="B221" s="90"/>
      <c r="P221" s="93"/>
      <c r="Q221" s="93"/>
      <c r="R221" s="93"/>
      <c r="S221" s="93"/>
      <c r="T221" s="93"/>
      <c r="U221" s="93"/>
      <c r="V221" s="93"/>
      <c r="W221" s="93"/>
      <c r="X221" s="93"/>
      <c r="Y221" s="93"/>
      <c r="Z221" s="93"/>
      <c r="AA221" s="93"/>
      <c r="AB221" s="93"/>
      <c r="AC221" s="93"/>
      <c r="AD221" s="93"/>
      <c r="AE221" s="93"/>
      <c r="AF221" s="93"/>
      <c r="AG221" s="93"/>
      <c r="AH221" s="93"/>
      <c r="AI221" s="93"/>
      <c r="AJ221" s="93"/>
      <c r="AK221" s="93"/>
      <c r="AL221" s="93"/>
      <c r="AM221" s="93"/>
      <c r="AN221" s="93"/>
      <c r="AO221" s="93"/>
      <c r="AP221" s="93"/>
      <c r="AQ221" s="93"/>
      <c r="AR221" s="93"/>
      <c r="AS221" s="93"/>
      <c r="AT221" s="93"/>
      <c r="AU221" s="93"/>
      <c r="AV221" s="93"/>
      <c r="AW221" s="93"/>
      <c r="AX221" s="93"/>
      <c r="AY221" s="93"/>
    </row>
    <row r="222" ht="12.75" customHeight="1">
      <c r="A222" s="90"/>
      <c r="B222" s="90"/>
      <c r="P222" s="93"/>
      <c r="Q222" s="93"/>
      <c r="R222" s="93"/>
      <c r="S222" s="93"/>
      <c r="T222" s="93"/>
      <c r="U222" s="93"/>
      <c r="V222" s="93"/>
      <c r="W222" s="93"/>
      <c r="X222" s="93"/>
      <c r="Y222" s="93"/>
      <c r="Z222" s="93"/>
      <c r="AA222" s="93"/>
      <c r="AB222" s="93"/>
      <c r="AC222" s="93"/>
      <c r="AD222" s="93"/>
      <c r="AE222" s="93"/>
      <c r="AF222" s="93"/>
      <c r="AG222" s="93"/>
      <c r="AH222" s="93"/>
      <c r="AI222" s="93"/>
      <c r="AJ222" s="93"/>
      <c r="AK222" s="93"/>
      <c r="AL222" s="93"/>
      <c r="AM222" s="93"/>
      <c r="AN222" s="93"/>
      <c r="AO222" s="93"/>
      <c r="AP222" s="93"/>
      <c r="AQ222" s="93"/>
      <c r="AR222" s="93"/>
      <c r="AS222" s="93"/>
      <c r="AT222" s="93"/>
      <c r="AU222" s="93"/>
      <c r="AV222" s="93"/>
      <c r="AW222" s="93"/>
      <c r="AX222" s="93"/>
      <c r="AY222" s="93"/>
    </row>
    <row r="223" ht="12.75" customHeight="1">
      <c r="A223" s="90"/>
      <c r="B223" s="90"/>
      <c r="P223" s="93"/>
      <c r="Q223" s="93"/>
      <c r="R223" s="93"/>
      <c r="S223" s="93"/>
      <c r="T223" s="93"/>
      <c r="U223" s="93"/>
      <c r="V223" s="93"/>
      <c r="W223" s="93"/>
      <c r="X223" s="93"/>
      <c r="Y223" s="93"/>
      <c r="Z223" s="93"/>
      <c r="AA223" s="93"/>
      <c r="AB223" s="93"/>
      <c r="AC223" s="93"/>
      <c r="AD223" s="93"/>
      <c r="AE223" s="93"/>
      <c r="AF223" s="93"/>
      <c r="AG223" s="93"/>
      <c r="AH223" s="93"/>
      <c r="AI223" s="93"/>
      <c r="AJ223" s="93"/>
      <c r="AK223" s="93"/>
      <c r="AL223" s="93"/>
      <c r="AM223" s="93"/>
      <c r="AN223" s="93"/>
      <c r="AO223" s="93"/>
      <c r="AP223" s="93"/>
      <c r="AQ223" s="93"/>
      <c r="AR223" s="93"/>
      <c r="AS223" s="93"/>
      <c r="AT223" s="93"/>
      <c r="AU223" s="93"/>
      <c r="AV223" s="93"/>
      <c r="AW223" s="93"/>
      <c r="AX223" s="93"/>
      <c r="AY223" s="93"/>
    </row>
    <row r="224" ht="12.75" customHeight="1">
      <c r="A224" s="90"/>
      <c r="B224" s="90"/>
      <c r="P224" s="93"/>
      <c r="Q224" s="93"/>
      <c r="R224" s="93"/>
      <c r="S224" s="93"/>
      <c r="T224" s="93"/>
      <c r="U224" s="93"/>
      <c r="V224" s="93"/>
      <c r="W224" s="93"/>
      <c r="X224" s="93"/>
      <c r="Y224" s="93"/>
      <c r="Z224" s="93"/>
      <c r="AA224" s="93"/>
      <c r="AB224" s="93"/>
      <c r="AC224" s="93"/>
      <c r="AD224" s="93"/>
      <c r="AE224" s="93"/>
      <c r="AF224" s="93"/>
      <c r="AG224" s="93"/>
      <c r="AH224" s="93"/>
      <c r="AI224" s="93"/>
      <c r="AJ224" s="93"/>
      <c r="AK224" s="93"/>
      <c r="AL224" s="93"/>
      <c r="AM224" s="93"/>
      <c r="AN224" s="93"/>
      <c r="AO224" s="93"/>
      <c r="AP224" s="93"/>
      <c r="AQ224" s="93"/>
      <c r="AR224" s="93"/>
      <c r="AS224" s="93"/>
      <c r="AT224" s="93"/>
      <c r="AU224" s="93"/>
      <c r="AV224" s="93"/>
      <c r="AW224" s="93"/>
      <c r="AX224" s="93"/>
      <c r="AY224" s="93"/>
    </row>
    <row r="225" ht="12.75" customHeight="1">
      <c r="A225" s="90"/>
      <c r="B225" s="90"/>
      <c r="P225" s="93"/>
      <c r="Q225" s="93"/>
      <c r="R225" s="93"/>
      <c r="S225" s="93"/>
      <c r="T225" s="93"/>
      <c r="U225" s="93"/>
      <c r="V225" s="93"/>
      <c r="W225" s="93"/>
      <c r="X225" s="93"/>
      <c r="Y225" s="93"/>
      <c r="Z225" s="93"/>
      <c r="AA225" s="93"/>
      <c r="AB225" s="93"/>
      <c r="AC225" s="93"/>
      <c r="AD225" s="93"/>
      <c r="AE225" s="93"/>
      <c r="AF225" s="93"/>
      <c r="AG225" s="93"/>
      <c r="AH225" s="93"/>
      <c r="AI225" s="93"/>
      <c r="AJ225" s="93"/>
      <c r="AK225" s="93"/>
      <c r="AL225" s="93"/>
      <c r="AM225" s="93"/>
      <c r="AN225" s="93"/>
      <c r="AO225" s="93"/>
      <c r="AP225" s="93"/>
      <c r="AQ225" s="93"/>
      <c r="AR225" s="93"/>
      <c r="AS225" s="93"/>
      <c r="AT225" s="93"/>
      <c r="AU225" s="93"/>
      <c r="AV225" s="93"/>
      <c r="AW225" s="93"/>
      <c r="AX225" s="93"/>
      <c r="AY225" s="93"/>
    </row>
    <row r="226" ht="12.75" customHeight="1">
      <c r="A226" s="90"/>
      <c r="B226" s="90"/>
      <c r="P226" s="93"/>
      <c r="Q226" s="93"/>
      <c r="R226" s="93"/>
      <c r="S226" s="93"/>
      <c r="T226" s="93"/>
      <c r="U226" s="93"/>
      <c r="V226" s="93"/>
      <c r="W226" s="93"/>
      <c r="X226" s="93"/>
      <c r="Y226" s="93"/>
      <c r="Z226" s="93"/>
      <c r="AA226" s="93"/>
      <c r="AB226" s="93"/>
      <c r="AC226" s="93"/>
      <c r="AD226" s="93"/>
      <c r="AE226" s="93"/>
      <c r="AF226" s="93"/>
      <c r="AG226" s="93"/>
      <c r="AH226" s="93"/>
      <c r="AI226" s="93"/>
      <c r="AJ226" s="93"/>
      <c r="AK226" s="93"/>
      <c r="AL226" s="93"/>
      <c r="AM226" s="93"/>
      <c r="AN226" s="93"/>
      <c r="AO226" s="93"/>
      <c r="AP226" s="93"/>
      <c r="AQ226" s="93"/>
      <c r="AR226" s="93"/>
      <c r="AS226" s="93"/>
      <c r="AT226" s="93"/>
      <c r="AU226" s="93"/>
      <c r="AV226" s="93"/>
      <c r="AW226" s="93"/>
      <c r="AX226" s="93"/>
      <c r="AY226" s="93"/>
    </row>
    <row r="227" ht="12.75" customHeight="1">
      <c r="A227" s="90"/>
      <c r="B227" s="90"/>
      <c r="P227" s="93"/>
      <c r="Q227" s="93"/>
      <c r="R227" s="93"/>
      <c r="S227" s="93"/>
      <c r="T227" s="93"/>
      <c r="U227" s="93"/>
      <c r="V227" s="93"/>
      <c r="W227" s="93"/>
      <c r="X227" s="93"/>
      <c r="Y227" s="93"/>
      <c r="Z227" s="93"/>
      <c r="AA227" s="93"/>
      <c r="AB227" s="93"/>
      <c r="AC227" s="93"/>
      <c r="AD227" s="93"/>
      <c r="AE227" s="93"/>
      <c r="AF227" s="93"/>
      <c r="AG227" s="93"/>
      <c r="AH227" s="93"/>
      <c r="AI227" s="93"/>
      <c r="AJ227" s="93"/>
      <c r="AK227" s="93"/>
      <c r="AL227" s="93"/>
      <c r="AM227" s="93"/>
      <c r="AN227" s="93"/>
      <c r="AO227" s="93"/>
      <c r="AP227" s="93"/>
      <c r="AQ227" s="93"/>
      <c r="AR227" s="93"/>
      <c r="AS227" s="93"/>
      <c r="AT227" s="93"/>
      <c r="AU227" s="93"/>
      <c r="AV227" s="93"/>
      <c r="AW227" s="93"/>
      <c r="AX227" s="93"/>
      <c r="AY227" s="93"/>
    </row>
    <row r="228" ht="12.75" customHeight="1">
      <c r="A228" s="90"/>
      <c r="B228" s="90"/>
      <c r="P228" s="93"/>
      <c r="Q228" s="93"/>
      <c r="R228" s="93"/>
      <c r="S228" s="93"/>
      <c r="T228" s="93"/>
      <c r="U228" s="93"/>
      <c r="V228" s="93"/>
      <c r="W228" s="93"/>
      <c r="X228" s="93"/>
      <c r="Y228" s="93"/>
      <c r="Z228" s="93"/>
      <c r="AA228" s="93"/>
      <c r="AB228" s="93"/>
      <c r="AC228" s="93"/>
      <c r="AD228" s="93"/>
      <c r="AE228" s="93"/>
      <c r="AF228" s="93"/>
      <c r="AG228" s="93"/>
      <c r="AH228" s="93"/>
      <c r="AI228" s="93"/>
      <c r="AJ228" s="93"/>
      <c r="AK228" s="93"/>
      <c r="AL228" s="93"/>
      <c r="AM228" s="93"/>
      <c r="AN228" s="93"/>
      <c r="AO228" s="93"/>
      <c r="AP228" s="93"/>
      <c r="AQ228" s="93"/>
      <c r="AR228" s="93"/>
      <c r="AS228" s="93"/>
      <c r="AT228" s="93"/>
      <c r="AU228" s="93"/>
      <c r="AV228" s="93"/>
      <c r="AW228" s="93"/>
      <c r="AX228" s="93"/>
      <c r="AY228" s="93"/>
    </row>
    <row r="229" ht="12.75" customHeight="1">
      <c r="A229" s="90"/>
      <c r="B229" s="90"/>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93"/>
      <c r="AU229" s="93"/>
      <c r="AV229" s="93"/>
      <c r="AW229" s="93"/>
      <c r="AX229" s="93"/>
      <c r="AY229" s="93"/>
    </row>
    <row r="230" ht="12.75" customHeight="1">
      <c r="A230" s="90"/>
      <c r="B230" s="90"/>
      <c r="P230" s="93"/>
      <c r="Q230" s="93"/>
      <c r="R230" s="93"/>
      <c r="S230" s="93"/>
      <c r="T230" s="93"/>
      <c r="U230" s="93"/>
      <c r="V230" s="93"/>
      <c r="W230" s="93"/>
      <c r="X230" s="93"/>
      <c r="Y230" s="93"/>
      <c r="Z230" s="93"/>
      <c r="AA230" s="93"/>
      <c r="AB230" s="93"/>
      <c r="AC230" s="93"/>
      <c r="AD230" s="93"/>
      <c r="AE230" s="93"/>
      <c r="AF230" s="93"/>
      <c r="AG230" s="93"/>
      <c r="AH230" s="93"/>
      <c r="AI230" s="93"/>
      <c r="AJ230" s="93"/>
      <c r="AK230" s="93"/>
      <c r="AL230" s="93"/>
      <c r="AM230" s="93"/>
      <c r="AN230" s="93"/>
      <c r="AO230" s="93"/>
      <c r="AP230" s="93"/>
      <c r="AQ230" s="93"/>
      <c r="AR230" s="93"/>
      <c r="AS230" s="93"/>
      <c r="AT230" s="93"/>
      <c r="AU230" s="93"/>
      <c r="AV230" s="93"/>
      <c r="AW230" s="93"/>
      <c r="AX230" s="93"/>
      <c r="AY230" s="93"/>
    </row>
    <row r="231" ht="12.75" customHeight="1">
      <c r="A231" s="90"/>
      <c r="B231" s="90"/>
    </row>
    <row r="232" ht="12.75" customHeight="1">
      <c r="A232" s="90"/>
      <c r="B232" s="90"/>
    </row>
    <row r="233" ht="12.75" customHeight="1">
      <c r="A233" s="90"/>
      <c r="B233" s="90"/>
    </row>
    <row r="234" ht="12.75" customHeight="1">
      <c r="A234" s="90"/>
      <c r="B234" s="90"/>
    </row>
    <row r="235" ht="12.75" customHeight="1">
      <c r="A235" s="90"/>
      <c r="B235" s="90"/>
    </row>
    <row r="236" ht="12.75" customHeight="1">
      <c r="A236" s="90"/>
      <c r="B236" s="90"/>
    </row>
    <row r="237" ht="12.75" customHeight="1">
      <c r="A237" s="90"/>
      <c r="B237" s="90"/>
    </row>
    <row r="238" ht="12.75" customHeight="1">
      <c r="A238" s="90"/>
      <c r="B238" s="90"/>
    </row>
    <row r="239" ht="12.75" customHeight="1">
      <c r="A239" s="90"/>
      <c r="B239" s="90"/>
    </row>
    <row r="240" ht="12.75" customHeight="1">
      <c r="A240" s="90"/>
      <c r="B240" s="90"/>
    </row>
    <row r="241" ht="12.75" customHeight="1">
      <c r="A241" s="90"/>
      <c r="B241" s="90"/>
    </row>
    <row r="242" ht="12.75" customHeight="1">
      <c r="A242" s="90"/>
      <c r="B242" s="90"/>
    </row>
    <row r="243" ht="12.75" customHeight="1">
      <c r="A243" s="90"/>
      <c r="B243" s="90"/>
    </row>
    <row r="244" ht="12.75" customHeight="1">
      <c r="A244" s="90"/>
      <c r="B244" s="90"/>
    </row>
    <row r="245" ht="12.75" customHeight="1">
      <c r="A245" s="90"/>
      <c r="B245" s="90"/>
    </row>
    <row r="246" ht="12.75" customHeight="1">
      <c r="A246" s="90"/>
      <c r="B246" s="90"/>
    </row>
    <row r="247" ht="12.75" customHeight="1">
      <c r="A247" s="90"/>
      <c r="B247" s="90"/>
    </row>
    <row r="248" ht="12.75" customHeight="1">
      <c r="A248" s="90"/>
      <c r="B248" s="90"/>
    </row>
    <row r="249" ht="12.75" customHeight="1">
      <c r="A249" s="90"/>
      <c r="B249" s="90"/>
    </row>
    <row r="250" ht="12.75" customHeight="1">
      <c r="A250" s="90"/>
      <c r="B250" s="90"/>
    </row>
    <row r="251" ht="12.75" customHeight="1">
      <c r="A251" s="90"/>
      <c r="B251" s="90"/>
    </row>
    <row r="252" ht="12.75" customHeight="1">
      <c r="A252" s="90"/>
      <c r="B252" s="90"/>
    </row>
    <row r="253" ht="12.75" customHeight="1">
      <c r="A253" s="90"/>
      <c r="B253" s="90"/>
    </row>
    <row r="254" ht="12.75" customHeight="1">
      <c r="A254" s="90"/>
      <c r="B254" s="90"/>
    </row>
    <row r="255" ht="12.75" customHeight="1">
      <c r="A255" s="90"/>
      <c r="B255" s="90"/>
    </row>
    <row r="256" ht="12.75" customHeight="1">
      <c r="A256" s="90"/>
      <c r="B256" s="90"/>
    </row>
    <row r="257" ht="12.75" customHeight="1">
      <c r="A257" s="90"/>
      <c r="B257" s="90"/>
    </row>
    <row r="258" ht="12.75" customHeight="1">
      <c r="A258" s="90"/>
      <c r="B258" s="90"/>
    </row>
    <row r="259" ht="12.75" customHeight="1">
      <c r="A259" s="90"/>
      <c r="B259" s="90"/>
    </row>
    <row r="260" ht="12.75" customHeight="1">
      <c r="A260" s="90"/>
      <c r="B260" s="90"/>
    </row>
    <row r="261" ht="12.75" customHeight="1">
      <c r="A261" s="90"/>
      <c r="B261" s="90"/>
    </row>
    <row r="262" ht="12.75" customHeight="1">
      <c r="A262" s="90"/>
      <c r="B262" s="90"/>
    </row>
    <row r="263" ht="12.75" customHeight="1">
      <c r="A263" s="90"/>
      <c r="B263" s="90"/>
    </row>
    <row r="264" ht="12.75" customHeight="1">
      <c r="A264" s="90"/>
      <c r="B264" s="90"/>
    </row>
    <row r="265" ht="12.75" customHeight="1">
      <c r="A265" s="90"/>
      <c r="B265" s="90"/>
    </row>
    <row r="266" ht="12.75" customHeight="1">
      <c r="A266" s="90"/>
      <c r="B266" s="90"/>
    </row>
    <row r="267" ht="12.75" customHeight="1">
      <c r="A267" s="90"/>
      <c r="B267" s="90"/>
    </row>
    <row r="268" ht="12.75" customHeight="1">
      <c r="A268" s="90"/>
      <c r="B268" s="90"/>
    </row>
    <row r="269" ht="12.75" customHeight="1">
      <c r="A269" s="90"/>
      <c r="B269" s="90"/>
    </row>
    <row r="270" ht="12.75" customHeight="1">
      <c r="A270" s="90"/>
      <c r="B270" s="90"/>
    </row>
    <row r="271" ht="12.75" customHeight="1">
      <c r="A271" s="90"/>
      <c r="B271" s="90"/>
    </row>
    <row r="272" ht="12.75" customHeight="1">
      <c r="A272" s="90"/>
      <c r="B272" s="90"/>
    </row>
    <row r="273" ht="12.75" customHeight="1">
      <c r="A273" s="90"/>
      <c r="B273" s="90"/>
    </row>
    <row r="274" ht="12.75" customHeight="1">
      <c r="A274" s="90"/>
      <c r="B274" s="90"/>
    </row>
    <row r="275" ht="12.75" customHeight="1">
      <c r="A275" s="90"/>
      <c r="B275" s="90"/>
    </row>
    <row r="276" ht="12.75" customHeight="1">
      <c r="A276" s="90"/>
      <c r="B276" s="90"/>
    </row>
    <row r="277" ht="12.75" customHeight="1">
      <c r="A277" s="90"/>
      <c r="B277" s="90"/>
    </row>
    <row r="278" ht="12.75" customHeight="1">
      <c r="A278" s="90"/>
      <c r="B278" s="90"/>
    </row>
    <row r="279" ht="12.75" customHeight="1">
      <c r="A279" s="90"/>
      <c r="B279" s="90"/>
    </row>
    <row r="280" ht="12.75" customHeight="1">
      <c r="A280" s="90"/>
      <c r="B280" s="90"/>
    </row>
    <row r="281" ht="12.75" customHeight="1">
      <c r="A281" s="90"/>
      <c r="B281" s="90"/>
    </row>
    <row r="282" ht="12.75" customHeight="1">
      <c r="A282" s="90"/>
      <c r="B282" s="90"/>
    </row>
    <row r="283" ht="12.75" customHeight="1">
      <c r="A283" s="90"/>
      <c r="B283" s="90"/>
    </row>
    <row r="284" ht="12.75" customHeight="1">
      <c r="A284" s="90"/>
      <c r="B284" s="90"/>
    </row>
    <row r="285" ht="12.75" customHeight="1">
      <c r="A285" s="90"/>
      <c r="B285" s="90"/>
    </row>
    <row r="286" ht="12.75" customHeight="1">
      <c r="A286" s="90"/>
      <c r="B286" s="90"/>
    </row>
    <row r="287" ht="12.75" customHeight="1">
      <c r="A287" s="90"/>
      <c r="B287" s="90"/>
    </row>
    <row r="288" ht="12.75" customHeight="1">
      <c r="A288" s="90"/>
      <c r="B288" s="90"/>
    </row>
    <row r="289" ht="12.75" customHeight="1">
      <c r="A289" s="90"/>
      <c r="B289" s="90"/>
    </row>
    <row r="290" ht="12.75" customHeight="1">
      <c r="A290" s="90"/>
      <c r="B290" s="90"/>
    </row>
    <row r="291" ht="12.75" customHeight="1">
      <c r="A291" s="90"/>
      <c r="B291" s="90"/>
    </row>
    <row r="292" ht="12.75" customHeight="1">
      <c r="A292" s="90"/>
      <c r="B292" s="90"/>
    </row>
    <row r="293" ht="12.75" customHeight="1">
      <c r="A293" s="90"/>
      <c r="B293" s="90"/>
    </row>
    <row r="294" ht="12.75" customHeight="1">
      <c r="A294" s="90"/>
      <c r="B294" s="90"/>
    </row>
    <row r="295" ht="12.75" customHeight="1">
      <c r="A295" s="90"/>
      <c r="B295" s="90"/>
    </row>
    <row r="296" ht="12.75" customHeight="1">
      <c r="A296" s="90"/>
      <c r="B296" s="90"/>
    </row>
    <row r="297" ht="12.75" customHeight="1">
      <c r="A297" s="90"/>
      <c r="B297" s="90"/>
    </row>
    <row r="298" ht="12.75" customHeight="1">
      <c r="A298" s="90"/>
      <c r="B298" s="90"/>
    </row>
    <row r="299" ht="12.75" customHeight="1">
      <c r="A299" s="90"/>
      <c r="B299" s="90"/>
    </row>
    <row r="300" ht="12.75" customHeight="1">
      <c r="A300" s="90"/>
      <c r="B300" s="90"/>
    </row>
    <row r="301" ht="12.75" customHeight="1">
      <c r="A301" s="90"/>
      <c r="B301" s="90"/>
    </row>
    <row r="302" ht="12.75" customHeight="1">
      <c r="A302" s="90"/>
      <c r="B302" s="90"/>
    </row>
    <row r="303" ht="12.75" customHeight="1">
      <c r="A303" s="90"/>
      <c r="B303" s="90"/>
    </row>
    <row r="304" ht="12.75" customHeight="1">
      <c r="A304" s="90"/>
      <c r="B304" s="90"/>
    </row>
    <row r="305" ht="12.75" customHeight="1">
      <c r="A305" s="90"/>
      <c r="B305" s="90"/>
    </row>
    <row r="306" ht="12.75" customHeight="1">
      <c r="A306" s="90"/>
      <c r="B306" s="90"/>
    </row>
    <row r="307" ht="12.75" customHeight="1">
      <c r="A307" s="90"/>
      <c r="B307" s="90"/>
    </row>
    <row r="308" ht="12.75" customHeight="1">
      <c r="A308" s="90"/>
      <c r="B308" s="90"/>
    </row>
    <row r="309" ht="12.75" customHeight="1">
      <c r="A309" s="90"/>
      <c r="B309" s="90"/>
    </row>
    <row r="310" ht="12.75" customHeight="1">
      <c r="A310" s="90"/>
      <c r="B310" s="90"/>
    </row>
    <row r="311" ht="12.75" customHeight="1">
      <c r="A311" s="90"/>
      <c r="B311" s="90"/>
    </row>
    <row r="312" ht="12.75" customHeight="1">
      <c r="A312" s="90"/>
      <c r="B312" s="90"/>
    </row>
    <row r="313" ht="12.75" customHeight="1">
      <c r="A313" s="90"/>
      <c r="B313" s="90"/>
    </row>
    <row r="314" ht="12.75" customHeight="1">
      <c r="A314" s="90"/>
      <c r="B314" s="90"/>
    </row>
    <row r="315" ht="12.75" customHeight="1">
      <c r="A315" s="90"/>
      <c r="B315" s="90"/>
    </row>
    <row r="316" ht="12.75" customHeight="1">
      <c r="A316" s="90"/>
      <c r="B316" s="90"/>
    </row>
    <row r="317" ht="12.75" customHeight="1">
      <c r="A317" s="90"/>
      <c r="B317" s="90"/>
    </row>
    <row r="318" ht="12.75" customHeight="1">
      <c r="A318" s="90"/>
      <c r="B318" s="90"/>
    </row>
    <row r="319" ht="12.75" customHeight="1">
      <c r="A319" s="90"/>
      <c r="B319" s="90"/>
    </row>
    <row r="320" ht="12.75" customHeight="1">
      <c r="A320" s="90"/>
      <c r="B320" s="90"/>
    </row>
    <row r="321" ht="12.75" customHeight="1">
      <c r="A321" s="90"/>
      <c r="B321" s="90"/>
    </row>
    <row r="322" ht="12.75" customHeight="1">
      <c r="A322" s="90"/>
      <c r="B322" s="90"/>
    </row>
    <row r="323" ht="12.75" customHeight="1">
      <c r="A323" s="90"/>
      <c r="B323" s="90"/>
    </row>
    <row r="324" ht="12.75" customHeight="1">
      <c r="A324" s="90"/>
      <c r="B324" s="90"/>
    </row>
    <row r="325" ht="12.75" customHeight="1">
      <c r="A325" s="90"/>
      <c r="B325" s="90"/>
    </row>
    <row r="326" ht="12.75" customHeight="1">
      <c r="A326" s="90"/>
      <c r="B326" s="90"/>
    </row>
    <row r="327" ht="12.75" customHeight="1">
      <c r="A327" s="90"/>
      <c r="B327" s="90"/>
    </row>
    <row r="328" ht="12.75" customHeight="1">
      <c r="A328" s="90"/>
      <c r="B328" s="90"/>
    </row>
    <row r="329" ht="12.75" customHeight="1">
      <c r="A329" s="90"/>
      <c r="B329" s="90"/>
    </row>
    <row r="330" ht="12.75" customHeight="1">
      <c r="A330" s="90"/>
      <c r="B330" s="90"/>
    </row>
    <row r="331" ht="12.75" customHeight="1">
      <c r="A331" s="90"/>
      <c r="B331" s="90"/>
    </row>
    <row r="332" ht="12.75" customHeight="1">
      <c r="A332" s="90"/>
      <c r="B332" s="90"/>
    </row>
    <row r="333" ht="12.75" customHeight="1">
      <c r="A333" s="90"/>
      <c r="B333" s="90"/>
    </row>
    <row r="334" ht="12.75" customHeight="1">
      <c r="A334" s="90"/>
      <c r="B334" s="90"/>
    </row>
    <row r="335" ht="12.75" customHeight="1">
      <c r="A335" s="90"/>
      <c r="B335" s="90"/>
    </row>
    <row r="336" ht="12.75" customHeight="1">
      <c r="A336" s="90"/>
      <c r="B336" s="90"/>
    </row>
    <row r="337" ht="12.75" customHeight="1">
      <c r="A337" s="90"/>
      <c r="B337" s="90"/>
    </row>
    <row r="338" ht="12.75" customHeight="1">
      <c r="A338" s="90"/>
      <c r="B338" s="90"/>
    </row>
    <row r="339" ht="12.75" customHeight="1">
      <c r="A339" s="90"/>
      <c r="B339" s="90"/>
    </row>
    <row r="340" ht="12.75" customHeight="1">
      <c r="A340" s="90"/>
      <c r="B340" s="90"/>
    </row>
    <row r="341" ht="12.75" customHeight="1">
      <c r="A341" s="90"/>
      <c r="B341" s="90"/>
    </row>
    <row r="342" ht="12.75" customHeight="1">
      <c r="A342" s="90"/>
      <c r="B342" s="90"/>
    </row>
    <row r="343" ht="12.75" customHeight="1">
      <c r="A343" s="90"/>
      <c r="B343" s="90"/>
    </row>
    <row r="344" ht="12.75" customHeight="1">
      <c r="A344" s="90"/>
      <c r="B344" s="90"/>
    </row>
    <row r="345" ht="12.75" customHeight="1">
      <c r="A345" s="90"/>
      <c r="B345" s="90"/>
    </row>
    <row r="346" ht="12.75" customHeight="1">
      <c r="A346" s="90"/>
      <c r="B346" s="90"/>
    </row>
    <row r="347" ht="12.75" customHeight="1">
      <c r="A347" s="90"/>
      <c r="B347" s="90"/>
    </row>
    <row r="348" ht="12.75" customHeight="1">
      <c r="A348" s="90"/>
      <c r="B348" s="90"/>
    </row>
    <row r="349" ht="12.75" customHeight="1">
      <c r="A349" s="90"/>
      <c r="B349" s="90"/>
    </row>
    <row r="350" ht="12.75" customHeight="1">
      <c r="A350" s="90"/>
      <c r="B350" s="90"/>
    </row>
    <row r="351" ht="12.75" customHeight="1">
      <c r="A351" s="90"/>
      <c r="B351" s="90"/>
    </row>
    <row r="352" ht="12.75" customHeight="1">
      <c r="A352" s="90"/>
      <c r="B352" s="90"/>
    </row>
    <row r="353" ht="12.75" customHeight="1">
      <c r="A353" s="90"/>
      <c r="B353" s="90"/>
    </row>
    <row r="354" ht="12.75" customHeight="1">
      <c r="A354" s="90"/>
      <c r="B354" s="90"/>
    </row>
    <row r="355" ht="12.75" customHeight="1">
      <c r="A355" s="90"/>
      <c r="B355" s="90"/>
    </row>
    <row r="356" ht="12.75" customHeight="1">
      <c r="A356" s="90"/>
      <c r="B356" s="90"/>
    </row>
    <row r="357" ht="12.75" customHeight="1">
      <c r="A357" s="90"/>
      <c r="B357" s="90"/>
    </row>
    <row r="358" ht="12.75" customHeight="1">
      <c r="A358" s="90"/>
      <c r="B358" s="90"/>
    </row>
    <row r="359" ht="12.75" customHeight="1">
      <c r="A359" s="90"/>
      <c r="B359" s="90"/>
    </row>
    <row r="360" ht="12.75" customHeight="1">
      <c r="A360" s="90"/>
      <c r="B360" s="90"/>
    </row>
    <row r="361" ht="12.75" customHeight="1">
      <c r="A361" s="90"/>
      <c r="B361" s="90"/>
    </row>
    <row r="362" ht="12.75" customHeight="1">
      <c r="A362" s="90"/>
      <c r="B362" s="90"/>
    </row>
    <row r="363" ht="12.75" customHeight="1">
      <c r="A363" s="90"/>
      <c r="B363" s="90"/>
    </row>
    <row r="364" ht="12.75" customHeight="1">
      <c r="A364" s="90"/>
      <c r="B364" s="90"/>
    </row>
    <row r="365" ht="12.75" customHeight="1">
      <c r="A365" s="90"/>
      <c r="B365" s="90"/>
    </row>
    <row r="366" ht="12.75" customHeight="1">
      <c r="A366" s="90"/>
      <c r="B366" s="90"/>
    </row>
    <row r="367" ht="12.75" customHeight="1">
      <c r="A367" s="90"/>
      <c r="B367" s="90"/>
    </row>
    <row r="368" ht="12.75" customHeight="1">
      <c r="A368" s="90"/>
      <c r="B368" s="90"/>
    </row>
    <row r="369" ht="12.75" customHeight="1">
      <c r="A369" s="90"/>
      <c r="B369" s="90"/>
    </row>
    <row r="370" ht="12.75" customHeight="1">
      <c r="A370" s="90"/>
      <c r="B370" s="90"/>
    </row>
    <row r="371" ht="12.75" customHeight="1">
      <c r="A371" s="90"/>
      <c r="B371" s="90"/>
    </row>
    <row r="372" ht="12.75" customHeight="1">
      <c r="A372" s="90"/>
      <c r="B372" s="90"/>
    </row>
    <row r="373" ht="12.75" customHeight="1">
      <c r="A373" s="90"/>
      <c r="B373" s="90"/>
    </row>
    <row r="374" ht="12.75" customHeight="1">
      <c r="A374" s="90"/>
      <c r="B374" s="90"/>
    </row>
    <row r="375" ht="12.75" customHeight="1">
      <c r="A375" s="90"/>
      <c r="B375" s="90"/>
    </row>
    <row r="376" ht="12.75" customHeight="1">
      <c r="A376" s="90"/>
      <c r="B376" s="90"/>
    </row>
    <row r="377" ht="12.75" customHeight="1">
      <c r="A377" s="90"/>
      <c r="B377" s="90"/>
    </row>
    <row r="378" ht="12.75" customHeight="1">
      <c r="A378" s="90"/>
      <c r="B378" s="90"/>
    </row>
    <row r="379" ht="12.75" customHeight="1">
      <c r="A379" s="90"/>
      <c r="B379" s="90"/>
    </row>
    <row r="380" ht="12.75" customHeight="1">
      <c r="A380" s="90"/>
      <c r="B380" s="90"/>
    </row>
    <row r="381" ht="12.75" customHeight="1">
      <c r="A381" s="90"/>
      <c r="B381" s="90"/>
    </row>
    <row r="382" ht="12.75" customHeight="1">
      <c r="A382" s="90"/>
      <c r="B382" s="90"/>
    </row>
    <row r="383" ht="12.75" customHeight="1">
      <c r="A383" s="90"/>
      <c r="B383" s="90"/>
    </row>
    <row r="384" ht="12.75" customHeight="1">
      <c r="A384" s="90"/>
      <c r="B384" s="90"/>
    </row>
    <row r="385" ht="12.75" customHeight="1">
      <c r="A385" s="90"/>
      <c r="B385" s="90"/>
    </row>
    <row r="386" ht="12.75" customHeight="1">
      <c r="A386" s="90"/>
      <c r="B386" s="90"/>
    </row>
    <row r="387" ht="12.75" customHeight="1">
      <c r="A387" s="90"/>
      <c r="B387" s="90"/>
    </row>
    <row r="388" ht="12.75" customHeight="1">
      <c r="A388" s="90"/>
      <c r="B388" s="90"/>
    </row>
    <row r="389" ht="12.75" customHeight="1">
      <c r="A389" s="90"/>
      <c r="B389" s="90"/>
    </row>
    <row r="390" ht="12.75" customHeight="1">
      <c r="A390" s="90"/>
      <c r="B390" s="90"/>
    </row>
    <row r="391" ht="12.75" customHeight="1">
      <c r="A391" s="90"/>
      <c r="B391" s="90"/>
    </row>
    <row r="392" ht="12.75" customHeight="1">
      <c r="A392" s="90"/>
      <c r="B392" s="90"/>
    </row>
    <row r="393" ht="12.75" customHeight="1">
      <c r="A393" s="90"/>
      <c r="B393" s="90"/>
    </row>
    <row r="394" ht="12.75" customHeight="1">
      <c r="A394" s="90"/>
      <c r="B394" s="90"/>
    </row>
    <row r="395" ht="12.75" customHeight="1">
      <c r="A395" s="90"/>
      <c r="B395" s="90"/>
    </row>
    <row r="396" ht="12.75" customHeight="1">
      <c r="A396" s="90"/>
      <c r="B396" s="90"/>
    </row>
    <row r="397" ht="12.75" customHeight="1">
      <c r="A397" s="90"/>
      <c r="B397" s="90"/>
    </row>
    <row r="398" ht="12.75" customHeight="1">
      <c r="A398" s="90"/>
      <c r="B398" s="90"/>
    </row>
    <row r="399" ht="12.75" customHeight="1">
      <c r="A399" s="90"/>
      <c r="B399" s="90"/>
    </row>
    <row r="400" ht="12.75" customHeight="1">
      <c r="A400" s="90"/>
      <c r="B400" s="90"/>
    </row>
    <row r="401" ht="12.75" customHeight="1">
      <c r="A401" s="90"/>
      <c r="B401" s="90"/>
    </row>
    <row r="402" ht="12.75" customHeight="1">
      <c r="A402" s="90"/>
      <c r="B402" s="90"/>
    </row>
    <row r="403" ht="12.75" customHeight="1">
      <c r="A403" s="90"/>
      <c r="B403" s="90"/>
    </row>
    <row r="404" ht="12.75" customHeight="1">
      <c r="A404" s="90"/>
      <c r="B404" s="90"/>
    </row>
    <row r="405" ht="12.75" customHeight="1">
      <c r="A405" s="90"/>
      <c r="B405" s="90"/>
    </row>
    <row r="406" ht="12.75" customHeight="1">
      <c r="A406" s="90"/>
      <c r="B406" s="90"/>
    </row>
    <row r="407" ht="12.75" customHeight="1">
      <c r="A407" s="90"/>
      <c r="B407" s="90"/>
    </row>
    <row r="408" ht="12.75" customHeight="1">
      <c r="A408" s="90"/>
      <c r="B408" s="90"/>
    </row>
    <row r="409" ht="12.75" customHeight="1">
      <c r="A409" s="90"/>
      <c r="B409" s="90"/>
    </row>
    <row r="410" ht="12.75" customHeight="1">
      <c r="A410" s="90"/>
      <c r="B410" s="90"/>
    </row>
    <row r="411" ht="12.75" customHeight="1">
      <c r="A411" s="90"/>
      <c r="B411" s="90"/>
    </row>
    <row r="412" ht="12.75" customHeight="1">
      <c r="A412" s="90"/>
      <c r="B412" s="90"/>
    </row>
    <row r="413" ht="12.75" customHeight="1">
      <c r="A413" s="90"/>
      <c r="B413" s="90"/>
    </row>
    <row r="414" ht="12.75" customHeight="1">
      <c r="A414" s="90"/>
      <c r="B414" s="90"/>
    </row>
    <row r="415" ht="12.75" customHeight="1">
      <c r="A415" s="90"/>
      <c r="B415" s="90"/>
    </row>
    <row r="416" ht="12.75" customHeight="1">
      <c r="A416" s="90"/>
      <c r="B416" s="90"/>
    </row>
    <row r="417" ht="12.75" customHeight="1">
      <c r="A417" s="90"/>
      <c r="B417" s="90"/>
    </row>
    <row r="418" ht="12.75" customHeight="1">
      <c r="A418" s="90"/>
      <c r="B418" s="90"/>
    </row>
    <row r="419" ht="12.75" customHeight="1">
      <c r="A419" s="90"/>
      <c r="B419" s="90"/>
    </row>
    <row r="420" ht="12.75" customHeight="1">
      <c r="A420" s="90"/>
      <c r="B420" s="90"/>
    </row>
    <row r="421" ht="12.75" customHeight="1">
      <c r="A421" s="90"/>
      <c r="B421" s="90"/>
    </row>
    <row r="422" ht="12.75" customHeight="1">
      <c r="A422" s="90"/>
      <c r="B422" s="90"/>
    </row>
    <row r="423" ht="12.75" customHeight="1">
      <c r="A423" s="90"/>
      <c r="B423" s="90"/>
    </row>
    <row r="424" ht="12.75" customHeight="1">
      <c r="A424" s="90"/>
      <c r="B424" s="90"/>
    </row>
    <row r="425" ht="12.75" customHeight="1">
      <c r="A425" s="90"/>
      <c r="B425" s="90"/>
    </row>
    <row r="426" ht="12.75" customHeight="1">
      <c r="A426" s="90"/>
      <c r="B426" s="90"/>
    </row>
    <row r="427" ht="12.75" customHeight="1">
      <c r="A427" s="90"/>
      <c r="B427" s="90"/>
    </row>
    <row r="428" ht="12.75" customHeight="1">
      <c r="A428" s="90"/>
      <c r="B428" s="90"/>
    </row>
    <row r="429" ht="12.75" customHeight="1">
      <c r="A429" s="90"/>
      <c r="B429" s="90"/>
    </row>
    <row r="430" ht="12.75" customHeight="1">
      <c r="A430" s="90"/>
      <c r="B430" s="90"/>
    </row>
    <row r="431" ht="12.75" customHeight="1">
      <c r="A431" s="90"/>
      <c r="B431" s="90"/>
    </row>
    <row r="432" ht="12.75" customHeight="1">
      <c r="A432" s="90"/>
      <c r="B432" s="90"/>
    </row>
    <row r="433" ht="12.75" customHeight="1">
      <c r="A433" s="90"/>
      <c r="B433" s="90"/>
    </row>
    <row r="434" ht="12.75" customHeight="1">
      <c r="A434" s="90"/>
      <c r="B434" s="90"/>
    </row>
    <row r="435" ht="12.75" customHeight="1">
      <c r="A435" s="90"/>
      <c r="B435" s="90"/>
    </row>
    <row r="436" ht="12.75" customHeight="1">
      <c r="A436" s="90"/>
      <c r="B436" s="90"/>
    </row>
    <row r="437" ht="12.75" customHeight="1">
      <c r="A437" s="90"/>
      <c r="B437" s="90"/>
    </row>
    <row r="438" ht="12.75" customHeight="1">
      <c r="A438" s="90"/>
      <c r="B438" s="90"/>
    </row>
    <row r="439" ht="12.75" customHeight="1">
      <c r="A439" s="90"/>
      <c r="B439" s="90"/>
    </row>
    <row r="440" ht="12.75" customHeight="1">
      <c r="A440" s="90"/>
      <c r="B440" s="90"/>
    </row>
    <row r="441" ht="12.75" customHeight="1">
      <c r="A441" s="90"/>
      <c r="B441" s="90"/>
    </row>
    <row r="442" ht="12.75" customHeight="1">
      <c r="A442" s="90"/>
      <c r="B442" s="90"/>
    </row>
    <row r="443" ht="12.75" customHeight="1">
      <c r="A443" s="90"/>
      <c r="B443" s="90"/>
    </row>
    <row r="444" ht="12.75" customHeight="1">
      <c r="A444" s="90"/>
      <c r="B444" s="90"/>
    </row>
    <row r="445" ht="12.75" customHeight="1">
      <c r="A445" s="90"/>
      <c r="B445" s="90"/>
    </row>
    <row r="446" ht="12.75" customHeight="1">
      <c r="A446" s="90"/>
      <c r="B446" s="90"/>
    </row>
    <row r="447" ht="12.75" customHeight="1">
      <c r="A447" s="90"/>
      <c r="B447" s="90"/>
    </row>
    <row r="448" ht="12.75" customHeight="1">
      <c r="A448" s="90"/>
      <c r="B448" s="90"/>
    </row>
    <row r="449" ht="12.75" customHeight="1">
      <c r="A449" s="90"/>
      <c r="B449" s="90"/>
    </row>
    <row r="450" ht="12.75" customHeight="1">
      <c r="A450" s="90"/>
      <c r="B450" s="90"/>
    </row>
    <row r="451" ht="12.75" customHeight="1">
      <c r="A451" s="90"/>
      <c r="B451" s="90"/>
    </row>
    <row r="452" ht="12.75" customHeight="1">
      <c r="A452" s="90"/>
      <c r="B452" s="90"/>
    </row>
    <row r="453" ht="12.75" customHeight="1">
      <c r="A453" s="90"/>
      <c r="B453" s="90"/>
    </row>
    <row r="454" ht="12.75" customHeight="1">
      <c r="A454" s="90"/>
      <c r="B454" s="90"/>
    </row>
    <row r="455" ht="12.75" customHeight="1">
      <c r="A455" s="90"/>
      <c r="B455" s="90"/>
    </row>
    <row r="456" ht="12.75" customHeight="1">
      <c r="A456" s="90"/>
      <c r="B456" s="90"/>
    </row>
    <row r="457" ht="12.75" customHeight="1">
      <c r="A457" s="90"/>
      <c r="B457" s="90"/>
    </row>
    <row r="458" ht="12.75" customHeight="1">
      <c r="A458" s="90"/>
      <c r="B458" s="90"/>
    </row>
    <row r="459" ht="12.75" customHeight="1">
      <c r="A459" s="90"/>
      <c r="B459" s="90"/>
    </row>
    <row r="460" ht="12.75" customHeight="1">
      <c r="A460" s="90"/>
      <c r="B460" s="90"/>
    </row>
    <row r="461" ht="12.75" customHeight="1">
      <c r="A461" s="90"/>
      <c r="B461" s="90"/>
    </row>
    <row r="462" ht="12.75" customHeight="1">
      <c r="A462" s="90"/>
      <c r="B462" s="90"/>
    </row>
    <row r="463" ht="12.75" customHeight="1">
      <c r="A463" s="90"/>
      <c r="B463" s="90"/>
    </row>
    <row r="464" ht="12.75" customHeight="1">
      <c r="A464" s="90"/>
      <c r="B464" s="90"/>
    </row>
    <row r="465" ht="12.75" customHeight="1">
      <c r="A465" s="90"/>
      <c r="B465" s="90"/>
    </row>
    <row r="466" ht="12.75" customHeight="1">
      <c r="A466" s="90"/>
      <c r="B466" s="90"/>
    </row>
    <row r="467" ht="12.75" customHeight="1">
      <c r="A467" s="90"/>
      <c r="B467" s="90"/>
    </row>
    <row r="468" ht="12.75" customHeight="1">
      <c r="A468" s="90"/>
      <c r="B468" s="90"/>
    </row>
    <row r="469" ht="12.75" customHeight="1">
      <c r="A469" s="90"/>
      <c r="B469" s="90"/>
    </row>
    <row r="470" ht="12.75" customHeight="1">
      <c r="A470" s="90"/>
      <c r="B470" s="90"/>
    </row>
    <row r="471" ht="12.75" customHeight="1">
      <c r="A471" s="90"/>
      <c r="B471" s="90"/>
    </row>
    <row r="472" ht="12.75" customHeight="1">
      <c r="A472" s="90"/>
      <c r="B472" s="90"/>
    </row>
    <row r="473" ht="12.75" customHeight="1">
      <c r="A473" s="90"/>
      <c r="B473" s="90"/>
    </row>
    <row r="474" ht="12.75" customHeight="1">
      <c r="A474" s="90"/>
      <c r="B474" s="90"/>
    </row>
    <row r="475" ht="12.75" customHeight="1">
      <c r="A475" s="90"/>
      <c r="B475" s="90"/>
    </row>
    <row r="476" ht="12.75" customHeight="1">
      <c r="A476" s="90"/>
      <c r="B476" s="90"/>
    </row>
    <row r="477" ht="12.75" customHeight="1">
      <c r="A477" s="90"/>
      <c r="B477" s="90"/>
    </row>
    <row r="478" ht="12.75" customHeight="1">
      <c r="A478" s="90"/>
      <c r="B478" s="90"/>
    </row>
    <row r="479" ht="12.75" customHeight="1">
      <c r="A479" s="90"/>
      <c r="B479" s="90"/>
    </row>
    <row r="480" ht="12.75" customHeight="1">
      <c r="A480" s="90"/>
      <c r="B480" s="90"/>
    </row>
    <row r="481" ht="12.75" customHeight="1">
      <c r="A481" s="90"/>
      <c r="B481" s="90"/>
    </row>
    <row r="482" ht="12.75" customHeight="1">
      <c r="A482" s="90"/>
      <c r="B482" s="90"/>
    </row>
    <row r="483" ht="12.75" customHeight="1">
      <c r="A483" s="90"/>
      <c r="B483" s="90"/>
    </row>
    <row r="484" ht="12.75" customHeight="1">
      <c r="A484" s="90"/>
      <c r="B484" s="90"/>
    </row>
    <row r="485" ht="12.75" customHeight="1">
      <c r="A485" s="90"/>
      <c r="B485" s="90"/>
    </row>
    <row r="486" ht="12.75" customHeight="1">
      <c r="A486" s="90"/>
      <c r="B486" s="90"/>
    </row>
    <row r="487" ht="12.75" customHeight="1">
      <c r="A487" s="90"/>
      <c r="B487" s="90"/>
    </row>
    <row r="488" ht="12.75" customHeight="1">
      <c r="A488" s="90"/>
      <c r="B488" s="90"/>
    </row>
    <row r="489" ht="12.75" customHeight="1">
      <c r="A489" s="90"/>
      <c r="B489" s="90"/>
    </row>
    <row r="490" ht="12.75" customHeight="1">
      <c r="A490" s="90"/>
      <c r="B490" s="90"/>
    </row>
    <row r="491" ht="12.75" customHeight="1">
      <c r="A491" s="90"/>
      <c r="B491" s="90"/>
    </row>
    <row r="492" ht="12.75" customHeight="1">
      <c r="A492" s="90"/>
      <c r="B492" s="90"/>
    </row>
    <row r="493" ht="12.75" customHeight="1">
      <c r="A493" s="90"/>
      <c r="B493" s="90"/>
    </row>
    <row r="494" ht="12.75" customHeight="1">
      <c r="A494" s="90"/>
      <c r="B494" s="90"/>
    </row>
    <row r="495" ht="12.75" customHeight="1">
      <c r="A495" s="90"/>
      <c r="B495" s="90"/>
    </row>
    <row r="496" ht="12.75" customHeight="1">
      <c r="A496" s="90"/>
      <c r="B496" s="90"/>
    </row>
    <row r="497" ht="12.75" customHeight="1">
      <c r="A497" s="90"/>
      <c r="B497" s="90"/>
    </row>
    <row r="498" ht="12.75" customHeight="1">
      <c r="A498" s="90"/>
      <c r="B498" s="90"/>
    </row>
    <row r="499" ht="12.75" customHeight="1">
      <c r="A499" s="90"/>
      <c r="B499" s="90"/>
    </row>
    <row r="500" ht="12.75" customHeight="1">
      <c r="A500" s="90"/>
      <c r="B500" s="90"/>
    </row>
    <row r="501" ht="12.75" customHeight="1">
      <c r="A501" s="90"/>
      <c r="B501" s="90"/>
    </row>
    <row r="502" ht="12.75" customHeight="1">
      <c r="A502" s="90"/>
      <c r="B502" s="90"/>
    </row>
    <row r="503" ht="12.75" customHeight="1">
      <c r="A503" s="90"/>
      <c r="B503" s="90"/>
    </row>
    <row r="504" ht="12.75" customHeight="1">
      <c r="A504" s="90"/>
      <c r="B504" s="90"/>
    </row>
    <row r="505" ht="12.75" customHeight="1">
      <c r="A505" s="90"/>
      <c r="B505" s="90"/>
    </row>
    <row r="506" ht="12.75" customHeight="1">
      <c r="A506" s="90"/>
      <c r="B506" s="90"/>
    </row>
    <row r="507" ht="12.75" customHeight="1">
      <c r="A507" s="90"/>
      <c r="B507" s="90"/>
    </row>
    <row r="508" ht="12.75" customHeight="1">
      <c r="A508" s="90"/>
      <c r="B508" s="90"/>
    </row>
    <row r="509" ht="12.75" customHeight="1">
      <c r="A509" s="90"/>
      <c r="B509" s="90"/>
    </row>
    <row r="510" ht="12.75" customHeight="1">
      <c r="A510" s="90"/>
      <c r="B510" s="90"/>
    </row>
    <row r="511" ht="12.75" customHeight="1">
      <c r="A511" s="90"/>
      <c r="B511" s="90"/>
    </row>
    <row r="512" ht="12.75" customHeight="1">
      <c r="A512" s="90"/>
      <c r="B512" s="90"/>
    </row>
    <row r="513" ht="12.75" customHeight="1">
      <c r="A513" s="90"/>
      <c r="B513" s="90"/>
    </row>
    <row r="514" ht="12.75" customHeight="1">
      <c r="A514" s="90"/>
      <c r="B514" s="90"/>
    </row>
    <row r="515" ht="12.75" customHeight="1">
      <c r="A515" s="90"/>
      <c r="B515" s="90"/>
    </row>
    <row r="516" ht="12.75" customHeight="1">
      <c r="A516" s="90"/>
      <c r="B516" s="90"/>
    </row>
    <row r="517" ht="12.75" customHeight="1">
      <c r="A517" s="90"/>
      <c r="B517" s="90"/>
    </row>
    <row r="518" ht="12.75" customHeight="1">
      <c r="A518" s="90"/>
      <c r="B518" s="90"/>
    </row>
    <row r="519" ht="12.75" customHeight="1">
      <c r="A519" s="90"/>
      <c r="B519" s="90"/>
    </row>
    <row r="520" ht="12.75" customHeight="1">
      <c r="A520" s="90"/>
      <c r="B520" s="90"/>
    </row>
    <row r="521" ht="12.75" customHeight="1">
      <c r="A521" s="90"/>
      <c r="B521" s="90"/>
    </row>
    <row r="522" ht="12.75" customHeight="1">
      <c r="A522" s="90"/>
      <c r="B522" s="90"/>
    </row>
    <row r="523" ht="12.75" customHeight="1">
      <c r="A523" s="90"/>
      <c r="B523" s="90"/>
    </row>
    <row r="524" ht="12.75" customHeight="1">
      <c r="A524" s="90"/>
      <c r="B524" s="90"/>
    </row>
    <row r="525" ht="12.75" customHeight="1">
      <c r="A525" s="90"/>
      <c r="B525" s="90"/>
    </row>
    <row r="526" ht="12.75" customHeight="1">
      <c r="A526" s="90"/>
      <c r="B526" s="90"/>
    </row>
    <row r="527" ht="12.75" customHeight="1">
      <c r="A527" s="90"/>
      <c r="B527" s="90"/>
    </row>
    <row r="528" ht="12.75" customHeight="1">
      <c r="A528" s="90"/>
      <c r="B528" s="90"/>
    </row>
    <row r="529" ht="12.75" customHeight="1">
      <c r="A529" s="90"/>
      <c r="B529" s="90"/>
    </row>
    <row r="530" ht="12.75" customHeight="1">
      <c r="A530" s="90"/>
      <c r="B530" s="90"/>
    </row>
    <row r="531" ht="12.75" customHeight="1">
      <c r="A531" s="90"/>
      <c r="B531" s="90"/>
    </row>
    <row r="532" ht="12.75" customHeight="1">
      <c r="A532" s="90"/>
      <c r="B532" s="90"/>
    </row>
    <row r="533" ht="12.75" customHeight="1">
      <c r="A533" s="90"/>
      <c r="B533" s="90"/>
    </row>
    <row r="534" ht="12.75" customHeight="1">
      <c r="A534" s="90"/>
      <c r="B534" s="90"/>
    </row>
    <row r="535" ht="12.75" customHeight="1">
      <c r="A535" s="90"/>
      <c r="B535" s="90"/>
    </row>
    <row r="536" ht="12.75" customHeight="1">
      <c r="A536" s="90"/>
      <c r="B536" s="90"/>
    </row>
    <row r="537" ht="12.75" customHeight="1">
      <c r="A537" s="90"/>
      <c r="B537" s="90"/>
    </row>
    <row r="538" ht="12.75" customHeight="1">
      <c r="A538" s="90"/>
      <c r="B538" s="90"/>
    </row>
    <row r="539" ht="12.75" customHeight="1">
      <c r="A539" s="90"/>
      <c r="B539" s="90"/>
    </row>
    <row r="540" ht="12.75" customHeight="1">
      <c r="A540" s="90"/>
      <c r="B540" s="90"/>
    </row>
    <row r="541" ht="12.75" customHeight="1">
      <c r="A541" s="90"/>
      <c r="B541" s="90"/>
    </row>
    <row r="542" ht="12.75" customHeight="1">
      <c r="A542" s="90"/>
      <c r="B542" s="90"/>
    </row>
    <row r="543" ht="12.75" customHeight="1">
      <c r="A543" s="90"/>
      <c r="B543" s="90"/>
    </row>
    <row r="544" ht="12.75" customHeight="1">
      <c r="A544" s="90"/>
      <c r="B544" s="90"/>
    </row>
    <row r="545" ht="12.75" customHeight="1">
      <c r="A545" s="90"/>
      <c r="B545" s="90"/>
    </row>
    <row r="546" ht="12.75" customHeight="1">
      <c r="A546" s="90"/>
      <c r="B546" s="90"/>
    </row>
    <row r="547" ht="12.75" customHeight="1">
      <c r="A547" s="90"/>
      <c r="B547" s="90"/>
    </row>
    <row r="548" ht="12.75" customHeight="1">
      <c r="A548" s="90"/>
      <c r="B548" s="90"/>
    </row>
    <row r="549" ht="12.75" customHeight="1">
      <c r="A549" s="90"/>
      <c r="B549" s="90"/>
    </row>
    <row r="550" ht="12.75" customHeight="1">
      <c r="A550" s="90"/>
      <c r="B550" s="90"/>
    </row>
    <row r="551" ht="12.75" customHeight="1">
      <c r="A551" s="90"/>
      <c r="B551" s="90"/>
    </row>
    <row r="552" ht="12.75" customHeight="1">
      <c r="A552" s="90"/>
      <c r="B552" s="90"/>
    </row>
    <row r="553" ht="12.75" customHeight="1">
      <c r="A553" s="90"/>
      <c r="B553" s="90"/>
    </row>
    <row r="554" ht="12.75" customHeight="1">
      <c r="A554" s="90"/>
      <c r="B554" s="90"/>
    </row>
    <row r="555" ht="12.75" customHeight="1">
      <c r="A555" s="90"/>
      <c r="B555" s="90"/>
    </row>
    <row r="556" ht="12.75" customHeight="1">
      <c r="A556" s="90"/>
      <c r="B556" s="90"/>
    </row>
    <row r="557" ht="12.75" customHeight="1">
      <c r="A557" s="90"/>
      <c r="B557" s="90"/>
    </row>
    <row r="558" ht="12.75" customHeight="1">
      <c r="A558" s="90"/>
      <c r="B558" s="90"/>
    </row>
    <row r="559" ht="12.75" customHeight="1">
      <c r="A559" s="90"/>
      <c r="B559" s="90"/>
    </row>
    <row r="560" ht="12.75" customHeight="1">
      <c r="A560" s="90"/>
      <c r="B560" s="90"/>
    </row>
    <row r="561" ht="12.75" customHeight="1">
      <c r="A561" s="90"/>
      <c r="B561" s="90"/>
    </row>
    <row r="562" ht="12.75" customHeight="1">
      <c r="A562" s="90"/>
      <c r="B562" s="90"/>
    </row>
    <row r="563" ht="12.75" customHeight="1">
      <c r="A563" s="90"/>
      <c r="B563" s="90"/>
    </row>
    <row r="564" ht="12.75" customHeight="1">
      <c r="A564" s="90"/>
      <c r="B564" s="90"/>
    </row>
    <row r="565" ht="12.75" customHeight="1">
      <c r="A565" s="90"/>
      <c r="B565" s="90"/>
    </row>
    <row r="566" ht="12.75" customHeight="1">
      <c r="A566" s="90"/>
      <c r="B566" s="90"/>
    </row>
    <row r="567" ht="12.75" customHeight="1">
      <c r="A567" s="90"/>
      <c r="B567" s="90"/>
    </row>
    <row r="568" ht="12.75" customHeight="1">
      <c r="A568" s="90"/>
      <c r="B568" s="90"/>
    </row>
    <row r="569" ht="12.75" customHeight="1">
      <c r="A569" s="90"/>
      <c r="B569" s="90"/>
    </row>
    <row r="570" ht="12.75" customHeight="1">
      <c r="A570" s="90"/>
      <c r="B570" s="90"/>
    </row>
    <row r="571" ht="12.75" customHeight="1">
      <c r="A571" s="90"/>
      <c r="B571" s="90"/>
    </row>
    <row r="572" ht="12.75" customHeight="1">
      <c r="A572" s="90"/>
      <c r="B572" s="90"/>
    </row>
    <row r="573" ht="12.75" customHeight="1">
      <c r="A573" s="90"/>
      <c r="B573" s="90"/>
    </row>
    <row r="574" ht="12.75" customHeight="1">
      <c r="A574" s="90"/>
      <c r="B574" s="90"/>
    </row>
    <row r="575" ht="12.75" customHeight="1">
      <c r="A575" s="90"/>
      <c r="B575" s="90"/>
    </row>
    <row r="576" ht="12.75" customHeight="1">
      <c r="A576" s="90"/>
      <c r="B576" s="90"/>
    </row>
    <row r="577" ht="12.75" customHeight="1">
      <c r="A577" s="90"/>
      <c r="B577" s="90"/>
    </row>
    <row r="578" ht="12.75" customHeight="1">
      <c r="A578" s="90"/>
      <c r="B578" s="90"/>
    </row>
    <row r="579" ht="12.75" customHeight="1">
      <c r="A579" s="90"/>
      <c r="B579" s="90"/>
    </row>
    <row r="580" ht="12.75" customHeight="1">
      <c r="A580" s="90"/>
      <c r="B580" s="90"/>
    </row>
    <row r="581" ht="12.75" customHeight="1">
      <c r="A581" s="90"/>
      <c r="B581" s="90"/>
    </row>
    <row r="582" ht="12.75" customHeight="1">
      <c r="A582" s="90"/>
      <c r="B582" s="90"/>
    </row>
    <row r="583" ht="12.75" customHeight="1">
      <c r="A583" s="90"/>
      <c r="B583" s="90"/>
    </row>
    <row r="584" ht="12.75" customHeight="1">
      <c r="A584" s="90"/>
      <c r="B584" s="90"/>
    </row>
    <row r="585" ht="12.75" customHeight="1">
      <c r="A585" s="90"/>
      <c r="B585" s="90"/>
    </row>
    <row r="586" ht="12.75" customHeight="1">
      <c r="A586" s="90"/>
      <c r="B586" s="90"/>
    </row>
    <row r="587" ht="12.75" customHeight="1">
      <c r="A587" s="90"/>
      <c r="B587" s="90"/>
    </row>
    <row r="588" ht="12.75" customHeight="1">
      <c r="A588" s="90"/>
      <c r="B588" s="90"/>
    </row>
    <row r="589" ht="12.75" customHeight="1">
      <c r="A589" s="90"/>
      <c r="B589" s="90"/>
    </row>
    <row r="590" ht="12.75" customHeight="1">
      <c r="A590" s="90"/>
      <c r="B590" s="90"/>
    </row>
    <row r="591" ht="12.75" customHeight="1">
      <c r="A591" s="90"/>
      <c r="B591" s="90"/>
    </row>
    <row r="592" ht="12.75" customHeight="1">
      <c r="A592" s="90"/>
      <c r="B592" s="90"/>
    </row>
    <row r="593" ht="12.75" customHeight="1">
      <c r="A593" s="90"/>
      <c r="B593" s="90"/>
    </row>
    <row r="594" ht="12.75" customHeight="1">
      <c r="A594" s="90"/>
      <c r="B594" s="90"/>
    </row>
    <row r="595" ht="12.75" customHeight="1">
      <c r="A595" s="90"/>
      <c r="B595" s="90"/>
    </row>
    <row r="596" ht="12.75" customHeight="1">
      <c r="A596" s="90"/>
      <c r="B596" s="90"/>
    </row>
    <row r="597" ht="12.75" customHeight="1">
      <c r="A597" s="90"/>
      <c r="B597" s="90"/>
    </row>
    <row r="598" ht="12.75" customHeight="1">
      <c r="A598" s="90"/>
      <c r="B598" s="90"/>
    </row>
    <row r="599" ht="12.75" customHeight="1">
      <c r="A599" s="90"/>
      <c r="B599" s="90"/>
    </row>
    <row r="600" ht="12.75" customHeight="1">
      <c r="A600" s="90"/>
      <c r="B600" s="90"/>
    </row>
    <row r="601" ht="12.75" customHeight="1">
      <c r="A601" s="90"/>
      <c r="B601" s="90"/>
    </row>
    <row r="602" ht="12.75" customHeight="1">
      <c r="A602" s="90"/>
      <c r="B602" s="90"/>
    </row>
    <row r="603" ht="12.75" customHeight="1">
      <c r="A603" s="90"/>
      <c r="B603" s="90"/>
    </row>
    <row r="604" ht="12.75" customHeight="1">
      <c r="A604" s="90"/>
      <c r="B604" s="90"/>
    </row>
    <row r="605" ht="12.75" customHeight="1">
      <c r="A605" s="90"/>
      <c r="B605" s="90"/>
    </row>
    <row r="606" ht="12.75" customHeight="1">
      <c r="A606" s="90"/>
      <c r="B606" s="90"/>
    </row>
    <row r="607" ht="12.75" customHeight="1">
      <c r="A607" s="90"/>
      <c r="B607" s="90"/>
    </row>
    <row r="608" ht="12.75" customHeight="1">
      <c r="A608" s="90"/>
      <c r="B608" s="90"/>
    </row>
    <row r="609" ht="12.75" customHeight="1">
      <c r="A609" s="90"/>
      <c r="B609" s="90"/>
    </row>
    <row r="610" ht="12.75" customHeight="1">
      <c r="A610" s="90"/>
      <c r="B610" s="90"/>
    </row>
    <row r="611" ht="12.75" customHeight="1">
      <c r="A611" s="90"/>
      <c r="B611" s="90"/>
    </row>
    <row r="612" ht="12.75" customHeight="1">
      <c r="A612" s="90"/>
      <c r="B612" s="90"/>
    </row>
    <row r="613" ht="12.75" customHeight="1">
      <c r="A613" s="90"/>
      <c r="B613" s="90"/>
    </row>
    <row r="614" ht="12.75" customHeight="1">
      <c r="A614" s="90"/>
      <c r="B614" s="90"/>
    </row>
    <row r="615" ht="12.75" customHeight="1">
      <c r="A615" s="90"/>
      <c r="B615" s="90"/>
    </row>
    <row r="616" ht="12.75" customHeight="1">
      <c r="A616" s="90"/>
      <c r="B616" s="90"/>
    </row>
    <row r="617" ht="12.75" customHeight="1">
      <c r="A617" s="90"/>
      <c r="B617" s="90"/>
    </row>
    <row r="618" ht="12.75" customHeight="1">
      <c r="A618" s="90"/>
      <c r="B618" s="90"/>
    </row>
    <row r="619" ht="12.75" customHeight="1">
      <c r="A619" s="90"/>
      <c r="B619" s="90"/>
    </row>
    <row r="620" ht="12.75" customHeight="1">
      <c r="A620" s="90"/>
      <c r="B620" s="90"/>
    </row>
    <row r="621" ht="12.75" customHeight="1">
      <c r="A621" s="90"/>
      <c r="B621" s="90"/>
    </row>
    <row r="622" ht="12.75" customHeight="1">
      <c r="A622" s="90"/>
      <c r="B622" s="90"/>
    </row>
    <row r="623" ht="12.75" customHeight="1">
      <c r="A623" s="90"/>
      <c r="B623" s="90"/>
    </row>
    <row r="624" ht="12.75" customHeight="1">
      <c r="A624" s="90"/>
      <c r="B624" s="90"/>
    </row>
    <row r="625" ht="12.75" customHeight="1">
      <c r="A625" s="90"/>
      <c r="B625" s="90"/>
    </row>
    <row r="626" ht="12.75" customHeight="1">
      <c r="A626" s="90"/>
      <c r="B626" s="90"/>
    </row>
    <row r="627" ht="12.75" customHeight="1">
      <c r="A627" s="90"/>
      <c r="B627" s="90"/>
    </row>
    <row r="628" ht="12.75" customHeight="1">
      <c r="A628" s="90"/>
      <c r="B628" s="90"/>
    </row>
    <row r="629" ht="12.75" customHeight="1">
      <c r="A629" s="90"/>
      <c r="B629" s="90"/>
    </row>
    <row r="630" ht="12.75" customHeight="1">
      <c r="A630" s="90"/>
      <c r="B630" s="90"/>
    </row>
    <row r="631" ht="12.75" customHeight="1">
      <c r="A631" s="90"/>
      <c r="B631" s="90"/>
    </row>
    <row r="632" ht="12.75" customHeight="1">
      <c r="A632" s="90"/>
      <c r="B632" s="90"/>
    </row>
    <row r="633" ht="12.75" customHeight="1">
      <c r="A633" s="90"/>
      <c r="B633" s="90"/>
    </row>
    <row r="634" ht="12.75" customHeight="1">
      <c r="A634" s="90"/>
      <c r="B634" s="90"/>
    </row>
    <row r="635" ht="12.75" customHeight="1">
      <c r="A635" s="90"/>
      <c r="B635" s="90"/>
    </row>
    <row r="636" ht="12.75" customHeight="1">
      <c r="A636" s="90"/>
      <c r="B636" s="90"/>
    </row>
    <row r="637" ht="12.75" customHeight="1">
      <c r="A637" s="90"/>
      <c r="B637" s="90"/>
    </row>
    <row r="638" ht="12.75" customHeight="1">
      <c r="A638" s="90"/>
      <c r="B638" s="90"/>
    </row>
    <row r="639" ht="12.75" customHeight="1">
      <c r="A639" s="90"/>
      <c r="B639" s="90"/>
    </row>
    <row r="640" ht="12.75" customHeight="1">
      <c r="A640" s="90"/>
      <c r="B640" s="90"/>
    </row>
    <row r="641" ht="12.75" customHeight="1">
      <c r="A641" s="90"/>
      <c r="B641" s="90"/>
    </row>
    <row r="642" ht="12.75" customHeight="1">
      <c r="A642" s="90"/>
      <c r="B642" s="90"/>
    </row>
    <row r="643" ht="12.75" customHeight="1">
      <c r="A643" s="90"/>
      <c r="B643" s="90"/>
    </row>
    <row r="644" ht="12.75" customHeight="1">
      <c r="A644" s="90"/>
      <c r="B644" s="90"/>
    </row>
    <row r="645" ht="12.75" customHeight="1">
      <c r="A645" s="90"/>
      <c r="B645" s="90"/>
    </row>
    <row r="646" ht="12.75" customHeight="1">
      <c r="A646" s="90"/>
      <c r="B646" s="90"/>
    </row>
    <row r="647" ht="12.75" customHeight="1">
      <c r="A647" s="90"/>
      <c r="B647" s="90"/>
    </row>
    <row r="648" ht="12.75" customHeight="1">
      <c r="A648" s="90"/>
      <c r="B648" s="90"/>
    </row>
    <row r="649" ht="12.75" customHeight="1">
      <c r="A649" s="90"/>
      <c r="B649" s="90"/>
    </row>
    <row r="650" ht="12.75" customHeight="1">
      <c r="A650" s="90"/>
      <c r="B650" s="90"/>
    </row>
    <row r="651" ht="12.75" customHeight="1">
      <c r="A651" s="90"/>
      <c r="B651" s="90"/>
    </row>
    <row r="652" ht="12.75" customHeight="1">
      <c r="A652" s="90"/>
      <c r="B652" s="90"/>
    </row>
    <row r="653" ht="12.75" customHeight="1">
      <c r="A653" s="90"/>
      <c r="B653" s="90"/>
    </row>
    <row r="654" ht="12.75" customHeight="1">
      <c r="A654" s="90"/>
      <c r="B654" s="90"/>
    </row>
    <row r="655" ht="12.75" customHeight="1">
      <c r="A655" s="90"/>
      <c r="B655" s="90"/>
    </row>
    <row r="656" ht="12.75" customHeight="1">
      <c r="A656" s="90"/>
      <c r="B656" s="90"/>
    </row>
    <row r="657" ht="12.75" customHeight="1">
      <c r="A657" s="90"/>
      <c r="B657" s="90"/>
    </row>
    <row r="658" ht="12.75" customHeight="1">
      <c r="A658" s="90"/>
      <c r="B658" s="90"/>
    </row>
    <row r="659" ht="12.75" customHeight="1">
      <c r="A659" s="90"/>
      <c r="B659" s="90"/>
    </row>
    <row r="660" ht="12.75" customHeight="1">
      <c r="A660" s="90"/>
      <c r="B660" s="90"/>
    </row>
    <row r="661" ht="12.75" customHeight="1">
      <c r="A661" s="90"/>
      <c r="B661" s="90"/>
    </row>
    <row r="662" ht="12.75" customHeight="1">
      <c r="A662" s="90"/>
      <c r="B662" s="90"/>
    </row>
    <row r="663" ht="12.75" customHeight="1">
      <c r="A663" s="90"/>
      <c r="B663" s="90"/>
    </row>
    <row r="664" ht="12.75" customHeight="1">
      <c r="A664" s="90"/>
      <c r="B664" s="90"/>
    </row>
    <row r="665" ht="12.75" customHeight="1">
      <c r="A665" s="90"/>
      <c r="B665" s="90"/>
    </row>
    <row r="666" ht="12.75" customHeight="1">
      <c r="A666" s="90"/>
      <c r="B666" s="90"/>
    </row>
    <row r="667" ht="12.75" customHeight="1">
      <c r="A667" s="90"/>
      <c r="B667" s="90"/>
    </row>
    <row r="668" ht="12.75" customHeight="1">
      <c r="A668" s="90"/>
      <c r="B668" s="90"/>
    </row>
    <row r="669" ht="12.75" customHeight="1">
      <c r="A669" s="90"/>
      <c r="B669" s="90"/>
    </row>
    <row r="670" ht="12.75" customHeight="1">
      <c r="A670" s="90"/>
      <c r="B670" s="90"/>
    </row>
    <row r="671" ht="12.75" customHeight="1">
      <c r="A671" s="90"/>
      <c r="B671" s="90"/>
    </row>
    <row r="672" ht="12.75" customHeight="1">
      <c r="A672" s="90"/>
      <c r="B672" s="90"/>
    </row>
    <row r="673" ht="12.75" customHeight="1">
      <c r="A673" s="90"/>
      <c r="B673" s="90"/>
    </row>
    <row r="674" ht="12.75" customHeight="1">
      <c r="A674" s="90"/>
      <c r="B674" s="90"/>
    </row>
    <row r="675" ht="12.75" customHeight="1">
      <c r="A675" s="90"/>
      <c r="B675" s="90"/>
    </row>
    <row r="676" ht="12.75" customHeight="1">
      <c r="A676" s="90"/>
      <c r="B676" s="90"/>
    </row>
    <row r="677" ht="12.75" customHeight="1">
      <c r="A677" s="90"/>
      <c r="B677" s="90"/>
    </row>
    <row r="678" ht="12.75" customHeight="1">
      <c r="A678" s="90"/>
      <c r="B678" s="90"/>
    </row>
    <row r="679" ht="12.75" customHeight="1">
      <c r="A679" s="90"/>
      <c r="B679" s="90"/>
    </row>
    <row r="680" ht="12.75" customHeight="1">
      <c r="A680" s="90"/>
      <c r="B680" s="90"/>
    </row>
    <row r="681" ht="12.75" customHeight="1">
      <c r="A681" s="90"/>
      <c r="B681" s="90"/>
    </row>
    <row r="682" ht="12.75" customHeight="1">
      <c r="A682" s="90"/>
      <c r="B682" s="90"/>
    </row>
    <row r="683" ht="12.75" customHeight="1">
      <c r="A683" s="90"/>
      <c r="B683" s="90"/>
    </row>
    <row r="684" ht="12.75" customHeight="1">
      <c r="A684" s="90"/>
      <c r="B684" s="90"/>
    </row>
    <row r="685" ht="12.75" customHeight="1">
      <c r="A685" s="90"/>
      <c r="B685" s="90"/>
    </row>
    <row r="686" ht="12.75" customHeight="1">
      <c r="A686" s="90"/>
      <c r="B686" s="90"/>
    </row>
    <row r="687" ht="12.75" customHeight="1">
      <c r="A687" s="90"/>
      <c r="B687" s="90"/>
    </row>
    <row r="688" ht="12.75" customHeight="1">
      <c r="A688" s="90"/>
      <c r="B688" s="90"/>
    </row>
    <row r="689" ht="12.75" customHeight="1">
      <c r="A689" s="90"/>
      <c r="B689" s="90"/>
    </row>
    <row r="690" ht="12.75" customHeight="1">
      <c r="A690" s="90"/>
      <c r="B690" s="90"/>
    </row>
    <row r="691" ht="12.75" customHeight="1">
      <c r="A691" s="90"/>
      <c r="B691" s="90"/>
    </row>
    <row r="692" ht="12.75" customHeight="1">
      <c r="A692" s="90"/>
      <c r="B692" s="90"/>
    </row>
    <row r="693" ht="12.75" customHeight="1">
      <c r="A693" s="90"/>
      <c r="B693" s="90"/>
    </row>
    <row r="694" ht="12.75" customHeight="1">
      <c r="A694" s="90"/>
      <c r="B694" s="90"/>
    </row>
    <row r="695" ht="12.75" customHeight="1">
      <c r="A695" s="90"/>
      <c r="B695" s="90"/>
    </row>
    <row r="696" ht="12.75" customHeight="1">
      <c r="A696" s="90"/>
      <c r="B696" s="90"/>
    </row>
    <row r="697" ht="12.75" customHeight="1">
      <c r="A697" s="90"/>
      <c r="B697" s="90"/>
    </row>
    <row r="698" ht="12.75" customHeight="1">
      <c r="A698" s="90"/>
      <c r="B698" s="90"/>
    </row>
    <row r="699" ht="12.75" customHeight="1">
      <c r="A699" s="90"/>
      <c r="B699" s="90"/>
    </row>
    <row r="700" ht="12.75" customHeight="1">
      <c r="A700" s="90"/>
      <c r="B700" s="90"/>
    </row>
    <row r="701" ht="12.75" customHeight="1">
      <c r="A701" s="90"/>
      <c r="B701" s="90"/>
    </row>
    <row r="702" ht="12.75" customHeight="1">
      <c r="A702" s="90"/>
      <c r="B702" s="90"/>
    </row>
    <row r="703" ht="12.75" customHeight="1">
      <c r="A703" s="90"/>
      <c r="B703" s="90"/>
    </row>
    <row r="704" ht="12.75" customHeight="1">
      <c r="A704" s="90"/>
      <c r="B704" s="90"/>
    </row>
    <row r="705" ht="12.75" customHeight="1">
      <c r="A705" s="90"/>
      <c r="B705" s="90"/>
    </row>
    <row r="706" ht="12.75" customHeight="1">
      <c r="A706" s="90"/>
      <c r="B706" s="90"/>
    </row>
    <row r="707" ht="12.75" customHeight="1">
      <c r="A707" s="90"/>
      <c r="B707" s="90"/>
    </row>
    <row r="708" ht="12.75" customHeight="1">
      <c r="A708" s="90"/>
      <c r="B708" s="90"/>
    </row>
    <row r="709" ht="12.75" customHeight="1">
      <c r="A709" s="90"/>
      <c r="B709" s="90"/>
    </row>
    <row r="710" ht="12.75" customHeight="1">
      <c r="A710" s="90"/>
      <c r="B710" s="90"/>
    </row>
    <row r="711" ht="12.75" customHeight="1">
      <c r="A711" s="90"/>
      <c r="B711" s="90"/>
    </row>
    <row r="712" ht="12.75" customHeight="1">
      <c r="A712" s="90"/>
      <c r="B712" s="90"/>
    </row>
    <row r="713" ht="12.75" customHeight="1">
      <c r="A713" s="90"/>
      <c r="B713" s="90"/>
    </row>
    <row r="714" ht="12.75" customHeight="1">
      <c r="A714" s="90"/>
      <c r="B714" s="90"/>
    </row>
    <row r="715" ht="12.75" customHeight="1">
      <c r="A715" s="90"/>
      <c r="B715" s="90"/>
    </row>
    <row r="716" ht="12.75" customHeight="1">
      <c r="A716" s="90"/>
      <c r="B716" s="90"/>
    </row>
    <row r="717" ht="12.75" customHeight="1">
      <c r="A717" s="90"/>
      <c r="B717" s="90"/>
    </row>
    <row r="718" ht="12.75" customHeight="1">
      <c r="A718" s="90"/>
      <c r="B718" s="90"/>
    </row>
    <row r="719" ht="12.75" customHeight="1">
      <c r="A719" s="90"/>
      <c r="B719" s="90"/>
    </row>
    <row r="720" ht="12.75" customHeight="1">
      <c r="A720" s="90"/>
      <c r="B720" s="90"/>
    </row>
    <row r="721" ht="12.75" customHeight="1">
      <c r="A721" s="90"/>
      <c r="B721" s="90"/>
    </row>
    <row r="722" ht="12.75" customHeight="1">
      <c r="A722" s="90"/>
      <c r="B722" s="90"/>
    </row>
    <row r="723" ht="12.75" customHeight="1">
      <c r="A723" s="90"/>
      <c r="B723" s="90"/>
    </row>
    <row r="724" ht="12.75" customHeight="1">
      <c r="A724" s="90"/>
      <c r="B724" s="90"/>
    </row>
    <row r="725" ht="12.75" customHeight="1">
      <c r="A725" s="90"/>
      <c r="B725" s="90"/>
    </row>
    <row r="726" ht="12.75" customHeight="1">
      <c r="A726" s="90"/>
      <c r="B726" s="90"/>
    </row>
    <row r="727" ht="12.75" customHeight="1">
      <c r="A727" s="90"/>
      <c r="B727" s="90"/>
    </row>
    <row r="728" ht="12.75" customHeight="1">
      <c r="A728" s="90"/>
      <c r="B728" s="90"/>
    </row>
    <row r="729" ht="12.75" customHeight="1">
      <c r="A729" s="90"/>
      <c r="B729" s="90"/>
    </row>
    <row r="730" ht="12.75" customHeight="1">
      <c r="A730" s="90"/>
      <c r="B730" s="90"/>
    </row>
    <row r="731" ht="12.75" customHeight="1">
      <c r="A731" s="90"/>
      <c r="B731" s="90"/>
    </row>
    <row r="732" ht="12.75" customHeight="1">
      <c r="A732" s="90"/>
      <c r="B732" s="90"/>
    </row>
    <row r="733" ht="12.75" customHeight="1">
      <c r="A733" s="90"/>
      <c r="B733" s="90"/>
    </row>
    <row r="734" ht="12.75" customHeight="1">
      <c r="A734" s="90"/>
      <c r="B734" s="90"/>
    </row>
    <row r="735" ht="12.75" customHeight="1">
      <c r="A735" s="90"/>
      <c r="B735" s="90"/>
    </row>
    <row r="736" ht="12.75" customHeight="1">
      <c r="A736" s="90"/>
      <c r="B736" s="90"/>
    </row>
    <row r="737" ht="12.75" customHeight="1">
      <c r="A737" s="90"/>
      <c r="B737" s="90"/>
    </row>
    <row r="738" ht="12.75" customHeight="1">
      <c r="A738" s="90"/>
      <c r="B738" s="90"/>
    </row>
    <row r="739" ht="12.75" customHeight="1">
      <c r="A739" s="90"/>
      <c r="B739" s="90"/>
    </row>
    <row r="740" ht="12.75" customHeight="1">
      <c r="A740" s="90"/>
      <c r="B740" s="90"/>
    </row>
    <row r="741" ht="12.75" customHeight="1">
      <c r="A741" s="90"/>
      <c r="B741" s="90"/>
    </row>
    <row r="742" ht="12.75" customHeight="1">
      <c r="A742" s="90"/>
      <c r="B742" s="90"/>
    </row>
    <row r="743" ht="12.75" customHeight="1">
      <c r="A743" s="90"/>
      <c r="B743" s="90"/>
    </row>
    <row r="744" ht="12.75" customHeight="1">
      <c r="A744" s="90"/>
      <c r="B744" s="90"/>
    </row>
    <row r="745" ht="12.75" customHeight="1">
      <c r="A745" s="90"/>
      <c r="B745" s="90"/>
    </row>
    <row r="746" ht="12.75" customHeight="1">
      <c r="A746" s="90"/>
      <c r="B746" s="90"/>
    </row>
    <row r="747" ht="12.75" customHeight="1">
      <c r="A747" s="90"/>
      <c r="B747" s="90"/>
    </row>
    <row r="748" ht="12.75" customHeight="1">
      <c r="A748" s="90"/>
      <c r="B748" s="90"/>
    </row>
    <row r="749" ht="12.75" customHeight="1">
      <c r="A749" s="90"/>
      <c r="B749" s="90"/>
    </row>
    <row r="750" ht="12.75" customHeight="1">
      <c r="A750" s="90"/>
      <c r="B750" s="90"/>
    </row>
    <row r="751" ht="12.75" customHeight="1">
      <c r="A751" s="90"/>
      <c r="B751" s="90"/>
    </row>
    <row r="752" ht="12.75" customHeight="1">
      <c r="A752" s="90"/>
      <c r="B752" s="90"/>
    </row>
    <row r="753" ht="12.75" customHeight="1">
      <c r="A753" s="90"/>
      <c r="B753" s="90"/>
    </row>
    <row r="754" ht="12.75" customHeight="1">
      <c r="A754" s="90"/>
      <c r="B754" s="90"/>
    </row>
    <row r="755" ht="12.75" customHeight="1">
      <c r="A755" s="90"/>
      <c r="B755" s="90"/>
    </row>
    <row r="756" ht="12.75" customHeight="1">
      <c r="A756" s="90"/>
      <c r="B756" s="90"/>
    </row>
    <row r="757" ht="12.75" customHeight="1">
      <c r="A757" s="90"/>
      <c r="B757" s="90"/>
    </row>
    <row r="758" ht="12.75" customHeight="1">
      <c r="A758" s="90"/>
      <c r="B758" s="90"/>
    </row>
    <row r="759" ht="12.75" customHeight="1">
      <c r="A759" s="90"/>
      <c r="B759" s="90"/>
    </row>
    <row r="760" ht="12.75" customHeight="1">
      <c r="A760" s="90"/>
      <c r="B760" s="90"/>
    </row>
    <row r="761" ht="12.75" customHeight="1">
      <c r="A761" s="90"/>
      <c r="B761" s="90"/>
    </row>
    <row r="762" ht="12.75" customHeight="1">
      <c r="A762" s="90"/>
      <c r="B762" s="90"/>
    </row>
    <row r="763" ht="12.75" customHeight="1">
      <c r="A763" s="90"/>
      <c r="B763" s="90"/>
    </row>
    <row r="764" ht="12.75" customHeight="1">
      <c r="A764" s="90"/>
      <c r="B764" s="90"/>
    </row>
    <row r="765" ht="12.75" customHeight="1">
      <c r="A765" s="90"/>
      <c r="B765" s="90"/>
    </row>
    <row r="766" ht="12.75" customHeight="1">
      <c r="A766" s="90"/>
      <c r="B766" s="90"/>
    </row>
    <row r="767" ht="12.75" customHeight="1">
      <c r="A767" s="90"/>
      <c r="B767" s="90"/>
    </row>
    <row r="768" ht="12.75" customHeight="1">
      <c r="A768" s="90"/>
      <c r="B768" s="90"/>
    </row>
    <row r="769" ht="12.75" customHeight="1">
      <c r="A769" s="90"/>
      <c r="B769" s="90"/>
    </row>
    <row r="770" ht="12.75" customHeight="1">
      <c r="A770" s="90"/>
      <c r="B770" s="90"/>
    </row>
    <row r="771" ht="12.75" customHeight="1">
      <c r="A771" s="90"/>
      <c r="B771" s="90"/>
    </row>
    <row r="772" ht="12.75" customHeight="1">
      <c r="A772" s="90"/>
      <c r="B772" s="90"/>
    </row>
    <row r="773" ht="12.75" customHeight="1">
      <c r="A773" s="90"/>
      <c r="B773" s="90"/>
    </row>
    <row r="774" ht="12.75" customHeight="1">
      <c r="A774" s="90"/>
      <c r="B774" s="90"/>
    </row>
    <row r="775" ht="12.75" customHeight="1">
      <c r="A775" s="90"/>
      <c r="B775" s="90"/>
    </row>
    <row r="776" ht="12.75" customHeight="1">
      <c r="A776" s="90"/>
      <c r="B776" s="90"/>
    </row>
    <row r="777" ht="12.75" customHeight="1">
      <c r="A777" s="90"/>
      <c r="B777" s="90"/>
    </row>
    <row r="778" ht="12.75" customHeight="1">
      <c r="A778" s="90"/>
      <c r="B778" s="90"/>
    </row>
    <row r="779" ht="12.75" customHeight="1">
      <c r="A779" s="90"/>
      <c r="B779" s="90"/>
    </row>
    <row r="780" ht="12.75" customHeight="1">
      <c r="A780" s="90"/>
      <c r="B780" s="90"/>
    </row>
    <row r="781" ht="12.75" customHeight="1">
      <c r="A781" s="90"/>
      <c r="B781" s="90"/>
    </row>
    <row r="782" ht="12.75" customHeight="1">
      <c r="A782" s="90"/>
      <c r="B782" s="90"/>
    </row>
    <row r="783" ht="12.75" customHeight="1">
      <c r="A783" s="90"/>
      <c r="B783" s="90"/>
    </row>
    <row r="784" ht="12.75" customHeight="1">
      <c r="A784" s="90"/>
      <c r="B784" s="90"/>
    </row>
    <row r="785" ht="12.75" customHeight="1">
      <c r="A785" s="90"/>
      <c r="B785" s="90"/>
    </row>
    <row r="786" ht="12.75" customHeight="1">
      <c r="A786" s="90"/>
      <c r="B786" s="90"/>
    </row>
    <row r="787" ht="12.75" customHeight="1">
      <c r="A787" s="90"/>
      <c r="B787" s="90"/>
    </row>
    <row r="788" ht="12.75" customHeight="1">
      <c r="A788" s="90"/>
      <c r="B788" s="90"/>
    </row>
    <row r="789" ht="12.75" customHeight="1">
      <c r="A789" s="90"/>
      <c r="B789" s="90"/>
    </row>
    <row r="790" ht="12.75" customHeight="1">
      <c r="A790" s="90"/>
      <c r="B790" s="90"/>
    </row>
    <row r="791" ht="12.75" customHeight="1">
      <c r="A791" s="90"/>
      <c r="B791" s="90"/>
    </row>
    <row r="792" ht="12.75" customHeight="1">
      <c r="A792" s="90"/>
      <c r="B792" s="90"/>
    </row>
    <row r="793" ht="12.75" customHeight="1">
      <c r="A793" s="90"/>
      <c r="B793" s="90"/>
    </row>
    <row r="794" ht="12.75" customHeight="1">
      <c r="A794" s="90"/>
      <c r="B794" s="90"/>
    </row>
    <row r="795" ht="12.75" customHeight="1">
      <c r="A795" s="90"/>
      <c r="B795" s="90"/>
    </row>
    <row r="796" ht="12.75" customHeight="1">
      <c r="A796" s="90"/>
      <c r="B796" s="90"/>
    </row>
    <row r="797" ht="12.75" customHeight="1">
      <c r="A797" s="90"/>
      <c r="B797" s="90"/>
    </row>
    <row r="798" ht="12.75" customHeight="1">
      <c r="A798" s="90"/>
      <c r="B798" s="90"/>
    </row>
    <row r="799" ht="12.75" customHeight="1">
      <c r="A799" s="90"/>
      <c r="B799" s="90"/>
    </row>
    <row r="800" ht="12.75" customHeight="1">
      <c r="A800" s="90"/>
      <c r="B800" s="90"/>
    </row>
    <row r="801" ht="12.75" customHeight="1">
      <c r="A801" s="90"/>
      <c r="B801" s="90"/>
    </row>
    <row r="802" ht="12.75" customHeight="1">
      <c r="A802" s="90"/>
      <c r="B802" s="90"/>
    </row>
    <row r="803" ht="12.75" customHeight="1">
      <c r="A803" s="90"/>
      <c r="B803" s="90"/>
    </row>
    <row r="804" ht="12.75" customHeight="1">
      <c r="A804" s="90"/>
      <c r="B804" s="90"/>
    </row>
    <row r="805" ht="12.75" customHeight="1">
      <c r="A805" s="90"/>
      <c r="B805" s="90"/>
    </row>
    <row r="806" ht="12.75" customHeight="1">
      <c r="A806" s="90"/>
      <c r="B806" s="90"/>
    </row>
    <row r="807" ht="12.75" customHeight="1">
      <c r="A807" s="90"/>
      <c r="B807" s="90"/>
    </row>
    <row r="808" ht="12.75" customHeight="1">
      <c r="A808" s="90"/>
      <c r="B808" s="90"/>
    </row>
    <row r="809" ht="12.75" customHeight="1">
      <c r="A809" s="90"/>
      <c r="B809" s="90"/>
    </row>
    <row r="810" ht="12.75" customHeight="1">
      <c r="A810" s="90"/>
      <c r="B810" s="90"/>
    </row>
    <row r="811" ht="12.75" customHeight="1">
      <c r="A811" s="90"/>
      <c r="B811" s="90"/>
    </row>
    <row r="812" ht="12.75" customHeight="1">
      <c r="A812" s="90"/>
      <c r="B812" s="90"/>
    </row>
    <row r="813" ht="12.75" customHeight="1">
      <c r="A813" s="90"/>
      <c r="B813" s="90"/>
    </row>
    <row r="814" ht="12.75" customHeight="1">
      <c r="A814" s="90"/>
      <c r="B814" s="90"/>
    </row>
    <row r="815" ht="12.75" customHeight="1">
      <c r="A815" s="90"/>
      <c r="B815" s="90"/>
    </row>
    <row r="816" ht="12.75" customHeight="1">
      <c r="A816" s="90"/>
      <c r="B816" s="90"/>
    </row>
    <row r="817" ht="12.75" customHeight="1">
      <c r="A817" s="90"/>
      <c r="B817" s="90"/>
    </row>
    <row r="818" ht="12.75" customHeight="1">
      <c r="A818" s="90"/>
      <c r="B818" s="90"/>
    </row>
    <row r="819" ht="12.75" customHeight="1">
      <c r="A819" s="90"/>
      <c r="B819" s="90"/>
    </row>
    <row r="820" ht="12.75" customHeight="1">
      <c r="A820" s="90"/>
      <c r="B820" s="90"/>
    </row>
    <row r="821" ht="12.75" customHeight="1">
      <c r="A821" s="90"/>
      <c r="B821" s="90"/>
    </row>
    <row r="822" ht="12.75" customHeight="1">
      <c r="A822" s="90"/>
      <c r="B822" s="90"/>
    </row>
    <row r="823" ht="12.75" customHeight="1">
      <c r="A823" s="90"/>
      <c r="B823" s="90"/>
    </row>
    <row r="824" ht="12.75" customHeight="1">
      <c r="A824" s="90"/>
      <c r="B824" s="90"/>
    </row>
    <row r="825" ht="12.75" customHeight="1">
      <c r="A825" s="90"/>
      <c r="B825" s="90"/>
    </row>
    <row r="826" ht="12.75" customHeight="1">
      <c r="A826" s="90"/>
      <c r="B826" s="90"/>
    </row>
    <row r="827" ht="12.75" customHeight="1">
      <c r="A827" s="90"/>
      <c r="B827" s="90"/>
    </row>
    <row r="828" ht="12.75" customHeight="1">
      <c r="A828" s="90"/>
      <c r="B828" s="90"/>
    </row>
    <row r="829" ht="12.75" customHeight="1">
      <c r="A829" s="90"/>
      <c r="B829" s="90"/>
    </row>
    <row r="830" ht="12.75" customHeight="1">
      <c r="A830" s="90"/>
      <c r="B830" s="90"/>
    </row>
    <row r="831" ht="12.75" customHeight="1">
      <c r="A831" s="90"/>
      <c r="B831" s="90"/>
    </row>
    <row r="832" ht="12.75" customHeight="1">
      <c r="A832" s="90"/>
      <c r="B832" s="90"/>
    </row>
    <row r="833" ht="12.75" customHeight="1">
      <c r="A833" s="90"/>
      <c r="B833" s="90"/>
    </row>
    <row r="834" ht="12.75" customHeight="1">
      <c r="A834" s="90"/>
      <c r="B834" s="90"/>
    </row>
    <row r="835" ht="12.75" customHeight="1">
      <c r="A835" s="90"/>
      <c r="B835" s="90"/>
    </row>
    <row r="836" ht="12.75" customHeight="1">
      <c r="A836" s="90"/>
      <c r="B836" s="90"/>
    </row>
    <row r="837" ht="12.75" customHeight="1">
      <c r="A837" s="90"/>
      <c r="B837" s="90"/>
    </row>
    <row r="838" ht="12.75" customHeight="1">
      <c r="A838" s="90"/>
      <c r="B838" s="90"/>
    </row>
    <row r="839" ht="12.75" customHeight="1">
      <c r="A839" s="90"/>
      <c r="B839" s="90"/>
    </row>
    <row r="840" ht="12.75" customHeight="1">
      <c r="A840" s="90"/>
      <c r="B840" s="90"/>
    </row>
    <row r="841" ht="12.75" customHeight="1">
      <c r="A841" s="90"/>
      <c r="B841" s="90"/>
    </row>
    <row r="842" ht="12.75" customHeight="1">
      <c r="A842" s="90"/>
      <c r="B842" s="90"/>
    </row>
    <row r="843" ht="12.75" customHeight="1">
      <c r="A843" s="90"/>
      <c r="B843" s="90"/>
    </row>
    <row r="844" ht="12.75" customHeight="1">
      <c r="A844" s="90"/>
      <c r="B844" s="90"/>
    </row>
    <row r="845" ht="12.75" customHeight="1">
      <c r="A845" s="90"/>
      <c r="B845" s="90"/>
    </row>
    <row r="846" ht="12.75" customHeight="1">
      <c r="A846" s="90"/>
      <c r="B846" s="90"/>
    </row>
    <row r="847" ht="12.75" customHeight="1">
      <c r="A847" s="90"/>
      <c r="B847" s="90"/>
    </row>
    <row r="848" ht="12.75" customHeight="1">
      <c r="A848" s="90"/>
      <c r="B848" s="90"/>
    </row>
    <row r="849" ht="12.75" customHeight="1">
      <c r="A849" s="90"/>
      <c r="B849" s="90"/>
    </row>
    <row r="850" ht="12.75" customHeight="1">
      <c r="A850" s="90"/>
      <c r="B850" s="90"/>
    </row>
    <row r="851" ht="12.75" customHeight="1">
      <c r="A851" s="90"/>
      <c r="B851" s="90"/>
    </row>
    <row r="852" ht="12.75" customHeight="1">
      <c r="A852" s="90"/>
      <c r="B852" s="90"/>
    </row>
    <row r="853" ht="12.75" customHeight="1">
      <c r="A853" s="90"/>
      <c r="B853" s="90"/>
    </row>
    <row r="854" ht="12.75" customHeight="1">
      <c r="A854" s="90"/>
      <c r="B854" s="90"/>
    </row>
    <row r="855" ht="12.75" customHeight="1">
      <c r="A855" s="90"/>
      <c r="B855" s="90"/>
    </row>
    <row r="856" ht="12.75" customHeight="1">
      <c r="A856" s="90"/>
      <c r="B856" s="90"/>
    </row>
    <row r="857" ht="12.75" customHeight="1">
      <c r="A857" s="90"/>
      <c r="B857" s="90"/>
    </row>
    <row r="858" ht="12.75" customHeight="1">
      <c r="A858" s="90"/>
      <c r="B858" s="90"/>
    </row>
    <row r="859" ht="12.75" customHeight="1">
      <c r="A859" s="90"/>
      <c r="B859" s="90"/>
    </row>
    <row r="860" ht="12.75" customHeight="1">
      <c r="A860" s="90"/>
      <c r="B860" s="90"/>
    </row>
    <row r="861" ht="12.75" customHeight="1">
      <c r="A861" s="90"/>
      <c r="B861" s="90"/>
    </row>
    <row r="862" ht="12.75" customHeight="1">
      <c r="A862" s="90"/>
      <c r="B862" s="90"/>
    </row>
    <row r="863" ht="12.75" customHeight="1">
      <c r="A863" s="90"/>
      <c r="B863" s="90"/>
    </row>
    <row r="864" ht="12.75" customHeight="1">
      <c r="A864" s="90"/>
      <c r="B864" s="90"/>
    </row>
    <row r="865" ht="12.75" customHeight="1">
      <c r="A865" s="90"/>
      <c r="B865" s="90"/>
    </row>
    <row r="866" ht="12.75" customHeight="1">
      <c r="A866" s="90"/>
      <c r="B866" s="90"/>
    </row>
    <row r="867" ht="12.75" customHeight="1">
      <c r="A867" s="90"/>
      <c r="B867" s="90"/>
    </row>
    <row r="868" ht="12.75" customHeight="1">
      <c r="A868" s="90"/>
      <c r="B868" s="90"/>
    </row>
    <row r="869" ht="12.75" customHeight="1">
      <c r="A869" s="90"/>
      <c r="B869" s="90"/>
    </row>
    <row r="870" ht="12.75" customHeight="1">
      <c r="A870" s="90"/>
      <c r="B870" s="90"/>
    </row>
    <row r="871" ht="12.75" customHeight="1">
      <c r="A871" s="90"/>
      <c r="B871" s="90"/>
    </row>
    <row r="872" ht="12.75" customHeight="1">
      <c r="A872" s="90"/>
      <c r="B872" s="90"/>
    </row>
    <row r="873" ht="12.75" customHeight="1">
      <c r="A873" s="90"/>
      <c r="B873" s="90"/>
    </row>
    <row r="874" ht="12.75" customHeight="1">
      <c r="A874" s="90"/>
      <c r="B874" s="90"/>
    </row>
    <row r="875" ht="12.75" customHeight="1">
      <c r="A875" s="90"/>
      <c r="B875" s="90"/>
    </row>
    <row r="876" ht="12.75" customHeight="1">
      <c r="A876" s="90"/>
      <c r="B876" s="90"/>
    </row>
    <row r="877" ht="12.75" customHeight="1">
      <c r="A877" s="90"/>
      <c r="B877" s="90"/>
    </row>
    <row r="878" ht="12.75" customHeight="1">
      <c r="A878" s="90"/>
      <c r="B878" s="90"/>
    </row>
    <row r="879" ht="12.75" customHeight="1">
      <c r="A879" s="90"/>
      <c r="B879" s="90"/>
    </row>
    <row r="880" ht="12.75" customHeight="1">
      <c r="A880" s="90"/>
      <c r="B880" s="90"/>
    </row>
    <row r="881" ht="12.75" customHeight="1">
      <c r="A881" s="90"/>
      <c r="B881" s="90"/>
    </row>
    <row r="882" ht="12.75" customHeight="1">
      <c r="A882" s="90"/>
      <c r="B882" s="90"/>
    </row>
    <row r="883" ht="12.75" customHeight="1">
      <c r="A883" s="90"/>
      <c r="B883" s="90"/>
    </row>
    <row r="884" ht="12.75" customHeight="1">
      <c r="A884" s="90"/>
      <c r="B884" s="90"/>
    </row>
    <row r="885" ht="12.75" customHeight="1">
      <c r="A885" s="90"/>
      <c r="B885" s="90"/>
    </row>
    <row r="886" ht="12.75" customHeight="1">
      <c r="A886" s="90"/>
      <c r="B886" s="90"/>
    </row>
    <row r="887" ht="12.75" customHeight="1">
      <c r="A887" s="90"/>
      <c r="B887" s="90"/>
    </row>
    <row r="888" ht="12.75" customHeight="1">
      <c r="A888" s="90"/>
      <c r="B888" s="90"/>
    </row>
    <row r="889" ht="12.75" customHeight="1">
      <c r="A889" s="90"/>
      <c r="B889" s="90"/>
    </row>
    <row r="890" ht="12.75" customHeight="1">
      <c r="A890" s="90"/>
      <c r="B890" s="90"/>
    </row>
    <row r="891" ht="12.75" customHeight="1">
      <c r="A891" s="90"/>
      <c r="B891" s="90"/>
    </row>
    <row r="892" ht="12.75" customHeight="1">
      <c r="A892" s="90"/>
      <c r="B892" s="90"/>
    </row>
    <row r="893" ht="12.75" customHeight="1">
      <c r="A893" s="90"/>
      <c r="B893" s="90"/>
    </row>
    <row r="894" ht="12.75" customHeight="1">
      <c r="A894" s="90"/>
      <c r="B894" s="90"/>
    </row>
    <row r="895" ht="12.75" customHeight="1">
      <c r="A895" s="90"/>
      <c r="B895" s="90"/>
    </row>
    <row r="896" ht="12.75" customHeight="1">
      <c r="A896" s="90"/>
      <c r="B896" s="90"/>
    </row>
    <row r="897" ht="12.75" customHeight="1">
      <c r="A897" s="90"/>
      <c r="B897" s="90"/>
    </row>
    <row r="898" ht="12.75" customHeight="1">
      <c r="A898" s="90"/>
      <c r="B898" s="90"/>
    </row>
    <row r="899" ht="12.75" customHeight="1">
      <c r="A899" s="90"/>
      <c r="B899" s="90"/>
    </row>
    <row r="900" ht="12.75" customHeight="1">
      <c r="A900" s="90"/>
      <c r="B900" s="90"/>
    </row>
    <row r="901" ht="12.75" customHeight="1">
      <c r="A901" s="90"/>
      <c r="B901" s="90"/>
    </row>
    <row r="902" ht="12.75" customHeight="1">
      <c r="A902" s="90"/>
      <c r="B902" s="90"/>
    </row>
    <row r="903" ht="12.75" customHeight="1">
      <c r="A903" s="90"/>
      <c r="B903" s="90"/>
    </row>
    <row r="904" ht="12.75" customHeight="1">
      <c r="A904" s="90"/>
      <c r="B904" s="90"/>
    </row>
    <row r="905" ht="12.75" customHeight="1">
      <c r="A905" s="90"/>
      <c r="B905" s="90"/>
    </row>
    <row r="906" ht="12.75" customHeight="1">
      <c r="A906" s="90"/>
      <c r="B906" s="90"/>
    </row>
    <row r="907" ht="12.75" customHeight="1">
      <c r="A907" s="90"/>
      <c r="B907" s="90"/>
    </row>
    <row r="908" ht="12.75" customHeight="1">
      <c r="A908" s="90"/>
      <c r="B908" s="90"/>
    </row>
    <row r="909" ht="12.75" customHeight="1">
      <c r="A909" s="90"/>
      <c r="B909" s="90"/>
    </row>
    <row r="910" ht="12.75" customHeight="1">
      <c r="A910" s="90"/>
      <c r="B910" s="90"/>
    </row>
    <row r="911" ht="12.75" customHeight="1">
      <c r="A911" s="90"/>
      <c r="B911" s="90"/>
    </row>
    <row r="912" ht="12.75" customHeight="1">
      <c r="A912" s="90"/>
      <c r="B912" s="90"/>
    </row>
    <row r="913" ht="12.75" customHeight="1">
      <c r="A913" s="90"/>
      <c r="B913" s="90"/>
    </row>
    <row r="914" ht="12.75" customHeight="1">
      <c r="A914" s="90"/>
      <c r="B914" s="90"/>
    </row>
    <row r="915" ht="12.75" customHeight="1">
      <c r="A915" s="90"/>
      <c r="B915" s="90"/>
    </row>
    <row r="916" ht="12.75" customHeight="1">
      <c r="A916" s="90"/>
      <c r="B916" s="90"/>
    </row>
    <row r="917" ht="12.75" customHeight="1">
      <c r="A917" s="90"/>
      <c r="B917" s="90"/>
    </row>
    <row r="918" ht="12.75" customHeight="1">
      <c r="A918" s="90"/>
      <c r="B918" s="90"/>
    </row>
    <row r="919" ht="12.75" customHeight="1">
      <c r="A919" s="90"/>
      <c r="B919" s="90"/>
    </row>
    <row r="920" ht="12.75" customHeight="1">
      <c r="A920" s="90"/>
      <c r="B920" s="90"/>
    </row>
    <row r="921" ht="12.75" customHeight="1">
      <c r="A921" s="90"/>
      <c r="B921" s="90"/>
    </row>
    <row r="922" ht="12.75" customHeight="1">
      <c r="A922" s="90"/>
      <c r="B922" s="90"/>
    </row>
    <row r="923" ht="12.75" customHeight="1">
      <c r="A923" s="90"/>
      <c r="B923" s="90"/>
    </row>
    <row r="924" ht="12.75" customHeight="1">
      <c r="A924" s="90"/>
      <c r="B924" s="90"/>
    </row>
    <row r="925" ht="12.75" customHeight="1">
      <c r="A925" s="90"/>
      <c r="B925" s="90"/>
    </row>
    <row r="926" ht="12.75" customHeight="1">
      <c r="A926" s="90"/>
      <c r="B926" s="90"/>
    </row>
    <row r="927" ht="12.75" customHeight="1">
      <c r="A927" s="90"/>
      <c r="B927" s="90"/>
    </row>
    <row r="928" ht="12.75" customHeight="1">
      <c r="A928" s="90"/>
      <c r="B928" s="90"/>
    </row>
    <row r="929" ht="12.75" customHeight="1">
      <c r="A929" s="90"/>
      <c r="B929" s="90"/>
    </row>
    <row r="930" ht="12.75" customHeight="1">
      <c r="A930" s="90"/>
      <c r="B930" s="90"/>
    </row>
    <row r="931" ht="12.75" customHeight="1">
      <c r="A931" s="90"/>
      <c r="B931" s="90"/>
    </row>
    <row r="932" ht="12.75" customHeight="1">
      <c r="A932" s="90"/>
      <c r="B932" s="90"/>
    </row>
    <row r="933" ht="12.75" customHeight="1">
      <c r="A933" s="90"/>
      <c r="B933" s="90"/>
    </row>
    <row r="934" ht="12.75" customHeight="1">
      <c r="A934" s="90"/>
      <c r="B934" s="90"/>
    </row>
    <row r="935" ht="12.75" customHeight="1">
      <c r="A935" s="90"/>
      <c r="B935" s="90"/>
    </row>
    <row r="936" ht="12.75" customHeight="1">
      <c r="A936" s="90"/>
      <c r="B936" s="90"/>
    </row>
    <row r="937" ht="12.75" customHeight="1">
      <c r="A937" s="90"/>
      <c r="B937" s="90"/>
    </row>
    <row r="938" ht="12.75" customHeight="1">
      <c r="A938" s="90"/>
      <c r="B938" s="90"/>
    </row>
    <row r="939" ht="12.75" customHeight="1">
      <c r="A939" s="90"/>
      <c r="B939" s="90"/>
    </row>
    <row r="940" ht="12.75" customHeight="1">
      <c r="A940" s="90"/>
      <c r="B940" s="90"/>
    </row>
    <row r="941" ht="12.75" customHeight="1">
      <c r="A941" s="90"/>
      <c r="B941" s="90"/>
    </row>
    <row r="942" ht="12.75" customHeight="1">
      <c r="A942" s="90"/>
      <c r="B942" s="90"/>
    </row>
    <row r="943" ht="12.75" customHeight="1">
      <c r="A943" s="90"/>
      <c r="B943" s="90"/>
    </row>
    <row r="944" ht="12.75" customHeight="1">
      <c r="A944" s="90"/>
      <c r="B944" s="90"/>
    </row>
    <row r="945" ht="12.75" customHeight="1">
      <c r="A945" s="90"/>
      <c r="B945" s="90"/>
    </row>
    <row r="946" ht="12.75" customHeight="1">
      <c r="A946" s="90"/>
      <c r="B946" s="90"/>
    </row>
    <row r="947" ht="12.75" customHeight="1">
      <c r="A947" s="90"/>
      <c r="B947" s="90"/>
    </row>
    <row r="948" ht="12.75" customHeight="1">
      <c r="A948" s="90"/>
      <c r="B948" s="90"/>
    </row>
    <row r="949" ht="12.75" customHeight="1">
      <c r="A949" s="90"/>
      <c r="B949" s="90"/>
    </row>
    <row r="950" ht="12.75" customHeight="1">
      <c r="A950" s="90"/>
      <c r="B950" s="90"/>
    </row>
    <row r="951" ht="12.75" customHeight="1">
      <c r="A951" s="90"/>
      <c r="B951" s="90"/>
    </row>
    <row r="952" ht="12.75" customHeight="1">
      <c r="A952" s="90"/>
      <c r="B952" s="90"/>
    </row>
    <row r="953" ht="12.75" customHeight="1">
      <c r="A953" s="90"/>
      <c r="B953" s="90"/>
    </row>
    <row r="954" ht="12.75" customHeight="1">
      <c r="A954" s="90"/>
      <c r="B954" s="90"/>
    </row>
    <row r="955" ht="12.75" customHeight="1">
      <c r="A955" s="90"/>
      <c r="B955" s="90"/>
    </row>
    <row r="956" ht="12.75" customHeight="1">
      <c r="A956" s="90"/>
      <c r="B956" s="90"/>
    </row>
    <row r="957" ht="12.75" customHeight="1">
      <c r="A957" s="90"/>
      <c r="B957" s="90"/>
    </row>
    <row r="958" ht="12.75" customHeight="1">
      <c r="A958" s="90"/>
      <c r="B958" s="90"/>
    </row>
    <row r="959" ht="12.75" customHeight="1">
      <c r="A959" s="90"/>
      <c r="B959" s="90"/>
    </row>
    <row r="960" ht="12.75" customHeight="1">
      <c r="A960" s="90"/>
      <c r="B960" s="90"/>
    </row>
    <row r="961" ht="12.75" customHeight="1">
      <c r="A961" s="90"/>
      <c r="B961" s="90"/>
    </row>
    <row r="962" ht="12.75" customHeight="1">
      <c r="A962" s="90"/>
      <c r="B962" s="90"/>
    </row>
    <row r="963" ht="12.75" customHeight="1">
      <c r="A963" s="90"/>
      <c r="B963" s="90"/>
    </row>
    <row r="964" ht="12.75" customHeight="1">
      <c r="A964" s="90"/>
      <c r="B964" s="90"/>
    </row>
    <row r="965" ht="12.75" customHeight="1">
      <c r="A965" s="90"/>
      <c r="B965" s="90"/>
    </row>
    <row r="966" ht="12.75" customHeight="1">
      <c r="A966" s="90"/>
      <c r="B966" s="90"/>
    </row>
    <row r="967" ht="12.75" customHeight="1">
      <c r="A967" s="90"/>
      <c r="B967" s="90"/>
    </row>
    <row r="968" ht="12.75" customHeight="1">
      <c r="A968" s="90"/>
      <c r="B968" s="90"/>
    </row>
    <row r="969" ht="12.75" customHeight="1">
      <c r="A969" s="90"/>
      <c r="B969" s="90"/>
    </row>
    <row r="970" ht="12.75" customHeight="1">
      <c r="A970" s="90"/>
      <c r="B970" s="90"/>
    </row>
    <row r="971" ht="12.75" customHeight="1">
      <c r="A971" s="90"/>
      <c r="B971" s="90"/>
    </row>
    <row r="972" ht="12.75" customHeight="1">
      <c r="A972" s="90"/>
      <c r="B972" s="90"/>
    </row>
    <row r="973" ht="12.75" customHeight="1">
      <c r="A973" s="90"/>
      <c r="B973" s="90"/>
    </row>
    <row r="974" ht="12.75" customHeight="1">
      <c r="A974" s="90"/>
      <c r="B974" s="90"/>
    </row>
    <row r="975" ht="12.75" customHeight="1">
      <c r="A975" s="90"/>
      <c r="B975" s="90"/>
    </row>
    <row r="976" ht="12.75" customHeight="1">
      <c r="A976" s="90"/>
      <c r="B976" s="90"/>
    </row>
    <row r="977" ht="12.75" customHeight="1">
      <c r="A977" s="90"/>
      <c r="B977" s="90"/>
    </row>
    <row r="978" ht="12.75" customHeight="1">
      <c r="A978" s="90"/>
      <c r="B978" s="90"/>
    </row>
    <row r="979" ht="12.75" customHeight="1">
      <c r="A979" s="90"/>
      <c r="B979" s="90"/>
    </row>
    <row r="980" ht="12.75" customHeight="1">
      <c r="A980" s="90"/>
      <c r="B980" s="90"/>
    </row>
    <row r="981" ht="12.75" customHeight="1">
      <c r="A981" s="90"/>
      <c r="B981" s="90"/>
    </row>
    <row r="982" ht="12.75" customHeight="1">
      <c r="A982" s="90"/>
      <c r="B982" s="90"/>
    </row>
    <row r="983" ht="12.75" customHeight="1">
      <c r="A983" s="90"/>
      <c r="B983" s="90"/>
    </row>
    <row r="984" ht="12.75" customHeight="1">
      <c r="A984" s="90"/>
      <c r="B984" s="90"/>
    </row>
    <row r="985" ht="12.75" customHeight="1">
      <c r="A985" s="90"/>
      <c r="B985" s="90"/>
    </row>
    <row r="986" ht="12.75" customHeight="1">
      <c r="A986" s="90"/>
      <c r="B986" s="90"/>
    </row>
    <row r="987" ht="12.75" customHeight="1">
      <c r="A987" s="90"/>
      <c r="B987" s="90"/>
    </row>
    <row r="988" ht="12.75" customHeight="1">
      <c r="A988" s="90"/>
      <c r="B988" s="90"/>
    </row>
    <row r="989" ht="12.75" customHeight="1">
      <c r="A989" s="90"/>
      <c r="B989" s="90"/>
    </row>
    <row r="990" ht="12.75" customHeight="1">
      <c r="A990" s="90"/>
      <c r="B990" s="90"/>
    </row>
    <row r="991" ht="12.75" customHeight="1">
      <c r="A991" s="90"/>
      <c r="B991" s="90"/>
    </row>
    <row r="992" ht="12.75" customHeight="1">
      <c r="A992" s="90"/>
      <c r="B992" s="90"/>
    </row>
    <row r="993" ht="12.75" customHeight="1">
      <c r="A993" s="90"/>
      <c r="B993" s="90"/>
    </row>
    <row r="994" ht="12.75" customHeight="1">
      <c r="A994" s="90"/>
      <c r="B994" s="90"/>
    </row>
    <row r="995" ht="12.75" customHeight="1">
      <c r="A995" s="90"/>
      <c r="B995" s="90"/>
    </row>
    <row r="996" ht="12.75" customHeight="1">
      <c r="A996" s="90"/>
      <c r="B996" s="90"/>
    </row>
    <row r="997" ht="12.75" customHeight="1">
      <c r="A997" s="90"/>
      <c r="B997" s="90"/>
    </row>
    <row r="998" ht="12.75" customHeight="1">
      <c r="A998" s="90"/>
      <c r="B998" s="90"/>
    </row>
    <row r="999" ht="12.75" customHeight="1">
      <c r="A999" s="90"/>
      <c r="B999" s="90"/>
    </row>
    <row r="1000" ht="12.75" customHeight="1">
      <c r="A1000" s="90"/>
      <c r="B1000" s="90"/>
    </row>
  </sheetData>
  <mergeCells count="1">
    <mergeCell ref="E17:F17"/>
  </mergeCells>
  <printOptions/>
  <pageMargins bottom="0.35" footer="0.0" header="0.0" left="0.629861111111111" right="0.390277777777778" top="1.04027777777778"/>
  <pageSetup paperSize="5" scale="75" orientation="landscape"/>
  <headerFooter>
    <oddHeader>&amp;CGeneric Regional Office Financials</oddHeader>
    <oddFooter>&amp;C&amp;A&amp;R&amp;P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CF305"/>
    <pageSetUpPr/>
  </sheetPr>
  <sheetViews>
    <sheetView workbookViewId="0">
      <pane xSplit="3.0" ySplit="13.0" topLeftCell="D14" activePane="bottomRight" state="frozen"/>
      <selection activeCell="D1" sqref="D1" pane="topRight"/>
      <selection activeCell="A14" sqref="A14" pane="bottomLeft"/>
      <selection activeCell="D14" sqref="D14" pane="bottomRight"/>
    </sheetView>
  </sheetViews>
  <sheetFormatPr customHeight="1" defaultColWidth="12.63" defaultRowHeight="15.0" outlineLevelCol="1" outlineLevelRow="1"/>
  <cols>
    <col customWidth="1" min="1" max="2" width="3.0"/>
    <col customWidth="1" min="3" max="3" width="31.25"/>
    <col customWidth="1" hidden="1" min="4" max="4" width="10.88" outlineLevel="1"/>
    <col customWidth="1" min="5" max="5" width="10.0"/>
    <col customWidth="1" min="6" max="12" width="11.5"/>
    <col customWidth="1" min="13" max="15" width="12.25"/>
    <col customWidth="1" min="16" max="16" width="11.88" outlineLevel="1"/>
    <col customWidth="1" min="17" max="25" width="12.25" outlineLevel="1"/>
    <col customWidth="1" min="26" max="43" width="9.13" outlineLevel="1"/>
    <col customWidth="1" min="44" max="45" width="9.0"/>
  </cols>
  <sheetData>
    <row r="1" ht="12.75" hidden="1" customHeight="1" outlineLevel="1"/>
    <row r="2" ht="12.75" customHeight="1">
      <c r="A2" s="90"/>
      <c r="B2" s="90"/>
      <c r="C2" s="317" t="s">
        <v>125</v>
      </c>
      <c r="D2" s="459">
        <v>-1.0</v>
      </c>
      <c r="E2" s="459">
        <v>0.0</v>
      </c>
      <c r="F2" s="459">
        <f t="shared" ref="F2:AQ2" si="1">E2+1</f>
        <v>1</v>
      </c>
      <c r="G2" s="459">
        <f t="shared" si="1"/>
        <v>2</v>
      </c>
      <c r="H2" s="459">
        <f t="shared" si="1"/>
        <v>3</v>
      </c>
      <c r="I2" s="459">
        <f t="shared" si="1"/>
        <v>4</v>
      </c>
      <c r="J2" s="459">
        <f t="shared" si="1"/>
        <v>5</v>
      </c>
      <c r="K2" s="459">
        <f t="shared" si="1"/>
        <v>6</v>
      </c>
      <c r="L2" s="459">
        <f t="shared" si="1"/>
        <v>7</v>
      </c>
      <c r="M2" s="459">
        <f t="shared" si="1"/>
        <v>8</v>
      </c>
      <c r="N2" s="459">
        <f t="shared" si="1"/>
        <v>9</v>
      </c>
      <c r="O2" s="459">
        <f t="shared" si="1"/>
        <v>10</v>
      </c>
      <c r="P2" s="476">
        <f t="shared" si="1"/>
        <v>11</v>
      </c>
      <c r="Q2" s="476">
        <f t="shared" si="1"/>
        <v>12</v>
      </c>
      <c r="R2" s="476">
        <f t="shared" si="1"/>
        <v>13</v>
      </c>
      <c r="S2" s="476">
        <f t="shared" si="1"/>
        <v>14</v>
      </c>
      <c r="T2" s="476">
        <f t="shared" si="1"/>
        <v>15</v>
      </c>
      <c r="U2" s="476">
        <f t="shared" si="1"/>
        <v>16</v>
      </c>
      <c r="V2" s="476">
        <f t="shared" si="1"/>
        <v>17</v>
      </c>
      <c r="W2" s="476">
        <f t="shared" si="1"/>
        <v>18</v>
      </c>
      <c r="X2" s="476">
        <f t="shared" si="1"/>
        <v>19</v>
      </c>
      <c r="Y2" s="476">
        <f t="shared" si="1"/>
        <v>20</v>
      </c>
      <c r="Z2" s="476">
        <f t="shared" si="1"/>
        <v>21</v>
      </c>
      <c r="AA2" s="476">
        <f t="shared" si="1"/>
        <v>22</v>
      </c>
      <c r="AB2" s="476">
        <f t="shared" si="1"/>
        <v>23</v>
      </c>
      <c r="AC2" s="476">
        <f t="shared" si="1"/>
        <v>24</v>
      </c>
      <c r="AD2" s="476">
        <f t="shared" si="1"/>
        <v>25</v>
      </c>
      <c r="AE2" s="476">
        <f t="shared" si="1"/>
        <v>26</v>
      </c>
      <c r="AF2" s="476">
        <f t="shared" si="1"/>
        <v>27</v>
      </c>
      <c r="AG2" s="476">
        <f t="shared" si="1"/>
        <v>28</v>
      </c>
      <c r="AH2" s="476">
        <f t="shared" si="1"/>
        <v>29</v>
      </c>
      <c r="AI2" s="476">
        <f t="shared" si="1"/>
        <v>30</v>
      </c>
      <c r="AJ2" s="476">
        <f t="shared" si="1"/>
        <v>31</v>
      </c>
      <c r="AK2" s="476">
        <f t="shared" si="1"/>
        <v>32</v>
      </c>
      <c r="AL2" s="476">
        <f t="shared" si="1"/>
        <v>33</v>
      </c>
      <c r="AM2" s="476">
        <f t="shared" si="1"/>
        <v>34</v>
      </c>
      <c r="AN2" s="476">
        <f t="shared" si="1"/>
        <v>35</v>
      </c>
      <c r="AO2" s="476">
        <f t="shared" si="1"/>
        <v>36</v>
      </c>
      <c r="AP2" s="476">
        <f t="shared" si="1"/>
        <v>37</v>
      </c>
      <c r="AQ2" s="476">
        <f t="shared" si="1"/>
        <v>38</v>
      </c>
    </row>
    <row r="3" ht="12.75" customHeight="1">
      <c r="A3" s="90"/>
      <c r="B3" s="90"/>
      <c r="C3" s="67" t="s">
        <v>259</v>
      </c>
      <c r="D3" s="63">
        <v>0.0</v>
      </c>
      <c r="E3" s="63">
        <f>'Region office'!E3</f>
        <v>0</v>
      </c>
      <c r="F3" s="460">
        <f>'Region office'!F3</f>
        <v>1</v>
      </c>
      <c r="G3" s="63">
        <f>'Region office'!G3</f>
        <v>1</v>
      </c>
      <c r="H3" s="63">
        <f>'Region office'!H3</f>
        <v>2</v>
      </c>
      <c r="I3" s="63">
        <f>'Region office'!I3</f>
        <v>4</v>
      </c>
      <c r="J3" s="63">
        <f>'Region office'!J3</f>
        <v>8</v>
      </c>
      <c r="K3" s="63">
        <f>'Region office'!K3</f>
        <v>13</v>
      </c>
      <c r="L3" s="63">
        <f>'Region office'!L3</f>
        <v>21</v>
      </c>
      <c r="M3" s="63">
        <f>'Region office'!M3</f>
        <v>34</v>
      </c>
      <c r="N3" s="63">
        <f>'Region office'!N3</f>
        <v>55</v>
      </c>
      <c r="O3" s="63">
        <f>'Region office'!O3</f>
        <v>89</v>
      </c>
      <c r="P3" s="63">
        <f>'Region office'!P3</f>
        <v>100</v>
      </c>
      <c r="Q3" s="63">
        <f>'Region office'!Q3</f>
        <v>100</v>
      </c>
      <c r="R3" s="63">
        <f>'Region office'!R3</f>
        <v>100</v>
      </c>
      <c r="S3" s="63">
        <f>'Region office'!S3</f>
        <v>100</v>
      </c>
      <c r="T3" s="63">
        <f>'Region office'!T3</f>
        <v>100</v>
      </c>
      <c r="U3" s="63">
        <f>'Region office'!U3</f>
        <v>100</v>
      </c>
      <c r="V3" s="63">
        <f>'Region office'!V3</f>
        <v>100</v>
      </c>
      <c r="W3" s="63">
        <f>'Region office'!W3</f>
        <v>100</v>
      </c>
      <c r="X3" s="63">
        <f>'Region office'!X3</f>
        <v>100</v>
      </c>
      <c r="Y3" s="63">
        <f>'Region office'!Y3</f>
        <v>100</v>
      </c>
      <c r="Z3" s="63">
        <f t="shared" ref="Z3:AQ3" si="2">Y3</f>
        <v>100</v>
      </c>
      <c r="AA3" s="63">
        <f t="shared" si="2"/>
        <v>100</v>
      </c>
      <c r="AB3" s="63">
        <f t="shared" si="2"/>
        <v>100</v>
      </c>
      <c r="AC3" s="63">
        <f t="shared" si="2"/>
        <v>100</v>
      </c>
      <c r="AD3" s="63">
        <f t="shared" si="2"/>
        <v>100</v>
      </c>
      <c r="AE3" s="63">
        <f t="shared" si="2"/>
        <v>100</v>
      </c>
      <c r="AF3" s="63">
        <f t="shared" si="2"/>
        <v>100</v>
      </c>
      <c r="AG3" s="63">
        <f t="shared" si="2"/>
        <v>100</v>
      </c>
      <c r="AH3" s="63">
        <f t="shared" si="2"/>
        <v>100</v>
      </c>
      <c r="AI3" s="63">
        <f t="shared" si="2"/>
        <v>100</v>
      </c>
      <c r="AJ3" s="63">
        <f t="shared" si="2"/>
        <v>100</v>
      </c>
      <c r="AK3" s="63">
        <f t="shared" si="2"/>
        <v>100</v>
      </c>
      <c r="AL3" s="63">
        <f t="shared" si="2"/>
        <v>100</v>
      </c>
      <c r="AM3" s="63">
        <f t="shared" si="2"/>
        <v>100</v>
      </c>
      <c r="AN3" s="63">
        <f t="shared" si="2"/>
        <v>100</v>
      </c>
      <c r="AO3" s="63">
        <f t="shared" si="2"/>
        <v>100</v>
      </c>
      <c r="AP3" s="63">
        <f t="shared" si="2"/>
        <v>100</v>
      </c>
      <c r="AQ3" s="63">
        <f t="shared" si="2"/>
        <v>100</v>
      </c>
    </row>
    <row r="4" ht="12.75" hidden="1" customHeight="1" outlineLevel="1">
      <c r="C4" s="68" t="s">
        <v>286</v>
      </c>
      <c r="D4" s="475">
        <f t="shared" ref="D4:AI4" si="3">E5</f>
        <v>1</v>
      </c>
      <c r="E4" s="475">
        <f t="shared" si="3"/>
        <v>0</v>
      </c>
      <c r="F4" s="68">
        <f t="shared" si="3"/>
        <v>1</v>
      </c>
      <c r="G4" s="68">
        <f t="shared" si="3"/>
        <v>2</v>
      </c>
      <c r="H4" s="68">
        <f t="shared" si="3"/>
        <v>4</v>
      </c>
      <c r="I4" s="68">
        <f t="shared" si="3"/>
        <v>5</v>
      </c>
      <c r="J4" s="68">
        <f t="shared" si="3"/>
        <v>8</v>
      </c>
      <c r="K4" s="68">
        <f t="shared" si="3"/>
        <v>13</v>
      </c>
      <c r="L4" s="68">
        <f t="shared" si="3"/>
        <v>21</v>
      </c>
      <c r="M4" s="68">
        <f t="shared" si="3"/>
        <v>34</v>
      </c>
      <c r="N4" s="68">
        <f t="shared" si="3"/>
        <v>11</v>
      </c>
      <c r="O4" s="68">
        <f t="shared" si="3"/>
        <v>0</v>
      </c>
      <c r="P4" s="68">
        <f t="shared" si="3"/>
        <v>0</v>
      </c>
      <c r="Q4" s="68">
        <f t="shared" si="3"/>
        <v>0</v>
      </c>
      <c r="R4" s="68">
        <f t="shared" si="3"/>
        <v>0</v>
      </c>
      <c r="S4" s="68">
        <f t="shared" si="3"/>
        <v>0</v>
      </c>
      <c r="T4" s="68">
        <f t="shared" si="3"/>
        <v>0</v>
      </c>
      <c r="U4" s="68">
        <f t="shared" si="3"/>
        <v>0</v>
      </c>
      <c r="V4" s="68">
        <f t="shared" si="3"/>
        <v>0</v>
      </c>
      <c r="W4" s="68">
        <f t="shared" si="3"/>
        <v>0</v>
      </c>
      <c r="X4" s="68">
        <f t="shared" si="3"/>
        <v>0</v>
      </c>
      <c r="Y4" s="68">
        <f t="shared" si="3"/>
        <v>0</v>
      </c>
      <c r="Z4" s="68">
        <f t="shared" si="3"/>
        <v>0</v>
      </c>
      <c r="AA4" s="68">
        <f t="shared" si="3"/>
        <v>0</v>
      </c>
      <c r="AB4" s="68">
        <f t="shared" si="3"/>
        <v>0</v>
      </c>
      <c r="AC4" s="68">
        <f t="shared" si="3"/>
        <v>0</v>
      </c>
      <c r="AD4" s="68">
        <f t="shared" si="3"/>
        <v>0</v>
      </c>
      <c r="AE4" s="68">
        <f t="shared" si="3"/>
        <v>0</v>
      </c>
      <c r="AF4" s="68">
        <f t="shared" si="3"/>
        <v>0</v>
      </c>
      <c r="AG4" s="68">
        <f t="shared" si="3"/>
        <v>0</v>
      </c>
      <c r="AH4" s="68" t="str">
        <f t="shared" si="3"/>
        <v/>
      </c>
      <c r="AI4" s="68" t="str">
        <f t="shared" si="3"/>
        <v/>
      </c>
    </row>
    <row r="5" ht="12.75" hidden="1" customHeight="1" outlineLevel="1">
      <c r="C5" s="68" t="s">
        <v>287</v>
      </c>
      <c r="D5" s="68">
        <v>0.0</v>
      </c>
      <c r="E5" s="475">
        <f t="shared" ref="E5:AI5" si="4">F6</f>
        <v>1</v>
      </c>
      <c r="F5" s="475">
        <f t="shared" si="4"/>
        <v>0</v>
      </c>
      <c r="G5" s="68">
        <f t="shared" si="4"/>
        <v>1</v>
      </c>
      <c r="H5" s="68">
        <f t="shared" si="4"/>
        <v>2</v>
      </c>
      <c r="I5" s="68">
        <f t="shared" si="4"/>
        <v>4</v>
      </c>
      <c r="J5" s="68">
        <f t="shared" si="4"/>
        <v>5</v>
      </c>
      <c r="K5" s="68">
        <f t="shared" si="4"/>
        <v>8</v>
      </c>
      <c r="L5" s="68">
        <f t="shared" si="4"/>
        <v>13</v>
      </c>
      <c r="M5" s="68">
        <f t="shared" si="4"/>
        <v>21</v>
      </c>
      <c r="N5" s="68">
        <f t="shared" si="4"/>
        <v>34</v>
      </c>
      <c r="O5" s="68">
        <f t="shared" si="4"/>
        <v>11</v>
      </c>
      <c r="P5" s="68">
        <f t="shared" si="4"/>
        <v>0</v>
      </c>
      <c r="Q5" s="68">
        <f t="shared" si="4"/>
        <v>0</v>
      </c>
      <c r="R5" s="68">
        <f t="shared" si="4"/>
        <v>0</v>
      </c>
      <c r="S5" s="68">
        <f t="shared" si="4"/>
        <v>0</v>
      </c>
      <c r="T5" s="68">
        <f t="shared" si="4"/>
        <v>0</v>
      </c>
      <c r="U5" s="68">
        <f t="shared" si="4"/>
        <v>0</v>
      </c>
      <c r="V5" s="68">
        <f t="shared" si="4"/>
        <v>0</v>
      </c>
      <c r="W5" s="68">
        <f t="shared" si="4"/>
        <v>0</v>
      </c>
      <c r="X5" s="68">
        <f t="shared" si="4"/>
        <v>0</v>
      </c>
      <c r="Y5" s="68">
        <f t="shared" si="4"/>
        <v>0</v>
      </c>
      <c r="Z5" s="68">
        <f t="shared" si="4"/>
        <v>0</v>
      </c>
      <c r="AA5" s="68">
        <f t="shared" si="4"/>
        <v>0</v>
      </c>
      <c r="AB5" s="68">
        <f t="shared" si="4"/>
        <v>0</v>
      </c>
      <c r="AC5" s="68">
        <f t="shared" si="4"/>
        <v>0</v>
      </c>
      <c r="AD5" s="68">
        <f t="shared" si="4"/>
        <v>0</v>
      </c>
      <c r="AE5" s="68">
        <f t="shared" si="4"/>
        <v>0</v>
      </c>
      <c r="AF5" s="68">
        <f t="shared" si="4"/>
        <v>0</v>
      </c>
      <c r="AG5" s="68">
        <f t="shared" si="4"/>
        <v>0</v>
      </c>
      <c r="AH5" s="68">
        <f t="shared" si="4"/>
        <v>0</v>
      </c>
      <c r="AI5" s="68" t="str">
        <f t="shared" si="4"/>
        <v/>
      </c>
    </row>
    <row r="6" ht="12.75" hidden="1" customHeight="1" outlineLevel="1">
      <c r="C6" s="68" t="s">
        <v>288</v>
      </c>
      <c r="D6" s="68">
        <v>0.0</v>
      </c>
      <c r="E6" s="68">
        <f t="shared" ref="E6:AI6" si="5">E3-D3</f>
        <v>0</v>
      </c>
      <c r="F6" s="475">
        <f t="shared" si="5"/>
        <v>1</v>
      </c>
      <c r="G6" s="475">
        <f t="shared" si="5"/>
        <v>0</v>
      </c>
      <c r="H6" s="68">
        <f t="shared" si="5"/>
        <v>1</v>
      </c>
      <c r="I6" s="68">
        <f t="shared" si="5"/>
        <v>2</v>
      </c>
      <c r="J6" s="68">
        <f t="shared" si="5"/>
        <v>4</v>
      </c>
      <c r="K6" s="68">
        <f t="shared" si="5"/>
        <v>5</v>
      </c>
      <c r="L6" s="68">
        <f t="shared" si="5"/>
        <v>8</v>
      </c>
      <c r="M6" s="68">
        <f t="shared" si="5"/>
        <v>13</v>
      </c>
      <c r="N6" s="68">
        <f t="shared" si="5"/>
        <v>21</v>
      </c>
      <c r="O6" s="68">
        <f t="shared" si="5"/>
        <v>34</v>
      </c>
      <c r="P6" s="68">
        <f t="shared" si="5"/>
        <v>11</v>
      </c>
      <c r="Q6" s="68">
        <f t="shared" si="5"/>
        <v>0</v>
      </c>
      <c r="R6" s="68">
        <f t="shared" si="5"/>
        <v>0</v>
      </c>
      <c r="S6" s="68">
        <f t="shared" si="5"/>
        <v>0</v>
      </c>
      <c r="T6" s="68">
        <f t="shared" si="5"/>
        <v>0</v>
      </c>
      <c r="U6" s="68">
        <f t="shared" si="5"/>
        <v>0</v>
      </c>
      <c r="V6" s="68">
        <f t="shared" si="5"/>
        <v>0</v>
      </c>
      <c r="W6" s="68">
        <f t="shared" si="5"/>
        <v>0</v>
      </c>
      <c r="X6" s="68">
        <f t="shared" si="5"/>
        <v>0</v>
      </c>
      <c r="Y6" s="68">
        <f t="shared" si="5"/>
        <v>0</v>
      </c>
      <c r="Z6" s="68">
        <f t="shared" si="5"/>
        <v>0</v>
      </c>
      <c r="AA6" s="68">
        <f t="shared" si="5"/>
        <v>0</v>
      </c>
      <c r="AB6" s="68">
        <f t="shared" si="5"/>
        <v>0</v>
      </c>
      <c r="AC6" s="68">
        <f t="shared" si="5"/>
        <v>0</v>
      </c>
      <c r="AD6" s="68">
        <f t="shared" si="5"/>
        <v>0</v>
      </c>
      <c r="AE6" s="68">
        <f t="shared" si="5"/>
        <v>0</v>
      </c>
      <c r="AF6" s="68">
        <f t="shared" si="5"/>
        <v>0</v>
      </c>
      <c r="AG6" s="68">
        <f t="shared" si="5"/>
        <v>0</v>
      </c>
      <c r="AH6" s="68">
        <f t="shared" si="5"/>
        <v>0</v>
      </c>
      <c r="AI6" s="68">
        <f t="shared" si="5"/>
        <v>0</v>
      </c>
    </row>
    <row r="7" ht="12.75" hidden="1" customHeight="1" outlineLevel="1">
      <c r="C7" s="68" t="s">
        <v>289</v>
      </c>
      <c r="D7" s="68">
        <v>0.0</v>
      </c>
      <c r="E7" s="68">
        <v>0.0</v>
      </c>
      <c r="F7" s="68">
        <v>0.0</v>
      </c>
      <c r="G7" s="475">
        <f t="shared" ref="G7:AI7" si="6">F6</f>
        <v>1</v>
      </c>
      <c r="H7" s="475">
        <f t="shared" si="6"/>
        <v>0</v>
      </c>
      <c r="I7" s="68">
        <f t="shared" si="6"/>
        <v>1</v>
      </c>
      <c r="J7" s="68">
        <f t="shared" si="6"/>
        <v>2</v>
      </c>
      <c r="K7" s="68">
        <f t="shared" si="6"/>
        <v>4</v>
      </c>
      <c r="L7" s="68">
        <f t="shared" si="6"/>
        <v>5</v>
      </c>
      <c r="M7" s="68">
        <f t="shared" si="6"/>
        <v>8</v>
      </c>
      <c r="N7" s="68">
        <f t="shared" si="6"/>
        <v>13</v>
      </c>
      <c r="O7" s="68">
        <f t="shared" si="6"/>
        <v>21</v>
      </c>
      <c r="P7" s="68">
        <f t="shared" si="6"/>
        <v>34</v>
      </c>
      <c r="Q7" s="68">
        <f t="shared" si="6"/>
        <v>11</v>
      </c>
      <c r="R7" s="68">
        <f t="shared" si="6"/>
        <v>0</v>
      </c>
      <c r="S7" s="68">
        <f t="shared" si="6"/>
        <v>0</v>
      </c>
      <c r="T7" s="68">
        <f t="shared" si="6"/>
        <v>0</v>
      </c>
      <c r="U7" s="68">
        <f t="shared" si="6"/>
        <v>0</v>
      </c>
      <c r="V7" s="68">
        <f t="shared" si="6"/>
        <v>0</v>
      </c>
      <c r="W7" s="68">
        <f t="shared" si="6"/>
        <v>0</v>
      </c>
      <c r="X7" s="68">
        <f t="shared" si="6"/>
        <v>0</v>
      </c>
      <c r="Y7" s="68">
        <f t="shared" si="6"/>
        <v>0</v>
      </c>
      <c r="Z7" s="68">
        <f t="shared" si="6"/>
        <v>0</v>
      </c>
      <c r="AA7" s="68">
        <f t="shared" si="6"/>
        <v>0</v>
      </c>
      <c r="AB7" s="68">
        <f t="shared" si="6"/>
        <v>0</v>
      </c>
      <c r="AC7" s="68">
        <f t="shared" si="6"/>
        <v>0</v>
      </c>
      <c r="AD7" s="68">
        <f t="shared" si="6"/>
        <v>0</v>
      </c>
      <c r="AE7" s="68">
        <f t="shared" si="6"/>
        <v>0</v>
      </c>
      <c r="AF7" s="68">
        <f t="shared" si="6"/>
        <v>0</v>
      </c>
      <c r="AG7" s="68">
        <f t="shared" si="6"/>
        <v>0</v>
      </c>
      <c r="AH7" s="68">
        <f t="shared" si="6"/>
        <v>0</v>
      </c>
      <c r="AI7" s="68">
        <f t="shared" si="6"/>
        <v>0</v>
      </c>
    </row>
    <row r="8" ht="12.75" hidden="1" customHeight="1" outlineLevel="1">
      <c r="C8" s="68" t="s">
        <v>290</v>
      </c>
      <c r="D8" s="68">
        <v>0.0</v>
      </c>
      <c r="E8" s="68">
        <f t="shared" ref="E8:AI8" si="7">D7</f>
        <v>0</v>
      </c>
      <c r="F8" s="68">
        <f t="shared" si="7"/>
        <v>0</v>
      </c>
      <c r="G8" s="68">
        <f t="shared" si="7"/>
        <v>0</v>
      </c>
      <c r="H8" s="475">
        <f t="shared" si="7"/>
        <v>1</v>
      </c>
      <c r="I8" s="475">
        <f t="shared" si="7"/>
        <v>0</v>
      </c>
      <c r="J8" s="68">
        <f t="shared" si="7"/>
        <v>1</v>
      </c>
      <c r="K8" s="68">
        <f t="shared" si="7"/>
        <v>2</v>
      </c>
      <c r="L8" s="68">
        <f t="shared" si="7"/>
        <v>4</v>
      </c>
      <c r="M8" s="68">
        <f t="shared" si="7"/>
        <v>5</v>
      </c>
      <c r="N8" s="68">
        <f t="shared" si="7"/>
        <v>8</v>
      </c>
      <c r="O8" s="68">
        <f t="shared" si="7"/>
        <v>13</v>
      </c>
      <c r="P8" s="68">
        <f t="shared" si="7"/>
        <v>21</v>
      </c>
      <c r="Q8" s="68">
        <f t="shared" si="7"/>
        <v>34</v>
      </c>
      <c r="R8" s="68">
        <f t="shared" si="7"/>
        <v>11</v>
      </c>
      <c r="S8" s="68">
        <f t="shared" si="7"/>
        <v>0</v>
      </c>
      <c r="T8" s="68">
        <f t="shared" si="7"/>
        <v>0</v>
      </c>
      <c r="U8" s="68">
        <f t="shared" si="7"/>
        <v>0</v>
      </c>
      <c r="V8" s="68">
        <f t="shared" si="7"/>
        <v>0</v>
      </c>
      <c r="W8" s="68">
        <f t="shared" si="7"/>
        <v>0</v>
      </c>
      <c r="X8" s="68">
        <f t="shared" si="7"/>
        <v>0</v>
      </c>
      <c r="Y8" s="68">
        <f t="shared" si="7"/>
        <v>0</v>
      </c>
      <c r="Z8" s="68">
        <f t="shared" si="7"/>
        <v>0</v>
      </c>
      <c r="AA8" s="68">
        <f t="shared" si="7"/>
        <v>0</v>
      </c>
      <c r="AB8" s="68">
        <f t="shared" si="7"/>
        <v>0</v>
      </c>
      <c r="AC8" s="68">
        <f t="shared" si="7"/>
        <v>0</v>
      </c>
      <c r="AD8" s="68">
        <f t="shared" si="7"/>
        <v>0</v>
      </c>
      <c r="AE8" s="68">
        <f t="shared" si="7"/>
        <v>0</v>
      </c>
      <c r="AF8" s="68">
        <f t="shared" si="7"/>
        <v>0</v>
      </c>
      <c r="AG8" s="68">
        <f t="shared" si="7"/>
        <v>0</v>
      </c>
      <c r="AH8" s="68">
        <f t="shared" si="7"/>
        <v>0</v>
      </c>
      <c r="AI8" s="68">
        <f t="shared" si="7"/>
        <v>0</v>
      </c>
    </row>
    <row r="9" ht="12.75" hidden="1" customHeight="1" outlineLevel="1">
      <c r="C9" s="68" t="s">
        <v>291</v>
      </c>
      <c r="D9" s="68">
        <v>0.0</v>
      </c>
      <c r="E9" s="68">
        <f t="shared" ref="E9:AI9" si="8">D8</f>
        <v>0</v>
      </c>
      <c r="F9" s="68">
        <f t="shared" si="8"/>
        <v>0</v>
      </c>
      <c r="G9" s="68">
        <f t="shared" si="8"/>
        <v>0</v>
      </c>
      <c r="H9" s="68">
        <f t="shared" si="8"/>
        <v>0</v>
      </c>
      <c r="I9" s="475">
        <f t="shared" si="8"/>
        <v>1</v>
      </c>
      <c r="J9" s="475">
        <f t="shared" si="8"/>
        <v>0</v>
      </c>
      <c r="K9" s="68">
        <f t="shared" si="8"/>
        <v>1</v>
      </c>
      <c r="L9" s="68">
        <f t="shared" si="8"/>
        <v>2</v>
      </c>
      <c r="M9" s="68">
        <f t="shared" si="8"/>
        <v>4</v>
      </c>
      <c r="N9" s="68">
        <f t="shared" si="8"/>
        <v>5</v>
      </c>
      <c r="O9" s="68">
        <f t="shared" si="8"/>
        <v>8</v>
      </c>
      <c r="P9" s="68">
        <f t="shared" si="8"/>
        <v>13</v>
      </c>
      <c r="Q9" s="68">
        <f t="shared" si="8"/>
        <v>21</v>
      </c>
      <c r="R9" s="68">
        <f t="shared" si="8"/>
        <v>34</v>
      </c>
      <c r="S9" s="68">
        <f t="shared" si="8"/>
        <v>11</v>
      </c>
      <c r="T9" s="68">
        <f t="shared" si="8"/>
        <v>0</v>
      </c>
      <c r="U9" s="68">
        <f t="shared" si="8"/>
        <v>0</v>
      </c>
      <c r="V9" s="68">
        <f t="shared" si="8"/>
        <v>0</v>
      </c>
      <c r="W9" s="68">
        <f t="shared" si="8"/>
        <v>0</v>
      </c>
      <c r="X9" s="68">
        <f t="shared" si="8"/>
        <v>0</v>
      </c>
      <c r="Y9" s="68">
        <f t="shared" si="8"/>
        <v>0</v>
      </c>
      <c r="Z9" s="68">
        <f t="shared" si="8"/>
        <v>0</v>
      </c>
      <c r="AA9" s="68">
        <f t="shared" si="8"/>
        <v>0</v>
      </c>
      <c r="AB9" s="68">
        <f t="shared" si="8"/>
        <v>0</v>
      </c>
      <c r="AC9" s="68">
        <f t="shared" si="8"/>
        <v>0</v>
      </c>
      <c r="AD9" s="68">
        <f t="shared" si="8"/>
        <v>0</v>
      </c>
      <c r="AE9" s="68">
        <f t="shared" si="8"/>
        <v>0</v>
      </c>
      <c r="AF9" s="68">
        <f t="shared" si="8"/>
        <v>0</v>
      </c>
      <c r="AG9" s="68">
        <f t="shared" si="8"/>
        <v>0</v>
      </c>
      <c r="AH9" s="68">
        <f t="shared" si="8"/>
        <v>0</v>
      </c>
      <c r="AI9" s="68">
        <f t="shared" si="8"/>
        <v>0</v>
      </c>
    </row>
    <row r="10" ht="12.75" hidden="1" customHeight="1" outlineLevel="1">
      <c r="C10" s="68" t="s">
        <v>292</v>
      </c>
      <c r="D10" s="68">
        <v>0.0</v>
      </c>
      <c r="E10" s="68">
        <f t="shared" ref="E10:AI10" si="9">D9</f>
        <v>0</v>
      </c>
      <c r="F10" s="68">
        <f t="shared" si="9"/>
        <v>0</v>
      </c>
      <c r="G10" s="68">
        <f t="shared" si="9"/>
        <v>0</v>
      </c>
      <c r="H10" s="68">
        <f t="shared" si="9"/>
        <v>0</v>
      </c>
      <c r="I10" s="68">
        <f t="shared" si="9"/>
        <v>0</v>
      </c>
      <c r="J10" s="475">
        <f t="shared" si="9"/>
        <v>1</v>
      </c>
      <c r="K10" s="475">
        <f t="shared" si="9"/>
        <v>0</v>
      </c>
      <c r="L10" s="68">
        <f t="shared" si="9"/>
        <v>1</v>
      </c>
      <c r="M10" s="68">
        <f t="shared" si="9"/>
        <v>2</v>
      </c>
      <c r="N10" s="68">
        <f t="shared" si="9"/>
        <v>4</v>
      </c>
      <c r="O10" s="68">
        <f t="shared" si="9"/>
        <v>5</v>
      </c>
      <c r="P10" s="68">
        <f t="shared" si="9"/>
        <v>8</v>
      </c>
      <c r="Q10" s="68">
        <f t="shared" si="9"/>
        <v>13</v>
      </c>
      <c r="R10" s="68">
        <f t="shared" si="9"/>
        <v>21</v>
      </c>
      <c r="S10" s="68">
        <f t="shared" si="9"/>
        <v>34</v>
      </c>
      <c r="T10" s="68">
        <f t="shared" si="9"/>
        <v>11</v>
      </c>
      <c r="U10" s="68">
        <f t="shared" si="9"/>
        <v>0</v>
      </c>
      <c r="V10" s="68">
        <f t="shared" si="9"/>
        <v>0</v>
      </c>
      <c r="W10" s="68">
        <f t="shared" si="9"/>
        <v>0</v>
      </c>
      <c r="X10" s="68">
        <f t="shared" si="9"/>
        <v>0</v>
      </c>
      <c r="Y10" s="68">
        <f t="shared" si="9"/>
        <v>0</v>
      </c>
      <c r="Z10" s="68">
        <f t="shared" si="9"/>
        <v>0</v>
      </c>
      <c r="AA10" s="68">
        <f t="shared" si="9"/>
        <v>0</v>
      </c>
      <c r="AB10" s="68">
        <f t="shared" si="9"/>
        <v>0</v>
      </c>
      <c r="AC10" s="68">
        <f t="shared" si="9"/>
        <v>0</v>
      </c>
      <c r="AD10" s="68">
        <f t="shared" si="9"/>
        <v>0</v>
      </c>
      <c r="AE10" s="68">
        <f t="shared" si="9"/>
        <v>0</v>
      </c>
      <c r="AF10" s="68">
        <f t="shared" si="9"/>
        <v>0</v>
      </c>
      <c r="AG10" s="68">
        <f t="shared" si="9"/>
        <v>0</v>
      </c>
      <c r="AH10" s="68">
        <f t="shared" si="9"/>
        <v>0</v>
      </c>
      <c r="AI10" s="68">
        <f t="shared" si="9"/>
        <v>0</v>
      </c>
    </row>
    <row r="11" ht="12.75" hidden="1" customHeight="1" outlineLevel="1">
      <c r="C11" s="68" t="s">
        <v>293</v>
      </c>
      <c r="D11" s="68">
        <v>0.0</v>
      </c>
      <c r="E11" s="68">
        <f t="shared" ref="E11:AI11" si="10">D10</f>
        <v>0</v>
      </c>
      <c r="F11" s="68">
        <f t="shared" si="10"/>
        <v>0</v>
      </c>
      <c r="G11" s="68">
        <f t="shared" si="10"/>
        <v>0</v>
      </c>
      <c r="H11" s="68">
        <f t="shared" si="10"/>
        <v>0</v>
      </c>
      <c r="I11" s="68">
        <f t="shared" si="10"/>
        <v>0</v>
      </c>
      <c r="J11" s="68">
        <f t="shared" si="10"/>
        <v>0</v>
      </c>
      <c r="K11" s="475">
        <f t="shared" si="10"/>
        <v>1</v>
      </c>
      <c r="L11" s="475">
        <f t="shared" si="10"/>
        <v>0</v>
      </c>
      <c r="M11" s="68">
        <f t="shared" si="10"/>
        <v>1</v>
      </c>
      <c r="N11" s="68">
        <f t="shared" si="10"/>
        <v>2</v>
      </c>
      <c r="O11" s="68">
        <f t="shared" si="10"/>
        <v>4</v>
      </c>
      <c r="P11" s="68">
        <f t="shared" si="10"/>
        <v>5</v>
      </c>
      <c r="Q11" s="68">
        <f t="shared" si="10"/>
        <v>8</v>
      </c>
      <c r="R11" s="68">
        <f t="shared" si="10"/>
        <v>13</v>
      </c>
      <c r="S11" s="68">
        <f t="shared" si="10"/>
        <v>21</v>
      </c>
      <c r="T11" s="68">
        <f t="shared" si="10"/>
        <v>34</v>
      </c>
      <c r="U11" s="68">
        <f t="shared" si="10"/>
        <v>11</v>
      </c>
      <c r="V11" s="68">
        <f t="shared" si="10"/>
        <v>0</v>
      </c>
      <c r="W11" s="68">
        <f t="shared" si="10"/>
        <v>0</v>
      </c>
      <c r="X11" s="68">
        <f t="shared" si="10"/>
        <v>0</v>
      </c>
      <c r="Y11" s="68">
        <f t="shared" si="10"/>
        <v>0</v>
      </c>
      <c r="Z11" s="68">
        <f t="shared" si="10"/>
        <v>0</v>
      </c>
      <c r="AA11" s="68">
        <f t="shared" si="10"/>
        <v>0</v>
      </c>
      <c r="AB11" s="68">
        <f t="shared" si="10"/>
        <v>0</v>
      </c>
      <c r="AC11" s="68">
        <f t="shared" si="10"/>
        <v>0</v>
      </c>
      <c r="AD11" s="68">
        <f t="shared" si="10"/>
        <v>0</v>
      </c>
      <c r="AE11" s="68">
        <f t="shared" si="10"/>
        <v>0</v>
      </c>
      <c r="AF11" s="68">
        <f t="shared" si="10"/>
        <v>0</v>
      </c>
      <c r="AG11" s="68">
        <f t="shared" si="10"/>
        <v>0</v>
      </c>
      <c r="AH11" s="68">
        <f t="shared" si="10"/>
        <v>0</v>
      </c>
      <c r="AI11" s="68">
        <f t="shared" si="10"/>
        <v>0</v>
      </c>
    </row>
    <row r="12" ht="12.75" hidden="1" customHeight="1" outlineLevel="1">
      <c r="C12" s="68" t="s">
        <v>294</v>
      </c>
      <c r="D12" s="68">
        <v>0.0</v>
      </c>
      <c r="E12" s="68">
        <f t="shared" ref="E12:AI12" si="11">D11</f>
        <v>0</v>
      </c>
      <c r="F12" s="68">
        <f t="shared" si="11"/>
        <v>0</v>
      </c>
      <c r="G12" s="68">
        <f t="shared" si="11"/>
        <v>0</v>
      </c>
      <c r="H12" s="68">
        <f t="shared" si="11"/>
        <v>0</v>
      </c>
      <c r="I12" s="68">
        <f t="shared" si="11"/>
        <v>0</v>
      </c>
      <c r="J12" s="68">
        <f t="shared" si="11"/>
        <v>0</v>
      </c>
      <c r="K12" s="68">
        <f t="shared" si="11"/>
        <v>0</v>
      </c>
      <c r="L12" s="475">
        <f t="shared" si="11"/>
        <v>1</v>
      </c>
      <c r="M12" s="475">
        <f t="shared" si="11"/>
        <v>0</v>
      </c>
      <c r="N12" s="68">
        <f t="shared" si="11"/>
        <v>1</v>
      </c>
      <c r="O12" s="68">
        <f t="shared" si="11"/>
        <v>2</v>
      </c>
      <c r="P12" s="68">
        <f t="shared" si="11"/>
        <v>4</v>
      </c>
      <c r="Q12" s="68">
        <f t="shared" si="11"/>
        <v>5</v>
      </c>
      <c r="R12" s="68">
        <f t="shared" si="11"/>
        <v>8</v>
      </c>
      <c r="S12" s="68">
        <f t="shared" si="11"/>
        <v>13</v>
      </c>
      <c r="T12" s="68">
        <f t="shared" si="11"/>
        <v>21</v>
      </c>
      <c r="U12" s="68">
        <f t="shared" si="11"/>
        <v>34</v>
      </c>
      <c r="V12" s="68">
        <f t="shared" si="11"/>
        <v>11</v>
      </c>
      <c r="W12" s="68">
        <f t="shared" si="11"/>
        <v>0</v>
      </c>
      <c r="X12" s="68">
        <f t="shared" si="11"/>
        <v>0</v>
      </c>
      <c r="Y12" s="68">
        <f t="shared" si="11"/>
        <v>0</v>
      </c>
      <c r="Z12" s="68">
        <f t="shared" si="11"/>
        <v>0</v>
      </c>
      <c r="AA12" s="68">
        <f t="shared" si="11"/>
        <v>0</v>
      </c>
      <c r="AB12" s="68">
        <f t="shared" si="11"/>
        <v>0</v>
      </c>
      <c r="AC12" s="68">
        <f t="shared" si="11"/>
        <v>0</v>
      </c>
      <c r="AD12" s="68">
        <f t="shared" si="11"/>
        <v>0</v>
      </c>
      <c r="AE12" s="68">
        <f t="shared" si="11"/>
        <v>0</v>
      </c>
      <c r="AF12" s="68">
        <f t="shared" si="11"/>
        <v>0</v>
      </c>
      <c r="AG12" s="68">
        <f t="shared" si="11"/>
        <v>0</v>
      </c>
      <c r="AH12" s="68">
        <f t="shared" si="11"/>
        <v>0</v>
      </c>
      <c r="AI12" s="68">
        <f t="shared" si="11"/>
        <v>0</v>
      </c>
    </row>
    <row r="13" ht="12.75" hidden="1" customHeight="1" outlineLevel="1">
      <c r="C13" s="68" t="s">
        <v>295</v>
      </c>
      <c r="D13" s="68">
        <v>0.0</v>
      </c>
      <c r="E13" s="68">
        <f t="shared" ref="E13:AI13" si="12">D12+D13</f>
        <v>0</v>
      </c>
      <c r="F13" s="68">
        <f t="shared" si="12"/>
        <v>0</v>
      </c>
      <c r="G13" s="68">
        <f t="shared" si="12"/>
        <v>0</v>
      </c>
      <c r="H13" s="68">
        <f t="shared" si="12"/>
        <v>0</v>
      </c>
      <c r="I13" s="68">
        <f t="shared" si="12"/>
        <v>0</v>
      </c>
      <c r="J13" s="68">
        <f t="shared" si="12"/>
        <v>0</v>
      </c>
      <c r="K13" s="68">
        <f t="shared" si="12"/>
        <v>0</v>
      </c>
      <c r="L13" s="68">
        <f t="shared" si="12"/>
        <v>0</v>
      </c>
      <c r="M13" s="475">
        <f t="shared" si="12"/>
        <v>1</v>
      </c>
      <c r="N13" s="475">
        <f t="shared" si="12"/>
        <v>1</v>
      </c>
      <c r="O13" s="475">
        <f t="shared" si="12"/>
        <v>2</v>
      </c>
      <c r="P13" s="475">
        <f t="shared" si="12"/>
        <v>4</v>
      </c>
      <c r="Q13" s="475">
        <f t="shared" si="12"/>
        <v>8</v>
      </c>
      <c r="R13" s="475">
        <f t="shared" si="12"/>
        <v>13</v>
      </c>
      <c r="S13" s="475">
        <f t="shared" si="12"/>
        <v>21</v>
      </c>
      <c r="T13" s="475">
        <f t="shared" si="12"/>
        <v>34</v>
      </c>
      <c r="U13" s="475">
        <f t="shared" si="12"/>
        <v>55</v>
      </c>
      <c r="V13" s="475">
        <f t="shared" si="12"/>
        <v>89</v>
      </c>
      <c r="W13" s="475">
        <f t="shared" si="12"/>
        <v>100</v>
      </c>
      <c r="X13" s="475">
        <f t="shared" si="12"/>
        <v>100</v>
      </c>
      <c r="Y13" s="475">
        <f t="shared" si="12"/>
        <v>100</v>
      </c>
      <c r="Z13" s="475">
        <f t="shared" si="12"/>
        <v>100</v>
      </c>
      <c r="AA13" s="475">
        <f t="shared" si="12"/>
        <v>100</v>
      </c>
      <c r="AB13" s="475">
        <f t="shared" si="12"/>
        <v>100</v>
      </c>
      <c r="AC13" s="475">
        <f t="shared" si="12"/>
        <v>100</v>
      </c>
      <c r="AD13" s="475">
        <f t="shared" si="12"/>
        <v>100</v>
      </c>
      <c r="AE13" s="475">
        <f t="shared" si="12"/>
        <v>100</v>
      </c>
      <c r="AF13" s="475">
        <f t="shared" si="12"/>
        <v>100</v>
      </c>
      <c r="AG13" s="475">
        <f t="shared" si="12"/>
        <v>100</v>
      </c>
      <c r="AH13" s="475">
        <f t="shared" si="12"/>
        <v>100</v>
      </c>
      <c r="AI13" s="475">
        <f t="shared" si="12"/>
        <v>100</v>
      </c>
    </row>
    <row r="14" ht="12.75" customHeight="1"/>
    <row r="15" ht="12.75" customHeight="1">
      <c r="C15" s="67" t="s">
        <v>193</v>
      </c>
    </row>
    <row r="16" ht="12.75" customHeight="1">
      <c r="C16" s="64" t="s">
        <v>226</v>
      </c>
      <c r="D16" s="65">
        <f t="shared" ref="D16:Y16" si="13">D47</f>
        <v>0</v>
      </c>
      <c r="E16" s="177">
        <f t="shared" si="13"/>
        <v>200000</v>
      </c>
      <c r="F16" s="177">
        <f t="shared" si="13"/>
        <v>3210792.656</v>
      </c>
      <c r="G16" s="177">
        <f t="shared" si="13"/>
        <v>3529187.792</v>
      </c>
      <c r="H16" s="177">
        <f t="shared" si="13"/>
        <v>7072115.714</v>
      </c>
      <c r="I16" s="177">
        <f t="shared" si="13"/>
        <v>14021000.16</v>
      </c>
      <c r="J16" s="177">
        <f t="shared" si="13"/>
        <v>27425464.32</v>
      </c>
      <c r="K16" s="177">
        <f t="shared" si="13"/>
        <v>44819186.68</v>
      </c>
      <c r="L16" s="177">
        <f t="shared" si="13"/>
        <v>72629542.68</v>
      </c>
      <c r="M16" s="177">
        <f t="shared" si="13"/>
        <v>117584362.6</v>
      </c>
      <c r="N16" s="177">
        <f t="shared" si="13"/>
        <v>190200549.3</v>
      </c>
      <c r="O16" s="177">
        <f t="shared" si="13"/>
        <v>298956609.9</v>
      </c>
      <c r="P16" s="65">
        <f t="shared" si="13"/>
        <v>338855252.4</v>
      </c>
      <c r="Q16" s="65">
        <f t="shared" si="13"/>
        <v>344621895.9</v>
      </c>
      <c r="R16" s="65">
        <f t="shared" si="13"/>
        <v>346040085.8</v>
      </c>
      <c r="S16" s="65">
        <f t="shared" si="13"/>
        <v>345591387.8</v>
      </c>
      <c r="T16" s="65">
        <f t="shared" si="13"/>
        <v>345042519.8</v>
      </c>
      <c r="U16" s="65">
        <f t="shared" si="13"/>
        <v>344598273.8</v>
      </c>
      <c r="V16" s="65">
        <f t="shared" si="13"/>
        <v>344297763.8</v>
      </c>
      <c r="W16" s="65">
        <f t="shared" si="13"/>
        <v>344224305.8</v>
      </c>
      <c r="X16" s="65">
        <f t="shared" si="13"/>
        <v>344224305.8</v>
      </c>
      <c r="Y16" s="65">
        <f t="shared" si="13"/>
        <v>344224305.8</v>
      </c>
    </row>
    <row r="17" ht="12.75" customHeight="1">
      <c r="C17" s="83" t="s">
        <v>178</v>
      </c>
      <c r="D17" s="200">
        <f t="shared" ref="D17:Y17" si="14">D60</f>
        <v>0</v>
      </c>
      <c r="E17" s="204">
        <f t="shared" si="14"/>
        <v>178871.6064</v>
      </c>
      <c r="F17" s="204">
        <f t="shared" si="14"/>
        <v>3165314.144</v>
      </c>
      <c r="G17" s="204">
        <f t="shared" si="14"/>
        <v>3503194.828</v>
      </c>
      <c r="H17" s="204">
        <f t="shared" si="14"/>
        <v>6985872.579</v>
      </c>
      <c r="I17" s="204">
        <f t="shared" si="14"/>
        <v>13822815.48</v>
      </c>
      <c r="J17" s="204">
        <f t="shared" si="14"/>
        <v>27114693.55</v>
      </c>
      <c r="K17" s="204">
        <f t="shared" si="14"/>
        <v>44375868.21</v>
      </c>
      <c r="L17" s="204">
        <f t="shared" si="14"/>
        <v>71913661.75</v>
      </c>
      <c r="M17" s="204">
        <f t="shared" si="14"/>
        <v>116399932.2</v>
      </c>
      <c r="N17" s="204">
        <f t="shared" si="14"/>
        <v>188289042.2</v>
      </c>
      <c r="O17" s="204">
        <f t="shared" si="14"/>
        <v>296802221</v>
      </c>
      <c r="P17" s="200">
        <f t="shared" si="14"/>
        <v>337756260.1</v>
      </c>
      <c r="Q17" s="200">
        <f t="shared" si="14"/>
        <v>343874171.4</v>
      </c>
      <c r="R17" s="200">
        <f t="shared" si="14"/>
        <v>344851107</v>
      </c>
      <c r="S17" s="200">
        <f t="shared" si="14"/>
        <v>344426426.1</v>
      </c>
      <c r="T17" s="200">
        <f t="shared" si="14"/>
        <v>344134416.1</v>
      </c>
      <c r="U17" s="200">
        <f t="shared" si="14"/>
        <v>343948866.2</v>
      </c>
      <c r="V17" s="200">
        <f t="shared" si="14"/>
        <v>343838415.2</v>
      </c>
      <c r="W17" s="200">
        <f t="shared" si="14"/>
        <v>343811419.4</v>
      </c>
      <c r="X17" s="200">
        <f t="shared" si="14"/>
        <v>343811419.4</v>
      </c>
      <c r="Y17" s="200">
        <f t="shared" si="14"/>
        <v>343811419.4</v>
      </c>
    </row>
    <row r="18" ht="12.75" customHeight="1">
      <c r="A18" s="67"/>
      <c r="B18" s="67"/>
      <c r="C18" s="66" t="s">
        <v>194</v>
      </c>
      <c r="D18" s="142">
        <f t="shared" ref="D18:Y18" si="15">D16-D17</f>
        <v>0</v>
      </c>
      <c r="E18" s="115">
        <f t="shared" si="15"/>
        <v>21128.39356</v>
      </c>
      <c r="F18" s="115">
        <f t="shared" si="15"/>
        <v>45478.51209</v>
      </c>
      <c r="G18" s="115">
        <f t="shared" si="15"/>
        <v>25992.96413</v>
      </c>
      <c r="H18" s="115">
        <f t="shared" si="15"/>
        <v>86243.13581</v>
      </c>
      <c r="I18" s="115">
        <f t="shared" si="15"/>
        <v>198184.6837</v>
      </c>
      <c r="J18" s="115">
        <f t="shared" si="15"/>
        <v>310770.7782</v>
      </c>
      <c r="K18" s="115">
        <f t="shared" si="15"/>
        <v>443318.4738</v>
      </c>
      <c r="L18" s="115">
        <f t="shared" si="15"/>
        <v>715880.9258</v>
      </c>
      <c r="M18" s="115">
        <f t="shared" si="15"/>
        <v>1184430.456</v>
      </c>
      <c r="N18" s="115">
        <f t="shared" si="15"/>
        <v>1911507.11</v>
      </c>
      <c r="O18" s="115">
        <f t="shared" si="15"/>
        <v>2154388.945</v>
      </c>
      <c r="P18" s="142">
        <f t="shared" si="15"/>
        <v>1098992.298</v>
      </c>
      <c r="Q18" s="142">
        <f t="shared" si="15"/>
        <v>747724.5003</v>
      </c>
      <c r="R18" s="142">
        <f t="shared" si="15"/>
        <v>1188978.844</v>
      </c>
      <c r="S18" s="142">
        <f t="shared" si="15"/>
        <v>1164961.775</v>
      </c>
      <c r="T18" s="142">
        <f t="shared" si="15"/>
        <v>908103.7486</v>
      </c>
      <c r="U18" s="142">
        <f t="shared" si="15"/>
        <v>649407.6048</v>
      </c>
      <c r="V18" s="142">
        <f t="shared" si="15"/>
        <v>459348.672</v>
      </c>
      <c r="W18" s="142">
        <f t="shared" si="15"/>
        <v>412886.487</v>
      </c>
      <c r="X18" s="142">
        <f t="shared" si="15"/>
        <v>412886.487</v>
      </c>
      <c r="Y18" s="142">
        <f t="shared" si="15"/>
        <v>412886.487</v>
      </c>
      <c r="Z18" s="67"/>
      <c r="AA18" s="67"/>
      <c r="AB18" s="67"/>
      <c r="AC18" s="67"/>
      <c r="AD18" s="67"/>
      <c r="AE18" s="67"/>
      <c r="AF18" s="67"/>
      <c r="AG18" s="67"/>
      <c r="AH18" s="67"/>
      <c r="AI18" s="67"/>
      <c r="AJ18" s="67"/>
      <c r="AK18" s="67"/>
      <c r="AL18" s="67"/>
      <c r="AM18" s="67"/>
      <c r="AN18" s="67"/>
      <c r="AO18" s="67"/>
      <c r="AP18" s="67"/>
      <c r="AQ18" s="67"/>
      <c r="AR18" s="67"/>
      <c r="AS18" s="67"/>
    </row>
    <row r="19" ht="12.75" customHeight="1">
      <c r="A19" s="67"/>
      <c r="B19" s="67"/>
      <c r="C19" s="66" t="s">
        <v>195</v>
      </c>
      <c r="D19" s="142">
        <f>D18</f>
        <v>0</v>
      </c>
      <c r="E19" s="115">
        <f t="shared" ref="E19:Y19" si="16">D19+E18</f>
        <v>21128.39356</v>
      </c>
      <c r="F19" s="115">
        <f t="shared" si="16"/>
        <v>66606.90565</v>
      </c>
      <c r="G19" s="115">
        <f t="shared" si="16"/>
        <v>92599.86978</v>
      </c>
      <c r="H19" s="115">
        <f t="shared" si="16"/>
        <v>178843.0056</v>
      </c>
      <c r="I19" s="115">
        <f t="shared" si="16"/>
        <v>377027.6892</v>
      </c>
      <c r="J19" s="115">
        <f t="shared" si="16"/>
        <v>687798.4674</v>
      </c>
      <c r="K19" s="115">
        <f t="shared" si="16"/>
        <v>1131116.941</v>
      </c>
      <c r="L19" s="115">
        <f t="shared" si="16"/>
        <v>1846997.867</v>
      </c>
      <c r="M19" s="115">
        <f t="shared" si="16"/>
        <v>3031428.323</v>
      </c>
      <c r="N19" s="115">
        <f t="shared" si="16"/>
        <v>4942935.433</v>
      </c>
      <c r="O19" s="115">
        <f t="shared" si="16"/>
        <v>7097324.378</v>
      </c>
      <c r="P19" s="142">
        <f t="shared" si="16"/>
        <v>8196316.676</v>
      </c>
      <c r="Q19" s="142">
        <f t="shared" si="16"/>
        <v>8944041.177</v>
      </c>
      <c r="R19" s="142">
        <f t="shared" si="16"/>
        <v>10133020.02</v>
      </c>
      <c r="S19" s="142">
        <f t="shared" si="16"/>
        <v>11297981.8</v>
      </c>
      <c r="T19" s="142">
        <f t="shared" si="16"/>
        <v>12206085.54</v>
      </c>
      <c r="U19" s="142">
        <f t="shared" si="16"/>
        <v>12855493.15</v>
      </c>
      <c r="V19" s="142">
        <f t="shared" si="16"/>
        <v>13314841.82</v>
      </c>
      <c r="W19" s="142">
        <f t="shared" si="16"/>
        <v>13727728.31</v>
      </c>
      <c r="X19" s="142">
        <f t="shared" si="16"/>
        <v>14140614.8</v>
      </c>
      <c r="Y19" s="142">
        <f t="shared" si="16"/>
        <v>14553501.28</v>
      </c>
      <c r="Z19" s="67"/>
      <c r="AA19" s="67"/>
      <c r="AB19" s="67"/>
      <c r="AC19" s="67"/>
      <c r="AD19" s="67"/>
      <c r="AE19" s="67"/>
      <c r="AF19" s="67"/>
      <c r="AG19" s="67"/>
      <c r="AH19" s="67"/>
      <c r="AI19" s="67"/>
      <c r="AJ19" s="67"/>
      <c r="AK19" s="67"/>
      <c r="AL19" s="67"/>
      <c r="AM19" s="67"/>
      <c r="AN19" s="67"/>
      <c r="AO19" s="67"/>
      <c r="AP19" s="67"/>
      <c r="AQ19" s="67"/>
      <c r="AR19" s="67"/>
      <c r="AS19" s="67"/>
    </row>
    <row r="20" ht="12.75" customHeight="1">
      <c r="A20" s="67"/>
      <c r="B20" s="67"/>
      <c r="C20" s="66" t="s">
        <v>196</v>
      </c>
      <c r="D20" s="142">
        <f t="shared" ref="D20:Y20" si="17">D73</f>
        <v>0</v>
      </c>
      <c r="E20" s="115">
        <f t="shared" si="17"/>
        <v>50071.97388</v>
      </c>
      <c r="F20" s="115">
        <f t="shared" si="17"/>
        <v>56305.9984</v>
      </c>
      <c r="G20" s="115">
        <f t="shared" si="17"/>
        <v>62977.25209</v>
      </c>
      <c r="H20" s="115">
        <f t="shared" si="17"/>
        <v>167850.5595</v>
      </c>
      <c r="I20" s="115">
        <f t="shared" si="17"/>
        <v>329065.9547</v>
      </c>
      <c r="J20" s="115">
        <f t="shared" si="17"/>
        <v>531196.2677</v>
      </c>
      <c r="K20" s="115">
        <f t="shared" si="17"/>
        <v>790903.0508</v>
      </c>
      <c r="L20" s="115">
        <f t="shared" si="17"/>
        <v>1351129.964</v>
      </c>
      <c r="M20" s="115">
        <f t="shared" si="17"/>
        <v>2143745.894</v>
      </c>
      <c r="N20" s="115">
        <f t="shared" si="17"/>
        <v>3529729.839</v>
      </c>
      <c r="O20" s="115">
        <f t="shared" si="17"/>
        <v>3594455.676</v>
      </c>
      <c r="P20" s="142">
        <f t="shared" si="17"/>
        <v>2577713.471</v>
      </c>
      <c r="Q20" s="142">
        <f t="shared" si="17"/>
        <v>2612069.293</v>
      </c>
      <c r="R20" s="142">
        <f t="shared" si="17"/>
        <v>3492409.026</v>
      </c>
      <c r="S20" s="142">
        <f t="shared" si="17"/>
        <v>5306018.156</v>
      </c>
      <c r="T20" s="142">
        <f t="shared" si="17"/>
        <v>7716630.814</v>
      </c>
      <c r="U20" s="142">
        <f t="shared" si="17"/>
        <v>10789702.44</v>
      </c>
      <c r="V20" s="142">
        <f t="shared" si="17"/>
        <v>11857217.76</v>
      </c>
      <c r="W20" s="142">
        <f t="shared" si="17"/>
        <v>11905142.03</v>
      </c>
      <c r="X20" s="142">
        <f t="shared" si="17"/>
        <v>11905142.03</v>
      </c>
      <c r="Y20" s="142">
        <f t="shared" si="17"/>
        <v>11905142.03</v>
      </c>
      <c r="Z20" s="67"/>
      <c r="AA20" s="67"/>
      <c r="AB20" s="67"/>
      <c r="AC20" s="67"/>
      <c r="AD20" s="67"/>
      <c r="AE20" s="67"/>
      <c r="AF20" s="67"/>
      <c r="AG20" s="67"/>
      <c r="AH20" s="67"/>
      <c r="AI20" s="67"/>
      <c r="AJ20" s="67"/>
      <c r="AK20" s="67"/>
      <c r="AL20" s="67"/>
      <c r="AM20" s="67"/>
      <c r="AN20" s="67"/>
      <c r="AO20" s="67"/>
      <c r="AP20" s="67"/>
      <c r="AQ20" s="67"/>
      <c r="AR20" s="67"/>
      <c r="AS20" s="67"/>
    </row>
    <row r="21" ht="12.75" customHeight="1">
      <c r="C21" s="67"/>
      <c r="E21" s="72"/>
      <c r="F21" s="72"/>
      <c r="G21" s="72"/>
      <c r="H21" s="72"/>
      <c r="I21" s="72"/>
      <c r="J21" s="72"/>
      <c r="K21" s="72"/>
      <c r="L21" s="72"/>
      <c r="M21" s="72"/>
      <c r="N21" s="72"/>
      <c r="O21" s="72"/>
    </row>
    <row r="22" ht="12.75" customHeight="1">
      <c r="A22" s="67"/>
      <c r="B22" s="67"/>
      <c r="C22" s="67" t="s">
        <v>1077</v>
      </c>
      <c r="D22" s="67"/>
      <c r="E22" s="63"/>
      <c r="F22" s="63"/>
      <c r="G22" s="63"/>
      <c r="H22" s="188"/>
      <c r="I22" s="188"/>
      <c r="J22" s="188"/>
      <c r="K22" s="188"/>
      <c r="L22" s="188"/>
      <c r="M22" s="188"/>
      <c r="N22" s="188"/>
      <c r="O22" s="188"/>
      <c r="P22" s="218">
        <f t="shared" ref="P22:Y22" si="18">P23/P16</f>
        <v>0.03408936744</v>
      </c>
      <c r="Q22" s="218">
        <f t="shared" si="18"/>
        <v>0.03209191616</v>
      </c>
      <c r="R22" s="218">
        <f t="shared" si="18"/>
        <v>0.02893253274</v>
      </c>
      <c r="S22" s="218">
        <f t="shared" si="18"/>
        <v>0.02790619782</v>
      </c>
      <c r="T22" s="218">
        <f t="shared" si="18"/>
        <v>0.02790286716</v>
      </c>
      <c r="U22" s="218">
        <f t="shared" si="18"/>
        <v>0.0279001636</v>
      </c>
      <c r="V22" s="218">
        <f t="shared" si="18"/>
        <v>0.02789833082</v>
      </c>
      <c r="W22" s="218">
        <f t="shared" si="18"/>
        <v>0.02789788232</v>
      </c>
      <c r="X22" s="218">
        <f t="shared" si="18"/>
        <v>0.02789788232</v>
      </c>
      <c r="Y22" s="218">
        <f t="shared" si="18"/>
        <v>0.02789788232</v>
      </c>
      <c r="Z22" s="67"/>
      <c r="AA22" s="67"/>
      <c r="AB22" s="67"/>
      <c r="AC22" s="67"/>
      <c r="AD22" s="67"/>
      <c r="AE22" s="67"/>
      <c r="AF22" s="67"/>
      <c r="AG22" s="67"/>
      <c r="AH22" s="67"/>
      <c r="AI22" s="67"/>
      <c r="AJ22" s="67"/>
      <c r="AK22" s="67"/>
      <c r="AL22" s="67"/>
      <c r="AM22" s="67"/>
      <c r="AN22" s="67"/>
      <c r="AO22" s="67"/>
      <c r="AP22" s="67"/>
      <c r="AQ22" s="67"/>
      <c r="AR22" s="67"/>
      <c r="AS22" s="67"/>
    </row>
    <row r="23" ht="12.75" customHeight="1">
      <c r="C23" s="64" t="s">
        <v>226</v>
      </c>
      <c r="D23" s="113">
        <f>'Region office'!D7</f>
        <v>0</v>
      </c>
      <c r="E23" s="93">
        <f>'Region office'!E7</f>
        <v>6000</v>
      </c>
      <c r="F23" s="93">
        <f>'Region office'!F7</f>
        <v>121110.8742</v>
      </c>
      <c r="G23" s="93">
        <f>'Region office'!G7</f>
        <v>130428.5677</v>
      </c>
      <c r="H23" s="93">
        <f>'Region office'!H7</f>
        <v>261915.7966</v>
      </c>
      <c r="I23" s="93">
        <f>'Region office'!I7</f>
        <v>487521.1279</v>
      </c>
      <c r="J23" s="93">
        <f>'Region office'!J7</f>
        <v>988747.4064</v>
      </c>
      <c r="K23" s="93">
        <f>'Region office'!K7</f>
        <v>1602181.27</v>
      </c>
      <c r="L23" s="93">
        <f>'Region office'!L7</f>
        <v>2570864.629</v>
      </c>
      <c r="M23" s="93">
        <f>'Region office'!M7</f>
        <v>4113124.732</v>
      </c>
      <c r="N23" s="93">
        <f>'Region office'!N7</f>
        <v>6651387.45</v>
      </c>
      <c r="O23" s="93">
        <f>'Region office'!O7</f>
        <v>10499663.12</v>
      </c>
      <c r="P23" s="113">
        <f>'Region office'!P7</f>
        <v>11551361.21</v>
      </c>
      <c r="Q23" s="113">
        <f>'Region office'!Q7</f>
        <v>11059576.99</v>
      </c>
      <c r="R23" s="113">
        <f>'Region office'!R7</f>
        <v>10011816.11</v>
      </c>
      <c r="S23" s="113">
        <f>'Region office'!S7</f>
        <v>9644141.635</v>
      </c>
      <c r="T23" s="113">
        <f>'Region office'!T7</f>
        <v>9627675.595</v>
      </c>
      <c r="U23" s="113">
        <f>'Region office'!U7</f>
        <v>9614348.215</v>
      </c>
      <c r="V23" s="113">
        <f>'Region office'!V7</f>
        <v>9605332.915</v>
      </c>
      <c r="W23" s="113">
        <f>'Region office'!W7</f>
        <v>9603129.175</v>
      </c>
      <c r="X23" s="113">
        <f>'Region office'!X7</f>
        <v>9603129.175</v>
      </c>
      <c r="Y23" s="113">
        <f>'Region office'!Y7</f>
        <v>9603129.175</v>
      </c>
    </row>
    <row r="24" ht="12.75" customHeight="1">
      <c r="C24" s="83" t="s">
        <v>178</v>
      </c>
      <c r="D24" s="117">
        <f>'Region office'!D14</f>
        <v>0</v>
      </c>
      <c r="E24" s="119">
        <f>'Region office'!E14</f>
        <v>464000</v>
      </c>
      <c r="F24" s="119">
        <f>'Region office'!F14</f>
        <v>640800</v>
      </c>
      <c r="G24" s="119">
        <f>'Region office'!G14</f>
        <v>638300</v>
      </c>
      <c r="H24" s="119">
        <f>'Region office'!H14</f>
        <v>643300</v>
      </c>
      <c r="I24" s="119">
        <f>'Region office'!I14</f>
        <v>898400</v>
      </c>
      <c r="J24" s="119">
        <f>'Region office'!J14</f>
        <v>910900</v>
      </c>
      <c r="K24" s="119">
        <f>'Region office'!K14</f>
        <v>1480825</v>
      </c>
      <c r="L24" s="119">
        <f>'Region office'!L14</f>
        <v>2341425</v>
      </c>
      <c r="M24" s="119">
        <f>'Region office'!M14</f>
        <v>3521150</v>
      </c>
      <c r="N24" s="119">
        <f>'Region office'!N14</f>
        <v>5155975</v>
      </c>
      <c r="O24" s="119">
        <f>'Region office'!O14</f>
        <v>8173225</v>
      </c>
      <c r="P24" s="117">
        <f>'Region office'!P14</f>
        <v>8673400</v>
      </c>
      <c r="Q24" s="117">
        <f>'Region office'!Q14</f>
        <v>8578700</v>
      </c>
      <c r="R24" s="117">
        <f>'Region office'!R14</f>
        <v>8578700</v>
      </c>
      <c r="S24" s="117">
        <f>'Region office'!S14</f>
        <v>8578700</v>
      </c>
      <c r="T24" s="117">
        <f>'Region office'!T14</f>
        <v>8578700</v>
      </c>
      <c r="U24" s="117">
        <f>'Region office'!U14</f>
        <v>8578700</v>
      </c>
      <c r="V24" s="117">
        <f>'Region office'!V14</f>
        <v>8578700</v>
      </c>
      <c r="W24" s="117">
        <f>'Region office'!W14</f>
        <v>8578700</v>
      </c>
      <c r="X24" s="117">
        <f>'Region office'!X14</f>
        <v>8578700</v>
      </c>
      <c r="Y24" s="117">
        <f>'Region office'!Y14</f>
        <v>8578700</v>
      </c>
    </row>
    <row r="25" ht="12.75" customHeight="1">
      <c r="C25" s="66" t="s">
        <v>194</v>
      </c>
      <c r="D25" s="142">
        <f t="shared" ref="D25:Y25" si="19">D23-D24</f>
        <v>0</v>
      </c>
      <c r="E25" s="115">
        <f t="shared" si="19"/>
        <v>-458000</v>
      </c>
      <c r="F25" s="115">
        <f t="shared" si="19"/>
        <v>-519689.1258</v>
      </c>
      <c r="G25" s="115">
        <f t="shared" si="19"/>
        <v>-507871.4323</v>
      </c>
      <c r="H25" s="115">
        <f t="shared" si="19"/>
        <v>-381384.2034</v>
      </c>
      <c r="I25" s="115">
        <f t="shared" si="19"/>
        <v>-410878.8721</v>
      </c>
      <c r="J25" s="115">
        <f t="shared" si="19"/>
        <v>77847.40641</v>
      </c>
      <c r="K25" s="115">
        <f t="shared" si="19"/>
        <v>121356.2701</v>
      </c>
      <c r="L25" s="115">
        <f t="shared" si="19"/>
        <v>229439.6287</v>
      </c>
      <c r="M25" s="115">
        <f t="shared" si="19"/>
        <v>591974.7323</v>
      </c>
      <c r="N25" s="115">
        <f t="shared" si="19"/>
        <v>1495412.45</v>
      </c>
      <c r="O25" s="115">
        <f t="shared" si="19"/>
        <v>2326438.123</v>
      </c>
      <c r="P25" s="142">
        <f t="shared" si="19"/>
        <v>2877961.206</v>
      </c>
      <c r="Q25" s="142">
        <f t="shared" si="19"/>
        <v>2480876.99</v>
      </c>
      <c r="R25" s="142">
        <f t="shared" si="19"/>
        <v>1433116.112</v>
      </c>
      <c r="S25" s="142">
        <f t="shared" si="19"/>
        <v>1065441.635</v>
      </c>
      <c r="T25" s="142">
        <f t="shared" si="19"/>
        <v>1048975.595</v>
      </c>
      <c r="U25" s="142">
        <f t="shared" si="19"/>
        <v>1035648.215</v>
      </c>
      <c r="V25" s="142">
        <f t="shared" si="19"/>
        <v>1026632.915</v>
      </c>
      <c r="W25" s="142">
        <f t="shared" si="19"/>
        <v>1024429.175</v>
      </c>
      <c r="X25" s="142">
        <f t="shared" si="19"/>
        <v>1024429.175</v>
      </c>
      <c r="Y25" s="142">
        <f t="shared" si="19"/>
        <v>1024429.175</v>
      </c>
    </row>
    <row r="26" ht="12.75" hidden="1" customHeight="1">
      <c r="C26" s="66" t="s">
        <v>195</v>
      </c>
      <c r="D26" s="142">
        <f>D25</f>
        <v>0</v>
      </c>
      <c r="E26" s="115">
        <f t="shared" ref="E26:Y26" si="20">D26+E25</f>
        <v>-458000</v>
      </c>
      <c r="F26" s="115">
        <f t="shared" si="20"/>
        <v>-977689.1258</v>
      </c>
      <c r="G26" s="115">
        <f t="shared" si="20"/>
        <v>-1485560.558</v>
      </c>
      <c r="H26" s="115">
        <f t="shared" si="20"/>
        <v>-1866944.762</v>
      </c>
      <c r="I26" s="115">
        <f t="shared" si="20"/>
        <v>-2277823.634</v>
      </c>
      <c r="J26" s="115">
        <f t="shared" si="20"/>
        <v>-2199976.227</v>
      </c>
      <c r="K26" s="115">
        <f t="shared" si="20"/>
        <v>-2078619.957</v>
      </c>
      <c r="L26" s="115">
        <f t="shared" si="20"/>
        <v>-1849180.328</v>
      </c>
      <c r="M26" s="115">
        <f t="shared" si="20"/>
        <v>-1257205.596</v>
      </c>
      <c r="N26" s="115">
        <f t="shared" si="20"/>
        <v>238206.8542</v>
      </c>
      <c r="O26" s="115">
        <f t="shared" si="20"/>
        <v>2564644.977</v>
      </c>
      <c r="P26" s="142">
        <f t="shared" si="20"/>
        <v>5442606.183</v>
      </c>
      <c r="Q26" s="142">
        <f t="shared" si="20"/>
        <v>7923483.173</v>
      </c>
      <c r="R26" s="142">
        <f t="shared" si="20"/>
        <v>9356599.285</v>
      </c>
      <c r="S26" s="142">
        <f t="shared" si="20"/>
        <v>10422040.92</v>
      </c>
      <c r="T26" s="142">
        <f t="shared" si="20"/>
        <v>11471016.52</v>
      </c>
      <c r="U26" s="142">
        <f t="shared" si="20"/>
        <v>12506664.73</v>
      </c>
      <c r="V26" s="142">
        <f t="shared" si="20"/>
        <v>13533297.65</v>
      </c>
      <c r="W26" s="142">
        <f t="shared" si="20"/>
        <v>14557726.82</v>
      </c>
      <c r="X26" s="142">
        <f t="shared" si="20"/>
        <v>15582156</v>
      </c>
      <c r="Y26" s="142">
        <f t="shared" si="20"/>
        <v>16606585.17</v>
      </c>
    </row>
    <row r="27" ht="12.75" customHeight="1">
      <c r="C27" s="66" t="s">
        <v>196</v>
      </c>
      <c r="D27" s="142"/>
      <c r="E27" s="115">
        <f t="shared" ref="E27:Y27" si="21">E26</f>
        <v>-458000</v>
      </c>
      <c r="F27" s="115">
        <f t="shared" si="21"/>
        <v>-977689.1258</v>
      </c>
      <c r="G27" s="115">
        <f t="shared" si="21"/>
        <v>-1485560.558</v>
      </c>
      <c r="H27" s="115">
        <f t="shared" si="21"/>
        <v>-1866944.762</v>
      </c>
      <c r="I27" s="115">
        <f t="shared" si="21"/>
        <v>-2277823.634</v>
      </c>
      <c r="J27" s="115">
        <f t="shared" si="21"/>
        <v>-2199976.227</v>
      </c>
      <c r="K27" s="115">
        <f t="shared" si="21"/>
        <v>-2078619.957</v>
      </c>
      <c r="L27" s="115">
        <f t="shared" si="21"/>
        <v>-1849180.328</v>
      </c>
      <c r="M27" s="115">
        <f t="shared" si="21"/>
        <v>-1257205.596</v>
      </c>
      <c r="N27" s="115">
        <f t="shared" si="21"/>
        <v>238206.8542</v>
      </c>
      <c r="O27" s="115">
        <f t="shared" si="21"/>
        <v>2564644.977</v>
      </c>
      <c r="P27" s="142">
        <f t="shared" si="21"/>
        <v>5442606.183</v>
      </c>
      <c r="Q27" s="142">
        <f t="shared" si="21"/>
        <v>7923483.173</v>
      </c>
      <c r="R27" s="142">
        <f t="shared" si="21"/>
        <v>9356599.285</v>
      </c>
      <c r="S27" s="142">
        <f t="shared" si="21"/>
        <v>10422040.92</v>
      </c>
      <c r="T27" s="142">
        <f t="shared" si="21"/>
        <v>11471016.52</v>
      </c>
      <c r="U27" s="142">
        <f t="shared" si="21"/>
        <v>12506664.73</v>
      </c>
      <c r="V27" s="142">
        <f t="shared" si="21"/>
        <v>13533297.65</v>
      </c>
      <c r="W27" s="142">
        <f t="shared" si="21"/>
        <v>14557726.82</v>
      </c>
      <c r="X27" s="142">
        <f t="shared" si="21"/>
        <v>15582156</v>
      </c>
      <c r="Y27" s="142">
        <f t="shared" si="21"/>
        <v>16606585.17</v>
      </c>
    </row>
    <row r="28" ht="12.75" customHeight="1">
      <c r="C28" s="67"/>
      <c r="D28" s="142"/>
      <c r="E28" s="115"/>
      <c r="F28" s="115"/>
      <c r="G28" s="115"/>
      <c r="H28" s="115"/>
      <c r="I28" s="115"/>
      <c r="J28" s="115"/>
      <c r="K28" s="115"/>
      <c r="L28" s="115"/>
      <c r="M28" s="115"/>
      <c r="N28" s="115"/>
      <c r="O28" s="115"/>
      <c r="P28" s="142"/>
      <c r="Q28" s="142"/>
      <c r="R28" s="142"/>
      <c r="S28" s="142"/>
      <c r="T28" s="142"/>
      <c r="U28" s="142"/>
      <c r="V28" s="142"/>
      <c r="W28" s="142"/>
      <c r="X28" s="142"/>
      <c r="Y28" s="142"/>
    </row>
    <row r="29" ht="12.75" customHeight="1">
      <c r="C29" s="67" t="s">
        <v>1078</v>
      </c>
      <c r="E29" s="72"/>
      <c r="F29" s="72"/>
      <c r="G29" s="72"/>
      <c r="H29" s="72"/>
      <c r="I29" s="72"/>
      <c r="J29" s="72"/>
      <c r="K29" s="72"/>
      <c r="L29" s="72"/>
      <c r="M29" s="72"/>
      <c r="N29" s="72"/>
      <c r="O29" s="72"/>
    </row>
    <row r="30" ht="12.75" customHeight="1">
      <c r="C30" s="64" t="s">
        <v>226</v>
      </c>
      <c r="D30" s="65">
        <f t="shared" ref="D30:Y30" si="22">D23+D16</f>
        <v>0</v>
      </c>
      <c r="E30" s="177">
        <f t="shared" si="22"/>
        <v>206000</v>
      </c>
      <c r="F30" s="177">
        <f t="shared" si="22"/>
        <v>3331903.53</v>
      </c>
      <c r="G30" s="177">
        <f t="shared" si="22"/>
        <v>3659616.36</v>
      </c>
      <c r="H30" s="177">
        <f t="shared" si="22"/>
        <v>7334031.511</v>
      </c>
      <c r="I30" s="177">
        <f t="shared" si="22"/>
        <v>14508521.29</v>
      </c>
      <c r="J30" s="177">
        <f t="shared" si="22"/>
        <v>28414211.73</v>
      </c>
      <c r="K30" s="177">
        <f t="shared" si="22"/>
        <v>46421367.95</v>
      </c>
      <c r="L30" s="177">
        <f t="shared" si="22"/>
        <v>75200407.3</v>
      </c>
      <c r="M30" s="177">
        <f t="shared" si="22"/>
        <v>121697487.4</v>
      </c>
      <c r="N30" s="177">
        <f t="shared" si="22"/>
        <v>196851936.7</v>
      </c>
      <c r="O30" s="177">
        <f t="shared" si="22"/>
        <v>309456273</v>
      </c>
      <c r="P30" s="65">
        <f t="shared" si="22"/>
        <v>350406613.6</v>
      </c>
      <c r="Q30" s="65">
        <f t="shared" si="22"/>
        <v>355681472.9</v>
      </c>
      <c r="R30" s="65">
        <f t="shared" si="22"/>
        <v>356051902</v>
      </c>
      <c r="S30" s="65">
        <f t="shared" si="22"/>
        <v>355235529.5</v>
      </c>
      <c r="T30" s="65">
        <f t="shared" si="22"/>
        <v>354670195.4</v>
      </c>
      <c r="U30" s="65">
        <f t="shared" si="22"/>
        <v>354212622.1</v>
      </c>
      <c r="V30" s="65">
        <f t="shared" si="22"/>
        <v>353903096.8</v>
      </c>
      <c r="W30" s="65">
        <f t="shared" si="22"/>
        <v>353827435</v>
      </c>
      <c r="X30" s="65">
        <f t="shared" si="22"/>
        <v>353827435</v>
      </c>
      <c r="Y30" s="65">
        <f t="shared" si="22"/>
        <v>353827435</v>
      </c>
    </row>
    <row r="31" ht="12.75" customHeight="1">
      <c r="C31" s="83" t="s">
        <v>178</v>
      </c>
      <c r="D31" s="200">
        <f t="shared" ref="D31:Y31" si="23">D24+D17</f>
        <v>0</v>
      </c>
      <c r="E31" s="204">
        <f t="shared" si="23"/>
        <v>642871.6064</v>
      </c>
      <c r="F31" s="204">
        <f t="shared" si="23"/>
        <v>3806114.144</v>
      </c>
      <c r="G31" s="204">
        <f t="shared" si="23"/>
        <v>4141494.828</v>
      </c>
      <c r="H31" s="204">
        <f t="shared" si="23"/>
        <v>7629172.579</v>
      </c>
      <c r="I31" s="204">
        <f t="shared" si="23"/>
        <v>14721215.48</v>
      </c>
      <c r="J31" s="204">
        <f t="shared" si="23"/>
        <v>28025593.55</v>
      </c>
      <c r="K31" s="204">
        <f t="shared" si="23"/>
        <v>45856693.21</v>
      </c>
      <c r="L31" s="204">
        <f t="shared" si="23"/>
        <v>74255086.75</v>
      </c>
      <c r="M31" s="204">
        <f t="shared" si="23"/>
        <v>119921082.2</v>
      </c>
      <c r="N31" s="204">
        <f t="shared" si="23"/>
        <v>193445017.2</v>
      </c>
      <c r="O31" s="204">
        <f t="shared" si="23"/>
        <v>304975446</v>
      </c>
      <c r="P31" s="200">
        <f t="shared" si="23"/>
        <v>346429660.1</v>
      </c>
      <c r="Q31" s="200">
        <f t="shared" si="23"/>
        <v>352452871.4</v>
      </c>
      <c r="R31" s="200">
        <f t="shared" si="23"/>
        <v>353429807</v>
      </c>
      <c r="S31" s="200">
        <f t="shared" si="23"/>
        <v>353005126.1</v>
      </c>
      <c r="T31" s="200">
        <f t="shared" si="23"/>
        <v>352713116.1</v>
      </c>
      <c r="U31" s="200">
        <f t="shared" si="23"/>
        <v>352527566.2</v>
      </c>
      <c r="V31" s="200">
        <f t="shared" si="23"/>
        <v>352417115.2</v>
      </c>
      <c r="W31" s="200">
        <f t="shared" si="23"/>
        <v>352390119.4</v>
      </c>
      <c r="X31" s="200">
        <f t="shared" si="23"/>
        <v>352390119.4</v>
      </c>
      <c r="Y31" s="200">
        <f t="shared" si="23"/>
        <v>352390119.4</v>
      </c>
    </row>
    <row r="32" ht="12.75" customHeight="1">
      <c r="C32" s="66" t="s">
        <v>194</v>
      </c>
      <c r="D32" s="142">
        <f t="shared" ref="D32:Y32" si="24">D30-D31</f>
        <v>0</v>
      </c>
      <c r="E32" s="115">
        <f t="shared" si="24"/>
        <v>-436871.6064</v>
      </c>
      <c r="F32" s="115">
        <f t="shared" si="24"/>
        <v>-474210.6137</v>
      </c>
      <c r="G32" s="115">
        <f t="shared" si="24"/>
        <v>-481878.4682</v>
      </c>
      <c r="H32" s="115">
        <f t="shared" si="24"/>
        <v>-295141.0676</v>
      </c>
      <c r="I32" s="115">
        <f t="shared" si="24"/>
        <v>-212694.1884</v>
      </c>
      <c r="J32" s="115">
        <f t="shared" si="24"/>
        <v>388618.1846</v>
      </c>
      <c r="K32" s="115">
        <f t="shared" si="24"/>
        <v>564674.7439</v>
      </c>
      <c r="L32" s="115">
        <f t="shared" si="24"/>
        <v>945320.5544</v>
      </c>
      <c r="M32" s="115">
        <f t="shared" si="24"/>
        <v>1776405.189</v>
      </c>
      <c r="N32" s="115">
        <f t="shared" si="24"/>
        <v>3406919.56</v>
      </c>
      <c r="O32" s="115">
        <f t="shared" si="24"/>
        <v>4480827.068</v>
      </c>
      <c r="P32" s="142">
        <f t="shared" si="24"/>
        <v>3976953.505</v>
      </c>
      <c r="Q32" s="142">
        <f t="shared" si="24"/>
        <v>3228601.491</v>
      </c>
      <c r="R32" s="142">
        <f t="shared" si="24"/>
        <v>2622094.956</v>
      </c>
      <c r="S32" s="142">
        <f t="shared" si="24"/>
        <v>2230403.41</v>
      </c>
      <c r="T32" s="142">
        <f t="shared" si="24"/>
        <v>1957079.344</v>
      </c>
      <c r="U32" s="142">
        <f t="shared" si="24"/>
        <v>1685055.82</v>
      </c>
      <c r="V32" s="142">
        <f t="shared" si="24"/>
        <v>1485981.587</v>
      </c>
      <c r="W32" s="142">
        <f t="shared" si="24"/>
        <v>1437315.662</v>
      </c>
      <c r="X32" s="142">
        <f t="shared" si="24"/>
        <v>1437315.662</v>
      </c>
      <c r="Y32" s="142">
        <f t="shared" si="24"/>
        <v>1437315.662</v>
      </c>
    </row>
    <row r="33" ht="12.75" customHeight="1">
      <c r="C33" s="66" t="s">
        <v>195</v>
      </c>
      <c r="D33" s="142">
        <f t="shared" ref="D33:D34" si="26">D32</f>
        <v>0</v>
      </c>
      <c r="E33" s="115">
        <f t="shared" ref="E33:Y33" si="25">E32+D33</f>
        <v>-436871.6064</v>
      </c>
      <c r="F33" s="115">
        <f t="shared" si="25"/>
        <v>-911082.2201</v>
      </c>
      <c r="G33" s="115">
        <f t="shared" si="25"/>
        <v>-1392960.688</v>
      </c>
      <c r="H33" s="115">
        <f t="shared" si="25"/>
        <v>-1688101.756</v>
      </c>
      <c r="I33" s="115">
        <f t="shared" si="25"/>
        <v>-1900795.944</v>
      </c>
      <c r="J33" s="115">
        <f t="shared" si="25"/>
        <v>-1512177.76</v>
      </c>
      <c r="K33" s="115">
        <f t="shared" si="25"/>
        <v>-947503.0159</v>
      </c>
      <c r="L33" s="115">
        <f t="shared" si="25"/>
        <v>-2182.461483</v>
      </c>
      <c r="M33" s="115">
        <f t="shared" si="25"/>
        <v>1774222.727</v>
      </c>
      <c r="N33" s="115">
        <f t="shared" si="25"/>
        <v>5181142.287</v>
      </c>
      <c r="O33" s="115">
        <f t="shared" si="25"/>
        <v>9661969.355</v>
      </c>
      <c r="P33" s="142">
        <f t="shared" si="25"/>
        <v>13638922.86</v>
      </c>
      <c r="Q33" s="142">
        <f t="shared" si="25"/>
        <v>16867524.35</v>
      </c>
      <c r="R33" s="142">
        <f t="shared" si="25"/>
        <v>19489619.31</v>
      </c>
      <c r="S33" s="142">
        <f t="shared" si="25"/>
        <v>21720022.72</v>
      </c>
      <c r="T33" s="142">
        <f t="shared" si="25"/>
        <v>23677102.06</v>
      </c>
      <c r="U33" s="142">
        <f t="shared" si="25"/>
        <v>25362157.88</v>
      </c>
      <c r="V33" s="142">
        <f t="shared" si="25"/>
        <v>26848139.47</v>
      </c>
      <c r="W33" s="142">
        <f t="shared" si="25"/>
        <v>28285455.13</v>
      </c>
      <c r="X33" s="142">
        <f t="shared" si="25"/>
        <v>29722770.79</v>
      </c>
      <c r="Y33" s="142">
        <f t="shared" si="25"/>
        <v>31160086.45</v>
      </c>
    </row>
    <row r="34" ht="12.75" hidden="1" customHeight="1">
      <c r="C34" s="66" t="s">
        <v>196</v>
      </c>
      <c r="D34" s="142">
        <f t="shared" si="26"/>
        <v>0</v>
      </c>
      <c r="E34" s="115">
        <f t="shared" ref="E34:Y34" si="27">E27+E20</f>
        <v>-407928.0261</v>
      </c>
      <c r="F34" s="115">
        <f t="shared" si="27"/>
        <v>-921383.1274</v>
      </c>
      <c r="G34" s="115">
        <f t="shared" si="27"/>
        <v>-1422583.306</v>
      </c>
      <c r="H34" s="115">
        <f t="shared" si="27"/>
        <v>-1699094.202</v>
      </c>
      <c r="I34" s="115">
        <f t="shared" si="27"/>
        <v>-1948757.679</v>
      </c>
      <c r="J34" s="115">
        <f t="shared" si="27"/>
        <v>-1668779.959</v>
      </c>
      <c r="K34" s="115">
        <f t="shared" si="27"/>
        <v>-1287716.906</v>
      </c>
      <c r="L34" s="115">
        <f t="shared" si="27"/>
        <v>-498050.3645</v>
      </c>
      <c r="M34" s="115">
        <f t="shared" si="27"/>
        <v>886540.2977</v>
      </c>
      <c r="N34" s="115">
        <f t="shared" si="27"/>
        <v>3767936.693</v>
      </c>
      <c r="O34" s="115">
        <f t="shared" si="27"/>
        <v>6159100.653</v>
      </c>
      <c r="P34" s="142">
        <f t="shared" si="27"/>
        <v>8020319.654</v>
      </c>
      <c r="Q34" s="142">
        <f t="shared" si="27"/>
        <v>10535552.47</v>
      </c>
      <c r="R34" s="142">
        <f t="shared" si="27"/>
        <v>12849008.31</v>
      </c>
      <c r="S34" s="142">
        <f t="shared" si="27"/>
        <v>15728059.08</v>
      </c>
      <c r="T34" s="142">
        <f t="shared" si="27"/>
        <v>19187647.33</v>
      </c>
      <c r="U34" s="142">
        <f t="shared" si="27"/>
        <v>23296367.17</v>
      </c>
      <c r="V34" s="142">
        <f t="shared" si="27"/>
        <v>25390515.41</v>
      </c>
      <c r="W34" s="142">
        <f t="shared" si="27"/>
        <v>26462868.85</v>
      </c>
      <c r="X34" s="142">
        <f t="shared" si="27"/>
        <v>27487298.03</v>
      </c>
      <c r="Y34" s="142">
        <f t="shared" si="27"/>
        <v>28511727.2</v>
      </c>
    </row>
    <row r="35" ht="12.75" hidden="1" customHeight="1">
      <c r="C35" s="66" t="s">
        <v>1079</v>
      </c>
      <c r="D35" s="142" t="str">
        <f>#REF!+#REF!</f>
        <v>#REF!</v>
      </c>
      <c r="E35" s="115" t="str">
        <f t="shared" ref="E35:Y35" si="28">#REF!+$D$35</f>
        <v>#REF!</v>
      </c>
      <c r="F35" s="115" t="str">
        <f t="shared" si="28"/>
        <v>#REF!</v>
      </c>
      <c r="G35" s="115" t="str">
        <f t="shared" si="28"/>
        <v>#REF!</v>
      </c>
      <c r="H35" s="115" t="str">
        <f t="shared" si="28"/>
        <v>#REF!</v>
      </c>
      <c r="I35" s="115" t="str">
        <f t="shared" si="28"/>
        <v>#REF!</v>
      </c>
      <c r="J35" s="115" t="str">
        <f t="shared" si="28"/>
        <v>#REF!</v>
      </c>
      <c r="K35" s="115" t="str">
        <f t="shared" si="28"/>
        <v>#REF!</v>
      </c>
      <c r="L35" s="115" t="str">
        <f t="shared" si="28"/>
        <v>#REF!</v>
      </c>
      <c r="M35" s="115" t="str">
        <f t="shared" si="28"/>
        <v>#REF!</v>
      </c>
      <c r="N35" s="115" t="str">
        <f t="shared" si="28"/>
        <v>#REF!</v>
      </c>
      <c r="O35" s="115" t="str">
        <f t="shared" si="28"/>
        <v>#REF!</v>
      </c>
      <c r="P35" s="142" t="str">
        <f t="shared" si="28"/>
        <v>#REF!</v>
      </c>
      <c r="Q35" s="142" t="str">
        <f t="shared" si="28"/>
        <v>#REF!</v>
      </c>
      <c r="R35" s="142" t="str">
        <f t="shared" si="28"/>
        <v>#REF!</v>
      </c>
      <c r="S35" s="142" t="str">
        <f t="shared" si="28"/>
        <v>#REF!</v>
      </c>
      <c r="T35" s="142" t="str">
        <f t="shared" si="28"/>
        <v>#REF!</v>
      </c>
      <c r="U35" s="142" t="str">
        <f t="shared" si="28"/>
        <v>#REF!</v>
      </c>
      <c r="V35" s="142" t="str">
        <f t="shared" si="28"/>
        <v>#REF!</v>
      </c>
      <c r="W35" s="142" t="str">
        <f t="shared" si="28"/>
        <v>#REF!</v>
      </c>
      <c r="X35" s="142" t="str">
        <f t="shared" si="28"/>
        <v>#REF!</v>
      </c>
      <c r="Y35" s="142" t="str">
        <f t="shared" si="28"/>
        <v>#REF!</v>
      </c>
    </row>
    <row r="36" ht="12.75" hidden="1" customHeight="1" outlineLevel="1">
      <c r="B36" s="67" t="s">
        <v>263</v>
      </c>
      <c r="C36" s="64"/>
      <c r="E36" s="72"/>
      <c r="F36" s="72"/>
      <c r="G36" s="72"/>
      <c r="H36" s="72"/>
      <c r="I36" s="72"/>
      <c r="J36" s="72"/>
      <c r="K36" s="72"/>
      <c r="L36" s="72"/>
      <c r="M36" s="72"/>
      <c r="N36" s="72"/>
      <c r="O36" s="72"/>
    </row>
    <row r="37" ht="12.75" hidden="1" customHeight="1" outlineLevel="1">
      <c r="B37" s="65">
        <f>OFFSET(RSGen_Walton!$G$11,0,ROW(A37)-ROW($A$37))</f>
        <v>0</v>
      </c>
      <c r="C37" s="64" t="s">
        <v>286</v>
      </c>
      <c r="E37" s="72"/>
      <c r="F37" s="72"/>
      <c r="G37" s="72"/>
      <c r="H37" s="72"/>
      <c r="I37" s="72"/>
      <c r="J37" s="72"/>
      <c r="K37" s="72"/>
      <c r="L37" s="72"/>
      <c r="M37" s="72"/>
      <c r="N37" s="72"/>
      <c r="O37" s="72"/>
    </row>
    <row r="38" ht="12.75" hidden="1" customHeight="1" outlineLevel="1">
      <c r="B38" s="65">
        <f>OFFSET(RSGen_Walton!$G$11,0,ROW(A38)-ROW($A$37))</f>
        <v>200000</v>
      </c>
      <c r="C38" s="64" t="s">
        <v>287</v>
      </c>
      <c r="E38" s="72"/>
      <c r="F38" s="72"/>
      <c r="G38" s="72"/>
      <c r="H38" s="72"/>
      <c r="I38" s="72"/>
      <c r="J38" s="72"/>
      <c r="K38" s="72"/>
      <c r="L38" s="72"/>
      <c r="M38" s="72"/>
      <c r="N38" s="72"/>
      <c r="O38" s="72"/>
    </row>
    <row r="39" ht="12.75" hidden="1" customHeight="1" outlineLevel="1">
      <c r="B39" s="65">
        <f>OFFSET(RSGen_Walton!$G$11,0,ROW(A39)-ROW($A$37))</f>
        <v>3210792.656</v>
      </c>
      <c r="C39" s="64" t="s">
        <v>288</v>
      </c>
      <c r="E39" s="72"/>
      <c r="F39" s="72"/>
      <c r="G39" s="72"/>
      <c r="H39" s="72"/>
      <c r="I39" s="72"/>
      <c r="J39" s="72"/>
      <c r="K39" s="72"/>
      <c r="L39" s="72"/>
      <c r="M39" s="72"/>
      <c r="N39" s="72"/>
      <c r="O39" s="72"/>
    </row>
    <row r="40" ht="12.75" hidden="1" customHeight="1" outlineLevel="1">
      <c r="B40" s="65">
        <f>OFFSET(RSGen_Walton!$G$11,0,ROW(A40)-ROW($A$37))</f>
        <v>3329187.792</v>
      </c>
      <c r="C40" s="64" t="s">
        <v>289</v>
      </c>
      <c r="E40" s="72"/>
      <c r="F40" s="72"/>
      <c r="G40" s="72"/>
      <c r="H40" s="72"/>
      <c r="I40" s="72"/>
      <c r="J40" s="72"/>
      <c r="K40" s="72"/>
      <c r="L40" s="72"/>
      <c r="M40" s="72"/>
      <c r="N40" s="72"/>
      <c r="O40" s="72"/>
    </row>
    <row r="41" ht="12.75" hidden="1" customHeight="1" outlineLevel="1">
      <c r="B41" s="65">
        <f>OFFSET(RSGen_Walton!$G$11,0,ROW(A41)-ROW($A$37))</f>
        <v>3461323.058</v>
      </c>
      <c r="C41" s="64" t="s">
        <v>290</v>
      </c>
      <c r="E41" s="72"/>
      <c r="F41" s="72"/>
      <c r="G41" s="72"/>
      <c r="H41" s="72"/>
      <c r="I41" s="72"/>
      <c r="J41" s="72"/>
      <c r="K41" s="72"/>
      <c r="L41" s="72"/>
      <c r="M41" s="72"/>
      <c r="N41" s="72"/>
      <c r="O41" s="72"/>
    </row>
    <row r="42" ht="12.75" hidden="1" customHeight="1" outlineLevel="1">
      <c r="B42" s="65">
        <f>OFFSET(RSGen_Walton!$G$11,0,ROW(A42)-ROW($A$37))</f>
        <v>3470227.058</v>
      </c>
      <c r="C42" s="64" t="s">
        <v>291</v>
      </c>
      <c r="E42" s="72"/>
      <c r="F42" s="72"/>
      <c r="G42" s="72"/>
      <c r="H42" s="72"/>
      <c r="I42" s="72"/>
      <c r="J42" s="72"/>
      <c r="K42" s="72"/>
      <c r="L42" s="72"/>
      <c r="M42" s="72"/>
      <c r="N42" s="72"/>
      <c r="O42" s="72"/>
    </row>
    <row r="43" ht="12.75" hidden="1" customHeight="1" outlineLevel="1">
      <c r="B43" s="65">
        <f>OFFSET(RSGen_Walton!$G$11,0,ROW(A43)-ROW($A$37))</f>
        <v>3462595.058</v>
      </c>
      <c r="C43" s="64" t="s">
        <v>292</v>
      </c>
      <c r="E43" s="72"/>
      <c r="F43" s="72"/>
      <c r="G43" s="72"/>
      <c r="H43" s="72"/>
      <c r="I43" s="72"/>
      <c r="J43" s="72"/>
      <c r="K43" s="72"/>
      <c r="L43" s="72"/>
      <c r="M43" s="72"/>
      <c r="N43" s="72"/>
      <c r="O43" s="72"/>
    </row>
    <row r="44" ht="12.75" hidden="1" customHeight="1" outlineLevel="1">
      <c r="B44" s="65">
        <f>OFFSET(RSGen_Walton!$G$11,0,ROW(A44)-ROW($A$37))</f>
        <v>3455599.058</v>
      </c>
      <c r="C44" s="64" t="s">
        <v>293</v>
      </c>
      <c r="E44" s="72"/>
      <c r="F44" s="72"/>
      <c r="G44" s="72"/>
      <c r="H44" s="72"/>
      <c r="I44" s="72"/>
      <c r="J44" s="72"/>
      <c r="K44" s="72"/>
      <c r="L44" s="72"/>
      <c r="M44" s="72"/>
      <c r="N44" s="72"/>
      <c r="O44" s="72"/>
    </row>
    <row r="45" ht="12.75" hidden="1" customHeight="1" outlineLevel="1">
      <c r="B45" s="65">
        <f>OFFSET(RSGen_Walton!$G$11,0,ROW(A45)-ROW($A$37))</f>
        <v>3448921.058</v>
      </c>
      <c r="C45" s="64" t="s">
        <v>294</v>
      </c>
      <c r="E45" s="72"/>
      <c r="F45" s="72"/>
      <c r="G45" s="72"/>
      <c r="H45" s="72"/>
      <c r="I45" s="72"/>
      <c r="J45" s="72"/>
      <c r="K45" s="72"/>
      <c r="L45" s="72"/>
      <c r="M45" s="72"/>
      <c r="N45" s="72"/>
      <c r="O45" s="72"/>
    </row>
    <row r="46" ht="12.75" hidden="1" customHeight="1" outlineLevel="1">
      <c r="B46" s="65">
        <f>OFFSET(RSGen_Walton!$G$11,0,ROW(A46)-ROW($A$37))</f>
        <v>3442243.058</v>
      </c>
      <c r="C46" s="64" t="s">
        <v>295</v>
      </c>
      <c r="E46" s="72"/>
      <c r="F46" s="72"/>
      <c r="G46" s="72"/>
      <c r="H46" s="72"/>
      <c r="I46" s="72"/>
      <c r="J46" s="72"/>
      <c r="K46" s="72"/>
      <c r="L46" s="72"/>
      <c r="M46" s="72"/>
      <c r="N46" s="72"/>
      <c r="O46" s="72"/>
    </row>
    <row r="47" ht="12.75" hidden="1" customHeight="1" outlineLevel="1">
      <c r="A47" s="67"/>
      <c r="B47" s="67" t="s">
        <v>1080</v>
      </c>
      <c r="C47" s="66"/>
      <c r="D47" s="205">
        <f t="shared" ref="D47:Y47" si="29">SUMPRODUCT(D4:D13,$B$37:$B$46)</f>
        <v>0</v>
      </c>
      <c r="E47" s="205">
        <f t="shared" si="29"/>
        <v>200000</v>
      </c>
      <c r="F47" s="205">
        <f t="shared" si="29"/>
        <v>3210792.656</v>
      </c>
      <c r="G47" s="205">
        <f t="shared" si="29"/>
        <v>3529187.792</v>
      </c>
      <c r="H47" s="205">
        <f t="shared" si="29"/>
        <v>7072115.714</v>
      </c>
      <c r="I47" s="205">
        <f t="shared" si="29"/>
        <v>14021000.16</v>
      </c>
      <c r="J47" s="205">
        <f t="shared" si="29"/>
        <v>27425464.32</v>
      </c>
      <c r="K47" s="205">
        <f t="shared" si="29"/>
        <v>44819186.68</v>
      </c>
      <c r="L47" s="205">
        <f t="shared" si="29"/>
        <v>72629542.68</v>
      </c>
      <c r="M47" s="205">
        <f t="shared" si="29"/>
        <v>117584362.6</v>
      </c>
      <c r="N47" s="205">
        <f t="shared" si="29"/>
        <v>190200549.3</v>
      </c>
      <c r="O47" s="205">
        <f t="shared" si="29"/>
        <v>298956609.9</v>
      </c>
      <c r="P47" s="205">
        <f t="shared" si="29"/>
        <v>338855252.4</v>
      </c>
      <c r="Q47" s="205">
        <f t="shared" si="29"/>
        <v>344621895.9</v>
      </c>
      <c r="R47" s="205">
        <f t="shared" si="29"/>
        <v>346040085.8</v>
      </c>
      <c r="S47" s="205">
        <f t="shared" si="29"/>
        <v>345591387.8</v>
      </c>
      <c r="T47" s="205">
        <f t="shared" si="29"/>
        <v>345042519.8</v>
      </c>
      <c r="U47" s="205">
        <f t="shared" si="29"/>
        <v>344598273.8</v>
      </c>
      <c r="V47" s="205">
        <f t="shared" si="29"/>
        <v>344297763.8</v>
      </c>
      <c r="W47" s="205">
        <f t="shared" si="29"/>
        <v>344224305.8</v>
      </c>
      <c r="X47" s="205">
        <f t="shared" si="29"/>
        <v>344224305.8</v>
      </c>
      <c r="Y47" s="205">
        <f t="shared" si="29"/>
        <v>344224305.8</v>
      </c>
      <c r="Z47" s="67"/>
      <c r="AA47" s="67"/>
      <c r="AB47" s="67"/>
      <c r="AC47" s="67"/>
      <c r="AD47" s="67"/>
      <c r="AE47" s="67"/>
      <c r="AF47" s="67"/>
      <c r="AG47" s="67"/>
      <c r="AH47" s="67"/>
      <c r="AI47" s="67"/>
      <c r="AJ47" s="67"/>
      <c r="AK47" s="67"/>
      <c r="AL47" s="67"/>
      <c r="AM47" s="67"/>
      <c r="AN47" s="67"/>
      <c r="AO47" s="67"/>
      <c r="AP47" s="67"/>
      <c r="AQ47" s="67"/>
      <c r="AR47" s="67"/>
      <c r="AS47" s="67"/>
    </row>
    <row r="48" ht="12.75" hidden="1" customHeight="1" outlineLevel="1">
      <c r="C48" s="64"/>
      <c r="E48" s="72"/>
      <c r="F48" s="72"/>
      <c r="G48" s="72"/>
      <c r="H48" s="72"/>
      <c r="I48" s="72"/>
      <c r="J48" s="72"/>
      <c r="K48" s="72"/>
      <c r="L48" s="72"/>
      <c r="M48" s="72"/>
      <c r="N48" s="72"/>
      <c r="O48" s="72"/>
    </row>
    <row r="49" ht="12.75" hidden="1" customHeight="1" outlineLevel="1">
      <c r="B49" s="67" t="s">
        <v>1081</v>
      </c>
      <c r="C49" s="64"/>
      <c r="E49" s="72"/>
      <c r="F49" s="72"/>
      <c r="G49" s="72"/>
      <c r="H49" s="72"/>
      <c r="I49" s="72"/>
      <c r="J49" s="72"/>
      <c r="K49" s="72"/>
      <c r="L49" s="72"/>
      <c r="M49" s="72"/>
      <c r="N49" s="72"/>
      <c r="O49" s="72"/>
    </row>
    <row r="50" ht="12.75" hidden="1" customHeight="1" outlineLevel="1">
      <c r="B50" s="65">
        <f>OFFSET(RSGen_Walton!$G$23,0,ROW(A50)-ROW($A$50))</f>
        <v>0</v>
      </c>
      <c r="C50" s="64" t="s">
        <v>286</v>
      </c>
      <c r="E50" s="72"/>
      <c r="F50" s="72"/>
      <c r="G50" s="72"/>
      <c r="H50" s="72"/>
      <c r="I50" s="72"/>
      <c r="J50" s="72"/>
      <c r="K50" s="72"/>
      <c r="L50" s="72"/>
      <c r="M50" s="72"/>
      <c r="N50" s="72"/>
      <c r="O50" s="72"/>
    </row>
    <row r="51" ht="12.75" hidden="1" customHeight="1" outlineLevel="1">
      <c r="B51" s="65">
        <f>OFFSET(RSGen_Walton!$G$23,0,ROW(A51)-ROW($A$50))</f>
        <v>178871.6064</v>
      </c>
      <c r="C51" s="64" t="s">
        <v>287</v>
      </c>
      <c r="E51" s="72"/>
      <c r="F51" s="72"/>
      <c r="G51" s="72"/>
      <c r="H51" s="72"/>
      <c r="I51" s="72"/>
      <c r="J51" s="72"/>
      <c r="K51" s="72"/>
      <c r="L51" s="72"/>
      <c r="M51" s="72"/>
      <c r="N51" s="72"/>
      <c r="O51" s="72"/>
    </row>
    <row r="52" ht="12.75" hidden="1" customHeight="1" outlineLevel="1">
      <c r="B52" s="65">
        <f>OFFSET(RSGen_Walton!$G$23,0,ROW(A52)-ROW($A$50))</f>
        <v>3165314.144</v>
      </c>
      <c r="C52" s="64" t="s">
        <v>288</v>
      </c>
      <c r="E52" s="72"/>
      <c r="F52" s="72"/>
      <c r="G52" s="72"/>
      <c r="H52" s="72"/>
      <c r="I52" s="72"/>
      <c r="J52" s="72"/>
      <c r="K52" s="72"/>
      <c r="L52" s="72"/>
      <c r="M52" s="72"/>
      <c r="N52" s="72"/>
      <c r="O52" s="72"/>
    </row>
    <row r="53" ht="12.75" hidden="1" customHeight="1" outlineLevel="1">
      <c r="B53" s="65">
        <f>OFFSET(RSGen_Walton!$G$23,0,ROW(A53)-ROW($A$50))</f>
        <v>3324323.221</v>
      </c>
      <c r="C53" s="64" t="s">
        <v>289</v>
      </c>
      <c r="E53" s="72"/>
      <c r="F53" s="72"/>
      <c r="G53" s="72"/>
      <c r="H53" s="72"/>
      <c r="I53" s="72"/>
      <c r="J53" s="72"/>
      <c r="K53" s="72"/>
      <c r="L53" s="72"/>
      <c r="M53" s="72"/>
      <c r="N53" s="72"/>
      <c r="O53" s="72"/>
    </row>
    <row r="54" ht="12.75" hidden="1" customHeight="1" outlineLevel="1">
      <c r="B54" s="65">
        <f>OFFSET(RSGen_Walton!$G$23,0,ROW(A54)-ROW($A$50))</f>
        <v>3462815.222</v>
      </c>
      <c r="C54" s="64" t="s">
        <v>290</v>
      </c>
      <c r="E54" s="72"/>
      <c r="F54" s="72"/>
      <c r="G54" s="72"/>
      <c r="H54" s="72"/>
      <c r="I54" s="72"/>
      <c r="J54" s="72"/>
      <c r="K54" s="72"/>
      <c r="L54" s="72"/>
      <c r="M54" s="72"/>
      <c r="N54" s="72"/>
      <c r="O54" s="72"/>
    </row>
    <row r="55" ht="12.75" hidden="1" customHeight="1" outlineLevel="1">
      <c r="B55" s="65">
        <f>OFFSET(RSGen_Walton!$G$23,0,ROW(A55)-ROW($A$50))</f>
        <v>3452377.544</v>
      </c>
      <c r="C55" s="64" t="s">
        <v>291</v>
      </c>
      <c r="E55" s="72"/>
      <c r="F55" s="72"/>
      <c r="G55" s="72"/>
      <c r="H55" s="72"/>
      <c r="I55" s="72"/>
      <c r="J55" s="72"/>
      <c r="K55" s="72"/>
      <c r="L55" s="72"/>
      <c r="M55" s="72"/>
      <c r="N55" s="72"/>
      <c r="O55" s="72"/>
    </row>
    <row r="56" ht="12.75" hidden="1" customHeight="1" outlineLevel="1">
      <c r="B56" s="65">
        <f>OFFSET(RSGen_Walton!$G$23,0,ROW(A56)-ROW($A$50))</f>
        <v>3447617.274</v>
      </c>
      <c r="C56" s="64" t="s">
        <v>292</v>
      </c>
      <c r="E56" s="72"/>
      <c r="F56" s="72"/>
      <c r="G56" s="72"/>
      <c r="H56" s="72"/>
      <c r="I56" s="72"/>
      <c r="J56" s="72"/>
      <c r="K56" s="72"/>
      <c r="L56" s="72"/>
      <c r="M56" s="72"/>
      <c r="N56" s="72"/>
      <c r="O56" s="72"/>
    </row>
    <row r="57" ht="12.75" hidden="1" customHeight="1" outlineLevel="1">
      <c r="B57" s="65">
        <f>OFFSET(RSGen_Walton!$G$23,0,ROW(A57)-ROW($A$50))</f>
        <v>3443023.764</v>
      </c>
      <c r="C57" s="64" t="s">
        <v>293</v>
      </c>
      <c r="E57" s="72"/>
      <c r="F57" s="72"/>
      <c r="G57" s="72"/>
      <c r="H57" s="72"/>
      <c r="I57" s="72"/>
      <c r="J57" s="72"/>
      <c r="K57" s="72"/>
      <c r="L57" s="72"/>
      <c r="M57" s="72"/>
      <c r="N57" s="72"/>
      <c r="O57" s="72"/>
    </row>
    <row r="58" ht="12.75" hidden="1" customHeight="1" outlineLevel="1">
      <c r="B58" s="65">
        <f>OFFSET(RSGen_Walton!$G$23,0,ROW(A58)-ROW($A$50))</f>
        <v>3440568.359</v>
      </c>
      <c r="C58" s="64" t="s">
        <v>294</v>
      </c>
      <c r="E58" s="72"/>
      <c r="F58" s="72"/>
      <c r="G58" s="72"/>
      <c r="H58" s="72"/>
      <c r="I58" s="72"/>
      <c r="J58" s="72"/>
      <c r="K58" s="72"/>
      <c r="L58" s="72"/>
      <c r="M58" s="72"/>
      <c r="N58" s="72"/>
      <c r="O58" s="72"/>
    </row>
    <row r="59" ht="12.75" hidden="1" customHeight="1" outlineLevel="1">
      <c r="B59" s="65">
        <f>OFFSET(RSGen_Walton!$G$23,0,ROW(A59)-ROW($A$50))</f>
        <v>3438114.194</v>
      </c>
      <c r="C59" s="64" t="s">
        <v>295</v>
      </c>
      <c r="E59" s="72"/>
      <c r="F59" s="72"/>
      <c r="G59" s="72"/>
      <c r="H59" s="72"/>
      <c r="I59" s="72"/>
      <c r="J59" s="72"/>
      <c r="K59" s="72"/>
      <c r="L59" s="72"/>
      <c r="M59" s="72"/>
      <c r="N59" s="72"/>
      <c r="O59" s="72"/>
    </row>
    <row r="60" ht="12.75" hidden="1" customHeight="1" outlineLevel="1">
      <c r="B60" s="68" t="s">
        <v>1082</v>
      </c>
      <c r="C60" s="64"/>
      <c r="D60" s="76">
        <f t="shared" ref="D60:Y60" si="30">SUMPRODUCT($B$50:$B$59,D4:D13)</f>
        <v>0</v>
      </c>
      <c r="E60" s="205">
        <f t="shared" si="30"/>
        <v>178871.6064</v>
      </c>
      <c r="F60" s="205">
        <f t="shared" si="30"/>
        <v>3165314.144</v>
      </c>
      <c r="G60" s="205">
        <f t="shared" si="30"/>
        <v>3503194.828</v>
      </c>
      <c r="H60" s="205">
        <f t="shared" si="30"/>
        <v>6985872.579</v>
      </c>
      <c r="I60" s="205">
        <f t="shared" si="30"/>
        <v>13822815.48</v>
      </c>
      <c r="J60" s="205">
        <f t="shared" si="30"/>
        <v>27114693.55</v>
      </c>
      <c r="K60" s="205">
        <f t="shared" si="30"/>
        <v>44375868.21</v>
      </c>
      <c r="L60" s="205">
        <f t="shared" si="30"/>
        <v>71913661.75</v>
      </c>
      <c r="M60" s="205">
        <f t="shared" si="30"/>
        <v>116399932.2</v>
      </c>
      <c r="N60" s="205">
        <f t="shared" si="30"/>
        <v>188289042.2</v>
      </c>
      <c r="O60" s="205">
        <f t="shared" si="30"/>
        <v>296802221</v>
      </c>
      <c r="P60" s="76">
        <f t="shared" si="30"/>
        <v>337756260.1</v>
      </c>
      <c r="Q60" s="76">
        <f t="shared" si="30"/>
        <v>343874171.4</v>
      </c>
      <c r="R60" s="76">
        <f t="shared" si="30"/>
        <v>344851107</v>
      </c>
      <c r="S60" s="76">
        <f t="shared" si="30"/>
        <v>344426426.1</v>
      </c>
      <c r="T60" s="76">
        <f t="shared" si="30"/>
        <v>344134416.1</v>
      </c>
      <c r="U60" s="76">
        <f t="shared" si="30"/>
        <v>343948866.2</v>
      </c>
      <c r="V60" s="76">
        <f t="shared" si="30"/>
        <v>343838415.2</v>
      </c>
      <c r="W60" s="76">
        <f t="shared" si="30"/>
        <v>343811419.4</v>
      </c>
      <c r="X60" s="76">
        <f t="shared" si="30"/>
        <v>343811419.4</v>
      </c>
      <c r="Y60" s="76">
        <f t="shared" si="30"/>
        <v>343811419.4</v>
      </c>
    </row>
    <row r="61" ht="12.75" hidden="1" customHeight="1" outlineLevel="1">
      <c r="C61" s="64"/>
      <c r="D61" s="76"/>
      <c r="E61" s="205"/>
      <c r="F61" s="205"/>
      <c r="G61" s="205"/>
      <c r="H61" s="205"/>
      <c r="I61" s="205"/>
      <c r="J61" s="205"/>
      <c r="K61" s="205"/>
      <c r="L61" s="205"/>
      <c r="M61" s="205"/>
      <c r="N61" s="205"/>
      <c r="O61" s="205"/>
      <c r="P61" s="76"/>
      <c r="Q61" s="76"/>
      <c r="R61" s="76"/>
      <c r="S61" s="76"/>
      <c r="T61" s="76"/>
      <c r="U61" s="76"/>
      <c r="V61" s="76"/>
      <c r="W61" s="76"/>
      <c r="X61" s="76"/>
      <c r="Y61" s="76"/>
    </row>
    <row r="62" ht="12.75" hidden="1" customHeight="1" outlineLevel="1">
      <c r="B62" s="67" t="s">
        <v>1083</v>
      </c>
      <c r="C62" s="64"/>
      <c r="E62" s="72"/>
      <c r="F62" s="72"/>
      <c r="G62" s="72"/>
      <c r="H62" s="72"/>
      <c r="I62" s="72"/>
      <c r="J62" s="72"/>
      <c r="K62" s="72"/>
      <c r="L62" s="72"/>
      <c r="M62" s="72"/>
      <c r="N62" s="72"/>
      <c r="O62" s="72"/>
    </row>
    <row r="63" ht="12.75" hidden="1" customHeight="1" outlineLevel="1">
      <c r="B63" s="65">
        <f>OFFSET(RSGen_Walton!$G$32,0,ROW(A63)-ROW($A$63))</f>
        <v>0</v>
      </c>
      <c r="C63" s="64" t="s">
        <v>286</v>
      </c>
      <c r="E63" s="72"/>
      <c r="F63" s="72"/>
      <c r="G63" s="72"/>
      <c r="H63" s="72"/>
      <c r="I63" s="72"/>
      <c r="J63" s="72"/>
      <c r="K63" s="72"/>
      <c r="L63" s="72"/>
      <c r="M63" s="72"/>
      <c r="N63" s="72"/>
      <c r="O63" s="72"/>
    </row>
    <row r="64" ht="12.75" hidden="1" customHeight="1" outlineLevel="1">
      <c r="B64" s="65">
        <f>OFFSET(RSGen_Walton!$G$32,0,ROW(A64)-ROW($A$63))</f>
        <v>50071.97388</v>
      </c>
      <c r="C64" s="64" t="s">
        <v>287</v>
      </c>
      <c r="E64" s="72"/>
      <c r="F64" s="72"/>
      <c r="G64" s="72"/>
      <c r="H64" s="72"/>
      <c r="I64" s="72"/>
      <c r="J64" s="72"/>
      <c r="K64" s="72"/>
      <c r="L64" s="72"/>
      <c r="M64" s="72"/>
      <c r="N64" s="72"/>
      <c r="O64" s="72"/>
    </row>
    <row r="65" ht="12.75" hidden="1" customHeight="1" outlineLevel="1">
      <c r="B65" s="65">
        <f>OFFSET(RSGen_Walton!$G$32,0,ROW(A65)-ROW($A$63))</f>
        <v>56305.9984</v>
      </c>
      <c r="C65" s="64" t="s">
        <v>288</v>
      </c>
      <c r="E65" s="72"/>
      <c r="F65" s="72"/>
      <c r="G65" s="72"/>
      <c r="H65" s="72"/>
      <c r="I65" s="72"/>
      <c r="J65" s="72"/>
      <c r="K65" s="72"/>
      <c r="L65" s="72"/>
      <c r="M65" s="72"/>
      <c r="N65" s="72"/>
      <c r="O65" s="72"/>
    </row>
    <row r="66" ht="12.75" hidden="1" customHeight="1" outlineLevel="1">
      <c r="B66" s="65">
        <f>OFFSET(RSGen_Walton!$G$32,0,ROW(A66)-ROW($A$63))</f>
        <v>12905.27821</v>
      </c>
      <c r="C66" s="64" t="s">
        <v>289</v>
      </c>
      <c r="E66" s="72"/>
      <c r="F66" s="72"/>
      <c r="G66" s="72"/>
      <c r="H66" s="72"/>
      <c r="I66" s="72"/>
      <c r="J66" s="72"/>
      <c r="K66" s="72"/>
      <c r="L66" s="72"/>
      <c r="M66" s="72"/>
      <c r="N66" s="72"/>
      <c r="O66" s="72"/>
    </row>
    <row r="67" ht="12.75" hidden="1" customHeight="1" outlineLevel="1">
      <c r="B67" s="65">
        <f>OFFSET(RSGen_Walton!$G$32,0,ROW(A67)-ROW($A$63))</f>
        <v>11400.61335</v>
      </c>
      <c r="C67" s="64" t="s">
        <v>290</v>
      </c>
      <c r="E67" s="72"/>
      <c r="F67" s="72"/>
      <c r="G67" s="72"/>
      <c r="H67" s="72"/>
      <c r="I67" s="72"/>
      <c r="J67" s="72"/>
      <c r="K67" s="72"/>
      <c r="L67" s="72"/>
      <c r="M67" s="72"/>
      <c r="N67" s="72"/>
      <c r="O67" s="72"/>
    </row>
    <row r="68" ht="12.75" hidden="1" customHeight="1" outlineLevel="1">
      <c r="B68" s="65">
        <f>OFFSET(RSGen_Walton!$G$32,0,ROW(A68)-ROW($A$63))</f>
        <v>3260.784121</v>
      </c>
      <c r="C68" s="64" t="s">
        <v>291</v>
      </c>
      <c r="E68" s="72"/>
      <c r="F68" s="72"/>
      <c r="G68" s="72"/>
      <c r="H68" s="72"/>
      <c r="I68" s="72"/>
      <c r="J68" s="72"/>
      <c r="K68" s="72"/>
      <c r="L68" s="72"/>
      <c r="M68" s="72"/>
      <c r="N68" s="72"/>
      <c r="O68" s="72"/>
    </row>
    <row r="69" ht="12.75" hidden="1" customHeight="1" outlineLevel="1">
      <c r="B69" s="65">
        <f>OFFSET(RSGen_Walton!$G$32,0,ROW(A69)-ROW($A$63))</f>
        <v>18401.23491</v>
      </c>
      <c r="C69" s="64" t="s">
        <v>292</v>
      </c>
      <c r="E69" s="72"/>
      <c r="F69" s="72"/>
      <c r="G69" s="72"/>
      <c r="H69" s="72"/>
      <c r="I69" s="72"/>
      <c r="J69" s="72"/>
      <c r="K69" s="72"/>
      <c r="L69" s="72"/>
      <c r="M69" s="72"/>
      <c r="N69" s="72"/>
      <c r="O69" s="72"/>
    </row>
    <row r="70" ht="12.75" hidden="1" customHeight="1" outlineLevel="1">
      <c r="B70" s="65">
        <f>OFFSET(RSGen_Walton!$G$32,0,ROW(A70)-ROW($A$63))</f>
        <v>31114.14406</v>
      </c>
      <c r="C70" s="64" t="s">
        <v>293</v>
      </c>
      <c r="E70" s="72"/>
      <c r="F70" s="72"/>
      <c r="G70" s="72"/>
      <c r="H70" s="72"/>
      <c r="I70" s="72"/>
      <c r="J70" s="72"/>
      <c r="K70" s="72"/>
      <c r="L70" s="72"/>
      <c r="M70" s="72"/>
      <c r="N70" s="72"/>
      <c r="O70" s="72"/>
    </row>
    <row r="71" ht="12.75" hidden="1" customHeight="1" outlineLevel="1">
      <c r="B71" s="65">
        <f>OFFSET(RSGen_Walton!$G$32,0,ROW(A71)-ROW($A$63))</f>
        <v>114694.6687</v>
      </c>
      <c r="C71" s="64" t="s">
        <v>294</v>
      </c>
      <c r="E71" s="72"/>
      <c r="F71" s="72"/>
      <c r="G71" s="72"/>
      <c r="H71" s="72"/>
      <c r="I71" s="72"/>
      <c r="J71" s="72"/>
      <c r="K71" s="72"/>
      <c r="L71" s="72"/>
      <c r="M71" s="72"/>
      <c r="N71" s="72"/>
      <c r="O71" s="72"/>
    </row>
    <row r="72" ht="12.75" hidden="1" customHeight="1" outlineLevel="1">
      <c r="B72" s="65">
        <f>OFFSET(RSGen_Walton!$G$32,0,ROW(A72)-ROW($A$63))</f>
        <v>119051.4203</v>
      </c>
      <c r="C72" s="64" t="s">
        <v>295</v>
      </c>
      <c r="E72" s="72"/>
      <c r="F72" s="72"/>
      <c r="G72" s="72"/>
      <c r="H72" s="72"/>
      <c r="I72" s="72"/>
      <c r="J72" s="72"/>
      <c r="K72" s="72"/>
      <c r="L72" s="72"/>
      <c r="M72" s="72"/>
      <c r="N72" s="72"/>
      <c r="O72" s="72"/>
    </row>
    <row r="73" ht="12.75" hidden="1" customHeight="1" outlineLevel="1">
      <c r="B73" s="68" t="s">
        <v>1084</v>
      </c>
      <c r="C73" s="64"/>
      <c r="D73" s="76">
        <f t="shared" ref="D73:Y73" si="31">SUMPRODUCT($B$63:$B$72,D$4:D$13)</f>
        <v>0</v>
      </c>
      <c r="E73" s="205">
        <f t="shared" si="31"/>
        <v>50071.97388</v>
      </c>
      <c r="F73" s="205">
        <f t="shared" si="31"/>
        <v>56305.9984</v>
      </c>
      <c r="G73" s="205">
        <f t="shared" si="31"/>
        <v>62977.25209</v>
      </c>
      <c r="H73" s="205">
        <f t="shared" si="31"/>
        <v>167850.5595</v>
      </c>
      <c r="I73" s="205">
        <f t="shared" si="31"/>
        <v>329065.9547</v>
      </c>
      <c r="J73" s="205">
        <f t="shared" si="31"/>
        <v>531196.2677</v>
      </c>
      <c r="K73" s="205">
        <f t="shared" si="31"/>
        <v>790903.0508</v>
      </c>
      <c r="L73" s="205">
        <f t="shared" si="31"/>
        <v>1351129.964</v>
      </c>
      <c r="M73" s="205">
        <f t="shared" si="31"/>
        <v>2143745.894</v>
      </c>
      <c r="N73" s="205">
        <f t="shared" si="31"/>
        <v>3529729.839</v>
      </c>
      <c r="O73" s="205">
        <f t="shared" si="31"/>
        <v>3594455.676</v>
      </c>
      <c r="P73" s="76">
        <f t="shared" si="31"/>
        <v>2577713.471</v>
      </c>
      <c r="Q73" s="76">
        <f t="shared" si="31"/>
        <v>2612069.293</v>
      </c>
      <c r="R73" s="76">
        <f t="shared" si="31"/>
        <v>3492409.026</v>
      </c>
      <c r="S73" s="76">
        <f t="shared" si="31"/>
        <v>5306018.156</v>
      </c>
      <c r="T73" s="76">
        <f t="shared" si="31"/>
        <v>7716630.814</v>
      </c>
      <c r="U73" s="76">
        <f t="shared" si="31"/>
        <v>10789702.44</v>
      </c>
      <c r="V73" s="76">
        <f t="shared" si="31"/>
        <v>11857217.76</v>
      </c>
      <c r="W73" s="76">
        <f t="shared" si="31"/>
        <v>11905142.03</v>
      </c>
      <c r="X73" s="76">
        <f t="shared" si="31"/>
        <v>11905142.03</v>
      </c>
      <c r="Y73" s="76">
        <f t="shared" si="31"/>
        <v>11905142.03</v>
      </c>
    </row>
    <row r="74" ht="12.75" hidden="1" customHeight="1" outlineLevel="1">
      <c r="C74" s="64"/>
      <c r="D74" s="76"/>
      <c r="E74" s="205"/>
      <c r="F74" s="205"/>
      <c r="G74" s="205"/>
      <c r="H74" s="205"/>
      <c r="I74" s="205"/>
      <c r="J74" s="205"/>
      <c r="K74" s="205"/>
      <c r="L74" s="205"/>
      <c r="M74" s="205"/>
      <c r="N74" s="205"/>
      <c r="O74" s="205"/>
      <c r="P74" s="76"/>
      <c r="Q74" s="76"/>
      <c r="R74" s="76"/>
      <c r="S74" s="76"/>
      <c r="T74" s="76"/>
      <c r="U74" s="76"/>
      <c r="V74" s="76"/>
      <c r="W74" s="76"/>
      <c r="X74" s="76"/>
      <c r="Y74" s="76"/>
    </row>
    <row r="75" ht="12.75" hidden="1" customHeight="1" outlineLevel="1">
      <c r="B75" s="67" t="s">
        <v>1085</v>
      </c>
      <c r="C75" s="64"/>
      <c r="E75" s="72"/>
      <c r="F75" s="72"/>
      <c r="G75" s="72"/>
      <c r="H75" s="72"/>
      <c r="I75" s="72"/>
      <c r="J75" s="72"/>
      <c r="K75" s="72"/>
      <c r="L75" s="72"/>
      <c r="M75" s="72"/>
      <c r="N75" s="72"/>
      <c r="O75" s="72"/>
    </row>
    <row r="76" ht="12.75" hidden="1" customHeight="1" outlineLevel="1">
      <c r="B76" s="65">
        <f>OFFSET(RSGen_Walton!$G$475,0,ROW(A76)-ROW($A$76))/2</f>
        <v>0</v>
      </c>
      <c r="C76" s="64" t="s">
        <v>286</v>
      </c>
      <c r="E76" s="72"/>
      <c r="F76" s="72"/>
      <c r="G76" s="72"/>
      <c r="H76" s="72"/>
      <c r="I76" s="72"/>
      <c r="J76" s="72"/>
      <c r="K76" s="72"/>
      <c r="L76" s="72"/>
      <c r="M76" s="72"/>
      <c r="N76" s="72"/>
      <c r="O76" s="72"/>
    </row>
    <row r="77" ht="12.75" hidden="1" customHeight="1" outlineLevel="1">
      <c r="B77" s="65">
        <f>OFFSET(RSGen_Walton!$G$475,0,ROW(A77)-ROW($A$76))/2</f>
        <v>15000</v>
      </c>
      <c r="C77" s="64" t="s">
        <v>287</v>
      </c>
      <c r="E77" s="72"/>
      <c r="F77" s="72"/>
      <c r="G77" s="72"/>
      <c r="H77" s="72"/>
      <c r="I77" s="72"/>
      <c r="J77" s="72"/>
      <c r="K77" s="72"/>
      <c r="L77" s="72"/>
      <c r="M77" s="72"/>
      <c r="N77" s="72"/>
      <c r="O77" s="72"/>
    </row>
    <row r="78" ht="12.75" hidden="1" customHeight="1" outlineLevel="1">
      <c r="B78" s="65">
        <f>OFFSET(RSGen_Walton!$G$475,0,ROW(A78)-ROW($A$76))/2</f>
        <v>240809.4492</v>
      </c>
      <c r="C78" s="64" t="s">
        <v>288</v>
      </c>
      <c r="E78" s="72"/>
      <c r="F78" s="72"/>
      <c r="G78" s="72"/>
      <c r="H78" s="72"/>
      <c r="I78" s="72"/>
      <c r="J78" s="72"/>
      <c r="K78" s="72"/>
      <c r="L78" s="72"/>
      <c r="M78" s="72"/>
      <c r="N78" s="72"/>
      <c r="O78" s="72"/>
    </row>
    <row r="79" ht="12.75" hidden="1" customHeight="1" outlineLevel="1">
      <c r="B79" s="65">
        <f>OFFSET(RSGen_Walton!$G$475,0,ROW(A79)-ROW($A$76))/2</f>
        <v>249689.0844</v>
      </c>
      <c r="C79" s="64" t="s">
        <v>289</v>
      </c>
      <c r="E79" s="72"/>
      <c r="F79" s="72"/>
      <c r="G79" s="72"/>
      <c r="H79" s="72"/>
      <c r="I79" s="72"/>
      <c r="J79" s="72"/>
      <c r="K79" s="72"/>
      <c r="L79" s="72"/>
      <c r="M79" s="72"/>
      <c r="N79" s="72"/>
      <c r="O79" s="72"/>
    </row>
    <row r="80" ht="12.75" hidden="1" customHeight="1" outlineLevel="1">
      <c r="B80" s="65">
        <f>OFFSET(RSGen_Walton!$G$475,0,ROW(A80)-ROW($A$76))/2</f>
        <v>259599.2294</v>
      </c>
      <c r="C80" s="64" t="s">
        <v>290</v>
      </c>
      <c r="E80" s="72"/>
      <c r="F80" s="72"/>
      <c r="G80" s="72"/>
      <c r="H80" s="72"/>
      <c r="I80" s="72"/>
      <c r="J80" s="72"/>
      <c r="K80" s="72"/>
      <c r="L80" s="72"/>
      <c r="M80" s="72"/>
      <c r="N80" s="72"/>
      <c r="O80" s="72"/>
    </row>
    <row r="81" ht="12.75" hidden="1" customHeight="1" outlineLevel="1">
      <c r="B81" s="65">
        <f>OFFSET(RSGen_Walton!$G$475,0,ROW(A81)-ROW($A$76))/2</f>
        <v>260267.0294</v>
      </c>
      <c r="C81" s="64" t="s">
        <v>291</v>
      </c>
      <c r="E81" s="72"/>
      <c r="F81" s="72"/>
      <c r="G81" s="72"/>
      <c r="H81" s="72"/>
      <c r="I81" s="72"/>
      <c r="J81" s="72"/>
      <c r="K81" s="72"/>
      <c r="L81" s="72"/>
      <c r="M81" s="72"/>
      <c r="N81" s="72"/>
      <c r="O81" s="72"/>
    </row>
    <row r="82" ht="12.75" hidden="1" customHeight="1" outlineLevel="1">
      <c r="B82" s="65">
        <f>OFFSET(RSGen_Walton!$G$475,0,ROW(A82)-ROW($A$76))/2</f>
        <v>259694.6294</v>
      </c>
      <c r="C82" s="64" t="s">
        <v>292</v>
      </c>
      <c r="E82" s="72"/>
      <c r="F82" s="72"/>
      <c r="G82" s="72"/>
      <c r="H82" s="72"/>
      <c r="I82" s="72"/>
      <c r="J82" s="72"/>
      <c r="K82" s="72"/>
      <c r="L82" s="72"/>
      <c r="M82" s="72"/>
      <c r="N82" s="72"/>
      <c r="O82" s="72"/>
    </row>
    <row r="83" ht="12.75" hidden="1" customHeight="1" outlineLevel="1">
      <c r="B83" s="65">
        <f>OFFSET(RSGen_Walton!$G$475,0,ROW(A83)-ROW($A$76))/2</f>
        <v>259169.9294</v>
      </c>
      <c r="C83" s="64" t="s">
        <v>293</v>
      </c>
      <c r="E83" s="72"/>
      <c r="F83" s="72"/>
      <c r="G83" s="72"/>
      <c r="H83" s="72"/>
      <c r="I83" s="72"/>
      <c r="J83" s="72"/>
      <c r="K83" s="72"/>
      <c r="L83" s="72"/>
      <c r="M83" s="72"/>
      <c r="N83" s="72"/>
      <c r="O83" s="72"/>
    </row>
    <row r="84" ht="12.75" hidden="1" customHeight="1" outlineLevel="1">
      <c r="B84" s="65">
        <f>OFFSET(RSGen_Walton!$G$475,0,ROW(A84)-ROW($A$76))/2</f>
        <v>258669.0794</v>
      </c>
      <c r="C84" s="64" t="s">
        <v>294</v>
      </c>
      <c r="E84" s="72"/>
      <c r="F84" s="72"/>
      <c r="G84" s="72"/>
      <c r="H84" s="72"/>
      <c r="I84" s="72"/>
      <c r="J84" s="72"/>
      <c r="K84" s="72"/>
      <c r="L84" s="72"/>
      <c r="M84" s="72"/>
      <c r="N84" s="72"/>
      <c r="O84" s="72"/>
    </row>
    <row r="85" ht="12.75" hidden="1" customHeight="1" outlineLevel="1">
      <c r="B85" s="65">
        <f>OFFSET(RSGen_Walton!$G$475,0,ROW(A85)-ROW($A$76))/2</f>
        <v>258168.2294</v>
      </c>
      <c r="C85" s="64" t="s">
        <v>295</v>
      </c>
      <c r="E85" s="72"/>
      <c r="F85" s="72"/>
      <c r="G85" s="72"/>
      <c r="H85" s="72"/>
      <c r="I85" s="72"/>
      <c r="J85" s="72"/>
      <c r="K85" s="72"/>
      <c r="L85" s="72"/>
      <c r="M85" s="72"/>
      <c r="N85" s="72"/>
      <c r="O85" s="72"/>
    </row>
    <row r="86" ht="12.75" hidden="1" customHeight="1" outlineLevel="1">
      <c r="B86" s="68" t="s">
        <v>1084</v>
      </c>
      <c r="C86" s="64"/>
      <c r="D86" s="76">
        <f>SUMPRODUCT($B$63:$B$72,D$4:D$13)</f>
        <v>0</v>
      </c>
      <c r="E86" s="205">
        <f t="shared" ref="E86:Y86" si="32">SUMPRODUCT($B$76:$B$85,E$4:E$13)</f>
        <v>15000</v>
      </c>
      <c r="F86" s="205">
        <f t="shared" si="32"/>
        <v>240809.4492</v>
      </c>
      <c r="G86" s="205">
        <f t="shared" si="32"/>
        <v>264689.0844</v>
      </c>
      <c r="H86" s="205">
        <f t="shared" si="32"/>
        <v>530408.6786</v>
      </c>
      <c r="I86" s="205">
        <f t="shared" si="32"/>
        <v>1051575.012</v>
      </c>
      <c r="J86" s="205">
        <f t="shared" si="32"/>
        <v>2056909.824</v>
      </c>
      <c r="K86" s="205">
        <f t="shared" si="32"/>
        <v>3361439.001</v>
      </c>
      <c r="L86" s="205">
        <f t="shared" si="32"/>
        <v>5447215.701</v>
      </c>
      <c r="M86" s="205">
        <f t="shared" si="32"/>
        <v>8818827.197</v>
      </c>
      <c r="N86" s="205">
        <f t="shared" si="32"/>
        <v>14265041.2</v>
      </c>
      <c r="O86" s="205">
        <f t="shared" si="32"/>
        <v>22421745.74</v>
      </c>
      <c r="P86" s="76">
        <f t="shared" si="32"/>
        <v>25414143.93</v>
      </c>
      <c r="Q86" s="76">
        <f t="shared" si="32"/>
        <v>25846642.19</v>
      </c>
      <c r="R86" s="76">
        <f t="shared" si="32"/>
        <v>25953006.44</v>
      </c>
      <c r="S86" s="76">
        <f t="shared" si="32"/>
        <v>25919354.09</v>
      </c>
      <c r="T86" s="76">
        <f t="shared" si="32"/>
        <v>25878188.99</v>
      </c>
      <c r="U86" s="76">
        <f t="shared" si="32"/>
        <v>25844870.54</v>
      </c>
      <c r="V86" s="76">
        <f t="shared" si="32"/>
        <v>25822332.29</v>
      </c>
      <c r="W86" s="76">
        <f t="shared" si="32"/>
        <v>25816822.94</v>
      </c>
      <c r="X86" s="76">
        <f t="shared" si="32"/>
        <v>25816822.94</v>
      </c>
      <c r="Y86" s="76">
        <f t="shared" si="32"/>
        <v>25816822.94</v>
      </c>
    </row>
    <row r="87" ht="12.75" hidden="1" customHeight="1" outlineLevel="1">
      <c r="C87" s="64"/>
      <c r="D87" s="76"/>
      <c r="E87" s="205"/>
      <c r="F87" s="205"/>
      <c r="G87" s="205"/>
      <c r="H87" s="205"/>
      <c r="I87" s="205"/>
      <c r="J87" s="205"/>
      <c r="K87" s="205"/>
      <c r="L87" s="205"/>
      <c r="M87" s="205"/>
      <c r="N87" s="205"/>
      <c r="O87" s="205"/>
      <c r="P87" s="76"/>
      <c r="Q87" s="76"/>
      <c r="R87" s="76"/>
      <c r="S87" s="76"/>
      <c r="T87" s="76"/>
      <c r="U87" s="76"/>
      <c r="V87" s="76"/>
      <c r="W87" s="76"/>
      <c r="X87" s="76"/>
      <c r="Y87" s="76"/>
    </row>
    <row r="88" ht="12.75" hidden="1" customHeight="1" outlineLevel="1">
      <c r="C88" s="64"/>
      <c r="D88" s="76"/>
      <c r="E88" s="205"/>
      <c r="F88" s="205"/>
      <c r="G88" s="205"/>
      <c r="H88" s="205"/>
      <c r="I88" s="205"/>
      <c r="J88" s="205"/>
      <c r="K88" s="205"/>
      <c r="L88" s="205"/>
      <c r="M88" s="205"/>
      <c r="N88" s="205"/>
      <c r="O88" s="205"/>
      <c r="P88" s="76"/>
      <c r="Q88" s="76"/>
      <c r="R88" s="76"/>
      <c r="S88" s="76"/>
      <c r="T88" s="76"/>
      <c r="U88" s="76"/>
      <c r="V88" s="76"/>
      <c r="W88" s="76"/>
      <c r="X88" s="76"/>
      <c r="Y88" s="76"/>
    </row>
    <row r="89" ht="12.75" hidden="1" customHeight="1" outlineLevel="1">
      <c r="C89" s="64"/>
      <c r="D89" s="76"/>
      <c r="E89" s="205"/>
      <c r="F89" s="205"/>
      <c r="G89" s="205"/>
      <c r="H89" s="205"/>
      <c r="I89" s="205"/>
      <c r="J89" s="205"/>
      <c r="K89" s="205"/>
      <c r="L89" s="205"/>
      <c r="M89" s="205"/>
      <c r="N89" s="205"/>
      <c r="O89" s="205"/>
      <c r="P89" s="76"/>
      <c r="Q89" s="76"/>
      <c r="R89" s="76"/>
      <c r="S89" s="76"/>
      <c r="T89" s="76"/>
      <c r="U89" s="76"/>
      <c r="V89" s="76"/>
      <c r="W89" s="76"/>
      <c r="X89" s="76"/>
      <c r="Y89" s="76"/>
    </row>
    <row r="90" ht="12.75" customHeight="1">
      <c r="B90" s="152"/>
      <c r="C90" s="66" t="s">
        <v>1086</v>
      </c>
      <c r="E90" s="115">
        <f t="shared" ref="E90:Y90" si="33">E27+E20</f>
        <v>-407928.0261</v>
      </c>
      <c r="F90" s="115">
        <f t="shared" si="33"/>
        <v>-921383.1274</v>
      </c>
      <c r="G90" s="115">
        <f t="shared" si="33"/>
        <v>-1422583.306</v>
      </c>
      <c r="H90" s="115">
        <f t="shared" si="33"/>
        <v>-1699094.202</v>
      </c>
      <c r="I90" s="115">
        <f t="shared" si="33"/>
        <v>-1948757.679</v>
      </c>
      <c r="J90" s="115">
        <f t="shared" si="33"/>
        <v>-1668779.959</v>
      </c>
      <c r="K90" s="115">
        <f t="shared" si="33"/>
        <v>-1287716.906</v>
      </c>
      <c r="L90" s="115">
        <f t="shared" si="33"/>
        <v>-498050.3645</v>
      </c>
      <c r="M90" s="115">
        <f t="shared" si="33"/>
        <v>886540.2977</v>
      </c>
      <c r="N90" s="115">
        <f t="shared" si="33"/>
        <v>3767936.693</v>
      </c>
      <c r="O90" s="115">
        <f t="shared" si="33"/>
        <v>6159100.653</v>
      </c>
      <c r="P90" s="142">
        <f t="shared" si="33"/>
        <v>8020319.654</v>
      </c>
      <c r="Q90" s="142">
        <f t="shared" si="33"/>
        <v>10535552.47</v>
      </c>
      <c r="R90" s="142">
        <f t="shared" si="33"/>
        <v>12849008.31</v>
      </c>
      <c r="S90" s="142">
        <f t="shared" si="33"/>
        <v>15728059.08</v>
      </c>
      <c r="T90" s="142">
        <f t="shared" si="33"/>
        <v>19187647.33</v>
      </c>
      <c r="U90" s="142">
        <f t="shared" si="33"/>
        <v>23296367.17</v>
      </c>
      <c r="V90" s="142">
        <f t="shared" si="33"/>
        <v>25390515.41</v>
      </c>
      <c r="W90" s="142">
        <f t="shared" si="33"/>
        <v>26462868.85</v>
      </c>
      <c r="X90" s="142">
        <f t="shared" si="33"/>
        <v>27487298.03</v>
      </c>
      <c r="Y90" s="142">
        <f t="shared" si="33"/>
        <v>28511727.2</v>
      </c>
    </row>
    <row r="91" ht="12.75" customHeight="1">
      <c r="J91" s="65"/>
      <c r="K91" s="65"/>
    </row>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c r="P220" s="93"/>
      <c r="Q220" s="93"/>
      <c r="R220" s="93"/>
      <c r="S220" s="93"/>
      <c r="T220" s="93"/>
      <c r="U220" s="93"/>
      <c r="V220" s="93"/>
      <c r="W220" s="93"/>
      <c r="X220" s="93"/>
      <c r="Y220" s="93"/>
      <c r="Z220" s="93"/>
      <c r="AA220" s="93"/>
      <c r="AB220" s="93"/>
      <c r="AC220" s="93"/>
      <c r="AD220" s="93"/>
      <c r="AE220" s="93"/>
      <c r="AF220" s="93"/>
      <c r="AG220" s="93"/>
      <c r="AH220" s="93"/>
      <c r="AI220" s="93"/>
      <c r="AJ220" s="93"/>
      <c r="AK220" s="93"/>
      <c r="AL220" s="93"/>
      <c r="AM220" s="93"/>
      <c r="AN220" s="93"/>
      <c r="AO220" s="93"/>
      <c r="AP220" s="93"/>
      <c r="AQ220" s="93"/>
      <c r="AR220" s="93"/>
      <c r="AS220" s="93"/>
    </row>
    <row r="221" ht="12.75" customHeight="1">
      <c r="P221" s="93"/>
      <c r="Q221" s="93"/>
      <c r="R221" s="93"/>
      <c r="S221" s="93"/>
      <c r="T221" s="93"/>
      <c r="U221" s="93"/>
      <c r="V221" s="93"/>
      <c r="W221" s="93"/>
      <c r="X221" s="93"/>
      <c r="Y221" s="93"/>
      <c r="Z221" s="93"/>
      <c r="AA221" s="93"/>
      <c r="AB221" s="93"/>
      <c r="AC221" s="93"/>
      <c r="AD221" s="93"/>
      <c r="AE221" s="93"/>
      <c r="AF221" s="93"/>
      <c r="AG221" s="93"/>
      <c r="AH221" s="93"/>
      <c r="AI221" s="93"/>
      <c r="AJ221" s="93"/>
      <c r="AK221" s="93"/>
      <c r="AL221" s="93"/>
      <c r="AM221" s="93"/>
      <c r="AN221" s="93"/>
      <c r="AO221" s="93"/>
      <c r="AP221" s="93"/>
      <c r="AQ221" s="93"/>
      <c r="AR221" s="93"/>
      <c r="AS221" s="93"/>
    </row>
    <row r="222" ht="12.75" customHeight="1">
      <c r="P222" s="93"/>
      <c r="Q222" s="93"/>
      <c r="R222" s="93"/>
      <c r="S222" s="93"/>
      <c r="T222" s="93"/>
      <c r="U222" s="93"/>
      <c r="V222" s="93"/>
      <c r="W222" s="93"/>
      <c r="X222" s="93"/>
      <c r="Y222" s="93"/>
      <c r="Z222" s="93"/>
      <c r="AA222" s="93"/>
      <c r="AB222" s="93"/>
      <c r="AC222" s="93"/>
      <c r="AD222" s="93"/>
      <c r="AE222" s="93"/>
      <c r="AF222" s="93"/>
      <c r="AG222" s="93"/>
      <c r="AH222" s="93"/>
      <c r="AI222" s="93"/>
      <c r="AJ222" s="93"/>
      <c r="AK222" s="93"/>
      <c r="AL222" s="93"/>
      <c r="AM222" s="93"/>
      <c r="AN222" s="93"/>
      <c r="AO222" s="93"/>
      <c r="AP222" s="93"/>
      <c r="AQ222" s="93"/>
      <c r="AR222" s="93"/>
      <c r="AS222" s="93"/>
    </row>
    <row r="223" ht="12.75" customHeight="1">
      <c r="P223" s="93"/>
      <c r="Q223" s="93"/>
      <c r="R223" s="93"/>
      <c r="S223" s="93"/>
      <c r="T223" s="93"/>
      <c r="U223" s="93"/>
      <c r="V223" s="93"/>
      <c r="W223" s="93"/>
      <c r="X223" s="93"/>
      <c r="Y223" s="93"/>
      <c r="Z223" s="93"/>
      <c r="AA223" s="93"/>
      <c r="AB223" s="93"/>
      <c r="AC223" s="93"/>
      <c r="AD223" s="93"/>
      <c r="AE223" s="93"/>
      <c r="AF223" s="93"/>
      <c r="AG223" s="93"/>
      <c r="AH223" s="93"/>
      <c r="AI223" s="93"/>
      <c r="AJ223" s="93"/>
      <c r="AK223" s="93"/>
      <c r="AL223" s="93"/>
      <c r="AM223" s="93"/>
      <c r="AN223" s="93"/>
      <c r="AO223" s="93"/>
      <c r="AP223" s="93"/>
      <c r="AQ223" s="93"/>
      <c r="AR223" s="93"/>
      <c r="AS223" s="93"/>
    </row>
    <row r="224" ht="12.75" customHeight="1">
      <c r="P224" s="93"/>
      <c r="Q224" s="93"/>
      <c r="R224" s="93"/>
      <c r="S224" s="93"/>
      <c r="T224" s="93"/>
      <c r="U224" s="93"/>
      <c r="V224" s="93"/>
      <c r="W224" s="93"/>
      <c r="X224" s="93"/>
      <c r="Y224" s="93"/>
      <c r="Z224" s="93"/>
      <c r="AA224" s="93"/>
      <c r="AB224" s="93"/>
      <c r="AC224" s="93"/>
      <c r="AD224" s="93"/>
      <c r="AE224" s="93"/>
      <c r="AF224" s="93"/>
      <c r="AG224" s="93"/>
      <c r="AH224" s="93"/>
      <c r="AI224" s="93"/>
      <c r="AJ224" s="93"/>
      <c r="AK224" s="93"/>
      <c r="AL224" s="93"/>
      <c r="AM224" s="93"/>
      <c r="AN224" s="93"/>
      <c r="AO224" s="93"/>
      <c r="AP224" s="93"/>
      <c r="AQ224" s="93"/>
      <c r="AR224" s="93"/>
      <c r="AS224" s="93"/>
    </row>
    <row r="225" ht="12.75" customHeight="1">
      <c r="P225" s="93"/>
      <c r="Q225" s="93"/>
      <c r="R225" s="93"/>
      <c r="S225" s="93"/>
      <c r="T225" s="93"/>
      <c r="U225" s="93"/>
      <c r="V225" s="93"/>
      <c r="W225" s="93"/>
      <c r="X225" s="93"/>
      <c r="Y225" s="93"/>
      <c r="Z225" s="93"/>
      <c r="AA225" s="93"/>
      <c r="AB225" s="93"/>
      <c r="AC225" s="93"/>
      <c r="AD225" s="93"/>
      <c r="AE225" s="93"/>
      <c r="AF225" s="93"/>
      <c r="AG225" s="93"/>
      <c r="AH225" s="93"/>
      <c r="AI225" s="93"/>
      <c r="AJ225" s="93"/>
      <c r="AK225" s="93"/>
      <c r="AL225" s="93"/>
      <c r="AM225" s="93"/>
      <c r="AN225" s="93"/>
      <c r="AO225" s="93"/>
      <c r="AP225" s="93"/>
      <c r="AQ225" s="93"/>
      <c r="AR225" s="93"/>
      <c r="AS225" s="93"/>
    </row>
    <row r="226" ht="12.75" customHeight="1">
      <c r="P226" s="93"/>
      <c r="Q226" s="93"/>
      <c r="R226" s="93"/>
      <c r="S226" s="93"/>
      <c r="T226" s="93"/>
      <c r="U226" s="93"/>
      <c r="V226" s="93"/>
      <c r="W226" s="93"/>
      <c r="X226" s="93"/>
      <c r="Y226" s="93"/>
      <c r="Z226" s="93"/>
      <c r="AA226" s="93"/>
      <c r="AB226" s="93"/>
      <c r="AC226" s="93"/>
      <c r="AD226" s="93"/>
      <c r="AE226" s="93"/>
      <c r="AF226" s="93"/>
      <c r="AG226" s="93"/>
      <c r="AH226" s="93"/>
      <c r="AI226" s="93"/>
      <c r="AJ226" s="93"/>
      <c r="AK226" s="93"/>
      <c r="AL226" s="93"/>
      <c r="AM226" s="93"/>
      <c r="AN226" s="93"/>
      <c r="AO226" s="93"/>
      <c r="AP226" s="93"/>
      <c r="AQ226" s="93"/>
      <c r="AR226" s="93"/>
      <c r="AS226" s="93"/>
    </row>
    <row r="227" ht="12.75" customHeight="1">
      <c r="P227" s="93"/>
      <c r="Q227" s="93"/>
      <c r="R227" s="93"/>
      <c r="S227" s="93"/>
      <c r="T227" s="93"/>
      <c r="U227" s="93"/>
      <c r="V227" s="93"/>
      <c r="W227" s="93"/>
      <c r="X227" s="93"/>
      <c r="Y227" s="93"/>
      <c r="Z227" s="93"/>
      <c r="AA227" s="93"/>
      <c r="AB227" s="93"/>
      <c r="AC227" s="93"/>
      <c r="AD227" s="93"/>
      <c r="AE227" s="93"/>
      <c r="AF227" s="93"/>
      <c r="AG227" s="93"/>
      <c r="AH227" s="93"/>
      <c r="AI227" s="93"/>
      <c r="AJ227" s="93"/>
      <c r="AK227" s="93"/>
      <c r="AL227" s="93"/>
      <c r="AM227" s="93"/>
      <c r="AN227" s="93"/>
      <c r="AO227" s="93"/>
      <c r="AP227" s="93"/>
      <c r="AQ227" s="93"/>
      <c r="AR227" s="93"/>
      <c r="AS227" s="93"/>
    </row>
    <row r="228" ht="12.75" customHeight="1">
      <c r="P228" s="93"/>
      <c r="Q228" s="93"/>
      <c r="R228" s="93"/>
      <c r="S228" s="93"/>
      <c r="T228" s="93"/>
      <c r="U228" s="93"/>
      <c r="V228" s="93"/>
      <c r="W228" s="93"/>
      <c r="X228" s="93"/>
      <c r="Y228" s="93"/>
      <c r="Z228" s="93"/>
      <c r="AA228" s="93"/>
      <c r="AB228" s="93"/>
      <c r="AC228" s="93"/>
      <c r="AD228" s="93"/>
      <c r="AE228" s="93"/>
      <c r="AF228" s="93"/>
      <c r="AG228" s="93"/>
      <c r="AH228" s="93"/>
      <c r="AI228" s="93"/>
      <c r="AJ228" s="93"/>
      <c r="AK228" s="93"/>
      <c r="AL228" s="93"/>
      <c r="AM228" s="93"/>
      <c r="AN228" s="93"/>
      <c r="AO228" s="93"/>
      <c r="AP228" s="93"/>
      <c r="AQ228" s="93"/>
      <c r="AR228" s="93"/>
      <c r="AS228" s="93"/>
    </row>
    <row r="229" ht="12.75" customHeight="1">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row>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35" footer="0.0" header="0.0" left="0.629861111111111" right="0.390277777777778" top="1.04027777777778"/>
  <pageSetup paperSize="5" scale="75" orientation="landscape"/>
  <headerFooter>
    <oddHeader>&amp;CGeneric Region Financials (Regional Office + Schools)</oddHeader>
    <oddFooter>&amp;C&amp;A&amp;R&amp;P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CC00"/>
    <pageSetUpPr/>
  </sheetPr>
  <sheetViews>
    <sheetView workbookViewId="0"/>
  </sheetViews>
  <sheetFormatPr customHeight="1" defaultColWidth="12.63" defaultRowHeight="15.0"/>
  <cols>
    <col customWidth="1" min="1" max="26" width="11.5"/>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984027777777778" footer="0.0" header="0.0" left="0.747916666666667" right="0.747916666666667" top="0.984027777777778"/>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1.5"/>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984027777777778" footer="0.0" header="0.0" left="0.747916666666667" right="0.747916666666667" top="0.984027777777778"/>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1.5"/>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984027777777778" footer="0.0" header="0.0" left="0.747916666666667" right="0.747916666666667" top="0.984027777777778"/>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1.5"/>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984027777777778" footer="0.0" header="0.0" left="0.747916666666667" right="0.747916666666667" top="0.984027777777778"/>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1.5"/>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984027777777778" footer="0.0" header="0.0" left="0.747916666666667" right="0.747916666666667" top="0.984027777777778"/>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1.5"/>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984027777777778" footer="0.0" header="0.0" left="0.747916666666667" right="0.747916666666667" top="0.984027777777778"/>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1.5"/>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984027777777778" footer="0.0" header="0.0" left="0.747916666666667" right="0.747916666666667" top="0.984027777777778"/>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1.5"/>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984027777777778" footer="0.0" header="0.0" left="0.747916666666667" right="0.747916666666667" top="0.984027777777778"/>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Row="1"/>
  <cols>
    <col customWidth="1" min="1" max="2" width="9.0"/>
    <col customWidth="1" min="3" max="3" width="23.0"/>
    <col customWidth="1" min="4" max="4" width="0.38"/>
    <col customWidth="1" min="5" max="6" width="12.0"/>
    <col customWidth="1" min="7" max="7" width="15.13"/>
    <col customWidth="1" min="8" max="8" width="14.5"/>
    <col customWidth="1" min="9" max="9" width="8.38"/>
    <col customWidth="1" min="10" max="14" width="7.0"/>
    <col customWidth="1" min="15" max="15" width="7.13"/>
    <col customWidth="1" min="16" max="16" width="30.88"/>
    <col customWidth="1" min="17" max="17" width="10.0"/>
    <col customWidth="1" min="18" max="19" width="7.13"/>
    <col customWidth="1" min="20" max="26" width="9.0"/>
  </cols>
  <sheetData>
    <row r="1" ht="12.75" customHeight="1"/>
    <row r="2" ht="12.75" customHeight="1"/>
    <row r="3" ht="12.75" customHeight="1">
      <c r="D3" s="67"/>
      <c r="E3" s="67">
        <v>2011.0</v>
      </c>
      <c r="F3" s="67">
        <v>2012.0</v>
      </c>
      <c r="G3" s="67">
        <v>2013.0</v>
      </c>
      <c r="H3" s="67">
        <v>2014.0</v>
      </c>
      <c r="I3" s="67">
        <v>2015.0</v>
      </c>
      <c r="J3" s="67">
        <v>2016.0</v>
      </c>
      <c r="K3" s="67">
        <v>2017.0</v>
      </c>
      <c r="L3" s="67">
        <v>2018.0</v>
      </c>
      <c r="M3" s="67">
        <v>2019.0</v>
      </c>
      <c r="N3" s="67">
        <v>2020.0</v>
      </c>
    </row>
    <row r="4" ht="12.75" customHeight="1"/>
    <row r="5" ht="12.75" customHeight="1">
      <c r="C5" s="68" t="s">
        <v>1087</v>
      </c>
      <c r="D5" s="152"/>
      <c r="E5" s="152" t="str">
        <f>(Summary!I105+#REF!)/Summary!I73</f>
        <v>#REF!</v>
      </c>
      <c r="F5" s="152" t="str">
        <f>(Summary!J105+#REF!)/Summary!J73</f>
        <v>#REF!</v>
      </c>
      <c r="G5" s="152" t="str">
        <f>(Summary!K105+#REF!)/Summary!K73</f>
        <v>#REF!</v>
      </c>
      <c r="H5" s="152" t="str">
        <f>(Summary!L105+#REF!)/Summary!L73</f>
        <v>#REF!</v>
      </c>
      <c r="I5" s="152" t="str">
        <f>(Summary!M105+#REF!)/Summary!M73</f>
        <v>#REF!</v>
      </c>
      <c r="J5" s="152" t="str">
        <f>(Summary!N105+#REF!)/Summary!N73</f>
        <v>#REF!</v>
      </c>
      <c r="K5" s="152" t="str">
        <f>(Summary!O105+#REF!)/Summary!O73</f>
        <v>#REF!</v>
      </c>
      <c r="L5" s="152" t="str">
        <f>(Summary!P105+#REF!)/Summary!P73</f>
        <v>#REF!</v>
      </c>
      <c r="M5" s="152" t="str">
        <f>(Summary!Q105+#REF!)/Summary!Q73</f>
        <v>#REF!</v>
      </c>
      <c r="N5" s="152" t="str">
        <f>(Summary!R105+#REF!)/Summary!R73</f>
        <v>#REF!</v>
      </c>
    </row>
    <row r="6" ht="12.75" customHeight="1">
      <c r="C6" s="68" t="s">
        <v>1088</v>
      </c>
      <c r="E6" s="152" t="str">
        <f>(Summary!I94-#REF!)/Summary!I73</f>
        <v>#REF!</v>
      </c>
      <c r="F6" s="152" t="str">
        <f>(Summary!J94-#REF!)/Summary!J73</f>
        <v>#REF!</v>
      </c>
      <c r="G6" s="152" t="str">
        <f>(Summary!K94-#REF!)/Summary!K73</f>
        <v>#REF!</v>
      </c>
      <c r="H6" s="152" t="str">
        <f>(Summary!L94-#REF!)/Summary!L73</f>
        <v>#REF!</v>
      </c>
      <c r="I6" s="152" t="str">
        <f>(Summary!M94-#REF!)/Summary!M73</f>
        <v>#REF!</v>
      </c>
      <c r="J6" s="152" t="str">
        <f>(Summary!N94-#REF!)/Summary!N73</f>
        <v>#REF!</v>
      </c>
      <c r="K6" s="152" t="str">
        <f>(Summary!O94-#REF!)/Summary!O73</f>
        <v>#REF!</v>
      </c>
      <c r="L6" s="152" t="str">
        <f>(Summary!P94-#REF!)/Summary!P73</f>
        <v>#REF!</v>
      </c>
      <c r="M6" s="152" t="str">
        <f>(Summary!Q94-#REF!)/Summary!Q73</f>
        <v>#REF!</v>
      </c>
      <c r="N6" s="152" t="str">
        <f>(Summary!R94-#REF!)/Summary!R73</f>
        <v>#REF!</v>
      </c>
      <c r="O6" s="178"/>
    </row>
    <row r="7" ht="12.75" customHeight="1"/>
    <row r="8" ht="12.75" customHeight="1"/>
    <row r="9" ht="12.75" customHeight="1">
      <c r="C9" s="67" t="s">
        <v>1089</v>
      </c>
      <c r="L9" s="477" t="s">
        <v>1090</v>
      </c>
      <c r="P9" s="477" t="s">
        <v>1091</v>
      </c>
    </row>
    <row r="10" ht="12.75" customHeight="1"/>
    <row r="11" ht="12.75" customHeight="1">
      <c r="C11" s="68" t="s">
        <v>1092</v>
      </c>
      <c r="E11" s="152">
        <v>0.47</v>
      </c>
      <c r="L11" s="66" t="s">
        <v>1093</v>
      </c>
      <c r="M11" s="66" t="s">
        <v>874</v>
      </c>
      <c r="N11" s="66" t="s">
        <v>878</v>
      </c>
      <c r="P11" s="66" t="s">
        <v>1093</v>
      </c>
      <c r="Q11" s="66" t="s">
        <v>874</v>
      </c>
      <c r="R11" s="66"/>
    </row>
    <row r="12" ht="12.75" customHeight="1">
      <c r="C12" s="68" t="s">
        <v>1094</v>
      </c>
      <c r="E12" s="152">
        <v>0.15</v>
      </c>
      <c r="L12" s="68" t="str">
        <f>'Region Staffing'!B13</f>
        <v/>
      </c>
      <c r="M12" s="72">
        <f>'Region Staffing'!F13</f>
        <v>1</v>
      </c>
      <c r="N12" s="68" t="s">
        <v>1095</v>
      </c>
      <c r="P12" s="68" t="s">
        <v>1096</v>
      </c>
      <c r="Q12" s="72">
        <f>'Region Staffing'!F12</f>
        <v>6</v>
      </c>
    </row>
    <row r="13" ht="12.75" customHeight="1">
      <c r="C13" s="68" t="s">
        <v>228</v>
      </c>
      <c r="E13" s="152">
        <v>0.2</v>
      </c>
      <c r="L13" s="68" t="s">
        <v>1097</v>
      </c>
      <c r="M13" s="72" t="str">
        <f>'Region Staffing'!F22</f>
        <v/>
      </c>
      <c r="N13" s="68" t="s">
        <v>1098</v>
      </c>
      <c r="P13" s="68" t="str">
        <f>'Region Staffing'!B14</f>
        <v/>
      </c>
      <c r="Q13" s="72">
        <f>'Region Staffing'!F14</f>
        <v>0</v>
      </c>
    </row>
    <row r="14" ht="12.75" customHeight="1">
      <c r="C14" s="68" t="s">
        <v>451</v>
      </c>
      <c r="E14" s="152">
        <f>'RSGen 1-7'!L16/'RSGen 1-7'!L23</f>
        <v>0.09810531697</v>
      </c>
      <c r="L14" s="68" t="s">
        <v>1099</v>
      </c>
      <c r="M14" s="72" t="str">
        <f>'Region Staffing'!F24</f>
        <v/>
      </c>
      <c r="N14" s="68" t="s">
        <v>1100</v>
      </c>
      <c r="P14" s="68" t="str">
        <f>'Region Staffing'!B21</f>
        <v/>
      </c>
      <c r="Q14" s="72">
        <f>'Region Staffing'!F21</f>
        <v>0</v>
      </c>
    </row>
    <row r="15" ht="12.75" customHeight="1">
      <c r="C15" s="68" t="s">
        <v>279</v>
      </c>
      <c r="E15" s="152">
        <v>0.08</v>
      </c>
      <c r="L15" s="68" t="s">
        <v>1101</v>
      </c>
      <c r="M15" s="72" t="str">
        <f>'Region Staffing'!F25</f>
        <v/>
      </c>
      <c r="N15" s="68" t="s">
        <v>1102</v>
      </c>
      <c r="P15" s="68" t="str">
        <f>'Region Staffing'!B17</f>
        <v/>
      </c>
      <c r="Q15" s="72">
        <f>'Region Staffing'!F17</f>
        <v>0</v>
      </c>
    </row>
    <row r="16" ht="12.75" customHeight="1">
      <c r="L16" s="68" t="s">
        <v>1103</v>
      </c>
      <c r="M16" s="72" t="str">
        <f>'Region Staffing'!F26</f>
        <v/>
      </c>
      <c r="N16" s="68" t="s">
        <v>1104</v>
      </c>
    </row>
    <row r="17" ht="12.75" customHeight="1">
      <c r="M17" s="72"/>
    </row>
    <row r="18" ht="12.75" customHeight="1">
      <c r="D18" s="68">
        <v>2008.0</v>
      </c>
      <c r="E18" s="68">
        <v>2010.0</v>
      </c>
      <c r="F18" s="68" t="s">
        <v>1105</v>
      </c>
    </row>
    <row r="19" ht="12.75" customHeight="1">
      <c r="B19" s="68" t="s">
        <v>1106</v>
      </c>
      <c r="C19" s="68" t="s">
        <v>1107</v>
      </c>
      <c r="D19" s="68">
        <v>5586.0</v>
      </c>
      <c r="E19" s="478">
        <f>'RSGen 1-7'!I91</f>
        <v>4778</v>
      </c>
      <c r="F19" s="152">
        <f t="shared" ref="F19:F22" si="1">E19/D19-1</f>
        <v>-0.1446473326</v>
      </c>
    </row>
    <row r="20" ht="12.75" customHeight="1">
      <c r="C20" s="68" t="s">
        <v>1108</v>
      </c>
      <c r="D20" s="68">
        <v>5670.0</v>
      </c>
      <c r="E20" s="478">
        <f>'RSGen 1-7'!I92</f>
        <v>4855</v>
      </c>
      <c r="F20" s="152">
        <f t="shared" si="1"/>
        <v>-0.1437389771</v>
      </c>
    </row>
    <row r="21" ht="12.75" customHeight="1">
      <c r="C21" s="68" t="s">
        <v>1109</v>
      </c>
      <c r="D21" s="68">
        <f>500*0.92</f>
        <v>460</v>
      </c>
      <c r="E21" s="478">
        <f>'RSGen 1-7'!I93</f>
        <v>401</v>
      </c>
      <c r="F21" s="152">
        <f t="shared" si="1"/>
        <v>-0.1282608696</v>
      </c>
    </row>
    <row r="22" ht="12.75" customHeight="1">
      <c r="B22" s="68" t="s">
        <v>172</v>
      </c>
      <c r="D22" s="68">
        <f t="shared" ref="D22:E22" si="2">SUM(D19:D21)</f>
        <v>11716</v>
      </c>
      <c r="E22" s="478">
        <f t="shared" si="2"/>
        <v>10034</v>
      </c>
      <c r="F22" s="152">
        <f t="shared" si="1"/>
        <v>-0.1435643564</v>
      </c>
    </row>
    <row r="23" ht="12.75" customHeight="1">
      <c r="F23" s="102"/>
    </row>
    <row r="24" ht="12.75" customHeight="1">
      <c r="C24" s="67" t="s">
        <v>1110</v>
      </c>
    </row>
    <row r="25" ht="12.75" customHeight="1">
      <c r="C25" s="68" t="s">
        <v>1111</v>
      </c>
      <c r="D25" s="152"/>
      <c r="E25" s="178"/>
      <c r="F25" s="178" t="str">
        <f>'Region office'!F37</f>
        <v/>
      </c>
      <c r="G25" s="178" t="str">
        <f>'Region office'!G37</f>
        <v/>
      </c>
      <c r="H25" s="178" t="str">
        <f>'Region office'!H37</f>
        <v/>
      </c>
      <c r="I25" s="178" t="str">
        <f>'Region office'!I37</f>
        <v/>
      </c>
      <c r="J25" s="178" t="str">
        <f>'Region office'!J37</f>
        <v/>
      </c>
      <c r="K25" s="178" t="str">
        <f>'Region office'!K37</f>
        <v/>
      </c>
      <c r="L25" s="178" t="str">
        <f>'Region office'!L37</f>
        <v/>
      </c>
      <c r="M25" s="178" t="str">
        <f>'Region office'!M37</f>
        <v/>
      </c>
      <c r="N25" s="178"/>
    </row>
    <row r="26" ht="12.75" customHeight="1">
      <c r="C26" s="68" t="s">
        <v>1112</v>
      </c>
      <c r="D26" s="152"/>
      <c r="E26" s="152"/>
      <c r="F26" s="152">
        <v>0.03</v>
      </c>
      <c r="G26" s="152">
        <v>0.03</v>
      </c>
      <c r="H26" s="152">
        <v>0.03</v>
      </c>
      <c r="I26" s="152">
        <v>0.03</v>
      </c>
      <c r="J26" s="152">
        <v>0.03</v>
      </c>
      <c r="K26" s="152">
        <v>0.03</v>
      </c>
      <c r="L26" s="152">
        <v>0.03</v>
      </c>
      <c r="M26" s="152">
        <v>0.03</v>
      </c>
      <c r="N26" s="152"/>
    </row>
    <row r="27" ht="12.75" customHeight="1">
      <c r="C27" s="68" t="s">
        <v>125</v>
      </c>
      <c r="F27" s="68">
        <f>'Generic Region'!F2</f>
        <v>1</v>
      </c>
      <c r="G27" s="68">
        <f>'Generic Region'!G2</f>
        <v>2</v>
      </c>
      <c r="H27" s="68">
        <f>'Generic Region'!H2</f>
        <v>3</v>
      </c>
      <c r="I27" s="68">
        <f>'Generic Region'!I2</f>
        <v>4</v>
      </c>
      <c r="J27" s="68">
        <f>'Generic Region'!J2</f>
        <v>5</v>
      </c>
      <c r="K27" s="68">
        <f>'Generic Region'!K2</f>
        <v>6</v>
      </c>
      <c r="L27" s="68">
        <f>'Generic Region'!L2</f>
        <v>7</v>
      </c>
      <c r="M27" s="68">
        <f>'Generic Region'!M2</f>
        <v>8</v>
      </c>
    </row>
    <row r="28" ht="12.75" customHeight="1">
      <c r="C28" s="68" t="s">
        <v>48</v>
      </c>
      <c r="F28" s="475">
        <f>'Generic Region'!F3</f>
        <v>1</v>
      </c>
      <c r="G28" s="68">
        <f>'Generic Region'!G3</f>
        <v>1</v>
      </c>
      <c r="H28" s="68">
        <f>'Generic Region'!H3</f>
        <v>2</v>
      </c>
      <c r="I28" s="68">
        <f>'Generic Region'!I3</f>
        <v>4</v>
      </c>
      <c r="J28" s="68">
        <f>'Generic Region'!J3</f>
        <v>8</v>
      </c>
      <c r="K28" s="68">
        <f>'Generic Region'!K3</f>
        <v>13</v>
      </c>
      <c r="L28" s="68">
        <f>'Generic Region'!L3</f>
        <v>21</v>
      </c>
      <c r="M28" s="68">
        <f>'Generic Region'!M3</f>
        <v>34</v>
      </c>
    </row>
    <row r="29" ht="12.75" customHeight="1"/>
    <row r="30" ht="12.75" customHeight="1">
      <c r="C30" s="67" t="s">
        <v>1113</v>
      </c>
      <c r="D30" s="67"/>
      <c r="E30" s="63" t="s">
        <v>1114</v>
      </c>
      <c r="F30" s="63" t="s">
        <v>1115</v>
      </c>
    </row>
    <row r="31" ht="12.75" customHeight="1">
      <c r="C31" s="68" t="s">
        <v>1116</v>
      </c>
      <c r="E31" s="91">
        <f>SUM('RSGen 1-7'!G261:J261)/'Graph Data'!E36</f>
        <v>0.5624753244</v>
      </c>
      <c r="F31" s="91">
        <f>SUM('RSGen 1-7'!K261)/'Graph Data'!F36</f>
        <v>0.6654736241</v>
      </c>
    </row>
    <row r="32" ht="12.75" customHeight="1">
      <c r="C32" s="68" t="s">
        <v>1117</v>
      </c>
      <c r="E32" s="91">
        <f>SUM('RSGen 1-7'!G262:J272)/E36</f>
        <v>0.1875224885</v>
      </c>
      <c r="F32" s="91">
        <f>SUM('RSGen 1-7'!K262:K272)/F36</f>
        <v>0.2199944897</v>
      </c>
    </row>
    <row r="33" ht="12.75" customHeight="1">
      <c r="C33" s="68" t="s">
        <v>1118</v>
      </c>
      <c r="E33" s="91">
        <f>SUM('RSGen 1-7'!G8:J8)/E36</f>
        <v>0.1598283154</v>
      </c>
      <c r="F33" s="91">
        <f>'RSGen 1-7'!K8/F36</f>
        <v>0.09061039756</v>
      </c>
    </row>
    <row r="34" ht="12.75" customHeight="1">
      <c r="C34" s="87" t="s">
        <v>238</v>
      </c>
      <c r="D34" s="87"/>
      <c r="E34" s="182">
        <f>SUM('RSGen 1-7'!G9:J10)/E36</f>
        <v>0.09017387169</v>
      </c>
      <c r="F34" s="182">
        <f>('RSGen 1-7'!K9+'RSGen 1-7'!K10)/F36</f>
        <v>0.02392148858</v>
      </c>
    </row>
    <row r="35" ht="12.75" customHeight="1">
      <c r="C35" s="67" t="s">
        <v>172</v>
      </c>
      <c r="D35" s="67"/>
      <c r="E35" s="187">
        <f t="shared" ref="E35:F35" si="3">SUM(E31:E34)</f>
        <v>1</v>
      </c>
      <c r="F35" s="187">
        <f t="shared" si="3"/>
        <v>1</v>
      </c>
    </row>
    <row r="36" ht="12.75" customHeight="1">
      <c r="E36" s="479">
        <f>SUM('RSGen 1-7'!G11:J11)</f>
        <v>6989980.448</v>
      </c>
      <c r="F36" s="479">
        <f>'RSGen 1-7'!K11</f>
        <v>3461323.058</v>
      </c>
    </row>
    <row r="37" ht="12.75" customHeight="1"/>
    <row r="38" ht="12.75" customHeight="1"/>
    <row r="39" ht="12.75" customHeight="1">
      <c r="C39" s="63" t="s">
        <v>1119</v>
      </c>
    </row>
    <row r="40" ht="4.5" customHeight="1"/>
    <row r="41" ht="12.75" customHeight="1">
      <c r="C41" s="67" t="s">
        <v>165</v>
      </c>
      <c r="D41" s="63" t="s">
        <v>157</v>
      </c>
      <c r="E41" s="63" t="s">
        <v>158</v>
      </c>
      <c r="F41" s="63" t="s">
        <v>159</v>
      </c>
      <c r="G41" s="63" t="s">
        <v>160</v>
      </c>
      <c r="H41" s="63" t="s">
        <v>161</v>
      </c>
    </row>
    <row r="42" ht="12.75" customHeight="1">
      <c r="C42" s="64" t="s">
        <v>166</v>
      </c>
      <c r="D42" s="196">
        <f>Assumptions!E39</f>
        <v>120</v>
      </c>
      <c r="E42" s="196">
        <f>Assumptions!F39</f>
        <v>120</v>
      </c>
      <c r="F42" s="196">
        <f>Assumptions!G39</f>
        <v>105</v>
      </c>
      <c r="G42" s="196">
        <f>Assumptions!H39</f>
        <v>105</v>
      </c>
      <c r="H42" s="196">
        <f>Assumptions!I39</f>
        <v>105</v>
      </c>
    </row>
    <row r="43" ht="12.75" customHeight="1">
      <c r="C43" s="64" t="s">
        <v>167</v>
      </c>
      <c r="D43" s="196">
        <f>Assumptions!E40</f>
        <v>112</v>
      </c>
      <c r="E43" s="196">
        <f>Assumptions!F40</f>
        <v>112</v>
      </c>
      <c r="F43" s="196">
        <f>Assumptions!G40</f>
        <v>100</v>
      </c>
      <c r="G43" s="196">
        <f>Assumptions!H40</f>
        <v>100</v>
      </c>
      <c r="H43" s="196">
        <f>Assumptions!I40</f>
        <v>100</v>
      </c>
    </row>
    <row r="44" ht="12.75" customHeight="1">
      <c r="C44" s="64" t="s">
        <v>168</v>
      </c>
      <c r="D44" s="196">
        <f>Assumptions!E41</f>
        <v>80</v>
      </c>
      <c r="E44" s="196">
        <f>Assumptions!F41</f>
        <v>80</v>
      </c>
      <c r="F44" s="196">
        <f>Assumptions!G41</f>
        <v>80</v>
      </c>
      <c r="G44" s="196">
        <f>Assumptions!H41</f>
        <v>80</v>
      </c>
      <c r="H44" s="196">
        <f>Assumptions!I41</f>
        <v>80</v>
      </c>
    </row>
    <row r="45" ht="12.75" customHeight="1">
      <c r="C45" s="64" t="s">
        <v>169</v>
      </c>
      <c r="D45" s="196">
        <f>Assumptions!E42</f>
        <v>80</v>
      </c>
      <c r="E45" s="196">
        <f>Assumptions!F42</f>
        <v>80</v>
      </c>
      <c r="F45" s="196">
        <f>Assumptions!G42</f>
        <v>80</v>
      </c>
      <c r="G45" s="196">
        <f>Assumptions!H42</f>
        <v>80</v>
      </c>
      <c r="H45" s="196">
        <f>Assumptions!I42</f>
        <v>80</v>
      </c>
    </row>
    <row r="46" ht="12.75" customHeight="1">
      <c r="C46" s="64" t="s">
        <v>170</v>
      </c>
      <c r="D46" s="196">
        <f>Assumptions!E43</f>
        <v>0</v>
      </c>
      <c r="E46" s="196">
        <f>Assumptions!F43</f>
        <v>72</v>
      </c>
      <c r="F46" s="196">
        <f>Assumptions!G43</f>
        <v>75</v>
      </c>
      <c r="G46" s="196">
        <f>Assumptions!H43</f>
        <v>75</v>
      </c>
      <c r="H46" s="196">
        <f>Assumptions!I43</f>
        <v>75</v>
      </c>
    </row>
    <row r="47" ht="12.75" customHeight="1">
      <c r="C47" s="83" t="s">
        <v>171</v>
      </c>
      <c r="D47" s="197">
        <f>Assumptions!E44</f>
        <v>0</v>
      </c>
      <c r="E47" s="197">
        <f>Assumptions!F44</f>
        <v>0</v>
      </c>
      <c r="F47" s="197">
        <f>Assumptions!G44</f>
        <v>60</v>
      </c>
      <c r="G47" s="197">
        <f>Assumptions!H44</f>
        <v>60</v>
      </c>
      <c r="H47" s="197">
        <f>Assumptions!I44</f>
        <v>60</v>
      </c>
    </row>
    <row r="48" ht="12.75" customHeight="1">
      <c r="C48" s="66" t="s">
        <v>172</v>
      </c>
      <c r="D48" s="86">
        <f t="shared" ref="D48:H48" si="4">SUM(D42:D47)</f>
        <v>392</v>
      </c>
      <c r="E48" s="86">
        <f t="shared" si="4"/>
        <v>464</v>
      </c>
      <c r="F48" s="86">
        <f t="shared" si="4"/>
        <v>500</v>
      </c>
      <c r="G48" s="86">
        <f t="shared" si="4"/>
        <v>500</v>
      </c>
      <c r="H48" s="86">
        <f t="shared" si="4"/>
        <v>500</v>
      </c>
    </row>
    <row r="49" ht="6.0" customHeight="1">
      <c r="D49" s="72"/>
      <c r="E49" s="72"/>
      <c r="F49" s="72"/>
      <c r="G49" s="72"/>
      <c r="H49" s="72"/>
    </row>
    <row r="50" ht="12.75" customHeight="1">
      <c r="C50" s="66" t="s">
        <v>1120</v>
      </c>
      <c r="D50" s="187">
        <v>0.96</v>
      </c>
      <c r="E50" s="187">
        <v>0.96</v>
      </c>
      <c r="F50" s="187">
        <v>0.96</v>
      </c>
      <c r="G50" s="187">
        <v>0.96</v>
      </c>
      <c r="H50" s="187">
        <v>0.96</v>
      </c>
    </row>
    <row r="51" ht="12.75" hidden="1" customHeight="1" outlineLevel="1">
      <c r="C51" s="66" t="s">
        <v>1121</v>
      </c>
      <c r="D51" s="187" t="str">
        <f>Assumptions!H35</f>
        <v/>
      </c>
      <c r="E51" s="187" t="str">
        <f t="shared" ref="E51:H51" si="5">D51</f>
        <v/>
      </c>
      <c r="F51" s="187" t="str">
        <f t="shared" si="5"/>
        <v/>
      </c>
      <c r="G51" s="187" t="str">
        <f t="shared" si="5"/>
        <v/>
      </c>
      <c r="H51" s="187" t="str">
        <f t="shared" si="5"/>
        <v/>
      </c>
    </row>
    <row r="52" ht="6.0" customHeight="1">
      <c r="D52" s="72"/>
      <c r="E52" s="72"/>
      <c r="F52" s="72"/>
      <c r="G52" s="72"/>
      <c r="H52" s="72"/>
    </row>
    <row r="53" ht="12.75" customHeight="1">
      <c r="C53" s="66" t="s">
        <v>1122</v>
      </c>
      <c r="D53" s="86">
        <f>'RSGen 1-7'!I56</f>
        <v>376.32</v>
      </c>
      <c r="E53" s="86">
        <f>'RSGen 1-7'!J56</f>
        <v>445.44</v>
      </c>
      <c r="F53" s="86">
        <f>'RSGen 1-7'!K56</f>
        <v>480</v>
      </c>
      <c r="G53" s="86">
        <f>'RSGen 1-7'!L56</f>
        <v>480</v>
      </c>
      <c r="H53" s="86">
        <f>'RSGen 1-7'!M56</f>
        <v>480</v>
      </c>
    </row>
    <row r="54" ht="12.75" customHeight="1"/>
    <row r="55" ht="12.75" customHeight="1">
      <c r="D55" s="63"/>
      <c r="E55" s="63"/>
      <c r="F55" s="63"/>
      <c r="G55" s="63"/>
      <c r="H55" s="63"/>
    </row>
    <row r="56" ht="12.75" customHeight="1">
      <c r="C56" s="67"/>
    </row>
    <row r="57" ht="12.75" customHeight="1">
      <c r="C57" s="63" t="s">
        <v>1123</v>
      </c>
    </row>
    <row r="58" ht="6.0" customHeight="1"/>
    <row r="59" ht="12.75" customHeight="1">
      <c r="C59" s="67" t="s">
        <v>1124</v>
      </c>
      <c r="D59" s="63" t="s">
        <v>157</v>
      </c>
      <c r="E59" s="63" t="s">
        <v>158</v>
      </c>
      <c r="F59" s="63" t="s">
        <v>159</v>
      </c>
      <c r="G59" s="63" t="s">
        <v>160</v>
      </c>
      <c r="H59" s="63" t="s">
        <v>161</v>
      </c>
    </row>
    <row r="60" ht="12.75" customHeight="1">
      <c r="C60" s="90" t="s">
        <v>1122</v>
      </c>
      <c r="D60" s="196">
        <f t="shared" ref="D60:H60" si="6">D53</f>
        <v>376.32</v>
      </c>
      <c r="E60" s="196">
        <f t="shared" si="6"/>
        <v>445.44</v>
      </c>
      <c r="F60" s="196">
        <f t="shared" si="6"/>
        <v>480</v>
      </c>
      <c r="G60" s="196">
        <f t="shared" si="6"/>
        <v>480</v>
      </c>
      <c r="H60" s="196">
        <f t="shared" si="6"/>
        <v>480</v>
      </c>
    </row>
    <row r="61" ht="12.75" customHeight="1">
      <c r="D61" s="72"/>
      <c r="E61" s="72"/>
      <c r="F61" s="72"/>
      <c r="G61" s="72"/>
      <c r="H61" s="72"/>
    </row>
    <row r="62" ht="12.75" customHeight="1">
      <c r="C62" s="68" t="s">
        <v>707</v>
      </c>
      <c r="D62" s="480">
        <f>'RSGen 1-7'!I136</f>
        <v>12</v>
      </c>
      <c r="E62" s="480">
        <f>'RSGen 1-7'!J136</f>
        <v>15</v>
      </c>
      <c r="F62" s="480">
        <f>'RSGen 1-7'!K136</f>
        <v>16</v>
      </c>
      <c r="G62" s="480">
        <f>'RSGen 1-7'!L136</f>
        <v>16</v>
      </c>
      <c r="H62" s="480">
        <f>'RSGen 1-7'!M136</f>
        <v>16</v>
      </c>
    </row>
    <row r="63" ht="12.75" customHeight="1">
      <c r="C63" s="68" t="s">
        <v>1125</v>
      </c>
      <c r="D63" s="480">
        <f>'RSGen 1-7'!I142+'RSGen 1-7'!I151</f>
        <v>3</v>
      </c>
      <c r="E63" s="480">
        <f>'RSGen 1-7'!J142+'RSGen 1-7'!J151</f>
        <v>3</v>
      </c>
      <c r="F63" s="480">
        <f>'RSGen 1-7'!K142+'RSGen 1-7'!K151</f>
        <v>3</v>
      </c>
      <c r="G63" s="480">
        <f>'RSGen 1-7'!L142+'RSGen 1-7'!L151</f>
        <v>3</v>
      </c>
      <c r="H63" s="480">
        <f>'RSGen 1-7'!M142+'RSGen 1-7'!M151</f>
        <v>3</v>
      </c>
    </row>
    <row r="64" ht="12.75" customHeight="1">
      <c r="C64" s="87" t="s">
        <v>1126</v>
      </c>
      <c r="D64" s="481">
        <f>'RSGen 1-7'!I155-'RSGen 1-7'!I151</f>
        <v>6.25</v>
      </c>
      <c r="E64" s="481">
        <f>'RSGen 1-7'!J155-'RSGen 1-7'!J151</f>
        <v>6.25</v>
      </c>
      <c r="F64" s="481">
        <f>'RSGen 1-7'!K155-'RSGen 1-7'!K151</f>
        <v>6.25</v>
      </c>
      <c r="G64" s="481">
        <f>'RSGen 1-7'!L155-'RSGen 1-7'!L151</f>
        <v>6.25</v>
      </c>
      <c r="H64" s="481">
        <f>'RSGen 1-7'!M155-'RSGen 1-7'!M151</f>
        <v>6.25</v>
      </c>
    </row>
    <row r="65" ht="12.75" customHeight="1">
      <c r="C65" s="67" t="s">
        <v>1127</v>
      </c>
      <c r="D65" s="482">
        <f t="shared" ref="D65:H65" si="7">SUM(D62:D64)</f>
        <v>21.25</v>
      </c>
      <c r="E65" s="482">
        <f t="shared" si="7"/>
        <v>24.25</v>
      </c>
      <c r="F65" s="482">
        <f t="shared" si="7"/>
        <v>25.25</v>
      </c>
      <c r="G65" s="482">
        <f t="shared" si="7"/>
        <v>25.25</v>
      </c>
      <c r="H65" s="482">
        <f t="shared" si="7"/>
        <v>25.25</v>
      </c>
    </row>
    <row r="66" ht="12.75" customHeight="1"/>
    <row r="67" ht="12.75" customHeight="1">
      <c r="C67" s="67" t="s">
        <v>1128</v>
      </c>
      <c r="D67" s="482">
        <f t="shared" ref="D67:H67" si="8">D60/D62</f>
        <v>31.36</v>
      </c>
      <c r="E67" s="482">
        <f t="shared" si="8"/>
        <v>29.696</v>
      </c>
      <c r="F67" s="482">
        <f t="shared" si="8"/>
        <v>30</v>
      </c>
      <c r="G67" s="482">
        <f t="shared" si="8"/>
        <v>30</v>
      </c>
      <c r="H67" s="482">
        <f t="shared" si="8"/>
        <v>30</v>
      </c>
    </row>
    <row r="68" ht="12.75" customHeight="1">
      <c r="C68" s="67" t="s">
        <v>1129</v>
      </c>
      <c r="D68" s="482">
        <f t="shared" ref="D68:H68" si="9">D60/D65</f>
        <v>17.70917647</v>
      </c>
      <c r="E68" s="482">
        <f t="shared" si="9"/>
        <v>18.36865979</v>
      </c>
      <c r="F68" s="482">
        <f t="shared" si="9"/>
        <v>19.00990099</v>
      </c>
      <c r="G68" s="482">
        <f t="shared" si="9"/>
        <v>19.00990099</v>
      </c>
      <c r="H68" s="482">
        <f t="shared" si="9"/>
        <v>19.00990099</v>
      </c>
    </row>
    <row r="69" ht="12.75" customHeight="1"/>
    <row r="70" ht="12.75" customHeight="1"/>
    <row r="71" ht="12.75" customHeight="1">
      <c r="C71" s="68" t="s">
        <v>1130</v>
      </c>
      <c r="D71" s="223">
        <f>('RSGen 1-7'!I304+'RSGen 1-7'!I305)*(1+'RSGen 1-7'!I179*'RSGen 1-7'!I178)/'RSGen 1-7'!I148</f>
        <v>61111.11111</v>
      </c>
      <c r="E71" s="68">
        <f>('RSGen 1-7'!J304+'RSGen 1-7'!J305)*(1+'RSGen 1-7'!J179*'RSGen 1-7'!J178)/'RSGen 1-7'!J148</f>
        <v>58437.5</v>
      </c>
      <c r="F71" s="68">
        <f>('RSGen 1-7'!K304+'RSGen 1-7'!K305)*(1+'RSGen 1-7'!K179*'RSGen 1-7'!K178)/'RSGen 1-7'!K148</f>
        <v>58437.5</v>
      </c>
      <c r="G71" s="68">
        <f>('RSGen 1-7'!L304+'RSGen 1-7'!L305)*(1+'RSGen 1-7'!L179*'RSGen 1-7'!L178)/'RSGen 1-7'!L148</f>
        <v>58437.5</v>
      </c>
      <c r="H71" s="68">
        <f>('RSGen 1-7'!M304+'RSGen 1-7'!M305)*(1+'RSGen 1-7'!M179*'RSGen 1-7'!M178)/'RSGen 1-7'!M148</f>
        <v>58437.5</v>
      </c>
    </row>
    <row r="72" ht="12.75" customHeight="1">
      <c r="D72" s="223"/>
      <c r="E72" s="223"/>
      <c r="F72" s="223"/>
      <c r="G72" s="223"/>
      <c r="H72" s="223"/>
    </row>
    <row r="73" ht="12.75" customHeight="1"/>
    <row r="74" ht="12.75" customHeight="1"/>
    <row r="75" ht="12.75" customHeight="1">
      <c r="D75" s="63">
        <v>2010.0</v>
      </c>
      <c r="E75" s="63">
        <v>2011.0</v>
      </c>
      <c r="F75" s="63">
        <v>2012.0</v>
      </c>
      <c r="G75" s="63">
        <v>2013.0</v>
      </c>
    </row>
    <row r="76" ht="12.75" customHeight="1">
      <c r="C76" s="68" t="s">
        <v>1131</v>
      </c>
      <c r="D76" s="93">
        <v>400000.0</v>
      </c>
      <c r="E76" s="93">
        <v>400000.0</v>
      </c>
      <c r="F76" s="93">
        <v>400000.0</v>
      </c>
      <c r="G76" s="93">
        <v>400000.0</v>
      </c>
    </row>
    <row r="77" ht="12.75" customHeight="1">
      <c r="C77" s="87" t="s">
        <v>1132</v>
      </c>
      <c r="D77" s="119">
        <f t="shared" ref="D77:G77" si="10">D78-D76</f>
        <v>20909.58904</v>
      </c>
      <c r="E77" s="119">
        <f t="shared" si="10"/>
        <v>37746.00712</v>
      </c>
      <c r="F77" s="119">
        <f t="shared" si="10"/>
        <v>55255.84741</v>
      </c>
      <c r="G77" s="119">
        <f t="shared" si="10"/>
        <v>67943.424</v>
      </c>
    </row>
    <row r="78" ht="12.75" customHeight="1">
      <c r="C78" s="67" t="s">
        <v>1133</v>
      </c>
      <c r="D78" s="115">
        <f>'RSED National'!L79</f>
        <v>420909.589</v>
      </c>
      <c r="E78" s="115">
        <f>'RSED National'!M79</f>
        <v>437746.0071</v>
      </c>
      <c r="F78" s="115">
        <f>'RSED National'!N79</f>
        <v>455255.8474</v>
      </c>
      <c r="G78" s="115">
        <f>'RSED National'!O79</f>
        <v>467943.424</v>
      </c>
    </row>
    <row r="79" ht="12.75" customHeight="1"/>
    <row r="80" ht="12.75" customHeight="1">
      <c r="D80" s="63">
        <v>2010.0</v>
      </c>
      <c r="E80" s="63">
        <v>2011.0</v>
      </c>
      <c r="F80" s="63">
        <v>2012.0</v>
      </c>
      <c r="G80" s="63">
        <v>2013.0</v>
      </c>
      <c r="H80" s="63">
        <v>2014.0</v>
      </c>
      <c r="I80" s="67">
        <f>H80+1</f>
        <v>2015</v>
      </c>
      <c r="J80" s="67"/>
      <c r="K80" s="67"/>
      <c r="L80" s="67"/>
      <c r="M80" s="67"/>
      <c r="N80" s="67"/>
    </row>
    <row r="81" ht="12.75" customHeight="1">
      <c r="C81" s="68" t="s">
        <v>212</v>
      </c>
      <c r="D81" s="152" t="str">
        <f>'RSED National'!L34/'RSED National'!L35</f>
        <v>#REF!</v>
      </c>
      <c r="E81" s="152">
        <f>'RSED National'!M34/'RSED National'!M35</f>
        <v>0.6517680896</v>
      </c>
      <c r="F81" s="152">
        <f>'RSED National'!N34/'RSED National'!N35</f>
        <v>0.4955370976</v>
      </c>
      <c r="G81" s="152">
        <f>'RSED National'!O34/'RSED National'!O35</f>
        <v>0.4606090122</v>
      </c>
      <c r="H81" s="152">
        <f>'RSED National'!P34/'RSED National'!P35</f>
        <v>0.07108428105</v>
      </c>
      <c r="I81" s="152">
        <f>'RSED National'!Q34/'RSED National'!Q35</f>
        <v>0</v>
      </c>
      <c r="J81" s="152"/>
      <c r="K81" s="152"/>
      <c r="L81" s="152"/>
      <c r="M81" s="152"/>
      <c r="N81" s="152"/>
    </row>
    <row r="82" ht="12.75" customHeight="1">
      <c r="C82" s="68" t="s">
        <v>179</v>
      </c>
      <c r="D82" s="152" t="str">
        <f>('RSED National'!L32+'RSED National'!L33)/'RSED National'!L35</f>
        <v>#REF!</v>
      </c>
      <c r="E82" s="152">
        <f>('RSED National'!M32+'RSED National'!M33)/'RSED National'!M35</f>
        <v>0.3482319104</v>
      </c>
      <c r="F82" s="152">
        <f>('RSED National'!N32+'RSED National'!N33)/'RSED National'!N35</f>
        <v>0.5044629024</v>
      </c>
      <c r="G82" s="152">
        <f>('RSED National'!O32+'RSED National'!O33)/'RSED National'!O35</f>
        <v>0.5393909878</v>
      </c>
      <c r="H82" s="152">
        <f>('RSED National'!P32+'RSED National'!P33)/'RSED National'!P35</f>
        <v>0.9289157189</v>
      </c>
      <c r="I82" s="152">
        <f>('RSED National'!Q32+'RSED National'!Q33)/'RSED National'!Q35</f>
        <v>1</v>
      </c>
      <c r="J82" s="152"/>
      <c r="K82" s="152"/>
      <c r="L82" s="152"/>
      <c r="M82" s="152"/>
      <c r="N82" s="152"/>
    </row>
    <row r="83" ht="12.75" customHeight="1"/>
    <row r="84" ht="12.75" customHeight="1">
      <c r="D84" s="63" t="s">
        <v>157</v>
      </c>
      <c r="E84" s="63" t="s">
        <v>158</v>
      </c>
      <c r="F84" s="63" t="s">
        <v>159</v>
      </c>
      <c r="G84" s="63" t="s">
        <v>160</v>
      </c>
      <c r="H84" s="63" t="s">
        <v>161</v>
      </c>
      <c r="I84" s="63" t="s">
        <v>162</v>
      </c>
      <c r="J84" s="63" t="s">
        <v>163</v>
      </c>
      <c r="K84" s="63" t="s">
        <v>1134</v>
      </c>
    </row>
    <row r="85" ht="12.75" customHeight="1">
      <c r="C85" s="68" t="s">
        <v>1135</v>
      </c>
      <c r="D85" s="91">
        <f>'RSGen 1-7'!I58</f>
        <v>0.7</v>
      </c>
      <c r="E85" s="91">
        <f>'RSGen 1-7'!J58</f>
        <v>0.7</v>
      </c>
      <c r="F85" s="91">
        <f>'RSGen 1-7'!K58</f>
        <v>0.7</v>
      </c>
      <c r="G85" s="91">
        <f>'RSGen 1-7'!L58</f>
        <v>0.7</v>
      </c>
      <c r="H85" s="91">
        <f>'RSGen 1-7'!M58</f>
        <v>0.7</v>
      </c>
      <c r="I85" s="91">
        <f>'RSGen 1-7'!N58</f>
        <v>0.7</v>
      </c>
      <c r="J85" s="91">
        <f>'RSGen 1-7'!O58</f>
        <v>0.7</v>
      </c>
      <c r="K85" s="91">
        <f>'RSGen 1-7'!P58</f>
        <v>0.7</v>
      </c>
      <c r="L85" s="91"/>
    </row>
    <row r="86" ht="12.75" customHeight="1">
      <c r="C86" s="68" t="s">
        <v>1136</v>
      </c>
      <c r="D86" s="91">
        <f>'RSGen 1-7'!I69</f>
        <v>0.5</v>
      </c>
      <c r="E86" s="91">
        <f>'RSGen 1-7'!J69</f>
        <v>0.5</v>
      </c>
      <c r="F86" s="91">
        <f>'RSGen 1-7'!K69</f>
        <v>0.5</v>
      </c>
      <c r="G86" s="91">
        <f>'RSGen 1-7'!L69</f>
        <v>0.5</v>
      </c>
      <c r="H86" s="91">
        <f>'RSGen 1-7'!M69</f>
        <v>0.5</v>
      </c>
      <c r="I86" s="91">
        <f>'RSGen 1-7'!N69</f>
        <v>0.5</v>
      </c>
      <c r="J86" s="91">
        <f>'RSGen 1-7'!O69</f>
        <v>0.5</v>
      </c>
      <c r="K86" s="91">
        <f>'RSGen 1-7'!P69</f>
        <v>0.5</v>
      </c>
      <c r="L86" s="91"/>
    </row>
    <row r="87" ht="12.75" customHeight="1">
      <c r="C87" s="68" t="s">
        <v>1137</v>
      </c>
      <c r="D87" s="91">
        <f>'RSGen 1-7'!I73</f>
        <v>0.7</v>
      </c>
      <c r="E87" s="91">
        <f>'RSGen 1-7'!J73</f>
        <v>0.665</v>
      </c>
      <c r="F87" s="91">
        <f>'RSGen 1-7'!K73</f>
        <v>0.63175</v>
      </c>
      <c r="G87" s="91">
        <f>'RSGen 1-7'!L73</f>
        <v>0.6001625</v>
      </c>
      <c r="H87" s="91">
        <f>'RSGen 1-7'!M73</f>
        <v>0.570154375</v>
      </c>
      <c r="I87" s="91">
        <f>'RSGen 1-7'!N73</f>
        <v>0.5416466563</v>
      </c>
      <c r="J87" s="91">
        <f>'RSGen 1-7'!O73</f>
        <v>0.5145643234</v>
      </c>
      <c r="K87" s="91">
        <f>'RSGen 1-7'!P73</f>
        <v>0.5</v>
      </c>
      <c r="L87" s="91"/>
    </row>
    <row r="88" ht="12.75" customHeight="1"/>
    <row r="89" ht="12.75" customHeight="1">
      <c r="C89" s="67" t="s">
        <v>1138</v>
      </c>
    </row>
    <row r="90" ht="12.75" customHeight="1">
      <c r="C90" s="483" t="s">
        <v>125</v>
      </c>
      <c r="D90" s="327">
        <v>-1.0</v>
      </c>
      <c r="E90" s="327">
        <f t="shared" ref="E90:O90" si="11">D90+1</f>
        <v>0</v>
      </c>
      <c r="F90" s="327">
        <f t="shared" si="11"/>
        <v>1</v>
      </c>
      <c r="G90" s="327">
        <f t="shared" si="11"/>
        <v>2</v>
      </c>
      <c r="H90" s="327">
        <f t="shared" si="11"/>
        <v>3</v>
      </c>
      <c r="I90" s="327">
        <f t="shared" si="11"/>
        <v>4</v>
      </c>
      <c r="J90" s="327">
        <f t="shared" si="11"/>
        <v>5</v>
      </c>
      <c r="K90" s="327">
        <f t="shared" si="11"/>
        <v>6</v>
      </c>
      <c r="L90" s="327">
        <f t="shared" si="11"/>
        <v>7</v>
      </c>
      <c r="M90" s="327">
        <f t="shared" si="11"/>
        <v>8</v>
      </c>
      <c r="N90" s="327">
        <f t="shared" si="11"/>
        <v>9</v>
      </c>
      <c r="O90" s="327">
        <f t="shared" si="11"/>
        <v>10</v>
      </c>
    </row>
    <row r="91" ht="12.75" customHeight="1">
      <c r="C91" s="68" t="s">
        <v>88</v>
      </c>
      <c r="D91" s="72">
        <v>0.0</v>
      </c>
      <c r="E91" s="72">
        <v>0.0</v>
      </c>
      <c r="F91" s="103">
        <f t="shared" ref="F91:O91" si="12">F92-E92</f>
        <v>1</v>
      </c>
      <c r="G91" s="103">
        <f t="shared" si="12"/>
        <v>0</v>
      </c>
      <c r="H91" s="72">
        <f t="shared" si="12"/>
        <v>1</v>
      </c>
      <c r="I91" s="72">
        <f t="shared" si="12"/>
        <v>2</v>
      </c>
      <c r="J91" s="72">
        <f t="shared" si="12"/>
        <v>4</v>
      </c>
      <c r="K91" s="72">
        <f t="shared" si="12"/>
        <v>5</v>
      </c>
      <c r="L91" s="72">
        <f t="shared" si="12"/>
        <v>8</v>
      </c>
      <c r="M91" s="72">
        <f t="shared" si="12"/>
        <v>13</v>
      </c>
      <c r="N91" s="72">
        <f t="shared" si="12"/>
        <v>21</v>
      </c>
      <c r="O91" s="72">
        <f t="shared" si="12"/>
        <v>34</v>
      </c>
    </row>
    <row r="92" ht="12.75" customHeight="1">
      <c r="C92" s="68" t="s">
        <v>1139</v>
      </c>
      <c r="D92" s="72">
        <v>0.0</v>
      </c>
      <c r="E92" s="72">
        <v>0.0</v>
      </c>
      <c r="F92" s="103">
        <f>'Region office'!F3</f>
        <v>1</v>
      </c>
      <c r="G92" s="72">
        <f>'Region office'!G3</f>
        <v>1</v>
      </c>
      <c r="H92" s="72">
        <f>'Region office'!H3</f>
        <v>2</v>
      </c>
      <c r="I92" s="72">
        <f>'Region office'!I3</f>
        <v>4</v>
      </c>
      <c r="J92" s="72">
        <f>'Region office'!J3</f>
        <v>8</v>
      </c>
      <c r="K92" s="72">
        <f>'Region office'!K3</f>
        <v>13</v>
      </c>
      <c r="L92" s="72">
        <f>'Region office'!L3</f>
        <v>21</v>
      </c>
      <c r="M92" s="72">
        <f>'Region office'!M3</f>
        <v>34</v>
      </c>
      <c r="N92" s="72">
        <f>'Region office'!N3</f>
        <v>55</v>
      </c>
      <c r="O92" s="72">
        <f>'Region office'!O3</f>
        <v>89</v>
      </c>
    </row>
    <row r="93" ht="12.75" customHeight="1"/>
    <row r="94" ht="12.75" customHeight="1">
      <c r="C94" s="67" t="s">
        <v>1140</v>
      </c>
    </row>
    <row r="95" ht="12.75" customHeight="1">
      <c r="C95" s="483"/>
      <c r="D95" s="327">
        <v>2010.0</v>
      </c>
      <c r="E95" s="327">
        <v>2012.0</v>
      </c>
      <c r="F95" s="327">
        <f t="shared" ref="F95:W95" si="13">E95+1</f>
        <v>2013</v>
      </c>
      <c r="G95" s="327">
        <f t="shared" si="13"/>
        <v>2014</v>
      </c>
      <c r="H95" s="327">
        <f t="shared" si="13"/>
        <v>2015</v>
      </c>
      <c r="I95" s="327">
        <f t="shared" si="13"/>
        <v>2016</v>
      </c>
      <c r="J95" s="327">
        <f t="shared" si="13"/>
        <v>2017</v>
      </c>
      <c r="K95" s="327">
        <f t="shared" si="13"/>
        <v>2018</v>
      </c>
      <c r="L95" s="327">
        <f t="shared" si="13"/>
        <v>2019</v>
      </c>
      <c r="M95" s="327">
        <f t="shared" si="13"/>
        <v>2020</v>
      </c>
      <c r="N95" s="327">
        <f t="shared" si="13"/>
        <v>2021</v>
      </c>
      <c r="O95" s="327">
        <f t="shared" si="13"/>
        <v>2022</v>
      </c>
      <c r="P95" s="327">
        <f t="shared" si="13"/>
        <v>2023</v>
      </c>
      <c r="Q95" s="327">
        <f t="shared" si="13"/>
        <v>2024</v>
      </c>
      <c r="R95" s="327">
        <f t="shared" si="13"/>
        <v>2025</v>
      </c>
      <c r="S95" s="327">
        <f t="shared" si="13"/>
        <v>2026</v>
      </c>
      <c r="T95" s="327">
        <f t="shared" si="13"/>
        <v>2027</v>
      </c>
      <c r="U95" s="327">
        <f t="shared" si="13"/>
        <v>2028</v>
      </c>
      <c r="V95" s="327">
        <f t="shared" si="13"/>
        <v>2029</v>
      </c>
      <c r="W95" s="327">
        <f t="shared" si="13"/>
        <v>2030</v>
      </c>
    </row>
    <row r="96" ht="12.75" customHeight="1">
      <c r="C96" s="68" t="s">
        <v>12</v>
      </c>
      <c r="D96" s="72">
        <v>0.0</v>
      </c>
      <c r="E96" s="72">
        <f t="shared" ref="E96:W96" si="14">E97-D97</f>
        <v>0</v>
      </c>
      <c r="F96" s="72">
        <f t="shared" si="14"/>
        <v>0</v>
      </c>
      <c r="G96" s="72">
        <f t="shared" si="14"/>
        <v>1</v>
      </c>
      <c r="H96" s="72">
        <f t="shared" si="14"/>
        <v>0</v>
      </c>
      <c r="I96" s="72">
        <f t="shared" si="14"/>
        <v>2</v>
      </c>
      <c r="J96" s="72">
        <f t="shared" si="14"/>
        <v>3</v>
      </c>
      <c r="K96" s="72">
        <f t="shared" si="14"/>
        <v>5</v>
      </c>
      <c r="L96" s="72">
        <f t="shared" si="14"/>
        <v>8</v>
      </c>
      <c r="M96" s="72">
        <f t="shared" si="14"/>
        <v>13</v>
      </c>
      <c r="N96" s="72">
        <f t="shared" si="14"/>
        <v>17</v>
      </c>
      <c r="O96" s="72">
        <f t="shared" si="14"/>
        <v>0</v>
      </c>
      <c r="P96" s="72">
        <f t="shared" si="14"/>
        <v>0</v>
      </c>
      <c r="Q96" s="72">
        <f t="shared" si="14"/>
        <v>0</v>
      </c>
      <c r="R96" s="72">
        <f t="shared" si="14"/>
        <v>0</v>
      </c>
      <c r="S96" s="72">
        <f t="shared" si="14"/>
        <v>0</v>
      </c>
      <c r="T96" s="72">
        <f t="shared" si="14"/>
        <v>0</v>
      </c>
      <c r="U96" s="72">
        <f t="shared" si="14"/>
        <v>0</v>
      </c>
      <c r="V96" s="72">
        <f t="shared" si="14"/>
        <v>0</v>
      </c>
      <c r="W96" s="72">
        <f t="shared" si="14"/>
        <v>0</v>
      </c>
    </row>
    <row r="97" ht="12.75" customHeight="1">
      <c r="C97" s="68" t="s">
        <v>13</v>
      </c>
      <c r="D97" s="72">
        <f>'RSED National'!M8</f>
        <v>1</v>
      </c>
      <c r="E97" s="72">
        <f>'RSED National'!N8</f>
        <v>1</v>
      </c>
      <c r="F97" s="72">
        <f>'RSED National'!O8</f>
        <v>1</v>
      </c>
      <c r="G97" s="72">
        <f>'RSED National'!P8</f>
        <v>2</v>
      </c>
      <c r="H97" s="72">
        <f>'RSED National'!Q8</f>
        <v>2</v>
      </c>
      <c r="I97" s="72">
        <f>'RSED National'!R8</f>
        <v>4</v>
      </c>
      <c r="J97" s="72">
        <f>'RSED National'!S8</f>
        <v>7</v>
      </c>
      <c r="K97" s="72">
        <f>'RSED National'!T8</f>
        <v>12</v>
      </c>
      <c r="L97" s="72">
        <f>'RSED National'!U8</f>
        <v>20</v>
      </c>
      <c r="M97" s="72">
        <f>'RSED National'!V8</f>
        <v>33</v>
      </c>
      <c r="N97" s="72">
        <f>'RSED National'!W8</f>
        <v>50</v>
      </c>
      <c r="O97" s="72">
        <f>'RSED National'!X8</f>
        <v>50</v>
      </c>
      <c r="P97" s="72">
        <f>'RSED National'!Y8</f>
        <v>50</v>
      </c>
      <c r="Q97" s="72">
        <f>'RSED National'!Z8</f>
        <v>50</v>
      </c>
      <c r="R97" s="72">
        <f>'RSED National'!AA8</f>
        <v>50</v>
      </c>
      <c r="S97" s="72">
        <f>'RSED National'!AB8</f>
        <v>50</v>
      </c>
      <c r="T97" s="72">
        <f>'RSED National'!AC8</f>
        <v>50</v>
      </c>
      <c r="U97" s="72">
        <f>'RSED National'!AD8</f>
        <v>50</v>
      </c>
      <c r="V97" s="72">
        <f>'RSED National'!AE8</f>
        <v>50</v>
      </c>
      <c r="W97" s="72">
        <f>'RSED National'!AF8</f>
        <v>50</v>
      </c>
    </row>
    <row r="98" ht="12.75" customHeight="1"/>
    <row r="99" ht="12.75" customHeight="1">
      <c r="C99" s="67" t="s">
        <v>1066</v>
      </c>
    </row>
    <row r="100" ht="12.75" customHeight="1">
      <c r="C100" s="66" t="str">
        <f>'[4]'!D8</f>
        <v>#REF!</v>
      </c>
      <c r="D100" s="113" t="str">
        <f>ROUND(SUM('[4]'!F8:J8),-3)</f>
        <v>#REF!</v>
      </c>
    </row>
    <row r="101" ht="12.75" customHeight="1">
      <c r="C101" s="66" t="str">
        <f>'[4]'!D7</f>
        <v>#REF!</v>
      </c>
      <c r="D101" s="113" t="str">
        <f>ROUND(SUM('[4]'!F7:J7),-3)</f>
        <v>#REF!</v>
      </c>
    </row>
    <row r="102" ht="12.75" customHeight="1">
      <c r="C102" s="66" t="str">
        <f>'[4]'!D6</f>
        <v>#REF!</v>
      </c>
      <c r="D102" s="113" t="str">
        <f>ROUND(SUM('[4]'!F6:J6),-3)</f>
        <v>#REF!</v>
      </c>
    </row>
    <row r="103" ht="12.75" customHeight="1">
      <c r="C103" s="66" t="str">
        <f>'[4]'!D5</f>
        <v>#REF!</v>
      </c>
      <c r="D103" s="113" t="str">
        <f>ROUND(SUM('[4]'!F5:J5),-3)</f>
        <v>#REF!</v>
      </c>
    </row>
    <row r="104" ht="12.75" customHeight="1">
      <c r="C104" s="66"/>
      <c r="D104" s="113"/>
    </row>
    <row r="105" ht="12.75" customHeight="1">
      <c r="C105" s="477" t="s">
        <v>1141</v>
      </c>
    </row>
    <row r="106" ht="12.75" customHeight="1">
      <c r="C106" s="66"/>
      <c r="D106" s="113"/>
    </row>
    <row r="107" ht="12.75" customHeight="1">
      <c r="C107" s="484" t="s">
        <v>1142</v>
      </c>
      <c r="D107" s="485"/>
      <c r="E107" s="327" t="s">
        <v>286</v>
      </c>
      <c r="F107" s="327" t="s">
        <v>287</v>
      </c>
      <c r="G107" s="327" t="s">
        <v>288</v>
      </c>
      <c r="H107" s="327" t="s">
        <v>289</v>
      </c>
      <c r="I107" s="327" t="s">
        <v>1143</v>
      </c>
    </row>
    <row r="108" ht="12.75" customHeight="1">
      <c r="C108" s="66" t="s">
        <v>1144</v>
      </c>
      <c r="D108" s="113"/>
      <c r="E108" s="152">
        <f>Assumptions!D63+Assumptions!D65</f>
        <v>0.25</v>
      </c>
      <c r="F108" s="152">
        <f>Assumptions!E63+Assumptions!E65</f>
        <v>0.15</v>
      </c>
      <c r="G108" s="152">
        <f>Assumptions!F63+Assumptions!F65</f>
        <v>0.15</v>
      </c>
      <c r="H108" s="152">
        <f>Assumptions!G63+Assumptions!G65</f>
        <v>0.15</v>
      </c>
      <c r="I108" s="152">
        <f>Assumptions!H63+Assumptions!H65</f>
        <v>0.15</v>
      </c>
    </row>
    <row r="109" ht="12.75" customHeight="1">
      <c r="C109" s="66" t="s">
        <v>1145</v>
      </c>
      <c r="D109" s="113"/>
      <c r="E109" s="152">
        <f>Assumptions!D64</f>
        <v>0</v>
      </c>
      <c r="F109" s="152">
        <f>Assumptions!E64</f>
        <v>0</v>
      </c>
      <c r="G109" s="152">
        <f>Assumptions!F64</f>
        <v>0.2</v>
      </c>
      <c r="H109" s="152">
        <f>Assumptions!G64</f>
        <v>0.2</v>
      </c>
      <c r="I109" s="152">
        <f>Assumptions!H64</f>
        <v>0.2</v>
      </c>
    </row>
    <row r="110" ht="12.75" customHeight="1"/>
    <row r="111" ht="12.75" customHeight="1">
      <c r="C111" s="484" t="s">
        <v>1146</v>
      </c>
      <c r="D111" s="485"/>
      <c r="E111" s="327" t="s">
        <v>286</v>
      </c>
      <c r="F111" s="327" t="s">
        <v>287</v>
      </c>
      <c r="G111" s="327" t="s">
        <v>288</v>
      </c>
      <c r="H111" s="327" t="s">
        <v>289</v>
      </c>
      <c r="I111" s="327" t="s">
        <v>1143</v>
      </c>
    </row>
    <row r="112" ht="12.75" customHeight="1">
      <c r="C112" s="66" t="s">
        <v>1144</v>
      </c>
      <c r="D112" s="113"/>
      <c r="E112" s="152">
        <f>Assumptions!D68+Assumptions!D70</f>
        <v>0.25</v>
      </c>
      <c r="F112" s="152">
        <f>Assumptions!E68+Assumptions!E70</f>
        <v>0.15</v>
      </c>
      <c r="G112" s="152">
        <f>Assumptions!F68+Assumptions!F70</f>
        <v>0.15</v>
      </c>
      <c r="H112" s="152">
        <f>Assumptions!G68+Assumptions!G70</f>
        <v>0.15</v>
      </c>
      <c r="I112" s="152">
        <f>Assumptions!H68+Assumptions!H70</f>
        <v>0.15</v>
      </c>
    </row>
    <row r="113" ht="12.75" customHeight="1">
      <c r="C113" s="66" t="s">
        <v>1145</v>
      </c>
      <c r="D113" s="113"/>
      <c r="E113" s="152">
        <f>Assumptions!D69</f>
        <v>0</v>
      </c>
      <c r="F113" s="152">
        <f>Assumptions!E69</f>
        <v>0</v>
      </c>
      <c r="G113" s="152">
        <f>Assumptions!F69</f>
        <v>0.2</v>
      </c>
      <c r="H113" s="152">
        <f>Assumptions!G69</f>
        <v>0.2</v>
      </c>
      <c r="I113" s="152">
        <f>Assumptions!H69</f>
        <v>0.2</v>
      </c>
    </row>
    <row r="114" ht="12.75" customHeight="1"/>
    <row r="115" ht="12.75" customHeight="1"/>
    <row r="116" ht="12.75" customHeight="1">
      <c r="C116" s="67" t="s">
        <v>125</v>
      </c>
      <c r="E116" s="67">
        <v>1.0</v>
      </c>
      <c r="F116" s="67">
        <f t="shared" ref="F116:V116" si="15">E116+1</f>
        <v>2</v>
      </c>
      <c r="G116" s="67">
        <f t="shared" si="15"/>
        <v>3</v>
      </c>
      <c r="H116" s="67">
        <f t="shared" si="15"/>
        <v>4</v>
      </c>
      <c r="I116" s="67">
        <f t="shared" si="15"/>
        <v>5</v>
      </c>
      <c r="J116" s="67">
        <f t="shared" si="15"/>
        <v>6</v>
      </c>
      <c r="K116" s="67">
        <f t="shared" si="15"/>
        <v>7</v>
      </c>
      <c r="L116" s="67">
        <f t="shared" si="15"/>
        <v>8</v>
      </c>
      <c r="M116" s="67">
        <f t="shared" si="15"/>
        <v>9</v>
      </c>
      <c r="N116" s="67">
        <f t="shared" si="15"/>
        <v>10</v>
      </c>
      <c r="O116" s="67">
        <f t="shared" si="15"/>
        <v>11</v>
      </c>
      <c r="P116" s="67">
        <f t="shared" si="15"/>
        <v>12</v>
      </c>
      <c r="Q116" s="67">
        <f t="shared" si="15"/>
        <v>13</v>
      </c>
      <c r="R116" s="67">
        <f t="shared" si="15"/>
        <v>14</v>
      </c>
      <c r="S116" s="67">
        <f t="shared" si="15"/>
        <v>15</v>
      </c>
      <c r="T116" s="67">
        <f t="shared" si="15"/>
        <v>16</v>
      </c>
      <c r="U116" s="67">
        <f t="shared" si="15"/>
        <v>17</v>
      </c>
      <c r="V116" s="67">
        <f t="shared" si="15"/>
        <v>18</v>
      </c>
    </row>
    <row r="117" ht="12.75" customHeight="1">
      <c r="C117" s="68" t="s">
        <v>178</v>
      </c>
      <c r="E117" s="152">
        <f>'Region office'!F14/'Region office'!F36</f>
        <v>0.199576886</v>
      </c>
      <c r="F117" s="152">
        <f>'Region office'!G14/'Region office'!G36</f>
        <v>0.180863144</v>
      </c>
      <c r="G117" s="152">
        <f>'Region office'!H14/'Region office'!H36</f>
        <v>0.09096287815</v>
      </c>
      <c r="H117" s="152">
        <f>'Region office'!I14/'Region office'!I36</f>
        <v>0.06407531486</v>
      </c>
      <c r="I117" s="152">
        <f>'Region office'!J14/'Region office'!J36</f>
        <v>0.03321365827</v>
      </c>
      <c r="J117" s="178">
        <f>'Region office'!K14/'Region office'!K36</f>
        <v>0.0330399793</v>
      </c>
      <c r="K117" s="178">
        <f>'Region office'!L14/'Region office'!L36</f>
        <v>0.03223791468</v>
      </c>
      <c r="L117" s="178">
        <f>'Region office'!M14/'Region office'!M36</f>
        <v>0.02994573361</v>
      </c>
      <c r="M117" s="178">
        <f>'Region office'!N14/'Region office'!N36</f>
        <v>0.02710809732</v>
      </c>
      <c r="N117" s="178">
        <f>'Region office'!O14/'Region office'!O36</f>
        <v>0.02733916806</v>
      </c>
      <c r="O117" s="178">
        <f>'Region office'!P14/'Region office'!P36</f>
        <v>0.0255961799</v>
      </c>
      <c r="P117" s="178">
        <f>'Region office'!Q14/'Region office'!Q36</f>
        <v>0.02489307877</v>
      </c>
      <c r="Q117" s="178">
        <f>'Region office'!R14/'Region office'!R36</f>
        <v>0.02479105847</v>
      </c>
      <c r="R117" s="178">
        <f>'Region office'!S14/'Region office'!S36</f>
        <v>0.0248232459</v>
      </c>
      <c r="S117" s="178">
        <f>'Region office'!T14/'Region office'!T36</f>
        <v>0.02486273287</v>
      </c>
      <c r="T117" s="178">
        <f>'Region office'!U14/'Region office'!U36</f>
        <v>0.02489478518</v>
      </c>
      <c r="U117" s="178">
        <f>'Region office'!V14/'Region office'!V36</f>
        <v>0.02491651385</v>
      </c>
      <c r="V117" s="178">
        <f>'Region office'!W14/'Region office'!W36</f>
        <v>0.02492183107</v>
      </c>
    </row>
    <row r="118" ht="12.75" customHeight="1">
      <c r="C118" s="68" t="s">
        <v>1112</v>
      </c>
      <c r="E118" s="178">
        <v>0.03</v>
      </c>
      <c r="F118" s="178">
        <v>0.03</v>
      </c>
      <c r="G118" s="178">
        <v>0.03</v>
      </c>
      <c r="H118" s="178">
        <f>MAX(0.03,'Region office'!I7/'Region office'!I36)</f>
        <v>0.03477078113</v>
      </c>
      <c r="I118" s="178">
        <f>MAX(0.03,'Region office'!J7/'Region office'!J36)</f>
        <v>0.03605216651</v>
      </c>
      <c r="J118" s="178">
        <f>MAX(0.03,'Region office'!K7/'Region office'!K36)</f>
        <v>0.03574766498</v>
      </c>
      <c r="K118" s="178">
        <f>MAX(0.03,'Region office'!L7/'Region office'!L36)</f>
        <v>0.03539695465</v>
      </c>
      <c r="L118" s="178">
        <f>MAX(0.03,'Region office'!M7/'Region office'!M36)</f>
        <v>0.03498020179</v>
      </c>
      <c r="M118" s="178">
        <f>MAX(0.03,'Region office'!N7/'Region office'!N36)</f>
        <v>0.03497039033</v>
      </c>
      <c r="N118" s="178">
        <f>MAX(0.03,'Region office'!O7/'Region office'!O36)</f>
        <v>0.03512102685</v>
      </c>
      <c r="O118" s="178">
        <f>MAX(0.03,'Region office'!P7/'Region office'!P36)</f>
        <v>0.03408936744</v>
      </c>
      <c r="P118" s="178">
        <f>MAX(0.03,'Region office'!Q7/'Region office'!Q36)</f>
        <v>0.03209191616</v>
      </c>
      <c r="Q118" s="178">
        <f>MAX(0.03,'Region office'!R7/'Region office'!R36)</f>
        <v>0.03</v>
      </c>
      <c r="R118" s="178">
        <f>MAX(0.03,'Region office'!S7/'Region office'!S36)</f>
        <v>0.03</v>
      </c>
      <c r="S118" s="178">
        <f>MAX(0.03,'Region office'!T7/'Region office'!T36)</f>
        <v>0.03</v>
      </c>
      <c r="T118" s="178">
        <f>MAX(0.03,'Region office'!U7/'Region office'!U36)</f>
        <v>0.03</v>
      </c>
      <c r="U118" s="178">
        <f>MAX(0.03,'Region office'!V7/'Region office'!V36)</f>
        <v>0.03</v>
      </c>
      <c r="V118" s="178">
        <f>MAX(0.03,'Region office'!W7/'Region office'!W36)</f>
        <v>0.03</v>
      </c>
    </row>
    <row r="119" ht="12.75" customHeight="1"/>
    <row r="120" ht="12.75" customHeight="1"/>
    <row r="121" ht="12.75" customHeight="1">
      <c r="C121" s="477" t="s">
        <v>1147</v>
      </c>
    </row>
    <row r="122" ht="12.75" customHeight="1">
      <c r="C122" s="66"/>
      <c r="D122" s="113"/>
    </row>
    <row r="123" ht="12.75" customHeight="1">
      <c r="C123" s="484"/>
      <c r="D123" s="485"/>
      <c r="E123" s="327" t="s">
        <v>218</v>
      </c>
      <c r="F123" s="327" t="s">
        <v>17</v>
      </c>
      <c r="G123" s="327" t="s">
        <v>1087</v>
      </c>
      <c r="H123" s="327" t="s">
        <v>1088</v>
      </c>
      <c r="I123" s="327" t="s">
        <v>1148</v>
      </c>
    </row>
    <row r="124" ht="12.75" customHeight="1">
      <c r="C124" s="66" t="s">
        <v>48</v>
      </c>
      <c r="D124" s="113"/>
      <c r="E124" s="196">
        <v>1.0</v>
      </c>
      <c r="F124" s="196">
        <f>'Generic Region'!J3</f>
        <v>8</v>
      </c>
      <c r="G124" s="196">
        <f>'Region office'!K3</f>
        <v>13</v>
      </c>
      <c r="H124" s="196">
        <v>7.0</v>
      </c>
      <c r="I124" s="196">
        <f>Summary!P4</f>
        <v>90</v>
      </c>
    </row>
    <row r="125" ht="12.75" customHeight="1"/>
    <row r="126" ht="12.75" customHeight="1">
      <c r="C126" s="477" t="s">
        <v>1149</v>
      </c>
    </row>
    <row r="127" ht="12.75" customHeight="1">
      <c r="D127" s="486"/>
      <c r="E127" s="477">
        <v>2011.0</v>
      </c>
      <c r="F127" s="477">
        <v>2012.0</v>
      </c>
      <c r="G127" s="477">
        <f t="shared" ref="G127:S127" si="16">F127+1</f>
        <v>2013</v>
      </c>
      <c r="H127" s="477">
        <f t="shared" si="16"/>
        <v>2014</v>
      </c>
      <c r="I127" s="477">
        <f t="shared" si="16"/>
        <v>2015</v>
      </c>
      <c r="J127" s="477">
        <f t="shared" si="16"/>
        <v>2016</v>
      </c>
      <c r="K127" s="477">
        <f t="shared" si="16"/>
        <v>2017</v>
      </c>
      <c r="L127" s="477">
        <f t="shared" si="16"/>
        <v>2018</v>
      </c>
      <c r="M127" s="477">
        <f t="shared" si="16"/>
        <v>2019</v>
      </c>
      <c r="N127" s="477">
        <f t="shared" si="16"/>
        <v>2020</v>
      </c>
      <c r="O127" s="477">
        <f t="shared" si="16"/>
        <v>2021</v>
      </c>
      <c r="P127" s="477">
        <f t="shared" si="16"/>
        <v>2022</v>
      </c>
      <c r="Q127" s="477">
        <f t="shared" si="16"/>
        <v>2023</v>
      </c>
      <c r="R127" s="477">
        <f t="shared" si="16"/>
        <v>2024</v>
      </c>
      <c r="S127" s="477">
        <f t="shared" si="16"/>
        <v>2025</v>
      </c>
    </row>
    <row r="128" ht="12.75" customHeight="1">
      <c r="D128" s="265" t="s">
        <v>1150</v>
      </c>
      <c r="E128" s="152" t="str">
        <f t="shared" ref="E128:S128" si="17">E133/E132</f>
        <v>#REF!</v>
      </c>
      <c r="F128" s="152" t="str">
        <f t="shared" si="17"/>
        <v>#REF!</v>
      </c>
      <c r="G128" s="152" t="str">
        <f t="shared" si="17"/>
        <v>#REF!</v>
      </c>
      <c r="H128" s="152" t="str">
        <f t="shared" si="17"/>
        <v>#REF!</v>
      </c>
      <c r="I128" s="152" t="str">
        <f t="shared" si="17"/>
        <v>#REF!</v>
      </c>
      <c r="J128" s="152" t="str">
        <f t="shared" si="17"/>
        <v>#REF!</v>
      </c>
      <c r="K128" s="152" t="str">
        <f t="shared" si="17"/>
        <v>#REF!</v>
      </c>
      <c r="L128" s="152" t="str">
        <f t="shared" si="17"/>
        <v>#REF!</v>
      </c>
      <c r="M128" s="152" t="str">
        <f t="shared" si="17"/>
        <v>#REF!</v>
      </c>
      <c r="N128" s="152" t="str">
        <f t="shared" si="17"/>
        <v>#REF!</v>
      </c>
      <c r="O128" s="152" t="str">
        <f t="shared" si="17"/>
        <v>#REF!</v>
      </c>
      <c r="P128" s="152" t="str">
        <f t="shared" si="17"/>
        <v>#REF!</v>
      </c>
      <c r="Q128" s="152" t="str">
        <f t="shared" si="17"/>
        <v>#REF!</v>
      </c>
      <c r="R128" s="152" t="str">
        <f t="shared" si="17"/>
        <v>#REF!</v>
      </c>
      <c r="S128" s="152" t="str">
        <f t="shared" si="17"/>
        <v>#REF!</v>
      </c>
    </row>
    <row r="129" ht="12.75" customHeight="1">
      <c r="D129" s="265" t="s">
        <v>1151</v>
      </c>
      <c r="E129" s="152" t="str">
        <f t="shared" ref="E129:S129" si="18">E134/E132</f>
        <v>#REF!</v>
      </c>
      <c r="F129" s="152" t="str">
        <f t="shared" si="18"/>
        <v>#REF!</v>
      </c>
      <c r="G129" s="152" t="str">
        <f t="shared" si="18"/>
        <v>#REF!</v>
      </c>
      <c r="H129" s="152" t="str">
        <f t="shared" si="18"/>
        <v>#REF!</v>
      </c>
      <c r="I129" s="152" t="str">
        <f t="shared" si="18"/>
        <v>#REF!</v>
      </c>
      <c r="J129" s="152" t="str">
        <f t="shared" si="18"/>
        <v>#REF!</v>
      </c>
      <c r="K129" s="152" t="str">
        <f t="shared" si="18"/>
        <v>#REF!</v>
      </c>
      <c r="L129" s="152" t="str">
        <f t="shared" si="18"/>
        <v>#REF!</v>
      </c>
      <c r="M129" s="152" t="str">
        <f t="shared" si="18"/>
        <v>#REF!</v>
      </c>
      <c r="N129" s="152" t="str">
        <f t="shared" si="18"/>
        <v>#REF!</v>
      </c>
      <c r="O129" s="152" t="str">
        <f t="shared" si="18"/>
        <v>#REF!</v>
      </c>
      <c r="P129" s="152" t="str">
        <f t="shared" si="18"/>
        <v>#REF!</v>
      </c>
      <c r="Q129" s="152" t="str">
        <f t="shared" si="18"/>
        <v>#REF!</v>
      </c>
      <c r="R129" s="152" t="str">
        <f t="shared" si="18"/>
        <v>#REF!</v>
      </c>
      <c r="S129" s="152" t="str">
        <f t="shared" si="18"/>
        <v>#REF!</v>
      </c>
    </row>
    <row r="130" ht="12.75" customHeight="1"/>
    <row r="131" ht="12.75" customHeight="1" outlineLevel="1">
      <c r="D131" s="265" t="s">
        <v>1152</v>
      </c>
      <c r="E131" s="152">
        <f>'All Schools Roll-up'!L107</f>
        <v>1</v>
      </c>
      <c r="F131" s="152">
        <f>'All Schools Roll-up'!M107</f>
        <v>1</v>
      </c>
      <c r="G131" s="152">
        <f>'All Schools Roll-up'!N107</f>
        <v>1.01</v>
      </c>
      <c r="H131" s="152">
        <f>'All Schools Roll-up'!O107</f>
        <v>1.0302</v>
      </c>
      <c r="I131" s="152">
        <f>'All Schools Roll-up'!P107</f>
        <v>1.050804</v>
      </c>
      <c r="J131" s="152">
        <f>'All Schools Roll-up'!Q107</f>
        <v>1.07182008</v>
      </c>
      <c r="K131" s="152">
        <f>'All Schools Roll-up'!R107</f>
        <v>1.093256482</v>
      </c>
      <c r="L131" s="152">
        <f>'All Schools Roll-up'!S107</f>
        <v>1.1262</v>
      </c>
      <c r="M131" s="152">
        <f>'All Schools Roll-up'!T107</f>
        <v>1.148724</v>
      </c>
      <c r="N131" s="152">
        <f>'All Schools Roll-up'!U107</f>
        <v>1.17169848</v>
      </c>
      <c r="O131" s="152">
        <f>'All Schools Roll-up'!V107</f>
        <v>1.19513245</v>
      </c>
      <c r="P131" s="152">
        <f>'All Schools Roll-up'!W107</f>
        <v>1.219035099</v>
      </c>
      <c r="Q131" s="152">
        <f>'All Schools Roll-up'!X107</f>
        <v>1.243415801</v>
      </c>
      <c r="R131" s="152">
        <f>'All Schools Roll-up'!Y107</f>
        <v>1.268284117</v>
      </c>
      <c r="S131" s="487">
        <f>'All Schools Roll-up'!Z107</f>
        <v>1.293649799</v>
      </c>
    </row>
    <row r="132" ht="12.75" customHeight="1">
      <c r="D132" s="265" t="s">
        <v>1153</v>
      </c>
      <c r="E132" s="99">
        <f>SUM('All Schools Roll-up'!M25:M27)/('All Schools Roll-up'!M18)</f>
        <v>7639.678195</v>
      </c>
      <c r="F132" s="99">
        <f>SUM('All Schools Roll-up'!N25:N27)/('All Schools Roll-up'!N18)</f>
        <v>7684.877439</v>
      </c>
      <c r="G132" s="99">
        <f>SUM('All Schools Roll-up'!O25:O27)/('All Schools Roll-up'!O18)</f>
        <v>7784.28972</v>
      </c>
      <c r="H132" s="99">
        <f>SUM('All Schools Roll-up'!P25:P27)/('All Schools Roll-up'!P18)</f>
        <v>7903.786885</v>
      </c>
      <c r="I132" s="99">
        <f>SUM('All Schools Roll-up'!Q25:Q27)/('All Schools Roll-up'!Q18)</f>
        <v>8045.694885</v>
      </c>
      <c r="J132" s="99">
        <f>SUM('All Schools Roll-up'!R25:R27)/('All Schools Roll-up'!R18)</f>
        <v>8209.768478</v>
      </c>
      <c r="K132" s="99">
        <f>SUM('All Schools Roll-up'!S25:S27)/('All Schools Roll-up'!S18)</f>
        <v>8422.049482</v>
      </c>
      <c r="L132" s="99">
        <f>SUM('All Schools Roll-up'!T25:T27)/('All Schools Roll-up'!T18)</f>
        <v>8524.027462</v>
      </c>
      <c r="M132" s="99">
        <f>SUM('All Schools Roll-up'!U25:U27)/('All Schools Roll-up'!U18)</f>
        <v>8574.341029</v>
      </c>
      <c r="N132" s="99">
        <f>SUM('All Schools Roll-up'!V25:V27)/('All Schools Roll-up'!V18)</f>
        <v>8699.025269</v>
      </c>
      <c r="O132" s="99">
        <f>SUM('All Schools Roll-up'!W25:W27)/('All Schools Roll-up'!W18)</f>
        <v>8840.963951</v>
      </c>
      <c r="P132" s="99">
        <f>SUM('All Schools Roll-up'!X25:X27)/('All Schools Roll-up'!X18)</f>
        <v>9064.577116</v>
      </c>
      <c r="Q132" s="99">
        <f>SUM('All Schools Roll-up'!Y25:Y27)/('All Schools Roll-up'!Y18)</f>
        <v>9265.271162</v>
      </c>
      <c r="R132" s="99">
        <f>SUM('All Schools Roll-up'!Z25:Z27)/('All Schools Roll-up'!Z18)</f>
        <v>9430.367818</v>
      </c>
      <c r="S132" s="99">
        <f>SUM('All Schools Roll-up'!AA25:AA27)/('All Schools Roll-up'!AA18)</f>
        <v>9561.700468</v>
      </c>
      <c r="T132" s="99"/>
    </row>
    <row r="133" ht="12.75" customHeight="1">
      <c r="D133" s="265" t="s">
        <v>1150</v>
      </c>
      <c r="E133" s="99" t="str">
        <f>(Summary!I80-Summary!I76)/(Summary!I7)</f>
        <v>#REF!</v>
      </c>
      <c r="F133" s="99" t="str">
        <f>(Summary!J80-Summary!J76)/(Summary!J7)</f>
        <v>#REF!</v>
      </c>
      <c r="G133" s="99" t="str">
        <f>(Summary!K80-Summary!K76)/(Summary!K7)</f>
        <v>#REF!</v>
      </c>
      <c r="H133" s="99" t="str">
        <f>(Summary!L80-Summary!L76)/(Summary!L7)</f>
        <v>#REF!</v>
      </c>
      <c r="I133" s="99" t="str">
        <f>(Summary!M80-Summary!M76)/(Summary!M7)</f>
        <v>#REF!</v>
      </c>
      <c r="J133" s="99" t="str">
        <f>(Summary!N80-Summary!N76)/(Summary!N7)</f>
        <v>#REF!</v>
      </c>
      <c r="K133" s="99" t="str">
        <f>(Summary!O80-Summary!O76)/(Summary!O7)</f>
        <v>#REF!</v>
      </c>
      <c r="L133" s="99" t="str">
        <f>(Summary!P80-Summary!P76)/(Summary!P7)</f>
        <v>#REF!</v>
      </c>
      <c r="M133" s="99" t="str">
        <f>(Summary!Q80-Summary!Q76)/(Summary!Q7)</f>
        <v>#REF!</v>
      </c>
      <c r="N133" s="99" t="str">
        <f>(Summary!R80-Summary!R76)/(Summary!R7)</f>
        <v>#REF!</v>
      </c>
      <c r="O133" s="99" t="str">
        <f>(Summary!S80-Summary!S76)/(Summary!S7)</f>
        <v>#REF!</v>
      </c>
      <c r="P133" s="99" t="str">
        <f>(Summary!T80-Summary!T76)/(Summary!T7)</f>
        <v>#REF!</v>
      </c>
      <c r="Q133" s="99" t="str">
        <f>(Summary!U80-Summary!U76)/(Summary!U7)</f>
        <v>#REF!</v>
      </c>
      <c r="R133" s="99" t="str">
        <f>(Summary!V80-Summary!V76)/(Summary!V7)</f>
        <v>#REF!</v>
      </c>
      <c r="S133" s="99" t="str">
        <f>(Summary!W80-Summary!W76)/(Summary!W7)</f>
        <v>#REF!</v>
      </c>
    </row>
    <row r="134" ht="12.75" customHeight="1">
      <c r="D134" s="265" t="s">
        <v>1151</v>
      </c>
      <c r="E134" s="99" t="str">
        <f>(Summary!I94+Summary!I105)/Summary!I7</f>
        <v>#REF!</v>
      </c>
      <c r="F134" s="99" t="str">
        <f>(Summary!J94+Summary!J105)/Summary!J7</f>
        <v>#REF!</v>
      </c>
      <c r="G134" s="99" t="str">
        <f>(Summary!K94+Summary!K105)/Summary!K7</f>
        <v>#REF!</v>
      </c>
      <c r="H134" s="99" t="str">
        <f>(Summary!L94+Summary!L105)/Summary!L7</f>
        <v>#REF!</v>
      </c>
      <c r="I134" s="99" t="str">
        <f>(Summary!M94+Summary!M105)/Summary!M7</f>
        <v>#REF!</v>
      </c>
      <c r="J134" s="99" t="str">
        <f>(Summary!N94+Summary!N105)/Summary!N7</f>
        <v>#REF!</v>
      </c>
      <c r="K134" s="99" t="str">
        <f>(Summary!O94+Summary!O105)/Summary!O7</f>
        <v>#REF!</v>
      </c>
      <c r="L134" s="99" t="str">
        <f>(Summary!P94+Summary!P105)/Summary!P7</f>
        <v>#REF!</v>
      </c>
      <c r="M134" s="99" t="str">
        <f>(Summary!Q94+Summary!Q105)/Summary!Q7</f>
        <v>#REF!</v>
      </c>
      <c r="N134" s="99" t="str">
        <f>(Summary!R94+Summary!R105)/Summary!R7</f>
        <v>#REF!</v>
      </c>
      <c r="O134" s="99" t="str">
        <f>(Summary!S94+Summary!S105)/Summary!S7</f>
        <v>#REF!</v>
      </c>
      <c r="P134" s="99" t="str">
        <f>(Summary!T94+Summary!T105)/Summary!T7</f>
        <v>#REF!</v>
      </c>
      <c r="Q134" s="99" t="str">
        <f>(Summary!U94+Summary!U105)/Summary!U7</f>
        <v>#REF!</v>
      </c>
      <c r="R134" s="99" t="str">
        <f>(Summary!V94+Summary!V105)/Summary!V7</f>
        <v>#REF!</v>
      </c>
      <c r="S134" s="99" t="str">
        <f>(Summary!W94+Summary!W105)/Summary!W7</f>
        <v>#REF!</v>
      </c>
    </row>
    <row r="135" ht="12.75" customHeight="1"/>
    <row r="136" ht="12.75" customHeight="1"/>
    <row r="137" ht="12.75" customHeight="1"/>
    <row r="138" ht="12.75" customHeight="1"/>
    <row r="139" ht="12.75" customHeight="1">
      <c r="E139" s="63">
        <v>2011.0</v>
      </c>
      <c r="F139" s="63">
        <v>2012.0</v>
      </c>
      <c r="G139" s="63">
        <v>2013.0</v>
      </c>
      <c r="H139" s="63">
        <v>2014.0</v>
      </c>
      <c r="I139" s="63">
        <v>2015.0</v>
      </c>
      <c r="J139" s="63">
        <v>2016.0</v>
      </c>
      <c r="K139" s="63">
        <v>2017.0</v>
      </c>
      <c r="L139" s="63">
        <v>2018.0</v>
      </c>
      <c r="M139" s="63">
        <v>2019.0</v>
      </c>
      <c r="N139" s="63">
        <v>2020.0</v>
      </c>
      <c r="O139" s="63">
        <v>2021.0</v>
      </c>
      <c r="P139" s="63">
        <v>2022.0</v>
      </c>
      <c r="Q139" s="63">
        <v>2023.0</v>
      </c>
      <c r="R139" s="63">
        <v>2024.0</v>
      </c>
      <c r="S139" s="63">
        <v>2025.0</v>
      </c>
    </row>
    <row r="140" ht="12.75" customHeight="1">
      <c r="A140" s="67"/>
      <c r="B140" s="67"/>
      <c r="C140" s="67" t="s">
        <v>48</v>
      </c>
      <c r="D140" s="67"/>
      <c r="E140" s="186">
        <f>'National Staffing'!K4</f>
        <v>3</v>
      </c>
      <c r="F140" s="186">
        <f>'National Staffing'!L4</f>
        <v>5</v>
      </c>
      <c r="G140" s="186">
        <f>'National Staffing'!M4</f>
        <v>8</v>
      </c>
      <c r="H140" s="186">
        <f>'National Staffing'!N4</f>
        <v>13</v>
      </c>
      <c r="I140" s="186">
        <f>'National Staffing'!O4</f>
        <v>21</v>
      </c>
      <c r="J140" s="186">
        <f>'National Staffing'!P4</f>
        <v>34</v>
      </c>
      <c r="K140" s="186">
        <f>'National Staffing'!Q4</f>
        <v>56</v>
      </c>
      <c r="L140" s="186">
        <f>'National Staffing'!R4</f>
        <v>90</v>
      </c>
      <c r="M140" s="186">
        <f>'National Staffing'!S4</f>
        <v>135</v>
      </c>
      <c r="N140" s="186">
        <f>'National Staffing'!T4</f>
        <v>180</v>
      </c>
      <c r="O140" s="186">
        <f>'National Staffing'!U4</f>
        <v>246</v>
      </c>
      <c r="P140" s="186">
        <f>'National Staffing'!V4</f>
        <v>326</v>
      </c>
      <c r="Q140" s="186">
        <f>'National Staffing'!W4</f>
        <v>468</v>
      </c>
      <c r="R140" s="186">
        <f>'National Staffing'!X4</f>
        <v>661</v>
      </c>
      <c r="S140" s="186">
        <f>'National Staffing'!Y4</f>
        <v>903</v>
      </c>
      <c r="T140" s="67"/>
      <c r="U140" s="67"/>
      <c r="V140" s="67"/>
      <c r="W140" s="67"/>
      <c r="X140" s="67"/>
      <c r="Y140" s="67"/>
      <c r="Z140" s="67"/>
    </row>
    <row r="141" ht="12.75" customHeight="1">
      <c r="E141" s="72"/>
      <c r="F141" s="72"/>
      <c r="G141" s="72"/>
      <c r="H141" s="72"/>
      <c r="I141" s="72"/>
      <c r="J141" s="72"/>
      <c r="K141" s="72"/>
      <c r="L141" s="72"/>
      <c r="M141" s="72"/>
      <c r="N141" s="72"/>
      <c r="O141" s="72"/>
      <c r="P141" s="72"/>
      <c r="Q141" s="72"/>
      <c r="R141" s="72"/>
      <c r="S141" s="72"/>
    </row>
    <row r="142" ht="12.75" customHeight="1">
      <c r="C142" s="67" t="s">
        <v>190</v>
      </c>
    </row>
    <row r="143" ht="12.75" customHeight="1">
      <c r="C143" s="64" t="s">
        <v>264</v>
      </c>
      <c r="E143" s="72" t="str">
        <f>SUMIF('National Staffing'!$C$37:$C$74,'Graph Data'!$C143,'National Staffing'!K$37:K$74)</f>
        <v>#REF!</v>
      </c>
      <c r="F143" s="72" t="str">
        <f>SUMIF('National Staffing'!$C$37:$C$74,'Graph Data'!$C143,'National Staffing'!L$37:L$74)</f>
        <v>#REF!</v>
      </c>
      <c r="G143" s="72" t="str">
        <f>SUMIF('National Staffing'!$C$37:$C$74,'Graph Data'!$C143,'National Staffing'!M$37:M$74)</f>
        <v>#REF!</v>
      </c>
      <c r="H143" s="72" t="str">
        <f>SUMIF('National Staffing'!$C$37:$C$74,'Graph Data'!$C143,'National Staffing'!N$37:N$74)</f>
        <v>#REF!</v>
      </c>
      <c r="I143" s="72" t="str">
        <f>SUMIF('National Staffing'!$C$37:$C$74,'Graph Data'!$C143,'National Staffing'!O$37:O$74)</f>
        <v>#REF!</v>
      </c>
      <c r="J143" s="72" t="str">
        <f>SUMIF('National Staffing'!$C$37:$C$74,'Graph Data'!$C143,'National Staffing'!P$37:P$74)</f>
        <v>#REF!</v>
      </c>
      <c r="K143" s="72" t="str">
        <f>SUMIF('National Staffing'!$C$37:$C$74,'Graph Data'!$C143,'National Staffing'!Q$37:Q$74)</f>
        <v>#REF!</v>
      </c>
      <c r="L143" s="72" t="str">
        <f>SUMIF('National Staffing'!$C$37:$C$74,'Graph Data'!$C143,'National Staffing'!R$37:R$74)</f>
        <v>#REF!</v>
      </c>
      <c r="M143" s="72" t="str">
        <f>SUMIF('National Staffing'!$C$37:$C$74,'Graph Data'!$C143,'National Staffing'!S$37:S$74)</f>
        <v>#REF!</v>
      </c>
      <c r="N143" s="72" t="str">
        <f>SUMIF('National Staffing'!$C$37:$C$74,'Graph Data'!$C143,'National Staffing'!T$37:T$74)</f>
        <v>#REF!</v>
      </c>
      <c r="O143" s="72" t="str">
        <f>SUMIF('National Staffing'!$C$37:$C$74,'Graph Data'!$C143,'National Staffing'!U$37:U$74)</f>
        <v>#REF!</v>
      </c>
      <c r="P143" s="72" t="str">
        <f>SUMIF('National Staffing'!$C$37:$C$74,'Graph Data'!$C143,'National Staffing'!V$37:V$74)</f>
        <v>#REF!</v>
      </c>
      <c r="Q143" s="72" t="str">
        <f>SUMIF('National Staffing'!$C$37:$C$74,'Graph Data'!$C143,'National Staffing'!W$37:W$74)</f>
        <v>#REF!</v>
      </c>
      <c r="R143" s="72" t="str">
        <f>SUMIF('National Staffing'!$C$37:$C$74,'Graph Data'!$C143,'National Staffing'!X$37:X$74)</f>
        <v>#REF!</v>
      </c>
      <c r="S143" s="72" t="str">
        <f>SUMIF('National Staffing'!$C$37:$C$74,'Graph Data'!$C143,'National Staffing'!Y$37:Y$74)</f>
        <v>#REF!</v>
      </c>
    </row>
    <row r="144" ht="12.75" customHeight="1">
      <c r="C144" s="64" t="s">
        <v>137</v>
      </c>
      <c r="E144" s="72">
        <f>SUMIF('National Staffing'!$C$37:$C$74,'Graph Data'!$C144,'National Staffing'!K$37:K$74)</f>
        <v>1</v>
      </c>
      <c r="F144" s="72">
        <f>SUMIF('National Staffing'!$C$37:$C$74,'Graph Data'!$C144,'National Staffing'!L$37:L$74)</f>
        <v>1</v>
      </c>
      <c r="G144" s="72">
        <f>SUMIF('National Staffing'!$C$37:$C$74,'Graph Data'!$C144,'National Staffing'!M$37:M$74)</f>
        <v>1</v>
      </c>
      <c r="H144" s="72">
        <f>SUMIF('National Staffing'!$C$37:$C$74,'Graph Data'!$C144,'National Staffing'!N$37:N$74)</f>
        <v>1</v>
      </c>
      <c r="I144" s="72">
        <f>SUMIF('National Staffing'!$C$37:$C$74,'Graph Data'!$C144,'National Staffing'!O$37:O$74)</f>
        <v>1</v>
      </c>
      <c r="J144" s="72">
        <f>SUMIF('National Staffing'!$C$37:$C$74,'Graph Data'!$C144,'National Staffing'!P$37:P$74)</f>
        <v>1</v>
      </c>
      <c r="K144" s="72">
        <f>SUMIF('National Staffing'!$C$37:$C$74,'Graph Data'!$C144,'National Staffing'!Q$37:Q$74)</f>
        <v>1</v>
      </c>
      <c r="L144" s="72">
        <f>SUMIF('National Staffing'!$C$37:$C$74,'Graph Data'!$C144,'National Staffing'!R$37:R$74)</f>
        <v>1</v>
      </c>
      <c r="M144" s="72">
        <f>SUMIF('National Staffing'!$C$37:$C$74,'Graph Data'!$C144,'National Staffing'!S$37:S$74)</f>
        <v>1</v>
      </c>
      <c r="N144" s="72">
        <f>SUMIF('National Staffing'!$C$37:$C$74,'Graph Data'!$C144,'National Staffing'!T$37:T$74)</f>
        <v>1</v>
      </c>
      <c r="O144" s="72">
        <f>SUMIF('National Staffing'!$C$37:$C$74,'Graph Data'!$C144,'National Staffing'!U$37:U$74)</f>
        <v>1</v>
      </c>
      <c r="P144" s="72">
        <f>SUMIF('National Staffing'!$C$37:$C$74,'Graph Data'!$C144,'National Staffing'!V$37:V$74)</f>
        <v>1</v>
      </c>
      <c r="Q144" s="72">
        <f>SUMIF('National Staffing'!$C$37:$C$74,'Graph Data'!$C144,'National Staffing'!W$37:W$74)</f>
        <v>1</v>
      </c>
      <c r="R144" s="72">
        <f>SUMIF('National Staffing'!$C$37:$C$74,'Graph Data'!$C144,'National Staffing'!X$37:X$74)</f>
        <v>1</v>
      </c>
      <c r="S144" s="72">
        <f>SUMIF('National Staffing'!$C$37:$C$74,'Graph Data'!$C144,'National Staffing'!Y$37:Y$74)</f>
        <v>1</v>
      </c>
    </row>
    <row r="145" ht="12.75" customHeight="1">
      <c r="C145" s="64" t="s">
        <v>138</v>
      </c>
      <c r="E145" s="72">
        <f>SUMIF('National Staffing'!$C$37:$C$74,'Graph Data'!$C145,'National Staffing'!K$37:K$74)</f>
        <v>0</v>
      </c>
      <c r="F145" s="72">
        <f>SUMIF('National Staffing'!$C$37:$C$74,'Graph Data'!$C145,'National Staffing'!L$37:L$74)</f>
        <v>0</v>
      </c>
      <c r="G145" s="72">
        <f>SUMIF('National Staffing'!$C$37:$C$74,'Graph Data'!$C145,'National Staffing'!M$37:M$74)</f>
        <v>0</v>
      </c>
      <c r="H145" s="72">
        <f>SUMIF('National Staffing'!$C$37:$C$74,'Graph Data'!$C145,'National Staffing'!N$37:N$74)</f>
        <v>0</v>
      </c>
      <c r="I145" s="72">
        <f>SUMIF('National Staffing'!$C$37:$C$74,'Graph Data'!$C145,'National Staffing'!O$37:O$74)</f>
        <v>0</v>
      </c>
      <c r="J145" s="72">
        <f>SUMIF('National Staffing'!$C$37:$C$74,'Graph Data'!$C145,'National Staffing'!P$37:P$74)</f>
        <v>0</v>
      </c>
      <c r="K145" s="72">
        <f>SUMIF('National Staffing'!$C$37:$C$74,'Graph Data'!$C145,'National Staffing'!Q$37:Q$74)</f>
        <v>0</v>
      </c>
      <c r="L145" s="72">
        <f>SUMIF('National Staffing'!$C$37:$C$74,'Graph Data'!$C145,'National Staffing'!R$37:R$74)</f>
        <v>0</v>
      </c>
      <c r="M145" s="72">
        <f>SUMIF('National Staffing'!$C$37:$C$74,'Graph Data'!$C145,'National Staffing'!S$37:S$74)</f>
        <v>0</v>
      </c>
      <c r="N145" s="72">
        <f>SUMIF('National Staffing'!$C$37:$C$74,'Graph Data'!$C145,'National Staffing'!T$37:T$74)</f>
        <v>0</v>
      </c>
      <c r="O145" s="72">
        <f>SUMIF('National Staffing'!$C$37:$C$74,'Graph Data'!$C145,'National Staffing'!U$37:U$74)</f>
        <v>0</v>
      </c>
      <c r="P145" s="72">
        <f>SUMIF('National Staffing'!$C$37:$C$74,'Graph Data'!$C145,'National Staffing'!V$37:V$74)</f>
        <v>0</v>
      </c>
      <c r="Q145" s="72">
        <f>SUMIF('National Staffing'!$C$37:$C$74,'Graph Data'!$C145,'National Staffing'!W$37:W$74)</f>
        <v>0</v>
      </c>
      <c r="R145" s="72">
        <f>SUMIF('National Staffing'!$C$37:$C$74,'Graph Data'!$C145,'National Staffing'!X$37:X$74)</f>
        <v>0</v>
      </c>
      <c r="S145" s="72">
        <f>SUMIF('National Staffing'!$C$37:$C$74,'Graph Data'!$C145,'National Staffing'!Y$37:Y$74)</f>
        <v>0</v>
      </c>
    </row>
    <row r="146" ht="12.75" customHeight="1">
      <c r="C146" s="64" t="s">
        <v>139</v>
      </c>
      <c r="E146" s="72">
        <f>SUMIF('National Staffing'!$C$37:$C$74,'Graph Data'!$C146,'National Staffing'!K$37:K$74)</f>
        <v>0</v>
      </c>
      <c r="F146" s="72">
        <f>SUMIF('National Staffing'!$C$37:$C$74,'Graph Data'!$C146,'National Staffing'!L$37:L$74)</f>
        <v>0</v>
      </c>
      <c r="G146" s="72">
        <f>SUMIF('National Staffing'!$C$37:$C$74,'Graph Data'!$C146,'National Staffing'!M$37:M$74)</f>
        <v>0</v>
      </c>
      <c r="H146" s="72">
        <f>SUMIF('National Staffing'!$C$37:$C$74,'Graph Data'!$C146,'National Staffing'!N$37:N$74)</f>
        <v>0</v>
      </c>
      <c r="I146" s="72">
        <f>SUMIF('National Staffing'!$C$37:$C$74,'Graph Data'!$C146,'National Staffing'!O$37:O$74)</f>
        <v>0</v>
      </c>
      <c r="J146" s="72">
        <f>SUMIF('National Staffing'!$C$37:$C$74,'Graph Data'!$C146,'National Staffing'!P$37:P$74)</f>
        <v>0</v>
      </c>
      <c r="K146" s="72">
        <f>SUMIF('National Staffing'!$C$37:$C$74,'Graph Data'!$C146,'National Staffing'!Q$37:Q$74)</f>
        <v>0</v>
      </c>
      <c r="L146" s="72">
        <f>SUMIF('National Staffing'!$C$37:$C$74,'Graph Data'!$C146,'National Staffing'!R$37:R$74)</f>
        <v>0</v>
      </c>
      <c r="M146" s="72">
        <f>SUMIF('National Staffing'!$C$37:$C$74,'Graph Data'!$C146,'National Staffing'!S$37:S$74)</f>
        <v>0</v>
      </c>
      <c r="N146" s="72">
        <f>SUMIF('National Staffing'!$C$37:$C$74,'Graph Data'!$C146,'National Staffing'!T$37:T$74)</f>
        <v>0</v>
      </c>
      <c r="O146" s="72">
        <f>SUMIF('National Staffing'!$C$37:$C$74,'Graph Data'!$C146,'National Staffing'!U$37:U$74)</f>
        <v>0</v>
      </c>
      <c r="P146" s="72">
        <f>SUMIF('National Staffing'!$C$37:$C$74,'Graph Data'!$C146,'National Staffing'!V$37:V$74)</f>
        <v>0</v>
      </c>
      <c r="Q146" s="72">
        <f>SUMIF('National Staffing'!$C$37:$C$74,'Graph Data'!$C146,'National Staffing'!W$37:W$74)</f>
        <v>0</v>
      </c>
      <c r="R146" s="72">
        <f>SUMIF('National Staffing'!$C$37:$C$74,'Graph Data'!$C146,'National Staffing'!X$37:X$74)</f>
        <v>0</v>
      </c>
      <c r="S146" s="72">
        <f>SUMIF('National Staffing'!$C$37:$C$74,'Graph Data'!$C146,'National Staffing'!Y$37:Y$74)</f>
        <v>0</v>
      </c>
    </row>
    <row r="147" ht="12.75" customHeight="1">
      <c r="C147" s="83" t="s">
        <v>1154</v>
      </c>
      <c r="D147" s="87"/>
      <c r="E147" s="197">
        <f>SUM('National Staffing'!K123:K139)</f>
        <v>2</v>
      </c>
      <c r="F147" s="197">
        <f>SUM('National Staffing'!L123:L139)</f>
        <v>3</v>
      </c>
      <c r="G147" s="197">
        <f>SUM('National Staffing'!M123:M139)</f>
        <v>7</v>
      </c>
      <c r="H147" s="197">
        <f>SUM('National Staffing'!N123:N139)</f>
        <v>14</v>
      </c>
      <c r="I147" s="197">
        <f>SUM('National Staffing'!O123:O139)</f>
        <v>21</v>
      </c>
      <c r="J147" s="197">
        <f>SUM('National Staffing'!P123:P139)</f>
        <v>29</v>
      </c>
      <c r="K147" s="197">
        <f>SUM('National Staffing'!Q123:Q139)</f>
        <v>38</v>
      </c>
      <c r="L147" s="197">
        <f>SUM('National Staffing'!R123:R139)</f>
        <v>55</v>
      </c>
      <c r="M147" s="197">
        <f>SUM('National Staffing'!S123:S139)</f>
        <v>70</v>
      </c>
      <c r="N147" s="197">
        <f>SUM('National Staffing'!T123:T139)</f>
        <v>73</v>
      </c>
      <c r="O147" s="197">
        <f>SUM('National Staffing'!U123:U139)</f>
        <v>73</v>
      </c>
      <c r="P147" s="197">
        <f>SUM('National Staffing'!V123:V139)</f>
        <v>73</v>
      </c>
      <c r="Q147" s="197">
        <f>SUM('National Staffing'!W123:W139)</f>
        <v>73</v>
      </c>
      <c r="R147" s="197">
        <f>SUM('National Staffing'!X123:X139)</f>
        <v>73</v>
      </c>
      <c r="S147" s="197">
        <f>SUM('National Staffing'!Y123:Y139)</f>
        <v>73</v>
      </c>
    </row>
    <row r="148" ht="12.75" customHeight="1">
      <c r="A148" s="67"/>
      <c r="B148" s="67"/>
      <c r="C148" s="67" t="s">
        <v>273</v>
      </c>
      <c r="D148" s="67"/>
      <c r="E148" s="488" t="str">
        <f>'National Staffing'!K13</f>
        <v>#REF!</v>
      </c>
      <c r="F148" s="488" t="str">
        <f>'National Staffing'!L13</f>
        <v>#REF!</v>
      </c>
      <c r="G148" s="488" t="str">
        <f>'National Staffing'!M13</f>
        <v>#REF!</v>
      </c>
      <c r="H148" s="488" t="str">
        <f>'National Staffing'!N13</f>
        <v>#REF!</v>
      </c>
      <c r="I148" s="488" t="str">
        <f>'National Staffing'!O13</f>
        <v>#REF!</v>
      </c>
      <c r="J148" s="488" t="str">
        <f>'National Staffing'!P13</f>
        <v>#REF!</v>
      </c>
      <c r="K148" s="488" t="str">
        <f>'National Staffing'!Q13</f>
        <v>#REF!</v>
      </c>
      <c r="L148" s="488" t="str">
        <f>'National Staffing'!R13</f>
        <v>#REF!</v>
      </c>
      <c r="M148" s="488" t="str">
        <f>'National Staffing'!S13</f>
        <v>#REF!</v>
      </c>
      <c r="N148" s="488" t="str">
        <f>'National Staffing'!T13</f>
        <v>#REF!</v>
      </c>
      <c r="O148" s="488" t="str">
        <f>'National Staffing'!U13</f>
        <v>#REF!</v>
      </c>
      <c r="P148" s="488" t="str">
        <f>'National Staffing'!V13</f>
        <v>#REF!</v>
      </c>
      <c r="Q148" s="488" t="str">
        <f>'National Staffing'!W13</f>
        <v>#REF!</v>
      </c>
      <c r="R148" s="488" t="str">
        <f>'National Staffing'!X13</f>
        <v>#REF!</v>
      </c>
      <c r="S148" s="488" t="str">
        <f>'National Staffing'!Y13</f>
        <v>#REF!</v>
      </c>
      <c r="T148" s="67"/>
      <c r="U148" s="67"/>
      <c r="V148" s="67"/>
      <c r="W148" s="67"/>
      <c r="X148" s="67"/>
      <c r="Y148" s="67"/>
      <c r="Z148" s="67"/>
    </row>
    <row r="149" ht="12.75" customHeight="1"/>
    <row r="150" ht="12.75" customHeight="1"/>
    <row r="151" ht="12.75" customHeight="1">
      <c r="C151" s="68" t="s">
        <v>1155</v>
      </c>
      <c r="E151" s="63">
        <v>2011.0</v>
      </c>
      <c r="F151" s="63">
        <v>2012.0</v>
      </c>
      <c r="G151" s="63">
        <v>2013.0</v>
      </c>
      <c r="H151" s="63">
        <v>2014.0</v>
      </c>
      <c r="I151" s="63">
        <v>2015.0</v>
      </c>
      <c r="J151" s="63">
        <v>2016.0</v>
      </c>
      <c r="K151" s="63">
        <v>2017.0</v>
      </c>
      <c r="L151" s="63">
        <v>2018.0</v>
      </c>
      <c r="M151" s="63">
        <v>2019.0</v>
      </c>
      <c r="N151" s="63">
        <v>2020.0</v>
      </c>
      <c r="O151" s="63">
        <v>2021.0</v>
      </c>
      <c r="P151" s="63">
        <v>2022.0</v>
      </c>
      <c r="Q151" s="63">
        <v>2023.0</v>
      </c>
      <c r="R151" s="63">
        <v>2024.0</v>
      </c>
      <c r="S151" s="63">
        <v>2025.0</v>
      </c>
    </row>
    <row r="152" ht="12.75" customHeight="1">
      <c r="C152" s="68" t="s">
        <v>137</v>
      </c>
      <c r="E152" s="152">
        <f>'RSED National'!M13</f>
        <v>0.08881482866</v>
      </c>
      <c r="F152" s="152">
        <f>'RSED National'!N13</f>
        <v>0.06287385023</v>
      </c>
      <c r="G152" s="152">
        <f>'RSED National'!O13</f>
        <v>0.04305701257</v>
      </c>
      <c r="H152" s="152">
        <f>'RSED National'!P13</f>
        <v>0.0346873066</v>
      </c>
      <c r="I152" s="152">
        <f>'RSED National'!Q13</f>
        <v>0.02372476487</v>
      </c>
      <c r="J152" s="152">
        <f>'RSED National'!R13</f>
        <v>0.01773519473</v>
      </c>
      <c r="K152" s="152">
        <f>'RSED National'!S13</f>
        <v>0.0137359972</v>
      </c>
      <c r="L152" s="152">
        <f>'RSED National'!T13</f>
        <v>0.01157726855</v>
      </c>
      <c r="M152" s="152">
        <f>'RSED National'!U13</f>
        <v>0.009815917171</v>
      </c>
      <c r="N152" s="152">
        <f>'RSED National'!V13</f>
        <v>0.01061473353</v>
      </c>
      <c r="O152" s="152" t="str">
        <f>'RSED National'!W13</f>
        <v>#REF!</v>
      </c>
      <c r="P152" s="152" t="str">
        <f>'RSED National'!X13</f>
        <v>#REF!</v>
      </c>
      <c r="Q152" s="152" t="str">
        <f>'RSED National'!Y13</f>
        <v>#REF!</v>
      </c>
      <c r="R152" s="152" t="str">
        <f>'RSED National'!Z13</f>
        <v>#REF!</v>
      </c>
      <c r="S152" s="152" t="str">
        <f>'RSED National'!AA13</f>
        <v>#REF!</v>
      </c>
    </row>
    <row r="153" ht="12.75" customHeight="1">
      <c r="C153" s="68" t="s">
        <v>139</v>
      </c>
      <c r="E153" s="152" t="str">
        <f>'RSED National'!M15</f>
        <v>#REF!</v>
      </c>
      <c r="F153" s="152" t="str">
        <f>'RSED National'!N15</f>
        <v>#REF!</v>
      </c>
      <c r="G153" s="152" t="str">
        <f>'RSED National'!O15</f>
        <v>#REF!</v>
      </c>
      <c r="H153" s="152" t="str">
        <f>'RSED National'!P15</f>
        <v>#REF!</v>
      </c>
      <c r="I153" s="152" t="str">
        <f>'RSED National'!Q15</f>
        <v>#REF!</v>
      </c>
      <c r="J153" s="152" t="str">
        <f>'RSED National'!R15</f>
        <v>#REF!</v>
      </c>
      <c r="K153" s="152" t="str">
        <f>'RSED National'!S15</f>
        <v>#REF!</v>
      </c>
      <c r="L153" s="152" t="str">
        <f>'RSED National'!T15</f>
        <v>#REF!</v>
      </c>
      <c r="M153" s="152" t="str">
        <f>'RSED National'!U15</f>
        <v>#REF!</v>
      </c>
      <c r="N153" s="152" t="str">
        <f>'RSED National'!V15</f>
        <v>#REF!</v>
      </c>
      <c r="O153" s="152" t="str">
        <f>'RSED National'!W15</f>
        <v>#REF!</v>
      </c>
      <c r="P153" s="152" t="str">
        <f>'RSED National'!X15</f>
        <v>#REF!</v>
      </c>
      <c r="Q153" s="152" t="str">
        <f>'RSED National'!Y15</f>
        <v>#REF!</v>
      </c>
      <c r="R153" s="152" t="str">
        <f>'RSED National'!Z15</f>
        <v>#REF!</v>
      </c>
      <c r="S153" s="152" t="str">
        <f>'RSED National'!AA15</f>
        <v>#REF!</v>
      </c>
    </row>
    <row r="154" ht="12.75" customHeight="1">
      <c r="C154" s="68" t="s">
        <v>138</v>
      </c>
      <c r="E154" s="152" t="str">
        <f>'RSED National'!M14</f>
        <v>#REF!</v>
      </c>
      <c r="F154" s="152" t="str">
        <f>'RSED National'!N14</f>
        <v>#REF!</v>
      </c>
      <c r="G154" s="152" t="str">
        <f>'RSED National'!O14</f>
        <v>#REF!</v>
      </c>
      <c r="H154" s="152" t="str">
        <f>'RSED National'!P14</f>
        <v>#REF!</v>
      </c>
      <c r="I154" s="152" t="str">
        <f>'RSED National'!Q14</f>
        <v>#REF!</v>
      </c>
      <c r="J154" s="152" t="str">
        <f>'RSED National'!R14</f>
        <v>#REF!</v>
      </c>
      <c r="K154" s="152" t="str">
        <f>'RSED National'!S14</f>
        <v>#REF!</v>
      </c>
      <c r="L154" s="152" t="str">
        <f>'RSED National'!T14</f>
        <v>#REF!</v>
      </c>
      <c r="M154" s="152" t="str">
        <f>'RSED National'!U14</f>
        <v>#REF!</v>
      </c>
      <c r="N154" s="152" t="str">
        <f>'RSED National'!V14</f>
        <v>#REF!</v>
      </c>
      <c r="O154" s="152" t="str">
        <f>'RSED National'!W14</f>
        <v>#REF!</v>
      </c>
      <c r="P154" s="152" t="str">
        <f>'RSED National'!X14</f>
        <v>#REF!</v>
      </c>
      <c r="Q154" s="152" t="str">
        <f>'RSED National'!Y14</f>
        <v>#REF!</v>
      </c>
      <c r="R154" s="152" t="str">
        <f>'RSED National'!Z14</f>
        <v>#REF!</v>
      </c>
      <c r="S154" s="152" t="str">
        <f>'RSED National'!AA14</f>
        <v>#REF!</v>
      </c>
    </row>
    <row r="155" ht="12.75" customHeight="1">
      <c r="C155" s="68" t="s">
        <v>264</v>
      </c>
      <c r="E155" s="152" t="str">
        <f>'RSED National'!M12</f>
        <v>#REF!</v>
      </c>
      <c r="F155" s="152" t="str">
        <f>'RSED National'!N12</f>
        <v>#REF!</v>
      </c>
      <c r="G155" s="152" t="str">
        <f>'RSED National'!O12</f>
        <v>#REF!</v>
      </c>
      <c r="H155" s="152" t="str">
        <f>'RSED National'!P12</f>
        <v>#REF!</v>
      </c>
      <c r="I155" s="152" t="str">
        <f>'RSED National'!Q12</f>
        <v>#REF!</v>
      </c>
      <c r="J155" s="152" t="str">
        <f>'RSED National'!R12</f>
        <v>#REF!</v>
      </c>
      <c r="K155" s="152" t="str">
        <f>'RSED National'!S12</f>
        <v>#REF!</v>
      </c>
      <c r="L155" s="152" t="str">
        <f>'RSED National'!T12</f>
        <v>#REF!</v>
      </c>
      <c r="M155" s="152" t="str">
        <f>'RSED National'!U12</f>
        <v>#REF!</v>
      </c>
      <c r="N155" s="152" t="str">
        <f>'RSED National'!V12</f>
        <v>#REF!</v>
      </c>
      <c r="O155" s="152" t="str">
        <f>'RSED National'!W12</f>
        <v>#REF!</v>
      </c>
      <c r="P155" s="152" t="str">
        <f>'RSED National'!X12</f>
        <v>#REF!</v>
      </c>
      <c r="Q155" s="152" t="str">
        <f>'RSED National'!Y12</f>
        <v>#REF!</v>
      </c>
      <c r="R155" s="152" t="str">
        <f>'RSED National'!Z12</f>
        <v>#REF!</v>
      </c>
      <c r="S155" s="152" t="str">
        <f>'RSED National'!AA12</f>
        <v>#REF!</v>
      </c>
    </row>
    <row r="156" ht="12.75" customHeight="1">
      <c r="C156" s="68" t="s">
        <v>1156</v>
      </c>
      <c r="E156" s="152">
        <f>'RSED National'!M17</f>
        <v>0.1167387919</v>
      </c>
      <c r="F156" s="152">
        <f>'RSED National'!N17</f>
        <v>0.07234141968</v>
      </c>
      <c r="G156" s="152">
        <f>'RSED National'!O17</f>
        <v>0.04531217306</v>
      </c>
      <c r="H156" s="152">
        <f>'RSED National'!P17</f>
        <v>0.02815903203</v>
      </c>
      <c r="I156" s="152">
        <f>'RSED National'!Q17</f>
        <v>0.01755055576</v>
      </c>
      <c r="J156" s="152">
        <f>'RSED National'!R17</f>
        <v>0.004518143112</v>
      </c>
      <c r="K156" s="152">
        <f>'RSED National'!S17</f>
        <v>0.003406316502</v>
      </c>
      <c r="L156" s="152">
        <f>'RSED National'!T17</f>
        <v>0.002608698839</v>
      </c>
      <c r="M156" s="152">
        <f>'RSED National'!U17</f>
        <v>0.002304200063</v>
      </c>
      <c r="N156" s="152">
        <f>'RSED National'!V17</f>
        <v>0.002510158937</v>
      </c>
      <c r="O156" s="152">
        <f>'RSED National'!W17</f>
        <v>0.002402496593</v>
      </c>
      <c r="P156" s="152">
        <f>'RSED National'!X17</f>
        <v>0.001964106561</v>
      </c>
      <c r="Q156" s="152">
        <f>'RSED National'!Y17</f>
        <v>0.001552640465</v>
      </c>
      <c r="R156" s="152">
        <f>'RSED National'!Z17</f>
        <v>0.001346243987</v>
      </c>
      <c r="S156" s="152">
        <f>'RSED National'!AA17</f>
        <v>0.001170200479</v>
      </c>
    </row>
    <row r="157" ht="12.75" customHeight="1"/>
    <row r="158" ht="12.75" customHeight="1"/>
    <row r="159" ht="12.75" customHeight="1"/>
    <row r="160" ht="12.75" customHeight="1"/>
    <row r="161" ht="12.75" customHeight="1"/>
    <row r="162" ht="12.75" customHeight="1"/>
    <row r="163" ht="12.75" customHeight="1"/>
    <row r="164" ht="12.75" customHeight="1">
      <c r="C164" s="67" t="s">
        <v>1157</v>
      </c>
    </row>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L9:N9"/>
    <mergeCell ref="P9:R9"/>
    <mergeCell ref="C39:H39"/>
    <mergeCell ref="C57:H57"/>
    <mergeCell ref="C105:I105"/>
    <mergeCell ref="C121:I121"/>
    <mergeCell ref="C126:I126"/>
    <mergeCell ref="S131:T131"/>
  </mergeCells>
  <printOptions/>
  <pageMargins bottom="0.984027777777778" footer="0.0" header="0.0" left="0.747916666666667" right="0.747916666666667" top="0.984027777777778"/>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CF305"/>
    <pageSetUpPr fitToPage="1"/>
  </sheetPr>
  <sheetViews>
    <sheetView workbookViewId="0">
      <pane xSplit="8.0" ySplit="10.0" topLeftCell="I11" activePane="bottomRight" state="frozen"/>
      <selection activeCell="I1" sqref="I1" pane="topRight"/>
      <selection activeCell="A11" sqref="A11" pane="bottomLeft"/>
      <selection activeCell="I11" sqref="I11" pane="bottomRight"/>
    </sheetView>
  </sheetViews>
  <sheetFormatPr customHeight="1" defaultColWidth="12.63" defaultRowHeight="15.0" outlineLevelCol="1" outlineLevelRow="1"/>
  <cols>
    <col customWidth="1" min="1" max="1" width="4.13"/>
    <col customWidth="1" min="2" max="2" width="23.88"/>
    <col customWidth="1" hidden="1" min="3" max="3" width="14.38"/>
    <col customWidth="1" min="4" max="4" width="9.5" outlineLevel="1"/>
    <col customWidth="1" min="5" max="5" width="9.25" outlineLevel="1"/>
    <col customWidth="1" min="6" max="6" width="12.88"/>
    <col customWidth="1" min="7" max="7" width="5.13"/>
    <col customWidth="1" min="8" max="8" width="11.38"/>
    <col customWidth="1" min="9" max="10" width="10.0"/>
    <col customWidth="1" min="11" max="11" width="11.5"/>
    <col customWidth="1" min="12" max="16" width="10.0"/>
    <col customWidth="1" hidden="1" min="17" max="17" width="10.25" outlineLevel="1"/>
    <col customWidth="1" hidden="1" min="18" max="19" width="10.88" outlineLevel="1"/>
    <col customWidth="1" hidden="1" min="20" max="21" width="11.88" outlineLevel="1"/>
    <col customWidth="1" hidden="1" min="22" max="24" width="11.0" outlineLevel="1"/>
    <col customWidth="1" hidden="1" min="25" max="26" width="10.88" outlineLevel="1"/>
    <col customWidth="1" hidden="1" min="27" max="48" width="11.5" outlineLevel="1"/>
    <col customWidth="1" min="49" max="49" width="88.0"/>
    <col customWidth="1" min="50" max="51" width="11.38"/>
  </cols>
  <sheetData>
    <row r="1" ht="12.75" customHeight="1">
      <c r="A1" s="66"/>
      <c r="B1" s="115">
        <f>'Region office'!E17</f>
        <v>-2277823.634</v>
      </c>
      <c r="C1" s="410"/>
      <c r="D1" s="63"/>
      <c r="E1" s="63"/>
      <c r="F1" s="66" t="s">
        <v>1158</v>
      </c>
      <c r="G1" s="63"/>
      <c r="H1" s="63"/>
      <c r="I1" s="63"/>
      <c r="J1" s="115">
        <f>'Region office'!E16</f>
        <v>-458000</v>
      </c>
      <c r="K1" s="115">
        <f>'Region office'!F16</f>
        <v>-519689.1258</v>
      </c>
      <c r="L1" s="115">
        <f>'Region office'!G16</f>
        <v>-507871.4323</v>
      </c>
      <c r="M1" s="115">
        <f>'Region office'!H16</f>
        <v>-381384.2034</v>
      </c>
      <c r="N1" s="115">
        <f>'Region office'!I16</f>
        <v>-410878.8721</v>
      </c>
      <c r="O1" s="115">
        <f>'Region office'!J16</f>
        <v>77847.40641</v>
      </c>
      <c r="P1" s="115">
        <f>'Region office'!K16</f>
        <v>121356.2701</v>
      </c>
      <c r="Q1" s="115">
        <f>'Region office'!L16</f>
        <v>229439.6287</v>
      </c>
      <c r="R1" s="115">
        <f>'Region office'!M16</f>
        <v>591974.7323</v>
      </c>
      <c r="S1" s="115">
        <f>'Region office'!N16</f>
        <v>1495412.45</v>
      </c>
      <c r="T1" s="115">
        <f>'Region office'!O16</f>
        <v>2326438.123</v>
      </c>
      <c r="U1" s="115">
        <f>'Region office'!P16</f>
        <v>2877961.206</v>
      </c>
      <c r="V1" s="115">
        <f>'Region office'!Q16</f>
        <v>2480876.99</v>
      </c>
      <c r="W1" s="115">
        <f>'Region office'!R16</f>
        <v>1433116.112</v>
      </c>
      <c r="X1" s="115">
        <f>'Region office'!S16</f>
        <v>1065441.635</v>
      </c>
      <c r="Y1" s="115">
        <f>'Region office'!T16</f>
        <v>1048975.595</v>
      </c>
      <c r="Z1" s="115">
        <f>'Region office'!U16</f>
        <v>1035648.215</v>
      </c>
      <c r="AA1" s="115">
        <f>'Region office'!V16</f>
        <v>1026632.915</v>
      </c>
      <c r="AB1" s="115">
        <f>'Region office'!W16</f>
        <v>1024429.175</v>
      </c>
      <c r="AC1" s="115">
        <f>'Region office'!X16</f>
        <v>1024429.175</v>
      </c>
      <c r="AD1" s="115">
        <f>'Region office'!Y16</f>
        <v>1024429.175</v>
      </c>
      <c r="AE1" s="115">
        <f>'Region office'!Z16</f>
        <v>1024429.175</v>
      </c>
      <c r="AF1" s="115">
        <f>'Region office'!AA16</f>
        <v>1024429.175</v>
      </c>
      <c r="AG1" s="115">
        <f>'Region office'!AB16</f>
        <v>1024429.175</v>
      </c>
      <c r="AH1" s="115">
        <f>'Region office'!AC16</f>
        <v>1024429.175</v>
      </c>
      <c r="AI1" s="115">
        <f>'Region office'!AD16</f>
        <v>1024429.175</v>
      </c>
      <c r="AJ1" s="115">
        <f>'Region office'!AE16</f>
        <v>1024429.175</v>
      </c>
      <c r="AK1" s="115">
        <f>'Region office'!AF16</f>
        <v>1024429.175</v>
      </c>
      <c r="AL1" s="115">
        <f>'Region office'!AG16</f>
        <v>1024429.175</v>
      </c>
      <c r="AM1" s="115">
        <f>'Region office'!AH16</f>
        <v>1024429.175</v>
      </c>
      <c r="AN1" s="115">
        <f>'Region office'!AI16</f>
        <v>1024429.175</v>
      </c>
      <c r="AO1" s="115">
        <f>'Region office'!AJ16</f>
        <v>1024429.175</v>
      </c>
      <c r="AP1" s="115">
        <f>'Region office'!AK16</f>
        <v>1024429.175</v>
      </c>
      <c r="AQ1" s="115">
        <f>'Region office'!AL16</f>
        <v>1024429.175</v>
      </c>
      <c r="AR1" s="115">
        <f>'Region office'!AM16</f>
        <v>1024429.175</v>
      </c>
      <c r="AS1" s="115">
        <f>'Region office'!AN16</f>
        <v>1024429.175</v>
      </c>
      <c r="AT1" s="115">
        <f>'Region office'!AO16</f>
        <v>1024429.175</v>
      </c>
      <c r="AU1" s="115">
        <f>'Region office'!AP16</f>
        <v>1024429.175</v>
      </c>
      <c r="AV1" s="115">
        <f>'Region office'!AQ16</f>
        <v>1024429.175</v>
      </c>
      <c r="AW1" s="63"/>
      <c r="AX1" s="63"/>
      <c r="AY1" s="63"/>
    </row>
    <row r="2" ht="12.75" customHeight="1">
      <c r="A2" s="66"/>
      <c r="B2" s="63"/>
      <c r="C2" s="410"/>
      <c r="D2" s="186"/>
      <c r="E2" s="63"/>
      <c r="F2" s="67" t="s">
        <v>259</v>
      </c>
      <c r="G2" s="63"/>
      <c r="H2" s="63"/>
      <c r="I2" s="63">
        <f>'Region office'!D30</f>
        <v>0</v>
      </c>
      <c r="J2" s="63">
        <f>'Region office'!E30</f>
        <v>0</v>
      </c>
      <c r="K2" s="460">
        <f>'Region office'!F30</f>
        <v>1</v>
      </c>
      <c r="L2" s="460">
        <f>'Region office'!G30</f>
        <v>1</v>
      </c>
      <c r="M2" s="63">
        <f>'Region office'!H30</f>
        <v>2</v>
      </c>
      <c r="N2" s="63">
        <f>'Region office'!I30</f>
        <v>4</v>
      </c>
      <c r="O2" s="63">
        <f>'Region office'!J30</f>
        <v>8</v>
      </c>
      <c r="P2" s="63">
        <f>'Region office'!K30</f>
        <v>13</v>
      </c>
      <c r="Q2" s="63">
        <f>'Region office'!L30</f>
        <v>21</v>
      </c>
      <c r="R2" s="63">
        <f>'Region office'!M30</f>
        <v>34</v>
      </c>
      <c r="S2" s="63">
        <f>'Region office'!N30</f>
        <v>55</v>
      </c>
      <c r="T2" s="63">
        <f>'Region office'!O30</f>
        <v>89</v>
      </c>
      <c r="U2" s="63">
        <f>'Region office'!P30</f>
        <v>100</v>
      </c>
      <c r="V2" s="63">
        <f>'Region office'!Q30</f>
        <v>100</v>
      </c>
      <c r="W2" s="63">
        <f>'Region office'!R30</f>
        <v>100</v>
      </c>
      <c r="X2" s="63">
        <f>'Region office'!S30</f>
        <v>100</v>
      </c>
      <c r="Y2" s="63">
        <f>'Region office'!T30</f>
        <v>100</v>
      </c>
      <c r="Z2" s="63">
        <f>'Region office'!U30</f>
        <v>100</v>
      </c>
      <c r="AA2" s="63">
        <f>'Region office'!V30</f>
        <v>100</v>
      </c>
      <c r="AB2" s="63">
        <f>'Region office'!W30</f>
        <v>100</v>
      </c>
      <c r="AC2" s="63">
        <f>'Region office'!X30</f>
        <v>100</v>
      </c>
      <c r="AD2" s="63">
        <f>'Region office'!Y30</f>
        <v>100</v>
      </c>
      <c r="AE2" s="63">
        <f>'Region office'!Z30</f>
        <v>100</v>
      </c>
      <c r="AF2" s="63">
        <f>'Region office'!AA30</f>
        <v>100</v>
      </c>
      <c r="AG2" s="63">
        <f>'Region office'!AB30</f>
        <v>100</v>
      </c>
      <c r="AH2" s="63">
        <f>'Region office'!AC30</f>
        <v>100</v>
      </c>
      <c r="AI2" s="63">
        <f>'Region office'!AD30</f>
        <v>100</v>
      </c>
      <c r="AJ2" s="63">
        <f>'Region office'!AE30</f>
        <v>100</v>
      </c>
      <c r="AK2" s="63">
        <f>'Region office'!AF30</f>
        <v>100</v>
      </c>
      <c r="AL2" s="63">
        <f>'Region office'!AG30</f>
        <v>100</v>
      </c>
      <c r="AM2" s="63">
        <f>'Region office'!AH30</f>
        <v>100</v>
      </c>
      <c r="AN2" s="63">
        <f>'Region office'!AI30</f>
        <v>100</v>
      </c>
      <c r="AO2" s="63">
        <f>'Region office'!AJ30</f>
        <v>100</v>
      </c>
      <c r="AP2" s="63">
        <f>'Region office'!AK30</f>
        <v>100</v>
      </c>
      <c r="AQ2" s="63">
        <f>'Region office'!AL30</f>
        <v>100</v>
      </c>
      <c r="AR2" s="63">
        <f>'Region office'!AM30</f>
        <v>100</v>
      </c>
      <c r="AS2" s="63">
        <f>'Region office'!AN30</f>
        <v>100</v>
      </c>
      <c r="AT2" s="63">
        <f>'Region office'!AO30</f>
        <v>100</v>
      </c>
      <c r="AU2" s="63">
        <f>'Region office'!AP30</f>
        <v>100</v>
      </c>
      <c r="AV2" s="63">
        <f>'Region office'!AQ30</f>
        <v>100</v>
      </c>
      <c r="AW2" s="63"/>
      <c r="AX2" s="63"/>
      <c r="AY2" s="63"/>
    </row>
    <row r="3" ht="12.75" customHeight="1">
      <c r="A3" s="66"/>
      <c r="B3" s="63"/>
      <c r="C3" s="410"/>
      <c r="D3" s="186"/>
      <c r="E3" s="63"/>
      <c r="F3" s="67" t="s">
        <v>88</v>
      </c>
      <c r="G3" s="63"/>
      <c r="H3" s="63"/>
      <c r="I3" s="63"/>
      <c r="J3" s="63">
        <f t="shared" ref="J3:AV3" si="1">J2-I2</f>
        <v>0</v>
      </c>
      <c r="K3" s="460">
        <f t="shared" si="1"/>
        <v>1</v>
      </c>
      <c r="L3" s="460">
        <f t="shared" si="1"/>
        <v>0</v>
      </c>
      <c r="M3" s="460">
        <f t="shared" si="1"/>
        <v>1</v>
      </c>
      <c r="N3" s="63">
        <f t="shared" si="1"/>
        <v>2</v>
      </c>
      <c r="O3" s="63">
        <f t="shared" si="1"/>
        <v>4</v>
      </c>
      <c r="P3" s="63">
        <f t="shared" si="1"/>
        <v>5</v>
      </c>
      <c r="Q3" s="63">
        <f t="shared" si="1"/>
        <v>8</v>
      </c>
      <c r="R3" s="63">
        <f t="shared" si="1"/>
        <v>13</v>
      </c>
      <c r="S3" s="63">
        <f t="shared" si="1"/>
        <v>21</v>
      </c>
      <c r="T3" s="63">
        <f t="shared" si="1"/>
        <v>34</v>
      </c>
      <c r="U3" s="63">
        <f t="shared" si="1"/>
        <v>11</v>
      </c>
      <c r="V3" s="63">
        <f t="shared" si="1"/>
        <v>0</v>
      </c>
      <c r="W3" s="63">
        <f t="shared" si="1"/>
        <v>0</v>
      </c>
      <c r="X3" s="63">
        <f t="shared" si="1"/>
        <v>0</v>
      </c>
      <c r="Y3" s="63">
        <f t="shared" si="1"/>
        <v>0</v>
      </c>
      <c r="Z3" s="63">
        <f t="shared" si="1"/>
        <v>0</v>
      </c>
      <c r="AA3" s="63">
        <f t="shared" si="1"/>
        <v>0</v>
      </c>
      <c r="AB3" s="63">
        <f t="shared" si="1"/>
        <v>0</v>
      </c>
      <c r="AC3" s="63">
        <f t="shared" si="1"/>
        <v>0</v>
      </c>
      <c r="AD3" s="63">
        <f t="shared" si="1"/>
        <v>0</v>
      </c>
      <c r="AE3" s="63">
        <f t="shared" si="1"/>
        <v>0</v>
      </c>
      <c r="AF3" s="63">
        <f t="shared" si="1"/>
        <v>0</v>
      </c>
      <c r="AG3" s="63">
        <f t="shared" si="1"/>
        <v>0</v>
      </c>
      <c r="AH3" s="63">
        <f t="shared" si="1"/>
        <v>0</v>
      </c>
      <c r="AI3" s="63">
        <f t="shared" si="1"/>
        <v>0</v>
      </c>
      <c r="AJ3" s="63">
        <f t="shared" si="1"/>
        <v>0</v>
      </c>
      <c r="AK3" s="63">
        <f t="shared" si="1"/>
        <v>0</v>
      </c>
      <c r="AL3" s="63">
        <f t="shared" si="1"/>
        <v>0</v>
      </c>
      <c r="AM3" s="63">
        <f t="shared" si="1"/>
        <v>0</v>
      </c>
      <c r="AN3" s="63">
        <f t="shared" si="1"/>
        <v>0</v>
      </c>
      <c r="AO3" s="63">
        <f t="shared" si="1"/>
        <v>0</v>
      </c>
      <c r="AP3" s="63">
        <f t="shared" si="1"/>
        <v>0</v>
      </c>
      <c r="AQ3" s="63">
        <f t="shared" si="1"/>
        <v>0</v>
      </c>
      <c r="AR3" s="63">
        <f t="shared" si="1"/>
        <v>0</v>
      </c>
      <c r="AS3" s="63">
        <f t="shared" si="1"/>
        <v>0</v>
      </c>
      <c r="AT3" s="63">
        <f t="shared" si="1"/>
        <v>0</v>
      </c>
      <c r="AU3" s="63">
        <f t="shared" si="1"/>
        <v>0</v>
      </c>
      <c r="AV3" s="63">
        <f t="shared" si="1"/>
        <v>0</v>
      </c>
      <c r="AW3" s="63"/>
      <c r="AX3" s="63"/>
      <c r="AY3" s="63"/>
    </row>
    <row r="4" ht="12.75" customHeight="1">
      <c r="A4" s="63"/>
      <c r="B4" s="63"/>
      <c r="C4" s="410"/>
      <c r="D4" s="186"/>
      <c r="E4" s="63"/>
      <c r="F4" s="67"/>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row>
    <row r="5" ht="12.75" customHeight="1">
      <c r="A5" s="63"/>
      <c r="B5" s="63"/>
      <c r="C5" s="410"/>
      <c r="D5" s="186"/>
      <c r="E5" s="63"/>
      <c r="F5" s="67" t="s">
        <v>312</v>
      </c>
      <c r="G5" s="63"/>
      <c r="H5" s="63"/>
      <c r="I5" s="205">
        <f t="shared" ref="I5:AV5" si="2">SUMPRODUCT($D$12:$D$28,I12:I28)</f>
        <v>0</v>
      </c>
      <c r="J5" s="205">
        <f t="shared" si="2"/>
        <v>300000</v>
      </c>
      <c r="K5" s="205">
        <f t="shared" si="2"/>
        <v>440000</v>
      </c>
      <c r="L5" s="205">
        <f t="shared" si="2"/>
        <v>440000</v>
      </c>
      <c r="M5" s="205">
        <f t="shared" si="2"/>
        <v>440000</v>
      </c>
      <c r="N5" s="205">
        <f t="shared" si="2"/>
        <v>620000</v>
      </c>
      <c r="O5" s="205">
        <f t="shared" si="2"/>
        <v>620000</v>
      </c>
      <c r="P5" s="205">
        <f t="shared" si="2"/>
        <v>960000</v>
      </c>
      <c r="Q5" s="205">
        <f t="shared" si="2"/>
        <v>1540000</v>
      </c>
      <c r="R5" s="205">
        <f t="shared" si="2"/>
        <v>2320000</v>
      </c>
      <c r="S5" s="205">
        <f t="shared" si="2"/>
        <v>3380000</v>
      </c>
      <c r="T5" s="205">
        <f t="shared" si="2"/>
        <v>5380000</v>
      </c>
      <c r="U5" s="205">
        <f t="shared" si="2"/>
        <v>5720000</v>
      </c>
      <c r="V5" s="205">
        <f t="shared" si="2"/>
        <v>5660000</v>
      </c>
      <c r="W5" s="205">
        <f t="shared" si="2"/>
        <v>5660000</v>
      </c>
      <c r="X5" s="205">
        <f t="shared" si="2"/>
        <v>5660000</v>
      </c>
      <c r="Y5" s="205">
        <f t="shared" si="2"/>
        <v>5660000</v>
      </c>
      <c r="Z5" s="205">
        <f t="shared" si="2"/>
        <v>5660000</v>
      </c>
      <c r="AA5" s="205">
        <f t="shared" si="2"/>
        <v>5660000</v>
      </c>
      <c r="AB5" s="205">
        <f t="shared" si="2"/>
        <v>5660000</v>
      </c>
      <c r="AC5" s="205">
        <f t="shared" si="2"/>
        <v>5660000</v>
      </c>
      <c r="AD5" s="205">
        <f t="shared" si="2"/>
        <v>5660000</v>
      </c>
      <c r="AE5" s="205">
        <f t="shared" si="2"/>
        <v>5660000</v>
      </c>
      <c r="AF5" s="205">
        <f t="shared" si="2"/>
        <v>5660000</v>
      </c>
      <c r="AG5" s="205">
        <f t="shared" si="2"/>
        <v>5660000</v>
      </c>
      <c r="AH5" s="205">
        <f t="shared" si="2"/>
        <v>5660000</v>
      </c>
      <c r="AI5" s="205">
        <f t="shared" si="2"/>
        <v>5660000</v>
      </c>
      <c r="AJ5" s="205">
        <f t="shared" si="2"/>
        <v>5660000</v>
      </c>
      <c r="AK5" s="205">
        <f t="shared" si="2"/>
        <v>5660000</v>
      </c>
      <c r="AL5" s="205">
        <f t="shared" si="2"/>
        <v>5660000</v>
      </c>
      <c r="AM5" s="205">
        <f t="shared" si="2"/>
        <v>5660000</v>
      </c>
      <c r="AN5" s="205">
        <f t="shared" si="2"/>
        <v>5660000</v>
      </c>
      <c r="AO5" s="205">
        <f t="shared" si="2"/>
        <v>5660000</v>
      </c>
      <c r="AP5" s="205">
        <f t="shared" si="2"/>
        <v>5660000</v>
      </c>
      <c r="AQ5" s="205">
        <f t="shared" si="2"/>
        <v>5660000</v>
      </c>
      <c r="AR5" s="205">
        <f t="shared" si="2"/>
        <v>5660000</v>
      </c>
      <c r="AS5" s="205">
        <f t="shared" si="2"/>
        <v>5660000</v>
      </c>
      <c r="AT5" s="205">
        <f t="shared" si="2"/>
        <v>5660000</v>
      </c>
      <c r="AU5" s="205">
        <f t="shared" si="2"/>
        <v>5660000</v>
      </c>
      <c r="AV5" s="205">
        <f t="shared" si="2"/>
        <v>5660000</v>
      </c>
      <c r="AW5" s="63"/>
      <c r="AX5" s="63"/>
      <c r="AY5" s="63"/>
    </row>
    <row r="6" ht="12.75" customHeight="1" outlineLevel="1">
      <c r="A6" s="63"/>
      <c r="B6" s="63"/>
      <c r="C6" s="410"/>
      <c r="D6" s="186"/>
      <c r="E6" s="63"/>
      <c r="F6" s="67" t="s">
        <v>194</v>
      </c>
      <c r="G6" s="63"/>
      <c r="H6" s="63"/>
      <c r="I6" s="63"/>
      <c r="J6" s="115">
        <f>'Region office'!E16</f>
        <v>-458000</v>
      </c>
      <c r="K6" s="115">
        <f>'Region office'!F16</f>
        <v>-519689.1258</v>
      </c>
      <c r="L6" s="115">
        <f>'Region office'!G16</f>
        <v>-507871.4323</v>
      </c>
      <c r="M6" s="115">
        <f>'Region office'!H16</f>
        <v>-381384.2034</v>
      </c>
      <c r="N6" s="115">
        <f>'Region office'!I16</f>
        <v>-410878.8721</v>
      </c>
      <c r="O6" s="115">
        <f>'Region office'!J16</f>
        <v>77847.40641</v>
      </c>
      <c r="P6" s="115">
        <f>'Region office'!K16</f>
        <v>121356.2701</v>
      </c>
      <c r="Q6" s="115">
        <f>'Region office'!L16</f>
        <v>229439.6287</v>
      </c>
      <c r="R6" s="115">
        <f>'Region office'!M16</f>
        <v>591974.7323</v>
      </c>
      <c r="S6" s="115">
        <f>'Region office'!N16</f>
        <v>1495412.45</v>
      </c>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row>
    <row r="7" ht="12.75" customHeight="1">
      <c r="A7" s="63"/>
      <c r="B7" s="63"/>
      <c r="C7" s="410"/>
      <c r="D7" s="186"/>
      <c r="E7" s="63"/>
      <c r="F7" s="67" t="s">
        <v>273</v>
      </c>
      <c r="G7" s="63"/>
      <c r="H7" s="63"/>
      <c r="I7" s="86">
        <f t="shared" ref="I7:AV7" si="3">SUM(I12:I29)</f>
        <v>0</v>
      </c>
      <c r="J7" s="86">
        <f t="shared" si="3"/>
        <v>3</v>
      </c>
      <c r="K7" s="86">
        <f t="shared" si="3"/>
        <v>4</v>
      </c>
      <c r="L7" s="86">
        <f t="shared" si="3"/>
        <v>4</v>
      </c>
      <c r="M7" s="86">
        <f t="shared" si="3"/>
        <v>4</v>
      </c>
      <c r="N7" s="86">
        <f t="shared" si="3"/>
        <v>7</v>
      </c>
      <c r="O7" s="86">
        <f t="shared" si="3"/>
        <v>7</v>
      </c>
      <c r="P7" s="86">
        <f t="shared" si="3"/>
        <v>11</v>
      </c>
      <c r="Q7" s="86">
        <f t="shared" si="3"/>
        <v>18</v>
      </c>
      <c r="R7" s="86">
        <f t="shared" si="3"/>
        <v>28</v>
      </c>
      <c r="S7" s="86">
        <f t="shared" si="3"/>
        <v>42</v>
      </c>
      <c r="T7" s="86">
        <f t="shared" si="3"/>
        <v>66</v>
      </c>
      <c r="U7" s="86">
        <f t="shared" si="3"/>
        <v>70</v>
      </c>
      <c r="V7" s="86">
        <f t="shared" si="3"/>
        <v>69</v>
      </c>
      <c r="W7" s="86">
        <f t="shared" si="3"/>
        <v>69</v>
      </c>
      <c r="X7" s="86">
        <f t="shared" si="3"/>
        <v>69</v>
      </c>
      <c r="Y7" s="86">
        <f t="shared" si="3"/>
        <v>69</v>
      </c>
      <c r="Z7" s="86">
        <f t="shared" si="3"/>
        <v>69</v>
      </c>
      <c r="AA7" s="86">
        <f t="shared" si="3"/>
        <v>69</v>
      </c>
      <c r="AB7" s="86">
        <f t="shared" si="3"/>
        <v>69</v>
      </c>
      <c r="AC7" s="86">
        <f t="shared" si="3"/>
        <v>69</v>
      </c>
      <c r="AD7" s="86">
        <f t="shared" si="3"/>
        <v>69</v>
      </c>
      <c r="AE7" s="86">
        <f t="shared" si="3"/>
        <v>69</v>
      </c>
      <c r="AF7" s="86">
        <f t="shared" si="3"/>
        <v>69</v>
      </c>
      <c r="AG7" s="86">
        <f t="shared" si="3"/>
        <v>69</v>
      </c>
      <c r="AH7" s="86">
        <f t="shared" si="3"/>
        <v>69</v>
      </c>
      <c r="AI7" s="86">
        <f t="shared" si="3"/>
        <v>69</v>
      </c>
      <c r="AJ7" s="86">
        <f t="shared" si="3"/>
        <v>69</v>
      </c>
      <c r="AK7" s="86">
        <f t="shared" si="3"/>
        <v>69</v>
      </c>
      <c r="AL7" s="86">
        <f t="shared" si="3"/>
        <v>69</v>
      </c>
      <c r="AM7" s="86">
        <f t="shared" si="3"/>
        <v>69</v>
      </c>
      <c r="AN7" s="86">
        <f t="shared" si="3"/>
        <v>69</v>
      </c>
      <c r="AO7" s="86">
        <f t="shared" si="3"/>
        <v>69</v>
      </c>
      <c r="AP7" s="86">
        <f t="shared" si="3"/>
        <v>69</v>
      </c>
      <c r="AQ7" s="86">
        <f t="shared" si="3"/>
        <v>69</v>
      </c>
      <c r="AR7" s="86">
        <f t="shared" si="3"/>
        <v>69</v>
      </c>
      <c r="AS7" s="86">
        <f t="shared" si="3"/>
        <v>69</v>
      </c>
      <c r="AT7" s="86">
        <f t="shared" si="3"/>
        <v>69</v>
      </c>
      <c r="AU7" s="86">
        <f t="shared" si="3"/>
        <v>69</v>
      </c>
      <c r="AV7" s="86">
        <f t="shared" si="3"/>
        <v>69</v>
      </c>
      <c r="AW7" s="63"/>
      <c r="AX7" s="63"/>
      <c r="AY7" s="63"/>
    </row>
    <row r="8" ht="12.75" customHeight="1">
      <c r="B8" s="102"/>
      <c r="C8" s="400"/>
      <c r="D8" s="102"/>
      <c r="I8" s="102"/>
      <c r="J8" s="102"/>
      <c r="K8" s="102"/>
      <c r="L8" s="102"/>
      <c r="M8" s="102"/>
      <c r="N8" s="102"/>
      <c r="O8" s="102"/>
      <c r="P8" s="102"/>
      <c r="Q8" s="102"/>
      <c r="R8" s="102"/>
      <c r="S8" s="102"/>
      <c r="T8" s="102"/>
      <c r="U8" s="102"/>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row>
    <row r="9" ht="12.75" customHeight="1">
      <c r="A9" s="421"/>
      <c r="B9" s="422"/>
      <c r="C9" s="422"/>
      <c r="D9" s="489"/>
      <c r="E9" s="423" t="s">
        <v>869</v>
      </c>
      <c r="F9" s="490" t="s">
        <v>870</v>
      </c>
      <c r="G9" s="424" t="s">
        <v>1159</v>
      </c>
      <c r="H9" s="19"/>
      <c r="I9" s="426" t="s">
        <v>125</v>
      </c>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206" t="s">
        <v>878</v>
      </c>
      <c r="AX9" s="201"/>
      <c r="AY9" s="201"/>
    </row>
    <row r="10" ht="12.75" customHeight="1">
      <c r="A10" s="491"/>
      <c r="B10" s="426" t="s">
        <v>872</v>
      </c>
      <c r="C10" s="427" t="s">
        <v>135</v>
      </c>
      <c r="D10" s="429" t="s">
        <v>869</v>
      </c>
      <c r="E10" s="423" t="s">
        <v>1160</v>
      </c>
      <c r="F10" s="426" t="s">
        <v>874</v>
      </c>
      <c r="G10" s="429" t="s">
        <v>876</v>
      </c>
      <c r="H10" s="429" t="s">
        <v>1161</v>
      </c>
      <c r="I10" s="426">
        <v>-1.0</v>
      </c>
      <c r="J10" s="426">
        <v>0.0</v>
      </c>
      <c r="K10" s="426">
        <f t="shared" ref="K10:AV10" si="4">J10+1</f>
        <v>1</v>
      </c>
      <c r="L10" s="426">
        <f t="shared" si="4"/>
        <v>2</v>
      </c>
      <c r="M10" s="426">
        <f t="shared" si="4"/>
        <v>3</v>
      </c>
      <c r="N10" s="426">
        <f t="shared" si="4"/>
        <v>4</v>
      </c>
      <c r="O10" s="426">
        <f t="shared" si="4"/>
        <v>5</v>
      </c>
      <c r="P10" s="426">
        <f t="shared" si="4"/>
        <v>6</v>
      </c>
      <c r="Q10" s="426">
        <f t="shared" si="4"/>
        <v>7</v>
      </c>
      <c r="R10" s="426">
        <f t="shared" si="4"/>
        <v>8</v>
      </c>
      <c r="S10" s="426">
        <f t="shared" si="4"/>
        <v>9</v>
      </c>
      <c r="T10" s="426">
        <f t="shared" si="4"/>
        <v>10</v>
      </c>
      <c r="U10" s="426">
        <f t="shared" si="4"/>
        <v>11</v>
      </c>
      <c r="V10" s="426">
        <f t="shared" si="4"/>
        <v>12</v>
      </c>
      <c r="W10" s="426">
        <f t="shared" si="4"/>
        <v>13</v>
      </c>
      <c r="X10" s="426">
        <f t="shared" si="4"/>
        <v>14</v>
      </c>
      <c r="Y10" s="426">
        <f t="shared" si="4"/>
        <v>15</v>
      </c>
      <c r="Z10" s="426">
        <f t="shared" si="4"/>
        <v>16</v>
      </c>
      <c r="AA10" s="426">
        <f t="shared" si="4"/>
        <v>17</v>
      </c>
      <c r="AB10" s="426">
        <f t="shared" si="4"/>
        <v>18</v>
      </c>
      <c r="AC10" s="426">
        <f t="shared" si="4"/>
        <v>19</v>
      </c>
      <c r="AD10" s="426">
        <f t="shared" si="4"/>
        <v>20</v>
      </c>
      <c r="AE10" s="426">
        <f t="shared" si="4"/>
        <v>21</v>
      </c>
      <c r="AF10" s="426">
        <f t="shared" si="4"/>
        <v>22</v>
      </c>
      <c r="AG10" s="426">
        <f t="shared" si="4"/>
        <v>23</v>
      </c>
      <c r="AH10" s="426">
        <f t="shared" si="4"/>
        <v>24</v>
      </c>
      <c r="AI10" s="426">
        <f t="shared" si="4"/>
        <v>25</v>
      </c>
      <c r="AJ10" s="426">
        <f t="shared" si="4"/>
        <v>26</v>
      </c>
      <c r="AK10" s="426">
        <f t="shared" si="4"/>
        <v>27</v>
      </c>
      <c r="AL10" s="426">
        <f t="shared" si="4"/>
        <v>28</v>
      </c>
      <c r="AM10" s="426">
        <f t="shared" si="4"/>
        <v>29</v>
      </c>
      <c r="AN10" s="426">
        <f t="shared" si="4"/>
        <v>30</v>
      </c>
      <c r="AO10" s="426">
        <f t="shared" si="4"/>
        <v>31</v>
      </c>
      <c r="AP10" s="426">
        <f t="shared" si="4"/>
        <v>32</v>
      </c>
      <c r="AQ10" s="426">
        <f t="shared" si="4"/>
        <v>33</v>
      </c>
      <c r="AR10" s="426">
        <f t="shared" si="4"/>
        <v>34</v>
      </c>
      <c r="AS10" s="426">
        <f t="shared" si="4"/>
        <v>35</v>
      </c>
      <c r="AT10" s="426">
        <f t="shared" si="4"/>
        <v>36</v>
      </c>
      <c r="AU10" s="426">
        <f t="shared" si="4"/>
        <v>37</v>
      </c>
      <c r="AV10" s="426">
        <f t="shared" si="4"/>
        <v>38</v>
      </c>
      <c r="AW10" s="63"/>
      <c r="AX10" s="63" t="s">
        <v>1162</v>
      </c>
      <c r="AY10" s="63"/>
    </row>
    <row r="11" ht="12.75" customHeight="1">
      <c r="A11" s="62" t="s">
        <v>190</v>
      </c>
      <c r="C11" s="400"/>
      <c r="D11" s="102"/>
      <c r="H11" s="400"/>
      <c r="I11" s="102"/>
      <c r="J11" s="102"/>
      <c r="K11" s="102"/>
      <c r="L11" s="102"/>
      <c r="M11" s="102"/>
      <c r="N11" s="102"/>
      <c r="O11" s="102"/>
      <c r="P11" s="102"/>
      <c r="Q11" s="102"/>
      <c r="R11" s="102"/>
      <c r="S11" s="102"/>
      <c r="T11" s="102"/>
      <c r="U11" s="102"/>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row>
    <row r="12" ht="12.75" customHeight="1">
      <c r="A12" s="143" t="s">
        <v>41</v>
      </c>
      <c r="B12" s="143"/>
      <c r="C12" s="451" t="s">
        <v>137</v>
      </c>
      <c r="D12" s="309">
        <v>160000.0</v>
      </c>
      <c r="E12" s="437" t="s">
        <v>130</v>
      </c>
      <c r="F12" s="433">
        <v>6.0</v>
      </c>
      <c r="G12" s="438">
        <v>8.01</v>
      </c>
      <c r="H12" s="492" t="s">
        <v>124</v>
      </c>
      <c r="I12" s="435">
        <v>0.0</v>
      </c>
      <c r="J12" s="435">
        <v>0.0</v>
      </c>
      <c r="K12" s="435">
        <v>0.0</v>
      </c>
      <c r="L12" s="435">
        <v>0.0</v>
      </c>
      <c r="M12" s="435">
        <v>0.0</v>
      </c>
      <c r="N12" s="435">
        <v>0.0</v>
      </c>
      <c r="O12" s="435">
        <v>0.0</v>
      </c>
      <c r="P12" s="435">
        <f t="shared" ref="P12:AV12" si="5">IF(P$10&lt;$F12,0,1)+ROUNDDOWN(P13/$G12,0)</f>
        <v>1</v>
      </c>
      <c r="Q12" s="435">
        <f t="shared" si="5"/>
        <v>1</v>
      </c>
      <c r="R12" s="435">
        <f t="shared" si="5"/>
        <v>1</v>
      </c>
      <c r="S12" s="435">
        <f t="shared" si="5"/>
        <v>1</v>
      </c>
      <c r="T12" s="435">
        <f t="shared" si="5"/>
        <v>2</v>
      </c>
      <c r="U12" s="435">
        <f t="shared" si="5"/>
        <v>2</v>
      </c>
      <c r="V12" s="435">
        <f t="shared" si="5"/>
        <v>2</v>
      </c>
      <c r="W12" s="435">
        <f t="shared" si="5"/>
        <v>2</v>
      </c>
      <c r="X12" s="435">
        <f t="shared" si="5"/>
        <v>2</v>
      </c>
      <c r="Y12" s="435">
        <f t="shared" si="5"/>
        <v>2</v>
      </c>
      <c r="Z12" s="435">
        <f t="shared" si="5"/>
        <v>2</v>
      </c>
      <c r="AA12" s="435">
        <f t="shared" si="5"/>
        <v>2</v>
      </c>
      <c r="AB12" s="435">
        <f t="shared" si="5"/>
        <v>2</v>
      </c>
      <c r="AC12" s="435">
        <f t="shared" si="5"/>
        <v>2</v>
      </c>
      <c r="AD12" s="435">
        <f t="shared" si="5"/>
        <v>2</v>
      </c>
      <c r="AE12" s="435">
        <f t="shared" si="5"/>
        <v>2</v>
      </c>
      <c r="AF12" s="435">
        <f t="shared" si="5"/>
        <v>2</v>
      </c>
      <c r="AG12" s="435">
        <f t="shared" si="5"/>
        <v>2</v>
      </c>
      <c r="AH12" s="435">
        <f t="shared" si="5"/>
        <v>2</v>
      </c>
      <c r="AI12" s="435">
        <f t="shared" si="5"/>
        <v>2</v>
      </c>
      <c r="AJ12" s="435">
        <f t="shared" si="5"/>
        <v>2</v>
      </c>
      <c r="AK12" s="435">
        <f t="shared" si="5"/>
        <v>2</v>
      </c>
      <c r="AL12" s="435">
        <f t="shared" si="5"/>
        <v>2</v>
      </c>
      <c r="AM12" s="435">
        <f t="shared" si="5"/>
        <v>2</v>
      </c>
      <c r="AN12" s="435">
        <f t="shared" si="5"/>
        <v>2</v>
      </c>
      <c r="AO12" s="435">
        <f t="shared" si="5"/>
        <v>2</v>
      </c>
      <c r="AP12" s="435">
        <f t="shared" si="5"/>
        <v>2</v>
      </c>
      <c r="AQ12" s="435">
        <f t="shared" si="5"/>
        <v>2</v>
      </c>
      <c r="AR12" s="435">
        <f t="shared" si="5"/>
        <v>2</v>
      </c>
      <c r="AS12" s="435">
        <f t="shared" si="5"/>
        <v>2</v>
      </c>
      <c r="AT12" s="435">
        <f t="shared" si="5"/>
        <v>2</v>
      </c>
      <c r="AU12" s="435">
        <f t="shared" si="5"/>
        <v>2</v>
      </c>
      <c r="AV12" s="435">
        <f t="shared" si="5"/>
        <v>2</v>
      </c>
      <c r="AW12" s="493" t="s">
        <v>1013</v>
      </c>
      <c r="AX12" s="90"/>
      <c r="AY12" s="90"/>
    </row>
    <row r="13" ht="12.75" customHeight="1">
      <c r="A13" s="430" t="s">
        <v>44</v>
      </c>
      <c r="B13" s="143"/>
      <c r="C13" s="451" t="s">
        <v>137</v>
      </c>
      <c r="D13" s="309">
        <v>140000.0</v>
      </c>
      <c r="E13" s="437" t="s">
        <v>129</v>
      </c>
      <c r="F13" s="433">
        <v>1.0</v>
      </c>
      <c r="G13" s="438">
        <v>8.01</v>
      </c>
      <c r="H13" s="492" t="s">
        <v>124</v>
      </c>
      <c r="I13" s="435">
        <v>0.0</v>
      </c>
      <c r="J13" s="435">
        <v>0.0</v>
      </c>
      <c r="K13" s="435">
        <v>1.0</v>
      </c>
      <c r="L13" s="435">
        <v>1.0</v>
      </c>
      <c r="M13" s="435">
        <v>1.0</v>
      </c>
      <c r="N13" s="435">
        <v>1.0</v>
      </c>
      <c r="O13" s="435">
        <v>1.0</v>
      </c>
      <c r="P13" s="435">
        <f>IF($F13="",IF(P2/$G13&lt;0.5,0,ROUNDUP(P2/$G13,0)),IF(P$10&lt;$F13,0,1)+ROUNDDOWN(P2/$G13,0))-1</f>
        <v>1</v>
      </c>
      <c r="Q13" s="435">
        <f t="shared" ref="Q13:AV13" si="6">IF($F13="",IF(Q2/$G13&lt;0.5,0,ROUNDUP(Q2/$G13,0)),IF(Q$10&lt;$F13,0,1)+ROUNDDOWN(Q2/$G13,0))</f>
        <v>3</v>
      </c>
      <c r="R13" s="435">
        <f t="shared" si="6"/>
        <v>5</v>
      </c>
      <c r="S13" s="435">
        <f t="shared" si="6"/>
        <v>7</v>
      </c>
      <c r="T13" s="435">
        <f t="shared" si="6"/>
        <v>12</v>
      </c>
      <c r="U13" s="435">
        <f t="shared" si="6"/>
        <v>13</v>
      </c>
      <c r="V13" s="435">
        <f t="shared" si="6"/>
        <v>13</v>
      </c>
      <c r="W13" s="435">
        <f t="shared" si="6"/>
        <v>13</v>
      </c>
      <c r="X13" s="435">
        <f t="shared" si="6"/>
        <v>13</v>
      </c>
      <c r="Y13" s="435">
        <f t="shared" si="6"/>
        <v>13</v>
      </c>
      <c r="Z13" s="435">
        <f t="shared" si="6"/>
        <v>13</v>
      </c>
      <c r="AA13" s="435">
        <f t="shared" si="6"/>
        <v>13</v>
      </c>
      <c r="AB13" s="435">
        <f t="shared" si="6"/>
        <v>13</v>
      </c>
      <c r="AC13" s="435">
        <f t="shared" si="6"/>
        <v>13</v>
      </c>
      <c r="AD13" s="435">
        <f t="shared" si="6"/>
        <v>13</v>
      </c>
      <c r="AE13" s="435">
        <f t="shared" si="6"/>
        <v>13</v>
      </c>
      <c r="AF13" s="435">
        <f t="shared" si="6"/>
        <v>13</v>
      </c>
      <c r="AG13" s="435">
        <f t="shared" si="6"/>
        <v>13</v>
      </c>
      <c r="AH13" s="435">
        <f t="shared" si="6"/>
        <v>13</v>
      </c>
      <c r="AI13" s="435">
        <f t="shared" si="6"/>
        <v>13</v>
      </c>
      <c r="AJ13" s="435">
        <f t="shared" si="6"/>
        <v>13</v>
      </c>
      <c r="AK13" s="435">
        <f t="shared" si="6"/>
        <v>13</v>
      </c>
      <c r="AL13" s="435">
        <f t="shared" si="6"/>
        <v>13</v>
      </c>
      <c r="AM13" s="435">
        <f t="shared" si="6"/>
        <v>13</v>
      </c>
      <c r="AN13" s="435">
        <f t="shared" si="6"/>
        <v>13</v>
      </c>
      <c r="AO13" s="435">
        <f t="shared" si="6"/>
        <v>13</v>
      </c>
      <c r="AP13" s="435">
        <f t="shared" si="6"/>
        <v>13</v>
      </c>
      <c r="AQ13" s="435">
        <f t="shared" si="6"/>
        <v>13</v>
      </c>
      <c r="AR13" s="435">
        <f t="shared" si="6"/>
        <v>13</v>
      </c>
      <c r="AS13" s="435">
        <f t="shared" si="6"/>
        <v>13</v>
      </c>
      <c r="AT13" s="435">
        <f t="shared" si="6"/>
        <v>13</v>
      </c>
      <c r="AU13" s="435">
        <f t="shared" si="6"/>
        <v>13</v>
      </c>
      <c r="AV13" s="435">
        <f t="shared" si="6"/>
        <v>13</v>
      </c>
      <c r="AW13" s="493" t="s">
        <v>1014</v>
      </c>
      <c r="AX13" s="90"/>
      <c r="AY13" s="90"/>
    </row>
    <row r="14" ht="12.75" customHeight="1">
      <c r="A14" s="430" t="s">
        <v>1015</v>
      </c>
      <c r="B14" s="143"/>
      <c r="C14" s="451" t="s">
        <v>139</v>
      </c>
      <c r="D14" s="309">
        <v>100000.0</v>
      </c>
      <c r="E14" s="437" t="s">
        <v>127</v>
      </c>
      <c r="F14" s="433">
        <v>0.0</v>
      </c>
      <c r="G14" s="438"/>
      <c r="H14" s="492"/>
      <c r="I14" s="435">
        <v>0.0</v>
      </c>
      <c r="J14" s="435">
        <v>1.0</v>
      </c>
      <c r="K14" s="435">
        <v>1.0</v>
      </c>
      <c r="L14" s="435">
        <v>1.0</v>
      </c>
      <c r="M14" s="435">
        <v>1.0</v>
      </c>
      <c r="N14" s="435">
        <v>1.0</v>
      </c>
      <c r="O14" s="435">
        <v>1.0</v>
      </c>
      <c r="P14" s="435">
        <f t="shared" ref="P14:AV14" si="7">IF(P$10&lt;$F14,0,1)</f>
        <v>1</v>
      </c>
      <c r="Q14" s="435">
        <f t="shared" si="7"/>
        <v>1</v>
      </c>
      <c r="R14" s="435">
        <f t="shared" si="7"/>
        <v>1</v>
      </c>
      <c r="S14" s="435">
        <f t="shared" si="7"/>
        <v>1</v>
      </c>
      <c r="T14" s="435">
        <f t="shared" si="7"/>
        <v>1</v>
      </c>
      <c r="U14" s="435">
        <f t="shared" si="7"/>
        <v>1</v>
      </c>
      <c r="V14" s="435">
        <f t="shared" si="7"/>
        <v>1</v>
      </c>
      <c r="W14" s="435">
        <f t="shared" si="7"/>
        <v>1</v>
      </c>
      <c r="X14" s="435">
        <f t="shared" si="7"/>
        <v>1</v>
      </c>
      <c r="Y14" s="435">
        <f t="shared" si="7"/>
        <v>1</v>
      </c>
      <c r="Z14" s="435">
        <f t="shared" si="7"/>
        <v>1</v>
      </c>
      <c r="AA14" s="435">
        <f t="shared" si="7"/>
        <v>1</v>
      </c>
      <c r="AB14" s="435">
        <f t="shared" si="7"/>
        <v>1</v>
      </c>
      <c r="AC14" s="435">
        <f t="shared" si="7"/>
        <v>1</v>
      </c>
      <c r="AD14" s="435">
        <f t="shared" si="7"/>
        <v>1</v>
      </c>
      <c r="AE14" s="435">
        <f t="shared" si="7"/>
        <v>1</v>
      </c>
      <c r="AF14" s="435">
        <f t="shared" si="7"/>
        <v>1</v>
      </c>
      <c r="AG14" s="435">
        <f t="shared" si="7"/>
        <v>1</v>
      </c>
      <c r="AH14" s="435">
        <f t="shared" si="7"/>
        <v>1</v>
      </c>
      <c r="AI14" s="435">
        <f t="shared" si="7"/>
        <v>1</v>
      </c>
      <c r="AJ14" s="435">
        <f t="shared" si="7"/>
        <v>1</v>
      </c>
      <c r="AK14" s="435">
        <f t="shared" si="7"/>
        <v>1</v>
      </c>
      <c r="AL14" s="435">
        <f t="shared" si="7"/>
        <v>1</v>
      </c>
      <c r="AM14" s="435">
        <f t="shared" si="7"/>
        <v>1</v>
      </c>
      <c r="AN14" s="435">
        <f t="shared" si="7"/>
        <v>1</v>
      </c>
      <c r="AO14" s="435">
        <f t="shared" si="7"/>
        <v>1</v>
      </c>
      <c r="AP14" s="435">
        <f t="shared" si="7"/>
        <v>1</v>
      </c>
      <c r="AQ14" s="435">
        <f t="shared" si="7"/>
        <v>1</v>
      </c>
      <c r="AR14" s="435">
        <f t="shared" si="7"/>
        <v>1</v>
      </c>
      <c r="AS14" s="435">
        <f t="shared" si="7"/>
        <v>1</v>
      </c>
      <c r="AT14" s="435">
        <f t="shared" si="7"/>
        <v>1</v>
      </c>
      <c r="AU14" s="435">
        <f t="shared" si="7"/>
        <v>1</v>
      </c>
      <c r="AV14" s="435">
        <f t="shared" si="7"/>
        <v>1</v>
      </c>
      <c r="AW14" s="493" t="s">
        <v>1016</v>
      </c>
      <c r="AX14" s="90"/>
      <c r="AY14" s="90"/>
    </row>
    <row r="15" ht="12.75" customHeight="1">
      <c r="A15" s="430" t="s">
        <v>1017</v>
      </c>
      <c r="B15" s="143"/>
      <c r="C15" s="451"/>
      <c r="D15" s="309">
        <v>80000.0</v>
      </c>
      <c r="E15" s="437" t="s">
        <v>126</v>
      </c>
      <c r="F15" s="433"/>
      <c r="G15" s="438">
        <v>8.01</v>
      </c>
      <c r="H15" s="492" t="s">
        <v>124</v>
      </c>
      <c r="I15" s="435">
        <v>0.0</v>
      </c>
      <c r="J15" s="435">
        <v>0.0</v>
      </c>
      <c r="K15" s="435">
        <v>0.0</v>
      </c>
      <c r="L15" s="435">
        <v>0.0</v>
      </c>
      <c r="M15" s="435">
        <v>0.0</v>
      </c>
      <c r="N15" s="435">
        <v>0.0</v>
      </c>
      <c r="O15" s="435">
        <v>0.0</v>
      </c>
      <c r="P15" s="435">
        <f t="shared" ref="P15:AV15" si="8">IF($F15="",IF(P16/$G15&lt;0.5,0,ROUNDUP(P16/$G15,0)),IF(P$10&lt;$F15,0,1)+ROUNDDOWN(P16/$G15,0))</f>
        <v>0</v>
      </c>
      <c r="Q15" s="435">
        <f t="shared" si="8"/>
        <v>0</v>
      </c>
      <c r="R15" s="435">
        <f t="shared" si="8"/>
        <v>0</v>
      </c>
      <c r="S15" s="435">
        <f t="shared" si="8"/>
        <v>1</v>
      </c>
      <c r="T15" s="435">
        <f t="shared" si="8"/>
        <v>2</v>
      </c>
      <c r="U15" s="435">
        <f t="shared" si="8"/>
        <v>2</v>
      </c>
      <c r="V15" s="435">
        <f t="shared" si="8"/>
        <v>2</v>
      </c>
      <c r="W15" s="435">
        <f t="shared" si="8"/>
        <v>2</v>
      </c>
      <c r="X15" s="435">
        <f t="shared" si="8"/>
        <v>2</v>
      </c>
      <c r="Y15" s="435">
        <f t="shared" si="8"/>
        <v>2</v>
      </c>
      <c r="Z15" s="435">
        <f t="shared" si="8"/>
        <v>2</v>
      </c>
      <c r="AA15" s="435">
        <f t="shared" si="8"/>
        <v>2</v>
      </c>
      <c r="AB15" s="435">
        <f t="shared" si="8"/>
        <v>2</v>
      </c>
      <c r="AC15" s="435">
        <f t="shared" si="8"/>
        <v>2</v>
      </c>
      <c r="AD15" s="435">
        <f t="shared" si="8"/>
        <v>2</v>
      </c>
      <c r="AE15" s="435">
        <f t="shared" si="8"/>
        <v>2</v>
      </c>
      <c r="AF15" s="435">
        <f t="shared" si="8"/>
        <v>2</v>
      </c>
      <c r="AG15" s="435">
        <f t="shared" si="8"/>
        <v>2</v>
      </c>
      <c r="AH15" s="435">
        <f t="shared" si="8"/>
        <v>2</v>
      </c>
      <c r="AI15" s="435">
        <f t="shared" si="8"/>
        <v>2</v>
      </c>
      <c r="AJ15" s="435">
        <f t="shared" si="8"/>
        <v>2</v>
      </c>
      <c r="AK15" s="435">
        <f t="shared" si="8"/>
        <v>2</v>
      </c>
      <c r="AL15" s="435">
        <f t="shared" si="8"/>
        <v>2</v>
      </c>
      <c r="AM15" s="435">
        <f t="shared" si="8"/>
        <v>2</v>
      </c>
      <c r="AN15" s="435">
        <f t="shared" si="8"/>
        <v>2</v>
      </c>
      <c r="AO15" s="435">
        <f t="shared" si="8"/>
        <v>2</v>
      </c>
      <c r="AP15" s="435">
        <f t="shared" si="8"/>
        <v>2</v>
      </c>
      <c r="AQ15" s="435">
        <f t="shared" si="8"/>
        <v>2</v>
      </c>
      <c r="AR15" s="435">
        <f t="shared" si="8"/>
        <v>2</v>
      </c>
      <c r="AS15" s="435">
        <f t="shared" si="8"/>
        <v>2</v>
      </c>
      <c r="AT15" s="435">
        <f t="shared" si="8"/>
        <v>2</v>
      </c>
      <c r="AU15" s="435">
        <f t="shared" si="8"/>
        <v>2</v>
      </c>
      <c r="AV15" s="435">
        <f t="shared" si="8"/>
        <v>2</v>
      </c>
      <c r="AW15" s="493" t="s">
        <v>1018</v>
      </c>
      <c r="AX15" s="90"/>
      <c r="AY15" s="90"/>
    </row>
    <row r="16" ht="12.75" customHeight="1">
      <c r="A16" s="430" t="s">
        <v>1019</v>
      </c>
      <c r="B16" s="143"/>
      <c r="C16" s="451"/>
      <c r="D16" s="309">
        <v>60000.0</v>
      </c>
      <c r="E16" s="437" t="s">
        <v>124</v>
      </c>
      <c r="F16" s="433">
        <v>4.0</v>
      </c>
      <c r="G16" s="438">
        <v>10.01</v>
      </c>
      <c r="H16" s="492" t="s">
        <v>48</v>
      </c>
      <c r="I16" s="435">
        <v>0.0</v>
      </c>
      <c r="J16" s="435">
        <v>0.0</v>
      </c>
      <c r="K16" s="435">
        <v>0.0</v>
      </c>
      <c r="L16" s="435">
        <v>0.0</v>
      </c>
      <c r="M16" s="435">
        <v>0.0</v>
      </c>
      <c r="N16" s="435">
        <v>1.0</v>
      </c>
      <c r="O16" s="435">
        <v>1.0</v>
      </c>
      <c r="P16" s="435">
        <v>1.0</v>
      </c>
      <c r="Q16" s="435">
        <v>2.0</v>
      </c>
      <c r="R16" s="435">
        <f t="shared" ref="R16:AV16" si="9">IF($F16="",IF(R$2/$G16&lt;0.5,0,ROUNDUP(R$2/$G16,0)),IF(R$10&lt;$F16,0,1)+ROUNDDOWN(R$2/$G16,0))</f>
        <v>4</v>
      </c>
      <c r="S16" s="435">
        <f t="shared" si="9"/>
        <v>6</v>
      </c>
      <c r="T16" s="435">
        <f t="shared" si="9"/>
        <v>9</v>
      </c>
      <c r="U16" s="435">
        <f t="shared" si="9"/>
        <v>10</v>
      </c>
      <c r="V16" s="435">
        <f t="shared" si="9"/>
        <v>10</v>
      </c>
      <c r="W16" s="435">
        <f t="shared" si="9"/>
        <v>10</v>
      </c>
      <c r="X16" s="435">
        <f t="shared" si="9"/>
        <v>10</v>
      </c>
      <c r="Y16" s="435">
        <f t="shared" si="9"/>
        <v>10</v>
      </c>
      <c r="Z16" s="435">
        <f t="shared" si="9"/>
        <v>10</v>
      </c>
      <c r="AA16" s="435">
        <f t="shared" si="9"/>
        <v>10</v>
      </c>
      <c r="AB16" s="435">
        <f t="shared" si="9"/>
        <v>10</v>
      </c>
      <c r="AC16" s="435">
        <f t="shared" si="9"/>
        <v>10</v>
      </c>
      <c r="AD16" s="435">
        <f t="shared" si="9"/>
        <v>10</v>
      </c>
      <c r="AE16" s="435">
        <f t="shared" si="9"/>
        <v>10</v>
      </c>
      <c r="AF16" s="435">
        <f t="shared" si="9"/>
        <v>10</v>
      </c>
      <c r="AG16" s="435">
        <f t="shared" si="9"/>
        <v>10</v>
      </c>
      <c r="AH16" s="435">
        <f t="shared" si="9"/>
        <v>10</v>
      </c>
      <c r="AI16" s="435">
        <f t="shared" si="9"/>
        <v>10</v>
      </c>
      <c r="AJ16" s="435">
        <f t="shared" si="9"/>
        <v>10</v>
      </c>
      <c r="AK16" s="435">
        <f t="shared" si="9"/>
        <v>10</v>
      </c>
      <c r="AL16" s="435">
        <f t="shared" si="9"/>
        <v>10</v>
      </c>
      <c r="AM16" s="435">
        <f t="shared" si="9"/>
        <v>10</v>
      </c>
      <c r="AN16" s="435">
        <f t="shared" si="9"/>
        <v>10</v>
      </c>
      <c r="AO16" s="435">
        <f t="shared" si="9"/>
        <v>10</v>
      </c>
      <c r="AP16" s="435">
        <f t="shared" si="9"/>
        <v>10</v>
      </c>
      <c r="AQ16" s="435">
        <f t="shared" si="9"/>
        <v>10</v>
      </c>
      <c r="AR16" s="435">
        <f t="shared" si="9"/>
        <v>10</v>
      </c>
      <c r="AS16" s="435">
        <f t="shared" si="9"/>
        <v>10</v>
      </c>
      <c r="AT16" s="435">
        <f t="shared" si="9"/>
        <v>10</v>
      </c>
      <c r="AU16" s="435">
        <f t="shared" si="9"/>
        <v>10</v>
      </c>
      <c r="AV16" s="435">
        <f t="shared" si="9"/>
        <v>10</v>
      </c>
      <c r="AW16" s="493" t="s">
        <v>1020</v>
      </c>
      <c r="AX16" s="90"/>
      <c r="AY16" s="90"/>
    </row>
    <row r="17" ht="12.75" customHeight="1">
      <c r="A17" s="430" t="s">
        <v>1021</v>
      </c>
      <c r="B17" s="143"/>
      <c r="C17" s="451" t="s">
        <v>138</v>
      </c>
      <c r="D17" s="309">
        <v>100000.0</v>
      </c>
      <c r="E17" s="437" t="s">
        <v>127</v>
      </c>
      <c r="F17" s="433">
        <v>0.0</v>
      </c>
      <c r="G17" s="438">
        <v>8.01</v>
      </c>
      <c r="H17" s="492" t="s">
        <v>124</v>
      </c>
      <c r="I17" s="435">
        <v>0.0</v>
      </c>
      <c r="J17" s="435">
        <v>1.0</v>
      </c>
      <c r="K17" s="435">
        <v>1.0</v>
      </c>
      <c r="L17" s="435">
        <v>1.0</v>
      </c>
      <c r="M17" s="435">
        <v>1.0</v>
      </c>
      <c r="N17" s="435">
        <v>1.0</v>
      </c>
      <c r="O17" s="435">
        <v>1.0</v>
      </c>
      <c r="P17" s="435">
        <f t="shared" ref="P17:AV17" si="10">IF($F17="",IF(P18/$G17&lt;0.5,0,ROUNDUP(P18/$G17,0)),IF(P$10&lt;$F17,0,1)+ROUNDDOWN(P18/$G17,0))</f>
        <v>1</v>
      </c>
      <c r="Q17" s="435">
        <f t="shared" si="10"/>
        <v>1</v>
      </c>
      <c r="R17" s="435">
        <f t="shared" si="10"/>
        <v>1</v>
      </c>
      <c r="S17" s="435">
        <f t="shared" si="10"/>
        <v>1</v>
      </c>
      <c r="T17" s="435">
        <f t="shared" si="10"/>
        <v>1</v>
      </c>
      <c r="U17" s="435">
        <f t="shared" si="10"/>
        <v>1</v>
      </c>
      <c r="V17" s="435">
        <f t="shared" si="10"/>
        <v>1</v>
      </c>
      <c r="W17" s="435">
        <f t="shared" si="10"/>
        <v>1</v>
      </c>
      <c r="X17" s="435">
        <f t="shared" si="10"/>
        <v>1</v>
      </c>
      <c r="Y17" s="435">
        <f t="shared" si="10"/>
        <v>1</v>
      </c>
      <c r="Z17" s="435">
        <f t="shared" si="10"/>
        <v>1</v>
      </c>
      <c r="AA17" s="435">
        <f t="shared" si="10"/>
        <v>1</v>
      </c>
      <c r="AB17" s="435">
        <f t="shared" si="10"/>
        <v>1</v>
      </c>
      <c r="AC17" s="435">
        <f t="shared" si="10"/>
        <v>1</v>
      </c>
      <c r="AD17" s="435">
        <f t="shared" si="10"/>
        <v>1</v>
      </c>
      <c r="AE17" s="435">
        <f t="shared" si="10"/>
        <v>1</v>
      </c>
      <c r="AF17" s="435">
        <f t="shared" si="10"/>
        <v>1</v>
      </c>
      <c r="AG17" s="435">
        <f t="shared" si="10"/>
        <v>1</v>
      </c>
      <c r="AH17" s="435">
        <f t="shared" si="10"/>
        <v>1</v>
      </c>
      <c r="AI17" s="435">
        <f t="shared" si="10"/>
        <v>1</v>
      </c>
      <c r="AJ17" s="435">
        <f t="shared" si="10"/>
        <v>1</v>
      </c>
      <c r="AK17" s="435">
        <f t="shared" si="10"/>
        <v>1</v>
      </c>
      <c r="AL17" s="435">
        <f t="shared" si="10"/>
        <v>1</v>
      </c>
      <c r="AM17" s="435">
        <f t="shared" si="10"/>
        <v>1</v>
      </c>
      <c r="AN17" s="435">
        <f t="shared" si="10"/>
        <v>1</v>
      </c>
      <c r="AO17" s="435">
        <f t="shared" si="10"/>
        <v>1</v>
      </c>
      <c r="AP17" s="435">
        <f t="shared" si="10"/>
        <v>1</v>
      </c>
      <c r="AQ17" s="435">
        <f t="shared" si="10"/>
        <v>1</v>
      </c>
      <c r="AR17" s="435">
        <f t="shared" si="10"/>
        <v>1</v>
      </c>
      <c r="AS17" s="435">
        <f t="shared" si="10"/>
        <v>1</v>
      </c>
      <c r="AT17" s="435">
        <f t="shared" si="10"/>
        <v>1</v>
      </c>
      <c r="AU17" s="435">
        <f t="shared" si="10"/>
        <v>1</v>
      </c>
      <c r="AV17" s="435">
        <f t="shared" si="10"/>
        <v>1</v>
      </c>
      <c r="AW17" s="493" t="s">
        <v>1022</v>
      </c>
      <c r="AX17" s="90"/>
      <c r="AY17" s="90"/>
    </row>
    <row r="18" ht="12.75" customHeight="1">
      <c r="A18" s="430" t="s">
        <v>1023</v>
      </c>
      <c r="B18" s="143"/>
      <c r="C18" s="451"/>
      <c r="D18" s="309">
        <v>80000.0</v>
      </c>
      <c r="E18" s="437" t="s">
        <v>126</v>
      </c>
      <c r="F18" s="433"/>
      <c r="G18" s="438">
        <v>8.01</v>
      </c>
      <c r="H18" s="492" t="s">
        <v>124</v>
      </c>
      <c r="I18" s="435">
        <v>0.0</v>
      </c>
      <c r="J18" s="435">
        <v>0.0</v>
      </c>
      <c r="K18" s="435">
        <v>0.0</v>
      </c>
      <c r="L18" s="435">
        <v>0.0</v>
      </c>
      <c r="M18" s="435">
        <v>0.0</v>
      </c>
      <c r="N18" s="435">
        <v>0.0</v>
      </c>
      <c r="O18" s="435">
        <v>0.0</v>
      </c>
      <c r="P18" s="435">
        <f t="shared" ref="P18:AV18" si="11">IF($F18="",IF(SUM(P19:P20)/$G18&lt;0.5,0,ROUNDUP(SUM(P19:P20)/$G18,0)),IF(P$10&lt;$F18,0,1)+ROUNDDOWN(SUM(P19:P20)/$G18,0))</f>
        <v>0</v>
      </c>
      <c r="Q18" s="435">
        <f t="shared" si="11"/>
        <v>0</v>
      </c>
      <c r="R18" s="435">
        <f t="shared" si="11"/>
        <v>1</v>
      </c>
      <c r="S18" s="435">
        <f t="shared" si="11"/>
        <v>1</v>
      </c>
      <c r="T18" s="435">
        <f t="shared" si="11"/>
        <v>2</v>
      </c>
      <c r="U18" s="435">
        <f t="shared" si="11"/>
        <v>2</v>
      </c>
      <c r="V18" s="435">
        <f t="shared" si="11"/>
        <v>2</v>
      </c>
      <c r="W18" s="435">
        <f t="shared" si="11"/>
        <v>2</v>
      </c>
      <c r="X18" s="435">
        <f t="shared" si="11"/>
        <v>2</v>
      </c>
      <c r="Y18" s="435">
        <f t="shared" si="11"/>
        <v>2</v>
      </c>
      <c r="Z18" s="435">
        <f t="shared" si="11"/>
        <v>2</v>
      </c>
      <c r="AA18" s="435">
        <f t="shared" si="11"/>
        <v>2</v>
      </c>
      <c r="AB18" s="435">
        <f t="shared" si="11"/>
        <v>2</v>
      </c>
      <c r="AC18" s="435">
        <f t="shared" si="11"/>
        <v>2</v>
      </c>
      <c r="AD18" s="435">
        <f t="shared" si="11"/>
        <v>2</v>
      </c>
      <c r="AE18" s="435">
        <f t="shared" si="11"/>
        <v>2</v>
      </c>
      <c r="AF18" s="435">
        <f t="shared" si="11"/>
        <v>2</v>
      </c>
      <c r="AG18" s="435">
        <f t="shared" si="11"/>
        <v>2</v>
      </c>
      <c r="AH18" s="435">
        <f t="shared" si="11"/>
        <v>2</v>
      </c>
      <c r="AI18" s="435">
        <f t="shared" si="11"/>
        <v>2</v>
      </c>
      <c r="AJ18" s="435">
        <f t="shared" si="11"/>
        <v>2</v>
      </c>
      <c r="AK18" s="435">
        <f t="shared" si="11"/>
        <v>2</v>
      </c>
      <c r="AL18" s="435">
        <f t="shared" si="11"/>
        <v>2</v>
      </c>
      <c r="AM18" s="435">
        <f t="shared" si="11"/>
        <v>2</v>
      </c>
      <c r="AN18" s="435">
        <f t="shared" si="11"/>
        <v>2</v>
      </c>
      <c r="AO18" s="435">
        <f t="shared" si="11"/>
        <v>2</v>
      </c>
      <c r="AP18" s="435">
        <f t="shared" si="11"/>
        <v>2</v>
      </c>
      <c r="AQ18" s="435">
        <f t="shared" si="11"/>
        <v>2</v>
      </c>
      <c r="AR18" s="435">
        <f t="shared" si="11"/>
        <v>2</v>
      </c>
      <c r="AS18" s="435">
        <f t="shared" si="11"/>
        <v>2</v>
      </c>
      <c r="AT18" s="435">
        <f t="shared" si="11"/>
        <v>2</v>
      </c>
      <c r="AU18" s="435">
        <f t="shared" si="11"/>
        <v>2</v>
      </c>
      <c r="AV18" s="435">
        <f t="shared" si="11"/>
        <v>2</v>
      </c>
      <c r="AW18" s="493" t="s">
        <v>1018</v>
      </c>
      <c r="AX18" s="90"/>
      <c r="AY18" s="90"/>
    </row>
    <row r="19" ht="12.75" customHeight="1">
      <c r="A19" s="430" t="s">
        <v>1024</v>
      </c>
      <c r="B19" s="143"/>
      <c r="C19" s="451"/>
      <c r="D19" s="309">
        <v>60000.0</v>
      </c>
      <c r="E19" s="437" t="s">
        <v>124</v>
      </c>
      <c r="F19" s="433">
        <v>5.0</v>
      </c>
      <c r="G19" s="438">
        <v>8.01</v>
      </c>
      <c r="H19" s="492" t="s">
        <v>88</v>
      </c>
      <c r="I19" s="435">
        <v>0.0</v>
      </c>
      <c r="J19" s="435">
        <v>0.0</v>
      </c>
      <c r="K19" s="435">
        <v>0.0</v>
      </c>
      <c r="L19" s="435">
        <v>0.0</v>
      </c>
      <c r="M19" s="435">
        <v>0.0</v>
      </c>
      <c r="N19" s="435">
        <v>1.0</v>
      </c>
      <c r="O19" s="435">
        <v>1.0</v>
      </c>
      <c r="P19" s="435">
        <f t="shared" ref="P19:AV19" si="12">IF($F19="",IF((P$2-O$2)/$G19&lt;0.5,0,ROUNDUP((P$2-O$2)/$G19,0)),IF(P$10&lt;$F19,0,1)+ROUNDDOWN((P$2-O$2)/$G19,0))</f>
        <v>1</v>
      </c>
      <c r="Q19" s="435">
        <f t="shared" si="12"/>
        <v>1</v>
      </c>
      <c r="R19" s="435">
        <f t="shared" si="12"/>
        <v>2</v>
      </c>
      <c r="S19" s="435">
        <f t="shared" si="12"/>
        <v>3</v>
      </c>
      <c r="T19" s="435">
        <f t="shared" si="12"/>
        <v>5</v>
      </c>
      <c r="U19" s="435">
        <f t="shared" si="12"/>
        <v>2</v>
      </c>
      <c r="V19" s="435">
        <f t="shared" si="12"/>
        <v>1</v>
      </c>
      <c r="W19" s="435">
        <f t="shared" si="12"/>
        <v>1</v>
      </c>
      <c r="X19" s="435">
        <f t="shared" si="12"/>
        <v>1</v>
      </c>
      <c r="Y19" s="435">
        <f t="shared" si="12"/>
        <v>1</v>
      </c>
      <c r="Z19" s="435">
        <f t="shared" si="12"/>
        <v>1</v>
      </c>
      <c r="AA19" s="435">
        <f t="shared" si="12"/>
        <v>1</v>
      </c>
      <c r="AB19" s="435">
        <f t="shared" si="12"/>
        <v>1</v>
      </c>
      <c r="AC19" s="435">
        <f t="shared" si="12"/>
        <v>1</v>
      </c>
      <c r="AD19" s="435">
        <f t="shared" si="12"/>
        <v>1</v>
      </c>
      <c r="AE19" s="435">
        <f t="shared" si="12"/>
        <v>1</v>
      </c>
      <c r="AF19" s="435">
        <f t="shared" si="12"/>
        <v>1</v>
      </c>
      <c r="AG19" s="435">
        <f t="shared" si="12"/>
        <v>1</v>
      </c>
      <c r="AH19" s="435">
        <f t="shared" si="12"/>
        <v>1</v>
      </c>
      <c r="AI19" s="435">
        <f t="shared" si="12"/>
        <v>1</v>
      </c>
      <c r="AJ19" s="435">
        <f t="shared" si="12"/>
        <v>1</v>
      </c>
      <c r="AK19" s="435">
        <f t="shared" si="12"/>
        <v>1</v>
      </c>
      <c r="AL19" s="435">
        <f t="shared" si="12"/>
        <v>1</v>
      </c>
      <c r="AM19" s="435">
        <f t="shared" si="12"/>
        <v>1</v>
      </c>
      <c r="AN19" s="435">
        <f t="shared" si="12"/>
        <v>1</v>
      </c>
      <c r="AO19" s="435">
        <f t="shared" si="12"/>
        <v>1</v>
      </c>
      <c r="AP19" s="435">
        <f t="shared" si="12"/>
        <v>1</v>
      </c>
      <c r="AQ19" s="435">
        <f t="shared" si="12"/>
        <v>1</v>
      </c>
      <c r="AR19" s="435">
        <f t="shared" si="12"/>
        <v>1</v>
      </c>
      <c r="AS19" s="435">
        <f t="shared" si="12"/>
        <v>1</v>
      </c>
      <c r="AT19" s="435">
        <f t="shared" si="12"/>
        <v>1</v>
      </c>
      <c r="AU19" s="435">
        <f t="shared" si="12"/>
        <v>1</v>
      </c>
      <c r="AV19" s="435">
        <f t="shared" si="12"/>
        <v>1</v>
      </c>
      <c r="AW19" s="493" t="s">
        <v>1025</v>
      </c>
      <c r="AX19" s="90"/>
      <c r="AY19" s="90"/>
    </row>
    <row r="20" ht="12.75" customHeight="1">
      <c r="A20" s="430" t="s">
        <v>1163</v>
      </c>
      <c r="B20" s="143"/>
      <c r="C20" s="451"/>
      <c r="D20" s="309">
        <v>60000.0</v>
      </c>
      <c r="E20" s="437" t="s">
        <v>124</v>
      </c>
      <c r="F20" s="433"/>
      <c r="G20" s="438">
        <v>12.0</v>
      </c>
      <c r="H20" s="492" t="s">
        <v>48</v>
      </c>
      <c r="I20" s="435">
        <v>0.0</v>
      </c>
      <c r="J20" s="435">
        <v>0.0</v>
      </c>
      <c r="K20" s="435">
        <v>0.0</v>
      </c>
      <c r="L20" s="435">
        <v>0.0</v>
      </c>
      <c r="M20" s="435">
        <v>0.0</v>
      </c>
      <c r="N20" s="435">
        <v>0.0</v>
      </c>
      <c r="O20" s="435">
        <v>0.0</v>
      </c>
      <c r="P20" s="435">
        <v>1.0</v>
      </c>
      <c r="Q20" s="435">
        <f t="shared" ref="Q20:AV20" si="13">IF($F20="",IF(Q$2/$G20&lt;0.5,0,ROUNDUP(Q$2/$G20,0)),IF(Q$10&lt;$F20,0,1)+ROUNDDOWN(Q$2/$G20,0))</f>
        <v>2</v>
      </c>
      <c r="R20" s="435">
        <f t="shared" si="13"/>
        <v>3</v>
      </c>
      <c r="S20" s="435">
        <f t="shared" si="13"/>
        <v>5</v>
      </c>
      <c r="T20" s="435">
        <f t="shared" si="13"/>
        <v>8</v>
      </c>
      <c r="U20" s="435">
        <f t="shared" si="13"/>
        <v>9</v>
      </c>
      <c r="V20" s="435">
        <f t="shared" si="13"/>
        <v>9</v>
      </c>
      <c r="W20" s="435">
        <f t="shared" si="13"/>
        <v>9</v>
      </c>
      <c r="X20" s="435">
        <f t="shared" si="13"/>
        <v>9</v>
      </c>
      <c r="Y20" s="435">
        <f t="shared" si="13"/>
        <v>9</v>
      </c>
      <c r="Z20" s="435">
        <f t="shared" si="13"/>
        <v>9</v>
      </c>
      <c r="AA20" s="435">
        <f t="shared" si="13"/>
        <v>9</v>
      </c>
      <c r="AB20" s="435">
        <f t="shared" si="13"/>
        <v>9</v>
      </c>
      <c r="AC20" s="435">
        <f t="shared" si="13"/>
        <v>9</v>
      </c>
      <c r="AD20" s="435">
        <f t="shared" si="13"/>
        <v>9</v>
      </c>
      <c r="AE20" s="435">
        <f t="shared" si="13"/>
        <v>9</v>
      </c>
      <c r="AF20" s="435">
        <f t="shared" si="13"/>
        <v>9</v>
      </c>
      <c r="AG20" s="435">
        <f t="shared" si="13"/>
        <v>9</v>
      </c>
      <c r="AH20" s="435">
        <f t="shared" si="13"/>
        <v>9</v>
      </c>
      <c r="AI20" s="435">
        <f t="shared" si="13"/>
        <v>9</v>
      </c>
      <c r="AJ20" s="435">
        <f t="shared" si="13"/>
        <v>9</v>
      </c>
      <c r="AK20" s="435">
        <f t="shared" si="13"/>
        <v>9</v>
      </c>
      <c r="AL20" s="435">
        <f t="shared" si="13"/>
        <v>9</v>
      </c>
      <c r="AM20" s="435">
        <f t="shared" si="13"/>
        <v>9</v>
      </c>
      <c r="AN20" s="435">
        <f t="shared" si="13"/>
        <v>9</v>
      </c>
      <c r="AO20" s="435">
        <f t="shared" si="13"/>
        <v>9</v>
      </c>
      <c r="AP20" s="435">
        <f t="shared" si="13"/>
        <v>9</v>
      </c>
      <c r="AQ20" s="435">
        <f t="shared" si="13"/>
        <v>9</v>
      </c>
      <c r="AR20" s="435">
        <f t="shared" si="13"/>
        <v>9</v>
      </c>
      <c r="AS20" s="435">
        <f t="shared" si="13"/>
        <v>9</v>
      </c>
      <c r="AT20" s="435">
        <f t="shared" si="13"/>
        <v>9</v>
      </c>
      <c r="AU20" s="435">
        <f t="shared" si="13"/>
        <v>9</v>
      </c>
      <c r="AV20" s="435">
        <f t="shared" si="13"/>
        <v>9</v>
      </c>
      <c r="AW20" s="493" t="s">
        <v>1027</v>
      </c>
      <c r="AX20" s="90"/>
      <c r="AY20" s="90"/>
    </row>
    <row r="21" ht="12.75" customHeight="1">
      <c r="A21" s="430" t="s">
        <v>1028</v>
      </c>
      <c r="B21" s="143"/>
      <c r="C21" s="451" t="s">
        <v>137</v>
      </c>
      <c r="D21" s="309">
        <v>100000.0</v>
      </c>
      <c r="E21" s="437" t="s">
        <v>127</v>
      </c>
      <c r="F21" s="433">
        <v>0.0</v>
      </c>
      <c r="G21" s="438"/>
      <c r="H21" s="492"/>
      <c r="I21" s="435">
        <v>0.0</v>
      </c>
      <c r="J21" s="435">
        <v>1.0</v>
      </c>
      <c r="K21" s="435">
        <v>1.0</v>
      </c>
      <c r="L21" s="435">
        <v>1.0</v>
      </c>
      <c r="M21" s="435">
        <v>1.0</v>
      </c>
      <c r="N21" s="435">
        <v>1.0</v>
      </c>
      <c r="O21" s="435">
        <v>1.0</v>
      </c>
      <c r="P21" s="435">
        <f t="shared" ref="P21:AV21" si="14">IF($F21="",0,IF(P$10&lt;$F21,0,1))</f>
        <v>1</v>
      </c>
      <c r="Q21" s="435">
        <f t="shared" si="14"/>
        <v>1</v>
      </c>
      <c r="R21" s="435">
        <f t="shared" si="14"/>
        <v>1</v>
      </c>
      <c r="S21" s="435">
        <f t="shared" si="14"/>
        <v>1</v>
      </c>
      <c r="T21" s="435">
        <f t="shared" si="14"/>
        <v>1</v>
      </c>
      <c r="U21" s="435">
        <f t="shared" si="14"/>
        <v>1</v>
      </c>
      <c r="V21" s="435">
        <f t="shared" si="14"/>
        <v>1</v>
      </c>
      <c r="W21" s="435">
        <f t="shared" si="14"/>
        <v>1</v>
      </c>
      <c r="X21" s="435">
        <f t="shared" si="14"/>
        <v>1</v>
      </c>
      <c r="Y21" s="435">
        <f t="shared" si="14"/>
        <v>1</v>
      </c>
      <c r="Z21" s="435">
        <f t="shared" si="14"/>
        <v>1</v>
      </c>
      <c r="AA21" s="435">
        <f t="shared" si="14"/>
        <v>1</v>
      </c>
      <c r="AB21" s="435">
        <f t="shared" si="14"/>
        <v>1</v>
      </c>
      <c r="AC21" s="435">
        <f t="shared" si="14"/>
        <v>1</v>
      </c>
      <c r="AD21" s="435">
        <f t="shared" si="14"/>
        <v>1</v>
      </c>
      <c r="AE21" s="435">
        <f t="shared" si="14"/>
        <v>1</v>
      </c>
      <c r="AF21" s="435">
        <f t="shared" si="14"/>
        <v>1</v>
      </c>
      <c r="AG21" s="435">
        <f t="shared" si="14"/>
        <v>1</v>
      </c>
      <c r="AH21" s="435">
        <f t="shared" si="14"/>
        <v>1</v>
      </c>
      <c r="AI21" s="435">
        <f t="shared" si="14"/>
        <v>1</v>
      </c>
      <c r="AJ21" s="435">
        <f t="shared" si="14"/>
        <v>1</v>
      </c>
      <c r="AK21" s="435">
        <f t="shared" si="14"/>
        <v>1</v>
      </c>
      <c r="AL21" s="435">
        <f t="shared" si="14"/>
        <v>1</v>
      </c>
      <c r="AM21" s="435">
        <f t="shared" si="14"/>
        <v>1</v>
      </c>
      <c r="AN21" s="435">
        <f t="shared" si="14"/>
        <v>1</v>
      </c>
      <c r="AO21" s="435">
        <f t="shared" si="14"/>
        <v>1</v>
      </c>
      <c r="AP21" s="435">
        <f t="shared" si="14"/>
        <v>1</v>
      </c>
      <c r="AQ21" s="435">
        <f t="shared" si="14"/>
        <v>1</v>
      </c>
      <c r="AR21" s="435">
        <f t="shared" si="14"/>
        <v>1</v>
      </c>
      <c r="AS21" s="435">
        <f t="shared" si="14"/>
        <v>1</v>
      </c>
      <c r="AT21" s="435">
        <f t="shared" si="14"/>
        <v>1</v>
      </c>
      <c r="AU21" s="435">
        <f t="shared" si="14"/>
        <v>1</v>
      </c>
      <c r="AV21" s="435">
        <f t="shared" si="14"/>
        <v>1</v>
      </c>
      <c r="AW21" s="493" t="s">
        <v>1164</v>
      </c>
      <c r="AX21" s="90"/>
      <c r="AY21" s="90"/>
    </row>
    <row r="22" ht="12.75" customHeight="1">
      <c r="A22" s="430" t="s">
        <v>1030</v>
      </c>
      <c r="B22" s="143"/>
      <c r="C22" s="451" t="s">
        <v>137</v>
      </c>
      <c r="D22" s="309">
        <v>80000.0</v>
      </c>
      <c r="E22" s="437" t="s">
        <v>126</v>
      </c>
      <c r="F22" s="433"/>
      <c r="G22" s="438">
        <v>8.01</v>
      </c>
      <c r="H22" s="492" t="s">
        <v>124</v>
      </c>
      <c r="I22" s="435">
        <v>0.0</v>
      </c>
      <c r="J22" s="435">
        <v>0.0</v>
      </c>
      <c r="K22" s="435">
        <v>0.0</v>
      </c>
      <c r="L22" s="435">
        <v>0.0</v>
      </c>
      <c r="M22" s="435">
        <v>0.0</v>
      </c>
      <c r="N22" s="435">
        <v>0.0</v>
      </c>
      <c r="O22" s="435">
        <v>0.0</v>
      </c>
      <c r="P22" s="435">
        <f t="shared" ref="P22:AV22" si="15">IF($F22="",IF(P23/$G22&lt;0.5,0,ROUNDUP(P23/$G22,0)),IF(P$10&lt;$F22,0,1)+ROUNDDOWN(P23/$G22,0))</f>
        <v>0</v>
      </c>
      <c r="Q22" s="435">
        <f t="shared" si="15"/>
        <v>0</v>
      </c>
      <c r="R22" s="435">
        <f t="shared" si="15"/>
        <v>0</v>
      </c>
      <c r="S22" s="435">
        <f t="shared" si="15"/>
        <v>1</v>
      </c>
      <c r="T22" s="435">
        <f t="shared" si="15"/>
        <v>2</v>
      </c>
      <c r="U22" s="435">
        <f t="shared" si="15"/>
        <v>2</v>
      </c>
      <c r="V22" s="435">
        <f t="shared" si="15"/>
        <v>2</v>
      </c>
      <c r="W22" s="435">
        <f t="shared" si="15"/>
        <v>2</v>
      </c>
      <c r="X22" s="435">
        <f t="shared" si="15"/>
        <v>2</v>
      </c>
      <c r="Y22" s="435">
        <f t="shared" si="15"/>
        <v>2</v>
      </c>
      <c r="Z22" s="435">
        <f t="shared" si="15"/>
        <v>2</v>
      </c>
      <c r="AA22" s="435">
        <f t="shared" si="15"/>
        <v>2</v>
      </c>
      <c r="AB22" s="435">
        <f t="shared" si="15"/>
        <v>2</v>
      </c>
      <c r="AC22" s="435">
        <f t="shared" si="15"/>
        <v>2</v>
      </c>
      <c r="AD22" s="435">
        <f t="shared" si="15"/>
        <v>2</v>
      </c>
      <c r="AE22" s="435">
        <f t="shared" si="15"/>
        <v>2</v>
      </c>
      <c r="AF22" s="435">
        <f t="shared" si="15"/>
        <v>2</v>
      </c>
      <c r="AG22" s="435">
        <f t="shared" si="15"/>
        <v>2</v>
      </c>
      <c r="AH22" s="435">
        <f t="shared" si="15"/>
        <v>2</v>
      </c>
      <c r="AI22" s="435">
        <f t="shared" si="15"/>
        <v>2</v>
      </c>
      <c r="AJ22" s="435">
        <f t="shared" si="15"/>
        <v>2</v>
      </c>
      <c r="AK22" s="435">
        <f t="shared" si="15"/>
        <v>2</v>
      </c>
      <c r="AL22" s="435">
        <f t="shared" si="15"/>
        <v>2</v>
      </c>
      <c r="AM22" s="435">
        <f t="shared" si="15"/>
        <v>2</v>
      </c>
      <c r="AN22" s="435">
        <f t="shared" si="15"/>
        <v>2</v>
      </c>
      <c r="AO22" s="435">
        <f t="shared" si="15"/>
        <v>2</v>
      </c>
      <c r="AP22" s="435">
        <f t="shared" si="15"/>
        <v>2</v>
      </c>
      <c r="AQ22" s="435">
        <f t="shared" si="15"/>
        <v>2</v>
      </c>
      <c r="AR22" s="435">
        <f t="shared" si="15"/>
        <v>2</v>
      </c>
      <c r="AS22" s="435">
        <f t="shared" si="15"/>
        <v>2</v>
      </c>
      <c r="AT22" s="435">
        <f t="shared" si="15"/>
        <v>2</v>
      </c>
      <c r="AU22" s="435">
        <f t="shared" si="15"/>
        <v>2</v>
      </c>
      <c r="AV22" s="435">
        <f t="shared" si="15"/>
        <v>2</v>
      </c>
      <c r="AW22" s="493" t="s">
        <v>1031</v>
      </c>
      <c r="AX22" s="90"/>
      <c r="AY22" s="90"/>
    </row>
    <row r="23" ht="12.75" customHeight="1">
      <c r="A23" s="430" t="s">
        <v>1032</v>
      </c>
      <c r="B23" s="143"/>
      <c r="C23" s="451" t="s">
        <v>137</v>
      </c>
      <c r="D23" s="309">
        <v>60000.0</v>
      </c>
      <c r="E23" s="437" t="s">
        <v>124</v>
      </c>
      <c r="F23" s="433"/>
      <c r="G23" s="438">
        <v>10.01</v>
      </c>
      <c r="H23" s="492" t="s">
        <v>151</v>
      </c>
      <c r="I23" s="435">
        <v>0.0</v>
      </c>
      <c r="J23" s="435">
        <v>0.0</v>
      </c>
      <c r="K23" s="435">
        <v>0.0</v>
      </c>
      <c r="L23" s="435">
        <v>0.0</v>
      </c>
      <c r="M23" s="435">
        <v>0.0</v>
      </c>
      <c r="N23" s="435">
        <v>1.0</v>
      </c>
      <c r="O23" s="435">
        <v>1.0</v>
      </c>
      <c r="P23" s="435">
        <f t="shared" ref="P23:AV23" si="16">IF($F23="",IF(P$2/$G23&lt;0.5,0,ROUNDUP(P$2/$G23,0)),IF(P$10&lt;$F23,0,1)+ROUNDDOWN(P$2/$G23,0))</f>
        <v>2</v>
      </c>
      <c r="Q23" s="435">
        <f t="shared" si="16"/>
        <v>3</v>
      </c>
      <c r="R23" s="435">
        <f t="shared" si="16"/>
        <v>4</v>
      </c>
      <c r="S23" s="435">
        <f t="shared" si="16"/>
        <v>6</v>
      </c>
      <c r="T23" s="435">
        <f t="shared" si="16"/>
        <v>9</v>
      </c>
      <c r="U23" s="435">
        <f t="shared" si="16"/>
        <v>10</v>
      </c>
      <c r="V23" s="435">
        <f t="shared" si="16"/>
        <v>10</v>
      </c>
      <c r="W23" s="435">
        <f t="shared" si="16"/>
        <v>10</v>
      </c>
      <c r="X23" s="435">
        <f t="shared" si="16"/>
        <v>10</v>
      </c>
      <c r="Y23" s="435">
        <f t="shared" si="16"/>
        <v>10</v>
      </c>
      <c r="Z23" s="435">
        <f t="shared" si="16"/>
        <v>10</v>
      </c>
      <c r="AA23" s="435">
        <f t="shared" si="16"/>
        <v>10</v>
      </c>
      <c r="AB23" s="435">
        <f t="shared" si="16"/>
        <v>10</v>
      </c>
      <c r="AC23" s="435">
        <f t="shared" si="16"/>
        <v>10</v>
      </c>
      <c r="AD23" s="435">
        <f t="shared" si="16"/>
        <v>10</v>
      </c>
      <c r="AE23" s="435">
        <f t="shared" si="16"/>
        <v>10</v>
      </c>
      <c r="AF23" s="435">
        <f t="shared" si="16"/>
        <v>10</v>
      </c>
      <c r="AG23" s="435">
        <f t="shared" si="16"/>
        <v>10</v>
      </c>
      <c r="AH23" s="435">
        <f t="shared" si="16"/>
        <v>10</v>
      </c>
      <c r="AI23" s="435">
        <f t="shared" si="16"/>
        <v>10</v>
      </c>
      <c r="AJ23" s="435">
        <f t="shared" si="16"/>
        <v>10</v>
      </c>
      <c r="AK23" s="435">
        <f t="shared" si="16"/>
        <v>10</v>
      </c>
      <c r="AL23" s="435">
        <f t="shared" si="16"/>
        <v>10</v>
      </c>
      <c r="AM23" s="435">
        <f t="shared" si="16"/>
        <v>10</v>
      </c>
      <c r="AN23" s="435">
        <f t="shared" si="16"/>
        <v>10</v>
      </c>
      <c r="AO23" s="435">
        <f t="shared" si="16"/>
        <v>10</v>
      </c>
      <c r="AP23" s="435">
        <f t="shared" si="16"/>
        <v>10</v>
      </c>
      <c r="AQ23" s="435">
        <f t="shared" si="16"/>
        <v>10</v>
      </c>
      <c r="AR23" s="435">
        <f t="shared" si="16"/>
        <v>10</v>
      </c>
      <c r="AS23" s="435">
        <f t="shared" si="16"/>
        <v>10</v>
      </c>
      <c r="AT23" s="435">
        <f t="shared" si="16"/>
        <v>10</v>
      </c>
      <c r="AU23" s="435">
        <f t="shared" si="16"/>
        <v>10</v>
      </c>
      <c r="AV23" s="435">
        <f t="shared" si="16"/>
        <v>10</v>
      </c>
      <c r="AW23" s="493" t="s">
        <v>1033</v>
      </c>
      <c r="AX23" s="90"/>
      <c r="AY23" s="90"/>
    </row>
    <row r="24" ht="12.75" hidden="1" customHeight="1" outlineLevel="1">
      <c r="A24" s="430" t="s">
        <v>1034</v>
      </c>
      <c r="B24" s="143"/>
      <c r="C24" s="451" t="s">
        <v>137</v>
      </c>
      <c r="D24" s="309">
        <v>30000.0</v>
      </c>
      <c r="E24" s="437" t="s">
        <v>124</v>
      </c>
      <c r="F24" s="433"/>
      <c r="G24" s="494">
        <v>1000.0</v>
      </c>
      <c r="H24" s="492" t="s">
        <v>151</v>
      </c>
      <c r="I24" s="435">
        <v>0.0</v>
      </c>
      <c r="J24" s="435">
        <v>0.0</v>
      </c>
      <c r="K24" s="435">
        <v>0.0</v>
      </c>
      <c r="L24" s="435">
        <v>0.0</v>
      </c>
      <c r="M24" s="435">
        <v>0.0</v>
      </c>
      <c r="N24" s="435">
        <v>0.0</v>
      </c>
      <c r="O24" s="435">
        <v>0.0</v>
      </c>
      <c r="P24" s="435">
        <f t="shared" ref="P24:AV24" si="17">IF($F24="",IF(P$2/$G24&lt;0.5,0,ROUNDUP(P$2/$G24,0)),IF(P$10&lt;$F24,0,1)+ROUNDDOWN(P$2/$G24,0))</f>
        <v>0</v>
      </c>
      <c r="Q24" s="435">
        <f t="shared" si="17"/>
        <v>0</v>
      </c>
      <c r="R24" s="435">
        <f t="shared" si="17"/>
        <v>0</v>
      </c>
      <c r="S24" s="435">
        <f t="shared" si="17"/>
        <v>0</v>
      </c>
      <c r="T24" s="435">
        <f t="shared" si="17"/>
        <v>0</v>
      </c>
      <c r="U24" s="435">
        <f t="shared" si="17"/>
        <v>0</v>
      </c>
      <c r="V24" s="435">
        <f t="shared" si="17"/>
        <v>0</v>
      </c>
      <c r="W24" s="435">
        <f t="shared" si="17"/>
        <v>0</v>
      </c>
      <c r="X24" s="435">
        <f t="shared" si="17"/>
        <v>0</v>
      </c>
      <c r="Y24" s="435">
        <f t="shared" si="17"/>
        <v>0</v>
      </c>
      <c r="Z24" s="435">
        <f t="shared" si="17"/>
        <v>0</v>
      </c>
      <c r="AA24" s="435">
        <f t="shared" si="17"/>
        <v>0</v>
      </c>
      <c r="AB24" s="435">
        <f t="shared" si="17"/>
        <v>0</v>
      </c>
      <c r="AC24" s="435">
        <f t="shared" si="17"/>
        <v>0</v>
      </c>
      <c r="AD24" s="435">
        <f t="shared" si="17"/>
        <v>0</v>
      </c>
      <c r="AE24" s="435">
        <f t="shared" si="17"/>
        <v>0</v>
      </c>
      <c r="AF24" s="435">
        <f t="shared" si="17"/>
        <v>0</v>
      </c>
      <c r="AG24" s="435">
        <f t="shared" si="17"/>
        <v>0</v>
      </c>
      <c r="AH24" s="435">
        <f t="shared" si="17"/>
        <v>0</v>
      </c>
      <c r="AI24" s="435">
        <f t="shared" si="17"/>
        <v>0</v>
      </c>
      <c r="AJ24" s="435">
        <f t="shared" si="17"/>
        <v>0</v>
      </c>
      <c r="AK24" s="435">
        <f t="shared" si="17"/>
        <v>0</v>
      </c>
      <c r="AL24" s="435">
        <f t="shared" si="17"/>
        <v>0</v>
      </c>
      <c r="AM24" s="435">
        <f t="shared" si="17"/>
        <v>0</v>
      </c>
      <c r="AN24" s="435">
        <f t="shared" si="17"/>
        <v>0</v>
      </c>
      <c r="AO24" s="435">
        <f t="shared" si="17"/>
        <v>0</v>
      </c>
      <c r="AP24" s="435">
        <f t="shared" si="17"/>
        <v>0</v>
      </c>
      <c r="AQ24" s="435">
        <f t="shared" si="17"/>
        <v>0</v>
      </c>
      <c r="AR24" s="435">
        <f t="shared" si="17"/>
        <v>0</v>
      </c>
      <c r="AS24" s="435">
        <f t="shared" si="17"/>
        <v>0</v>
      </c>
      <c r="AT24" s="435">
        <f t="shared" si="17"/>
        <v>0</v>
      </c>
      <c r="AU24" s="435">
        <f t="shared" si="17"/>
        <v>0</v>
      </c>
      <c r="AV24" s="435">
        <f t="shared" si="17"/>
        <v>0</v>
      </c>
      <c r="AW24" s="493" t="s">
        <v>1165</v>
      </c>
      <c r="AX24" s="90"/>
      <c r="AY24" s="90"/>
    </row>
    <row r="25" ht="12.75" customHeight="1">
      <c r="A25" s="430" t="s">
        <v>1036</v>
      </c>
      <c r="B25" s="143"/>
      <c r="C25" s="451" t="s">
        <v>138</v>
      </c>
      <c r="D25" s="309">
        <v>80000.0</v>
      </c>
      <c r="E25" s="437" t="s">
        <v>126</v>
      </c>
      <c r="F25" s="433"/>
      <c r="G25" s="438">
        <v>8.01</v>
      </c>
      <c r="H25" s="492" t="s">
        <v>124</v>
      </c>
      <c r="I25" s="435">
        <v>0.0</v>
      </c>
      <c r="J25" s="435">
        <v>0.0</v>
      </c>
      <c r="K25" s="435">
        <v>0.0</v>
      </c>
      <c r="L25" s="435">
        <v>0.0</v>
      </c>
      <c r="M25" s="435">
        <v>0.0</v>
      </c>
      <c r="N25" s="435">
        <v>0.0</v>
      </c>
      <c r="O25" s="435">
        <v>0.0</v>
      </c>
      <c r="P25" s="435">
        <f t="shared" ref="P25:AV25" si="18">IF($F25="",IF(P26/$G25&lt;0.5,0,ROUNDUP(P26/$G25,0)),IF(P$10&lt;$F25,0,1)+ROUNDDOWN(P26/$G25,0))</f>
        <v>0</v>
      </c>
      <c r="Q25" s="435">
        <f t="shared" si="18"/>
        <v>0</v>
      </c>
      <c r="R25" s="435">
        <f t="shared" si="18"/>
        <v>0</v>
      </c>
      <c r="S25" s="435">
        <f t="shared" si="18"/>
        <v>1</v>
      </c>
      <c r="T25" s="435">
        <f t="shared" si="18"/>
        <v>1</v>
      </c>
      <c r="U25" s="435">
        <f t="shared" si="18"/>
        <v>2</v>
      </c>
      <c r="V25" s="435">
        <f t="shared" si="18"/>
        <v>2</v>
      </c>
      <c r="W25" s="435">
        <f t="shared" si="18"/>
        <v>2</v>
      </c>
      <c r="X25" s="435">
        <f t="shared" si="18"/>
        <v>2</v>
      </c>
      <c r="Y25" s="435">
        <f t="shared" si="18"/>
        <v>2</v>
      </c>
      <c r="Z25" s="435">
        <f t="shared" si="18"/>
        <v>2</v>
      </c>
      <c r="AA25" s="435">
        <f t="shared" si="18"/>
        <v>2</v>
      </c>
      <c r="AB25" s="435">
        <f t="shared" si="18"/>
        <v>2</v>
      </c>
      <c r="AC25" s="435">
        <f t="shared" si="18"/>
        <v>2</v>
      </c>
      <c r="AD25" s="435">
        <f t="shared" si="18"/>
        <v>2</v>
      </c>
      <c r="AE25" s="435">
        <f t="shared" si="18"/>
        <v>2</v>
      </c>
      <c r="AF25" s="435">
        <f t="shared" si="18"/>
        <v>2</v>
      </c>
      <c r="AG25" s="435">
        <f t="shared" si="18"/>
        <v>2</v>
      </c>
      <c r="AH25" s="435">
        <f t="shared" si="18"/>
        <v>2</v>
      </c>
      <c r="AI25" s="435">
        <f t="shared" si="18"/>
        <v>2</v>
      </c>
      <c r="AJ25" s="435">
        <f t="shared" si="18"/>
        <v>2</v>
      </c>
      <c r="AK25" s="435">
        <f t="shared" si="18"/>
        <v>2</v>
      </c>
      <c r="AL25" s="435">
        <f t="shared" si="18"/>
        <v>2</v>
      </c>
      <c r="AM25" s="435">
        <f t="shared" si="18"/>
        <v>2</v>
      </c>
      <c r="AN25" s="435">
        <f t="shared" si="18"/>
        <v>2</v>
      </c>
      <c r="AO25" s="435">
        <f t="shared" si="18"/>
        <v>2</v>
      </c>
      <c r="AP25" s="435">
        <f t="shared" si="18"/>
        <v>2</v>
      </c>
      <c r="AQ25" s="435">
        <f t="shared" si="18"/>
        <v>2</v>
      </c>
      <c r="AR25" s="435">
        <f t="shared" si="18"/>
        <v>2</v>
      </c>
      <c r="AS25" s="435">
        <f t="shared" si="18"/>
        <v>2</v>
      </c>
      <c r="AT25" s="435">
        <f t="shared" si="18"/>
        <v>2</v>
      </c>
      <c r="AU25" s="435">
        <f t="shared" si="18"/>
        <v>2</v>
      </c>
      <c r="AV25" s="435">
        <f t="shared" si="18"/>
        <v>2</v>
      </c>
      <c r="AW25" s="493" t="s">
        <v>1037</v>
      </c>
      <c r="AX25" s="90"/>
      <c r="AY25" s="90"/>
    </row>
    <row r="26" ht="12.75" customHeight="1">
      <c r="A26" s="430" t="s">
        <v>1038</v>
      </c>
      <c r="B26" s="143"/>
      <c r="C26" s="451" t="s">
        <v>138</v>
      </c>
      <c r="D26" s="309">
        <v>60000.0</v>
      </c>
      <c r="E26" s="437" t="s">
        <v>124</v>
      </c>
      <c r="F26" s="433"/>
      <c r="G26" s="438">
        <v>12.01</v>
      </c>
      <c r="H26" s="492" t="s">
        <v>48</v>
      </c>
      <c r="I26" s="435">
        <v>0.0</v>
      </c>
      <c r="J26" s="435">
        <v>0.0</v>
      </c>
      <c r="K26" s="435">
        <v>0.0</v>
      </c>
      <c r="L26" s="435">
        <v>0.0</v>
      </c>
      <c r="M26" s="435">
        <v>0.0</v>
      </c>
      <c r="N26" s="435">
        <v>0.0</v>
      </c>
      <c r="O26" s="435">
        <v>0.0</v>
      </c>
      <c r="P26" s="435">
        <v>1.0</v>
      </c>
      <c r="Q26" s="435">
        <f t="shared" ref="Q26:AV26" si="19">IF($F26="",IF(Q$2/$G26&lt;0.5,0,ROUNDUP(Q$2/$G26,0)),IF(Q$10&lt;$F26,0,1)+ROUNDDOWN(Q$2/$G26,0))</f>
        <v>2</v>
      </c>
      <c r="R26" s="435">
        <f t="shared" si="19"/>
        <v>3</v>
      </c>
      <c r="S26" s="435">
        <f t="shared" si="19"/>
        <v>5</v>
      </c>
      <c r="T26" s="435">
        <f t="shared" si="19"/>
        <v>8</v>
      </c>
      <c r="U26" s="435">
        <f t="shared" si="19"/>
        <v>9</v>
      </c>
      <c r="V26" s="435">
        <f t="shared" si="19"/>
        <v>9</v>
      </c>
      <c r="W26" s="435">
        <f t="shared" si="19"/>
        <v>9</v>
      </c>
      <c r="X26" s="435">
        <f t="shared" si="19"/>
        <v>9</v>
      </c>
      <c r="Y26" s="435">
        <f t="shared" si="19"/>
        <v>9</v>
      </c>
      <c r="Z26" s="435">
        <f t="shared" si="19"/>
        <v>9</v>
      </c>
      <c r="AA26" s="435">
        <f t="shared" si="19"/>
        <v>9</v>
      </c>
      <c r="AB26" s="435">
        <f t="shared" si="19"/>
        <v>9</v>
      </c>
      <c r="AC26" s="435">
        <f t="shared" si="19"/>
        <v>9</v>
      </c>
      <c r="AD26" s="435">
        <f t="shared" si="19"/>
        <v>9</v>
      </c>
      <c r="AE26" s="435">
        <f t="shared" si="19"/>
        <v>9</v>
      </c>
      <c r="AF26" s="435">
        <f t="shared" si="19"/>
        <v>9</v>
      </c>
      <c r="AG26" s="435">
        <f t="shared" si="19"/>
        <v>9</v>
      </c>
      <c r="AH26" s="435">
        <f t="shared" si="19"/>
        <v>9</v>
      </c>
      <c r="AI26" s="435">
        <f t="shared" si="19"/>
        <v>9</v>
      </c>
      <c r="AJ26" s="435">
        <f t="shared" si="19"/>
        <v>9</v>
      </c>
      <c r="AK26" s="435">
        <f t="shared" si="19"/>
        <v>9</v>
      </c>
      <c r="AL26" s="435">
        <f t="shared" si="19"/>
        <v>9</v>
      </c>
      <c r="AM26" s="435">
        <f t="shared" si="19"/>
        <v>9</v>
      </c>
      <c r="AN26" s="435">
        <f t="shared" si="19"/>
        <v>9</v>
      </c>
      <c r="AO26" s="435">
        <f t="shared" si="19"/>
        <v>9</v>
      </c>
      <c r="AP26" s="435">
        <f t="shared" si="19"/>
        <v>9</v>
      </c>
      <c r="AQ26" s="435">
        <f t="shared" si="19"/>
        <v>9</v>
      </c>
      <c r="AR26" s="435">
        <f t="shared" si="19"/>
        <v>9</v>
      </c>
      <c r="AS26" s="435">
        <f t="shared" si="19"/>
        <v>9</v>
      </c>
      <c r="AT26" s="435">
        <f t="shared" si="19"/>
        <v>9</v>
      </c>
      <c r="AU26" s="435">
        <f t="shared" si="19"/>
        <v>9</v>
      </c>
      <c r="AV26" s="435">
        <f t="shared" si="19"/>
        <v>9</v>
      </c>
      <c r="AW26" s="493" t="s">
        <v>941</v>
      </c>
      <c r="AX26" s="90"/>
      <c r="AY26" s="90"/>
    </row>
    <row r="27" ht="12.75" customHeight="1">
      <c r="A27" s="430" t="s">
        <v>1039</v>
      </c>
      <c r="B27" s="143"/>
      <c r="C27" s="451" t="s">
        <v>137</v>
      </c>
      <c r="D27" s="309">
        <v>80000.0</v>
      </c>
      <c r="E27" s="437" t="s">
        <v>126</v>
      </c>
      <c r="F27" s="433"/>
      <c r="G27" s="438">
        <v>8.01</v>
      </c>
      <c r="H27" s="492" t="s">
        <v>124</v>
      </c>
      <c r="I27" s="435">
        <v>0.0</v>
      </c>
      <c r="J27" s="435">
        <v>0.0</v>
      </c>
      <c r="K27" s="435">
        <v>0.0</v>
      </c>
      <c r="L27" s="435">
        <v>0.0</v>
      </c>
      <c r="M27" s="435">
        <v>0.0</v>
      </c>
      <c r="N27" s="435">
        <v>0.0</v>
      </c>
      <c r="O27" s="435">
        <v>0.0</v>
      </c>
      <c r="P27" s="435">
        <f t="shared" ref="P27:AV27" si="20">IF($F27="",IF(P28/$G27&lt;0.5,0,ROUNDUP(P28/$G27,0)),IF(P$10&lt;$F27,0,1)+ROUNDDOWN(P28/$G27,0))</f>
        <v>0</v>
      </c>
      <c r="Q27" s="435">
        <f t="shared" si="20"/>
        <v>0</v>
      </c>
      <c r="R27" s="435">
        <f t="shared" si="20"/>
        <v>0</v>
      </c>
      <c r="S27" s="435">
        <f t="shared" si="20"/>
        <v>0</v>
      </c>
      <c r="T27" s="435">
        <f t="shared" si="20"/>
        <v>0</v>
      </c>
      <c r="U27" s="435">
        <f t="shared" si="20"/>
        <v>0</v>
      </c>
      <c r="V27" s="435">
        <f t="shared" si="20"/>
        <v>0</v>
      </c>
      <c r="W27" s="435">
        <f t="shared" si="20"/>
        <v>0</v>
      </c>
      <c r="X27" s="435">
        <f t="shared" si="20"/>
        <v>0</v>
      </c>
      <c r="Y27" s="435">
        <f t="shared" si="20"/>
        <v>0</v>
      </c>
      <c r="Z27" s="435">
        <f t="shared" si="20"/>
        <v>0</v>
      </c>
      <c r="AA27" s="435">
        <f t="shared" si="20"/>
        <v>0</v>
      </c>
      <c r="AB27" s="435">
        <f t="shared" si="20"/>
        <v>0</v>
      </c>
      <c r="AC27" s="435">
        <f t="shared" si="20"/>
        <v>0</v>
      </c>
      <c r="AD27" s="435">
        <f t="shared" si="20"/>
        <v>0</v>
      </c>
      <c r="AE27" s="435">
        <f t="shared" si="20"/>
        <v>0</v>
      </c>
      <c r="AF27" s="435">
        <f t="shared" si="20"/>
        <v>0</v>
      </c>
      <c r="AG27" s="435">
        <f t="shared" si="20"/>
        <v>0</v>
      </c>
      <c r="AH27" s="435">
        <f t="shared" si="20"/>
        <v>0</v>
      </c>
      <c r="AI27" s="435">
        <f t="shared" si="20"/>
        <v>0</v>
      </c>
      <c r="AJ27" s="435">
        <f t="shared" si="20"/>
        <v>0</v>
      </c>
      <c r="AK27" s="435">
        <f t="shared" si="20"/>
        <v>0</v>
      </c>
      <c r="AL27" s="435">
        <f t="shared" si="20"/>
        <v>0</v>
      </c>
      <c r="AM27" s="435">
        <f t="shared" si="20"/>
        <v>0</v>
      </c>
      <c r="AN27" s="435">
        <f t="shared" si="20"/>
        <v>0</v>
      </c>
      <c r="AO27" s="435">
        <f t="shared" si="20"/>
        <v>0</v>
      </c>
      <c r="AP27" s="435">
        <f t="shared" si="20"/>
        <v>0</v>
      </c>
      <c r="AQ27" s="435">
        <f t="shared" si="20"/>
        <v>0</v>
      </c>
      <c r="AR27" s="435">
        <f t="shared" si="20"/>
        <v>0</v>
      </c>
      <c r="AS27" s="435">
        <f t="shared" si="20"/>
        <v>0</v>
      </c>
      <c r="AT27" s="435">
        <f t="shared" si="20"/>
        <v>0</v>
      </c>
      <c r="AU27" s="435">
        <f t="shared" si="20"/>
        <v>0</v>
      </c>
      <c r="AV27" s="435">
        <f t="shared" si="20"/>
        <v>0</v>
      </c>
      <c r="AW27" s="493" t="s">
        <v>1040</v>
      </c>
      <c r="AX27" s="90"/>
      <c r="AY27" s="90"/>
    </row>
    <row r="28" ht="12.75" customHeight="1">
      <c r="A28" s="430" t="s">
        <v>1041</v>
      </c>
      <c r="B28" s="143"/>
      <c r="C28" s="451" t="s">
        <v>137</v>
      </c>
      <c r="D28" s="309">
        <v>60000.0</v>
      </c>
      <c r="E28" s="437" t="s">
        <v>124</v>
      </c>
      <c r="F28" s="433"/>
      <c r="G28" s="438">
        <v>30.01</v>
      </c>
      <c r="H28" s="492" t="s">
        <v>151</v>
      </c>
      <c r="I28" s="435">
        <v>0.0</v>
      </c>
      <c r="J28" s="435">
        <v>0.0</v>
      </c>
      <c r="K28" s="435">
        <v>0.0</v>
      </c>
      <c r="L28" s="435">
        <v>0.0</v>
      </c>
      <c r="M28" s="435">
        <v>0.0</v>
      </c>
      <c r="N28" s="435">
        <v>0.0</v>
      </c>
      <c r="O28" s="435">
        <v>0.0</v>
      </c>
      <c r="P28" s="435">
        <f t="shared" ref="P28:AV28" si="21">IF($F28="",IF(P$2/$G28&lt;0.5,0,ROUNDUP(P$2/$G28,0)),IF(P$10&lt;$F28,0,1)+ROUNDDOWN(P$2/$G28,0))</f>
        <v>0</v>
      </c>
      <c r="Q28" s="435">
        <f t="shared" si="21"/>
        <v>1</v>
      </c>
      <c r="R28" s="435">
        <f t="shared" si="21"/>
        <v>2</v>
      </c>
      <c r="S28" s="435">
        <f t="shared" si="21"/>
        <v>2</v>
      </c>
      <c r="T28" s="435">
        <f t="shared" si="21"/>
        <v>3</v>
      </c>
      <c r="U28" s="435">
        <f t="shared" si="21"/>
        <v>4</v>
      </c>
      <c r="V28" s="435">
        <f t="shared" si="21"/>
        <v>4</v>
      </c>
      <c r="W28" s="435">
        <f t="shared" si="21"/>
        <v>4</v>
      </c>
      <c r="X28" s="435">
        <f t="shared" si="21"/>
        <v>4</v>
      </c>
      <c r="Y28" s="435">
        <f t="shared" si="21"/>
        <v>4</v>
      </c>
      <c r="Z28" s="435">
        <f t="shared" si="21"/>
        <v>4</v>
      </c>
      <c r="AA28" s="435">
        <f t="shared" si="21"/>
        <v>4</v>
      </c>
      <c r="AB28" s="435">
        <f t="shared" si="21"/>
        <v>4</v>
      </c>
      <c r="AC28" s="435">
        <f t="shared" si="21"/>
        <v>4</v>
      </c>
      <c r="AD28" s="435">
        <f t="shared" si="21"/>
        <v>4</v>
      </c>
      <c r="AE28" s="435">
        <f t="shared" si="21"/>
        <v>4</v>
      </c>
      <c r="AF28" s="435">
        <f t="shared" si="21"/>
        <v>4</v>
      </c>
      <c r="AG28" s="435">
        <f t="shared" si="21"/>
        <v>4</v>
      </c>
      <c r="AH28" s="435">
        <f t="shared" si="21"/>
        <v>4</v>
      </c>
      <c r="AI28" s="435">
        <f t="shared" si="21"/>
        <v>4</v>
      </c>
      <c r="AJ28" s="435">
        <f t="shared" si="21"/>
        <v>4</v>
      </c>
      <c r="AK28" s="435">
        <f t="shared" si="21"/>
        <v>4</v>
      </c>
      <c r="AL28" s="435">
        <f t="shared" si="21"/>
        <v>4</v>
      </c>
      <c r="AM28" s="435">
        <f t="shared" si="21"/>
        <v>4</v>
      </c>
      <c r="AN28" s="435">
        <f t="shared" si="21"/>
        <v>4</v>
      </c>
      <c r="AO28" s="435">
        <f t="shared" si="21"/>
        <v>4</v>
      </c>
      <c r="AP28" s="435">
        <f t="shared" si="21"/>
        <v>4</v>
      </c>
      <c r="AQ28" s="435">
        <f t="shared" si="21"/>
        <v>4</v>
      </c>
      <c r="AR28" s="435">
        <f t="shared" si="21"/>
        <v>4</v>
      </c>
      <c r="AS28" s="435">
        <f t="shared" si="21"/>
        <v>4</v>
      </c>
      <c r="AT28" s="435">
        <f t="shared" si="21"/>
        <v>4</v>
      </c>
      <c r="AU28" s="435">
        <f t="shared" si="21"/>
        <v>4</v>
      </c>
      <c r="AV28" s="435">
        <f t="shared" si="21"/>
        <v>4</v>
      </c>
      <c r="AW28" s="493" t="s">
        <v>1042</v>
      </c>
      <c r="AX28" s="90"/>
      <c r="AY28" s="90"/>
    </row>
    <row r="29" ht="12.75" customHeight="1">
      <c r="C29" s="400"/>
      <c r="D29" s="102"/>
      <c r="I29" s="102"/>
      <c r="J29" s="102"/>
      <c r="K29" s="102"/>
      <c r="L29" s="102"/>
      <c r="M29" s="102"/>
      <c r="N29" s="102"/>
      <c r="O29" s="102"/>
      <c r="P29" s="102"/>
      <c r="Q29" s="102"/>
      <c r="R29" s="102"/>
      <c r="S29" s="102"/>
      <c r="T29" s="102"/>
      <c r="U29" s="102"/>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row>
    <row r="30" ht="12.75" customHeight="1">
      <c r="C30" s="400"/>
      <c r="D30" s="102"/>
      <c r="I30" s="102"/>
      <c r="J30" s="102"/>
      <c r="K30" s="102"/>
      <c r="L30" s="102"/>
      <c r="M30" s="102"/>
      <c r="N30" s="102"/>
      <c r="O30" s="102"/>
      <c r="P30" s="102"/>
      <c r="Q30" s="102"/>
      <c r="R30" s="102"/>
      <c r="S30" s="102"/>
      <c r="T30" s="102"/>
      <c r="U30" s="102"/>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row>
    <row r="31" ht="12.75" customHeight="1">
      <c r="C31" s="400"/>
      <c r="D31" s="102"/>
      <c r="I31" s="102"/>
      <c r="J31" s="102"/>
      <c r="K31" s="102"/>
      <c r="L31" s="102"/>
      <c r="M31" s="102"/>
      <c r="N31" s="102"/>
      <c r="O31" s="102"/>
      <c r="P31" s="102"/>
      <c r="Q31" s="102"/>
      <c r="R31" s="102"/>
      <c r="S31" s="102"/>
      <c r="T31" s="102"/>
      <c r="U31" s="102"/>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row>
    <row r="32" ht="12.75" customHeight="1">
      <c r="C32" s="400"/>
      <c r="D32" s="102"/>
      <c r="I32" s="102"/>
      <c r="J32" s="102"/>
      <c r="K32" s="102"/>
      <c r="L32" s="102"/>
      <c r="M32" s="102"/>
      <c r="N32" s="102"/>
      <c r="O32" s="102"/>
      <c r="P32" s="102"/>
      <c r="Q32" s="102"/>
      <c r="R32" s="102"/>
      <c r="S32" s="102"/>
      <c r="T32" s="102"/>
      <c r="U32" s="102"/>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row>
    <row r="33" ht="12.75" customHeight="1">
      <c r="C33" s="400"/>
      <c r="D33" s="102"/>
      <c r="I33" s="102"/>
      <c r="J33" s="102"/>
      <c r="K33" s="102"/>
      <c r="L33" s="102"/>
      <c r="M33" s="102"/>
      <c r="N33" s="102"/>
      <c r="O33" s="102"/>
      <c r="P33" s="102"/>
      <c r="Q33" s="102"/>
      <c r="R33" s="102"/>
      <c r="S33" s="102"/>
      <c r="T33" s="102"/>
      <c r="U33" s="102"/>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row>
    <row r="34" ht="12.75" customHeight="1">
      <c r="C34" s="400"/>
      <c r="D34" s="102"/>
      <c r="I34" s="102"/>
      <c r="J34" s="102"/>
      <c r="K34" s="102"/>
      <c r="L34" s="102"/>
      <c r="M34" s="102"/>
      <c r="N34" s="102"/>
      <c r="O34" s="102"/>
      <c r="P34" s="102"/>
      <c r="Q34" s="102"/>
      <c r="R34" s="102"/>
      <c r="S34" s="102"/>
      <c r="T34" s="102"/>
      <c r="U34" s="102"/>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row>
    <row r="35" ht="12.75" customHeight="1">
      <c r="C35" s="400"/>
      <c r="D35" s="102"/>
      <c r="I35" s="102"/>
      <c r="J35" s="102"/>
      <c r="K35" s="102"/>
      <c r="L35" s="102"/>
      <c r="M35" s="102"/>
      <c r="N35" s="102"/>
      <c r="O35" s="102"/>
      <c r="P35" s="102"/>
      <c r="Q35" s="102"/>
      <c r="R35" s="102"/>
      <c r="S35" s="102"/>
      <c r="T35" s="102"/>
      <c r="U35" s="102"/>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row>
    <row r="36" ht="12.75" customHeight="1">
      <c r="C36" s="400"/>
      <c r="D36" s="102"/>
      <c r="I36" s="102"/>
      <c r="J36" s="102"/>
      <c r="K36" s="102"/>
      <c r="L36" s="102"/>
      <c r="M36" s="102"/>
      <c r="N36" s="102"/>
      <c r="O36" s="102"/>
      <c r="P36" s="102"/>
      <c r="Q36" s="102"/>
      <c r="R36" s="102"/>
      <c r="S36" s="102"/>
      <c r="T36" s="102"/>
      <c r="U36" s="102"/>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row>
    <row r="37" ht="12.75" customHeight="1">
      <c r="C37" s="400"/>
      <c r="D37" s="102"/>
      <c r="I37" s="102"/>
      <c r="J37" s="102"/>
      <c r="K37" s="102"/>
      <c r="L37" s="102"/>
      <c r="M37" s="102"/>
      <c r="N37" s="102"/>
      <c r="O37" s="102"/>
      <c r="P37" s="102"/>
      <c r="Q37" s="102"/>
      <c r="R37" s="102"/>
      <c r="S37" s="102"/>
      <c r="T37" s="102"/>
      <c r="U37" s="102"/>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row>
    <row r="38" ht="12.75" customHeight="1">
      <c r="C38" s="400"/>
      <c r="D38" s="102"/>
      <c r="I38" s="102"/>
      <c r="J38" s="102"/>
      <c r="K38" s="102"/>
      <c r="L38" s="102"/>
      <c r="M38" s="102"/>
      <c r="N38" s="102"/>
      <c r="O38" s="102"/>
      <c r="P38" s="102"/>
      <c r="Q38" s="102"/>
      <c r="R38" s="102"/>
      <c r="S38" s="102"/>
      <c r="T38" s="102"/>
      <c r="U38" s="102"/>
      <c r="V38" s="102"/>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row>
    <row r="39" ht="12.75" customHeight="1">
      <c r="C39" s="400"/>
      <c r="D39" s="102"/>
      <c r="I39" s="102"/>
      <c r="J39" s="102"/>
      <c r="K39" s="102"/>
      <c r="L39" s="102"/>
      <c r="M39" s="102"/>
      <c r="N39" s="102"/>
      <c r="O39" s="102"/>
      <c r="P39" s="102"/>
      <c r="Q39" s="102"/>
      <c r="R39" s="102"/>
      <c r="S39" s="102"/>
      <c r="T39" s="102"/>
      <c r="U39" s="102"/>
      <c r="V39" s="102"/>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row>
    <row r="40" ht="12.75" customHeight="1">
      <c r="C40" s="400"/>
      <c r="D40" s="102"/>
      <c r="I40" s="102"/>
      <c r="J40" s="102"/>
      <c r="K40" s="102"/>
      <c r="L40" s="102"/>
      <c r="M40" s="102"/>
      <c r="N40" s="102"/>
      <c r="O40" s="102"/>
      <c r="P40" s="102"/>
      <c r="Q40" s="102"/>
      <c r="R40" s="102"/>
      <c r="S40" s="102"/>
      <c r="T40" s="102"/>
      <c r="U40" s="102"/>
      <c r="V40" s="102"/>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row>
    <row r="41" ht="12.75" customHeight="1">
      <c r="C41" s="400"/>
      <c r="D41" s="102"/>
      <c r="I41" s="102"/>
      <c r="J41" s="102"/>
      <c r="K41" s="102"/>
      <c r="L41" s="102"/>
      <c r="M41" s="102"/>
      <c r="N41" s="102"/>
      <c r="O41" s="102"/>
      <c r="P41" s="102"/>
      <c r="Q41" s="102"/>
      <c r="R41" s="102"/>
      <c r="S41" s="102"/>
      <c r="T41" s="102"/>
      <c r="U41" s="102"/>
      <c r="V41" s="102"/>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row>
    <row r="42" ht="12.75" customHeight="1">
      <c r="C42" s="400"/>
      <c r="D42" s="102"/>
      <c r="I42" s="102"/>
      <c r="J42" s="102"/>
      <c r="K42" s="102"/>
      <c r="L42" s="102"/>
      <c r="M42" s="102"/>
      <c r="N42" s="102"/>
      <c r="O42" s="102"/>
      <c r="P42" s="102"/>
      <c r="Q42" s="102"/>
      <c r="R42" s="102"/>
      <c r="S42" s="102"/>
      <c r="T42" s="102"/>
      <c r="U42" s="102"/>
      <c r="V42" s="102"/>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row>
    <row r="43" ht="12.75" customHeight="1">
      <c r="C43" s="400"/>
      <c r="D43" s="102"/>
      <c r="I43" s="102"/>
      <c r="J43" s="102"/>
      <c r="K43" s="102"/>
      <c r="L43" s="102"/>
      <c r="M43" s="102"/>
      <c r="N43" s="102"/>
      <c r="O43" s="102"/>
      <c r="P43" s="102"/>
      <c r="Q43" s="102"/>
      <c r="R43" s="102"/>
      <c r="S43" s="102"/>
      <c r="T43" s="102"/>
      <c r="U43" s="102"/>
      <c r="V43" s="102"/>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row>
    <row r="44" ht="12.75" customHeight="1">
      <c r="C44" s="400"/>
      <c r="D44" s="102"/>
      <c r="I44" s="102"/>
      <c r="J44" s="102"/>
      <c r="K44" s="102"/>
      <c r="L44" s="102"/>
      <c r="M44" s="102"/>
      <c r="N44" s="102"/>
      <c r="O44" s="102"/>
      <c r="P44" s="102"/>
      <c r="Q44" s="102"/>
      <c r="R44" s="102"/>
      <c r="S44" s="102"/>
      <c r="T44" s="102"/>
      <c r="U44" s="102"/>
      <c r="V44" s="102"/>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row>
    <row r="45" ht="12.75" customHeight="1">
      <c r="C45" s="400"/>
      <c r="D45" s="102"/>
      <c r="I45" s="102"/>
      <c r="J45" s="102"/>
      <c r="K45" s="102"/>
      <c r="L45" s="102"/>
      <c r="M45" s="102"/>
      <c r="N45" s="102"/>
      <c r="O45" s="102"/>
      <c r="P45" s="102"/>
      <c r="Q45" s="102"/>
      <c r="R45" s="102"/>
      <c r="S45" s="102"/>
      <c r="T45" s="102"/>
      <c r="U45" s="102"/>
      <c r="V45" s="102"/>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row>
    <row r="46" ht="12.75" customHeight="1">
      <c r="C46" s="400"/>
      <c r="D46" s="102"/>
      <c r="I46" s="102"/>
      <c r="J46" s="102"/>
      <c r="K46" s="102"/>
      <c r="L46" s="102"/>
      <c r="M46" s="102"/>
      <c r="N46" s="102"/>
      <c r="O46" s="102"/>
      <c r="P46" s="102"/>
      <c r="Q46" s="102"/>
      <c r="R46" s="102"/>
      <c r="S46" s="102"/>
      <c r="T46" s="102"/>
      <c r="U46" s="102"/>
      <c r="V46" s="102"/>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row>
    <row r="47" ht="12.75" customHeight="1">
      <c r="C47" s="400"/>
      <c r="D47" s="102"/>
      <c r="I47" s="102"/>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row>
    <row r="48" ht="12.75" customHeight="1">
      <c r="C48" s="400"/>
      <c r="D48" s="102"/>
      <c r="I48" s="102"/>
      <c r="J48" s="102"/>
      <c r="K48" s="102"/>
      <c r="L48" s="102"/>
      <c r="M48" s="102"/>
      <c r="N48" s="102"/>
      <c r="O48" s="102"/>
      <c r="P48" s="102"/>
      <c r="Q48" s="102"/>
      <c r="R48" s="102"/>
      <c r="S48" s="102"/>
      <c r="T48" s="102"/>
      <c r="U48" s="102"/>
      <c r="V48" s="102"/>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row>
    <row r="49" ht="12.75" customHeight="1">
      <c r="C49" s="400"/>
      <c r="D49" s="102"/>
      <c r="I49" s="102"/>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row>
    <row r="50" ht="12.75" customHeight="1">
      <c r="C50" s="400"/>
      <c r="D50" s="102"/>
      <c r="I50" s="102"/>
      <c r="J50" s="102"/>
      <c r="K50" s="102"/>
      <c r="L50" s="102"/>
      <c r="M50" s="102"/>
      <c r="N50" s="102"/>
      <c r="O50" s="102"/>
      <c r="P50" s="102"/>
      <c r="Q50" s="102"/>
      <c r="R50" s="102"/>
      <c r="S50" s="102"/>
      <c r="T50" s="102"/>
      <c r="U50" s="102"/>
      <c r="V50" s="102"/>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row>
    <row r="51" ht="12.75" customHeight="1">
      <c r="C51" s="400"/>
      <c r="D51" s="102"/>
      <c r="I51" s="102"/>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row>
    <row r="52" ht="12.75" customHeight="1">
      <c r="C52" s="400"/>
      <c r="D52" s="102"/>
      <c r="I52" s="102"/>
      <c r="J52" s="102"/>
      <c r="K52" s="102"/>
      <c r="L52" s="102"/>
      <c r="M52" s="102"/>
      <c r="N52" s="102"/>
      <c r="O52" s="102"/>
      <c r="P52" s="102"/>
      <c r="Q52" s="102"/>
      <c r="R52" s="102"/>
      <c r="S52" s="102"/>
      <c r="T52" s="102"/>
      <c r="U52" s="102"/>
      <c r="V52" s="102"/>
      <c r="W52" s="102"/>
      <c r="X52" s="102"/>
      <c r="Y52" s="102"/>
      <c r="Z52" s="102"/>
      <c r="AA52" s="102"/>
      <c r="AB52" s="102"/>
      <c r="AC52" s="102"/>
      <c r="AD52" s="102"/>
      <c r="AE52" s="102"/>
      <c r="AF52" s="102"/>
      <c r="AG52" s="102"/>
      <c r="AH52" s="102"/>
      <c r="AI52" s="102"/>
      <c r="AJ52" s="102"/>
      <c r="AK52" s="102"/>
      <c r="AL52" s="102"/>
      <c r="AM52" s="102"/>
      <c r="AN52" s="102"/>
      <c r="AO52" s="102"/>
      <c r="AP52" s="102"/>
      <c r="AQ52" s="102"/>
      <c r="AR52" s="102"/>
      <c r="AS52" s="102"/>
      <c r="AT52" s="102"/>
      <c r="AU52" s="102"/>
      <c r="AV52" s="102"/>
    </row>
    <row r="53" ht="12.75" customHeight="1">
      <c r="C53" s="400"/>
      <c r="D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102"/>
      <c r="AK53" s="102"/>
      <c r="AL53" s="102"/>
      <c r="AM53" s="102"/>
      <c r="AN53" s="102"/>
      <c r="AO53" s="102"/>
      <c r="AP53" s="102"/>
      <c r="AQ53" s="102"/>
      <c r="AR53" s="102"/>
      <c r="AS53" s="102"/>
      <c r="AT53" s="102"/>
      <c r="AU53" s="102"/>
      <c r="AV53" s="102"/>
    </row>
    <row r="54" ht="12.75" customHeight="1">
      <c r="C54" s="400"/>
      <c r="D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2"/>
      <c r="AK54" s="102"/>
      <c r="AL54" s="102"/>
      <c r="AM54" s="102"/>
      <c r="AN54" s="102"/>
      <c r="AO54" s="102"/>
      <c r="AP54" s="102"/>
      <c r="AQ54" s="102"/>
      <c r="AR54" s="102"/>
      <c r="AS54" s="102"/>
      <c r="AT54" s="102"/>
      <c r="AU54" s="102"/>
      <c r="AV54" s="102"/>
    </row>
    <row r="55" ht="12.75" customHeight="1">
      <c r="C55" s="400"/>
      <c r="D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02"/>
      <c r="AH55" s="102"/>
      <c r="AI55" s="102"/>
      <c r="AJ55" s="102"/>
      <c r="AK55" s="102"/>
      <c r="AL55" s="102"/>
      <c r="AM55" s="102"/>
      <c r="AN55" s="102"/>
      <c r="AO55" s="102"/>
      <c r="AP55" s="102"/>
      <c r="AQ55" s="102"/>
      <c r="AR55" s="102"/>
      <c r="AS55" s="102"/>
      <c r="AT55" s="102"/>
      <c r="AU55" s="102"/>
      <c r="AV55" s="102"/>
    </row>
    <row r="56" ht="12.75" customHeight="1">
      <c r="C56" s="400"/>
      <c r="D56" s="102"/>
      <c r="I56" s="102"/>
      <c r="J56" s="102"/>
      <c r="K56" s="102"/>
      <c r="L56" s="102"/>
      <c r="M56" s="102"/>
      <c r="N56" s="102"/>
      <c r="O56" s="102"/>
      <c r="P56" s="102"/>
      <c r="Q56" s="102"/>
      <c r="R56" s="102"/>
      <c r="S56" s="102"/>
      <c r="T56" s="102"/>
      <c r="U56" s="102"/>
      <c r="V56" s="102"/>
      <c r="W56" s="102"/>
      <c r="X56" s="102"/>
      <c r="Y56" s="102"/>
      <c r="Z56" s="102"/>
      <c r="AA56" s="102"/>
      <c r="AB56" s="102"/>
      <c r="AC56" s="102"/>
      <c r="AD56" s="102"/>
      <c r="AE56" s="102"/>
      <c r="AF56" s="102"/>
      <c r="AG56" s="102"/>
      <c r="AH56" s="102"/>
      <c r="AI56" s="102"/>
      <c r="AJ56" s="102"/>
      <c r="AK56" s="102"/>
      <c r="AL56" s="102"/>
      <c r="AM56" s="102"/>
      <c r="AN56" s="102"/>
      <c r="AO56" s="102"/>
      <c r="AP56" s="102"/>
      <c r="AQ56" s="102"/>
      <c r="AR56" s="102"/>
      <c r="AS56" s="102"/>
      <c r="AT56" s="102"/>
      <c r="AU56" s="102"/>
      <c r="AV56" s="102"/>
    </row>
    <row r="57" ht="12.75" customHeight="1">
      <c r="C57" s="400"/>
      <c r="D57" s="102"/>
      <c r="I57" s="102"/>
      <c r="J57" s="102"/>
      <c r="K57" s="102"/>
      <c r="L57" s="102"/>
      <c r="M57" s="102"/>
      <c r="N57" s="102"/>
      <c r="O57" s="102"/>
      <c r="P57" s="102"/>
      <c r="Q57" s="102"/>
      <c r="R57" s="102"/>
      <c r="S57" s="102"/>
      <c r="T57" s="102"/>
      <c r="U57" s="102"/>
      <c r="V57" s="102"/>
      <c r="W57" s="102"/>
      <c r="X57" s="102"/>
      <c r="Y57" s="102"/>
      <c r="Z57" s="102"/>
      <c r="AA57" s="102"/>
      <c r="AB57" s="102"/>
      <c r="AC57" s="102"/>
      <c r="AD57" s="102"/>
      <c r="AE57" s="102"/>
      <c r="AF57" s="102"/>
      <c r="AG57" s="102"/>
      <c r="AH57" s="102"/>
      <c r="AI57" s="102"/>
      <c r="AJ57" s="102"/>
      <c r="AK57" s="102"/>
      <c r="AL57" s="102"/>
      <c r="AM57" s="102"/>
      <c r="AN57" s="102"/>
      <c r="AO57" s="102"/>
      <c r="AP57" s="102"/>
      <c r="AQ57" s="102"/>
      <c r="AR57" s="102"/>
      <c r="AS57" s="102"/>
      <c r="AT57" s="102"/>
      <c r="AU57" s="102"/>
      <c r="AV57" s="102"/>
    </row>
    <row r="58" ht="12.75" customHeight="1">
      <c r="C58" s="400"/>
      <c r="D58" s="102"/>
      <c r="I58" s="102"/>
      <c r="J58" s="102"/>
      <c r="K58" s="102"/>
      <c r="L58" s="102"/>
      <c r="M58" s="102"/>
      <c r="N58" s="102"/>
      <c r="O58" s="102"/>
      <c r="P58" s="102"/>
      <c r="Q58" s="102"/>
      <c r="R58" s="102"/>
      <c r="S58" s="102"/>
      <c r="T58" s="102"/>
      <c r="U58" s="102"/>
      <c r="V58" s="102"/>
      <c r="W58" s="102"/>
      <c r="X58" s="102"/>
      <c r="Y58" s="102"/>
      <c r="Z58" s="102"/>
      <c r="AA58" s="102"/>
      <c r="AB58" s="102"/>
      <c r="AC58" s="102"/>
      <c r="AD58" s="102"/>
      <c r="AE58" s="102"/>
      <c r="AF58" s="102"/>
      <c r="AG58" s="102"/>
      <c r="AH58" s="102"/>
      <c r="AI58" s="102"/>
      <c r="AJ58" s="102"/>
      <c r="AK58" s="102"/>
      <c r="AL58" s="102"/>
      <c r="AM58" s="102"/>
      <c r="AN58" s="102"/>
      <c r="AO58" s="102"/>
      <c r="AP58" s="102"/>
      <c r="AQ58" s="102"/>
      <c r="AR58" s="102"/>
      <c r="AS58" s="102"/>
      <c r="AT58" s="102"/>
      <c r="AU58" s="102"/>
      <c r="AV58" s="102"/>
    </row>
    <row r="59" ht="12.75" customHeight="1">
      <c r="C59" s="400"/>
      <c r="D59" s="102"/>
      <c r="I59" s="102"/>
      <c r="J59" s="102"/>
      <c r="K59" s="102"/>
      <c r="L59" s="102"/>
      <c r="M59" s="102"/>
      <c r="N59" s="102"/>
      <c r="O59" s="102"/>
      <c r="P59" s="102"/>
      <c r="Q59" s="102"/>
      <c r="R59" s="102"/>
      <c r="S59" s="102"/>
      <c r="T59" s="102"/>
      <c r="U59" s="102"/>
      <c r="V59" s="102"/>
      <c r="W59" s="102"/>
      <c r="X59" s="102"/>
      <c r="Y59" s="102"/>
      <c r="Z59" s="102"/>
      <c r="AA59" s="102"/>
      <c r="AB59" s="102"/>
      <c r="AC59" s="102"/>
      <c r="AD59" s="102"/>
      <c r="AE59" s="102"/>
      <c r="AF59" s="102"/>
      <c r="AG59" s="102"/>
      <c r="AH59" s="102"/>
      <c r="AI59" s="102"/>
      <c r="AJ59" s="102"/>
      <c r="AK59" s="102"/>
      <c r="AL59" s="102"/>
      <c r="AM59" s="102"/>
      <c r="AN59" s="102"/>
      <c r="AO59" s="102"/>
      <c r="AP59" s="102"/>
      <c r="AQ59" s="102"/>
      <c r="AR59" s="102"/>
      <c r="AS59" s="102"/>
      <c r="AT59" s="102"/>
      <c r="AU59" s="102"/>
      <c r="AV59" s="102"/>
    </row>
    <row r="60" ht="12.75" customHeight="1">
      <c r="C60" s="400"/>
      <c r="D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02"/>
      <c r="AK60" s="102"/>
      <c r="AL60" s="102"/>
      <c r="AM60" s="102"/>
      <c r="AN60" s="102"/>
      <c r="AO60" s="102"/>
      <c r="AP60" s="102"/>
      <c r="AQ60" s="102"/>
      <c r="AR60" s="102"/>
      <c r="AS60" s="102"/>
      <c r="AT60" s="102"/>
      <c r="AU60" s="102"/>
      <c r="AV60" s="102"/>
    </row>
    <row r="61" ht="12.75" customHeight="1">
      <c r="C61" s="400"/>
      <c r="D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02"/>
      <c r="AK61" s="102"/>
      <c r="AL61" s="102"/>
      <c r="AM61" s="102"/>
      <c r="AN61" s="102"/>
      <c r="AO61" s="102"/>
      <c r="AP61" s="102"/>
      <c r="AQ61" s="102"/>
      <c r="AR61" s="102"/>
      <c r="AS61" s="102"/>
      <c r="AT61" s="102"/>
      <c r="AU61" s="102"/>
      <c r="AV61" s="102"/>
    </row>
    <row r="62" ht="12.75" customHeight="1">
      <c r="C62" s="400"/>
      <c r="D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02"/>
      <c r="AK62" s="102"/>
      <c r="AL62" s="102"/>
      <c r="AM62" s="102"/>
      <c r="AN62" s="102"/>
      <c r="AO62" s="102"/>
      <c r="AP62" s="102"/>
      <c r="AQ62" s="102"/>
      <c r="AR62" s="102"/>
      <c r="AS62" s="102"/>
      <c r="AT62" s="102"/>
      <c r="AU62" s="102"/>
      <c r="AV62" s="102"/>
    </row>
    <row r="63" ht="12.75" customHeight="1">
      <c r="C63" s="400"/>
      <c r="D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row>
    <row r="64" ht="12.75" customHeight="1">
      <c r="C64" s="400"/>
      <c r="D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row>
    <row r="65" ht="12.75" customHeight="1">
      <c r="C65" s="400"/>
      <c r="D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row>
    <row r="66" ht="12.75" customHeight="1">
      <c r="C66" s="400"/>
      <c r="D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row>
    <row r="67" ht="12.75" customHeight="1">
      <c r="C67" s="400"/>
      <c r="D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row>
    <row r="68" ht="12.75" customHeight="1">
      <c r="C68" s="400"/>
      <c r="D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row>
    <row r="69" ht="12.75" customHeight="1">
      <c r="C69" s="400"/>
      <c r="D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row>
    <row r="70" ht="12.75" customHeight="1">
      <c r="C70" s="400"/>
      <c r="D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row>
    <row r="71" ht="12.75" customHeight="1">
      <c r="C71" s="400"/>
      <c r="D71" s="102"/>
      <c r="I71" s="102"/>
      <c r="J71" s="102"/>
      <c r="K71" s="102"/>
      <c r="L71" s="102"/>
      <c r="M71" s="102"/>
      <c r="N71" s="102"/>
      <c r="O71" s="102"/>
      <c r="P71" s="102"/>
      <c r="Q71" s="102"/>
      <c r="R71" s="102"/>
      <c r="S71" s="102"/>
      <c r="T71" s="102"/>
      <c r="U71" s="102"/>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row>
    <row r="72" ht="12.75" customHeight="1">
      <c r="C72" s="400"/>
      <c r="D72" s="102"/>
      <c r="I72" s="102"/>
      <c r="J72" s="102"/>
      <c r="K72" s="102"/>
      <c r="L72" s="102"/>
      <c r="M72" s="102"/>
      <c r="N72" s="102"/>
      <c r="O72" s="102"/>
      <c r="P72" s="102"/>
      <c r="Q72" s="102"/>
      <c r="R72" s="102"/>
      <c r="S72" s="102"/>
      <c r="T72" s="102"/>
      <c r="U72" s="102"/>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row>
    <row r="73" ht="12.75" customHeight="1">
      <c r="C73" s="400"/>
      <c r="D73" s="102"/>
      <c r="I73" s="102"/>
      <c r="J73" s="102"/>
      <c r="K73" s="102"/>
      <c r="L73" s="102"/>
      <c r="M73" s="102"/>
      <c r="N73" s="102"/>
      <c r="O73" s="102"/>
      <c r="P73" s="102"/>
      <c r="Q73" s="102"/>
      <c r="R73" s="102"/>
      <c r="S73" s="102"/>
      <c r="T73" s="102"/>
      <c r="U73" s="102"/>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row>
    <row r="74" ht="12.75" customHeight="1">
      <c r="C74" s="400"/>
      <c r="D74" s="102"/>
      <c r="I74" s="102"/>
      <c r="J74" s="102"/>
      <c r="K74" s="102"/>
      <c r="L74" s="102"/>
      <c r="M74" s="102"/>
      <c r="N74" s="102"/>
      <c r="O74" s="102"/>
      <c r="P74" s="102"/>
      <c r="Q74" s="102"/>
      <c r="R74" s="102"/>
      <c r="S74" s="102"/>
      <c r="T74" s="102"/>
      <c r="U74" s="102"/>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row>
    <row r="75" ht="12.75" customHeight="1">
      <c r="C75" s="400"/>
      <c r="D75" s="102"/>
      <c r="I75" s="102"/>
      <c r="J75" s="102"/>
      <c r="K75" s="102"/>
      <c r="L75" s="102"/>
      <c r="M75" s="102"/>
      <c r="N75" s="102"/>
      <c r="O75" s="102"/>
      <c r="P75" s="102"/>
      <c r="Q75" s="102"/>
      <c r="R75" s="102"/>
      <c r="S75" s="102"/>
      <c r="T75" s="102"/>
      <c r="U75" s="102"/>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row>
    <row r="76" ht="12.75" customHeight="1">
      <c r="C76" s="400"/>
      <c r="D76" s="102"/>
      <c r="I76" s="102"/>
      <c r="J76" s="102"/>
      <c r="K76" s="102"/>
      <c r="L76" s="102"/>
      <c r="M76" s="102"/>
      <c r="N76" s="102"/>
      <c r="O76" s="102"/>
      <c r="P76" s="102"/>
      <c r="Q76" s="102"/>
      <c r="R76" s="102"/>
      <c r="S76" s="102"/>
      <c r="T76" s="102"/>
      <c r="U76" s="102"/>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row>
    <row r="77" ht="12.75" customHeight="1">
      <c r="C77" s="400"/>
      <c r="D77" s="102"/>
      <c r="I77" s="102"/>
      <c r="J77" s="102"/>
      <c r="K77" s="102"/>
      <c r="L77" s="102"/>
      <c r="M77" s="102"/>
      <c r="N77" s="102"/>
      <c r="O77" s="102"/>
      <c r="P77" s="102"/>
      <c r="Q77" s="102"/>
      <c r="R77" s="102"/>
      <c r="S77" s="102"/>
      <c r="T77" s="102"/>
      <c r="U77" s="102"/>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row>
    <row r="78" ht="12.75" customHeight="1">
      <c r="C78" s="400"/>
      <c r="D78" s="102"/>
      <c r="I78" s="102"/>
      <c r="J78" s="102"/>
      <c r="K78" s="102"/>
      <c r="L78" s="102"/>
      <c r="M78" s="102"/>
      <c r="N78" s="102"/>
      <c r="O78" s="102"/>
      <c r="P78" s="102"/>
      <c r="Q78" s="102"/>
      <c r="R78" s="102"/>
      <c r="S78" s="102"/>
      <c r="T78" s="102"/>
      <c r="U78" s="102"/>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row>
    <row r="79" ht="12.75" customHeight="1">
      <c r="C79" s="400"/>
      <c r="D79" s="102"/>
      <c r="I79" s="102"/>
      <c r="J79" s="102"/>
      <c r="K79" s="102"/>
      <c r="L79" s="102"/>
      <c r="M79" s="102"/>
      <c r="N79" s="102"/>
      <c r="O79" s="102"/>
      <c r="P79" s="102"/>
      <c r="Q79" s="102"/>
      <c r="R79" s="102"/>
      <c r="S79" s="102"/>
      <c r="T79" s="102"/>
      <c r="U79" s="102"/>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row>
    <row r="80" ht="12.75" customHeight="1">
      <c r="C80" s="400"/>
      <c r="D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row>
    <row r="81" ht="12.75" customHeight="1">
      <c r="C81" s="400"/>
      <c r="D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row>
    <row r="82" ht="12.75" customHeight="1">
      <c r="C82" s="400"/>
      <c r="D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row>
    <row r="83" ht="12.75" customHeight="1">
      <c r="C83" s="400"/>
      <c r="D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row>
    <row r="84" ht="12.75" customHeight="1">
      <c r="C84" s="400"/>
      <c r="D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row>
    <row r="85" ht="12.75" customHeight="1">
      <c r="C85" s="400"/>
      <c r="D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row>
    <row r="86" ht="12.75" customHeight="1">
      <c r="C86" s="400"/>
      <c r="D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row>
    <row r="87" ht="12.75" customHeight="1">
      <c r="C87" s="400"/>
      <c r="D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row>
    <row r="88" ht="12.75" customHeight="1">
      <c r="C88" s="400"/>
      <c r="D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row>
    <row r="89" ht="12.75" customHeight="1">
      <c r="C89" s="400"/>
      <c r="D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row>
    <row r="90" ht="12.75" customHeight="1">
      <c r="C90" s="400"/>
      <c r="D90" s="102"/>
      <c r="I90" s="102"/>
      <c r="J90" s="102"/>
      <c r="K90" s="102"/>
      <c r="L90" s="102"/>
      <c r="M90" s="102"/>
      <c r="N90" s="102"/>
      <c r="O90" s="102"/>
      <c r="P90" s="102"/>
      <c r="Q90" s="102"/>
      <c r="R90" s="102"/>
      <c r="S90" s="102"/>
      <c r="T90" s="102"/>
      <c r="U90" s="102"/>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row>
    <row r="91" ht="12.75" customHeight="1">
      <c r="C91" s="400"/>
      <c r="D91" s="102"/>
      <c r="I91" s="102"/>
      <c r="J91" s="102"/>
      <c r="K91" s="102"/>
      <c r="L91" s="102"/>
      <c r="M91" s="102"/>
      <c r="N91" s="102"/>
      <c r="O91" s="102"/>
      <c r="P91" s="102"/>
      <c r="Q91" s="102"/>
      <c r="R91" s="102"/>
      <c r="S91" s="102"/>
      <c r="T91" s="102"/>
      <c r="U91" s="102"/>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row>
    <row r="92" ht="12.75" customHeight="1">
      <c r="C92" s="400"/>
      <c r="D92" s="102"/>
      <c r="I92" s="102"/>
      <c r="J92" s="102"/>
      <c r="K92" s="102"/>
      <c r="L92" s="102"/>
      <c r="M92" s="102"/>
      <c r="N92" s="102"/>
      <c r="O92" s="102"/>
      <c r="P92" s="102"/>
      <c r="Q92" s="102"/>
      <c r="R92" s="102"/>
      <c r="S92" s="102"/>
      <c r="T92" s="102"/>
      <c r="U92" s="102"/>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row>
    <row r="93" ht="12.75" customHeight="1">
      <c r="C93" s="400"/>
      <c r="D93" s="102"/>
      <c r="I93" s="102"/>
      <c r="J93" s="102"/>
      <c r="K93" s="102"/>
      <c r="L93" s="102"/>
      <c r="M93" s="102"/>
      <c r="N93" s="102"/>
      <c r="O93" s="102"/>
      <c r="P93" s="102"/>
      <c r="Q93" s="102"/>
      <c r="R93" s="102"/>
      <c r="S93" s="102"/>
      <c r="T93" s="102"/>
      <c r="U93" s="102"/>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row>
    <row r="94" ht="12.75" customHeight="1">
      <c r="C94" s="400"/>
      <c r="D94" s="102"/>
      <c r="I94" s="102"/>
      <c r="J94" s="102"/>
      <c r="K94" s="102"/>
      <c r="L94" s="102"/>
      <c r="M94" s="102"/>
      <c r="N94" s="102"/>
      <c r="O94" s="102"/>
      <c r="P94" s="102"/>
      <c r="Q94" s="102"/>
      <c r="R94" s="102"/>
      <c r="S94" s="102"/>
      <c r="T94" s="102"/>
      <c r="U94" s="102"/>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row>
    <row r="95" ht="12.75" customHeight="1">
      <c r="C95" s="400"/>
      <c r="D95" s="102"/>
      <c r="I95" s="102"/>
      <c r="J95" s="102"/>
      <c r="K95" s="102"/>
      <c r="L95" s="102"/>
      <c r="M95" s="102"/>
      <c r="N95" s="102"/>
      <c r="O95" s="102"/>
      <c r="P95" s="102"/>
      <c r="Q95" s="102"/>
      <c r="R95" s="102"/>
      <c r="S95" s="102"/>
      <c r="T95" s="102"/>
      <c r="U95" s="102"/>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row>
    <row r="96" ht="12.75" customHeight="1">
      <c r="C96" s="400"/>
      <c r="D96" s="102"/>
      <c r="I96" s="102"/>
      <c r="J96" s="102"/>
      <c r="K96" s="102"/>
      <c r="L96" s="102"/>
      <c r="M96" s="102"/>
      <c r="N96" s="102"/>
      <c r="O96" s="102"/>
      <c r="P96" s="102"/>
      <c r="Q96" s="102"/>
      <c r="R96" s="102"/>
      <c r="S96" s="102"/>
      <c r="T96" s="102"/>
      <c r="U96" s="102"/>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row>
    <row r="97" ht="12.75" customHeight="1">
      <c r="C97" s="400"/>
      <c r="D97" s="102"/>
      <c r="I97" s="102"/>
      <c r="J97" s="102"/>
      <c r="K97" s="102"/>
      <c r="L97" s="102"/>
      <c r="M97" s="102"/>
      <c r="N97" s="102"/>
      <c r="O97" s="102"/>
      <c r="P97" s="102"/>
      <c r="Q97" s="102"/>
      <c r="R97" s="102"/>
      <c r="S97" s="102"/>
      <c r="T97" s="102"/>
      <c r="U97" s="102"/>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row>
    <row r="98" ht="12.75" customHeight="1">
      <c r="C98" s="400"/>
      <c r="D98" s="102"/>
      <c r="I98" s="102"/>
      <c r="J98" s="102"/>
      <c r="K98" s="102"/>
      <c r="L98" s="102"/>
      <c r="M98" s="102"/>
      <c r="N98" s="102"/>
      <c r="O98" s="102"/>
      <c r="P98" s="102"/>
      <c r="Q98" s="102"/>
      <c r="R98" s="102"/>
      <c r="S98" s="102"/>
      <c r="T98" s="102"/>
      <c r="U98" s="102"/>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row>
    <row r="99" ht="12.75" customHeight="1">
      <c r="C99" s="400"/>
      <c r="D99" s="102"/>
      <c r="I99" s="102"/>
      <c r="J99" s="102"/>
      <c r="K99" s="102"/>
      <c r="L99" s="102"/>
      <c r="M99" s="102"/>
      <c r="N99" s="102"/>
      <c r="O99" s="102"/>
      <c r="P99" s="102"/>
      <c r="Q99" s="102"/>
      <c r="R99" s="102"/>
      <c r="S99" s="102"/>
      <c r="T99" s="102"/>
      <c r="U99" s="102"/>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row>
    <row r="100" ht="12.75" customHeight="1">
      <c r="C100" s="400"/>
      <c r="D100" s="102"/>
      <c r="I100" s="102"/>
      <c r="J100" s="102"/>
      <c r="K100" s="102"/>
      <c r="L100" s="102"/>
      <c r="M100" s="102"/>
      <c r="N100" s="102"/>
      <c r="O100" s="102"/>
      <c r="P100" s="102"/>
      <c r="Q100" s="102"/>
      <c r="R100" s="102"/>
      <c r="S100" s="102"/>
      <c r="T100" s="102"/>
      <c r="U100" s="102"/>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row>
    <row r="101" ht="12.75" customHeight="1">
      <c r="C101" s="400"/>
      <c r="D101" s="102"/>
      <c r="I101" s="102"/>
      <c r="J101" s="102"/>
      <c r="K101" s="102"/>
      <c r="L101" s="102"/>
      <c r="M101" s="102"/>
      <c r="N101" s="102"/>
      <c r="O101" s="102"/>
      <c r="P101" s="102"/>
      <c r="Q101" s="102"/>
      <c r="R101" s="102"/>
      <c r="S101" s="102"/>
      <c r="T101" s="102"/>
      <c r="U101" s="102"/>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row>
    <row r="102" ht="12.75" customHeight="1">
      <c r="C102" s="400"/>
      <c r="D102" s="102"/>
      <c r="I102" s="102"/>
      <c r="J102" s="102"/>
      <c r="K102" s="102"/>
      <c r="L102" s="102"/>
      <c r="M102" s="102"/>
      <c r="N102" s="102"/>
      <c r="O102" s="102"/>
      <c r="P102" s="102"/>
      <c r="Q102" s="102"/>
      <c r="R102" s="102"/>
      <c r="S102" s="102"/>
      <c r="T102" s="102"/>
      <c r="U102" s="102"/>
      <c r="V102" s="102"/>
      <c r="W102" s="102"/>
      <c r="X102" s="102"/>
      <c r="Y102" s="102"/>
      <c r="Z102" s="102"/>
      <c r="AA102" s="102"/>
      <c r="AB102" s="102"/>
      <c r="AC102" s="102"/>
      <c r="AD102" s="102"/>
      <c r="AE102" s="102"/>
      <c r="AF102" s="102"/>
      <c r="AG102" s="102"/>
      <c r="AH102" s="102"/>
      <c r="AI102" s="102"/>
      <c r="AJ102" s="102"/>
      <c r="AK102" s="102"/>
      <c r="AL102" s="102"/>
      <c r="AM102" s="102"/>
      <c r="AN102" s="102"/>
      <c r="AO102" s="102"/>
      <c r="AP102" s="102"/>
      <c r="AQ102" s="102"/>
      <c r="AR102" s="102"/>
      <c r="AS102" s="102"/>
      <c r="AT102" s="102"/>
      <c r="AU102" s="102"/>
      <c r="AV102" s="102"/>
    </row>
    <row r="103" ht="12.75" customHeight="1">
      <c r="C103" s="400"/>
      <c r="D103" s="102"/>
      <c r="I103" s="102"/>
      <c r="J103" s="102"/>
      <c r="K103" s="102"/>
      <c r="L103" s="102"/>
      <c r="M103" s="102"/>
      <c r="N103" s="102"/>
      <c r="O103" s="102"/>
      <c r="P103" s="102"/>
      <c r="Q103" s="102"/>
      <c r="R103" s="102"/>
      <c r="S103" s="102"/>
      <c r="T103" s="102"/>
      <c r="U103" s="102"/>
      <c r="V103" s="102"/>
      <c r="W103" s="102"/>
      <c r="X103" s="102"/>
      <c r="Y103" s="102"/>
      <c r="Z103" s="102"/>
      <c r="AA103" s="102"/>
      <c r="AB103" s="102"/>
      <c r="AC103" s="102"/>
      <c r="AD103" s="102"/>
      <c r="AE103" s="102"/>
      <c r="AF103" s="102"/>
      <c r="AG103" s="102"/>
      <c r="AH103" s="102"/>
      <c r="AI103" s="102"/>
      <c r="AJ103" s="102"/>
      <c r="AK103" s="102"/>
      <c r="AL103" s="102"/>
      <c r="AM103" s="102"/>
      <c r="AN103" s="102"/>
      <c r="AO103" s="102"/>
      <c r="AP103" s="102"/>
      <c r="AQ103" s="102"/>
      <c r="AR103" s="102"/>
      <c r="AS103" s="102"/>
      <c r="AT103" s="102"/>
      <c r="AU103" s="102"/>
      <c r="AV103" s="102"/>
    </row>
    <row r="104" ht="12.75" customHeight="1">
      <c r="C104" s="400"/>
      <c r="D104" s="102"/>
      <c r="I104" s="102"/>
      <c r="J104" s="102"/>
      <c r="K104" s="102"/>
      <c r="L104" s="102"/>
      <c r="M104" s="102"/>
      <c r="N104" s="102"/>
      <c r="O104" s="102"/>
      <c r="P104" s="102"/>
      <c r="Q104" s="102"/>
      <c r="R104" s="102"/>
      <c r="S104" s="102"/>
      <c r="T104" s="102"/>
      <c r="U104" s="102"/>
      <c r="V104" s="102"/>
      <c r="W104" s="102"/>
      <c r="X104" s="102"/>
      <c r="Y104" s="102"/>
      <c r="Z104" s="102"/>
      <c r="AA104" s="102"/>
      <c r="AB104" s="102"/>
      <c r="AC104" s="102"/>
      <c r="AD104" s="102"/>
      <c r="AE104" s="102"/>
      <c r="AF104" s="102"/>
      <c r="AG104" s="102"/>
      <c r="AH104" s="102"/>
      <c r="AI104" s="102"/>
      <c r="AJ104" s="102"/>
      <c r="AK104" s="102"/>
      <c r="AL104" s="102"/>
      <c r="AM104" s="102"/>
      <c r="AN104" s="102"/>
      <c r="AO104" s="102"/>
      <c r="AP104" s="102"/>
      <c r="AQ104" s="102"/>
      <c r="AR104" s="102"/>
      <c r="AS104" s="102"/>
      <c r="AT104" s="102"/>
      <c r="AU104" s="102"/>
      <c r="AV104" s="102"/>
    </row>
    <row r="105" ht="12.75" customHeight="1">
      <c r="C105" s="400"/>
      <c r="D105" s="102"/>
      <c r="I105" s="102"/>
      <c r="J105" s="102"/>
      <c r="K105" s="102"/>
      <c r="L105" s="102"/>
      <c r="M105" s="102"/>
      <c r="N105" s="102"/>
      <c r="O105" s="102"/>
      <c r="P105" s="102"/>
      <c r="Q105" s="102"/>
      <c r="R105" s="102"/>
      <c r="S105" s="102"/>
      <c r="T105" s="102"/>
      <c r="U105" s="102"/>
      <c r="V105" s="102"/>
      <c r="W105" s="102"/>
      <c r="X105" s="102"/>
      <c r="Y105" s="102"/>
      <c r="Z105" s="102"/>
      <c r="AA105" s="102"/>
      <c r="AB105" s="102"/>
      <c r="AC105" s="102"/>
      <c r="AD105" s="102"/>
      <c r="AE105" s="102"/>
      <c r="AF105" s="102"/>
      <c r="AG105" s="102"/>
      <c r="AH105" s="102"/>
      <c r="AI105" s="102"/>
      <c r="AJ105" s="102"/>
      <c r="AK105" s="102"/>
      <c r="AL105" s="102"/>
      <c r="AM105" s="102"/>
      <c r="AN105" s="102"/>
      <c r="AO105" s="102"/>
      <c r="AP105" s="102"/>
      <c r="AQ105" s="102"/>
      <c r="AR105" s="102"/>
      <c r="AS105" s="102"/>
      <c r="AT105" s="102"/>
      <c r="AU105" s="102"/>
      <c r="AV105" s="102"/>
    </row>
    <row r="106" ht="12.75" customHeight="1">
      <c r="C106" s="400"/>
      <c r="D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102"/>
      <c r="AH106" s="102"/>
      <c r="AI106" s="102"/>
      <c r="AJ106" s="102"/>
      <c r="AK106" s="102"/>
      <c r="AL106" s="102"/>
      <c r="AM106" s="102"/>
      <c r="AN106" s="102"/>
      <c r="AO106" s="102"/>
      <c r="AP106" s="102"/>
      <c r="AQ106" s="102"/>
      <c r="AR106" s="102"/>
      <c r="AS106" s="102"/>
      <c r="AT106" s="102"/>
      <c r="AU106" s="102"/>
      <c r="AV106" s="102"/>
    </row>
    <row r="107" ht="12.75" customHeight="1">
      <c r="C107" s="400"/>
      <c r="D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02"/>
      <c r="AH107" s="102"/>
      <c r="AI107" s="102"/>
      <c r="AJ107" s="102"/>
      <c r="AK107" s="102"/>
      <c r="AL107" s="102"/>
      <c r="AM107" s="102"/>
      <c r="AN107" s="102"/>
      <c r="AO107" s="102"/>
      <c r="AP107" s="102"/>
      <c r="AQ107" s="102"/>
      <c r="AR107" s="102"/>
      <c r="AS107" s="102"/>
      <c r="AT107" s="102"/>
      <c r="AU107" s="102"/>
      <c r="AV107" s="102"/>
    </row>
    <row r="108" ht="12.75" customHeight="1">
      <c r="C108" s="400"/>
      <c r="D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c r="AK108" s="102"/>
      <c r="AL108" s="102"/>
      <c r="AM108" s="102"/>
      <c r="AN108" s="102"/>
      <c r="AO108" s="102"/>
      <c r="AP108" s="102"/>
      <c r="AQ108" s="102"/>
      <c r="AR108" s="102"/>
      <c r="AS108" s="102"/>
      <c r="AT108" s="102"/>
      <c r="AU108" s="102"/>
      <c r="AV108" s="102"/>
    </row>
    <row r="109" ht="12.75" customHeight="1">
      <c r="C109" s="400"/>
      <c r="D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02"/>
      <c r="AH109" s="102"/>
      <c r="AI109" s="102"/>
      <c r="AJ109" s="102"/>
      <c r="AK109" s="102"/>
      <c r="AL109" s="102"/>
      <c r="AM109" s="102"/>
      <c r="AN109" s="102"/>
      <c r="AO109" s="102"/>
      <c r="AP109" s="102"/>
      <c r="AQ109" s="102"/>
      <c r="AR109" s="102"/>
      <c r="AS109" s="102"/>
      <c r="AT109" s="102"/>
      <c r="AU109" s="102"/>
      <c r="AV109" s="102"/>
    </row>
    <row r="110" ht="12.75" customHeight="1">
      <c r="C110" s="400"/>
      <c r="D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02"/>
      <c r="AH110" s="102"/>
      <c r="AI110" s="102"/>
      <c r="AJ110" s="102"/>
      <c r="AK110" s="102"/>
      <c r="AL110" s="102"/>
      <c r="AM110" s="102"/>
      <c r="AN110" s="102"/>
      <c r="AO110" s="102"/>
      <c r="AP110" s="102"/>
      <c r="AQ110" s="102"/>
      <c r="AR110" s="102"/>
      <c r="AS110" s="102"/>
      <c r="AT110" s="102"/>
      <c r="AU110" s="102"/>
      <c r="AV110" s="102"/>
    </row>
    <row r="111" ht="12.75" customHeight="1">
      <c r="C111" s="400"/>
      <c r="D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02"/>
      <c r="AH111" s="102"/>
      <c r="AI111" s="102"/>
      <c r="AJ111" s="102"/>
      <c r="AK111" s="102"/>
      <c r="AL111" s="102"/>
      <c r="AM111" s="102"/>
      <c r="AN111" s="102"/>
      <c r="AO111" s="102"/>
      <c r="AP111" s="102"/>
      <c r="AQ111" s="102"/>
      <c r="AR111" s="102"/>
      <c r="AS111" s="102"/>
      <c r="AT111" s="102"/>
      <c r="AU111" s="102"/>
      <c r="AV111" s="102"/>
    </row>
    <row r="112" ht="12.75" customHeight="1">
      <c r="C112" s="400"/>
      <c r="D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c r="AI112" s="102"/>
      <c r="AJ112" s="102"/>
      <c r="AK112" s="102"/>
      <c r="AL112" s="102"/>
      <c r="AM112" s="102"/>
      <c r="AN112" s="102"/>
      <c r="AO112" s="102"/>
      <c r="AP112" s="102"/>
      <c r="AQ112" s="102"/>
      <c r="AR112" s="102"/>
      <c r="AS112" s="102"/>
      <c r="AT112" s="102"/>
      <c r="AU112" s="102"/>
      <c r="AV112" s="102"/>
    </row>
    <row r="113" ht="12.75" customHeight="1">
      <c r="C113" s="400"/>
      <c r="D113" s="102"/>
      <c r="I113" s="102"/>
      <c r="J113" s="102"/>
      <c r="K113" s="102"/>
      <c r="L113" s="102"/>
      <c r="M113" s="102"/>
      <c r="N113" s="102"/>
      <c r="O113" s="102"/>
      <c r="P113" s="102"/>
      <c r="Q113" s="102"/>
      <c r="R113" s="102"/>
      <c r="S113" s="102"/>
      <c r="T113" s="102"/>
      <c r="U113" s="102"/>
      <c r="V113" s="102"/>
      <c r="W113" s="102"/>
      <c r="X113" s="102"/>
      <c r="Y113" s="102"/>
      <c r="Z113" s="102"/>
      <c r="AA113" s="102"/>
      <c r="AB113" s="102"/>
      <c r="AC113" s="102"/>
      <c r="AD113" s="102"/>
      <c r="AE113" s="102"/>
      <c r="AF113" s="102"/>
      <c r="AG113" s="102"/>
      <c r="AH113" s="102"/>
      <c r="AI113" s="102"/>
      <c r="AJ113" s="102"/>
      <c r="AK113" s="102"/>
      <c r="AL113" s="102"/>
      <c r="AM113" s="102"/>
      <c r="AN113" s="102"/>
      <c r="AO113" s="102"/>
      <c r="AP113" s="102"/>
      <c r="AQ113" s="102"/>
      <c r="AR113" s="102"/>
      <c r="AS113" s="102"/>
      <c r="AT113" s="102"/>
      <c r="AU113" s="102"/>
      <c r="AV113" s="102"/>
    </row>
    <row r="114" ht="12.75" customHeight="1">
      <c r="C114" s="400"/>
      <c r="D114" s="102"/>
      <c r="I114" s="102"/>
      <c r="J114" s="102"/>
      <c r="K114" s="102"/>
      <c r="L114" s="102"/>
      <c r="M114" s="102"/>
      <c r="N114" s="102"/>
      <c r="O114" s="102"/>
      <c r="P114" s="102"/>
      <c r="Q114" s="102"/>
      <c r="R114" s="102"/>
      <c r="S114" s="102"/>
      <c r="T114" s="102"/>
      <c r="U114" s="102"/>
      <c r="V114" s="102"/>
      <c r="W114" s="102"/>
      <c r="X114" s="102"/>
      <c r="Y114" s="102"/>
      <c r="Z114" s="102"/>
      <c r="AA114" s="102"/>
      <c r="AB114" s="102"/>
      <c r="AC114" s="102"/>
      <c r="AD114" s="102"/>
      <c r="AE114" s="102"/>
      <c r="AF114" s="102"/>
      <c r="AG114" s="102"/>
      <c r="AH114" s="102"/>
      <c r="AI114" s="102"/>
      <c r="AJ114" s="102"/>
      <c r="AK114" s="102"/>
      <c r="AL114" s="102"/>
      <c r="AM114" s="102"/>
      <c r="AN114" s="102"/>
      <c r="AO114" s="102"/>
      <c r="AP114" s="102"/>
      <c r="AQ114" s="102"/>
      <c r="AR114" s="102"/>
      <c r="AS114" s="102"/>
      <c r="AT114" s="102"/>
      <c r="AU114" s="102"/>
      <c r="AV114" s="102"/>
    </row>
    <row r="115" ht="12.75" customHeight="1">
      <c r="C115" s="400"/>
      <c r="D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row>
    <row r="116" ht="12.75" customHeight="1">
      <c r="C116" s="400"/>
      <c r="D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row>
    <row r="117" ht="12.75" customHeight="1">
      <c r="C117" s="400"/>
      <c r="D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row>
    <row r="118" ht="12.75" customHeight="1">
      <c r="C118" s="400"/>
      <c r="D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row>
    <row r="119" ht="12.75" customHeight="1">
      <c r="C119" s="400"/>
      <c r="D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row>
    <row r="120" ht="12.75" customHeight="1">
      <c r="C120" s="400"/>
      <c r="D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row>
    <row r="121" ht="12.75" customHeight="1">
      <c r="C121" s="400"/>
      <c r="D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row>
    <row r="122" ht="12.75" customHeight="1">
      <c r="C122" s="400"/>
      <c r="D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row>
    <row r="123" ht="12.75" customHeight="1">
      <c r="C123" s="400"/>
      <c r="D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row>
    <row r="124" ht="12.75" customHeight="1">
      <c r="C124" s="400"/>
      <c r="D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row>
    <row r="125" ht="12.75" customHeight="1">
      <c r="C125" s="400"/>
      <c r="D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row>
    <row r="126" ht="12.75" customHeight="1">
      <c r="C126" s="400"/>
      <c r="D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row>
    <row r="127" ht="12.75" customHeight="1">
      <c r="C127" s="400"/>
      <c r="D127" s="102"/>
      <c r="I127" s="102"/>
      <c r="J127" s="102"/>
      <c r="K127" s="102"/>
      <c r="L127" s="102"/>
      <c r="M127" s="102"/>
      <c r="N127" s="102"/>
      <c r="O127" s="102"/>
      <c r="P127" s="102"/>
      <c r="Q127" s="102"/>
      <c r="R127" s="102"/>
      <c r="S127" s="102"/>
      <c r="T127" s="102"/>
      <c r="U127" s="102"/>
      <c r="V127" s="102"/>
      <c r="W127" s="102"/>
      <c r="X127" s="102"/>
      <c r="Y127" s="102"/>
      <c r="Z127" s="102"/>
      <c r="AA127" s="102"/>
      <c r="AB127" s="102"/>
      <c r="AC127" s="102"/>
      <c r="AD127" s="102"/>
      <c r="AE127" s="102"/>
      <c r="AF127" s="102"/>
      <c r="AG127" s="102"/>
      <c r="AH127" s="102"/>
      <c r="AI127" s="102"/>
      <c r="AJ127" s="102"/>
      <c r="AK127" s="102"/>
      <c r="AL127" s="102"/>
      <c r="AM127" s="102"/>
      <c r="AN127" s="102"/>
      <c r="AO127" s="102"/>
      <c r="AP127" s="102"/>
      <c r="AQ127" s="102"/>
      <c r="AR127" s="102"/>
      <c r="AS127" s="102"/>
      <c r="AT127" s="102"/>
      <c r="AU127" s="102"/>
      <c r="AV127" s="102"/>
    </row>
    <row r="128" ht="12.75" customHeight="1">
      <c r="C128" s="400"/>
      <c r="D128" s="102"/>
      <c r="I128" s="102"/>
      <c r="J128" s="102"/>
      <c r="K128" s="102"/>
      <c r="L128" s="102"/>
      <c r="M128" s="102"/>
      <c r="N128" s="102"/>
      <c r="O128" s="102"/>
      <c r="P128" s="102"/>
      <c r="Q128" s="102"/>
      <c r="R128" s="102"/>
      <c r="S128" s="102"/>
      <c r="T128" s="102"/>
      <c r="U128" s="102"/>
      <c r="V128" s="102"/>
      <c r="W128" s="102"/>
      <c r="X128" s="102"/>
      <c r="Y128" s="102"/>
      <c r="Z128" s="102"/>
      <c r="AA128" s="102"/>
      <c r="AB128" s="102"/>
      <c r="AC128" s="102"/>
      <c r="AD128" s="102"/>
      <c r="AE128" s="102"/>
      <c r="AF128" s="102"/>
      <c r="AG128" s="102"/>
      <c r="AH128" s="102"/>
      <c r="AI128" s="102"/>
      <c r="AJ128" s="102"/>
      <c r="AK128" s="102"/>
      <c r="AL128" s="102"/>
      <c r="AM128" s="102"/>
      <c r="AN128" s="102"/>
      <c r="AO128" s="102"/>
      <c r="AP128" s="102"/>
      <c r="AQ128" s="102"/>
      <c r="AR128" s="102"/>
      <c r="AS128" s="102"/>
      <c r="AT128" s="102"/>
      <c r="AU128" s="102"/>
      <c r="AV128" s="102"/>
    </row>
    <row r="129" ht="12.75" customHeight="1">
      <c r="C129" s="400"/>
      <c r="D129" s="102"/>
      <c r="I129" s="102"/>
      <c r="J129" s="102"/>
      <c r="K129" s="102"/>
      <c r="L129" s="102"/>
      <c r="M129" s="102"/>
      <c r="N129" s="102"/>
      <c r="O129" s="102"/>
      <c r="P129" s="102"/>
      <c r="Q129" s="102"/>
      <c r="R129" s="102"/>
      <c r="S129" s="102"/>
      <c r="T129" s="102"/>
      <c r="U129" s="102"/>
      <c r="V129" s="102"/>
      <c r="W129" s="102"/>
      <c r="X129" s="102"/>
      <c r="Y129" s="102"/>
      <c r="Z129" s="102"/>
      <c r="AA129" s="102"/>
      <c r="AB129" s="102"/>
      <c r="AC129" s="102"/>
      <c r="AD129" s="102"/>
      <c r="AE129" s="102"/>
      <c r="AF129" s="102"/>
      <c r="AG129" s="102"/>
      <c r="AH129" s="102"/>
      <c r="AI129" s="102"/>
      <c r="AJ129" s="102"/>
      <c r="AK129" s="102"/>
      <c r="AL129" s="102"/>
      <c r="AM129" s="102"/>
      <c r="AN129" s="102"/>
      <c r="AO129" s="102"/>
      <c r="AP129" s="102"/>
      <c r="AQ129" s="102"/>
      <c r="AR129" s="102"/>
      <c r="AS129" s="102"/>
      <c r="AT129" s="102"/>
      <c r="AU129" s="102"/>
      <c r="AV129" s="102"/>
    </row>
    <row r="130" ht="12.75" customHeight="1">
      <c r="C130" s="400"/>
      <c r="D130" s="102"/>
      <c r="I130" s="102"/>
      <c r="J130" s="102"/>
      <c r="K130" s="102"/>
      <c r="L130" s="102"/>
      <c r="M130" s="102"/>
      <c r="N130" s="102"/>
      <c r="O130" s="102"/>
      <c r="P130" s="102"/>
      <c r="Q130" s="102"/>
      <c r="R130" s="102"/>
      <c r="S130" s="102"/>
      <c r="T130" s="102"/>
      <c r="U130" s="102"/>
      <c r="V130" s="102"/>
      <c r="W130" s="102"/>
      <c r="X130" s="102"/>
      <c r="Y130" s="102"/>
      <c r="Z130" s="102"/>
      <c r="AA130" s="102"/>
      <c r="AB130" s="102"/>
      <c r="AC130" s="102"/>
      <c r="AD130" s="102"/>
      <c r="AE130" s="102"/>
      <c r="AF130" s="102"/>
      <c r="AG130" s="102"/>
      <c r="AH130" s="102"/>
      <c r="AI130" s="102"/>
      <c r="AJ130" s="102"/>
      <c r="AK130" s="102"/>
      <c r="AL130" s="102"/>
      <c r="AM130" s="102"/>
      <c r="AN130" s="102"/>
      <c r="AO130" s="102"/>
      <c r="AP130" s="102"/>
      <c r="AQ130" s="102"/>
      <c r="AR130" s="102"/>
      <c r="AS130" s="102"/>
      <c r="AT130" s="102"/>
      <c r="AU130" s="102"/>
      <c r="AV130" s="102"/>
    </row>
    <row r="131" ht="12.75" customHeight="1">
      <c r="C131" s="400"/>
      <c r="D131" s="102"/>
      <c r="I131" s="102"/>
      <c r="J131" s="102"/>
      <c r="K131" s="102"/>
      <c r="L131" s="102"/>
      <c r="M131" s="102"/>
      <c r="N131" s="102"/>
      <c r="O131" s="102"/>
      <c r="P131" s="102"/>
      <c r="Q131" s="102"/>
      <c r="R131" s="102"/>
      <c r="S131" s="102"/>
      <c r="T131" s="102"/>
      <c r="U131" s="102"/>
      <c r="V131" s="102"/>
      <c r="W131" s="102"/>
      <c r="X131" s="102"/>
      <c r="Y131" s="102"/>
      <c r="Z131" s="102"/>
      <c r="AA131" s="102"/>
      <c r="AB131" s="102"/>
      <c r="AC131" s="102"/>
      <c r="AD131" s="102"/>
      <c r="AE131" s="102"/>
      <c r="AF131" s="102"/>
      <c r="AG131" s="102"/>
      <c r="AH131" s="102"/>
      <c r="AI131" s="102"/>
      <c r="AJ131" s="102"/>
      <c r="AK131" s="102"/>
      <c r="AL131" s="102"/>
      <c r="AM131" s="102"/>
      <c r="AN131" s="102"/>
      <c r="AO131" s="102"/>
      <c r="AP131" s="102"/>
      <c r="AQ131" s="102"/>
      <c r="AR131" s="102"/>
      <c r="AS131" s="102"/>
      <c r="AT131" s="102"/>
      <c r="AU131" s="102"/>
      <c r="AV131" s="102"/>
    </row>
    <row r="132" ht="12.75" customHeight="1">
      <c r="C132" s="400"/>
      <c r="D132" s="102"/>
      <c r="I132" s="102"/>
      <c r="J132" s="102"/>
      <c r="K132" s="102"/>
      <c r="L132" s="102"/>
      <c r="M132" s="102"/>
      <c r="N132" s="102"/>
      <c r="O132" s="102"/>
      <c r="P132" s="102"/>
      <c r="Q132" s="102"/>
      <c r="R132" s="102"/>
      <c r="S132" s="102"/>
      <c r="T132" s="102"/>
      <c r="U132" s="102"/>
      <c r="V132" s="102"/>
      <c r="W132" s="102"/>
      <c r="X132" s="102"/>
      <c r="Y132" s="102"/>
      <c r="Z132" s="102"/>
      <c r="AA132" s="102"/>
      <c r="AB132" s="102"/>
      <c r="AC132" s="102"/>
      <c r="AD132" s="102"/>
      <c r="AE132" s="102"/>
      <c r="AF132" s="102"/>
      <c r="AG132" s="102"/>
      <c r="AH132" s="102"/>
      <c r="AI132" s="102"/>
      <c r="AJ132" s="102"/>
      <c r="AK132" s="102"/>
      <c r="AL132" s="102"/>
      <c r="AM132" s="102"/>
      <c r="AN132" s="102"/>
      <c r="AO132" s="102"/>
      <c r="AP132" s="102"/>
      <c r="AQ132" s="102"/>
      <c r="AR132" s="102"/>
      <c r="AS132" s="102"/>
      <c r="AT132" s="102"/>
      <c r="AU132" s="102"/>
      <c r="AV132" s="102"/>
    </row>
    <row r="133" ht="12.75" customHeight="1">
      <c r="C133" s="400"/>
      <c r="D133" s="102"/>
      <c r="I133" s="102"/>
      <c r="J133" s="102"/>
      <c r="K133" s="102"/>
      <c r="L133" s="102"/>
      <c r="M133" s="102"/>
      <c r="N133" s="102"/>
      <c r="O133" s="102"/>
      <c r="P133" s="102"/>
      <c r="Q133" s="102"/>
      <c r="R133" s="102"/>
      <c r="S133" s="102"/>
      <c r="T133" s="102"/>
      <c r="U133" s="102"/>
      <c r="V133" s="102"/>
      <c r="W133" s="102"/>
      <c r="X133" s="102"/>
      <c r="Y133" s="102"/>
      <c r="Z133" s="102"/>
      <c r="AA133" s="102"/>
      <c r="AB133" s="102"/>
      <c r="AC133" s="102"/>
      <c r="AD133" s="102"/>
      <c r="AE133" s="102"/>
      <c r="AF133" s="102"/>
      <c r="AG133" s="102"/>
      <c r="AH133" s="102"/>
      <c r="AI133" s="102"/>
      <c r="AJ133" s="102"/>
      <c r="AK133" s="102"/>
      <c r="AL133" s="102"/>
      <c r="AM133" s="102"/>
      <c r="AN133" s="102"/>
      <c r="AO133" s="102"/>
      <c r="AP133" s="102"/>
      <c r="AQ133" s="102"/>
      <c r="AR133" s="102"/>
      <c r="AS133" s="102"/>
      <c r="AT133" s="102"/>
      <c r="AU133" s="102"/>
      <c r="AV133" s="102"/>
    </row>
    <row r="134" ht="12.75" customHeight="1">
      <c r="C134" s="400"/>
      <c r="D134" s="102"/>
      <c r="I134" s="102"/>
      <c r="J134" s="102"/>
      <c r="K134" s="102"/>
      <c r="L134" s="102"/>
      <c r="M134" s="102"/>
      <c r="N134" s="102"/>
      <c r="O134" s="102"/>
      <c r="P134" s="102"/>
      <c r="Q134" s="102"/>
      <c r="R134" s="102"/>
      <c r="S134" s="102"/>
      <c r="T134" s="102"/>
      <c r="U134" s="102"/>
      <c r="V134" s="102"/>
      <c r="W134" s="102"/>
      <c r="X134" s="102"/>
      <c r="Y134" s="102"/>
      <c r="Z134" s="102"/>
      <c r="AA134" s="102"/>
      <c r="AB134" s="102"/>
      <c r="AC134" s="102"/>
      <c r="AD134" s="102"/>
      <c r="AE134" s="102"/>
      <c r="AF134" s="102"/>
      <c r="AG134" s="102"/>
      <c r="AH134" s="102"/>
      <c r="AI134" s="102"/>
      <c r="AJ134" s="102"/>
      <c r="AK134" s="102"/>
      <c r="AL134" s="102"/>
      <c r="AM134" s="102"/>
      <c r="AN134" s="102"/>
      <c r="AO134" s="102"/>
      <c r="AP134" s="102"/>
      <c r="AQ134" s="102"/>
      <c r="AR134" s="102"/>
      <c r="AS134" s="102"/>
      <c r="AT134" s="102"/>
      <c r="AU134" s="102"/>
      <c r="AV134" s="102"/>
    </row>
    <row r="135" ht="12.75" customHeight="1">
      <c r="C135" s="400"/>
      <c r="D135" s="102"/>
      <c r="I135" s="102"/>
      <c r="J135" s="102"/>
      <c r="K135" s="102"/>
      <c r="L135" s="102"/>
      <c r="M135" s="102"/>
      <c r="N135" s="102"/>
      <c r="O135" s="102"/>
      <c r="P135" s="102"/>
      <c r="Q135" s="102"/>
      <c r="R135" s="102"/>
      <c r="S135" s="102"/>
      <c r="T135" s="102"/>
      <c r="U135" s="102"/>
      <c r="V135" s="102"/>
      <c r="W135" s="102"/>
      <c r="X135" s="102"/>
      <c r="Y135" s="102"/>
      <c r="Z135" s="102"/>
      <c r="AA135" s="102"/>
      <c r="AB135" s="102"/>
      <c r="AC135" s="102"/>
      <c r="AD135" s="102"/>
      <c r="AE135" s="102"/>
      <c r="AF135" s="102"/>
      <c r="AG135" s="102"/>
      <c r="AH135" s="102"/>
      <c r="AI135" s="102"/>
      <c r="AJ135" s="102"/>
      <c r="AK135" s="102"/>
      <c r="AL135" s="102"/>
      <c r="AM135" s="102"/>
      <c r="AN135" s="102"/>
      <c r="AO135" s="102"/>
      <c r="AP135" s="102"/>
      <c r="AQ135" s="102"/>
      <c r="AR135" s="102"/>
      <c r="AS135" s="102"/>
      <c r="AT135" s="102"/>
      <c r="AU135" s="102"/>
      <c r="AV135" s="102"/>
    </row>
    <row r="136" ht="12.75" customHeight="1">
      <c r="C136" s="400"/>
      <c r="D136" s="102"/>
      <c r="I136" s="102"/>
      <c r="J136" s="102"/>
      <c r="K136" s="102"/>
      <c r="L136" s="102"/>
      <c r="M136" s="102"/>
      <c r="N136" s="102"/>
      <c r="O136" s="102"/>
      <c r="P136" s="102"/>
      <c r="Q136" s="102"/>
      <c r="R136" s="102"/>
      <c r="S136" s="102"/>
      <c r="T136" s="102"/>
      <c r="U136" s="102"/>
      <c r="V136" s="102"/>
      <c r="W136" s="102"/>
      <c r="X136" s="102"/>
      <c r="Y136" s="102"/>
      <c r="Z136" s="102"/>
      <c r="AA136" s="102"/>
      <c r="AB136" s="102"/>
      <c r="AC136" s="102"/>
      <c r="AD136" s="102"/>
      <c r="AE136" s="102"/>
      <c r="AF136" s="102"/>
      <c r="AG136" s="102"/>
      <c r="AH136" s="102"/>
      <c r="AI136" s="102"/>
      <c r="AJ136" s="102"/>
      <c r="AK136" s="102"/>
      <c r="AL136" s="102"/>
      <c r="AM136" s="102"/>
      <c r="AN136" s="102"/>
      <c r="AO136" s="102"/>
      <c r="AP136" s="102"/>
      <c r="AQ136" s="102"/>
      <c r="AR136" s="102"/>
      <c r="AS136" s="102"/>
      <c r="AT136" s="102"/>
      <c r="AU136" s="102"/>
      <c r="AV136" s="102"/>
    </row>
    <row r="137" ht="12.75" customHeight="1">
      <c r="C137" s="400"/>
      <c r="D137" s="102"/>
      <c r="I137" s="102"/>
      <c r="J137" s="102"/>
      <c r="K137" s="102"/>
      <c r="L137" s="102"/>
      <c r="M137" s="102"/>
      <c r="N137" s="102"/>
      <c r="O137" s="102"/>
      <c r="P137" s="102"/>
      <c r="Q137" s="102"/>
      <c r="R137" s="102"/>
      <c r="S137" s="102"/>
      <c r="T137" s="102"/>
      <c r="U137" s="102"/>
      <c r="V137" s="102"/>
      <c r="W137" s="102"/>
      <c r="X137" s="102"/>
      <c r="Y137" s="102"/>
      <c r="Z137" s="102"/>
      <c r="AA137" s="102"/>
      <c r="AB137" s="102"/>
      <c r="AC137" s="102"/>
      <c r="AD137" s="102"/>
      <c r="AE137" s="102"/>
      <c r="AF137" s="102"/>
      <c r="AG137" s="102"/>
      <c r="AH137" s="102"/>
      <c r="AI137" s="102"/>
      <c r="AJ137" s="102"/>
      <c r="AK137" s="102"/>
      <c r="AL137" s="102"/>
      <c r="AM137" s="102"/>
      <c r="AN137" s="102"/>
      <c r="AO137" s="102"/>
      <c r="AP137" s="102"/>
      <c r="AQ137" s="102"/>
      <c r="AR137" s="102"/>
      <c r="AS137" s="102"/>
      <c r="AT137" s="102"/>
      <c r="AU137" s="102"/>
      <c r="AV137" s="102"/>
    </row>
    <row r="138" ht="12.75" customHeight="1">
      <c r="C138" s="400"/>
      <c r="D138" s="102"/>
      <c r="I138" s="102"/>
      <c r="J138" s="102"/>
      <c r="K138" s="102"/>
      <c r="L138" s="102"/>
      <c r="M138" s="102"/>
      <c r="N138" s="102"/>
      <c r="O138" s="102"/>
      <c r="P138" s="102"/>
      <c r="Q138" s="102"/>
      <c r="R138" s="102"/>
      <c r="S138" s="102"/>
      <c r="T138" s="102"/>
      <c r="U138" s="102"/>
      <c r="V138" s="102"/>
      <c r="W138" s="102"/>
      <c r="X138" s="102"/>
      <c r="Y138" s="102"/>
      <c r="Z138" s="102"/>
      <c r="AA138" s="102"/>
      <c r="AB138" s="102"/>
      <c r="AC138" s="102"/>
      <c r="AD138" s="102"/>
      <c r="AE138" s="102"/>
      <c r="AF138" s="102"/>
      <c r="AG138" s="102"/>
      <c r="AH138" s="102"/>
      <c r="AI138" s="102"/>
      <c r="AJ138" s="102"/>
      <c r="AK138" s="102"/>
      <c r="AL138" s="102"/>
      <c r="AM138" s="102"/>
      <c r="AN138" s="102"/>
      <c r="AO138" s="102"/>
      <c r="AP138" s="102"/>
      <c r="AQ138" s="102"/>
      <c r="AR138" s="102"/>
      <c r="AS138" s="102"/>
      <c r="AT138" s="102"/>
      <c r="AU138" s="102"/>
      <c r="AV138" s="102"/>
    </row>
    <row r="139" ht="12.75" customHeight="1">
      <c r="C139" s="400"/>
      <c r="D139" s="102"/>
      <c r="I139" s="102"/>
      <c r="J139" s="102"/>
      <c r="K139" s="102"/>
      <c r="L139" s="102"/>
      <c r="M139" s="102"/>
      <c r="N139" s="102"/>
      <c r="O139" s="102"/>
      <c r="P139" s="102"/>
      <c r="Q139" s="102"/>
      <c r="R139" s="102"/>
      <c r="S139" s="102"/>
      <c r="T139" s="102"/>
      <c r="U139" s="102"/>
      <c r="V139" s="102"/>
      <c r="W139" s="102"/>
      <c r="X139" s="102"/>
      <c r="Y139" s="102"/>
      <c r="Z139" s="102"/>
      <c r="AA139" s="102"/>
      <c r="AB139" s="102"/>
      <c r="AC139" s="102"/>
      <c r="AD139" s="102"/>
      <c r="AE139" s="102"/>
      <c r="AF139" s="102"/>
      <c r="AG139" s="102"/>
      <c r="AH139" s="102"/>
      <c r="AI139" s="102"/>
      <c r="AJ139" s="102"/>
      <c r="AK139" s="102"/>
      <c r="AL139" s="102"/>
      <c r="AM139" s="102"/>
      <c r="AN139" s="102"/>
      <c r="AO139" s="102"/>
      <c r="AP139" s="102"/>
      <c r="AQ139" s="102"/>
      <c r="AR139" s="102"/>
      <c r="AS139" s="102"/>
      <c r="AT139" s="102"/>
      <c r="AU139" s="102"/>
      <c r="AV139" s="102"/>
    </row>
    <row r="140" ht="12.75" customHeight="1">
      <c r="C140" s="400"/>
      <c r="D140" s="102"/>
      <c r="I140" s="102"/>
      <c r="J140" s="102"/>
      <c r="K140" s="102"/>
      <c r="L140" s="102"/>
      <c r="M140" s="102"/>
      <c r="N140" s="102"/>
      <c r="O140" s="102"/>
      <c r="P140" s="102"/>
      <c r="Q140" s="102"/>
      <c r="R140" s="102"/>
      <c r="S140" s="102"/>
      <c r="T140" s="102"/>
      <c r="U140" s="102"/>
      <c r="V140" s="102"/>
      <c r="W140" s="102"/>
      <c r="X140" s="102"/>
      <c r="Y140" s="102"/>
      <c r="Z140" s="102"/>
      <c r="AA140" s="102"/>
      <c r="AB140" s="102"/>
      <c r="AC140" s="102"/>
      <c r="AD140" s="102"/>
      <c r="AE140" s="102"/>
      <c r="AF140" s="102"/>
      <c r="AG140" s="102"/>
      <c r="AH140" s="102"/>
      <c r="AI140" s="102"/>
      <c r="AJ140" s="102"/>
      <c r="AK140" s="102"/>
      <c r="AL140" s="102"/>
      <c r="AM140" s="102"/>
      <c r="AN140" s="102"/>
      <c r="AO140" s="102"/>
      <c r="AP140" s="102"/>
      <c r="AQ140" s="102"/>
      <c r="AR140" s="102"/>
      <c r="AS140" s="102"/>
      <c r="AT140" s="102"/>
      <c r="AU140" s="102"/>
      <c r="AV140" s="102"/>
    </row>
    <row r="141" ht="12.75" customHeight="1">
      <c r="C141" s="400"/>
      <c r="D141" s="102"/>
      <c r="I141" s="102"/>
      <c r="J141" s="102"/>
      <c r="K141" s="102"/>
      <c r="L141" s="102"/>
      <c r="M141" s="102"/>
      <c r="N141" s="102"/>
      <c r="O141" s="102"/>
      <c r="P141" s="102"/>
      <c r="Q141" s="102"/>
      <c r="R141" s="102"/>
      <c r="S141" s="102"/>
      <c r="T141" s="102"/>
      <c r="U141" s="102"/>
      <c r="V141" s="102"/>
      <c r="W141" s="102"/>
      <c r="X141" s="102"/>
      <c r="Y141" s="102"/>
      <c r="Z141" s="102"/>
      <c r="AA141" s="102"/>
      <c r="AB141" s="102"/>
      <c r="AC141" s="102"/>
      <c r="AD141" s="102"/>
      <c r="AE141" s="102"/>
      <c r="AF141" s="102"/>
      <c r="AG141" s="102"/>
      <c r="AH141" s="102"/>
      <c r="AI141" s="102"/>
      <c r="AJ141" s="102"/>
      <c r="AK141" s="102"/>
      <c r="AL141" s="102"/>
      <c r="AM141" s="102"/>
      <c r="AN141" s="102"/>
      <c r="AO141" s="102"/>
      <c r="AP141" s="102"/>
      <c r="AQ141" s="102"/>
      <c r="AR141" s="102"/>
      <c r="AS141" s="102"/>
      <c r="AT141" s="102"/>
      <c r="AU141" s="102"/>
      <c r="AV141" s="102"/>
    </row>
    <row r="142" ht="12.75" customHeight="1">
      <c r="C142" s="400"/>
      <c r="D142" s="102"/>
      <c r="I142" s="102"/>
      <c r="J142" s="102"/>
      <c r="K142" s="102"/>
      <c r="L142" s="102"/>
      <c r="M142" s="102"/>
      <c r="N142" s="102"/>
      <c r="O142" s="102"/>
      <c r="P142" s="102"/>
      <c r="Q142" s="102"/>
      <c r="R142" s="102"/>
      <c r="S142" s="102"/>
      <c r="T142" s="102"/>
      <c r="U142" s="102"/>
      <c r="V142" s="102"/>
      <c r="W142" s="102"/>
      <c r="X142" s="102"/>
      <c r="Y142" s="102"/>
      <c r="Z142" s="102"/>
      <c r="AA142" s="102"/>
      <c r="AB142" s="102"/>
      <c r="AC142" s="102"/>
      <c r="AD142" s="102"/>
      <c r="AE142" s="102"/>
      <c r="AF142" s="102"/>
      <c r="AG142" s="102"/>
      <c r="AH142" s="102"/>
      <c r="AI142" s="102"/>
      <c r="AJ142" s="102"/>
      <c r="AK142" s="102"/>
      <c r="AL142" s="102"/>
      <c r="AM142" s="102"/>
      <c r="AN142" s="102"/>
      <c r="AO142" s="102"/>
      <c r="AP142" s="102"/>
      <c r="AQ142" s="102"/>
      <c r="AR142" s="102"/>
      <c r="AS142" s="102"/>
      <c r="AT142" s="102"/>
      <c r="AU142" s="102"/>
      <c r="AV142" s="102"/>
    </row>
    <row r="143" ht="12.75" customHeight="1">
      <c r="C143" s="400"/>
      <c r="D143" s="102"/>
      <c r="I143" s="102"/>
      <c r="J143" s="102"/>
      <c r="K143" s="102"/>
      <c r="L143" s="102"/>
      <c r="M143" s="102"/>
      <c r="N143" s="102"/>
      <c r="O143" s="102"/>
      <c r="P143" s="102"/>
      <c r="Q143" s="102"/>
      <c r="R143" s="102"/>
      <c r="S143" s="102"/>
      <c r="T143" s="102"/>
      <c r="U143" s="102"/>
      <c r="V143" s="102"/>
      <c r="W143" s="102"/>
      <c r="X143" s="102"/>
      <c r="Y143" s="102"/>
      <c r="Z143" s="102"/>
      <c r="AA143" s="102"/>
      <c r="AB143" s="102"/>
      <c r="AC143" s="102"/>
      <c r="AD143" s="102"/>
      <c r="AE143" s="102"/>
      <c r="AF143" s="102"/>
      <c r="AG143" s="102"/>
      <c r="AH143" s="102"/>
      <c r="AI143" s="102"/>
      <c r="AJ143" s="102"/>
      <c r="AK143" s="102"/>
      <c r="AL143" s="102"/>
      <c r="AM143" s="102"/>
      <c r="AN143" s="102"/>
      <c r="AO143" s="102"/>
      <c r="AP143" s="102"/>
      <c r="AQ143" s="102"/>
      <c r="AR143" s="102"/>
      <c r="AS143" s="102"/>
      <c r="AT143" s="102"/>
      <c r="AU143" s="102"/>
      <c r="AV143" s="102"/>
    </row>
    <row r="144" ht="12.75" customHeight="1">
      <c r="C144" s="400"/>
      <c r="D144" s="102"/>
      <c r="I144" s="102"/>
      <c r="J144" s="102"/>
      <c r="K144" s="102"/>
      <c r="L144" s="102"/>
      <c r="M144" s="102"/>
      <c r="N144" s="102"/>
      <c r="O144" s="102"/>
      <c r="P144" s="102"/>
      <c r="Q144" s="102"/>
      <c r="R144" s="102"/>
      <c r="S144" s="102"/>
      <c r="T144" s="102"/>
      <c r="U144" s="102"/>
      <c r="V144" s="102"/>
      <c r="W144" s="102"/>
      <c r="X144" s="102"/>
      <c r="Y144" s="102"/>
      <c r="Z144" s="102"/>
      <c r="AA144" s="102"/>
      <c r="AB144" s="102"/>
      <c r="AC144" s="102"/>
      <c r="AD144" s="102"/>
      <c r="AE144" s="102"/>
      <c r="AF144" s="102"/>
      <c r="AG144" s="102"/>
      <c r="AH144" s="102"/>
      <c r="AI144" s="102"/>
      <c r="AJ144" s="102"/>
      <c r="AK144" s="102"/>
      <c r="AL144" s="102"/>
      <c r="AM144" s="102"/>
      <c r="AN144" s="102"/>
      <c r="AO144" s="102"/>
      <c r="AP144" s="102"/>
      <c r="AQ144" s="102"/>
      <c r="AR144" s="102"/>
      <c r="AS144" s="102"/>
      <c r="AT144" s="102"/>
      <c r="AU144" s="102"/>
      <c r="AV144" s="102"/>
    </row>
    <row r="145" ht="12.75" customHeight="1">
      <c r="C145" s="400"/>
      <c r="D145" s="102"/>
      <c r="I145" s="102"/>
      <c r="J145" s="102"/>
      <c r="K145" s="102"/>
      <c r="L145" s="102"/>
      <c r="M145" s="102"/>
      <c r="N145" s="102"/>
      <c r="O145" s="102"/>
      <c r="P145" s="102"/>
      <c r="Q145" s="102"/>
      <c r="R145" s="102"/>
      <c r="S145" s="102"/>
      <c r="T145" s="102"/>
      <c r="U145" s="102"/>
      <c r="V145" s="102"/>
      <c r="W145" s="102"/>
      <c r="X145" s="102"/>
      <c r="Y145" s="102"/>
      <c r="Z145" s="102"/>
      <c r="AA145" s="102"/>
      <c r="AB145" s="102"/>
      <c r="AC145" s="102"/>
      <c r="AD145" s="102"/>
      <c r="AE145" s="102"/>
      <c r="AF145" s="102"/>
      <c r="AG145" s="102"/>
      <c r="AH145" s="102"/>
      <c r="AI145" s="102"/>
      <c r="AJ145" s="102"/>
      <c r="AK145" s="102"/>
      <c r="AL145" s="102"/>
      <c r="AM145" s="102"/>
      <c r="AN145" s="102"/>
      <c r="AO145" s="102"/>
      <c r="AP145" s="102"/>
      <c r="AQ145" s="102"/>
      <c r="AR145" s="102"/>
      <c r="AS145" s="102"/>
      <c r="AT145" s="102"/>
      <c r="AU145" s="102"/>
      <c r="AV145" s="102"/>
    </row>
    <row r="146" ht="12.75" customHeight="1">
      <c r="C146" s="400"/>
      <c r="D146" s="102"/>
      <c r="I146" s="102"/>
      <c r="J146" s="102"/>
      <c r="K146" s="102"/>
      <c r="L146" s="102"/>
      <c r="M146" s="102"/>
      <c r="N146" s="102"/>
      <c r="O146" s="102"/>
      <c r="P146" s="102"/>
      <c r="Q146" s="102"/>
      <c r="R146" s="102"/>
      <c r="S146" s="102"/>
      <c r="T146" s="102"/>
      <c r="U146" s="102"/>
      <c r="V146" s="102"/>
      <c r="W146" s="102"/>
      <c r="X146" s="102"/>
      <c r="Y146" s="102"/>
      <c r="Z146" s="102"/>
      <c r="AA146" s="102"/>
      <c r="AB146" s="102"/>
      <c r="AC146" s="102"/>
      <c r="AD146" s="102"/>
      <c r="AE146" s="102"/>
      <c r="AF146" s="102"/>
      <c r="AG146" s="102"/>
      <c r="AH146" s="102"/>
      <c r="AI146" s="102"/>
      <c r="AJ146" s="102"/>
      <c r="AK146" s="102"/>
      <c r="AL146" s="102"/>
      <c r="AM146" s="102"/>
      <c r="AN146" s="102"/>
      <c r="AO146" s="102"/>
      <c r="AP146" s="102"/>
      <c r="AQ146" s="102"/>
      <c r="AR146" s="102"/>
      <c r="AS146" s="102"/>
      <c r="AT146" s="102"/>
      <c r="AU146" s="102"/>
      <c r="AV146" s="102"/>
    </row>
    <row r="147" ht="12.75" customHeight="1">
      <c r="C147" s="400"/>
      <c r="D147" s="102"/>
      <c r="I147" s="102"/>
      <c r="J147" s="102"/>
      <c r="K147" s="102"/>
      <c r="L147" s="102"/>
      <c r="M147" s="102"/>
      <c r="N147" s="102"/>
      <c r="O147" s="102"/>
      <c r="P147" s="102"/>
      <c r="Q147" s="102"/>
      <c r="R147" s="102"/>
      <c r="S147" s="102"/>
      <c r="T147" s="102"/>
      <c r="U147" s="102"/>
      <c r="V147" s="102"/>
      <c r="W147" s="102"/>
      <c r="X147" s="102"/>
      <c r="Y147" s="102"/>
      <c r="Z147" s="102"/>
      <c r="AA147" s="102"/>
      <c r="AB147" s="102"/>
      <c r="AC147" s="102"/>
      <c r="AD147" s="102"/>
      <c r="AE147" s="102"/>
      <c r="AF147" s="102"/>
      <c r="AG147" s="102"/>
      <c r="AH147" s="102"/>
      <c r="AI147" s="102"/>
      <c r="AJ147" s="102"/>
      <c r="AK147" s="102"/>
      <c r="AL147" s="102"/>
      <c r="AM147" s="102"/>
      <c r="AN147" s="102"/>
      <c r="AO147" s="102"/>
      <c r="AP147" s="102"/>
      <c r="AQ147" s="102"/>
      <c r="AR147" s="102"/>
      <c r="AS147" s="102"/>
      <c r="AT147" s="102"/>
      <c r="AU147" s="102"/>
      <c r="AV147" s="102"/>
    </row>
    <row r="148" ht="12.75" customHeight="1">
      <c r="C148" s="400"/>
      <c r="D148" s="102"/>
      <c r="I148" s="102"/>
      <c r="J148" s="102"/>
      <c r="K148" s="102"/>
      <c r="L148" s="102"/>
      <c r="M148" s="102"/>
      <c r="N148" s="102"/>
      <c r="O148" s="102"/>
      <c r="P148" s="102"/>
      <c r="Q148" s="102"/>
      <c r="R148" s="102"/>
      <c r="S148" s="102"/>
      <c r="T148" s="102"/>
      <c r="U148" s="102"/>
      <c r="V148" s="102"/>
      <c r="W148" s="102"/>
      <c r="X148" s="102"/>
      <c r="Y148" s="102"/>
      <c r="Z148" s="102"/>
      <c r="AA148" s="102"/>
      <c r="AB148" s="102"/>
      <c r="AC148" s="102"/>
      <c r="AD148" s="102"/>
      <c r="AE148" s="102"/>
      <c r="AF148" s="102"/>
      <c r="AG148" s="102"/>
      <c r="AH148" s="102"/>
      <c r="AI148" s="102"/>
      <c r="AJ148" s="102"/>
      <c r="AK148" s="102"/>
      <c r="AL148" s="102"/>
      <c r="AM148" s="102"/>
      <c r="AN148" s="102"/>
      <c r="AO148" s="102"/>
      <c r="AP148" s="102"/>
      <c r="AQ148" s="102"/>
      <c r="AR148" s="102"/>
      <c r="AS148" s="102"/>
      <c r="AT148" s="102"/>
      <c r="AU148" s="102"/>
      <c r="AV148" s="102"/>
    </row>
    <row r="149" ht="12.75" customHeight="1">
      <c r="C149" s="400"/>
      <c r="D149" s="102"/>
      <c r="I149" s="102"/>
      <c r="J149" s="102"/>
      <c r="K149" s="102"/>
      <c r="L149" s="102"/>
      <c r="M149" s="102"/>
      <c r="N149" s="102"/>
      <c r="O149" s="102"/>
      <c r="P149" s="102"/>
      <c r="Q149" s="102"/>
      <c r="R149" s="102"/>
      <c r="S149" s="102"/>
      <c r="T149" s="102"/>
      <c r="U149" s="102"/>
      <c r="V149" s="102"/>
      <c r="W149" s="102"/>
      <c r="X149" s="102"/>
      <c r="Y149" s="102"/>
      <c r="Z149" s="102"/>
      <c r="AA149" s="102"/>
      <c r="AB149" s="102"/>
      <c r="AC149" s="102"/>
      <c r="AD149" s="102"/>
      <c r="AE149" s="102"/>
      <c r="AF149" s="102"/>
      <c r="AG149" s="102"/>
      <c r="AH149" s="102"/>
      <c r="AI149" s="102"/>
      <c r="AJ149" s="102"/>
      <c r="AK149" s="102"/>
      <c r="AL149" s="102"/>
      <c r="AM149" s="102"/>
      <c r="AN149" s="102"/>
      <c r="AO149" s="102"/>
      <c r="AP149" s="102"/>
      <c r="AQ149" s="102"/>
      <c r="AR149" s="102"/>
      <c r="AS149" s="102"/>
      <c r="AT149" s="102"/>
      <c r="AU149" s="102"/>
      <c r="AV149" s="102"/>
    </row>
    <row r="150" ht="12.75" customHeight="1">
      <c r="C150" s="400"/>
      <c r="D150" s="102"/>
      <c r="I150" s="102"/>
      <c r="J150" s="102"/>
      <c r="K150" s="102"/>
      <c r="L150" s="102"/>
      <c r="M150" s="102"/>
      <c r="N150" s="102"/>
      <c r="O150" s="102"/>
      <c r="P150" s="102"/>
      <c r="Q150" s="102"/>
      <c r="R150" s="102"/>
      <c r="S150" s="102"/>
      <c r="T150" s="102"/>
      <c r="U150" s="102"/>
      <c r="V150" s="102"/>
      <c r="W150" s="102"/>
      <c r="X150" s="102"/>
      <c r="Y150" s="102"/>
      <c r="Z150" s="102"/>
      <c r="AA150" s="102"/>
      <c r="AB150" s="102"/>
      <c r="AC150" s="102"/>
      <c r="AD150" s="102"/>
      <c r="AE150" s="102"/>
      <c r="AF150" s="102"/>
      <c r="AG150" s="102"/>
      <c r="AH150" s="102"/>
      <c r="AI150" s="102"/>
      <c r="AJ150" s="102"/>
      <c r="AK150" s="102"/>
      <c r="AL150" s="102"/>
      <c r="AM150" s="102"/>
      <c r="AN150" s="102"/>
      <c r="AO150" s="102"/>
      <c r="AP150" s="102"/>
      <c r="AQ150" s="102"/>
      <c r="AR150" s="102"/>
      <c r="AS150" s="102"/>
      <c r="AT150" s="102"/>
      <c r="AU150" s="102"/>
      <c r="AV150" s="102"/>
    </row>
    <row r="151" ht="12.75" customHeight="1">
      <c r="C151" s="400"/>
      <c r="D151" s="102"/>
      <c r="I151" s="102"/>
      <c r="J151" s="102"/>
      <c r="K151" s="102"/>
      <c r="L151" s="102"/>
      <c r="M151" s="102"/>
      <c r="N151" s="102"/>
      <c r="O151" s="102"/>
      <c r="P151" s="102"/>
      <c r="Q151" s="102"/>
      <c r="R151" s="102"/>
      <c r="S151" s="102"/>
      <c r="T151" s="102"/>
      <c r="U151" s="102"/>
      <c r="V151" s="102"/>
      <c r="W151" s="102"/>
      <c r="X151" s="102"/>
      <c r="Y151" s="102"/>
      <c r="Z151" s="102"/>
      <c r="AA151" s="102"/>
      <c r="AB151" s="102"/>
      <c r="AC151" s="102"/>
      <c r="AD151" s="102"/>
      <c r="AE151" s="102"/>
      <c r="AF151" s="102"/>
      <c r="AG151" s="102"/>
      <c r="AH151" s="102"/>
      <c r="AI151" s="102"/>
      <c r="AJ151" s="102"/>
      <c r="AK151" s="102"/>
      <c r="AL151" s="102"/>
      <c r="AM151" s="102"/>
      <c r="AN151" s="102"/>
      <c r="AO151" s="102"/>
      <c r="AP151" s="102"/>
      <c r="AQ151" s="102"/>
      <c r="AR151" s="102"/>
      <c r="AS151" s="102"/>
      <c r="AT151" s="102"/>
      <c r="AU151" s="102"/>
      <c r="AV151" s="102"/>
    </row>
    <row r="152" ht="12.75" customHeight="1">
      <c r="C152" s="400"/>
      <c r="D152" s="102"/>
      <c r="I152" s="102"/>
      <c r="J152" s="102"/>
      <c r="K152" s="102"/>
      <c r="L152" s="102"/>
      <c r="M152" s="102"/>
      <c r="N152" s="102"/>
      <c r="O152" s="102"/>
      <c r="P152" s="102"/>
      <c r="Q152" s="102"/>
      <c r="R152" s="102"/>
      <c r="S152" s="102"/>
      <c r="T152" s="102"/>
      <c r="U152" s="102"/>
      <c r="V152" s="102"/>
      <c r="W152" s="102"/>
      <c r="X152" s="102"/>
      <c r="Y152" s="102"/>
      <c r="Z152" s="102"/>
      <c r="AA152" s="102"/>
      <c r="AB152" s="102"/>
      <c r="AC152" s="102"/>
      <c r="AD152" s="102"/>
      <c r="AE152" s="102"/>
      <c r="AF152" s="102"/>
      <c r="AG152" s="102"/>
      <c r="AH152" s="102"/>
      <c r="AI152" s="102"/>
      <c r="AJ152" s="102"/>
      <c r="AK152" s="102"/>
      <c r="AL152" s="102"/>
      <c r="AM152" s="102"/>
      <c r="AN152" s="102"/>
      <c r="AO152" s="102"/>
      <c r="AP152" s="102"/>
      <c r="AQ152" s="102"/>
      <c r="AR152" s="102"/>
      <c r="AS152" s="102"/>
      <c r="AT152" s="102"/>
      <c r="AU152" s="102"/>
      <c r="AV152" s="102"/>
    </row>
    <row r="153" ht="12.75" customHeight="1">
      <c r="C153" s="400"/>
      <c r="D153" s="102"/>
      <c r="I153" s="102"/>
      <c r="J153" s="102"/>
      <c r="K153" s="102"/>
      <c r="L153" s="102"/>
      <c r="M153" s="102"/>
      <c r="N153" s="102"/>
      <c r="O153" s="102"/>
      <c r="P153" s="102"/>
      <c r="Q153" s="102"/>
      <c r="R153" s="102"/>
      <c r="S153" s="102"/>
      <c r="T153" s="102"/>
      <c r="U153" s="102"/>
      <c r="V153" s="102"/>
      <c r="W153" s="102"/>
      <c r="X153" s="102"/>
      <c r="Y153" s="102"/>
      <c r="Z153" s="102"/>
      <c r="AA153" s="102"/>
      <c r="AB153" s="102"/>
      <c r="AC153" s="102"/>
      <c r="AD153" s="102"/>
      <c r="AE153" s="102"/>
      <c r="AF153" s="102"/>
      <c r="AG153" s="102"/>
      <c r="AH153" s="102"/>
      <c r="AI153" s="102"/>
      <c r="AJ153" s="102"/>
      <c r="AK153" s="102"/>
      <c r="AL153" s="102"/>
      <c r="AM153" s="102"/>
      <c r="AN153" s="102"/>
      <c r="AO153" s="102"/>
      <c r="AP153" s="102"/>
      <c r="AQ153" s="102"/>
      <c r="AR153" s="102"/>
      <c r="AS153" s="102"/>
      <c r="AT153" s="102"/>
      <c r="AU153" s="102"/>
      <c r="AV153" s="102"/>
    </row>
    <row r="154" ht="12.75" customHeight="1">
      <c r="C154" s="400"/>
      <c r="D154" s="102"/>
      <c r="I154" s="102"/>
      <c r="J154" s="102"/>
      <c r="K154" s="102"/>
      <c r="L154" s="102"/>
      <c r="M154" s="102"/>
      <c r="N154" s="102"/>
      <c r="O154" s="102"/>
      <c r="P154" s="102"/>
      <c r="Q154" s="102"/>
      <c r="R154" s="102"/>
      <c r="S154" s="102"/>
      <c r="T154" s="102"/>
      <c r="U154" s="102"/>
      <c r="V154" s="102"/>
      <c r="W154" s="102"/>
      <c r="X154" s="102"/>
      <c r="Y154" s="102"/>
      <c r="Z154" s="102"/>
      <c r="AA154" s="102"/>
      <c r="AB154" s="102"/>
      <c r="AC154" s="102"/>
      <c r="AD154" s="102"/>
      <c r="AE154" s="102"/>
      <c r="AF154" s="102"/>
      <c r="AG154" s="102"/>
      <c r="AH154" s="102"/>
      <c r="AI154" s="102"/>
      <c r="AJ154" s="102"/>
      <c r="AK154" s="102"/>
      <c r="AL154" s="102"/>
      <c r="AM154" s="102"/>
      <c r="AN154" s="102"/>
      <c r="AO154" s="102"/>
      <c r="AP154" s="102"/>
      <c r="AQ154" s="102"/>
      <c r="AR154" s="102"/>
      <c r="AS154" s="102"/>
      <c r="AT154" s="102"/>
      <c r="AU154" s="102"/>
      <c r="AV154" s="102"/>
    </row>
    <row r="155" ht="12.75" customHeight="1">
      <c r="C155" s="400"/>
      <c r="D155" s="102"/>
      <c r="I155" s="102"/>
      <c r="J155" s="102"/>
      <c r="K155" s="102"/>
      <c r="L155" s="102"/>
      <c r="M155" s="102"/>
      <c r="N155" s="102"/>
      <c r="O155" s="102"/>
      <c r="P155" s="102"/>
      <c r="Q155" s="102"/>
      <c r="R155" s="102"/>
      <c r="S155" s="102"/>
      <c r="T155" s="102"/>
      <c r="U155" s="102"/>
      <c r="V155" s="102"/>
      <c r="W155" s="102"/>
      <c r="X155" s="102"/>
      <c r="Y155" s="102"/>
      <c r="Z155" s="102"/>
      <c r="AA155" s="102"/>
      <c r="AB155" s="102"/>
      <c r="AC155" s="102"/>
      <c r="AD155" s="102"/>
      <c r="AE155" s="102"/>
      <c r="AF155" s="102"/>
      <c r="AG155" s="102"/>
      <c r="AH155" s="102"/>
      <c r="AI155" s="102"/>
      <c r="AJ155" s="102"/>
      <c r="AK155" s="102"/>
      <c r="AL155" s="102"/>
      <c r="AM155" s="102"/>
      <c r="AN155" s="102"/>
      <c r="AO155" s="102"/>
      <c r="AP155" s="102"/>
      <c r="AQ155" s="102"/>
      <c r="AR155" s="102"/>
      <c r="AS155" s="102"/>
      <c r="AT155" s="102"/>
      <c r="AU155" s="102"/>
      <c r="AV155" s="102"/>
    </row>
    <row r="156" ht="12.75" customHeight="1">
      <c r="C156" s="400"/>
      <c r="D156" s="102"/>
      <c r="I156" s="102"/>
      <c r="J156" s="102"/>
      <c r="K156" s="102"/>
      <c r="L156" s="102"/>
      <c r="M156" s="102"/>
      <c r="N156" s="102"/>
      <c r="O156" s="102"/>
      <c r="P156" s="102"/>
      <c r="Q156" s="102"/>
      <c r="R156" s="102"/>
      <c r="S156" s="102"/>
      <c r="T156" s="102"/>
      <c r="U156" s="102"/>
      <c r="V156" s="102"/>
      <c r="W156" s="102"/>
      <c r="X156" s="102"/>
      <c r="Y156" s="102"/>
      <c r="Z156" s="102"/>
      <c r="AA156" s="102"/>
      <c r="AB156" s="102"/>
      <c r="AC156" s="102"/>
      <c r="AD156" s="102"/>
      <c r="AE156" s="102"/>
      <c r="AF156" s="102"/>
      <c r="AG156" s="102"/>
      <c r="AH156" s="102"/>
      <c r="AI156" s="102"/>
      <c r="AJ156" s="102"/>
      <c r="AK156" s="102"/>
      <c r="AL156" s="102"/>
      <c r="AM156" s="102"/>
      <c r="AN156" s="102"/>
      <c r="AO156" s="102"/>
      <c r="AP156" s="102"/>
      <c r="AQ156" s="102"/>
      <c r="AR156" s="102"/>
      <c r="AS156" s="102"/>
      <c r="AT156" s="102"/>
      <c r="AU156" s="102"/>
      <c r="AV156" s="102"/>
    </row>
    <row r="157" ht="12.75" customHeight="1">
      <c r="C157" s="400"/>
      <c r="D157" s="102"/>
      <c r="I157" s="102"/>
      <c r="J157" s="102"/>
      <c r="K157" s="102"/>
      <c r="L157" s="102"/>
      <c r="M157" s="102"/>
      <c r="N157" s="102"/>
      <c r="O157" s="102"/>
      <c r="P157" s="102"/>
      <c r="Q157" s="102"/>
      <c r="R157" s="102"/>
      <c r="S157" s="102"/>
      <c r="T157" s="102"/>
      <c r="U157" s="102"/>
      <c r="V157" s="102"/>
      <c r="W157" s="102"/>
      <c r="X157" s="102"/>
      <c r="Y157" s="102"/>
      <c r="Z157" s="102"/>
      <c r="AA157" s="102"/>
      <c r="AB157" s="102"/>
      <c r="AC157" s="102"/>
      <c r="AD157" s="102"/>
      <c r="AE157" s="102"/>
      <c r="AF157" s="102"/>
      <c r="AG157" s="102"/>
      <c r="AH157" s="102"/>
      <c r="AI157" s="102"/>
      <c r="AJ157" s="102"/>
      <c r="AK157" s="102"/>
      <c r="AL157" s="102"/>
      <c r="AM157" s="102"/>
      <c r="AN157" s="102"/>
      <c r="AO157" s="102"/>
      <c r="AP157" s="102"/>
      <c r="AQ157" s="102"/>
      <c r="AR157" s="102"/>
      <c r="AS157" s="102"/>
      <c r="AT157" s="102"/>
      <c r="AU157" s="102"/>
      <c r="AV157" s="102"/>
    </row>
    <row r="158" ht="12.75" customHeight="1">
      <c r="C158" s="400"/>
      <c r="D158" s="102"/>
      <c r="I158" s="102"/>
      <c r="J158" s="102"/>
      <c r="K158" s="102"/>
      <c r="L158" s="102"/>
      <c r="M158" s="102"/>
      <c r="N158" s="102"/>
      <c r="O158" s="102"/>
      <c r="P158" s="102"/>
      <c r="Q158" s="102"/>
      <c r="R158" s="102"/>
      <c r="S158" s="102"/>
      <c r="T158" s="102"/>
      <c r="U158" s="102"/>
      <c r="V158" s="102"/>
      <c r="W158" s="102"/>
      <c r="X158" s="102"/>
      <c r="Y158" s="102"/>
      <c r="Z158" s="102"/>
      <c r="AA158" s="102"/>
      <c r="AB158" s="102"/>
      <c r="AC158" s="102"/>
      <c r="AD158" s="102"/>
      <c r="AE158" s="102"/>
      <c r="AF158" s="102"/>
      <c r="AG158" s="102"/>
      <c r="AH158" s="102"/>
      <c r="AI158" s="102"/>
      <c r="AJ158" s="102"/>
      <c r="AK158" s="102"/>
      <c r="AL158" s="102"/>
      <c r="AM158" s="102"/>
      <c r="AN158" s="102"/>
      <c r="AO158" s="102"/>
      <c r="AP158" s="102"/>
      <c r="AQ158" s="102"/>
      <c r="AR158" s="102"/>
      <c r="AS158" s="102"/>
      <c r="AT158" s="102"/>
      <c r="AU158" s="102"/>
      <c r="AV158" s="102"/>
    </row>
    <row r="159" ht="12.75" customHeight="1">
      <c r="C159" s="400"/>
      <c r="D159" s="102"/>
      <c r="I159" s="102"/>
      <c r="J159" s="102"/>
      <c r="K159" s="102"/>
      <c r="L159" s="102"/>
      <c r="M159" s="102"/>
      <c r="N159" s="102"/>
      <c r="O159" s="102"/>
      <c r="P159" s="102"/>
      <c r="Q159" s="102"/>
      <c r="R159" s="102"/>
      <c r="S159" s="102"/>
      <c r="T159" s="102"/>
      <c r="U159" s="102"/>
      <c r="V159" s="102"/>
      <c r="W159" s="102"/>
      <c r="X159" s="102"/>
      <c r="Y159" s="102"/>
      <c r="Z159" s="102"/>
      <c r="AA159" s="102"/>
      <c r="AB159" s="102"/>
      <c r="AC159" s="102"/>
      <c r="AD159" s="102"/>
      <c r="AE159" s="102"/>
      <c r="AF159" s="102"/>
      <c r="AG159" s="102"/>
      <c r="AH159" s="102"/>
      <c r="AI159" s="102"/>
      <c r="AJ159" s="102"/>
      <c r="AK159" s="102"/>
      <c r="AL159" s="102"/>
      <c r="AM159" s="102"/>
      <c r="AN159" s="102"/>
      <c r="AO159" s="102"/>
      <c r="AP159" s="102"/>
      <c r="AQ159" s="102"/>
      <c r="AR159" s="102"/>
      <c r="AS159" s="102"/>
      <c r="AT159" s="102"/>
      <c r="AU159" s="102"/>
      <c r="AV159" s="102"/>
    </row>
    <row r="160" ht="12.75" customHeight="1">
      <c r="C160" s="400"/>
      <c r="D160" s="102"/>
      <c r="I160" s="102"/>
      <c r="J160" s="102"/>
      <c r="K160" s="102"/>
      <c r="L160" s="102"/>
      <c r="M160" s="102"/>
      <c r="N160" s="102"/>
      <c r="O160" s="102"/>
      <c r="P160" s="102"/>
      <c r="Q160" s="102"/>
      <c r="R160" s="102"/>
      <c r="S160" s="102"/>
      <c r="T160" s="102"/>
      <c r="U160" s="102"/>
      <c r="V160" s="102"/>
      <c r="W160" s="102"/>
      <c r="X160" s="102"/>
      <c r="Y160" s="102"/>
      <c r="Z160" s="102"/>
      <c r="AA160" s="102"/>
      <c r="AB160" s="102"/>
      <c r="AC160" s="102"/>
      <c r="AD160" s="102"/>
      <c r="AE160" s="102"/>
      <c r="AF160" s="102"/>
      <c r="AG160" s="102"/>
      <c r="AH160" s="102"/>
      <c r="AI160" s="102"/>
      <c r="AJ160" s="102"/>
      <c r="AK160" s="102"/>
      <c r="AL160" s="102"/>
      <c r="AM160" s="102"/>
      <c r="AN160" s="102"/>
      <c r="AO160" s="102"/>
      <c r="AP160" s="102"/>
      <c r="AQ160" s="102"/>
      <c r="AR160" s="102"/>
      <c r="AS160" s="102"/>
      <c r="AT160" s="102"/>
      <c r="AU160" s="102"/>
      <c r="AV160" s="102"/>
    </row>
    <row r="161" ht="12.75" customHeight="1">
      <c r="C161" s="400"/>
      <c r="D161" s="102"/>
      <c r="I161" s="102"/>
      <c r="J161" s="102"/>
      <c r="K161" s="102"/>
      <c r="L161" s="102"/>
      <c r="M161" s="102"/>
      <c r="N161" s="102"/>
      <c r="O161" s="102"/>
      <c r="P161" s="102"/>
      <c r="Q161" s="102"/>
      <c r="R161" s="102"/>
      <c r="S161" s="102"/>
      <c r="T161" s="102"/>
      <c r="U161" s="102"/>
      <c r="V161" s="102"/>
      <c r="W161" s="102"/>
      <c r="X161" s="102"/>
      <c r="Y161" s="102"/>
      <c r="Z161" s="102"/>
      <c r="AA161" s="102"/>
      <c r="AB161" s="102"/>
      <c r="AC161" s="102"/>
      <c r="AD161" s="102"/>
      <c r="AE161" s="102"/>
      <c r="AF161" s="102"/>
      <c r="AG161" s="102"/>
      <c r="AH161" s="102"/>
      <c r="AI161" s="102"/>
      <c r="AJ161" s="102"/>
      <c r="AK161" s="102"/>
      <c r="AL161" s="102"/>
      <c r="AM161" s="102"/>
      <c r="AN161" s="102"/>
      <c r="AO161" s="102"/>
      <c r="AP161" s="102"/>
      <c r="AQ161" s="102"/>
      <c r="AR161" s="102"/>
      <c r="AS161" s="102"/>
      <c r="AT161" s="102"/>
      <c r="AU161" s="102"/>
      <c r="AV161" s="102"/>
    </row>
    <row r="162" ht="12.75" customHeight="1">
      <c r="C162" s="400"/>
      <c r="D162" s="102"/>
      <c r="I162" s="102"/>
      <c r="J162" s="102"/>
      <c r="K162" s="102"/>
      <c r="L162" s="102"/>
      <c r="M162" s="102"/>
      <c r="N162" s="102"/>
      <c r="O162" s="102"/>
      <c r="P162" s="102"/>
      <c r="Q162" s="102"/>
      <c r="R162" s="102"/>
      <c r="S162" s="102"/>
      <c r="T162" s="102"/>
      <c r="U162" s="102"/>
      <c r="V162" s="102"/>
      <c r="W162" s="102"/>
      <c r="X162" s="102"/>
      <c r="Y162" s="102"/>
      <c r="Z162" s="102"/>
      <c r="AA162" s="102"/>
      <c r="AB162" s="102"/>
      <c r="AC162" s="102"/>
      <c r="AD162" s="102"/>
      <c r="AE162" s="102"/>
      <c r="AF162" s="102"/>
      <c r="AG162" s="102"/>
      <c r="AH162" s="102"/>
      <c r="AI162" s="102"/>
      <c r="AJ162" s="102"/>
      <c r="AK162" s="102"/>
      <c r="AL162" s="102"/>
      <c r="AM162" s="102"/>
      <c r="AN162" s="102"/>
      <c r="AO162" s="102"/>
      <c r="AP162" s="102"/>
      <c r="AQ162" s="102"/>
      <c r="AR162" s="102"/>
      <c r="AS162" s="102"/>
      <c r="AT162" s="102"/>
      <c r="AU162" s="102"/>
      <c r="AV162" s="102"/>
    </row>
    <row r="163" ht="12.75" customHeight="1">
      <c r="C163" s="400"/>
      <c r="D163" s="102"/>
      <c r="I163" s="102"/>
      <c r="J163" s="102"/>
      <c r="K163" s="102"/>
      <c r="L163" s="102"/>
      <c r="M163" s="102"/>
      <c r="N163" s="102"/>
      <c r="O163" s="102"/>
      <c r="P163" s="102"/>
      <c r="Q163" s="102"/>
      <c r="R163" s="102"/>
      <c r="S163" s="102"/>
      <c r="T163" s="102"/>
      <c r="U163" s="102"/>
      <c r="V163" s="102"/>
      <c r="W163" s="102"/>
      <c r="X163" s="102"/>
      <c r="Y163" s="102"/>
      <c r="Z163" s="102"/>
      <c r="AA163" s="102"/>
      <c r="AB163" s="102"/>
      <c r="AC163" s="102"/>
      <c r="AD163" s="102"/>
      <c r="AE163" s="102"/>
      <c r="AF163" s="102"/>
      <c r="AG163" s="102"/>
      <c r="AH163" s="102"/>
      <c r="AI163" s="102"/>
      <c r="AJ163" s="102"/>
      <c r="AK163" s="102"/>
      <c r="AL163" s="102"/>
      <c r="AM163" s="102"/>
      <c r="AN163" s="102"/>
      <c r="AO163" s="102"/>
      <c r="AP163" s="102"/>
      <c r="AQ163" s="102"/>
      <c r="AR163" s="102"/>
      <c r="AS163" s="102"/>
      <c r="AT163" s="102"/>
      <c r="AU163" s="102"/>
      <c r="AV163" s="102"/>
    </row>
    <row r="164" ht="12.75" customHeight="1">
      <c r="C164" s="400"/>
      <c r="D164" s="102"/>
      <c r="I164" s="102"/>
      <c r="J164" s="102"/>
      <c r="K164" s="102"/>
      <c r="L164" s="102"/>
      <c r="M164" s="102"/>
      <c r="N164" s="102"/>
      <c r="O164" s="102"/>
      <c r="P164" s="102"/>
      <c r="Q164" s="102"/>
      <c r="R164" s="102"/>
      <c r="S164" s="102"/>
      <c r="T164" s="102"/>
      <c r="U164" s="102"/>
      <c r="V164" s="102"/>
      <c r="W164" s="102"/>
      <c r="X164" s="102"/>
      <c r="Y164" s="102"/>
      <c r="Z164" s="102"/>
      <c r="AA164" s="102"/>
      <c r="AB164" s="102"/>
      <c r="AC164" s="102"/>
      <c r="AD164" s="102"/>
      <c r="AE164" s="102"/>
      <c r="AF164" s="102"/>
      <c r="AG164" s="102"/>
      <c r="AH164" s="102"/>
      <c r="AI164" s="102"/>
      <c r="AJ164" s="102"/>
      <c r="AK164" s="102"/>
      <c r="AL164" s="102"/>
      <c r="AM164" s="102"/>
      <c r="AN164" s="102"/>
      <c r="AO164" s="102"/>
      <c r="AP164" s="102"/>
      <c r="AQ164" s="102"/>
      <c r="AR164" s="102"/>
      <c r="AS164" s="102"/>
      <c r="AT164" s="102"/>
      <c r="AU164" s="102"/>
      <c r="AV164" s="102"/>
    </row>
    <row r="165" ht="12.75" customHeight="1">
      <c r="C165" s="400"/>
      <c r="D165" s="102"/>
      <c r="I165" s="102"/>
      <c r="J165" s="102"/>
      <c r="K165" s="102"/>
      <c r="L165" s="102"/>
      <c r="M165" s="102"/>
      <c r="N165" s="102"/>
      <c r="O165" s="102"/>
      <c r="P165" s="102"/>
      <c r="Q165" s="102"/>
      <c r="R165" s="102"/>
      <c r="S165" s="102"/>
      <c r="T165" s="102"/>
      <c r="U165" s="102"/>
      <c r="V165" s="102"/>
      <c r="W165" s="102"/>
      <c r="X165" s="102"/>
      <c r="Y165" s="102"/>
      <c r="Z165" s="102"/>
      <c r="AA165" s="102"/>
      <c r="AB165" s="102"/>
      <c r="AC165" s="102"/>
      <c r="AD165" s="102"/>
      <c r="AE165" s="102"/>
      <c r="AF165" s="102"/>
      <c r="AG165" s="102"/>
      <c r="AH165" s="102"/>
      <c r="AI165" s="102"/>
      <c r="AJ165" s="102"/>
      <c r="AK165" s="102"/>
      <c r="AL165" s="102"/>
      <c r="AM165" s="102"/>
      <c r="AN165" s="102"/>
      <c r="AO165" s="102"/>
      <c r="AP165" s="102"/>
      <c r="AQ165" s="102"/>
      <c r="AR165" s="102"/>
      <c r="AS165" s="102"/>
      <c r="AT165" s="102"/>
      <c r="AU165" s="102"/>
      <c r="AV165" s="102"/>
    </row>
    <row r="166" ht="12.75" customHeight="1">
      <c r="C166" s="400"/>
      <c r="D166" s="102"/>
      <c r="I166" s="102"/>
      <c r="J166" s="102"/>
      <c r="K166" s="102"/>
      <c r="L166" s="102"/>
      <c r="M166" s="102"/>
      <c r="N166" s="102"/>
      <c r="O166" s="102"/>
      <c r="P166" s="102"/>
      <c r="Q166" s="102"/>
      <c r="R166" s="102"/>
      <c r="S166" s="102"/>
      <c r="T166" s="102"/>
      <c r="U166" s="102"/>
      <c r="V166" s="102"/>
      <c r="W166" s="102"/>
      <c r="X166" s="102"/>
      <c r="Y166" s="102"/>
      <c r="Z166" s="102"/>
      <c r="AA166" s="102"/>
      <c r="AB166" s="102"/>
      <c r="AC166" s="102"/>
      <c r="AD166" s="102"/>
      <c r="AE166" s="102"/>
      <c r="AF166" s="102"/>
      <c r="AG166" s="102"/>
      <c r="AH166" s="102"/>
      <c r="AI166" s="102"/>
      <c r="AJ166" s="102"/>
      <c r="AK166" s="102"/>
      <c r="AL166" s="102"/>
      <c r="AM166" s="102"/>
      <c r="AN166" s="102"/>
      <c r="AO166" s="102"/>
      <c r="AP166" s="102"/>
      <c r="AQ166" s="102"/>
      <c r="AR166" s="102"/>
      <c r="AS166" s="102"/>
      <c r="AT166" s="102"/>
      <c r="AU166" s="102"/>
      <c r="AV166" s="102"/>
    </row>
    <row r="167" ht="12.75" customHeight="1">
      <c r="C167" s="400"/>
      <c r="D167" s="102"/>
      <c r="I167" s="102"/>
      <c r="J167" s="102"/>
      <c r="K167" s="102"/>
      <c r="L167" s="102"/>
      <c r="M167" s="102"/>
      <c r="N167" s="102"/>
      <c r="O167" s="102"/>
      <c r="P167" s="102"/>
      <c r="Q167" s="102"/>
      <c r="R167" s="102"/>
      <c r="S167" s="102"/>
      <c r="T167" s="102"/>
      <c r="U167" s="102"/>
      <c r="V167" s="102"/>
      <c r="W167" s="102"/>
      <c r="X167" s="102"/>
      <c r="Y167" s="102"/>
      <c r="Z167" s="102"/>
      <c r="AA167" s="102"/>
      <c r="AB167" s="102"/>
      <c r="AC167" s="102"/>
      <c r="AD167" s="102"/>
      <c r="AE167" s="102"/>
      <c r="AF167" s="102"/>
      <c r="AG167" s="102"/>
      <c r="AH167" s="102"/>
      <c r="AI167" s="102"/>
      <c r="AJ167" s="102"/>
      <c r="AK167" s="102"/>
      <c r="AL167" s="102"/>
      <c r="AM167" s="102"/>
      <c r="AN167" s="102"/>
      <c r="AO167" s="102"/>
      <c r="AP167" s="102"/>
      <c r="AQ167" s="102"/>
      <c r="AR167" s="102"/>
      <c r="AS167" s="102"/>
      <c r="AT167" s="102"/>
      <c r="AU167" s="102"/>
      <c r="AV167" s="102"/>
    </row>
    <row r="168" ht="12.75" customHeight="1">
      <c r="C168" s="400"/>
      <c r="D168" s="102"/>
      <c r="I168" s="102"/>
      <c r="J168" s="102"/>
      <c r="K168" s="102"/>
      <c r="L168" s="102"/>
      <c r="M168" s="102"/>
      <c r="N168" s="102"/>
      <c r="O168" s="102"/>
      <c r="P168" s="102"/>
      <c r="Q168" s="102"/>
      <c r="R168" s="102"/>
      <c r="S168" s="102"/>
      <c r="T168" s="102"/>
      <c r="U168" s="102"/>
      <c r="V168" s="102"/>
      <c r="W168" s="102"/>
      <c r="X168" s="102"/>
      <c r="Y168" s="102"/>
      <c r="Z168" s="102"/>
      <c r="AA168" s="102"/>
      <c r="AB168" s="102"/>
      <c r="AC168" s="102"/>
      <c r="AD168" s="102"/>
      <c r="AE168" s="102"/>
      <c r="AF168" s="102"/>
      <c r="AG168" s="102"/>
      <c r="AH168" s="102"/>
      <c r="AI168" s="102"/>
      <c r="AJ168" s="102"/>
      <c r="AK168" s="102"/>
      <c r="AL168" s="102"/>
      <c r="AM168" s="102"/>
      <c r="AN168" s="102"/>
      <c r="AO168" s="102"/>
      <c r="AP168" s="102"/>
      <c r="AQ168" s="102"/>
      <c r="AR168" s="102"/>
      <c r="AS168" s="102"/>
      <c r="AT168" s="102"/>
      <c r="AU168" s="102"/>
      <c r="AV168" s="102"/>
    </row>
    <row r="169" ht="12.75" customHeight="1">
      <c r="C169" s="400"/>
      <c r="D169" s="102"/>
      <c r="I169" s="102"/>
      <c r="J169" s="102"/>
      <c r="K169" s="102"/>
      <c r="L169" s="102"/>
      <c r="M169" s="102"/>
      <c r="N169" s="102"/>
      <c r="O169" s="102"/>
      <c r="P169" s="102"/>
      <c r="Q169" s="102"/>
      <c r="R169" s="102"/>
      <c r="S169" s="102"/>
      <c r="T169" s="102"/>
      <c r="U169" s="102"/>
      <c r="V169" s="102"/>
      <c r="W169" s="102"/>
      <c r="X169" s="102"/>
      <c r="Y169" s="102"/>
      <c r="Z169" s="102"/>
      <c r="AA169" s="102"/>
      <c r="AB169" s="102"/>
      <c r="AC169" s="102"/>
      <c r="AD169" s="102"/>
      <c r="AE169" s="102"/>
      <c r="AF169" s="102"/>
      <c r="AG169" s="102"/>
      <c r="AH169" s="102"/>
      <c r="AI169" s="102"/>
      <c r="AJ169" s="102"/>
      <c r="AK169" s="102"/>
      <c r="AL169" s="102"/>
      <c r="AM169" s="102"/>
      <c r="AN169" s="102"/>
      <c r="AO169" s="102"/>
      <c r="AP169" s="102"/>
      <c r="AQ169" s="102"/>
      <c r="AR169" s="102"/>
      <c r="AS169" s="102"/>
      <c r="AT169" s="102"/>
      <c r="AU169" s="102"/>
      <c r="AV169" s="102"/>
    </row>
    <row r="170" ht="12.75" customHeight="1">
      <c r="C170" s="400"/>
      <c r="D170" s="102"/>
      <c r="I170" s="102"/>
      <c r="J170" s="102"/>
      <c r="K170" s="102"/>
      <c r="L170" s="102"/>
      <c r="M170" s="102"/>
      <c r="N170" s="102"/>
      <c r="O170" s="102"/>
      <c r="P170" s="102"/>
      <c r="Q170" s="102"/>
      <c r="R170" s="102"/>
      <c r="S170" s="102"/>
      <c r="T170" s="102"/>
      <c r="U170" s="102"/>
      <c r="V170" s="102"/>
      <c r="W170" s="102"/>
      <c r="X170" s="102"/>
      <c r="Y170" s="102"/>
      <c r="Z170" s="102"/>
      <c r="AA170" s="102"/>
      <c r="AB170" s="102"/>
      <c r="AC170" s="102"/>
      <c r="AD170" s="102"/>
      <c r="AE170" s="102"/>
      <c r="AF170" s="102"/>
      <c r="AG170" s="102"/>
      <c r="AH170" s="102"/>
      <c r="AI170" s="102"/>
      <c r="AJ170" s="102"/>
      <c r="AK170" s="102"/>
      <c r="AL170" s="102"/>
      <c r="AM170" s="102"/>
      <c r="AN170" s="102"/>
      <c r="AO170" s="102"/>
      <c r="AP170" s="102"/>
      <c r="AQ170" s="102"/>
      <c r="AR170" s="102"/>
      <c r="AS170" s="102"/>
      <c r="AT170" s="102"/>
      <c r="AU170" s="102"/>
      <c r="AV170" s="102"/>
    </row>
    <row r="171" ht="12.75" customHeight="1">
      <c r="C171" s="400"/>
      <c r="D171" s="102"/>
      <c r="I171" s="102"/>
      <c r="J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H171" s="102"/>
      <c r="AI171" s="102"/>
      <c r="AJ171" s="102"/>
      <c r="AK171" s="102"/>
      <c r="AL171" s="102"/>
      <c r="AM171" s="102"/>
      <c r="AN171" s="102"/>
      <c r="AO171" s="102"/>
      <c r="AP171" s="102"/>
      <c r="AQ171" s="102"/>
      <c r="AR171" s="102"/>
      <c r="AS171" s="102"/>
      <c r="AT171" s="102"/>
      <c r="AU171" s="102"/>
      <c r="AV171" s="102"/>
    </row>
    <row r="172" ht="12.75" customHeight="1">
      <c r="C172" s="400"/>
      <c r="D172" s="102"/>
      <c r="I172" s="102"/>
      <c r="J172" s="102"/>
      <c r="K172" s="102"/>
      <c r="L172" s="102"/>
      <c r="M172" s="102"/>
      <c r="N172" s="102"/>
      <c r="O172" s="102"/>
      <c r="P172" s="102"/>
      <c r="Q172" s="102"/>
      <c r="R172" s="102"/>
      <c r="S172" s="102"/>
      <c r="T172" s="102"/>
      <c r="U172" s="102"/>
      <c r="V172" s="102"/>
      <c r="W172" s="102"/>
      <c r="X172" s="102"/>
      <c r="Y172" s="102"/>
      <c r="Z172" s="102"/>
      <c r="AA172" s="102"/>
      <c r="AB172" s="102"/>
      <c r="AC172" s="102"/>
      <c r="AD172" s="102"/>
      <c r="AE172" s="102"/>
      <c r="AF172" s="102"/>
      <c r="AG172" s="102"/>
      <c r="AH172" s="102"/>
      <c r="AI172" s="102"/>
      <c r="AJ172" s="102"/>
      <c r="AK172" s="102"/>
      <c r="AL172" s="102"/>
      <c r="AM172" s="102"/>
      <c r="AN172" s="102"/>
      <c r="AO172" s="102"/>
      <c r="AP172" s="102"/>
      <c r="AQ172" s="102"/>
      <c r="AR172" s="102"/>
      <c r="AS172" s="102"/>
      <c r="AT172" s="102"/>
      <c r="AU172" s="102"/>
      <c r="AV172" s="102"/>
    </row>
    <row r="173" ht="12.75" customHeight="1">
      <c r="C173" s="400"/>
      <c r="D173" s="102"/>
      <c r="I173" s="102"/>
      <c r="J173" s="102"/>
      <c r="K173" s="102"/>
      <c r="L173" s="102"/>
      <c r="M173" s="102"/>
      <c r="N173" s="102"/>
      <c r="O173" s="102"/>
      <c r="P173" s="102"/>
      <c r="Q173" s="102"/>
      <c r="R173" s="102"/>
      <c r="S173" s="102"/>
      <c r="T173" s="102"/>
      <c r="U173" s="102"/>
      <c r="V173" s="102"/>
      <c r="W173" s="102"/>
      <c r="X173" s="102"/>
      <c r="Y173" s="102"/>
      <c r="Z173" s="102"/>
      <c r="AA173" s="102"/>
      <c r="AB173" s="102"/>
      <c r="AC173" s="102"/>
      <c r="AD173" s="102"/>
      <c r="AE173" s="102"/>
      <c r="AF173" s="102"/>
      <c r="AG173" s="102"/>
      <c r="AH173" s="102"/>
      <c r="AI173" s="102"/>
      <c r="AJ173" s="102"/>
      <c r="AK173" s="102"/>
      <c r="AL173" s="102"/>
      <c r="AM173" s="102"/>
      <c r="AN173" s="102"/>
      <c r="AO173" s="102"/>
      <c r="AP173" s="102"/>
      <c r="AQ173" s="102"/>
      <c r="AR173" s="102"/>
      <c r="AS173" s="102"/>
      <c r="AT173" s="102"/>
      <c r="AU173" s="102"/>
      <c r="AV173" s="102"/>
    </row>
    <row r="174" ht="12.75" customHeight="1">
      <c r="C174" s="400"/>
      <c r="D174" s="102"/>
      <c r="I174" s="102"/>
      <c r="J174" s="102"/>
      <c r="K174" s="102"/>
      <c r="L174" s="102"/>
      <c r="M174" s="102"/>
      <c r="N174" s="102"/>
      <c r="O174" s="102"/>
      <c r="P174" s="102"/>
      <c r="Q174" s="102"/>
      <c r="R174" s="102"/>
      <c r="S174" s="102"/>
      <c r="T174" s="102"/>
      <c r="U174" s="102"/>
      <c r="V174" s="102"/>
      <c r="W174" s="102"/>
      <c r="X174" s="102"/>
      <c r="Y174" s="102"/>
      <c r="Z174" s="102"/>
      <c r="AA174" s="102"/>
      <c r="AB174" s="102"/>
      <c r="AC174" s="102"/>
      <c r="AD174" s="102"/>
      <c r="AE174" s="102"/>
      <c r="AF174" s="102"/>
      <c r="AG174" s="102"/>
      <c r="AH174" s="102"/>
      <c r="AI174" s="102"/>
      <c r="AJ174" s="102"/>
      <c r="AK174" s="102"/>
      <c r="AL174" s="102"/>
      <c r="AM174" s="102"/>
      <c r="AN174" s="102"/>
      <c r="AO174" s="102"/>
      <c r="AP174" s="102"/>
      <c r="AQ174" s="102"/>
      <c r="AR174" s="102"/>
      <c r="AS174" s="102"/>
      <c r="AT174" s="102"/>
      <c r="AU174" s="102"/>
      <c r="AV174" s="102"/>
    </row>
    <row r="175" ht="12.75" customHeight="1">
      <c r="C175" s="400"/>
      <c r="D175" s="102"/>
      <c r="I175" s="102"/>
      <c r="J175" s="102"/>
      <c r="K175" s="102"/>
      <c r="L175" s="102"/>
      <c r="M175" s="102"/>
      <c r="N175" s="102"/>
      <c r="O175" s="102"/>
      <c r="P175" s="102"/>
      <c r="Q175" s="102"/>
      <c r="R175" s="102"/>
      <c r="S175" s="102"/>
      <c r="T175" s="102"/>
      <c r="U175" s="102"/>
      <c r="V175" s="102"/>
      <c r="W175" s="102"/>
      <c r="X175" s="102"/>
      <c r="Y175" s="102"/>
      <c r="Z175" s="102"/>
      <c r="AA175" s="102"/>
      <c r="AB175" s="102"/>
      <c r="AC175" s="102"/>
      <c r="AD175" s="102"/>
      <c r="AE175" s="102"/>
      <c r="AF175" s="102"/>
      <c r="AG175" s="102"/>
      <c r="AH175" s="102"/>
      <c r="AI175" s="102"/>
      <c r="AJ175" s="102"/>
      <c r="AK175" s="102"/>
      <c r="AL175" s="102"/>
      <c r="AM175" s="102"/>
      <c r="AN175" s="102"/>
      <c r="AO175" s="102"/>
      <c r="AP175" s="102"/>
      <c r="AQ175" s="102"/>
      <c r="AR175" s="102"/>
      <c r="AS175" s="102"/>
      <c r="AT175" s="102"/>
      <c r="AU175" s="102"/>
      <c r="AV175" s="102"/>
    </row>
    <row r="176" ht="12.75" customHeight="1">
      <c r="C176" s="400"/>
      <c r="D176" s="102"/>
      <c r="I176" s="102"/>
      <c r="J176" s="102"/>
      <c r="K176" s="102"/>
      <c r="L176" s="102"/>
      <c r="M176" s="102"/>
      <c r="N176" s="102"/>
      <c r="O176" s="102"/>
      <c r="P176" s="102"/>
      <c r="Q176" s="102"/>
      <c r="R176" s="102"/>
      <c r="S176" s="102"/>
      <c r="T176" s="102"/>
      <c r="U176" s="102"/>
      <c r="V176" s="102"/>
      <c r="W176" s="102"/>
      <c r="X176" s="102"/>
      <c r="Y176" s="102"/>
      <c r="Z176" s="102"/>
      <c r="AA176" s="102"/>
      <c r="AB176" s="102"/>
      <c r="AC176" s="102"/>
      <c r="AD176" s="102"/>
      <c r="AE176" s="102"/>
      <c r="AF176" s="102"/>
      <c r="AG176" s="102"/>
      <c r="AH176" s="102"/>
      <c r="AI176" s="102"/>
      <c r="AJ176" s="102"/>
      <c r="AK176" s="102"/>
      <c r="AL176" s="102"/>
      <c r="AM176" s="102"/>
      <c r="AN176" s="102"/>
      <c r="AO176" s="102"/>
      <c r="AP176" s="102"/>
      <c r="AQ176" s="102"/>
      <c r="AR176" s="102"/>
      <c r="AS176" s="102"/>
      <c r="AT176" s="102"/>
      <c r="AU176" s="102"/>
      <c r="AV176" s="102"/>
    </row>
    <row r="177" ht="12.75" customHeight="1">
      <c r="C177" s="400"/>
      <c r="D177" s="102"/>
      <c r="I177" s="102"/>
      <c r="J177" s="102"/>
      <c r="K177" s="102"/>
      <c r="L177" s="102"/>
      <c r="M177" s="102"/>
      <c r="N177" s="102"/>
      <c r="O177" s="102"/>
      <c r="P177" s="102"/>
      <c r="Q177" s="102"/>
      <c r="R177" s="102"/>
      <c r="S177" s="102"/>
      <c r="T177" s="102"/>
      <c r="U177" s="102"/>
      <c r="V177" s="102"/>
      <c r="W177" s="102"/>
      <c r="X177" s="102"/>
      <c r="Y177" s="102"/>
      <c r="Z177" s="102"/>
      <c r="AA177" s="102"/>
      <c r="AB177" s="102"/>
      <c r="AC177" s="102"/>
      <c r="AD177" s="102"/>
      <c r="AE177" s="102"/>
      <c r="AF177" s="102"/>
      <c r="AG177" s="102"/>
      <c r="AH177" s="102"/>
      <c r="AI177" s="102"/>
      <c r="AJ177" s="102"/>
      <c r="AK177" s="102"/>
      <c r="AL177" s="102"/>
      <c r="AM177" s="102"/>
      <c r="AN177" s="102"/>
      <c r="AO177" s="102"/>
      <c r="AP177" s="102"/>
      <c r="AQ177" s="102"/>
      <c r="AR177" s="102"/>
      <c r="AS177" s="102"/>
      <c r="AT177" s="102"/>
      <c r="AU177" s="102"/>
      <c r="AV177" s="102"/>
    </row>
    <row r="178" ht="12.75" customHeight="1">
      <c r="C178" s="400"/>
      <c r="D178" s="102"/>
      <c r="I178" s="102"/>
      <c r="J178" s="102"/>
      <c r="K178" s="102"/>
      <c r="L178" s="102"/>
      <c r="M178" s="102"/>
      <c r="N178" s="102"/>
      <c r="O178" s="102"/>
      <c r="P178" s="102"/>
      <c r="Q178" s="102"/>
      <c r="R178" s="102"/>
      <c r="S178" s="102"/>
      <c r="T178" s="102"/>
      <c r="U178" s="102"/>
      <c r="V178" s="102"/>
      <c r="W178" s="102"/>
      <c r="X178" s="102"/>
      <c r="Y178" s="102"/>
      <c r="Z178" s="102"/>
      <c r="AA178" s="102"/>
      <c r="AB178" s="102"/>
      <c r="AC178" s="102"/>
      <c r="AD178" s="102"/>
      <c r="AE178" s="102"/>
      <c r="AF178" s="102"/>
      <c r="AG178" s="102"/>
      <c r="AH178" s="102"/>
      <c r="AI178" s="102"/>
      <c r="AJ178" s="102"/>
      <c r="AK178" s="102"/>
      <c r="AL178" s="102"/>
      <c r="AM178" s="102"/>
      <c r="AN178" s="102"/>
      <c r="AO178" s="102"/>
      <c r="AP178" s="102"/>
      <c r="AQ178" s="102"/>
      <c r="AR178" s="102"/>
      <c r="AS178" s="102"/>
      <c r="AT178" s="102"/>
      <c r="AU178" s="102"/>
      <c r="AV178" s="102"/>
    </row>
    <row r="179" ht="12.75" customHeight="1">
      <c r="C179" s="400"/>
      <c r="D179" s="102"/>
      <c r="I179" s="102"/>
      <c r="J179" s="102"/>
      <c r="K179" s="102"/>
      <c r="L179" s="102"/>
      <c r="M179" s="102"/>
      <c r="N179" s="102"/>
      <c r="O179" s="102"/>
      <c r="P179" s="102"/>
      <c r="Q179" s="102"/>
      <c r="R179" s="102"/>
      <c r="S179" s="102"/>
      <c r="T179" s="102"/>
      <c r="U179" s="102"/>
      <c r="V179" s="102"/>
      <c r="W179" s="102"/>
      <c r="X179" s="102"/>
      <c r="Y179" s="102"/>
      <c r="Z179" s="102"/>
      <c r="AA179" s="102"/>
      <c r="AB179" s="102"/>
      <c r="AC179" s="102"/>
      <c r="AD179" s="102"/>
      <c r="AE179" s="102"/>
      <c r="AF179" s="102"/>
      <c r="AG179" s="102"/>
      <c r="AH179" s="102"/>
      <c r="AI179" s="102"/>
      <c r="AJ179" s="102"/>
      <c r="AK179" s="102"/>
      <c r="AL179" s="102"/>
      <c r="AM179" s="102"/>
      <c r="AN179" s="102"/>
      <c r="AO179" s="102"/>
      <c r="AP179" s="102"/>
      <c r="AQ179" s="102"/>
      <c r="AR179" s="102"/>
      <c r="AS179" s="102"/>
      <c r="AT179" s="102"/>
      <c r="AU179" s="102"/>
      <c r="AV179" s="102"/>
    </row>
    <row r="180" ht="12.75" customHeight="1">
      <c r="C180" s="400"/>
      <c r="D180" s="102"/>
      <c r="I180" s="102"/>
      <c r="J180" s="102"/>
      <c r="K180" s="102"/>
      <c r="L180" s="102"/>
      <c r="M180" s="102"/>
      <c r="N180" s="102"/>
      <c r="O180" s="102"/>
      <c r="P180" s="102"/>
      <c r="Q180" s="102"/>
      <c r="R180" s="102"/>
      <c r="S180" s="102"/>
      <c r="T180" s="102"/>
      <c r="U180" s="102"/>
      <c r="V180" s="102"/>
      <c r="W180" s="102"/>
      <c r="X180" s="102"/>
      <c r="Y180" s="102"/>
      <c r="Z180" s="102"/>
      <c r="AA180" s="102"/>
      <c r="AB180" s="102"/>
      <c r="AC180" s="102"/>
      <c r="AD180" s="102"/>
      <c r="AE180" s="102"/>
      <c r="AF180" s="102"/>
      <c r="AG180" s="102"/>
      <c r="AH180" s="102"/>
      <c r="AI180" s="102"/>
      <c r="AJ180" s="102"/>
      <c r="AK180" s="102"/>
      <c r="AL180" s="102"/>
      <c r="AM180" s="102"/>
      <c r="AN180" s="102"/>
      <c r="AO180" s="102"/>
      <c r="AP180" s="102"/>
      <c r="AQ180" s="102"/>
      <c r="AR180" s="102"/>
      <c r="AS180" s="102"/>
      <c r="AT180" s="102"/>
      <c r="AU180" s="102"/>
      <c r="AV180" s="102"/>
    </row>
    <row r="181" ht="12.75" customHeight="1">
      <c r="C181" s="400"/>
      <c r="D181" s="102"/>
      <c r="I181" s="102"/>
      <c r="J181" s="102"/>
      <c r="K181" s="102"/>
      <c r="L181" s="102"/>
      <c r="M181" s="102"/>
      <c r="N181" s="102"/>
      <c r="O181" s="102"/>
      <c r="P181" s="102"/>
      <c r="Q181" s="102"/>
      <c r="R181" s="102"/>
      <c r="S181" s="102"/>
      <c r="T181" s="102"/>
      <c r="U181" s="102"/>
      <c r="V181" s="102"/>
      <c r="W181" s="102"/>
      <c r="X181" s="102"/>
      <c r="Y181" s="102"/>
      <c r="Z181" s="102"/>
      <c r="AA181" s="102"/>
      <c r="AB181" s="102"/>
      <c r="AC181" s="102"/>
      <c r="AD181" s="102"/>
      <c r="AE181" s="102"/>
      <c r="AF181" s="102"/>
      <c r="AG181" s="102"/>
      <c r="AH181" s="102"/>
      <c r="AI181" s="102"/>
      <c r="AJ181" s="102"/>
      <c r="AK181" s="102"/>
      <c r="AL181" s="102"/>
      <c r="AM181" s="102"/>
      <c r="AN181" s="102"/>
      <c r="AO181" s="102"/>
      <c r="AP181" s="102"/>
      <c r="AQ181" s="102"/>
      <c r="AR181" s="102"/>
      <c r="AS181" s="102"/>
      <c r="AT181" s="102"/>
      <c r="AU181" s="102"/>
      <c r="AV181" s="102"/>
    </row>
    <row r="182" ht="12.75" customHeight="1">
      <c r="C182" s="400"/>
      <c r="D182" s="102"/>
      <c r="I182" s="102"/>
      <c r="J182" s="102"/>
      <c r="K182" s="102"/>
      <c r="L182" s="102"/>
      <c r="M182" s="102"/>
      <c r="N182" s="102"/>
      <c r="O182" s="102"/>
      <c r="P182" s="102"/>
      <c r="Q182" s="102"/>
      <c r="R182" s="102"/>
      <c r="S182" s="102"/>
      <c r="T182" s="102"/>
      <c r="U182" s="102"/>
      <c r="V182" s="102"/>
      <c r="W182" s="102"/>
      <c r="X182" s="102"/>
      <c r="Y182" s="102"/>
      <c r="Z182" s="102"/>
      <c r="AA182" s="102"/>
      <c r="AB182" s="102"/>
      <c r="AC182" s="102"/>
      <c r="AD182" s="102"/>
      <c r="AE182" s="102"/>
      <c r="AF182" s="102"/>
      <c r="AG182" s="102"/>
      <c r="AH182" s="102"/>
      <c r="AI182" s="102"/>
      <c r="AJ182" s="102"/>
      <c r="AK182" s="102"/>
      <c r="AL182" s="102"/>
      <c r="AM182" s="102"/>
      <c r="AN182" s="102"/>
      <c r="AO182" s="102"/>
      <c r="AP182" s="102"/>
      <c r="AQ182" s="102"/>
      <c r="AR182" s="102"/>
      <c r="AS182" s="102"/>
      <c r="AT182" s="102"/>
      <c r="AU182" s="102"/>
      <c r="AV182" s="102"/>
    </row>
    <row r="183" ht="12.75" customHeight="1">
      <c r="C183" s="400"/>
      <c r="D183" s="102"/>
      <c r="I183" s="102"/>
      <c r="J183" s="102"/>
      <c r="K183" s="102"/>
      <c r="L183" s="102"/>
      <c r="M183" s="102"/>
      <c r="N183" s="102"/>
      <c r="O183" s="102"/>
      <c r="P183" s="102"/>
      <c r="Q183" s="102"/>
      <c r="R183" s="102"/>
      <c r="S183" s="102"/>
      <c r="T183" s="102"/>
      <c r="U183" s="102"/>
      <c r="V183" s="102"/>
      <c r="W183" s="102"/>
      <c r="X183" s="102"/>
      <c r="Y183" s="102"/>
      <c r="Z183" s="102"/>
      <c r="AA183" s="102"/>
      <c r="AB183" s="102"/>
      <c r="AC183" s="102"/>
      <c r="AD183" s="102"/>
      <c r="AE183" s="102"/>
      <c r="AF183" s="102"/>
      <c r="AG183" s="102"/>
      <c r="AH183" s="102"/>
      <c r="AI183" s="102"/>
      <c r="AJ183" s="102"/>
      <c r="AK183" s="102"/>
      <c r="AL183" s="102"/>
      <c r="AM183" s="102"/>
      <c r="AN183" s="102"/>
      <c r="AO183" s="102"/>
      <c r="AP183" s="102"/>
      <c r="AQ183" s="102"/>
      <c r="AR183" s="102"/>
      <c r="AS183" s="102"/>
      <c r="AT183" s="102"/>
      <c r="AU183" s="102"/>
      <c r="AV183" s="102"/>
    </row>
    <row r="184" ht="12.75" customHeight="1">
      <c r="C184" s="400"/>
      <c r="D184" s="102"/>
      <c r="I184" s="102"/>
      <c r="J184" s="102"/>
      <c r="K184" s="102"/>
      <c r="L184" s="102"/>
      <c r="M184" s="102"/>
      <c r="N184" s="102"/>
      <c r="O184" s="102"/>
      <c r="P184" s="102"/>
      <c r="Q184" s="102"/>
      <c r="R184" s="102"/>
      <c r="S184" s="102"/>
      <c r="T184" s="102"/>
      <c r="U184" s="102"/>
      <c r="V184" s="102"/>
      <c r="W184" s="102"/>
      <c r="X184" s="102"/>
      <c r="Y184" s="102"/>
      <c r="Z184" s="102"/>
      <c r="AA184" s="102"/>
      <c r="AB184" s="102"/>
      <c r="AC184" s="102"/>
      <c r="AD184" s="102"/>
      <c r="AE184" s="102"/>
      <c r="AF184" s="102"/>
      <c r="AG184" s="102"/>
      <c r="AH184" s="102"/>
      <c r="AI184" s="102"/>
      <c r="AJ184" s="102"/>
      <c r="AK184" s="102"/>
      <c r="AL184" s="102"/>
      <c r="AM184" s="102"/>
      <c r="AN184" s="102"/>
      <c r="AO184" s="102"/>
      <c r="AP184" s="102"/>
      <c r="AQ184" s="102"/>
      <c r="AR184" s="102"/>
      <c r="AS184" s="102"/>
      <c r="AT184" s="102"/>
      <c r="AU184" s="102"/>
      <c r="AV184" s="102"/>
    </row>
    <row r="185" ht="12.75" customHeight="1">
      <c r="C185" s="400"/>
      <c r="D185" s="102"/>
      <c r="I185" s="102"/>
      <c r="J185" s="102"/>
      <c r="K185" s="102"/>
      <c r="L185" s="102"/>
      <c r="M185" s="102"/>
      <c r="N185" s="102"/>
      <c r="O185" s="102"/>
      <c r="P185" s="102"/>
      <c r="Q185" s="102"/>
      <c r="R185" s="102"/>
      <c r="S185" s="102"/>
      <c r="T185" s="102"/>
      <c r="U185" s="102"/>
      <c r="V185" s="102"/>
      <c r="W185" s="102"/>
      <c r="X185" s="102"/>
      <c r="Y185" s="102"/>
      <c r="Z185" s="102"/>
      <c r="AA185" s="102"/>
      <c r="AB185" s="102"/>
      <c r="AC185" s="102"/>
      <c r="AD185" s="102"/>
      <c r="AE185" s="102"/>
      <c r="AF185" s="102"/>
      <c r="AG185" s="102"/>
      <c r="AH185" s="102"/>
      <c r="AI185" s="102"/>
      <c r="AJ185" s="102"/>
      <c r="AK185" s="102"/>
      <c r="AL185" s="102"/>
      <c r="AM185" s="102"/>
      <c r="AN185" s="102"/>
      <c r="AO185" s="102"/>
      <c r="AP185" s="102"/>
      <c r="AQ185" s="102"/>
      <c r="AR185" s="102"/>
      <c r="AS185" s="102"/>
      <c r="AT185" s="102"/>
      <c r="AU185" s="102"/>
      <c r="AV185" s="102"/>
    </row>
    <row r="186" ht="12.75" customHeight="1">
      <c r="C186" s="400"/>
      <c r="D186" s="102"/>
      <c r="I186" s="102"/>
      <c r="J186" s="102"/>
      <c r="K186" s="102"/>
      <c r="L186" s="102"/>
      <c r="M186" s="102"/>
      <c r="N186" s="102"/>
      <c r="O186" s="102"/>
      <c r="P186" s="102"/>
      <c r="Q186" s="102"/>
      <c r="R186" s="102"/>
      <c r="S186" s="102"/>
      <c r="T186" s="102"/>
      <c r="U186" s="102"/>
      <c r="V186" s="102"/>
      <c r="W186" s="102"/>
      <c r="X186" s="102"/>
      <c r="Y186" s="102"/>
      <c r="Z186" s="102"/>
      <c r="AA186" s="102"/>
      <c r="AB186" s="102"/>
      <c r="AC186" s="102"/>
      <c r="AD186" s="102"/>
      <c r="AE186" s="102"/>
      <c r="AF186" s="102"/>
      <c r="AG186" s="102"/>
      <c r="AH186" s="102"/>
      <c r="AI186" s="102"/>
      <c r="AJ186" s="102"/>
      <c r="AK186" s="102"/>
      <c r="AL186" s="102"/>
      <c r="AM186" s="102"/>
      <c r="AN186" s="102"/>
      <c r="AO186" s="102"/>
      <c r="AP186" s="102"/>
      <c r="AQ186" s="102"/>
      <c r="AR186" s="102"/>
      <c r="AS186" s="102"/>
      <c r="AT186" s="102"/>
      <c r="AU186" s="102"/>
      <c r="AV186" s="102"/>
    </row>
    <row r="187" ht="12.75" customHeight="1">
      <c r="C187" s="400"/>
      <c r="D187" s="102"/>
      <c r="I187" s="102"/>
      <c r="J187" s="102"/>
      <c r="K187" s="102"/>
      <c r="L187" s="102"/>
      <c r="M187" s="102"/>
      <c r="N187" s="102"/>
      <c r="O187" s="102"/>
      <c r="P187" s="102"/>
      <c r="Q187" s="102"/>
      <c r="R187" s="102"/>
      <c r="S187" s="102"/>
      <c r="T187" s="102"/>
      <c r="U187" s="102"/>
      <c r="V187" s="102"/>
      <c r="W187" s="102"/>
      <c r="X187" s="102"/>
      <c r="Y187" s="102"/>
      <c r="Z187" s="102"/>
      <c r="AA187" s="102"/>
      <c r="AB187" s="102"/>
      <c r="AC187" s="102"/>
      <c r="AD187" s="102"/>
      <c r="AE187" s="102"/>
      <c r="AF187" s="102"/>
      <c r="AG187" s="102"/>
      <c r="AH187" s="102"/>
      <c r="AI187" s="102"/>
      <c r="AJ187" s="102"/>
      <c r="AK187" s="102"/>
      <c r="AL187" s="102"/>
      <c r="AM187" s="102"/>
      <c r="AN187" s="102"/>
      <c r="AO187" s="102"/>
      <c r="AP187" s="102"/>
      <c r="AQ187" s="102"/>
      <c r="AR187" s="102"/>
      <c r="AS187" s="102"/>
      <c r="AT187" s="102"/>
      <c r="AU187" s="102"/>
      <c r="AV187" s="102"/>
    </row>
    <row r="188" ht="12.75" customHeight="1">
      <c r="C188" s="400"/>
      <c r="D188" s="102"/>
      <c r="I188" s="102"/>
      <c r="J188" s="102"/>
      <c r="K188" s="102"/>
      <c r="L188" s="102"/>
      <c r="M188" s="102"/>
      <c r="N188" s="102"/>
      <c r="O188" s="102"/>
      <c r="P188" s="102"/>
      <c r="Q188" s="102"/>
      <c r="R188" s="102"/>
      <c r="S188" s="102"/>
      <c r="T188" s="102"/>
      <c r="U188" s="102"/>
      <c r="V188" s="102"/>
      <c r="W188" s="102"/>
      <c r="X188" s="102"/>
      <c r="Y188" s="102"/>
      <c r="Z188" s="102"/>
      <c r="AA188" s="102"/>
      <c r="AB188" s="102"/>
      <c r="AC188" s="102"/>
      <c r="AD188" s="102"/>
      <c r="AE188" s="102"/>
      <c r="AF188" s="102"/>
      <c r="AG188" s="102"/>
      <c r="AH188" s="102"/>
      <c r="AI188" s="102"/>
      <c r="AJ188" s="102"/>
      <c r="AK188" s="102"/>
      <c r="AL188" s="102"/>
      <c r="AM188" s="102"/>
      <c r="AN188" s="102"/>
      <c r="AO188" s="102"/>
      <c r="AP188" s="102"/>
      <c r="AQ188" s="102"/>
      <c r="AR188" s="102"/>
      <c r="AS188" s="102"/>
      <c r="AT188" s="102"/>
      <c r="AU188" s="102"/>
      <c r="AV188" s="102"/>
    </row>
    <row r="189" ht="12.75" customHeight="1">
      <c r="C189" s="400"/>
      <c r="D189" s="102"/>
      <c r="I189" s="102"/>
      <c r="J189" s="102"/>
      <c r="K189" s="102"/>
      <c r="L189" s="102"/>
      <c r="M189" s="102"/>
      <c r="N189" s="102"/>
      <c r="O189" s="102"/>
      <c r="P189" s="102"/>
      <c r="Q189" s="102"/>
      <c r="R189" s="102"/>
      <c r="S189" s="102"/>
      <c r="T189" s="102"/>
      <c r="U189" s="102"/>
      <c r="V189" s="102"/>
      <c r="W189" s="102"/>
      <c r="X189" s="102"/>
      <c r="Y189" s="102"/>
      <c r="Z189" s="102"/>
      <c r="AA189" s="102"/>
      <c r="AB189" s="102"/>
      <c r="AC189" s="102"/>
      <c r="AD189" s="102"/>
      <c r="AE189" s="102"/>
      <c r="AF189" s="102"/>
      <c r="AG189" s="102"/>
      <c r="AH189" s="102"/>
      <c r="AI189" s="102"/>
      <c r="AJ189" s="102"/>
      <c r="AK189" s="102"/>
      <c r="AL189" s="102"/>
      <c r="AM189" s="102"/>
      <c r="AN189" s="102"/>
      <c r="AO189" s="102"/>
      <c r="AP189" s="102"/>
      <c r="AQ189" s="102"/>
      <c r="AR189" s="102"/>
      <c r="AS189" s="102"/>
      <c r="AT189" s="102"/>
      <c r="AU189" s="102"/>
      <c r="AV189" s="102"/>
    </row>
    <row r="190" ht="12.75" customHeight="1">
      <c r="C190" s="400"/>
      <c r="D190" s="102"/>
      <c r="I190" s="102"/>
      <c r="J190" s="102"/>
      <c r="K190" s="102"/>
      <c r="L190" s="102"/>
      <c r="M190" s="102"/>
      <c r="N190" s="102"/>
      <c r="O190" s="102"/>
      <c r="P190" s="102"/>
      <c r="Q190" s="102"/>
      <c r="R190" s="102"/>
      <c r="S190" s="102"/>
      <c r="T190" s="102"/>
      <c r="U190" s="102"/>
      <c r="V190" s="102"/>
      <c r="W190" s="102"/>
      <c r="X190" s="102"/>
      <c r="Y190" s="102"/>
      <c r="Z190" s="102"/>
      <c r="AA190" s="102"/>
      <c r="AB190" s="102"/>
      <c r="AC190" s="102"/>
      <c r="AD190" s="102"/>
      <c r="AE190" s="102"/>
      <c r="AF190" s="102"/>
      <c r="AG190" s="102"/>
      <c r="AH190" s="102"/>
      <c r="AI190" s="102"/>
      <c r="AJ190" s="102"/>
      <c r="AK190" s="102"/>
      <c r="AL190" s="102"/>
      <c r="AM190" s="102"/>
      <c r="AN190" s="102"/>
      <c r="AO190" s="102"/>
      <c r="AP190" s="102"/>
      <c r="AQ190" s="102"/>
      <c r="AR190" s="102"/>
      <c r="AS190" s="102"/>
      <c r="AT190" s="102"/>
      <c r="AU190" s="102"/>
      <c r="AV190" s="102"/>
    </row>
    <row r="191" ht="12.75" customHeight="1">
      <c r="C191" s="400"/>
      <c r="D191" s="102"/>
      <c r="I191" s="102"/>
      <c r="J191" s="102"/>
      <c r="K191" s="102"/>
      <c r="L191" s="102"/>
      <c r="M191" s="102"/>
      <c r="N191" s="102"/>
      <c r="O191" s="102"/>
      <c r="P191" s="102"/>
      <c r="Q191" s="102"/>
      <c r="R191" s="102"/>
      <c r="S191" s="102"/>
      <c r="T191" s="102"/>
      <c r="U191" s="102"/>
      <c r="V191" s="102"/>
      <c r="W191" s="102"/>
      <c r="X191" s="102"/>
      <c r="Y191" s="102"/>
      <c r="Z191" s="102"/>
      <c r="AA191" s="102"/>
      <c r="AB191" s="102"/>
      <c r="AC191" s="102"/>
      <c r="AD191" s="102"/>
      <c r="AE191" s="102"/>
      <c r="AF191" s="102"/>
      <c r="AG191" s="102"/>
      <c r="AH191" s="102"/>
      <c r="AI191" s="102"/>
      <c r="AJ191" s="102"/>
      <c r="AK191" s="102"/>
      <c r="AL191" s="102"/>
      <c r="AM191" s="102"/>
      <c r="AN191" s="102"/>
      <c r="AO191" s="102"/>
      <c r="AP191" s="102"/>
      <c r="AQ191" s="102"/>
      <c r="AR191" s="102"/>
      <c r="AS191" s="102"/>
      <c r="AT191" s="102"/>
      <c r="AU191" s="102"/>
      <c r="AV191" s="102"/>
    </row>
    <row r="192" ht="12.75" customHeight="1">
      <c r="C192" s="400"/>
      <c r="D192" s="102"/>
      <c r="I192" s="102"/>
      <c r="J192" s="102"/>
      <c r="K192" s="102"/>
      <c r="L192" s="102"/>
      <c r="M192" s="102"/>
      <c r="N192" s="102"/>
      <c r="O192" s="102"/>
      <c r="P192" s="102"/>
      <c r="Q192" s="93"/>
      <c r="R192" s="93"/>
      <c r="S192" s="93"/>
      <c r="T192" s="93"/>
      <c r="U192" s="93"/>
      <c r="V192" s="93"/>
      <c r="W192" s="93"/>
      <c r="X192" s="93"/>
      <c r="Y192" s="93"/>
      <c r="Z192" s="93"/>
      <c r="AA192" s="93"/>
      <c r="AB192" s="93"/>
      <c r="AC192" s="93"/>
      <c r="AD192" s="93"/>
      <c r="AE192" s="93"/>
      <c r="AF192" s="93"/>
      <c r="AG192" s="93"/>
      <c r="AH192" s="93"/>
      <c r="AI192" s="93"/>
      <c r="AJ192" s="93"/>
      <c r="AK192" s="93"/>
      <c r="AL192" s="93"/>
      <c r="AM192" s="93"/>
      <c r="AN192" s="93"/>
      <c r="AO192" s="93"/>
      <c r="AP192" s="93"/>
      <c r="AQ192" s="93"/>
      <c r="AR192" s="93"/>
      <c r="AS192" s="93"/>
      <c r="AT192" s="93"/>
      <c r="AU192" s="93"/>
      <c r="AV192" s="93"/>
      <c r="AW192" s="93"/>
      <c r="AX192" s="93"/>
      <c r="AY192" s="93"/>
    </row>
    <row r="193" ht="12.75" customHeight="1">
      <c r="C193" s="400"/>
      <c r="D193" s="102"/>
      <c r="I193" s="102"/>
      <c r="J193" s="102"/>
      <c r="K193" s="102"/>
      <c r="L193" s="102"/>
      <c r="M193" s="102"/>
      <c r="N193" s="102"/>
      <c r="O193" s="102"/>
      <c r="P193" s="102"/>
      <c r="Q193" s="93"/>
      <c r="R193" s="93"/>
      <c r="S193" s="93"/>
      <c r="T193" s="93"/>
      <c r="U193" s="93"/>
      <c r="V193" s="93"/>
      <c r="W193" s="93"/>
      <c r="X193" s="93"/>
      <c r="Y193" s="93"/>
      <c r="Z193" s="93"/>
      <c r="AA193" s="93"/>
      <c r="AB193" s="93"/>
      <c r="AC193" s="93"/>
      <c r="AD193" s="93"/>
      <c r="AE193" s="93"/>
      <c r="AF193" s="93"/>
      <c r="AG193" s="93"/>
      <c r="AH193" s="93"/>
      <c r="AI193" s="93"/>
      <c r="AJ193" s="93"/>
      <c r="AK193" s="93"/>
      <c r="AL193" s="93"/>
      <c r="AM193" s="93"/>
      <c r="AN193" s="93"/>
      <c r="AO193" s="93"/>
      <c r="AP193" s="93"/>
      <c r="AQ193" s="93"/>
      <c r="AR193" s="93"/>
      <c r="AS193" s="93"/>
      <c r="AT193" s="93"/>
      <c r="AU193" s="93"/>
      <c r="AV193" s="93"/>
      <c r="AW193" s="93"/>
      <c r="AX193" s="93"/>
      <c r="AY193" s="93"/>
    </row>
    <row r="194" ht="12.75" customHeight="1">
      <c r="C194" s="400"/>
      <c r="D194" s="102"/>
      <c r="I194" s="102"/>
      <c r="J194" s="102"/>
      <c r="K194" s="102"/>
      <c r="L194" s="102"/>
      <c r="M194" s="102"/>
      <c r="N194" s="102"/>
      <c r="O194" s="102"/>
      <c r="P194" s="102"/>
      <c r="Q194" s="93"/>
      <c r="R194" s="93"/>
      <c r="S194" s="93"/>
      <c r="T194" s="93"/>
      <c r="U194" s="93"/>
      <c r="V194" s="93"/>
      <c r="W194" s="93"/>
      <c r="X194" s="93"/>
      <c r="Y194" s="93"/>
      <c r="Z194" s="93"/>
      <c r="AA194" s="93"/>
      <c r="AB194" s="93"/>
      <c r="AC194" s="93"/>
      <c r="AD194" s="93"/>
      <c r="AE194" s="93"/>
      <c r="AF194" s="93"/>
      <c r="AG194" s="93"/>
      <c r="AH194" s="93"/>
      <c r="AI194" s="93"/>
      <c r="AJ194" s="93"/>
      <c r="AK194" s="93"/>
      <c r="AL194" s="93"/>
      <c r="AM194" s="93"/>
      <c r="AN194" s="93"/>
      <c r="AO194" s="93"/>
      <c r="AP194" s="93"/>
      <c r="AQ194" s="93"/>
      <c r="AR194" s="93"/>
      <c r="AS194" s="93"/>
      <c r="AT194" s="93"/>
      <c r="AU194" s="93"/>
      <c r="AV194" s="93"/>
      <c r="AW194" s="93"/>
      <c r="AX194" s="93"/>
      <c r="AY194" s="93"/>
    </row>
    <row r="195" ht="12.75" customHeight="1">
      <c r="C195" s="400"/>
      <c r="D195" s="102"/>
      <c r="I195" s="102"/>
      <c r="J195" s="102"/>
      <c r="K195" s="102"/>
      <c r="L195" s="102"/>
      <c r="M195" s="102"/>
      <c r="N195" s="102"/>
      <c r="O195" s="102"/>
      <c r="P195" s="102"/>
      <c r="Q195" s="93"/>
      <c r="R195" s="93"/>
      <c r="S195" s="93"/>
      <c r="T195" s="93"/>
      <c r="U195" s="93"/>
      <c r="V195" s="93"/>
      <c r="W195" s="93"/>
      <c r="X195" s="93"/>
      <c r="Y195" s="93"/>
      <c r="Z195" s="93"/>
      <c r="AA195" s="93"/>
      <c r="AB195" s="93"/>
      <c r="AC195" s="93"/>
      <c r="AD195" s="93"/>
      <c r="AE195" s="93"/>
      <c r="AF195" s="93"/>
      <c r="AG195" s="93"/>
      <c r="AH195" s="93"/>
      <c r="AI195" s="93"/>
      <c r="AJ195" s="93"/>
      <c r="AK195" s="93"/>
      <c r="AL195" s="93"/>
      <c r="AM195" s="93"/>
      <c r="AN195" s="93"/>
      <c r="AO195" s="93"/>
      <c r="AP195" s="93"/>
      <c r="AQ195" s="93"/>
      <c r="AR195" s="93"/>
      <c r="AS195" s="93"/>
      <c r="AT195" s="93"/>
      <c r="AU195" s="93"/>
      <c r="AV195" s="93"/>
      <c r="AW195" s="93"/>
      <c r="AX195" s="93"/>
      <c r="AY195" s="93"/>
    </row>
    <row r="196" ht="12.75" customHeight="1">
      <c r="C196" s="400"/>
      <c r="D196" s="102"/>
      <c r="I196" s="102"/>
      <c r="J196" s="102"/>
      <c r="K196" s="102"/>
      <c r="L196" s="102"/>
      <c r="M196" s="102"/>
      <c r="N196" s="102"/>
      <c r="O196" s="102"/>
      <c r="P196" s="102"/>
      <c r="Q196" s="93"/>
      <c r="R196" s="93"/>
      <c r="S196" s="93"/>
      <c r="T196" s="93"/>
      <c r="U196" s="93"/>
      <c r="V196" s="93"/>
      <c r="W196" s="93"/>
      <c r="X196" s="93"/>
      <c r="Y196" s="93"/>
      <c r="Z196" s="93"/>
      <c r="AA196" s="93"/>
      <c r="AB196" s="93"/>
      <c r="AC196" s="93"/>
      <c r="AD196" s="93"/>
      <c r="AE196" s="93"/>
      <c r="AF196" s="93"/>
      <c r="AG196" s="93"/>
      <c r="AH196" s="93"/>
      <c r="AI196" s="93"/>
      <c r="AJ196" s="93"/>
      <c r="AK196" s="93"/>
      <c r="AL196" s="93"/>
      <c r="AM196" s="93"/>
      <c r="AN196" s="93"/>
      <c r="AO196" s="93"/>
      <c r="AP196" s="93"/>
      <c r="AQ196" s="93"/>
      <c r="AR196" s="93"/>
      <c r="AS196" s="93"/>
      <c r="AT196" s="93"/>
      <c r="AU196" s="93"/>
      <c r="AV196" s="93"/>
      <c r="AW196" s="93"/>
      <c r="AX196" s="93"/>
      <c r="AY196" s="93"/>
    </row>
    <row r="197" ht="12.75" customHeight="1">
      <c r="C197" s="400"/>
      <c r="D197" s="102"/>
      <c r="I197" s="102"/>
      <c r="J197" s="102"/>
      <c r="K197" s="102"/>
      <c r="L197" s="102"/>
      <c r="M197" s="102"/>
      <c r="N197" s="102"/>
      <c r="O197" s="102"/>
      <c r="P197" s="102"/>
      <c r="Q197" s="93"/>
      <c r="R197" s="93"/>
      <c r="S197" s="93"/>
      <c r="T197" s="93"/>
      <c r="U197" s="93"/>
      <c r="V197" s="93"/>
      <c r="W197" s="93"/>
      <c r="X197" s="93"/>
      <c r="Y197" s="93"/>
      <c r="Z197" s="93"/>
      <c r="AA197" s="93"/>
      <c r="AB197" s="93"/>
      <c r="AC197" s="93"/>
      <c r="AD197" s="93"/>
      <c r="AE197" s="93"/>
      <c r="AF197" s="93"/>
      <c r="AG197" s="93"/>
      <c r="AH197" s="93"/>
      <c r="AI197" s="93"/>
      <c r="AJ197" s="93"/>
      <c r="AK197" s="93"/>
      <c r="AL197" s="93"/>
      <c r="AM197" s="93"/>
      <c r="AN197" s="93"/>
      <c r="AO197" s="93"/>
      <c r="AP197" s="93"/>
      <c r="AQ197" s="93"/>
      <c r="AR197" s="93"/>
      <c r="AS197" s="93"/>
      <c r="AT197" s="93"/>
      <c r="AU197" s="93"/>
      <c r="AV197" s="93"/>
      <c r="AW197" s="93"/>
      <c r="AX197" s="93"/>
      <c r="AY197" s="93"/>
    </row>
    <row r="198" ht="12.75" customHeight="1">
      <c r="C198" s="400"/>
      <c r="D198" s="102"/>
      <c r="I198" s="102"/>
      <c r="J198" s="102"/>
      <c r="K198" s="102"/>
      <c r="L198" s="102"/>
      <c r="M198" s="102"/>
      <c r="N198" s="102"/>
      <c r="O198" s="102"/>
      <c r="P198" s="102"/>
      <c r="Q198" s="93"/>
      <c r="R198" s="93"/>
      <c r="S198" s="93"/>
      <c r="T198" s="93"/>
      <c r="U198" s="93"/>
      <c r="V198" s="93"/>
      <c r="W198" s="93"/>
      <c r="X198" s="93"/>
      <c r="Y198" s="93"/>
      <c r="Z198" s="93"/>
      <c r="AA198" s="93"/>
      <c r="AB198" s="93"/>
      <c r="AC198" s="93"/>
      <c r="AD198" s="93"/>
      <c r="AE198" s="93"/>
      <c r="AF198" s="93"/>
      <c r="AG198" s="93"/>
      <c r="AH198" s="93"/>
      <c r="AI198" s="93"/>
      <c r="AJ198" s="93"/>
      <c r="AK198" s="93"/>
      <c r="AL198" s="93"/>
      <c r="AM198" s="93"/>
      <c r="AN198" s="93"/>
      <c r="AO198" s="93"/>
      <c r="AP198" s="93"/>
      <c r="AQ198" s="93"/>
      <c r="AR198" s="93"/>
      <c r="AS198" s="93"/>
      <c r="AT198" s="93"/>
      <c r="AU198" s="93"/>
      <c r="AV198" s="93"/>
      <c r="AW198" s="93"/>
      <c r="AX198" s="93"/>
      <c r="AY198" s="93"/>
    </row>
    <row r="199" ht="12.75" customHeight="1">
      <c r="C199" s="400"/>
      <c r="D199" s="102"/>
      <c r="I199" s="102"/>
      <c r="J199" s="102"/>
      <c r="K199" s="102"/>
      <c r="L199" s="102"/>
      <c r="M199" s="102"/>
      <c r="N199" s="102"/>
      <c r="O199" s="102"/>
      <c r="P199" s="102"/>
      <c r="Q199" s="93"/>
      <c r="R199" s="93"/>
      <c r="S199" s="93"/>
      <c r="T199" s="93"/>
      <c r="U199" s="93"/>
      <c r="V199" s="93"/>
      <c r="W199" s="93"/>
      <c r="X199" s="93"/>
      <c r="Y199" s="93"/>
      <c r="Z199" s="93"/>
      <c r="AA199" s="93"/>
      <c r="AB199" s="93"/>
      <c r="AC199" s="93"/>
      <c r="AD199" s="93"/>
      <c r="AE199" s="93"/>
      <c r="AF199" s="93"/>
      <c r="AG199" s="93"/>
      <c r="AH199" s="93"/>
      <c r="AI199" s="93"/>
      <c r="AJ199" s="93"/>
      <c r="AK199" s="93"/>
      <c r="AL199" s="93"/>
      <c r="AM199" s="93"/>
      <c r="AN199" s="93"/>
      <c r="AO199" s="93"/>
      <c r="AP199" s="93"/>
      <c r="AQ199" s="93"/>
      <c r="AR199" s="93"/>
      <c r="AS199" s="93"/>
      <c r="AT199" s="93"/>
      <c r="AU199" s="93"/>
      <c r="AV199" s="93"/>
      <c r="AW199" s="93"/>
      <c r="AX199" s="93"/>
      <c r="AY199" s="93"/>
    </row>
    <row r="200" ht="12.75" customHeight="1">
      <c r="C200" s="400"/>
      <c r="D200" s="102"/>
      <c r="I200" s="102"/>
      <c r="J200" s="102"/>
      <c r="K200" s="102"/>
      <c r="L200" s="102"/>
      <c r="M200" s="102"/>
      <c r="N200" s="102"/>
      <c r="O200" s="102"/>
      <c r="P200" s="102"/>
      <c r="Q200" s="93"/>
      <c r="R200" s="93"/>
      <c r="S200" s="93"/>
      <c r="T200" s="93"/>
      <c r="U200" s="93"/>
      <c r="V200" s="93"/>
      <c r="W200" s="93"/>
      <c r="X200" s="93"/>
      <c r="Y200" s="93"/>
      <c r="Z200" s="93"/>
      <c r="AA200" s="93"/>
      <c r="AB200" s="93"/>
      <c r="AC200" s="93"/>
      <c r="AD200" s="93"/>
      <c r="AE200" s="93"/>
      <c r="AF200" s="93"/>
      <c r="AG200" s="93"/>
      <c r="AH200" s="93"/>
      <c r="AI200" s="93"/>
      <c r="AJ200" s="93"/>
      <c r="AK200" s="93"/>
      <c r="AL200" s="93"/>
      <c r="AM200" s="93"/>
      <c r="AN200" s="93"/>
      <c r="AO200" s="93"/>
      <c r="AP200" s="93"/>
      <c r="AQ200" s="93"/>
      <c r="AR200" s="93"/>
      <c r="AS200" s="93"/>
      <c r="AT200" s="93"/>
      <c r="AU200" s="93"/>
      <c r="AV200" s="93"/>
      <c r="AW200" s="93"/>
      <c r="AX200" s="93"/>
      <c r="AY200" s="93"/>
    </row>
    <row r="201" ht="12.75" customHeight="1">
      <c r="C201" s="400"/>
      <c r="D201" s="102"/>
      <c r="I201" s="102"/>
      <c r="J201" s="102"/>
      <c r="K201" s="102"/>
      <c r="L201" s="102"/>
      <c r="M201" s="102"/>
      <c r="N201" s="102"/>
      <c r="O201" s="102"/>
      <c r="P201" s="102"/>
      <c r="Q201" s="93"/>
      <c r="R201" s="93"/>
      <c r="S201" s="93"/>
      <c r="T201" s="93"/>
      <c r="U201" s="93"/>
      <c r="V201" s="93"/>
      <c r="W201" s="93"/>
      <c r="X201" s="93"/>
      <c r="Y201" s="93"/>
      <c r="Z201" s="93"/>
      <c r="AA201" s="93"/>
      <c r="AB201" s="93"/>
      <c r="AC201" s="93"/>
      <c r="AD201" s="93"/>
      <c r="AE201" s="93"/>
      <c r="AF201" s="93"/>
      <c r="AG201" s="93"/>
      <c r="AH201" s="93"/>
      <c r="AI201" s="93"/>
      <c r="AJ201" s="93"/>
      <c r="AK201" s="93"/>
      <c r="AL201" s="93"/>
      <c r="AM201" s="93"/>
      <c r="AN201" s="93"/>
      <c r="AO201" s="93"/>
      <c r="AP201" s="93"/>
      <c r="AQ201" s="93"/>
      <c r="AR201" s="93"/>
      <c r="AS201" s="93"/>
      <c r="AT201" s="93"/>
      <c r="AU201" s="93"/>
      <c r="AV201" s="93"/>
      <c r="AW201" s="93"/>
      <c r="AX201" s="93"/>
      <c r="AY201" s="93"/>
    </row>
    <row r="202" ht="12.75" customHeight="1">
      <c r="C202" s="400"/>
      <c r="D202" s="102"/>
      <c r="I202" s="102"/>
      <c r="J202" s="102"/>
      <c r="K202" s="102"/>
      <c r="L202" s="102"/>
      <c r="M202" s="102"/>
      <c r="N202" s="102"/>
      <c r="O202" s="102"/>
      <c r="P202" s="102"/>
      <c r="Q202" s="102"/>
      <c r="R202" s="102"/>
      <c r="S202" s="102"/>
      <c r="T202" s="102"/>
      <c r="U202" s="102"/>
      <c r="V202" s="102"/>
      <c r="W202" s="102"/>
      <c r="X202" s="102"/>
      <c r="Y202" s="102"/>
      <c r="Z202" s="102"/>
      <c r="AA202" s="102"/>
      <c r="AB202" s="102"/>
      <c r="AC202" s="102"/>
      <c r="AD202" s="102"/>
      <c r="AE202" s="102"/>
      <c r="AF202" s="102"/>
      <c r="AG202" s="102"/>
      <c r="AH202" s="102"/>
      <c r="AI202" s="102"/>
      <c r="AJ202" s="102"/>
      <c r="AK202" s="102"/>
      <c r="AL202" s="102"/>
      <c r="AM202" s="102"/>
      <c r="AN202" s="102"/>
      <c r="AO202" s="102"/>
      <c r="AP202" s="102"/>
      <c r="AQ202" s="102"/>
      <c r="AR202" s="102"/>
      <c r="AS202" s="102"/>
      <c r="AT202" s="102"/>
      <c r="AU202" s="102"/>
      <c r="AV202" s="102"/>
    </row>
    <row r="203" ht="12.75" customHeight="1">
      <c r="C203" s="400"/>
      <c r="D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102"/>
      <c r="AJ203" s="102"/>
      <c r="AK203" s="102"/>
      <c r="AL203" s="102"/>
      <c r="AM203" s="102"/>
      <c r="AN203" s="102"/>
      <c r="AO203" s="102"/>
      <c r="AP203" s="102"/>
      <c r="AQ203" s="102"/>
      <c r="AR203" s="102"/>
      <c r="AS203" s="102"/>
      <c r="AT203" s="102"/>
      <c r="AU203" s="102"/>
      <c r="AV203" s="102"/>
    </row>
    <row r="204" ht="12.75" customHeight="1">
      <c r="C204" s="400"/>
      <c r="D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c r="AS204" s="102"/>
      <c r="AT204" s="102"/>
      <c r="AU204" s="102"/>
      <c r="AV204" s="102"/>
    </row>
    <row r="205" ht="12.75" customHeight="1">
      <c r="C205" s="400"/>
      <c r="D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c r="AK205" s="102"/>
      <c r="AL205" s="102"/>
      <c r="AM205" s="102"/>
      <c r="AN205" s="102"/>
      <c r="AO205" s="102"/>
      <c r="AP205" s="102"/>
      <c r="AQ205" s="102"/>
      <c r="AR205" s="102"/>
      <c r="AS205" s="102"/>
      <c r="AT205" s="102"/>
      <c r="AU205" s="102"/>
      <c r="AV205" s="102"/>
    </row>
    <row r="206" ht="12.75" customHeight="1">
      <c r="C206" s="400"/>
      <c r="D206" s="102"/>
      <c r="I206" s="102"/>
      <c r="J206" s="102"/>
      <c r="K206" s="102"/>
      <c r="L206" s="102"/>
      <c r="M206" s="102"/>
      <c r="N206" s="102"/>
      <c r="O206" s="102"/>
      <c r="P206" s="102"/>
      <c r="Q206" s="102"/>
      <c r="R206" s="102"/>
      <c r="S206" s="102"/>
      <c r="T206" s="102"/>
      <c r="U206" s="102"/>
      <c r="V206" s="102"/>
      <c r="W206" s="102"/>
      <c r="X206" s="102"/>
      <c r="Y206" s="102"/>
      <c r="Z206" s="102"/>
      <c r="AA206" s="102"/>
      <c r="AB206" s="102"/>
      <c r="AC206" s="102"/>
      <c r="AD206" s="102"/>
      <c r="AE206" s="102"/>
      <c r="AF206" s="102"/>
      <c r="AG206" s="102"/>
      <c r="AH206" s="102"/>
      <c r="AI206" s="102"/>
      <c r="AJ206" s="102"/>
      <c r="AK206" s="102"/>
      <c r="AL206" s="102"/>
      <c r="AM206" s="102"/>
      <c r="AN206" s="102"/>
      <c r="AO206" s="102"/>
      <c r="AP206" s="102"/>
      <c r="AQ206" s="102"/>
      <c r="AR206" s="102"/>
      <c r="AS206" s="102"/>
      <c r="AT206" s="102"/>
      <c r="AU206" s="102"/>
      <c r="AV206" s="102"/>
    </row>
    <row r="207" ht="12.75" customHeight="1">
      <c r="C207" s="400"/>
      <c r="D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c r="AS207" s="102"/>
      <c r="AT207" s="102"/>
      <c r="AU207" s="102"/>
      <c r="AV207" s="102"/>
    </row>
    <row r="208" ht="12.75" customHeight="1">
      <c r="C208" s="400"/>
      <c r="D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102"/>
      <c r="AN208" s="102"/>
      <c r="AO208" s="102"/>
      <c r="AP208" s="102"/>
      <c r="AQ208" s="102"/>
      <c r="AR208" s="102"/>
      <c r="AS208" s="102"/>
      <c r="AT208" s="102"/>
      <c r="AU208" s="102"/>
      <c r="AV208" s="102"/>
    </row>
    <row r="209" ht="12.75" customHeight="1">
      <c r="C209" s="400"/>
      <c r="D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c r="AS209" s="102"/>
      <c r="AT209" s="102"/>
      <c r="AU209" s="102"/>
      <c r="AV209" s="102"/>
    </row>
    <row r="210" ht="12.75" customHeight="1">
      <c r="C210" s="400"/>
      <c r="D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102"/>
      <c r="AP210" s="102"/>
      <c r="AQ210" s="102"/>
      <c r="AR210" s="102"/>
      <c r="AS210" s="102"/>
      <c r="AT210" s="102"/>
      <c r="AU210" s="102"/>
      <c r="AV210" s="102"/>
    </row>
    <row r="211" ht="12.75" customHeight="1">
      <c r="C211" s="400"/>
      <c r="D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row>
    <row r="212" ht="12.75" customHeight="1">
      <c r="C212" s="400"/>
      <c r="D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row>
    <row r="213" ht="12.75" customHeight="1">
      <c r="C213" s="400"/>
      <c r="D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row>
    <row r="214" ht="12.75" customHeight="1">
      <c r="C214" s="400"/>
      <c r="D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row>
    <row r="215" ht="12.75" customHeight="1">
      <c r="C215" s="400"/>
      <c r="D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row>
    <row r="216" ht="12.75" customHeight="1">
      <c r="C216" s="400"/>
      <c r="D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row>
    <row r="217" ht="12.75" customHeight="1">
      <c r="C217" s="400"/>
      <c r="D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c r="AS217" s="102"/>
      <c r="AT217" s="102"/>
      <c r="AU217" s="102"/>
      <c r="AV217" s="102"/>
    </row>
    <row r="218" ht="12.75" customHeight="1">
      <c r="C218" s="400"/>
      <c r="D218" s="102"/>
      <c r="I218" s="102"/>
      <c r="J218" s="102"/>
      <c r="K218" s="102"/>
      <c r="L218" s="102"/>
      <c r="M218" s="102"/>
      <c r="N218" s="102"/>
      <c r="O218" s="102"/>
      <c r="P218" s="102"/>
      <c r="Q218" s="102"/>
      <c r="R218" s="102"/>
      <c r="S218" s="102"/>
      <c r="T218" s="102"/>
      <c r="U218" s="102"/>
      <c r="V218" s="102"/>
      <c r="W218" s="102"/>
      <c r="X218" s="102"/>
      <c r="Y218" s="102"/>
      <c r="Z218" s="102"/>
      <c r="AA218" s="102"/>
      <c r="AB218" s="102"/>
      <c r="AC218" s="102"/>
      <c r="AD218" s="102"/>
      <c r="AE218" s="102"/>
      <c r="AF218" s="102"/>
      <c r="AG218" s="102"/>
      <c r="AH218" s="102"/>
      <c r="AI218" s="102"/>
      <c r="AJ218" s="102"/>
      <c r="AK218" s="102"/>
      <c r="AL218" s="102"/>
      <c r="AM218" s="102"/>
      <c r="AN218" s="102"/>
      <c r="AO218" s="102"/>
      <c r="AP218" s="102"/>
      <c r="AQ218" s="102"/>
      <c r="AR218" s="102"/>
      <c r="AS218" s="102"/>
      <c r="AT218" s="102"/>
      <c r="AU218" s="102"/>
      <c r="AV218" s="102"/>
    </row>
    <row r="219" ht="12.75" customHeight="1">
      <c r="C219" s="400"/>
      <c r="D219" s="102"/>
      <c r="I219" s="102"/>
      <c r="J219" s="102"/>
      <c r="K219" s="102"/>
      <c r="L219" s="102"/>
      <c r="M219" s="102"/>
      <c r="N219" s="102"/>
      <c r="O219" s="102"/>
      <c r="P219" s="102"/>
      <c r="Q219" s="102"/>
      <c r="R219" s="102"/>
      <c r="S219" s="102"/>
      <c r="T219" s="102"/>
      <c r="U219" s="102"/>
      <c r="V219" s="102"/>
      <c r="W219" s="102"/>
      <c r="X219" s="102"/>
      <c r="Y219" s="102"/>
      <c r="Z219" s="102"/>
      <c r="AA219" s="102"/>
      <c r="AB219" s="102"/>
      <c r="AC219" s="102"/>
      <c r="AD219" s="102"/>
      <c r="AE219" s="102"/>
      <c r="AF219" s="102"/>
      <c r="AG219" s="102"/>
      <c r="AH219" s="102"/>
      <c r="AI219" s="102"/>
      <c r="AJ219" s="102"/>
      <c r="AK219" s="102"/>
      <c r="AL219" s="102"/>
      <c r="AM219" s="102"/>
      <c r="AN219" s="102"/>
      <c r="AO219" s="102"/>
      <c r="AP219" s="102"/>
      <c r="AQ219" s="102"/>
      <c r="AR219" s="102"/>
      <c r="AS219" s="102"/>
      <c r="AT219" s="102"/>
      <c r="AU219" s="102"/>
      <c r="AV219" s="102"/>
    </row>
    <row r="220" ht="12.75" customHeight="1">
      <c r="C220" s="400"/>
      <c r="D220" s="102"/>
      <c r="I220" s="102"/>
      <c r="J220" s="102"/>
      <c r="K220" s="102"/>
      <c r="L220" s="102"/>
      <c r="M220" s="102"/>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102"/>
      <c r="AP220" s="102"/>
      <c r="AQ220" s="102"/>
      <c r="AR220" s="102"/>
      <c r="AS220" s="102"/>
      <c r="AT220" s="102"/>
      <c r="AU220" s="102"/>
      <c r="AV220" s="102"/>
    </row>
    <row r="221" ht="12.75" customHeight="1">
      <c r="C221" s="400"/>
      <c r="D221" s="102"/>
      <c r="I221" s="102"/>
      <c r="J221" s="102"/>
      <c r="K221" s="102"/>
      <c r="L221" s="102"/>
      <c r="M221" s="102"/>
      <c r="N221" s="102"/>
      <c r="O221" s="102"/>
      <c r="P221" s="102"/>
      <c r="Q221" s="102"/>
      <c r="R221" s="102"/>
      <c r="S221" s="102"/>
      <c r="T221" s="102"/>
      <c r="U221" s="102"/>
      <c r="V221" s="102"/>
      <c r="W221" s="102"/>
      <c r="X221" s="102"/>
      <c r="Y221" s="102"/>
      <c r="Z221" s="102"/>
      <c r="AA221" s="102"/>
      <c r="AB221" s="102"/>
      <c r="AC221" s="102"/>
      <c r="AD221" s="102"/>
      <c r="AE221" s="102"/>
      <c r="AF221" s="102"/>
      <c r="AG221" s="102"/>
      <c r="AH221" s="102"/>
      <c r="AI221" s="102"/>
      <c r="AJ221" s="102"/>
      <c r="AK221" s="102"/>
      <c r="AL221" s="102"/>
      <c r="AM221" s="102"/>
      <c r="AN221" s="102"/>
      <c r="AO221" s="102"/>
      <c r="AP221" s="102"/>
      <c r="AQ221" s="102"/>
      <c r="AR221" s="102"/>
      <c r="AS221" s="102"/>
      <c r="AT221" s="102"/>
      <c r="AU221" s="102"/>
      <c r="AV221" s="102"/>
    </row>
    <row r="222" ht="12.75" customHeight="1">
      <c r="C222" s="400"/>
      <c r="D222" s="102"/>
      <c r="I222" s="102"/>
      <c r="J222" s="102"/>
      <c r="K222" s="102"/>
      <c r="L222" s="102"/>
      <c r="M222" s="102"/>
      <c r="N222" s="102"/>
      <c r="O222" s="102"/>
      <c r="P222" s="102"/>
      <c r="Q222" s="102"/>
      <c r="R222" s="102"/>
      <c r="S222" s="102"/>
      <c r="T222" s="102"/>
      <c r="U222" s="102"/>
      <c r="V222" s="102"/>
      <c r="W222" s="102"/>
      <c r="X222" s="102"/>
      <c r="Y222" s="102"/>
      <c r="Z222" s="102"/>
      <c r="AA222" s="102"/>
      <c r="AB222" s="102"/>
      <c r="AC222" s="102"/>
      <c r="AD222" s="102"/>
      <c r="AE222" s="102"/>
      <c r="AF222" s="102"/>
      <c r="AG222" s="102"/>
      <c r="AH222" s="102"/>
      <c r="AI222" s="102"/>
      <c r="AJ222" s="102"/>
      <c r="AK222" s="102"/>
      <c r="AL222" s="102"/>
      <c r="AM222" s="102"/>
      <c r="AN222" s="102"/>
      <c r="AO222" s="102"/>
      <c r="AP222" s="102"/>
      <c r="AQ222" s="102"/>
      <c r="AR222" s="102"/>
      <c r="AS222" s="102"/>
      <c r="AT222" s="102"/>
      <c r="AU222" s="102"/>
      <c r="AV222" s="102"/>
    </row>
    <row r="223" ht="12.75" customHeight="1">
      <c r="C223" s="400"/>
      <c r="D223" s="102"/>
      <c r="I223" s="102"/>
      <c r="J223" s="102"/>
      <c r="K223" s="102"/>
      <c r="L223" s="102"/>
      <c r="M223" s="102"/>
      <c r="N223" s="102"/>
      <c r="O223" s="102"/>
      <c r="P223" s="102"/>
      <c r="Q223" s="102"/>
      <c r="R223" s="102"/>
      <c r="S223" s="102"/>
      <c r="T223" s="102"/>
      <c r="U223" s="102"/>
      <c r="V223" s="102"/>
      <c r="W223" s="102"/>
      <c r="X223" s="102"/>
      <c r="Y223" s="102"/>
      <c r="Z223" s="102"/>
      <c r="AA223" s="102"/>
      <c r="AB223" s="102"/>
      <c r="AC223" s="102"/>
      <c r="AD223" s="102"/>
      <c r="AE223" s="102"/>
      <c r="AF223" s="102"/>
      <c r="AG223" s="102"/>
      <c r="AH223" s="102"/>
      <c r="AI223" s="102"/>
      <c r="AJ223" s="102"/>
      <c r="AK223" s="102"/>
      <c r="AL223" s="102"/>
      <c r="AM223" s="102"/>
      <c r="AN223" s="102"/>
      <c r="AO223" s="102"/>
      <c r="AP223" s="102"/>
      <c r="AQ223" s="102"/>
      <c r="AR223" s="102"/>
      <c r="AS223" s="102"/>
      <c r="AT223" s="102"/>
      <c r="AU223" s="102"/>
      <c r="AV223" s="102"/>
    </row>
    <row r="224" ht="12.75" customHeight="1">
      <c r="C224" s="400"/>
      <c r="D224" s="102"/>
      <c r="I224" s="102"/>
      <c r="J224" s="102"/>
      <c r="K224" s="102"/>
      <c r="L224" s="102"/>
      <c r="M224" s="102"/>
      <c r="N224" s="102"/>
      <c r="O224" s="102"/>
      <c r="P224" s="102"/>
      <c r="Q224" s="102"/>
      <c r="R224" s="102"/>
      <c r="S224" s="102"/>
      <c r="T224" s="102"/>
      <c r="U224" s="102"/>
      <c r="V224" s="102"/>
      <c r="W224" s="102"/>
      <c r="X224" s="102"/>
      <c r="Y224" s="102"/>
      <c r="Z224" s="102"/>
      <c r="AA224" s="102"/>
      <c r="AB224" s="102"/>
      <c r="AC224" s="102"/>
      <c r="AD224" s="102"/>
      <c r="AE224" s="102"/>
      <c r="AF224" s="102"/>
      <c r="AG224" s="102"/>
      <c r="AH224" s="102"/>
      <c r="AI224" s="102"/>
      <c r="AJ224" s="102"/>
      <c r="AK224" s="102"/>
      <c r="AL224" s="102"/>
      <c r="AM224" s="102"/>
      <c r="AN224" s="102"/>
      <c r="AO224" s="102"/>
      <c r="AP224" s="102"/>
      <c r="AQ224" s="102"/>
      <c r="AR224" s="102"/>
      <c r="AS224" s="102"/>
      <c r="AT224" s="102"/>
      <c r="AU224" s="102"/>
      <c r="AV224" s="102"/>
    </row>
    <row r="225" ht="12.75" customHeight="1">
      <c r="C225" s="400"/>
      <c r="D225" s="102"/>
      <c r="I225" s="102"/>
      <c r="J225" s="102"/>
      <c r="K225" s="102"/>
      <c r="L225" s="102"/>
      <c r="M225" s="102"/>
      <c r="N225" s="102"/>
      <c r="O225" s="102"/>
      <c r="P225" s="102"/>
      <c r="Q225" s="102"/>
      <c r="R225" s="102"/>
      <c r="S225" s="102"/>
      <c r="T225" s="102"/>
      <c r="U225" s="102"/>
      <c r="V225" s="102"/>
      <c r="W225" s="102"/>
      <c r="X225" s="102"/>
      <c r="Y225" s="102"/>
      <c r="Z225" s="102"/>
      <c r="AA225" s="102"/>
      <c r="AB225" s="102"/>
      <c r="AC225" s="102"/>
      <c r="AD225" s="102"/>
      <c r="AE225" s="102"/>
      <c r="AF225" s="102"/>
      <c r="AG225" s="102"/>
      <c r="AH225" s="102"/>
      <c r="AI225" s="102"/>
      <c r="AJ225" s="102"/>
      <c r="AK225" s="102"/>
      <c r="AL225" s="102"/>
      <c r="AM225" s="102"/>
      <c r="AN225" s="102"/>
      <c r="AO225" s="102"/>
      <c r="AP225" s="102"/>
      <c r="AQ225" s="102"/>
      <c r="AR225" s="102"/>
      <c r="AS225" s="102"/>
      <c r="AT225" s="102"/>
      <c r="AU225" s="102"/>
      <c r="AV225" s="102"/>
    </row>
    <row r="226" ht="12.75" customHeight="1">
      <c r="C226" s="400"/>
      <c r="D226" s="102"/>
      <c r="I226" s="102"/>
      <c r="J226" s="102"/>
      <c r="K226" s="102"/>
      <c r="L226" s="102"/>
      <c r="M226" s="102"/>
      <c r="N226" s="102"/>
      <c r="O226" s="102"/>
      <c r="P226" s="102"/>
      <c r="Q226" s="102"/>
      <c r="R226" s="102"/>
      <c r="S226" s="102"/>
      <c r="T226" s="102"/>
      <c r="U226" s="102"/>
      <c r="V226" s="102"/>
      <c r="W226" s="102"/>
      <c r="X226" s="102"/>
      <c r="Y226" s="102"/>
      <c r="Z226" s="102"/>
      <c r="AA226" s="102"/>
      <c r="AB226" s="102"/>
      <c r="AC226" s="102"/>
      <c r="AD226" s="102"/>
      <c r="AE226" s="102"/>
      <c r="AF226" s="102"/>
      <c r="AG226" s="102"/>
      <c r="AH226" s="102"/>
      <c r="AI226" s="102"/>
      <c r="AJ226" s="102"/>
      <c r="AK226" s="102"/>
      <c r="AL226" s="102"/>
      <c r="AM226" s="102"/>
      <c r="AN226" s="102"/>
      <c r="AO226" s="102"/>
      <c r="AP226" s="102"/>
      <c r="AQ226" s="102"/>
      <c r="AR226" s="102"/>
      <c r="AS226" s="102"/>
      <c r="AT226" s="102"/>
      <c r="AU226" s="102"/>
      <c r="AV226" s="102"/>
    </row>
    <row r="227" ht="12.75" customHeight="1">
      <c r="C227" s="400"/>
      <c r="D227" s="102"/>
      <c r="I227" s="102"/>
      <c r="J227" s="102"/>
      <c r="K227" s="102"/>
      <c r="L227" s="102"/>
      <c r="M227" s="102"/>
      <c r="N227" s="102"/>
      <c r="O227" s="102"/>
      <c r="P227" s="102"/>
      <c r="Q227" s="102"/>
      <c r="R227" s="102"/>
      <c r="S227" s="102"/>
      <c r="T227" s="102"/>
      <c r="U227" s="102"/>
      <c r="V227" s="102"/>
      <c r="W227" s="102"/>
      <c r="X227" s="102"/>
      <c r="Y227" s="102"/>
      <c r="Z227" s="102"/>
      <c r="AA227" s="102"/>
      <c r="AB227" s="102"/>
      <c r="AC227" s="102"/>
      <c r="AD227" s="102"/>
      <c r="AE227" s="102"/>
      <c r="AF227" s="102"/>
      <c r="AG227" s="102"/>
      <c r="AH227" s="102"/>
      <c r="AI227" s="102"/>
      <c r="AJ227" s="102"/>
      <c r="AK227" s="102"/>
      <c r="AL227" s="102"/>
      <c r="AM227" s="102"/>
      <c r="AN227" s="102"/>
      <c r="AO227" s="102"/>
      <c r="AP227" s="102"/>
      <c r="AQ227" s="102"/>
      <c r="AR227" s="102"/>
      <c r="AS227" s="102"/>
      <c r="AT227" s="102"/>
      <c r="AU227" s="102"/>
      <c r="AV227" s="102"/>
    </row>
    <row r="228" ht="12.75" customHeight="1">
      <c r="C228" s="400"/>
      <c r="D228" s="102"/>
      <c r="I228" s="102"/>
      <c r="J228" s="102"/>
      <c r="K228" s="102"/>
      <c r="L228" s="102"/>
      <c r="M228" s="102"/>
      <c r="N228" s="102"/>
      <c r="O228" s="102"/>
      <c r="P228" s="102"/>
      <c r="Q228" s="102"/>
      <c r="R228" s="102"/>
      <c r="S228" s="102"/>
      <c r="T228" s="102"/>
      <c r="U228" s="102"/>
      <c r="V228" s="102"/>
      <c r="W228" s="102"/>
      <c r="X228" s="102"/>
      <c r="Y228" s="102"/>
      <c r="Z228" s="102"/>
      <c r="AA228" s="102"/>
      <c r="AB228" s="102"/>
      <c r="AC228" s="102"/>
      <c r="AD228" s="102"/>
      <c r="AE228" s="102"/>
      <c r="AF228" s="102"/>
      <c r="AG228" s="102"/>
      <c r="AH228" s="102"/>
      <c r="AI228" s="102"/>
      <c r="AJ228" s="102"/>
      <c r="AK228" s="102"/>
      <c r="AL228" s="102"/>
      <c r="AM228" s="102"/>
      <c r="AN228" s="102"/>
      <c r="AO228" s="102"/>
      <c r="AP228" s="102"/>
      <c r="AQ228" s="102"/>
      <c r="AR228" s="102"/>
      <c r="AS228" s="102"/>
      <c r="AT228" s="102"/>
      <c r="AU228" s="102"/>
      <c r="AV228" s="102"/>
    </row>
    <row r="229" ht="12.75" customHeight="1">
      <c r="C229" s="400"/>
      <c r="D229" s="102"/>
      <c r="I229" s="102"/>
      <c r="J229" s="102"/>
      <c r="K229" s="102"/>
      <c r="L229" s="102"/>
      <c r="M229" s="102"/>
      <c r="N229" s="102"/>
      <c r="O229" s="102"/>
      <c r="P229" s="102"/>
      <c r="Q229" s="102"/>
      <c r="R229" s="102"/>
      <c r="S229" s="102"/>
      <c r="T229" s="102"/>
      <c r="U229" s="102"/>
      <c r="V229" s="102"/>
      <c r="W229" s="102"/>
      <c r="X229" s="102"/>
      <c r="Y229" s="102"/>
      <c r="Z229" s="102"/>
      <c r="AA229" s="102"/>
      <c r="AB229" s="102"/>
      <c r="AC229" s="102"/>
      <c r="AD229" s="102"/>
      <c r="AE229" s="102"/>
      <c r="AF229" s="102"/>
      <c r="AG229" s="102"/>
      <c r="AH229" s="102"/>
      <c r="AI229" s="102"/>
      <c r="AJ229" s="102"/>
      <c r="AK229" s="102"/>
      <c r="AL229" s="102"/>
      <c r="AM229" s="102"/>
      <c r="AN229" s="102"/>
      <c r="AO229" s="102"/>
      <c r="AP229" s="102"/>
      <c r="AQ229" s="102"/>
      <c r="AR229" s="102"/>
      <c r="AS229" s="102"/>
      <c r="AT229" s="102"/>
      <c r="AU229" s="102"/>
      <c r="AV229" s="102"/>
    </row>
    <row r="230" ht="12.75" customHeight="1">
      <c r="C230" s="400"/>
      <c r="D230" s="102"/>
      <c r="I230" s="102"/>
      <c r="J230" s="102"/>
      <c r="K230" s="102"/>
      <c r="L230" s="102"/>
      <c r="M230" s="102"/>
      <c r="N230" s="102"/>
      <c r="O230" s="102"/>
      <c r="P230" s="102"/>
      <c r="Q230" s="102"/>
      <c r="R230" s="102"/>
      <c r="S230" s="102"/>
      <c r="T230" s="102"/>
      <c r="U230" s="102"/>
      <c r="V230" s="102"/>
      <c r="W230" s="102"/>
      <c r="X230" s="102"/>
      <c r="Y230" s="102"/>
      <c r="Z230" s="102"/>
      <c r="AA230" s="102"/>
      <c r="AB230" s="102"/>
      <c r="AC230" s="102"/>
      <c r="AD230" s="102"/>
      <c r="AE230" s="102"/>
      <c r="AF230" s="102"/>
      <c r="AG230" s="102"/>
      <c r="AH230" s="102"/>
      <c r="AI230" s="102"/>
      <c r="AJ230" s="102"/>
      <c r="AK230" s="102"/>
      <c r="AL230" s="102"/>
      <c r="AM230" s="102"/>
      <c r="AN230" s="102"/>
      <c r="AO230" s="102"/>
      <c r="AP230" s="102"/>
      <c r="AQ230" s="102"/>
      <c r="AR230" s="102"/>
      <c r="AS230" s="102"/>
      <c r="AT230" s="102"/>
      <c r="AU230" s="102"/>
      <c r="AV230" s="102"/>
    </row>
    <row r="231" ht="12.75" customHeight="1">
      <c r="C231" s="400"/>
      <c r="D231" s="102"/>
      <c r="I231" s="102"/>
      <c r="J231" s="102"/>
      <c r="K231" s="102"/>
      <c r="L231" s="102"/>
      <c r="M231" s="102"/>
      <c r="N231" s="102"/>
      <c r="O231" s="102"/>
      <c r="P231" s="102"/>
      <c r="Q231" s="102"/>
      <c r="R231" s="102"/>
      <c r="S231" s="102"/>
      <c r="T231" s="102"/>
      <c r="U231" s="102"/>
      <c r="V231" s="102"/>
      <c r="W231" s="102"/>
      <c r="X231" s="102"/>
      <c r="Y231" s="102"/>
      <c r="Z231" s="102"/>
      <c r="AA231" s="102"/>
      <c r="AB231" s="102"/>
      <c r="AC231" s="102"/>
      <c r="AD231" s="102"/>
      <c r="AE231" s="102"/>
      <c r="AF231" s="102"/>
      <c r="AG231" s="102"/>
      <c r="AH231" s="102"/>
      <c r="AI231" s="102"/>
      <c r="AJ231" s="102"/>
      <c r="AK231" s="102"/>
      <c r="AL231" s="102"/>
      <c r="AM231" s="102"/>
      <c r="AN231" s="102"/>
      <c r="AO231" s="102"/>
      <c r="AP231" s="102"/>
      <c r="AQ231" s="102"/>
      <c r="AR231" s="102"/>
      <c r="AS231" s="102"/>
      <c r="AT231" s="102"/>
      <c r="AU231" s="102"/>
      <c r="AV231" s="102"/>
    </row>
    <row r="232" ht="12.75" customHeight="1">
      <c r="C232" s="400"/>
      <c r="D232" s="102"/>
      <c r="I232" s="102"/>
      <c r="J232" s="102"/>
      <c r="K232" s="102"/>
      <c r="L232" s="102"/>
      <c r="M232" s="102"/>
      <c r="N232" s="102"/>
      <c r="O232" s="102"/>
      <c r="P232" s="102"/>
      <c r="Q232" s="102"/>
      <c r="R232" s="102"/>
      <c r="S232" s="102"/>
      <c r="T232" s="102"/>
      <c r="U232" s="102"/>
      <c r="V232" s="102"/>
      <c r="W232" s="102"/>
      <c r="X232" s="102"/>
      <c r="Y232" s="102"/>
      <c r="Z232" s="102"/>
      <c r="AA232" s="102"/>
      <c r="AB232" s="102"/>
      <c r="AC232" s="102"/>
      <c r="AD232" s="102"/>
      <c r="AE232" s="102"/>
      <c r="AF232" s="102"/>
      <c r="AG232" s="102"/>
      <c r="AH232" s="102"/>
      <c r="AI232" s="102"/>
      <c r="AJ232" s="102"/>
      <c r="AK232" s="102"/>
      <c r="AL232" s="102"/>
      <c r="AM232" s="102"/>
      <c r="AN232" s="102"/>
      <c r="AO232" s="102"/>
      <c r="AP232" s="102"/>
      <c r="AQ232" s="102"/>
      <c r="AR232" s="102"/>
      <c r="AS232" s="102"/>
      <c r="AT232" s="102"/>
      <c r="AU232" s="102"/>
      <c r="AV232" s="102"/>
    </row>
    <row r="233" ht="12.75" customHeight="1">
      <c r="C233" s="400"/>
      <c r="D233" s="102"/>
      <c r="I233" s="102"/>
      <c r="J233" s="102"/>
      <c r="K233" s="102"/>
      <c r="L233" s="102"/>
      <c r="M233" s="102"/>
      <c r="N233" s="102"/>
      <c r="O233" s="102"/>
      <c r="P233" s="102"/>
      <c r="Q233" s="102"/>
      <c r="R233" s="102"/>
      <c r="S233" s="102"/>
      <c r="T233" s="102"/>
      <c r="U233" s="102"/>
      <c r="V233" s="102"/>
      <c r="W233" s="102"/>
      <c r="X233" s="102"/>
      <c r="Y233" s="102"/>
      <c r="Z233" s="102"/>
      <c r="AA233" s="102"/>
      <c r="AB233" s="102"/>
      <c r="AC233" s="102"/>
      <c r="AD233" s="102"/>
      <c r="AE233" s="102"/>
      <c r="AF233" s="102"/>
      <c r="AG233" s="102"/>
      <c r="AH233" s="102"/>
      <c r="AI233" s="102"/>
      <c r="AJ233" s="102"/>
      <c r="AK233" s="102"/>
      <c r="AL233" s="102"/>
      <c r="AM233" s="102"/>
      <c r="AN233" s="102"/>
      <c r="AO233" s="102"/>
      <c r="AP233" s="102"/>
      <c r="AQ233" s="102"/>
      <c r="AR233" s="102"/>
      <c r="AS233" s="102"/>
      <c r="AT233" s="102"/>
      <c r="AU233" s="102"/>
      <c r="AV233" s="102"/>
    </row>
    <row r="234" ht="12.75" customHeight="1">
      <c r="C234" s="400"/>
      <c r="D234" s="102"/>
      <c r="I234" s="102"/>
      <c r="J234" s="102"/>
      <c r="K234" s="102"/>
      <c r="L234" s="102"/>
      <c r="M234" s="102"/>
      <c r="N234" s="102"/>
      <c r="O234" s="102"/>
      <c r="P234" s="102"/>
      <c r="Q234" s="102"/>
      <c r="R234" s="102"/>
      <c r="S234" s="102"/>
      <c r="T234" s="102"/>
      <c r="U234" s="102"/>
      <c r="V234" s="102"/>
      <c r="W234" s="102"/>
      <c r="X234" s="102"/>
      <c r="Y234" s="102"/>
      <c r="Z234" s="102"/>
      <c r="AA234" s="102"/>
      <c r="AB234" s="102"/>
      <c r="AC234" s="102"/>
      <c r="AD234" s="102"/>
      <c r="AE234" s="102"/>
      <c r="AF234" s="102"/>
      <c r="AG234" s="102"/>
      <c r="AH234" s="102"/>
      <c r="AI234" s="102"/>
      <c r="AJ234" s="102"/>
      <c r="AK234" s="102"/>
      <c r="AL234" s="102"/>
      <c r="AM234" s="102"/>
      <c r="AN234" s="102"/>
      <c r="AO234" s="102"/>
      <c r="AP234" s="102"/>
      <c r="AQ234" s="102"/>
      <c r="AR234" s="102"/>
      <c r="AS234" s="102"/>
      <c r="AT234" s="102"/>
      <c r="AU234" s="102"/>
      <c r="AV234" s="102"/>
    </row>
    <row r="235" ht="12.75" customHeight="1">
      <c r="C235" s="400"/>
      <c r="D235" s="102"/>
      <c r="I235" s="102"/>
      <c r="J235" s="102"/>
      <c r="K235" s="102"/>
      <c r="L235" s="102"/>
      <c r="M235" s="102"/>
      <c r="N235" s="102"/>
      <c r="O235" s="102"/>
      <c r="P235" s="102"/>
      <c r="Q235" s="102"/>
      <c r="R235" s="102"/>
      <c r="S235" s="102"/>
      <c r="T235" s="102"/>
      <c r="U235" s="102"/>
      <c r="V235" s="102"/>
      <c r="W235" s="102"/>
      <c r="X235" s="102"/>
      <c r="Y235" s="102"/>
      <c r="Z235" s="102"/>
      <c r="AA235" s="102"/>
      <c r="AB235" s="102"/>
      <c r="AC235" s="102"/>
      <c r="AD235" s="102"/>
      <c r="AE235" s="102"/>
      <c r="AF235" s="102"/>
      <c r="AG235" s="102"/>
      <c r="AH235" s="102"/>
      <c r="AI235" s="102"/>
      <c r="AJ235" s="102"/>
      <c r="AK235" s="102"/>
      <c r="AL235" s="102"/>
      <c r="AM235" s="102"/>
      <c r="AN235" s="102"/>
      <c r="AO235" s="102"/>
      <c r="AP235" s="102"/>
      <c r="AQ235" s="102"/>
      <c r="AR235" s="102"/>
      <c r="AS235" s="102"/>
      <c r="AT235" s="102"/>
      <c r="AU235" s="102"/>
      <c r="AV235" s="102"/>
    </row>
    <row r="236" ht="12.75" customHeight="1">
      <c r="C236" s="400"/>
      <c r="D236" s="102"/>
      <c r="I236" s="102"/>
      <c r="J236" s="102"/>
      <c r="K236" s="102"/>
      <c r="L236" s="102"/>
      <c r="M236" s="102"/>
      <c r="N236" s="102"/>
      <c r="O236" s="102"/>
      <c r="P236" s="102"/>
      <c r="Q236" s="102"/>
      <c r="R236" s="102"/>
      <c r="S236" s="102"/>
      <c r="T236" s="102"/>
      <c r="U236" s="102"/>
      <c r="V236" s="102"/>
      <c r="W236" s="102"/>
      <c r="X236" s="102"/>
      <c r="Y236" s="102"/>
      <c r="Z236" s="102"/>
      <c r="AA236" s="102"/>
      <c r="AB236" s="102"/>
      <c r="AC236" s="102"/>
      <c r="AD236" s="102"/>
      <c r="AE236" s="102"/>
      <c r="AF236" s="102"/>
      <c r="AG236" s="102"/>
      <c r="AH236" s="102"/>
      <c r="AI236" s="102"/>
      <c r="AJ236" s="102"/>
      <c r="AK236" s="102"/>
      <c r="AL236" s="102"/>
      <c r="AM236" s="102"/>
      <c r="AN236" s="102"/>
      <c r="AO236" s="102"/>
      <c r="AP236" s="102"/>
      <c r="AQ236" s="102"/>
      <c r="AR236" s="102"/>
      <c r="AS236" s="102"/>
      <c r="AT236" s="102"/>
      <c r="AU236" s="102"/>
      <c r="AV236" s="102"/>
    </row>
    <row r="237" ht="12.75" customHeight="1">
      <c r="C237" s="400"/>
      <c r="D237" s="102"/>
      <c r="I237" s="102"/>
      <c r="J237" s="102"/>
      <c r="K237" s="102"/>
      <c r="L237" s="102"/>
      <c r="M237" s="102"/>
      <c r="N237" s="102"/>
      <c r="O237" s="102"/>
      <c r="P237" s="102"/>
      <c r="Q237" s="102"/>
      <c r="R237" s="102"/>
      <c r="S237" s="102"/>
      <c r="T237" s="102"/>
      <c r="U237" s="102"/>
      <c r="V237" s="102"/>
      <c r="W237" s="102"/>
      <c r="X237" s="102"/>
      <c r="Y237" s="102"/>
      <c r="Z237" s="102"/>
      <c r="AA237" s="102"/>
      <c r="AB237" s="102"/>
      <c r="AC237" s="102"/>
      <c r="AD237" s="102"/>
      <c r="AE237" s="102"/>
      <c r="AF237" s="102"/>
      <c r="AG237" s="102"/>
      <c r="AH237" s="102"/>
      <c r="AI237" s="102"/>
      <c r="AJ237" s="102"/>
      <c r="AK237" s="102"/>
      <c r="AL237" s="102"/>
      <c r="AM237" s="102"/>
      <c r="AN237" s="102"/>
      <c r="AO237" s="102"/>
      <c r="AP237" s="102"/>
      <c r="AQ237" s="102"/>
      <c r="AR237" s="102"/>
      <c r="AS237" s="102"/>
      <c r="AT237" s="102"/>
      <c r="AU237" s="102"/>
      <c r="AV237" s="102"/>
    </row>
    <row r="238" ht="12.75" customHeight="1">
      <c r="C238" s="400"/>
      <c r="D238" s="102"/>
      <c r="I238" s="102"/>
      <c r="J238" s="102"/>
      <c r="K238" s="102"/>
      <c r="L238" s="102"/>
      <c r="M238" s="102"/>
      <c r="N238" s="102"/>
      <c r="O238" s="102"/>
      <c r="P238" s="102"/>
      <c r="Q238" s="102"/>
      <c r="R238" s="102"/>
      <c r="S238" s="102"/>
      <c r="T238" s="102"/>
      <c r="U238" s="102"/>
      <c r="V238" s="102"/>
      <c r="W238" s="102"/>
      <c r="X238" s="102"/>
      <c r="Y238" s="102"/>
      <c r="Z238" s="102"/>
      <c r="AA238" s="102"/>
      <c r="AB238" s="102"/>
      <c r="AC238" s="102"/>
      <c r="AD238" s="102"/>
      <c r="AE238" s="102"/>
      <c r="AF238" s="102"/>
      <c r="AG238" s="102"/>
      <c r="AH238" s="102"/>
      <c r="AI238" s="102"/>
      <c r="AJ238" s="102"/>
      <c r="AK238" s="102"/>
      <c r="AL238" s="102"/>
      <c r="AM238" s="102"/>
      <c r="AN238" s="102"/>
      <c r="AO238" s="102"/>
      <c r="AP238" s="102"/>
      <c r="AQ238" s="102"/>
      <c r="AR238" s="102"/>
      <c r="AS238" s="102"/>
      <c r="AT238" s="102"/>
      <c r="AU238" s="102"/>
      <c r="AV238" s="102"/>
    </row>
    <row r="239" ht="12.75" customHeight="1">
      <c r="C239" s="400"/>
      <c r="D239" s="102"/>
      <c r="I239" s="102"/>
      <c r="J239" s="102"/>
      <c r="K239" s="102"/>
      <c r="L239" s="102"/>
      <c r="M239" s="102"/>
      <c r="N239" s="102"/>
      <c r="O239" s="102"/>
      <c r="P239" s="102"/>
      <c r="Q239" s="102"/>
      <c r="R239" s="102"/>
      <c r="S239" s="102"/>
      <c r="T239" s="102"/>
      <c r="U239" s="102"/>
      <c r="V239" s="102"/>
      <c r="W239" s="102"/>
      <c r="X239" s="102"/>
      <c r="Y239" s="102"/>
      <c r="Z239" s="102"/>
      <c r="AA239" s="102"/>
      <c r="AB239" s="102"/>
      <c r="AC239" s="102"/>
      <c r="AD239" s="102"/>
      <c r="AE239" s="102"/>
      <c r="AF239" s="102"/>
      <c r="AG239" s="102"/>
      <c r="AH239" s="102"/>
      <c r="AI239" s="102"/>
      <c r="AJ239" s="102"/>
      <c r="AK239" s="102"/>
      <c r="AL239" s="102"/>
      <c r="AM239" s="102"/>
      <c r="AN239" s="102"/>
      <c r="AO239" s="102"/>
      <c r="AP239" s="102"/>
      <c r="AQ239" s="102"/>
      <c r="AR239" s="102"/>
      <c r="AS239" s="102"/>
      <c r="AT239" s="102"/>
      <c r="AU239" s="102"/>
      <c r="AV239" s="102"/>
    </row>
    <row r="240" ht="12.75" customHeight="1">
      <c r="C240" s="400"/>
      <c r="D240" s="102"/>
      <c r="I240" s="102"/>
      <c r="J240" s="102"/>
      <c r="K240" s="102"/>
      <c r="L240" s="102"/>
      <c r="M240" s="102"/>
      <c r="N240" s="102"/>
      <c r="O240" s="102"/>
      <c r="P240" s="102"/>
      <c r="Q240" s="102"/>
      <c r="R240" s="102"/>
      <c r="S240" s="102"/>
      <c r="T240" s="102"/>
      <c r="U240" s="102"/>
      <c r="V240" s="102"/>
      <c r="W240" s="102"/>
      <c r="X240" s="102"/>
      <c r="Y240" s="102"/>
      <c r="Z240" s="102"/>
      <c r="AA240" s="102"/>
      <c r="AB240" s="102"/>
      <c r="AC240" s="102"/>
      <c r="AD240" s="102"/>
      <c r="AE240" s="102"/>
      <c r="AF240" s="102"/>
      <c r="AG240" s="102"/>
      <c r="AH240" s="102"/>
      <c r="AI240" s="102"/>
      <c r="AJ240" s="102"/>
      <c r="AK240" s="102"/>
      <c r="AL240" s="102"/>
      <c r="AM240" s="102"/>
      <c r="AN240" s="102"/>
      <c r="AO240" s="102"/>
      <c r="AP240" s="102"/>
      <c r="AQ240" s="102"/>
      <c r="AR240" s="102"/>
      <c r="AS240" s="102"/>
      <c r="AT240" s="102"/>
      <c r="AU240" s="102"/>
      <c r="AV240" s="102"/>
    </row>
    <row r="241" ht="12.75" customHeight="1">
      <c r="C241" s="400"/>
      <c r="D241" s="102"/>
      <c r="I241" s="102"/>
      <c r="J241" s="102"/>
      <c r="K241" s="102"/>
      <c r="L241" s="102"/>
      <c r="M241" s="102"/>
      <c r="N241" s="102"/>
      <c r="O241" s="102"/>
      <c r="P241" s="102"/>
      <c r="Q241" s="102"/>
      <c r="R241" s="102"/>
      <c r="S241" s="102"/>
      <c r="T241" s="102"/>
      <c r="U241" s="102"/>
      <c r="V241" s="102"/>
      <c r="W241" s="102"/>
      <c r="X241" s="102"/>
      <c r="Y241" s="102"/>
      <c r="Z241" s="102"/>
      <c r="AA241" s="102"/>
      <c r="AB241" s="102"/>
      <c r="AC241" s="102"/>
      <c r="AD241" s="102"/>
      <c r="AE241" s="102"/>
      <c r="AF241" s="102"/>
      <c r="AG241" s="102"/>
      <c r="AH241" s="102"/>
      <c r="AI241" s="102"/>
      <c r="AJ241" s="102"/>
      <c r="AK241" s="102"/>
      <c r="AL241" s="102"/>
      <c r="AM241" s="102"/>
      <c r="AN241" s="102"/>
      <c r="AO241" s="102"/>
      <c r="AP241" s="102"/>
      <c r="AQ241" s="102"/>
      <c r="AR241" s="102"/>
      <c r="AS241" s="102"/>
      <c r="AT241" s="102"/>
      <c r="AU241" s="102"/>
      <c r="AV241" s="102"/>
    </row>
    <row r="242" ht="12.75" customHeight="1">
      <c r="C242" s="400"/>
      <c r="D242" s="102"/>
      <c r="I242" s="102"/>
      <c r="J242" s="102"/>
      <c r="K242" s="102"/>
      <c r="L242" s="102"/>
      <c r="M242" s="102"/>
      <c r="N242" s="102"/>
      <c r="O242" s="102"/>
      <c r="P242" s="102"/>
      <c r="Q242" s="102"/>
      <c r="R242" s="102"/>
      <c r="S242" s="102"/>
      <c r="T242" s="102"/>
      <c r="U242" s="102"/>
      <c r="V242" s="102"/>
      <c r="W242" s="102"/>
      <c r="X242" s="102"/>
      <c r="Y242" s="102"/>
      <c r="Z242" s="102"/>
      <c r="AA242" s="102"/>
      <c r="AB242" s="102"/>
      <c r="AC242" s="102"/>
      <c r="AD242" s="102"/>
      <c r="AE242" s="102"/>
      <c r="AF242" s="102"/>
      <c r="AG242" s="102"/>
      <c r="AH242" s="102"/>
      <c r="AI242" s="102"/>
      <c r="AJ242" s="102"/>
      <c r="AK242" s="102"/>
      <c r="AL242" s="102"/>
      <c r="AM242" s="102"/>
      <c r="AN242" s="102"/>
      <c r="AO242" s="102"/>
      <c r="AP242" s="102"/>
      <c r="AQ242" s="102"/>
      <c r="AR242" s="102"/>
      <c r="AS242" s="102"/>
      <c r="AT242" s="102"/>
      <c r="AU242" s="102"/>
      <c r="AV242" s="102"/>
    </row>
    <row r="243" ht="12.75" customHeight="1">
      <c r="C243" s="400"/>
      <c r="D243" s="102"/>
      <c r="I243" s="102"/>
      <c r="J243" s="102"/>
      <c r="K243" s="102"/>
      <c r="L243" s="102"/>
      <c r="M243" s="102"/>
      <c r="N243" s="102"/>
      <c r="O243" s="102"/>
      <c r="P243" s="102"/>
      <c r="Q243" s="102"/>
      <c r="R243" s="102"/>
      <c r="S243" s="102"/>
      <c r="T243" s="102"/>
      <c r="U243" s="102"/>
      <c r="V243" s="102"/>
      <c r="W243" s="102"/>
      <c r="X243" s="102"/>
      <c r="Y243" s="102"/>
      <c r="Z243" s="102"/>
      <c r="AA243" s="102"/>
      <c r="AB243" s="102"/>
      <c r="AC243" s="102"/>
      <c r="AD243" s="102"/>
      <c r="AE243" s="102"/>
      <c r="AF243" s="102"/>
      <c r="AG243" s="102"/>
      <c r="AH243" s="102"/>
      <c r="AI243" s="102"/>
      <c r="AJ243" s="102"/>
      <c r="AK243" s="102"/>
      <c r="AL243" s="102"/>
      <c r="AM243" s="102"/>
      <c r="AN243" s="102"/>
      <c r="AO243" s="102"/>
      <c r="AP243" s="102"/>
      <c r="AQ243" s="102"/>
      <c r="AR243" s="102"/>
      <c r="AS243" s="102"/>
      <c r="AT243" s="102"/>
      <c r="AU243" s="102"/>
      <c r="AV243" s="102"/>
    </row>
    <row r="244" ht="12.75" customHeight="1">
      <c r="C244" s="400"/>
      <c r="D244" s="102"/>
      <c r="I244" s="102"/>
      <c r="J244" s="102"/>
      <c r="K244" s="102"/>
      <c r="L244" s="102"/>
      <c r="M244" s="102"/>
      <c r="N244" s="102"/>
      <c r="O244" s="102"/>
      <c r="P244" s="102"/>
      <c r="Q244" s="102"/>
      <c r="R244" s="102"/>
      <c r="S244" s="102"/>
      <c r="T244" s="102"/>
      <c r="U244" s="102"/>
      <c r="V244" s="102"/>
      <c r="W244" s="102"/>
      <c r="X244" s="102"/>
      <c r="Y244" s="102"/>
      <c r="Z244" s="102"/>
      <c r="AA244" s="102"/>
      <c r="AB244" s="102"/>
      <c r="AC244" s="102"/>
      <c r="AD244" s="102"/>
      <c r="AE244" s="102"/>
      <c r="AF244" s="102"/>
      <c r="AG244" s="102"/>
      <c r="AH244" s="102"/>
      <c r="AI244" s="102"/>
      <c r="AJ244" s="102"/>
      <c r="AK244" s="102"/>
      <c r="AL244" s="102"/>
      <c r="AM244" s="102"/>
      <c r="AN244" s="102"/>
      <c r="AO244" s="102"/>
      <c r="AP244" s="102"/>
      <c r="AQ244" s="102"/>
      <c r="AR244" s="102"/>
      <c r="AS244" s="102"/>
      <c r="AT244" s="102"/>
      <c r="AU244" s="102"/>
      <c r="AV244" s="102"/>
    </row>
    <row r="245" ht="12.75" customHeight="1">
      <c r="C245" s="400"/>
      <c r="D245" s="102"/>
      <c r="I245" s="102"/>
      <c r="J245" s="102"/>
      <c r="K245" s="102"/>
      <c r="L245" s="102"/>
      <c r="M245" s="102"/>
      <c r="N245" s="102"/>
      <c r="O245" s="102"/>
      <c r="P245" s="102"/>
      <c r="Q245" s="102"/>
      <c r="R245" s="102"/>
      <c r="S245" s="102"/>
      <c r="T245" s="102"/>
      <c r="U245" s="102"/>
      <c r="V245" s="102"/>
      <c r="W245" s="102"/>
      <c r="X245" s="102"/>
      <c r="Y245" s="102"/>
      <c r="Z245" s="102"/>
      <c r="AA245" s="102"/>
      <c r="AB245" s="102"/>
      <c r="AC245" s="102"/>
      <c r="AD245" s="102"/>
      <c r="AE245" s="102"/>
      <c r="AF245" s="102"/>
      <c r="AG245" s="102"/>
      <c r="AH245" s="102"/>
      <c r="AI245" s="102"/>
      <c r="AJ245" s="102"/>
      <c r="AK245" s="102"/>
      <c r="AL245" s="102"/>
      <c r="AM245" s="102"/>
      <c r="AN245" s="102"/>
      <c r="AO245" s="102"/>
      <c r="AP245" s="102"/>
      <c r="AQ245" s="102"/>
      <c r="AR245" s="102"/>
      <c r="AS245" s="102"/>
      <c r="AT245" s="102"/>
      <c r="AU245" s="102"/>
      <c r="AV245" s="102"/>
    </row>
    <row r="246" ht="12.75" customHeight="1">
      <c r="C246" s="400"/>
      <c r="D246" s="102"/>
      <c r="I246" s="102"/>
      <c r="J246" s="102"/>
      <c r="K246" s="102"/>
      <c r="L246" s="102"/>
      <c r="M246" s="102"/>
      <c r="N246" s="102"/>
      <c r="O246" s="102"/>
      <c r="P246" s="102"/>
      <c r="Q246" s="102"/>
      <c r="R246" s="102"/>
      <c r="S246" s="102"/>
      <c r="T246" s="102"/>
      <c r="U246" s="102"/>
      <c r="V246" s="102"/>
      <c r="W246" s="102"/>
      <c r="X246" s="102"/>
      <c r="Y246" s="102"/>
      <c r="Z246" s="102"/>
      <c r="AA246" s="102"/>
      <c r="AB246" s="102"/>
      <c r="AC246" s="102"/>
      <c r="AD246" s="102"/>
      <c r="AE246" s="102"/>
      <c r="AF246" s="102"/>
      <c r="AG246" s="102"/>
      <c r="AH246" s="102"/>
      <c r="AI246" s="102"/>
      <c r="AJ246" s="102"/>
      <c r="AK246" s="102"/>
      <c r="AL246" s="102"/>
      <c r="AM246" s="102"/>
      <c r="AN246" s="102"/>
      <c r="AO246" s="102"/>
      <c r="AP246" s="102"/>
      <c r="AQ246" s="102"/>
      <c r="AR246" s="102"/>
      <c r="AS246" s="102"/>
      <c r="AT246" s="102"/>
      <c r="AU246" s="102"/>
      <c r="AV246" s="102"/>
    </row>
    <row r="247" ht="12.75" customHeight="1">
      <c r="C247" s="400"/>
      <c r="D247" s="102"/>
      <c r="I247" s="102"/>
      <c r="J247" s="102"/>
      <c r="K247" s="102"/>
      <c r="L247" s="102"/>
      <c r="M247" s="102"/>
      <c r="N247" s="102"/>
      <c r="O247" s="102"/>
      <c r="P247" s="102"/>
      <c r="Q247" s="102"/>
      <c r="R247" s="102"/>
      <c r="S247" s="102"/>
      <c r="T247" s="102"/>
      <c r="U247" s="102"/>
      <c r="V247" s="102"/>
      <c r="W247" s="102"/>
      <c r="X247" s="102"/>
      <c r="Y247" s="102"/>
      <c r="Z247" s="102"/>
      <c r="AA247" s="102"/>
      <c r="AB247" s="102"/>
      <c r="AC247" s="102"/>
      <c r="AD247" s="102"/>
      <c r="AE247" s="102"/>
      <c r="AF247" s="102"/>
      <c r="AG247" s="102"/>
      <c r="AH247" s="102"/>
      <c r="AI247" s="102"/>
      <c r="AJ247" s="102"/>
      <c r="AK247" s="102"/>
      <c r="AL247" s="102"/>
      <c r="AM247" s="102"/>
      <c r="AN247" s="102"/>
      <c r="AO247" s="102"/>
      <c r="AP247" s="102"/>
      <c r="AQ247" s="102"/>
      <c r="AR247" s="102"/>
      <c r="AS247" s="102"/>
      <c r="AT247" s="102"/>
      <c r="AU247" s="102"/>
      <c r="AV247" s="102"/>
    </row>
    <row r="248" ht="12.75" customHeight="1">
      <c r="C248" s="400"/>
      <c r="D248" s="102"/>
      <c r="I248" s="102"/>
      <c r="J248" s="102"/>
      <c r="K248" s="102"/>
      <c r="L248" s="102"/>
      <c r="M248" s="102"/>
      <c r="N248" s="102"/>
      <c r="O248" s="102"/>
      <c r="P248" s="102"/>
      <c r="Q248" s="102"/>
      <c r="R248" s="102"/>
      <c r="S248" s="102"/>
      <c r="T248" s="102"/>
      <c r="U248" s="102"/>
      <c r="V248" s="102"/>
      <c r="W248" s="102"/>
      <c r="X248" s="102"/>
      <c r="Y248" s="102"/>
      <c r="Z248" s="102"/>
      <c r="AA248" s="102"/>
      <c r="AB248" s="102"/>
      <c r="AC248" s="102"/>
      <c r="AD248" s="102"/>
      <c r="AE248" s="102"/>
      <c r="AF248" s="102"/>
      <c r="AG248" s="102"/>
      <c r="AH248" s="102"/>
      <c r="AI248" s="102"/>
      <c r="AJ248" s="102"/>
      <c r="AK248" s="102"/>
      <c r="AL248" s="102"/>
      <c r="AM248" s="102"/>
      <c r="AN248" s="102"/>
      <c r="AO248" s="102"/>
      <c r="AP248" s="102"/>
      <c r="AQ248" s="102"/>
      <c r="AR248" s="102"/>
      <c r="AS248" s="102"/>
      <c r="AT248" s="102"/>
      <c r="AU248" s="102"/>
      <c r="AV248" s="102"/>
    </row>
    <row r="249" ht="12.75" customHeight="1">
      <c r="C249" s="400"/>
      <c r="D249" s="102"/>
      <c r="I249" s="102"/>
      <c r="J249" s="102"/>
      <c r="K249" s="102"/>
      <c r="L249" s="102"/>
      <c r="M249" s="102"/>
      <c r="N249" s="102"/>
      <c r="O249" s="102"/>
      <c r="P249" s="102"/>
      <c r="Q249" s="102"/>
      <c r="R249" s="102"/>
      <c r="S249" s="102"/>
      <c r="T249" s="102"/>
      <c r="U249" s="102"/>
      <c r="V249" s="102"/>
      <c r="W249" s="102"/>
      <c r="X249" s="102"/>
      <c r="Y249" s="102"/>
      <c r="Z249" s="102"/>
      <c r="AA249" s="102"/>
      <c r="AB249" s="102"/>
      <c r="AC249" s="102"/>
      <c r="AD249" s="102"/>
      <c r="AE249" s="102"/>
      <c r="AF249" s="102"/>
      <c r="AG249" s="102"/>
      <c r="AH249" s="102"/>
      <c r="AI249" s="102"/>
      <c r="AJ249" s="102"/>
      <c r="AK249" s="102"/>
      <c r="AL249" s="102"/>
      <c r="AM249" s="102"/>
      <c r="AN249" s="102"/>
      <c r="AO249" s="102"/>
      <c r="AP249" s="102"/>
      <c r="AQ249" s="102"/>
      <c r="AR249" s="102"/>
      <c r="AS249" s="102"/>
      <c r="AT249" s="102"/>
      <c r="AU249" s="102"/>
      <c r="AV249" s="102"/>
    </row>
    <row r="250" ht="12.75" customHeight="1">
      <c r="C250" s="400"/>
      <c r="D250" s="102"/>
      <c r="I250" s="102"/>
      <c r="J250" s="102"/>
      <c r="K250" s="102"/>
      <c r="L250" s="102"/>
      <c r="M250" s="102"/>
      <c r="N250" s="102"/>
      <c r="O250" s="102"/>
      <c r="P250" s="102"/>
      <c r="Q250" s="102"/>
      <c r="R250" s="102"/>
      <c r="S250" s="102"/>
      <c r="T250" s="102"/>
      <c r="U250" s="102"/>
      <c r="V250" s="102"/>
      <c r="W250" s="102"/>
      <c r="X250" s="102"/>
      <c r="Y250" s="102"/>
      <c r="Z250" s="102"/>
      <c r="AA250" s="102"/>
      <c r="AB250" s="102"/>
      <c r="AC250" s="102"/>
      <c r="AD250" s="102"/>
      <c r="AE250" s="102"/>
      <c r="AF250" s="102"/>
      <c r="AG250" s="102"/>
      <c r="AH250" s="102"/>
      <c r="AI250" s="102"/>
      <c r="AJ250" s="102"/>
      <c r="AK250" s="102"/>
      <c r="AL250" s="102"/>
      <c r="AM250" s="102"/>
      <c r="AN250" s="102"/>
      <c r="AO250" s="102"/>
      <c r="AP250" s="102"/>
      <c r="AQ250" s="102"/>
      <c r="AR250" s="102"/>
      <c r="AS250" s="102"/>
      <c r="AT250" s="102"/>
      <c r="AU250" s="102"/>
      <c r="AV250" s="102"/>
    </row>
    <row r="251" ht="12.75" customHeight="1">
      <c r="C251" s="400"/>
      <c r="D251" s="102"/>
      <c r="I251" s="102"/>
      <c r="J251" s="102"/>
      <c r="K251" s="102"/>
      <c r="L251" s="102"/>
      <c r="M251" s="102"/>
      <c r="N251" s="102"/>
      <c r="O251" s="102"/>
      <c r="P251" s="102"/>
      <c r="Q251" s="102"/>
      <c r="R251" s="102"/>
      <c r="S251" s="102"/>
      <c r="T251" s="102"/>
      <c r="U251" s="102"/>
      <c r="V251" s="102"/>
      <c r="W251" s="102"/>
      <c r="X251" s="102"/>
      <c r="Y251" s="102"/>
      <c r="Z251" s="102"/>
      <c r="AA251" s="102"/>
      <c r="AB251" s="102"/>
      <c r="AC251" s="102"/>
      <c r="AD251" s="102"/>
      <c r="AE251" s="102"/>
      <c r="AF251" s="102"/>
      <c r="AG251" s="102"/>
      <c r="AH251" s="102"/>
      <c r="AI251" s="102"/>
      <c r="AJ251" s="102"/>
      <c r="AK251" s="102"/>
      <c r="AL251" s="102"/>
      <c r="AM251" s="102"/>
      <c r="AN251" s="102"/>
      <c r="AO251" s="102"/>
      <c r="AP251" s="102"/>
      <c r="AQ251" s="102"/>
      <c r="AR251" s="102"/>
      <c r="AS251" s="102"/>
      <c r="AT251" s="102"/>
      <c r="AU251" s="102"/>
      <c r="AV251" s="102"/>
    </row>
    <row r="252" ht="12.75" customHeight="1">
      <c r="C252" s="400"/>
      <c r="D252" s="102"/>
      <c r="I252" s="102"/>
      <c r="J252" s="102"/>
      <c r="K252" s="102"/>
      <c r="L252" s="102"/>
      <c r="M252" s="102"/>
      <c r="N252" s="102"/>
      <c r="O252" s="102"/>
      <c r="P252" s="102"/>
      <c r="Q252" s="102"/>
      <c r="R252" s="102"/>
      <c r="S252" s="102"/>
      <c r="T252" s="102"/>
      <c r="U252" s="102"/>
      <c r="V252" s="102"/>
      <c r="W252" s="102"/>
      <c r="X252" s="102"/>
      <c r="Y252" s="102"/>
      <c r="Z252" s="102"/>
      <c r="AA252" s="102"/>
      <c r="AB252" s="102"/>
      <c r="AC252" s="102"/>
      <c r="AD252" s="102"/>
      <c r="AE252" s="102"/>
      <c r="AF252" s="102"/>
      <c r="AG252" s="102"/>
      <c r="AH252" s="102"/>
      <c r="AI252" s="102"/>
      <c r="AJ252" s="102"/>
      <c r="AK252" s="102"/>
      <c r="AL252" s="102"/>
      <c r="AM252" s="102"/>
      <c r="AN252" s="102"/>
      <c r="AO252" s="102"/>
      <c r="AP252" s="102"/>
      <c r="AQ252" s="102"/>
      <c r="AR252" s="102"/>
      <c r="AS252" s="102"/>
      <c r="AT252" s="102"/>
      <c r="AU252" s="102"/>
      <c r="AV252" s="102"/>
    </row>
    <row r="253" ht="12.75" customHeight="1">
      <c r="C253" s="400"/>
      <c r="D253" s="102"/>
      <c r="I253" s="102"/>
      <c r="J253" s="102"/>
      <c r="K253" s="102"/>
      <c r="L253" s="102"/>
      <c r="M253" s="102"/>
      <c r="N253" s="102"/>
      <c r="O253" s="102"/>
      <c r="P253" s="102"/>
      <c r="Q253" s="102"/>
      <c r="R253" s="102"/>
      <c r="S253" s="102"/>
      <c r="T253" s="102"/>
      <c r="U253" s="102"/>
      <c r="V253" s="102"/>
      <c r="W253" s="102"/>
      <c r="X253" s="102"/>
      <c r="Y253" s="102"/>
      <c r="Z253" s="102"/>
      <c r="AA253" s="102"/>
      <c r="AB253" s="102"/>
      <c r="AC253" s="102"/>
      <c r="AD253" s="102"/>
      <c r="AE253" s="102"/>
      <c r="AF253" s="102"/>
      <c r="AG253" s="102"/>
      <c r="AH253" s="102"/>
      <c r="AI253" s="102"/>
      <c r="AJ253" s="102"/>
      <c r="AK253" s="102"/>
      <c r="AL253" s="102"/>
      <c r="AM253" s="102"/>
      <c r="AN253" s="102"/>
      <c r="AO253" s="102"/>
      <c r="AP253" s="102"/>
      <c r="AQ253" s="102"/>
      <c r="AR253" s="102"/>
      <c r="AS253" s="102"/>
      <c r="AT253" s="102"/>
      <c r="AU253" s="102"/>
      <c r="AV253" s="102"/>
    </row>
    <row r="254" ht="12.75" customHeight="1">
      <c r="C254" s="400"/>
      <c r="D254" s="102"/>
      <c r="I254" s="102"/>
      <c r="J254" s="102"/>
      <c r="K254" s="102"/>
      <c r="L254" s="102"/>
      <c r="M254" s="102"/>
      <c r="N254" s="102"/>
      <c r="O254" s="102"/>
      <c r="P254" s="102"/>
      <c r="Q254" s="102"/>
      <c r="R254" s="102"/>
      <c r="S254" s="102"/>
      <c r="T254" s="102"/>
      <c r="U254" s="102"/>
      <c r="V254" s="102"/>
      <c r="W254" s="102"/>
      <c r="X254" s="102"/>
      <c r="Y254" s="102"/>
      <c r="Z254" s="102"/>
      <c r="AA254" s="102"/>
      <c r="AB254" s="102"/>
      <c r="AC254" s="102"/>
      <c r="AD254" s="102"/>
      <c r="AE254" s="102"/>
      <c r="AF254" s="102"/>
      <c r="AG254" s="102"/>
      <c r="AH254" s="102"/>
      <c r="AI254" s="102"/>
      <c r="AJ254" s="102"/>
      <c r="AK254" s="102"/>
      <c r="AL254" s="102"/>
      <c r="AM254" s="102"/>
      <c r="AN254" s="102"/>
      <c r="AO254" s="102"/>
      <c r="AP254" s="102"/>
      <c r="AQ254" s="102"/>
      <c r="AR254" s="102"/>
      <c r="AS254" s="102"/>
      <c r="AT254" s="102"/>
      <c r="AU254" s="102"/>
      <c r="AV254" s="102"/>
    </row>
    <row r="255" ht="12.75" customHeight="1">
      <c r="C255" s="400"/>
      <c r="D255" s="102"/>
      <c r="I255" s="102"/>
      <c r="J255" s="102"/>
      <c r="K255" s="102"/>
      <c r="L255" s="102"/>
      <c r="M255" s="102"/>
      <c r="N255" s="102"/>
      <c r="O255" s="102"/>
      <c r="P255" s="102"/>
      <c r="Q255" s="102"/>
      <c r="R255" s="102"/>
      <c r="S255" s="102"/>
      <c r="T255" s="102"/>
      <c r="U255" s="102"/>
      <c r="V255" s="102"/>
      <c r="W255" s="102"/>
      <c r="X255" s="102"/>
      <c r="Y255" s="102"/>
      <c r="Z255" s="102"/>
      <c r="AA255" s="102"/>
      <c r="AB255" s="102"/>
      <c r="AC255" s="102"/>
      <c r="AD255" s="102"/>
      <c r="AE255" s="102"/>
      <c r="AF255" s="102"/>
      <c r="AG255" s="102"/>
      <c r="AH255" s="102"/>
      <c r="AI255" s="102"/>
      <c r="AJ255" s="102"/>
      <c r="AK255" s="102"/>
      <c r="AL255" s="102"/>
      <c r="AM255" s="102"/>
      <c r="AN255" s="102"/>
      <c r="AO255" s="102"/>
      <c r="AP255" s="102"/>
      <c r="AQ255" s="102"/>
      <c r="AR255" s="102"/>
      <c r="AS255" s="102"/>
      <c r="AT255" s="102"/>
      <c r="AU255" s="102"/>
      <c r="AV255" s="102"/>
    </row>
    <row r="256" ht="12.75" customHeight="1">
      <c r="C256" s="400"/>
      <c r="D256" s="102"/>
      <c r="I256" s="102"/>
      <c r="J256" s="102"/>
      <c r="K256" s="102"/>
      <c r="L256" s="102"/>
      <c r="M256" s="102"/>
      <c r="N256" s="102"/>
      <c r="O256" s="102"/>
      <c r="P256" s="102"/>
      <c r="Q256" s="102"/>
      <c r="R256" s="102"/>
      <c r="S256" s="102"/>
      <c r="T256" s="102"/>
      <c r="U256" s="102"/>
      <c r="V256" s="102"/>
      <c r="W256" s="102"/>
      <c r="X256" s="102"/>
      <c r="Y256" s="102"/>
      <c r="Z256" s="102"/>
      <c r="AA256" s="102"/>
      <c r="AB256" s="102"/>
      <c r="AC256" s="102"/>
      <c r="AD256" s="102"/>
      <c r="AE256" s="102"/>
      <c r="AF256" s="102"/>
      <c r="AG256" s="102"/>
      <c r="AH256" s="102"/>
      <c r="AI256" s="102"/>
      <c r="AJ256" s="102"/>
      <c r="AK256" s="102"/>
      <c r="AL256" s="102"/>
      <c r="AM256" s="102"/>
      <c r="AN256" s="102"/>
      <c r="AO256" s="102"/>
      <c r="AP256" s="102"/>
      <c r="AQ256" s="102"/>
      <c r="AR256" s="102"/>
      <c r="AS256" s="102"/>
      <c r="AT256" s="102"/>
      <c r="AU256" s="102"/>
      <c r="AV256" s="102"/>
    </row>
    <row r="257" ht="12.75" customHeight="1">
      <c r="C257" s="400"/>
      <c r="D257" s="102"/>
      <c r="I257" s="102"/>
      <c r="J257" s="102"/>
      <c r="K257" s="102"/>
      <c r="L257" s="102"/>
      <c r="M257" s="102"/>
      <c r="N257" s="102"/>
      <c r="O257" s="102"/>
      <c r="P257" s="102"/>
      <c r="Q257" s="102"/>
      <c r="R257" s="102"/>
      <c r="S257" s="102"/>
      <c r="T257" s="102"/>
      <c r="U257" s="102"/>
      <c r="V257" s="102"/>
      <c r="W257" s="102"/>
      <c r="X257" s="102"/>
      <c r="Y257" s="102"/>
      <c r="Z257" s="102"/>
      <c r="AA257" s="102"/>
      <c r="AB257" s="102"/>
      <c r="AC257" s="102"/>
      <c r="AD257" s="102"/>
      <c r="AE257" s="102"/>
      <c r="AF257" s="102"/>
      <c r="AG257" s="102"/>
      <c r="AH257" s="102"/>
      <c r="AI257" s="102"/>
      <c r="AJ257" s="102"/>
      <c r="AK257" s="102"/>
      <c r="AL257" s="102"/>
      <c r="AM257" s="102"/>
      <c r="AN257" s="102"/>
      <c r="AO257" s="102"/>
      <c r="AP257" s="102"/>
      <c r="AQ257" s="102"/>
      <c r="AR257" s="102"/>
      <c r="AS257" s="102"/>
      <c r="AT257" s="102"/>
      <c r="AU257" s="102"/>
      <c r="AV257" s="102"/>
    </row>
    <row r="258" ht="12.75" customHeight="1">
      <c r="C258" s="400"/>
      <c r="D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02"/>
      <c r="AH258" s="102"/>
      <c r="AI258" s="102"/>
      <c r="AJ258" s="102"/>
      <c r="AK258" s="102"/>
      <c r="AL258" s="102"/>
      <c r="AM258" s="102"/>
      <c r="AN258" s="102"/>
      <c r="AO258" s="102"/>
      <c r="AP258" s="102"/>
      <c r="AQ258" s="102"/>
      <c r="AR258" s="102"/>
      <c r="AS258" s="102"/>
      <c r="AT258" s="102"/>
      <c r="AU258" s="102"/>
      <c r="AV258" s="102"/>
    </row>
    <row r="259" ht="12.75" customHeight="1">
      <c r="C259" s="400"/>
      <c r="D259" s="102"/>
      <c r="I259" s="102"/>
      <c r="J259" s="102"/>
      <c r="K259" s="102"/>
      <c r="L259" s="102"/>
      <c r="M259" s="102"/>
      <c r="N259" s="102"/>
      <c r="O259" s="102"/>
      <c r="P259" s="102"/>
      <c r="Q259" s="102"/>
      <c r="R259" s="102"/>
      <c r="S259" s="102"/>
      <c r="T259" s="102"/>
      <c r="U259" s="102"/>
      <c r="V259" s="102"/>
      <c r="W259" s="102"/>
      <c r="X259" s="102"/>
      <c r="Y259" s="102"/>
      <c r="Z259" s="102"/>
      <c r="AA259" s="102"/>
      <c r="AB259" s="102"/>
      <c r="AC259" s="102"/>
      <c r="AD259" s="102"/>
      <c r="AE259" s="102"/>
      <c r="AF259" s="102"/>
      <c r="AG259" s="102"/>
      <c r="AH259" s="102"/>
      <c r="AI259" s="102"/>
      <c r="AJ259" s="102"/>
      <c r="AK259" s="102"/>
      <c r="AL259" s="102"/>
      <c r="AM259" s="102"/>
      <c r="AN259" s="102"/>
      <c r="AO259" s="102"/>
      <c r="AP259" s="102"/>
      <c r="AQ259" s="102"/>
      <c r="AR259" s="102"/>
      <c r="AS259" s="102"/>
      <c r="AT259" s="102"/>
      <c r="AU259" s="102"/>
      <c r="AV259" s="102"/>
    </row>
    <row r="260" ht="12.75" customHeight="1">
      <c r="C260" s="400"/>
      <c r="D260" s="102"/>
      <c r="I260" s="102"/>
      <c r="J260" s="102"/>
      <c r="K260" s="102"/>
      <c r="L260" s="102"/>
      <c r="M260" s="102"/>
      <c r="N260" s="102"/>
      <c r="O260" s="102"/>
      <c r="P260" s="102"/>
      <c r="Q260" s="102"/>
      <c r="R260" s="102"/>
      <c r="S260" s="102"/>
      <c r="T260" s="102"/>
      <c r="U260" s="102"/>
      <c r="V260" s="102"/>
      <c r="W260" s="102"/>
      <c r="X260" s="102"/>
      <c r="Y260" s="102"/>
      <c r="Z260" s="102"/>
      <c r="AA260" s="102"/>
      <c r="AB260" s="102"/>
      <c r="AC260" s="102"/>
      <c r="AD260" s="102"/>
      <c r="AE260" s="102"/>
      <c r="AF260" s="102"/>
      <c r="AG260" s="102"/>
      <c r="AH260" s="102"/>
      <c r="AI260" s="102"/>
      <c r="AJ260" s="102"/>
      <c r="AK260" s="102"/>
      <c r="AL260" s="102"/>
      <c r="AM260" s="102"/>
      <c r="AN260" s="102"/>
      <c r="AO260" s="102"/>
      <c r="AP260" s="102"/>
      <c r="AQ260" s="102"/>
      <c r="AR260" s="102"/>
      <c r="AS260" s="102"/>
      <c r="AT260" s="102"/>
      <c r="AU260" s="102"/>
      <c r="AV260" s="102"/>
    </row>
    <row r="261" ht="12.75" customHeight="1">
      <c r="C261" s="400"/>
      <c r="D261" s="102"/>
      <c r="I261" s="102"/>
      <c r="J261" s="102"/>
      <c r="K261" s="102"/>
      <c r="L261" s="102"/>
      <c r="M261" s="102"/>
      <c r="N261" s="102"/>
      <c r="O261" s="102"/>
      <c r="P261" s="102"/>
      <c r="Q261" s="102"/>
      <c r="R261" s="102"/>
      <c r="S261" s="102"/>
      <c r="T261" s="102"/>
      <c r="U261" s="102"/>
      <c r="V261" s="102"/>
      <c r="W261" s="102"/>
      <c r="X261" s="102"/>
      <c r="Y261" s="102"/>
      <c r="Z261" s="102"/>
      <c r="AA261" s="102"/>
      <c r="AB261" s="102"/>
      <c r="AC261" s="102"/>
      <c r="AD261" s="102"/>
      <c r="AE261" s="102"/>
      <c r="AF261" s="102"/>
      <c r="AG261" s="102"/>
      <c r="AH261" s="102"/>
      <c r="AI261" s="102"/>
      <c r="AJ261" s="102"/>
      <c r="AK261" s="102"/>
      <c r="AL261" s="102"/>
      <c r="AM261" s="102"/>
      <c r="AN261" s="102"/>
      <c r="AO261" s="102"/>
      <c r="AP261" s="102"/>
      <c r="AQ261" s="102"/>
      <c r="AR261" s="102"/>
      <c r="AS261" s="102"/>
      <c r="AT261" s="102"/>
      <c r="AU261" s="102"/>
      <c r="AV261" s="102"/>
    </row>
    <row r="262" ht="12.75" customHeight="1">
      <c r="C262" s="400"/>
      <c r="D262" s="102"/>
      <c r="I262" s="102"/>
      <c r="J262" s="102"/>
      <c r="K262" s="102"/>
      <c r="L262" s="102"/>
      <c r="M262" s="102"/>
      <c r="N262" s="102"/>
      <c r="O262" s="102"/>
      <c r="P262" s="102"/>
      <c r="Q262" s="102"/>
      <c r="R262" s="102"/>
      <c r="S262" s="102"/>
      <c r="T262" s="102"/>
      <c r="U262" s="102"/>
      <c r="V262" s="102"/>
      <c r="W262" s="102"/>
      <c r="X262" s="102"/>
      <c r="Y262" s="102"/>
      <c r="Z262" s="102"/>
      <c r="AA262" s="102"/>
      <c r="AB262" s="102"/>
      <c r="AC262" s="102"/>
      <c r="AD262" s="102"/>
      <c r="AE262" s="102"/>
      <c r="AF262" s="102"/>
      <c r="AG262" s="102"/>
      <c r="AH262" s="102"/>
      <c r="AI262" s="102"/>
      <c r="AJ262" s="102"/>
      <c r="AK262" s="102"/>
      <c r="AL262" s="102"/>
      <c r="AM262" s="102"/>
      <c r="AN262" s="102"/>
      <c r="AO262" s="102"/>
      <c r="AP262" s="102"/>
      <c r="AQ262" s="102"/>
      <c r="AR262" s="102"/>
      <c r="AS262" s="102"/>
      <c r="AT262" s="102"/>
      <c r="AU262" s="102"/>
      <c r="AV262" s="102"/>
    </row>
    <row r="263" ht="12.75" customHeight="1">
      <c r="C263" s="400"/>
      <c r="D263" s="102"/>
      <c r="I263" s="102"/>
      <c r="J263" s="102"/>
      <c r="K263" s="102"/>
      <c r="L263" s="102"/>
      <c r="M263" s="102"/>
      <c r="N263" s="102"/>
      <c r="O263" s="102"/>
      <c r="P263" s="102"/>
      <c r="Q263" s="102"/>
      <c r="R263" s="102"/>
      <c r="S263" s="102"/>
      <c r="T263" s="102"/>
      <c r="U263" s="102"/>
      <c r="V263" s="102"/>
      <c r="W263" s="102"/>
      <c r="X263" s="102"/>
      <c r="Y263" s="102"/>
      <c r="Z263" s="102"/>
      <c r="AA263" s="102"/>
      <c r="AB263" s="102"/>
      <c r="AC263" s="102"/>
      <c r="AD263" s="102"/>
      <c r="AE263" s="102"/>
      <c r="AF263" s="102"/>
      <c r="AG263" s="102"/>
      <c r="AH263" s="102"/>
      <c r="AI263" s="102"/>
      <c r="AJ263" s="102"/>
      <c r="AK263" s="102"/>
      <c r="AL263" s="102"/>
      <c r="AM263" s="102"/>
      <c r="AN263" s="102"/>
      <c r="AO263" s="102"/>
      <c r="AP263" s="102"/>
      <c r="AQ263" s="102"/>
      <c r="AR263" s="102"/>
      <c r="AS263" s="102"/>
      <c r="AT263" s="102"/>
      <c r="AU263" s="102"/>
      <c r="AV263" s="102"/>
    </row>
    <row r="264" ht="12.75" customHeight="1">
      <c r="C264" s="400"/>
      <c r="D264" s="102"/>
      <c r="I264" s="102"/>
      <c r="J264" s="102"/>
      <c r="K264" s="102"/>
      <c r="L264" s="102"/>
      <c r="M264" s="102"/>
      <c r="N264" s="102"/>
      <c r="O264" s="102"/>
      <c r="P264" s="102"/>
      <c r="Q264" s="102"/>
      <c r="R264" s="102"/>
      <c r="S264" s="102"/>
      <c r="T264" s="102"/>
      <c r="U264" s="102"/>
      <c r="V264" s="102"/>
      <c r="W264" s="102"/>
      <c r="X264" s="102"/>
      <c r="Y264" s="102"/>
      <c r="Z264" s="102"/>
      <c r="AA264" s="102"/>
      <c r="AB264" s="102"/>
      <c r="AC264" s="102"/>
      <c r="AD264" s="102"/>
      <c r="AE264" s="102"/>
      <c r="AF264" s="102"/>
      <c r="AG264" s="102"/>
      <c r="AH264" s="102"/>
      <c r="AI264" s="102"/>
      <c r="AJ264" s="102"/>
      <c r="AK264" s="102"/>
      <c r="AL264" s="102"/>
      <c r="AM264" s="102"/>
      <c r="AN264" s="102"/>
      <c r="AO264" s="102"/>
      <c r="AP264" s="102"/>
      <c r="AQ264" s="102"/>
      <c r="AR264" s="102"/>
      <c r="AS264" s="102"/>
      <c r="AT264" s="102"/>
      <c r="AU264" s="102"/>
      <c r="AV264" s="102"/>
    </row>
    <row r="265" ht="12.75" customHeight="1">
      <c r="C265" s="400"/>
      <c r="D265" s="102"/>
      <c r="I265" s="102"/>
      <c r="J265" s="102"/>
      <c r="K265" s="102"/>
      <c r="L265" s="102"/>
      <c r="M265" s="102"/>
      <c r="N265" s="102"/>
      <c r="O265" s="102"/>
      <c r="P265" s="102"/>
      <c r="Q265" s="102"/>
      <c r="R265" s="102"/>
      <c r="S265" s="102"/>
      <c r="T265" s="102"/>
      <c r="U265" s="102"/>
      <c r="V265" s="102"/>
      <c r="W265" s="102"/>
      <c r="X265" s="102"/>
      <c r="Y265" s="102"/>
      <c r="Z265" s="102"/>
      <c r="AA265" s="102"/>
      <c r="AB265" s="102"/>
      <c r="AC265" s="102"/>
      <c r="AD265" s="102"/>
      <c r="AE265" s="102"/>
      <c r="AF265" s="102"/>
      <c r="AG265" s="102"/>
      <c r="AH265" s="102"/>
      <c r="AI265" s="102"/>
      <c r="AJ265" s="102"/>
      <c r="AK265" s="102"/>
      <c r="AL265" s="102"/>
      <c r="AM265" s="102"/>
      <c r="AN265" s="102"/>
      <c r="AO265" s="102"/>
      <c r="AP265" s="102"/>
      <c r="AQ265" s="102"/>
      <c r="AR265" s="102"/>
      <c r="AS265" s="102"/>
      <c r="AT265" s="102"/>
      <c r="AU265" s="102"/>
      <c r="AV265" s="102"/>
    </row>
    <row r="266" ht="12.75" customHeight="1">
      <c r="C266" s="400"/>
      <c r="D266" s="102"/>
      <c r="I266" s="102"/>
      <c r="J266" s="102"/>
      <c r="K266" s="102"/>
      <c r="L266" s="102"/>
      <c r="M266" s="102"/>
      <c r="N266" s="102"/>
      <c r="O266" s="102"/>
      <c r="P266" s="102"/>
      <c r="Q266" s="102"/>
      <c r="R266" s="102"/>
      <c r="S266" s="102"/>
      <c r="T266" s="102"/>
      <c r="U266" s="102"/>
      <c r="V266" s="102"/>
      <c r="W266" s="102"/>
      <c r="X266" s="102"/>
      <c r="Y266" s="102"/>
      <c r="Z266" s="102"/>
      <c r="AA266" s="102"/>
      <c r="AB266" s="102"/>
      <c r="AC266" s="102"/>
      <c r="AD266" s="102"/>
      <c r="AE266" s="102"/>
      <c r="AF266" s="102"/>
      <c r="AG266" s="102"/>
      <c r="AH266" s="102"/>
      <c r="AI266" s="102"/>
      <c r="AJ266" s="102"/>
      <c r="AK266" s="102"/>
      <c r="AL266" s="102"/>
      <c r="AM266" s="102"/>
      <c r="AN266" s="102"/>
      <c r="AO266" s="102"/>
      <c r="AP266" s="102"/>
      <c r="AQ266" s="102"/>
      <c r="AR266" s="102"/>
      <c r="AS266" s="102"/>
      <c r="AT266" s="102"/>
      <c r="AU266" s="102"/>
      <c r="AV266" s="102"/>
    </row>
    <row r="267" ht="12.75" customHeight="1">
      <c r="C267" s="400"/>
      <c r="D267" s="102"/>
      <c r="I267" s="102"/>
      <c r="J267" s="102"/>
      <c r="K267" s="102"/>
      <c r="L267" s="102"/>
      <c r="M267" s="102"/>
      <c r="N267" s="102"/>
      <c r="O267" s="102"/>
      <c r="P267" s="102"/>
      <c r="Q267" s="102"/>
      <c r="R267" s="102"/>
      <c r="S267" s="102"/>
      <c r="T267" s="102"/>
      <c r="U267" s="102"/>
      <c r="V267" s="102"/>
      <c r="W267" s="102"/>
      <c r="X267" s="102"/>
      <c r="Y267" s="102"/>
      <c r="Z267" s="102"/>
      <c r="AA267" s="102"/>
      <c r="AB267" s="102"/>
      <c r="AC267" s="102"/>
      <c r="AD267" s="102"/>
      <c r="AE267" s="102"/>
      <c r="AF267" s="102"/>
      <c r="AG267" s="102"/>
      <c r="AH267" s="102"/>
      <c r="AI267" s="102"/>
      <c r="AJ267" s="102"/>
      <c r="AK267" s="102"/>
      <c r="AL267" s="102"/>
      <c r="AM267" s="102"/>
      <c r="AN267" s="102"/>
      <c r="AO267" s="102"/>
      <c r="AP267" s="102"/>
      <c r="AQ267" s="102"/>
      <c r="AR267" s="102"/>
      <c r="AS267" s="102"/>
      <c r="AT267" s="102"/>
      <c r="AU267" s="102"/>
      <c r="AV267" s="102"/>
    </row>
    <row r="268" ht="12.75" customHeight="1">
      <c r="C268" s="400"/>
      <c r="D268" s="102"/>
      <c r="I268" s="102"/>
      <c r="J268" s="102"/>
      <c r="K268" s="102"/>
      <c r="L268" s="102"/>
      <c r="M268" s="102"/>
      <c r="N268" s="102"/>
      <c r="O268" s="102"/>
      <c r="P268" s="102"/>
      <c r="Q268" s="102"/>
      <c r="R268" s="102"/>
      <c r="S268" s="102"/>
      <c r="T268" s="102"/>
      <c r="U268" s="102"/>
      <c r="V268" s="102"/>
      <c r="W268" s="102"/>
      <c r="X268" s="102"/>
      <c r="Y268" s="102"/>
      <c r="Z268" s="102"/>
      <c r="AA268" s="102"/>
      <c r="AB268" s="102"/>
      <c r="AC268" s="102"/>
      <c r="AD268" s="102"/>
      <c r="AE268" s="102"/>
      <c r="AF268" s="102"/>
      <c r="AG268" s="102"/>
      <c r="AH268" s="102"/>
      <c r="AI268" s="102"/>
      <c r="AJ268" s="102"/>
      <c r="AK268" s="102"/>
      <c r="AL268" s="102"/>
      <c r="AM268" s="102"/>
      <c r="AN268" s="102"/>
      <c r="AO268" s="102"/>
      <c r="AP268" s="102"/>
      <c r="AQ268" s="102"/>
      <c r="AR268" s="102"/>
      <c r="AS268" s="102"/>
      <c r="AT268" s="102"/>
      <c r="AU268" s="102"/>
      <c r="AV268" s="102"/>
    </row>
    <row r="269" ht="12.75" customHeight="1">
      <c r="C269" s="400"/>
      <c r="D269" s="102"/>
      <c r="I269" s="102"/>
      <c r="J269" s="102"/>
      <c r="K269" s="102"/>
      <c r="L269" s="102"/>
      <c r="M269" s="102"/>
      <c r="N269" s="102"/>
      <c r="O269" s="102"/>
      <c r="P269" s="102"/>
      <c r="Q269" s="102"/>
      <c r="R269" s="102"/>
      <c r="S269" s="102"/>
      <c r="T269" s="102"/>
      <c r="U269" s="102"/>
      <c r="V269" s="102"/>
      <c r="W269" s="102"/>
      <c r="X269" s="102"/>
      <c r="Y269" s="102"/>
      <c r="Z269" s="102"/>
      <c r="AA269" s="102"/>
      <c r="AB269" s="102"/>
      <c r="AC269" s="102"/>
      <c r="AD269" s="102"/>
      <c r="AE269" s="102"/>
      <c r="AF269" s="102"/>
      <c r="AG269" s="102"/>
      <c r="AH269" s="102"/>
      <c r="AI269" s="102"/>
      <c r="AJ269" s="102"/>
      <c r="AK269" s="102"/>
      <c r="AL269" s="102"/>
      <c r="AM269" s="102"/>
      <c r="AN269" s="102"/>
      <c r="AO269" s="102"/>
      <c r="AP269" s="102"/>
      <c r="AQ269" s="102"/>
      <c r="AR269" s="102"/>
      <c r="AS269" s="102"/>
      <c r="AT269" s="102"/>
      <c r="AU269" s="102"/>
      <c r="AV269" s="102"/>
    </row>
    <row r="270" ht="12.75" customHeight="1">
      <c r="C270" s="400"/>
      <c r="D270" s="102"/>
      <c r="I270" s="102"/>
      <c r="J270" s="102"/>
      <c r="K270" s="102"/>
      <c r="L270" s="102"/>
      <c r="M270" s="102"/>
      <c r="N270" s="102"/>
      <c r="O270" s="102"/>
      <c r="P270" s="102"/>
      <c r="Q270" s="102"/>
      <c r="R270" s="102"/>
      <c r="S270" s="102"/>
      <c r="T270" s="102"/>
      <c r="U270" s="102"/>
      <c r="V270" s="102"/>
      <c r="W270" s="102"/>
      <c r="X270" s="102"/>
      <c r="Y270" s="102"/>
      <c r="Z270" s="102"/>
      <c r="AA270" s="102"/>
      <c r="AB270" s="102"/>
      <c r="AC270" s="102"/>
      <c r="AD270" s="102"/>
      <c r="AE270" s="102"/>
      <c r="AF270" s="102"/>
      <c r="AG270" s="102"/>
      <c r="AH270" s="102"/>
      <c r="AI270" s="102"/>
      <c r="AJ270" s="102"/>
      <c r="AK270" s="102"/>
      <c r="AL270" s="102"/>
      <c r="AM270" s="102"/>
      <c r="AN270" s="102"/>
      <c r="AO270" s="102"/>
      <c r="AP270" s="102"/>
      <c r="AQ270" s="102"/>
      <c r="AR270" s="102"/>
      <c r="AS270" s="102"/>
      <c r="AT270" s="102"/>
      <c r="AU270" s="102"/>
      <c r="AV270" s="102"/>
    </row>
    <row r="271" ht="12.75" customHeight="1">
      <c r="C271" s="400"/>
      <c r="D271" s="102"/>
      <c r="I271" s="102"/>
      <c r="J271" s="102"/>
      <c r="K271" s="102"/>
      <c r="L271" s="102"/>
      <c r="M271" s="102"/>
      <c r="N271" s="102"/>
      <c r="O271" s="102"/>
      <c r="P271" s="102"/>
      <c r="Q271" s="102"/>
      <c r="R271" s="102"/>
      <c r="S271" s="102"/>
      <c r="T271" s="102"/>
      <c r="U271" s="102"/>
      <c r="V271" s="102"/>
      <c r="W271" s="102"/>
      <c r="X271" s="102"/>
      <c r="Y271" s="102"/>
      <c r="Z271" s="102"/>
      <c r="AA271" s="102"/>
      <c r="AB271" s="102"/>
      <c r="AC271" s="102"/>
      <c r="AD271" s="102"/>
      <c r="AE271" s="102"/>
      <c r="AF271" s="102"/>
      <c r="AG271" s="102"/>
      <c r="AH271" s="102"/>
      <c r="AI271" s="102"/>
      <c r="AJ271" s="102"/>
      <c r="AK271" s="102"/>
      <c r="AL271" s="102"/>
      <c r="AM271" s="102"/>
      <c r="AN271" s="102"/>
      <c r="AO271" s="102"/>
      <c r="AP271" s="102"/>
      <c r="AQ271" s="102"/>
      <c r="AR271" s="102"/>
      <c r="AS271" s="102"/>
      <c r="AT271" s="102"/>
      <c r="AU271" s="102"/>
      <c r="AV271" s="102"/>
    </row>
    <row r="272" ht="12.75" customHeight="1">
      <c r="C272" s="400"/>
      <c r="D272" s="102"/>
      <c r="I272" s="102"/>
      <c r="J272" s="102"/>
      <c r="K272" s="102"/>
      <c r="L272" s="102"/>
      <c r="M272" s="102"/>
      <c r="N272" s="102"/>
      <c r="O272" s="102"/>
      <c r="P272" s="102"/>
      <c r="Q272" s="102"/>
      <c r="R272" s="102"/>
      <c r="S272" s="102"/>
      <c r="T272" s="102"/>
      <c r="U272" s="102"/>
      <c r="V272" s="102"/>
      <c r="W272" s="102"/>
      <c r="X272" s="102"/>
      <c r="Y272" s="102"/>
      <c r="Z272" s="102"/>
      <c r="AA272" s="102"/>
      <c r="AB272" s="102"/>
      <c r="AC272" s="102"/>
      <c r="AD272" s="102"/>
      <c r="AE272" s="102"/>
      <c r="AF272" s="102"/>
      <c r="AG272" s="102"/>
      <c r="AH272" s="102"/>
      <c r="AI272" s="102"/>
      <c r="AJ272" s="102"/>
      <c r="AK272" s="102"/>
      <c r="AL272" s="102"/>
      <c r="AM272" s="102"/>
      <c r="AN272" s="102"/>
      <c r="AO272" s="102"/>
      <c r="AP272" s="102"/>
      <c r="AQ272" s="102"/>
      <c r="AR272" s="102"/>
      <c r="AS272" s="102"/>
      <c r="AT272" s="102"/>
      <c r="AU272" s="102"/>
      <c r="AV272" s="102"/>
    </row>
    <row r="273" ht="12.75" customHeight="1">
      <c r="C273" s="400"/>
      <c r="D273" s="102"/>
      <c r="I273" s="102"/>
      <c r="J273" s="102"/>
      <c r="K273" s="102"/>
      <c r="L273" s="102"/>
      <c r="M273" s="102"/>
      <c r="N273" s="102"/>
      <c r="O273" s="102"/>
      <c r="P273" s="102"/>
      <c r="Q273" s="102"/>
      <c r="R273" s="102"/>
      <c r="S273" s="102"/>
      <c r="T273" s="102"/>
      <c r="U273" s="102"/>
      <c r="V273" s="102"/>
      <c r="W273" s="102"/>
      <c r="X273" s="102"/>
      <c r="Y273" s="102"/>
      <c r="Z273" s="102"/>
      <c r="AA273" s="102"/>
      <c r="AB273" s="102"/>
      <c r="AC273" s="102"/>
      <c r="AD273" s="102"/>
      <c r="AE273" s="102"/>
      <c r="AF273" s="102"/>
      <c r="AG273" s="102"/>
      <c r="AH273" s="102"/>
      <c r="AI273" s="102"/>
      <c r="AJ273" s="102"/>
      <c r="AK273" s="102"/>
      <c r="AL273" s="102"/>
      <c r="AM273" s="102"/>
      <c r="AN273" s="102"/>
      <c r="AO273" s="102"/>
      <c r="AP273" s="102"/>
      <c r="AQ273" s="102"/>
      <c r="AR273" s="102"/>
      <c r="AS273" s="102"/>
      <c r="AT273" s="102"/>
      <c r="AU273" s="102"/>
      <c r="AV273" s="102"/>
    </row>
    <row r="274" ht="12.75" customHeight="1">
      <c r="C274" s="400"/>
      <c r="D274" s="102"/>
      <c r="I274" s="102"/>
      <c r="J274" s="102"/>
      <c r="K274" s="102"/>
      <c r="L274" s="102"/>
      <c r="M274" s="102"/>
      <c r="N274" s="102"/>
      <c r="O274" s="102"/>
      <c r="P274" s="102"/>
      <c r="Q274" s="102"/>
      <c r="R274" s="102"/>
      <c r="S274" s="102"/>
      <c r="T274" s="102"/>
      <c r="U274" s="102"/>
      <c r="V274" s="102"/>
      <c r="W274" s="102"/>
      <c r="X274" s="102"/>
      <c r="Y274" s="102"/>
      <c r="Z274" s="102"/>
      <c r="AA274" s="102"/>
      <c r="AB274" s="102"/>
      <c r="AC274" s="102"/>
      <c r="AD274" s="102"/>
      <c r="AE274" s="102"/>
      <c r="AF274" s="102"/>
      <c r="AG274" s="102"/>
      <c r="AH274" s="102"/>
      <c r="AI274" s="102"/>
      <c r="AJ274" s="102"/>
      <c r="AK274" s="102"/>
      <c r="AL274" s="102"/>
      <c r="AM274" s="102"/>
      <c r="AN274" s="102"/>
      <c r="AO274" s="102"/>
      <c r="AP274" s="102"/>
      <c r="AQ274" s="102"/>
      <c r="AR274" s="102"/>
      <c r="AS274" s="102"/>
      <c r="AT274" s="102"/>
      <c r="AU274" s="102"/>
      <c r="AV274" s="102"/>
    </row>
    <row r="275" ht="12.75" customHeight="1">
      <c r="C275" s="400"/>
      <c r="D275" s="102"/>
      <c r="I275" s="102"/>
      <c r="J275" s="102"/>
      <c r="K275" s="102"/>
      <c r="L275" s="102"/>
      <c r="M275" s="102"/>
      <c r="N275" s="102"/>
      <c r="O275" s="102"/>
      <c r="P275" s="102"/>
      <c r="Q275" s="102"/>
      <c r="R275" s="102"/>
      <c r="S275" s="102"/>
      <c r="T275" s="102"/>
      <c r="U275" s="102"/>
      <c r="V275" s="102"/>
      <c r="W275" s="102"/>
      <c r="X275" s="102"/>
      <c r="Y275" s="102"/>
      <c r="Z275" s="102"/>
      <c r="AA275" s="102"/>
      <c r="AB275" s="102"/>
      <c r="AC275" s="102"/>
      <c r="AD275" s="102"/>
      <c r="AE275" s="102"/>
      <c r="AF275" s="102"/>
      <c r="AG275" s="102"/>
      <c r="AH275" s="102"/>
      <c r="AI275" s="102"/>
      <c r="AJ275" s="102"/>
      <c r="AK275" s="102"/>
      <c r="AL275" s="102"/>
      <c r="AM275" s="102"/>
      <c r="AN275" s="102"/>
      <c r="AO275" s="102"/>
      <c r="AP275" s="102"/>
      <c r="AQ275" s="102"/>
      <c r="AR275" s="102"/>
      <c r="AS275" s="102"/>
      <c r="AT275" s="102"/>
      <c r="AU275" s="102"/>
      <c r="AV275" s="102"/>
    </row>
    <row r="276" ht="12.75" customHeight="1">
      <c r="C276" s="400"/>
      <c r="D276" s="102"/>
      <c r="I276" s="102"/>
      <c r="J276" s="102"/>
      <c r="K276" s="102"/>
      <c r="L276" s="102"/>
      <c r="M276" s="102"/>
      <c r="N276" s="102"/>
      <c r="O276" s="102"/>
      <c r="P276" s="102"/>
      <c r="Q276" s="102"/>
      <c r="R276" s="102"/>
      <c r="S276" s="102"/>
      <c r="T276" s="102"/>
      <c r="U276" s="102"/>
      <c r="V276" s="102"/>
      <c r="W276" s="102"/>
      <c r="X276" s="102"/>
      <c r="Y276" s="102"/>
      <c r="Z276" s="102"/>
      <c r="AA276" s="102"/>
      <c r="AB276" s="102"/>
      <c r="AC276" s="102"/>
      <c r="AD276" s="102"/>
      <c r="AE276" s="102"/>
      <c r="AF276" s="102"/>
      <c r="AG276" s="102"/>
      <c r="AH276" s="102"/>
      <c r="AI276" s="102"/>
      <c r="AJ276" s="102"/>
      <c r="AK276" s="102"/>
      <c r="AL276" s="102"/>
      <c r="AM276" s="102"/>
      <c r="AN276" s="102"/>
      <c r="AO276" s="102"/>
      <c r="AP276" s="102"/>
      <c r="AQ276" s="102"/>
      <c r="AR276" s="102"/>
      <c r="AS276" s="102"/>
      <c r="AT276" s="102"/>
      <c r="AU276" s="102"/>
      <c r="AV276" s="102"/>
    </row>
    <row r="277" ht="12.75" customHeight="1">
      <c r="C277" s="400"/>
      <c r="D277" s="102"/>
      <c r="I277" s="102"/>
      <c r="J277" s="102"/>
      <c r="K277" s="102"/>
      <c r="L277" s="102"/>
      <c r="M277" s="102"/>
      <c r="N277" s="102"/>
      <c r="O277" s="102"/>
      <c r="P277" s="102"/>
      <c r="Q277" s="102"/>
      <c r="R277" s="102"/>
      <c r="S277" s="102"/>
      <c r="T277" s="102"/>
      <c r="U277" s="102"/>
      <c r="V277" s="102"/>
      <c r="W277" s="102"/>
      <c r="X277" s="102"/>
      <c r="Y277" s="102"/>
      <c r="Z277" s="102"/>
      <c r="AA277" s="102"/>
      <c r="AB277" s="102"/>
      <c r="AC277" s="102"/>
      <c r="AD277" s="102"/>
      <c r="AE277" s="102"/>
      <c r="AF277" s="102"/>
      <c r="AG277" s="102"/>
      <c r="AH277" s="102"/>
      <c r="AI277" s="102"/>
      <c r="AJ277" s="102"/>
      <c r="AK277" s="102"/>
      <c r="AL277" s="102"/>
      <c r="AM277" s="102"/>
      <c r="AN277" s="102"/>
      <c r="AO277" s="102"/>
      <c r="AP277" s="102"/>
      <c r="AQ277" s="102"/>
      <c r="AR277" s="102"/>
      <c r="AS277" s="102"/>
      <c r="AT277" s="102"/>
      <c r="AU277" s="102"/>
      <c r="AV277" s="102"/>
    </row>
    <row r="278" ht="12.75" customHeight="1">
      <c r="C278" s="400"/>
      <c r="D278" s="102"/>
      <c r="I278" s="102"/>
      <c r="J278" s="102"/>
      <c r="K278" s="102"/>
      <c r="L278" s="102"/>
      <c r="M278" s="102"/>
      <c r="N278" s="102"/>
      <c r="O278" s="102"/>
      <c r="P278" s="102"/>
      <c r="Q278" s="102"/>
      <c r="R278" s="102"/>
      <c r="S278" s="102"/>
      <c r="T278" s="102"/>
      <c r="U278" s="102"/>
      <c r="V278" s="102"/>
      <c r="W278" s="102"/>
      <c r="X278" s="102"/>
      <c r="Y278" s="102"/>
      <c r="Z278" s="102"/>
      <c r="AA278" s="102"/>
      <c r="AB278" s="102"/>
      <c r="AC278" s="102"/>
      <c r="AD278" s="102"/>
      <c r="AE278" s="102"/>
      <c r="AF278" s="102"/>
      <c r="AG278" s="102"/>
      <c r="AH278" s="102"/>
      <c r="AI278" s="102"/>
      <c r="AJ278" s="102"/>
      <c r="AK278" s="102"/>
      <c r="AL278" s="102"/>
      <c r="AM278" s="102"/>
      <c r="AN278" s="102"/>
      <c r="AO278" s="102"/>
      <c r="AP278" s="102"/>
      <c r="AQ278" s="102"/>
      <c r="AR278" s="102"/>
      <c r="AS278" s="102"/>
      <c r="AT278" s="102"/>
      <c r="AU278" s="102"/>
      <c r="AV278" s="102"/>
    </row>
    <row r="279" ht="12.75" customHeight="1">
      <c r="C279" s="400"/>
      <c r="D279" s="102"/>
      <c r="I279" s="102"/>
      <c r="J279" s="102"/>
      <c r="K279" s="102"/>
      <c r="L279" s="102"/>
      <c r="M279" s="102"/>
      <c r="N279" s="102"/>
      <c r="O279" s="102"/>
      <c r="P279" s="102"/>
      <c r="Q279" s="102"/>
      <c r="R279" s="102"/>
      <c r="S279" s="102"/>
      <c r="T279" s="102"/>
      <c r="U279" s="102"/>
      <c r="V279" s="102"/>
      <c r="W279" s="102"/>
      <c r="X279" s="102"/>
      <c r="Y279" s="102"/>
      <c r="Z279" s="102"/>
      <c r="AA279" s="102"/>
      <c r="AB279" s="102"/>
      <c r="AC279" s="102"/>
      <c r="AD279" s="102"/>
      <c r="AE279" s="102"/>
      <c r="AF279" s="102"/>
      <c r="AG279" s="102"/>
      <c r="AH279" s="102"/>
      <c r="AI279" s="102"/>
      <c r="AJ279" s="102"/>
      <c r="AK279" s="102"/>
      <c r="AL279" s="102"/>
      <c r="AM279" s="102"/>
      <c r="AN279" s="102"/>
      <c r="AO279" s="102"/>
      <c r="AP279" s="102"/>
      <c r="AQ279" s="102"/>
      <c r="AR279" s="102"/>
      <c r="AS279" s="102"/>
      <c r="AT279" s="102"/>
      <c r="AU279" s="102"/>
      <c r="AV279" s="102"/>
    </row>
    <row r="280" ht="12.75" customHeight="1">
      <c r="C280" s="400"/>
      <c r="D280" s="102"/>
      <c r="I280" s="102"/>
      <c r="J280" s="102"/>
      <c r="K280" s="102"/>
      <c r="L280" s="102"/>
      <c r="M280" s="102"/>
      <c r="N280" s="102"/>
      <c r="O280" s="102"/>
      <c r="P280" s="102"/>
      <c r="Q280" s="102"/>
      <c r="R280" s="102"/>
      <c r="S280" s="102"/>
      <c r="T280" s="102"/>
      <c r="U280" s="102"/>
      <c r="V280" s="102"/>
      <c r="W280" s="102"/>
      <c r="X280" s="102"/>
      <c r="Y280" s="102"/>
      <c r="Z280" s="102"/>
      <c r="AA280" s="102"/>
      <c r="AB280" s="102"/>
      <c r="AC280" s="102"/>
      <c r="AD280" s="102"/>
      <c r="AE280" s="102"/>
      <c r="AF280" s="102"/>
      <c r="AG280" s="102"/>
      <c r="AH280" s="102"/>
      <c r="AI280" s="102"/>
      <c r="AJ280" s="102"/>
      <c r="AK280" s="102"/>
      <c r="AL280" s="102"/>
      <c r="AM280" s="102"/>
      <c r="AN280" s="102"/>
      <c r="AO280" s="102"/>
      <c r="AP280" s="102"/>
      <c r="AQ280" s="102"/>
      <c r="AR280" s="102"/>
      <c r="AS280" s="102"/>
      <c r="AT280" s="102"/>
      <c r="AU280" s="102"/>
      <c r="AV280" s="102"/>
    </row>
    <row r="281" ht="12.75" customHeight="1">
      <c r="C281" s="400"/>
      <c r="D281" s="102"/>
      <c r="I281" s="102"/>
      <c r="J281" s="102"/>
      <c r="K281" s="102"/>
      <c r="L281" s="102"/>
      <c r="M281" s="102"/>
      <c r="N281" s="102"/>
      <c r="O281" s="102"/>
      <c r="P281" s="102"/>
      <c r="Q281" s="102"/>
      <c r="R281" s="102"/>
      <c r="S281" s="102"/>
      <c r="T281" s="102"/>
      <c r="U281" s="102"/>
      <c r="V281" s="102"/>
      <c r="W281" s="102"/>
      <c r="X281" s="102"/>
      <c r="Y281" s="102"/>
      <c r="Z281" s="102"/>
      <c r="AA281" s="102"/>
      <c r="AB281" s="102"/>
      <c r="AC281" s="102"/>
      <c r="AD281" s="102"/>
      <c r="AE281" s="102"/>
      <c r="AF281" s="102"/>
      <c r="AG281" s="102"/>
      <c r="AH281" s="102"/>
      <c r="AI281" s="102"/>
      <c r="AJ281" s="102"/>
      <c r="AK281" s="102"/>
      <c r="AL281" s="102"/>
      <c r="AM281" s="102"/>
      <c r="AN281" s="102"/>
      <c r="AO281" s="102"/>
      <c r="AP281" s="102"/>
      <c r="AQ281" s="102"/>
      <c r="AR281" s="102"/>
      <c r="AS281" s="102"/>
      <c r="AT281" s="102"/>
      <c r="AU281" s="102"/>
      <c r="AV281" s="102"/>
    </row>
    <row r="282" ht="12.75" customHeight="1">
      <c r="C282" s="400"/>
      <c r="D282" s="102"/>
      <c r="I282" s="102"/>
      <c r="J282" s="102"/>
      <c r="K282" s="102"/>
      <c r="L282" s="102"/>
      <c r="M282" s="102"/>
      <c r="N282" s="102"/>
      <c r="O282" s="102"/>
      <c r="P282" s="102"/>
      <c r="Q282" s="102"/>
      <c r="R282" s="102"/>
      <c r="S282" s="102"/>
      <c r="T282" s="102"/>
      <c r="U282" s="102"/>
      <c r="V282" s="102"/>
      <c r="W282" s="102"/>
      <c r="X282" s="102"/>
      <c r="Y282" s="102"/>
      <c r="Z282" s="102"/>
      <c r="AA282" s="102"/>
      <c r="AB282" s="102"/>
      <c r="AC282" s="102"/>
      <c r="AD282" s="102"/>
      <c r="AE282" s="102"/>
      <c r="AF282" s="102"/>
      <c r="AG282" s="102"/>
      <c r="AH282" s="102"/>
      <c r="AI282" s="102"/>
      <c r="AJ282" s="102"/>
      <c r="AK282" s="102"/>
      <c r="AL282" s="102"/>
      <c r="AM282" s="102"/>
      <c r="AN282" s="102"/>
      <c r="AO282" s="102"/>
      <c r="AP282" s="102"/>
      <c r="AQ282" s="102"/>
      <c r="AR282" s="102"/>
      <c r="AS282" s="102"/>
      <c r="AT282" s="102"/>
      <c r="AU282" s="102"/>
      <c r="AV282" s="102"/>
    </row>
    <row r="283" ht="12.75" customHeight="1">
      <c r="C283" s="400"/>
      <c r="D283" s="102"/>
      <c r="I283" s="102"/>
      <c r="J283" s="102"/>
      <c r="K283" s="102"/>
      <c r="L283" s="102"/>
      <c r="M283" s="102"/>
      <c r="N283" s="102"/>
      <c r="O283" s="102"/>
      <c r="P283" s="102"/>
      <c r="Q283" s="102"/>
      <c r="R283" s="102"/>
      <c r="S283" s="102"/>
      <c r="T283" s="102"/>
      <c r="U283" s="102"/>
      <c r="V283" s="102"/>
      <c r="W283" s="102"/>
      <c r="X283" s="102"/>
      <c r="Y283" s="102"/>
      <c r="Z283" s="102"/>
      <c r="AA283" s="102"/>
      <c r="AB283" s="102"/>
      <c r="AC283" s="102"/>
      <c r="AD283" s="102"/>
      <c r="AE283" s="102"/>
      <c r="AF283" s="102"/>
      <c r="AG283" s="102"/>
      <c r="AH283" s="102"/>
      <c r="AI283" s="102"/>
      <c r="AJ283" s="102"/>
      <c r="AK283" s="102"/>
      <c r="AL283" s="102"/>
      <c r="AM283" s="102"/>
      <c r="AN283" s="102"/>
      <c r="AO283" s="102"/>
      <c r="AP283" s="102"/>
      <c r="AQ283" s="102"/>
      <c r="AR283" s="102"/>
      <c r="AS283" s="102"/>
      <c r="AT283" s="102"/>
      <c r="AU283" s="102"/>
      <c r="AV283" s="102"/>
    </row>
    <row r="284" ht="12.75" customHeight="1">
      <c r="C284" s="400"/>
      <c r="D284" s="102"/>
      <c r="I284" s="102"/>
      <c r="J284" s="102"/>
      <c r="K284" s="102"/>
      <c r="L284" s="102"/>
      <c r="M284" s="102"/>
      <c r="N284" s="102"/>
      <c r="O284" s="102"/>
      <c r="P284" s="102"/>
      <c r="Q284" s="102"/>
      <c r="R284" s="102"/>
      <c r="S284" s="102"/>
      <c r="T284" s="102"/>
      <c r="U284" s="102"/>
      <c r="V284" s="102"/>
      <c r="W284" s="102"/>
      <c r="X284" s="102"/>
      <c r="Y284" s="102"/>
      <c r="Z284" s="102"/>
      <c r="AA284" s="102"/>
      <c r="AB284" s="102"/>
      <c r="AC284" s="102"/>
      <c r="AD284" s="102"/>
      <c r="AE284" s="102"/>
      <c r="AF284" s="102"/>
      <c r="AG284" s="102"/>
      <c r="AH284" s="102"/>
      <c r="AI284" s="102"/>
      <c r="AJ284" s="102"/>
      <c r="AK284" s="102"/>
      <c r="AL284" s="102"/>
      <c r="AM284" s="102"/>
      <c r="AN284" s="102"/>
      <c r="AO284" s="102"/>
      <c r="AP284" s="102"/>
      <c r="AQ284" s="102"/>
      <c r="AR284" s="102"/>
      <c r="AS284" s="102"/>
      <c r="AT284" s="102"/>
      <c r="AU284" s="102"/>
      <c r="AV284" s="102"/>
    </row>
    <row r="285" ht="12.75" customHeight="1">
      <c r="C285" s="400"/>
      <c r="D285" s="102"/>
      <c r="I285" s="102"/>
      <c r="J285" s="102"/>
      <c r="K285" s="102"/>
      <c r="L285" s="102"/>
      <c r="M285" s="102"/>
      <c r="N285" s="102"/>
      <c r="O285" s="102"/>
      <c r="P285" s="102"/>
      <c r="Q285" s="102"/>
      <c r="R285" s="102"/>
      <c r="S285" s="102"/>
      <c r="T285" s="102"/>
      <c r="U285" s="102"/>
      <c r="V285" s="102"/>
      <c r="W285" s="102"/>
      <c r="X285" s="102"/>
      <c r="Y285" s="102"/>
      <c r="Z285" s="102"/>
      <c r="AA285" s="102"/>
      <c r="AB285" s="102"/>
      <c r="AC285" s="102"/>
      <c r="AD285" s="102"/>
      <c r="AE285" s="102"/>
      <c r="AF285" s="102"/>
      <c r="AG285" s="102"/>
      <c r="AH285" s="102"/>
      <c r="AI285" s="102"/>
      <c r="AJ285" s="102"/>
      <c r="AK285" s="102"/>
      <c r="AL285" s="102"/>
      <c r="AM285" s="102"/>
      <c r="AN285" s="102"/>
      <c r="AO285" s="102"/>
      <c r="AP285" s="102"/>
      <c r="AQ285" s="102"/>
      <c r="AR285" s="102"/>
      <c r="AS285" s="102"/>
      <c r="AT285" s="102"/>
      <c r="AU285" s="102"/>
      <c r="AV285" s="102"/>
    </row>
    <row r="286" ht="12.75" customHeight="1">
      <c r="C286" s="400"/>
      <c r="D286" s="102"/>
      <c r="I286" s="102"/>
      <c r="J286" s="102"/>
      <c r="K286" s="102"/>
      <c r="L286" s="102"/>
      <c r="M286" s="102"/>
      <c r="N286" s="102"/>
      <c r="O286" s="102"/>
      <c r="P286" s="102"/>
      <c r="Q286" s="102"/>
      <c r="R286" s="102"/>
      <c r="S286" s="102"/>
      <c r="T286" s="102"/>
      <c r="U286" s="102"/>
      <c r="V286" s="102"/>
      <c r="W286" s="102"/>
      <c r="X286" s="102"/>
      <c r="Y286" s="102"/>
      <c r="Z286" s="102"/>
      <c r="AA286" s="102"/>
      <c r="AB286" s="102"/>
      <c r="AC286" s="102"/>
      <c r="AD286" s="102"/>
      <c r="AE286" s="102"/>
      <c r="AF286" s="102"/>
      <c r="AG286" s="102"/>
      <c r="AH286" s="102"/>
      <c r="AI286" s="102"/>
      <c r="AJ286" s="102"/>
      <c r="AK286" s="102"/>
      <c r="AL286" s="102"/>
      <c r="AM286" s="102"/>
      <c r="AN286" s="102"/>
      <c r="AO286" s="102"/>
      <c r="AP286" s="102"/>
      <c r="AQ286" s="102"/>
      <c r="AR286" s="102"/>
      <c r="AS286" s="102"/>
      <c r="AT286" s="102"/>
      <c r="AU286" s="102"/>
      <c r="AV286" s="102"/>
    </row>
    <row r="287" ht="12.75" customHeight="1">
      <c r="C287" s="400"/>
      <c r="D287" s="102"/>
      <c r="I287" s="102"/>
      <c r="J287" s="102"/>
      <c r="K287" s="102"/>
      <c r="L287" s="102"/>
      <c r="M287" s="102"/>
      <c r="N287" s="102"/>
      <c r="O287" s="102"/>
      <c r="P287" s="102"/>
      <c r="Q287" s="102"/>
      <c r="R287" s="102"/>
      <c r="S287" s="102"/>
      <c r="T287" s="102"/>
      <c r="U287" s="102"/>
      <c r="V287" s="102"/>
      <c r="W287" s="102"/>
      <c r="X287" s="102"/>
      <c r="Y287" s="102"/>
      <c r="Z287" s="102"/>
      <c r="AA287" s="102"/>
      <c r="AB287" s="102"/>
      <c r="AC287" s="102"/>
      <c r="AD287" s="102"/>
      <c r="AE287" s="102"/>
      <c r="AF287" s="102"/>
      <c r="AG287" s="102"/>
      <c r="AH287" s="102"/>
      <c r="AI287" s="102"/>
      <c r="AJ287" s="102"/>
      <c r="AK287" s="102"/>
      <c r="AL287" s="102"/>
      <c r="AM287" s="102"/>
      <c r="AN287" s="102"/>
      <c r="AO287" s="102"/>
      <c r="AP287" s="102"/>
      <c r="AQ287" s="102"/>
      <c r="AR287" s="102"/>
      <c r="AS287" s="102"/>
      <c r="AT287" s="102"/>
      <c r="AU287" s="102"/>
      <c r="AV287" s="102"/>
    </row>
    <row r="288" ht="12.75" customHeight="1">
      <c r="C288" s="400"/>
      <c r="D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102"/>
      <c r="AF288" s="102"/>
      <c r="AG288" s="102"/>
      <c r="AH288" s="102"/>
      <c r="AI288" s="102"/>
      <c r="AJ288" s="102"/>
      <c r="AK288" s="102"/>
      <c r="AL288" s="102"/>
      <c r="AM288" s="102"/>
      <c r="AN288" s="102"/>
      <c r="AO288" s="102"/>
      <c r="AP288" s="102"/>
      <c r="AQ288" s="102"/>
      <c r="AR288" s="102"/>
      <c r="AS288" s="102"/>
      <c r="AT288" s="102"/>
      <c r="AU288" s="102"/>
      <c r="AV288" s="102"/>
    </row>
    <row r="289" ht="12.75" customHeight="1">
      <c r="C289" s="400"/>
      <c r="D289" s="102"/>
      <c r="I289" s="102"/>
      <c r="J289" s="102"/>
      <c r="K289" s="102"/>
      <c r="L289" s="102"/>
      <c r="M289" s="102"/>
      <c r="N289" s="102"/>
      <c r="O289" s="102"/>
      <c r="P289" s="102"/>
      <c r="Q289" s="102"/>
      <c r="R289" s="102"/>
      <c r="S289" s="102"/>
      <c r="T289" s="102"/>
      <c r="U289" s="102"/>
      <c r="V289" s="102"/>
      <c r="W289" s="102"/>
      <c r="X289" s="102"/>
      <c r="Y289" s="102"/>
      <c r="Z289" s="102"/>
      <c r="AA289" s="102"/>
      <c r="AB289" s="102"/>
      <c r="AC289" s="102"/>
      <c r="AD289" s="102"/>
      <c r="AE289" s="102"/>
      <c r="AF289" s="102"/>
      <c r="AG289" s="102"/>
      <c r="AH289" s="102"/>
      <c r="AI289" s="102"/>
      <c r="AJ289" s="102"/>
      <c r="AK289" s="102"/>
      <c r="AL289" s="102"/>
      <c r="AM289" s="102"/>
      <c r="AN289" s="102"/>
      <c r="AO289" s="102"/>
      <c r="AP289" s="102"/>
      <c r="AQ289" s="102"/>
      <c r="AR289" s="102"/>
      <c r="AS289" s="102"/>
      <c r="AT289" s="102"/>
      <c r="AU289" s="102"/>
      <c r="AV289" s="102"/>
    </row>
    <row r="290" ht="12.75" customHeight="1">
      <c r="C290" s="400"/>
      <c r="D290" s="102"/>
      <c r="I290" s="102"/>
      <c r="J290" s="102"/>
      <c r="K290" s="102"/>
      <c r="L290" s="102"/>
      <c r="M290" s="102"/>
      <c r="N290" s="102"/>
      <c r="O290" s="102"/>
      <c r="P290" s="102"/>
      <c r="Q290" s="102"/>
      <c r="R290" s="102"/>
      <c r="S290" s="102"/>
      <c r="T290" s="102"/>
      <c r="U290" s="102"/>
      <c r="V290" s="102"/>
      <c r="W290" s="102"/>
      <c r="X290" s="102"/>
      <c r="Y290" s="102"/>
      <c r="Z290" s="102"/>
      <c r="AA290" s="102"/>
      <c r="AB290" s="102"/>
      <c r="AC290" s="102"/>
      <c r="AD290" s="102"/>
      <c r="AE290" s="102"/>
      <c r="AF290" s="102"/>
      <c r="AG290" s="102"/>
      <c r="AH290" s="102"/>
      <c r="AI290" s="102"/>
      <c r="AJ290" s="102"/>
      <c r="AK290" s="102"/>
      <c r="AL290" s="102"/>
      <c r="AM290" s="102"/>
      <c r="AN290" s="102"/>
      <c r="AO290" s="102"/>
      <c r="AP290" s="102"/>
      <c r="AQ290" s="102"/>
      <c r="AR290" s="102"/>
      <c r="AS290" s="102"/>
      <c r="AT290" s="102"/>
      <c r="AU290" s="102"/>
      <c r="AV290" s="102"/>
    </row>
    <row r="291" ht="12.75" customHeight="1">
      <c r="C291" s="400"/>
      <c r="D291" s="102"/>
      <c r="I291" s="102"/>
      <c r="J291" s="102"/>
      <c r="K291" s="102"/>
      <c r="L291" s="102"/>
      <c r="M291" s="102"/>
      <c r="N291" s="102"/>
      <c r="O291" s="102"/>
      <c r="P291" s="102"/>
      <c r="Q291" s="102"/>
      <c r="R291" s="102"/>
      <c r="S291" s="102"/>
      <c r="T291" s="102"/>
      <c r="U291" s="102"/>
      <c r="V291" s="102"/>
      <c r="W291" s="102"/>
      <c r="X291" s="102"/>
      <c r="Y291" s="102"/>
      <c r="Z291" s="102"/>
      <c r="AA291" s="102"/>
      <c r="AB291" s="102"/>
      <c r="AC291" s="102"/>
      <c r="AD291" s="102"/>
      <c r="AE291" s="102"/>
      <c r="AF291" s="102"/>
      <c r="AG291" s="102"/>
      <c r="AH291" s="102"/>
      <c r="AI291" s="102"/>
      <c r="AJ291" s="102"/>
      <c r="AK291" s="102"/>
      <c r="AL291" s="102"/>
      <c r="AM291" s="102"/>
      <c r="AN291" s="102"/>
      <c r="AO291" s="102"/>
      <c r="AP291" s="102"/>
      <c r="AQ291" s="102"/>
      <c r="AR291" s="102"/>
      <c r="AS291" s="102"/>
      <c r="AT291" s="102"/>
      <c r="AU291" s="102"/>
      <c r="AV291" s="102"/>
    </row>
    <row r="292" ht="12.75" customHeight="1">
      <c r="C292" s="400"/>
      <c r="D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102"/>
      <c r="AF292" s="102"/>
      <c r="AG292" s="102"/>
      <c r="AH292" s="102"/>
      <c r="AI292" s="102"/>
      <c r="AJ292" s="102"/>
      <c r="AK292" s="102"/>
      <c r="AL292" s="102"/>
      <c r="AM292" s="102"/>
      <c r="AN292" s="102"/>
      <c r="AO292" s="102"/>
      <c r="AP292" s="102"/>
      <c r="AQ292" s="102"/>
      <c r="AR292" s="102"/>
      <c r="AS292" s="102"/>
      <c r="AT292" s="102"/>
      <c r="AU292" s="102"/>
      <c r="AV292" s="102"/>
    </row>
    <row r="293" ht="12.75" customHeight="1">
      <c r="C293" s="400"/>
      <c r="D293" s="102"/>
      <c r="I293" s="102"/>
      <c r="J293" s="102"/>
      <c r="K293" s="102"/>
      <c r="L293" s="102"/>
      <c r="M293" s="102"/>
      <c r="N293" s="102"/>
      <c r="O293" s="102"/>
      <c r="P293" s="102"/>
      <c r="Q293" s="102"/>
      <c r="R293" s="102"/>
      <c r="S293" s="102"/>
      <c r="T293" s="102"/>
      <c r="U293" s="102"/>
      <c r="V293" s="102"/>
      <c r="W293" s="102"/>
      <c r="X293" s="102"/>
      <c r="Y293" s="102"/>
      <c r="Z293" s="102"/>
      <c r="AA293" s="102"/>
      <c r="AB293" s="102"/>
      <c r="AC293" s="102"/>
      <c r="AD293" s="102"/>
      <c r="AE293" s="102"/>
      <c r="AF293" s="102"/>
      <c r="AG293" s="102"/>
      <c r="AH293" s="102"/>
      <c r="AI293" s="102"/>
      <c r="AJ293" s="102"/>
      <c r="AK293" s="102"/>
      <c r="AL293" s="102"/>
      <c r="AM293" s="102"/>
      <c r="AN293" s="102"/>
      <c r="AO293" s="102"/>
      <c r="AP293" s="102"/>
      <c r="AQ293" s="102"/>
      <c r="AR293" s="102"/>
      <c r="AS293" s="102"/>
      <c r="AT293" s="102"/>
      <c r="AU293" s="102"/>
      <c r="AV293" s="102"/>
    </row>
    <row r="294" ht="12.75" customHeight="1">
      <c r="C294" s="400"/>
      <c r="D294" s="102"/>
      <c r="I294" s="102"/>
      <c r="J294" s="102"/>
      <c r="K294" s="102"/>
      <c r="L294" s="102"/>
      <c r="M294" s="102"/>
      <c r="N294" s="102"/>
      <c r="O294" s="102"/>
      <c r="P294" s="102"/>
      <c r="Q294" s="102"/>
      <c r="R294" s="102"/>
      <c r="S294" s="102"/>
      <c r="T294" s="102"/>
      <c r="U294" s="102"/>
      <c r="V294" s="102"/>
      <c r="W294" s="102"/>
      <c r="X294" s="102"/>
      <c r="Y294" s="102"/>
      <c r="Z294" s="102"/>
      <c r="AA294" s="102"/>
      <c r="AB294" s="102"/>
      <c r="AC294" s="102"/>
      <c r="AD294" s="102"/>
      <c r="AE294" s="102"/>
      <c r="AF294" s="102"/>
      <c r="AG294" s="102"/>
      <c r="AH294" s="102"/>
      <c r="AI294" s="102"/>
      <c r="AJ294" s="102"/>
      <c r="AK294" s="102"/>
      <c r="AL294" s="102"/>
      <c r="AM294" s="102"/>
      <c r="AN294" s="102"/>
      <c r="AO294" s="102"/>
      <c r="AP294" s="102"/>
      <c r="AQ294" s="102"/>
      <c r="AR294" s="102"/>
      <c r="AS294" s="102"/>
      <c r="AT294" s="102"/>
      <c r="AU294" s="102"/>
      <c r="AV294" s="102"/>
    </row>
    <row r="295" ht="12.75" customHeight="1">
      <c r="C295" s="400"/>
      <c r="D295" s="102"/>
      <c r="I295" s="102"/>
      <c r="J295" s="102"/>
      <c r="K295" s="102"/>
      <c r="L295" s="102"/>
      <c r="M295" s="102"/>
      <c r="N295" s="102"/>
      <c r="O295" s="102"/>
      <c r="P295" s="102"/>
      <c r="Q295" s="102"/>
      <c r="R295" s="102"/>
      <c r="S295" s="102"/>
      <c r="T295" s="102"/>
      <c r="U295" s="102"/>
      <c r="V295" s="102"/>
      <c r="W295" s="102"/>
      <c r="X295" s="102"/>
      <c r="Y295" s="102"/>
      <c r="Z295" s="102"/>
      <c r="AA295" s="102"/>
      <c r="AB295" s="102"/>
      <c r="AC295" s="102"/>
      <c r="AD295" s="102"/>
      <c r="AE295" s="102"/>
      <c r="AF295" s="102"/>
      <c r="AG295" s="102"/>
      <c r="AH295" s="102"/>
      <c r="AI295" s="102"/>
      <c r="AJ295" s="102"/>
      <c r="AK295" s="102"/>
      <c r="AL295" s="102"/>
      <c r="AM295" s="102"/>
      <c r="AN295" s="102"/>
      <c r="AO295" s="102"/>
      <c r="AP295" s="102"/>
      <c r="AQ295" s="102"/>
      <c r="AR295" s="102"/>
      <c r="AS295" s="102"/>
      <c r="AT295" s="102"/>
      <c r="AU295" s="102"/>
      <c r="AV295" s="102"/>
    </row>
    <row r="296" ht="12.75" customHeight="1">
      <c r="C296" s="400"/>
      <c r="D296" s="102"/>
      <c r="I296" s="102"/>
      <c r="J296" s="102"/>
      <c r="K296" s="102"/>
      <c r="L296" s="102"/>
      <c r="M296" s="102"/>
      <c r="N296" s="102"/>
      <c r="O296" s="102"/>
      <c r="P296" s="102"/>
      <c r="Q296" s="102"/>
      <c r="R296" s="102"/>
      <c r="S296" s="102"/>
      <c r="T296" s="102"/>
      <c r="U296" s="102"/>
      <c r="V296" s="102"/>
      <c r="W296" s="102"/>
      <c r="X296" s="102"/>
      <c r="Y296" s="102"/>
      <c r="Z296" s="102"/>
      <c r="AA296" s="102"/>
      <c r="AB296" s="102"/>
      <c r="AC296" s="102"/>
      <c r="AD296" s="102"/>
      <c r="AE296" s="102"/>
      <c r="AF296" s="102"/>
      <c r="AG296" s="102"/>
      <c r="AH296" s="102"/>
      <c r="AI296" s="102"/>
      <c r="AJ296" s="102"/>
      <c r="AK296" s="102"/>
      <c r="AL296" s="102"/>
      <c r="AM296" s="102"/>
      <c r="AN296" s="102"/>
      <c r="AO296" s="102"/>
      <c r="AP296" s="102"/>
      <c r="AQ296" s="102"/>
      <c r="AR296" s="102"/>
      <c r="AS296" s="102"/>
      <c r="AT296" s="102"/>
      <c r="AU296" s="102"/>
      <c r="AV296" s="102"/>
    </row>
    <row r="297" ht="12.75" customHeight="1">
      <c r="C297" s="400"/>
      <c r="D297" s="102"/>
      <c r="I297" s="102"/>
      <c r="J297" s="102"/>
      <c r="K297" s="102"/>
      <c r="L297" s="102"/>
      <c r="M297" s="102"/>
      <c r="N297" s="102"/>
      <c r="O297" s="102"/>
      <c r="P297" s="102"/>
      <c r="Q297" s="102"/>
      <c r="R297" s="102"/>
      <c r="S297" s="102"/>
      <c r="T297" s="102"/>
      <c r="U297" s="102"/>
      <c r="V297" s="102"/>
      <c r="W297" s="102"/>
      <c r="X297" s="102"/>
      <c r="Y297" s="102"/>
      <c r="Z297" s="102"/>
      <c r="AA297" s="102"/>
      <c r="AB297" s="102"/>
      <c r="AC297" s="102"/>
      <c r="AD297" s="102"/>
      <c r="AE297" s="102"/>
      <c r="AF297" s="102"/>
      <c r="AG297" s="102"/>
      <c r="AH297" s="102"/>
      <c r="AI297" s="102"/>
      <c r="AJ297" s="102"/>
      <c r="AK297" s="102"/>
      <c r="AL297" s="102"/>
      <c r="AM297" s="102"/>
      <c r="AN297" s="102"/>
      <c r="AO297" s="102"/>
      <c r="AP297" s="102"/>
      <c r="AQ297" s="102"/>
      <c r="AR297" s="102"/>
      <c r="AS297" s="102"/>
      <c r="AT297" s="102"/>
      <c r="AU297" s="102"/>
      <c r="AV297" s="102"/>
    </row>
    <row r="298" ht="12.75" customHeight="1">
      <c r="C298" s="400"/>
      <c r="D298" s="102"/>
      <c r="I298" s="102"/>
      <c r="J298" s="102"/>
      <c r="K298" s="102"/>
      <c r="L298" s="102"/>
      <c r="M298" s="102"/>
      <c r="N298" s="102"/>
      <c r="O298" s="102"/>
      <c r="P298" s="102"/>
      <c r="Q298" s="102"/>
      <c r="R298" s="102"/>
      <c r="S298" s="102"/>
      <c r="T298" s="102"/>
      <c r="U298" s="102"/>
      <c r="V298" s="102"/>
      <c r="W298" s="102"/>
      <c r="X298" s="102"/>
      <c r="Y298" s="102"/>
      <c r="Z298" s="102"/>
      <c r="AA298" s="102"/>
      <c r="AB298" s="102"/>
      <c r="AC298" s="102"/>
      <c r="AD298" s="102"/>
      <c r="AE298" s="102"/>
      <c r="AF298" s="102"/>
      <c r="AG298" s="102"/>
      <c r="AH298" s="102"/>
      <c r="AI298" s="102"/>
      <c r="AJ298" s="102"/>
      <c r="AK298" s="102"/>
      <c r="AL298" s="102"/>
      <c r="AM298" s="102"/>
      <c r="AN298" s="102"/>
      <c r="AO298" s="102"/>
      <c r="AP298" s="102"/>
      <c r="AQ298" s="102"/>
      <c r="AR298" s="102"/>
      <c r="AS298" s="102"/>
      <c r="AT298" s="102"/>
      <c r="AU298" s="102"/>
      <c r="AV298" s="102"/>
    </row>
    <row r="299" ht="12.75" customHeight="1">
      <c r="C299" s="400"/>
      <c r="D299" s="102"/>
      <c r="I299" s="102"/>
      <c r="J299" s="102"/>
      <c r="K299" s="102"/>
      <c r="L299" s="102"/>
      <c r="M299" s="102"/>
      <c r="N299" s="102"/>
      <c r="O299" s="102"/>
      <c r="P299" s="102"/>
      <c r="Q299" s="102"/>
      <c r="R299" s="102"/>
      <c r="S299" s="102"/>
      <c r="T299" s="102"/>
      <c r="U299" s="102"/>
      <c r="V299" s="102"/>
      <c r="W299" s="102"/>
      <c r="X299" s="102"/>
      <c r="Y299" s="102"/>
      <c r="Z299" s="102"/>
      <c r="AA299" s="102"/>
      <c r="AB299" s="102"/>
      <c r="AC299" s="102"/>
      <c r="AD299" s="102"/>
      <c r="AE299" s="102"/>
      <c r="AF299" s="102"/>
      <c r="AG299" s="102"/>
      <c r="AH299" s="102"/>
      <c r="AI299" s="102"/>
      <c r="AJ299" s="102"/>
      <c r="AK299" s="102"/>
      <c r="AL299" s="102"/>
      <c r="AM299" s="102"/>
      <c r="AN299" s="102"/>
      <c r="AO299" s="102"/>
      <c r="AP299" s="102"/>
      <c r="AQ299" s="102"/>
      <c r="AR299" s="102"/>
      <c r="AS299" s="102"/>
      <c r="AT299" s="102"/>
      <c r="AU299" s="102"/>
      <c r="AV299" s="102"/>
    </row>
    <row r="300" ht="12.75" customHeight="1">
      <c r="C300" s="400"/>
      <c r="D300" s="102"/>
      <c r="I300" s="102"/>
      <c r="J300" s="102"/>
      <c r="K300" s="102"/>
      <c r="L300" s="102"/>
      <c r="M300" s="102"/>
      <c r="N300" s="102"/>
      <c r="O300" s="102"/>
      <c r="P300" s="102"/>
      <c r="Q300" s="102"/>
      <c r="R300" s="102"/>
      <c r="S300" s="102"/>
      <c r="T300" s="102"/>
      <c r="U300" s="102"/>
      <c r="V300" s="102"/>
      <c r="W300" s="102"/>
      <c r="X300" s="102"/>
      <c r="Y300" s="102"/>
      <c r="Z300" s="102"/>
      <c r="AA300" s="102"/>
      <c r="AB300" s="102"/>
      <c r="AC300" s="102"/>
      <c r="AD300" s="102"/>
      <c r="AE300" s="102"/>
      <c r="AF300" s="102"/>
      <c r="AG300" s="102"/>
      <c r="AH300" s="102"/>
      <c r="AI300" s="102"/>
      <c r="AJ300" s="102"/>
      <c r="AK300" s="102"/>
      <c r="AL300" s="102"/>
      <c r="AM300" s="102"/>
      <c r="AN300" s="102"/>
      <c r="AO300" s="102"/>
      <c r="AP300" s="102"/>
      <c r="AQ300" s="102"/>
      <c r="AR300" s="102"/>
      <c r="AS300" s="102"/>
      <c r="AT300" s="102"/>
      <c r="AU300" s="102"/>
      <c r="AV300" s="102"/>
    </row>
    <row r="301" ht="12.75" customHeight="1">
      <c r="C301" s="400"/>
      <c r="D301" s="102"/>
      <c r="I301" s="102"/>
      <c r="J301" s="102"/>
      <c r="K301" s="102"/>
      <c r="L301" s="102"/>
      <c r="M301" s="102"/>
      <c r="N301" s="102"/>
      <c r="O301" s="102"/>
      <c r="P301" s="102"/>
      <c r="Q301" s="102"/>
      <c r="R301" s="102"/>
      <c r="S301" s="102"/>
      <c r="T301" s="102"/>
      <c r="U301" s="102"/>
      <c r="V301" s="102"/>
      <c r="W301" s="102"/>
      <c r="X301" s="102"/>
      <c r="Y301" s="102"/>
      <c r="Z301" s="102"/>
      <c r="AA301" s="102"/>
      <c r="AB301" s="102"/>
      <c r="AC301" s="102"/>
      <c r="AD301" s="102"/>
      <c r="AE301" s="102"/>
      <c r="AF301" s="102"/>
      <c r="AG301" s="102"/>
      <c r="AH301" s="102"/>
      <c r="AI301" s="102"/>
      <c r="AJ301" s="102"/>
      <c r="AK301" s="102"/>
      <c r="AL301" s="102"/>
      <c r="AM301" s="102"/>
      <c r="AN301" s="102"/>
      <c r="AO301" s="102"/>
      <c r="AP301" s="102"/>
      <c r="AQ301" s="102"/>
      <c r="AR301" s="102"/>
      <c r="AS301" s="102"/>
      <c r="AT301" s="102"/>
      <c r="AU301" s="102"/>
      <c r="AV301" s="102"/>
    </row>
    <row r="302" ht="12.75" customHeight="1">
      <c r="C302" s="400"/>
      <c r="D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102"/>
      <c r="AH302" s="102"/>
      <c r="AI302" s="102"/>
      <c r="AJ302" s="102"/>
      <c r="AK302" s="102"/>
      <c r="AL302" s="102"/>
      <c r="AM302" s="102"/>
      <c r="AN302" s="102"/>
      <c r="AO302" s="102"/>
      <c r="AP302" s="102"/>
      <c r="AQ302" s="102"/>
      <c r="AR302" s="102"/>
      <c r="AS302" s="102"/>
      <c r="AT302" s="102"/>
      <c r="AU302" s="102"/>
      <c r="AV302" s="102"/>
    </row>
    <row r="303" ht="12.75" customHeight="1">
      <c r="C303" s="400"/>
      <c r="D303" s="102"/>
      <c r="I303" s="102"/>
      <c r="J303" s="102"/>
      <c r="K303" s="102"/>
      <c r="L303" s="102"/>
      <c r="M303" s="102"/>
      <c r="N303" s="102"/>
      <c r="O303" s="102"/>
      <c r="P303" s="102"/>
      <c r="Q303" s="102"/>
      <c r="R303" s="102"/>
      <c r="S303" s="102"/>
      <c r="T303" s="102"/>
      <c r="U303" s="102"/>
      <c r="V303" s="102"/>
      <c r="W303" s="102"/>
      <c r="X303" s="102"/>
      <c r="Y303" s="102"/>
      <c r="Z303" s="102"/>
      <c r="AA303" s="102"/>
      <c r="AB303" s="102"/>
      <c r="AC303" s="102"/>
      <c r="AD303" s="102"/>
      <c r="AE303" s="102"/>
      <c r="AF303" s="102"/>
      <c r="AG303" s="102"/>
      <c r="AH303" s="102"/>
      <c r="AI303" s="102"/>
      <c r="AJ303" s="102"/>
      <c r="AK303" s="102"/>
      <c r="AL303" s="102"/>
      <c r="AM303" s="102"/>
      <c r="AN303" s="102"/>
      <c r="AO303" s="102"/>
      <c r="AP303" s="102"/>
      <c r="AQ303" s="102"/>
      <c r="AR303" s="102"/>
      <c r="AS303" s="102"/>
      <c r="AT303" s="102"/>
      <c r="AU303" s="102"/>
      <c r="AV303" s="102"/>
    </row>
    <row r="304" ht="12.75" customHeight="1">
      <c r="C304" s="400"/>
      <c r="D304" s="102"/>
      <c r="I304" s="102"/>
      <c r="J304" s="102"/>
      <c r="K304" s="102"/>
      <c r="L304" s="102"/>
      <c r="M304" s="102"/>
      <c r="N304" s="102"/>
      <c r="O304" s="102"/>
      <c r="P304" s="102"/>
      <c r="Q304" s="102"/>
      <c r="R304" s="102"/>
      <c r="S304" s="102"/>
      <c r="T304" s="102"/>
      <c r="U304" s="102"/>
      <c r="V304" s="102"/>
      <c r="W304" s="102"/>
      <c r="X304" s="102"/>
      <c r="Y304" s="102"/>
      <c r="Z304" s="102"/>
      <c r="AA304" s="102"/>
      <c r="AB304" s="102"/>
      <c r="AC304" s="102"/>
      <c r="AD304" s="102"/>
      <c r="AE304" s="102"/>
      <c r="AF304" s="102"/>
      <c r="AG304" s="102"/>
      <c r="AH304" s="102"/>
      <c r="AI304" s="102"/>
      <c r="AJ304" s="102"/>
      <c r="AK304" s="102"/>
      <c r="AL304" s="102"/>
      <c r="AM304" s="102"/>
      <c r="AN304" s="102"/>
      <c r="AO304" s="102"/>
      <c r="AP304" s="102"/>
      <c r="AQ304" s="102"/>
      <c r="AR304" s="102"/>
      <c r="AS304" s="102"/>
      <c r="AT304" s="102"/>
      <c r="AU304" s="102"/>
      <c r="AV304" s="102"/>
    </row>
    <row r="305" ht="12.75" customHeight="1">
      <c r="C305" s="400"/>
      <c r="D305" s="102"/>
      <c r="I305" s="102"/>
      <c r="J305" s="102"/>
      <c r="K305" s="102"/>
      <c r="L305" s="102"/>
      <c r="M305" s="102"/>
      <c r="N305" s="102"/>
      <c r="O305" s="102"/>
      <c r="P305" s="102"/>
      <c r="Q305" s="102"/>
      <c r="R305" s="102"/>
      <c r="S305" s="102"/>
      <c r="T305" s="102"/>
      <c r="U305" s="102"/>
      <c r="V305" s="102"/>
      <c r="W305" s="102"/>
      <c r="X305" s="102"/>
      <c r="Y305" s="102"/>
      <c r="Z305" s="102"/>
      <c r="AA305" s="102"/>
      <c r="AB305" s="102"/>
      <c r="AC305" s="102"/>
      <c r="AD305" s="102"/>
      <c r="AE305" s="102"/>
      <c r="AF305" s="102"/>
      <c r="AG305" s="102"/>
      <c r="AH305" s="102"/>
      <c r="AI305" s="102"/>
      <c r="AJ305" s="102"/>
      <c r="AK305" s="102"/>
      <c r="AL305" s="102"/>
      <c r="AM305" s="102"/>
      <c r="AN305" s="102"/>
      <c r="AO305" s="102"/>
      <c r="AP305" s="102"/>
      <c r="AQ305" s="102"/>
      <c r="AR305" s="102"/>
      <c r="AS305" s="102"/>
      <c r="AT305" s="102"/>
      <c r="AU305" s="102"/>
      <c r="AV305" s="102"/>
    </row>
    <row r="306" ht="12.75" customHeight="1">
      <c r="C306" s="400"/>
      <c r="D306" s="102"/>
      <c r="I306" s="102"/>
      <c r="J306" s="102"/>
      <c r="K306" s="102"/>
      <c r="L306" s="102"/>
      <c r="M306" s="102"/>
      <c r="N306" s="102"/>
      <c r="O306" s="102"/>
      <c r="P306" s="102"/>
      <c r="Q306" s="102"/>
      <c r="R306" s="102"/>
      <c r="S306" s="102"/>
      <c r="T306" s="102"/>
      <c r="U306" s="102"/>
      <c r="V306" s="102"/>
      <c r="W306" s="102"/>
      <c r="X306" s="102"/>
      <c r="Y306" s="102"/>
      <c r="Z306" s="102"/>
      <c r="AA306" s="102"/>
      <c r="AB306" s="102"/>
      <c r="AC306" s="102"/>
      <c r="AD306" s="102"/>
      <c r="AE306" s="102"/>
      <c r="AF306" s="102"/>
      <c r="AG306" s="102"/>
      <c r="AH306" s="102"/>
      <c r="AI306" s="102"/>
      <c r="AJ306" s="102"/>
      <c r="AK306" s="102"/>
      <c r="AL306" s="102"/>
      <c r="AM306" s="102"/>
      <c r="AN306" s="102"/>
      <c r="AO306" s="102"/>
      <c r="AP306" s="102"/>
      <c r="AQ306" s="102"/>
      <c r="AR306" s="102"/>
      <c r="AS306" s="102"/>
      <c r="AT306" s="102"/>
      <c r="AU306" s="102"/>
      <c r="AV306" s="102"/>
    </row>
    <row r="307" ht="12.75" customHeight="1">
      <c r="C307" s="400"/>
      <c r="D307" s="102"/>
      <c r="I307" s="102"/>
      <c r="J307" s="102"/>
      <c r="K307" s="102"/>
      <c r="L307" s="102"/>
      <c r="M307" s="102"/>
      <c r="N307" s="102"/>
      <c r="O307" s="102"/>
      <c r="P307" s="102"/>
      <c r="Q307" s="102"/>
      <c r="R307" s="102"/>
      <c r="S307" s="102"/>
      <c r="T307" s="102"/>
      <c r="U307" s="102"/>
      <c r="V307" s="102"/>
      <c r="W307" s="102"/>
      <c r="X307" s="102"/>
      <c r="Y307" s="102"/>
      <c r="Z307" s="102"/>
      <c r="AA307" s="102"/>
      <c r="AB307" s="102"/>
      <c r="AC307" s="102"/>
      <c r="AD307" s="102"/>
      <c r="AE307" s="102"/>
      <c r="AF307" s="102"/>
      <c r="AG307" s="102"/>
      <c r="AH307" s="102"/>
      <c r="AI307" s="102"/>
      <c r="AJ307" s="102"/>
      <c r="AK307" s="102"/>
      <c r="AL307" s="102"/>
      <c r="AM307" s="102"/>
      <c r="AN307" s="102"/>
      <c r="AO307" s="102"/>
      <c r="AP307" s="102"/>
      <c r="AQ307" s="102"/>
      <c r="AR307" s="102"/>
      <c r="AS307" s="102"/>
      <c r="AT307" s="102"/>
      <c r="AU307" s="102"/>
      <c r="AV307" s="102"/>
    </row>
    <row r="308" ht="12.75" customHeight="1">
      <c r="C308" s="400"/>
      <c r="D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02"/>
      <c r="AH308" s="102"/>
      <c r="AI308" s="102"/>
      <c r="AJ308" s="102"/>
      <c r="AK308" s="102"/>
      <c r="AL308" s="102"/>
      <c r="AM308" s="102"/>
      <c r="AN308" s="102"/>
      <c r="AO308" s="102"/>
      <c r="AP308" s="102"/>
      <c r="AQ308" s="102"/>
      <c r="AR308" s="102"/>
      <c r="AS308" s="102"/>
      <c r="AT308" s="102"/>
      <c r="AU308" s="102"/>
      <c r="AV308" s="102"/>
    </row>
    <row r="309" ht="12.75" customHeight="1">
      <c r="C309" s="400"/>
      <c r="D309" s="102"/>
      <c r="I309" s="102"/>
      <c r="J309" s="102"/>
      <c r="K309" s="102"/>
      <c r="L309" s="102"/>
      <c r="M309" s="102"/>
      <c r="N309" s="102"/>
      <c r="O309" s="102"/>
      <c r="P309" s="102"/>
      <c r="Q309" s="102"/>
      <c r="R309" s="102"/>
      <c r="S309" s="102"/>
      <c r="T309" s="102"/>
      <c r="U309" s="102"/>
      <c r="V309" s="102"/>
      <c r="W309" s="102"/>
      <c r="X309" s="102"/>
      <c r="Y309" s="102"/>
      <c r="Z309" s="102"/>
      <c r="AA309" s="102"/>
      <c r="AB309" s="102"/>
      <c r="AC309" s="102"/>
      <c r="AD309" s="102"/>
      <c r="AE309" s="102"/>
      <c r="AF309" s="102"/>
      <c r="AG309" s="102"/>
      <c r="AH309" s="102"/>
      <c r="AI309" s="102"/>
      <c r="AJ309" s="102"/>
      <c r="AK309" s="102"/>
      <c r="AL309" s="102"/>
      <c r="AM309" s="102"/>
      <c r="AN309" s="102"/>
      <c r="AO309" s="102"/>
      <c r="AP309" s="102"/>
      <c r="AQ309" s="102"/>
      <c r="AR309" s="102"/>
      <c r="AS309" s="102"/>
      <c r="AT309" s="102"/>
      <c r="AU309" s="102"/>
      <c r="AV309" s="102"/>
    </row>
    <row r="310" ht="12.75" customHeight="1">
      <c r="C310" s="400"/>
      <c r="D310" s="102"/>
      <c r="I310" s="102"/>
      <c r="J310" s="102"/>
      <c r="K310" s="102"/>
      <c r="L310" s="102"/>
      <c r="M310" s="102"/>
      <c r="N310" s="102"/>
      <c r="O310" s="102"/>
      <c r="P310" s="102"/>
      <c r="Q310" s="102"/>
      <c r="R310" s="102"/>
      <c r="S310" s="102"/>
      <c r="T310" s="102"/>
      <c r="U310" s="102"/>
      <c r="V310" s="102"/>
      <c r="W310" s="102"/>
      <c r="X310" s="102"/>
      <c r="Y310" s="102"/>
      <c r="Z310" s="102"/>
      <c r="AA310" s="102"/>
      <c r="AB310" s="102"/>
      <c r="AC310" s="102"/>
      <c r="AD310" s="102"/>
      <c r="AE310" s="102"/>
      <c r="AF310" s="102"/>
      <c r="AG310" s="102"/>
      <c r="AH310" s="102"/>
      <c r="AI310" s="102"/>
      <c r="AJ310" s="102"/>
      <c r="AK310" s="102"/>
      <c r="AL310" s="102"/>
      <c r="AM310" s="102"/>
      <c r="AN310" s="102"/>
      <c r="AO310" s="102"/>
      <c r="AP310" s="102"/>
      <c r="AQ310" s="102"/>
      <c r="AR310" s="102"/>
      <c r="AS310" s="102"/>
      <c r="AT310" s="102"/>
      <c r="AU310" s="102"/>
      <c r="AV310" s="102"/>
    </row>
    <row r="311" ht="12.75" customHeight="1">
      <c r="C311" s="400"/>
      <c r="D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102"/>
      <c r="AH311" s="102"/>
      <c r="AI311" s="102"/>
      <c r="AJ311" s="102"/>
      <c r="AK311" s="102"/>
      <c r="AL311" s="102"/>
      <c r="AM311" s="102"/>
      <c r="AN311" s="102"/>
      <c r="AO311" s="102"/>
      <c r="AP311" s="102"/>
      <c r="AQ311" s="102"/>
      <c r="AR311" s="102"/>
      <c r="AS311" s="102"/>
      <c r="AT311" s="102"/>
      <c r="AU311" s="102"/>
      <c r="AV311" s="102"/>
    </row>
    <row r="312" ht="12.75" customHeight="1">
      <c r="C312" s="400"/>
      <c r="D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102"/>
      <c r="AH312" s="102"/>
      <c r="AI312" s="102"/>
      <c r="AJ312" s="102"/>
      <c r="AK312" s="102"/>
      <c r="AL312" s="102"/>
      <c r="AM312" s="102"/>
      <c r="AN312" s="102"/>
      <c r="AO312" s="102"/>
      <c r="AP312" s="102"/>
      <c r="AQ312" s="102"/>
      <c r="AR312" s="102"/>
      <c r="AS312" s="102"/>
      <c r="AT312" s="102"/>
      <c r="AU312" s="102"/>
      <c r="AV312" s="102"/>
    </row>
    <row r="313" ht="12.75" customHeight="1">
      <c r="C313" s="400"/>
      <c r="D313" s="102"/>
      <c r="I313" s="102"/>
      <c r="J313" s="102"/>
      <c r="K313" s="102"/>
      <c r="L313" s="102"/>
      <c r="M313" s="102"/>
      <c r="N313" s="102"/>
      <c r="O313" s="102"/>
      <c r="P313" s="102"/>
      <c r="Q313" s="102"/>
      <c r="R313" s="102"/>
      <c r="S313" s="102"/>
      <c r="T313" s="102"/>
      <c r="U313" s="102"/>
      <c r="V313" s="102"/>
      <c r="W313" s="102"/>
      <c r="X313" s="102"/>
      <c r="Y313" s="102"/>
      <c r="Z313" s="102"/>
      <c r="AA313" s="102"/>
      <c r="AB313" s="102"/>
      <c r="AC313" s="102"/>
      <c r="AD313" s="102"/>
      <c r="AE313" s="102"/>
      <c r="AF313" s="102"/>
      <c r="AG313" s="102"/>
      <c r="AH313" s="102"/>
      <c r="AI313" s="102"/>
      <c r="AJ313" s="102"/>
      <c r="AK313" s="102"/>
      <c r="AL313" s="102"/>
      <c r="AM313" s="102"/>
      <c r="AN313" s="102"/>
      <c r="AO313" s="102"/>
      <c r="AP313" s="102"/>
      <c r="AQ313" s="102"/>
      <c r="AR313" s="102"/>
      <c r="AS313" s="102"/>
      <c r="AT313" s="102"/>
      <c r="AU313" s="102"/>
      <c r="AV313" s="102"/>
    </row>
    <row r="314" ht="12.75" customHeight="1">
      <c r="C314" s="400"/>
      <c r="D314" s="102"/>
      <c r="I314" s="102"/>
      <c r="J314" s="102"/>
      <c r="K314" s="102"/>
      <c r="L314" s="102"/>
      <c r="M314" s="102"/>
      <c r="N314" s="102"/>
      <c r="O314" s="102"/>
      <c r="P314" s="102"/>
      <c r="Q314" s="102"/>
      <c r="R314" s="102"/>
      <c r="S314" s="102"/>
      <c r="T314" s="102"/>
      <c r="U314" s="102"/>
      <c r="V314" s="102"/>
      <c r="W314" s="102"/>
      <c r="X314" s="102"/>
      <c r="Y314" s="102"/>
      <c r="Z314" s="102"/>
      <c r="AA314" s="102"/>
      <c r="AB314" s="102"/>
      <c r="AC314" s="102"/>
      <c r="AD314" s="102"/>
      <c r="AE314" s="102"/>
      <c r="AF314" s="102"/>
      <c r="AG314" s="102"/>
      <c r="AH314" s="102"/>
      <c r="AI314" s="102"/>
      <c r="AJ314" s="102"/>
      <c r="AK314" s="102"/>
      <c r="AL314" s="102"/>
      <c r="AM314" s="102"/>
      <c r="AN314" s="102"/>
      <c r="AO314" s="102"/>
      <c r="AP314" s="102"/>
      <c r="AQ314" s="102"/>
      <c r="AR314" s="102"/>
      <c r="AS314" s="102"/>
      <c r="AT314" s="102"/>
      <c r="AU314" s="102"/>
      <c r="AV314" s="102"/>
    </row>
    <row r="315" ht="12.75" customHeight="1">
      <c r="C315" s="400"/>
      <c r="D315" s="102"/>
      <c r="I315" s="102"/>
      <c r="J315" s="102"/>
      <c r="K315" s="102"/>
      <c r="L315" s="102"/>
      <c r="M315" s="102"/>
      <c r="N315" s="102"/>
      <c r="O315" s="102"/>
      <c r="P315" s="102"/>
      <c r="Q315" s="102"/>
      <c r="R315" s="102"/>
      <c r="S315" s="102"/>
      <c r="T315" s="102"/>
      <c r="U315" s="102"/>
      <c r="V315" s="102"/>
      <c r="W315" s="102"/>
      <c r="X315" s="102"/>
      <c r="Y315" s="102"/>
      <c r="Z315" s="102"/>
      <c r="AA315" s="102"/>
      <c r="AB315" s="102"/>
      <c r="AC315" s="102"/>
      <c r="AD315" s="102"/>
      <c r="AE315" s="102"/>
      <c r="AF315" s="102"/>
      <c r="AG315" s="102"/>
      <c r="AH315" s="102"/>
      <c r="AI315" s="102"/>
      <c r="AJ315" s="102"/>
      <c r="AK315" s="102"/>
      <c r="AL315" s="102"/>
      <c r="AM315" s="102"/>
      <c r="AN315" s="102"/>
      <c r="AO315" s="102"/>
      <c r="AP315" s="102"/>
      <c r="AQ315" s="102"/>
      <c r="AR315" s="102"/>
      <c r="AS315" s="102"/>
      <c r="AT315" s="102"/>
      <c r="AU315" s="102"/>
      <c r="AV315" s="102"/>
    </row>
    <row r="316" ht="12.75" customHeight="1">
      <c r="C316" s="400"/>
      <c r="D316" s="102"/>
      <c r="I316" s="102"/>
      <c r="J316" s="102"/>
      <c r="K316" s="102"/>
      <c r="L316" s="102"/>
      <c r="M316" s="102"/>
      <c r="N316" s="102"/>
      <c r="O316" s="102"/>
      <c r="P316" s="102"/>
      <c r="Q316" s="102"/>
      <c r="R316" s="102"/>
      <c r="S316" s="102"/>
      <c r="T316" s="102"/>
      <c r="U316" s="102"/>
      <c r="V316" s="102"/>
      <c r="W316" s="102"/>
      <c r="X316" s="102"/>
      <c r="Y316" s="102"/>
      <c r="Z316" s="102"/>
      <c r="AA316" s="102"/>
      <c r="AB316" s="102"/>
      <c r="AC316" s="102"/>
      <c r="AD316" s="102"/>
      <c r="AE316" s="102"/>
      <c r="AF316" s="102"/>
      <c r="AG316" s="102"/>
      <c r="AH316" s="102"/>
      <c r="AI316" s="102"/>
      <c r="AJ316" s="102"/>
      <c r="AK316" s="102"/>
      <c r="AL316" s="102"/>
      <c r="AM316" s="102"/>
      <c r="AN316" s="102"/>
      <c r="AO316" s="102"/>
      <c r="AP316" s="102"/>
      <c r="AQ316" s="102"/>
      <c r="AR316" s="102"/>
      <c r="AS316" s="102"/>
      <c r="AT316" s="102"/>
      <c r="AU316" s="102"/>
      <c r="AV316" s="102"/>
    </row>
    <row r="317" ht="12.75" customHeight="1">
      <c r="C317" s="400"/>
      <c r="D317" s="102"/>
      <c r="I317" s="102"/>
      <c r="J317" s="102"/>
      <c r="K317" s="102"/>
      <c r="L317" s="102"/>
      <c r="M317" s="102"/>
      <c r="N317" s="102"/>
      <c r="O317" s="102"/>
      <c r="P317" s="102"/>
      <c r="Q317" s="102"/>
      <c r="R317" s="102"/>
      <c r="S317" s="102"/>
      <c r="T317" s="102"/>
      <c r="U317" s="102"/>
      <c r="V317" s="102"/>
      <c r="W317" s="102"/>
      <c r="X317" s="102"/>
      <c r="Y317" s="102"/>
      <c r="Z317" s="102"/>
      <c r="AA317" s="102"/>
      <c r="AB317" s="102"/>
      <c r="AC317" s="102"/>
      <c r="AD317" s="102"/>
      <c r="AE317" s="102"/>
      <c r="AF317" s="102"/>
      <c r="AG317" s="102"/>
      <c r="AH317" s="102"/>
      <c r="AI317" s="102"/>
      <c r="AJ317" s="102"/>
      <c r="AK317" s="102"/>
      <c r="AL317" s="102"/>
      <c r="AM317" s="102"/>
      <c r="AN317" s="102"/>
      <c r="AO317" s="102"/>
      <c r="AP317" s="102"/>
      <c r="AQ317" s="102"/>
      <c r="AR317" s="102"/>
      <c r="AS317" s="102"/>
      <c r="AT317" s="102"/>
      <c r="AU317" s="102"/>
      <c r="AV317" s="102"/>
    </row>
    <row r="318" ht="12.75" customHeight="1">
      <c r="C318" s="400"/>
      <c r="D318" s="102"/>
      <c r="I318" s="102"/>
      <c r="J318" s="102"/>
      <c r="K318" s="102"/>
      <c r="L318" s="102"/>
      <c r="M318" s="102"/>
      <c r="N318" s="102"/>
      <c r="O318" s="102"/>
      <c r="P318" s="102"/>
      <c r="Q318" s="102"/>
      <c r="R318" s="102"/>
      <c r="S318" s="102"/>
      <c r="T318" s="102"/>
      <c r="U318" s="102"/>
      <c r="V318" s="102"/>
      <c r="W318" s="102"/>
      <c r="X318" s="102"/>
      <c r="Y318" s="102"/>
      <c r="Z318" s="102"/>
      <c r="AA318" s="102"/>
      <c r="AB318" s="102"/>
      <c r="AC318" s="102"/>
      <c r="AD318" s="102"/>
      <c r="AE318" s="102"/>
      <c r="AF318" s="102"/>
      <c r="AG318" s="102"/>
      <c r="AH318" s="102"/>
      <c r="AI318" s="102"/>
      <c r="AJ318" s="102"/>
      <c r="AK318" s="102"/>
      <c r="AL318" s="102"/>
      <c r="AM318" s="102"/>
      <c r="AN318" s="102"/>
      <c r="AO318" s="102"/>
      <c r="AP318" s="102"/>
      <c r="AQ318" s="102"/>
      <c r="AR318" s="102"/>
      <c r="AS318" s="102"/>
      <c r="AT318" s="102"/>
      <c r="AU318" s="102"/>
      <c r="AV318" s="102"/>
    </row>
    <row r="319" ht="12.75" customHeight="1">
      <c r="C319" s="400"/>
      <c r="D319" s="102"/>
      <c r="I319" s="102"/>
      <c r="J319" s="102"/>
      <c r="K319" s="102"/>
      <c r="L319" s="102"/>
      <c r="M319" s="102"/>
      <c r="N319" s="102"/>
      <c r="O319" s="102"/>
      <c r="P319" s="102"/>
      <c r="Q319" s="102"/>
      <c r="R319" s="102"/>
      <c r="S319" s="102"/>
      <c r="T319" s="102"/>
      <c r="U319" s="102"/>
      <c r="V319" s="102"/>
      <c r="W319" s="102"/>
      <c r="X319" s="102"/>
      <c r="Y319" s="102"/>
      <c r="Z319" s="102"/>
      <c r="AA319" s="102"/>
      <c r="AB319" s="102"/>
      <c r="AC319" s="102"/>
      <c r="AD319" s="102"/>
      <c r="AE319" s="102"/>
      <c r="AF319" s="102"/>
      <c r="AG319" s="102"/>
      <c r="AH319" s="102"/>
      <c r="AI319" s="102"/>
      <c r="AJ319" s="102"/>
      <c r="AK319" s="102"/>
      <c r="AL319" s="102"/>
      <c r="AM319" s="102"/>
      <c r="AN319" s="102"/>
      <c r="AO319" s="102"/>
      <c r="AP319" s="102"/>
      <c r="AQ319" s="102"/>
      <c r="AR319" s="102"/>
      <c r="AS319" s="102"/>
      <c r="AT319" s="102"/>
      <c r="AU319" s="102"/>
      <c r="AV319" s="102"/>
    </row>
    <row r="320" ht="12.75" customHeight="1">
      <c r="C320" s="400"/>
      <c r="D320" s="102"/>
      <c r="I320" s="102"/>
      <c r="J320" s="102"/>
      <c r="K320" s="102"/>
      <c r="L320" s="102"/>
      <c r="M320" s="102"/>
      <c r="N320" s="102"/>
      <c r="O320" s="102"/>
      <c r="P320" s="102"/>
      <c r="Q320" s="102"/>
      <c r="R320" s="102"/>
      <c r="S320" s="102"/>
      <c r="T320" s="102"/>
      <c r="U320" s="102"/>
      <c r="V320" s="102"/>
      <c r="W320" s="102"/>
      <c r="X320" s="102"/>
      <c r="Y320" s="102"/>
      <c r="Z320" s="102"/>
      <c r="AA320" s="102"/>
      <c r="AB320" s="102"/>
      <c r="AC320" s="102"/>
      <c r="AD320" s="102"/>
      <c r="AE320" s="102"/>
      <c r="AF320" s="102"/>
      <c r="AG320" s="102"/>
      <c r="AH320" s="102"/>
      <c r="AI320" s="102"/>
      <c r="AJ320" s="102"/>
      <c r="AK320" s="102"/>
      <c r="AL320" s="102"/>
      <c r="AM320" s="102"/>
      <c r="AN320" s="102"/>
      <c r="AO320" s="102"/>
      <c r="AP320" s="102"/>
      <c r="AQ320" s="102"/>
      <c r="AR320" s="102"/>
      <c r="AS320" s="102"/>
      <c r="AT320" s="102"/>
      <c r="AU320" s="102"/>
      <c r="AV320" s="102"/>
    </row>
    <row r="321" ht="12.75" customHeight="1">
      <c r="C321" s="400"/>
      <c r="D321" s="102"/>
      <c r="I321" s="102"/>
      <c r="J321" s="102"/>
      <c r="K321" s="102"/>
      <c r="L321" s="102"/>
      <c r="M321" s="102"/>
      <c r="N321" s="102"/>
      <c r="O321" s="102"/>
      <c r="P321" s="102"/>
      <c r="Q321" s="102"/>
      <c r="R321" s="102"/>
      <c r="S321" s="102"/>
      <c r="T321" s="102"/>
      <c r="U321" s="102"/>
      <c r="V321" s="102"/>
      <c r="W321" s="102"/>
      <c r="X321" s="102"/>
      <c r="Y321" s="102"/>
      <c r="Z321" s="102"/>
      <c r="AA321" s="102"/>
      <c r="AB321" s="102"/>
      <c r="AC321" s="102"/>
      <c r="AD321" s="102"/>
      <c r="AE321" s="102"/>
      <c r="AF321" s="102"/>
      <c r="AG321" s="102"/>
      <c r="AH321" s="102"/>
      <c r="AI321" s="102"/>
      <c r="AJ321" s="102"/>
      <c r="AK321" s="102"/>
      <c r="AL321" s="102"/>
      <c r="AM321" s="102"/>
      <c r="AN321" s="102"/>
      <c r="AO321" s="102"/>
      <c r="AP321" s="102"/>
      <c r="AQ321" s="102"/>
      <c r="AR321" s="102"/>
      <c r="AS321" s="102"/>
      <c r="AT321" s="102"/>
      <c r="AU321" s="102"/>
      <c r="AV321" s="102"/>
    </row>
    <row r="322" ht="12.75" customHeight="1">
      <c r="C322" s="400"/>
      <c r="D322" s="102"/>
      <c r="I322" s="102"/>
      <c r="J322" s="102"/>
      <c r="K322" s="102"/>
      <c r="L322" s="102"/>
      <c r="M322" s="102"/>
      <c r="N322" s="102"/>
      <c r="O322" s="102"/>
      <c r="P322" s="102"/>
      <c r="Q322" s="102"/>
      <c r="R322" s="102"/>
      <c r="S322" s="102"/>
      <c r="T322" s="102"/>
      <c r="U322" s="102"/>
      <c r="V322" s="102"/>
      <c r="W322" s="102"/>
      <c r="X322" s="102"/>
      <c r="Y322" s="102"/>
      <c r="Z322" s="102"/>
      <c r="AA322" s="102"/>
      <c r="AB322" s="102"/>
      <c r="AC322" s="102"/>
      <c r="AD322" s="102"/>
      <c r="AE322" s="102"/>
      <c r="AF322" s="102"/>
      <c r="AG322" s="102"/>
      <c r="AH322" s="102"/>
      <c r="AI322" s="102"/>
      <c r="AJ322" s="102"/>
      <c r="AK322" s="102"/>
      <c r="AL322" s="102"/>
      <c r="AM322" s="102"/>
      <c r="AN322" s="102"/>
      <c r="AO322" s="102"/>
      <c r="AP322" s="102"/>
      <c r="AQ322" s="102"/>
      <c r="AR322" s="102"/>
      <c r="AS322" s="102"/>
      <c r="AT322" s="102"/>
      <c r="AU322" s="102"/>
      <c r="AV322" s="102"/>
    </row>
    <row r="323" ht="12.75" customHeight="1">
      <c r="C323" s="400"/>
      <c r="D323" s="102"/>
      <c r="I323" s="102"/>
      <c r="J323" s="102"/>
      <c r="K323" s="102"/>
      <c r="L323" s="102"/>
      <c r="M323" s="102"/>
      <c r="N323" s="102"/>
      <c r="O323" s="102"/>
      <c r="P323" s="102"/>
      <c r="Q323" s="102"/>
      <c r="R323" s="102"/>
      <c r="S323" s="102"/>
      <c r="T323" s="102"/>
      <c r="U323" s="102"/>
      <c r="V323" s="102"/>
      <c r="W323" s="102"/>
      <c r="X323" s="102"/>
      <c r="Y323" s="102"/>
      <c r="Z323" s="102"/>
      <c r="AA323" s="102"/>
      <c r="AB323" s="102"/>
      <c r="AC323" s="102"/>
      <c r="AD323" s="102"/>
      <c r="AE323" s="102"/>
      <c r="AF323" s="102"/>
      <c r="AG323" s="102"/>
      <c r="AH323" s="102"/>
      <c r="AI323" s="102"/>
      <c r="AJ323" s="102"/>
      <c r="AK323" s="102"/>
      <c r="AL323" s="102"/>
      <c r="AM323" s="102"/>
      <c r="AN323" s="102"/>
      <c r="AO323" s="102"/>
      <c r="AP323" s="102"/>
      <c r="AQ323" s="102"/>
      <c r="AR323" s="102"/>
      <c r="AS323" s="102"/>
      <c r="AT323" s="102"/>
      <c r="AU323" s="102"/>
      <c r="AV323" s="102"/>
    </row>
    <row r="324" ht="12.75" customHeight="1">
      <c r="C324" s="400"/>
      <c r="D324" s="102"/>
      <c r="I324" s="102"/>
      <c r="J324" s="102"/>
      <c r="K324" s="102"/>
      <c r="L324" s="102"/>
      <c r="M324" s="102"/>
      <c r="N324" s="102"/>
      <c r="O324" s="102"/>
      <c r="P324" s="102"/>
      <c r="Q324" s="102"/>
      <c r="R324" s="102"/>
      <c r="S324" s="102"/>
      <c r="T324" s="102"/>
      <c r="U324" s="102"/>
      <c r="V324" s="102"/>
      <c r="W324" s="102"/>
      <c r="X324" s="102"/>
      <c r="Y324" s="102"/>
      <c r="Z324" s="102"/>
      <c r="AA324" s="102"/>
      <c r="AB324" s="102"/>
      <c r="AC324" s="102"/>
      <c r="AD324" s="102"/>
      <c r="AE324" s="102"/>
      <c r="AF324" s="102"/>
      <c r="AG324" s="102"/>
      <c r="AH324" s="102"/>
      <c r="AI324" s="102"/>
      <c r="AJ324" s="102"/>
      <c r="AK324" s="102"/>
      <c r="AL324" s="102"/>
      <c r="AM324" s="102"/>
      <c r="AN324" s="102"/>
      <c r="AO324" s="102"/>
      <c r="AP324" s="102"/>
      <c r="AQ324" s="102"/>
      <c r="AR324" s="102"/>
      <c r="AS324" s="102"/>
      <c r="AT324" s="102"/>
      <c r="AU324" s="102"/>
      <c r="AV324" s="102"/>
    </row>
    <row r="325" ht="12.75" customHeight="1">
      <c r="C325" s="400"/>
      <c r="D325" s="102"/>
      <c r="I325" s="102"/>
      <c r="J325" s="102"/>
      <c r="K325" s="102"/>
      <c r="L325" s="102"/>
      <c r="M325" s="102"/>
      <c r="N325" s="102"/>
      <c r="O325" s="102"/>
      <c r="P325" s="102"/>
      <c r="Q325" s="102"/>
      <c r="R325" s="102"/>
      <c r="S325" s="102"/>
      <c r="T325" s="102"/>
      <c r="U325" s="102"/>
      <c r="V325" s="102"/>
      <c r="W325" s="102"/>
      <c r="X325" s="102"/>
      <c r="Y325" s="102"/>
      <c r="Z325" s="102"/>
      <c r="AA325" s="102"/>
      <c r="AB325" s="102"/>
      <c r="AC325" s="102"/>
      <c r="AD325" s="102"/>
      <c r="AE325" s="102"/>
      <c r="AF325" s="102"/>
      <c r="AG325" s="102"/>
      <c r="AH325" s="102"/>
      <c r="AI325" s="102"/>
      <c r="AJ325" s="102"/>
      <c r="AK325" s="102"/>
      <c r="AL325" s="102"/>
      <c r="AM325" s="102"/>
      <c r="AN325" s="102"/>
      <c r="AO325" s="102"/>
      <c r="AP325" s="102"/>
      <c r="AQ325" s="102"/>
      <c r="AR325" s="102"/>
      <c r="AS325" s="102"/>
      <c r="AT325" s="102"/>
      <c r="AU325" s="102"/>
      <c r="AV325" s="102"/>
    </row>
    <row r="326" ht="12.75" customHeight="1">
      <c r="C326" s="400"/>
      <c r="D326" s="102"/>
      <c r="I326" s="102"/>
      <c r="J326" s="102"/>
      <c r="K326" s="102"/>
      <c r="L326" s="102"/>
      <c r="M326" s="102"/>
      <c r="N326" s="102"/>
      <c r="O326" s="102"/>
      <c r="P326" s="102"/>
      <c r="Q326" s="102"/>
      <c r="R326" s="102"/>
      <c r="S326" s="102"/>
      <c r="T326" s="102"/>
      <c r="U326" s="102"/>
      <c r="V326" s="102"/>
      <c r="W326" s="102"/>
      <c r="X326" s="102"/>
      <c r="Y326" s="102"/>
      <c r="Z326" s="102"/>
      <c r="AA326" s="102"/>
      <c r="AB326" s="102"/>
      <c r="AC326" s="102"/>
      <c r="AD326" s="102"/>
      <c r="AE326" s="102"/>
      <c r="AF326" s="102"/>
      <c r="AG326" s="102"/>
      <c r="AH326" s="102"/>
      <c r="AI326" s="102"/>
      <c r="AJ326" s="102"/>
      <c r="AK326" s="102"/>
      <c r="AL326" s="102"/>
      <c r="AM326" s="102"/>
      <c r="AN326" s="102"/>
      <c r="AO326" s="102"/>
      <c r="AP326" s="102"/>
      <c r="AQ326" s="102"/>
      <c r="AR326" s="102"/>
      <c r="AS326" s="102"/>
      <c r="AT326" s="102"/>
      <c r="AU326" s="102"/>
      <c r="AV326" s="102"/>
    </row>
    <row r="327" ht="12.75" customHeight="1">
      <c r="C327" s="400"/>
      <c r="D327" s="102"/>
      <c r="I327" s="102"/>
      <c r="J327" s="102"/>
      <c r="K327" s="102"/>
      <c r="L327" s="102"/>
      <c r="M327" s="102"/>
      <c r="N327" s="102"/>
      <c r="O327" s="102"/>
      <c r="P327" s="102"/>
      <c r="Q327" s="102"/>
      <c r="R327" s="102"/>
      <c r="S327" s="102"/>
      <c r="T327" s="102"/>
      <c r="U327" s="102"/>
      <c r="V327" s="102"/>
      <c r="W327" s="102"/>
      <c r="X327" s="102"/>
      <c r="Y327" s="102"/>
      <c r="Z327" s="102"/>
      <c r="AA327" s="102"/>
      <c r="AB327" s="102"/>
      <c r="AC327" s="102"/>
      <c r="AD327" s="102"/>
      <c r="AE327" s="102"/>
      <c r="AF327" s="102"/>
      <c r="AG327" s="102"/>
      <c r="AH327" s="102"/>
      <c r="AI327" s="102"/>
      <c r="AJ327" s="102"/>
      <c r="AK327" s="102"/>
      <c r="AL327" s="102"/>
      <c r="AM327" s="102"/>
      <c r="AN327" s="102"/>
      <c r="AO327" s="102"/>
      <c r="AP327" s="102"/>
      <c r="AQ327" s="102"/>
      <c r="AR327" s="102"/>
      <c r="AS327" s="102"/>
      <c r="AT327" s="102"/>
      <c r="AU327" s="102"/>
      <c r="AV327" s="102"/>
    </row>
    <row r="328" ht="12.75" customHeight="1">
      <c r="C328" s="400"/>
      <c r="D328" s="102"/>
      <c r="I328" s="102"/>
      <c r="J328" s="102"/>
      <c r="K328" s="102"/>
      <c r="L328" s="102"/>
      <c r="M328" s="102"/>
      <c r="N328" s="102"/>
      <c r="O328" s="102"/>
      <c r="P328" s="102"/>
      <c r="Q328" s="102"/>
      <c r="R328" s="102"/>
      <c r="S328" s="102"/>
      <c r="T328" s="102"/>
      <c r="U328" s="102"/>
      <c r="V328" s="102"/>
      <c r="W328" s="102"/>
      <c r="X328" s="102"/>
      <c r="Y328" s="102"/>
      <c r="Z328" s="102"/>
      <c r="AA328" s="102"/>
      <c r="AB328" s="102"/>
      <c r="AC328" s="102"/>
      <c r="AD328" s="102"/>
      <c r="AE328" s="102"/>
      <c r="AF328" s="102"/>
      <c r="AG328" s="102"/>
      <c r="AH328" s="102"/>
      <c r="AI328" s="102"/>
      <c r="AJ328" s="102"/>
      <c r="AK328" s="102"/>
      <c r="AL328" s="102"/>
      <c r="AM328" s="102"/>
      <c r="AN328" s="102"/>
      <c r="AO328" s="102"/>
      <c r="AP328" s="102"/>
      <c r="AQ328" s="102"/>
      <c r="AR328" s="102"/>
      <c r="AS328" s="102"/>
      <c r="AT328" s="102"/>
      <c r="AU328" s="102"/>
      <c r="AV328" s="102"/>
    </row>
    <row r="329" ht="12.75" customHeight="1">
      <c r="C329" s="400"/>
      <c r="D329" s="102"/>
      <c r="I329" s="102"/>
      <c r="J329" s="102"/>
      <c r="K329" s="102"/>
      <c r="L329" s="102"/>
      <c r="M329" s="102"/>
      <c r="N329" s="102"/>
      <c r="O329" s="102"/>
      <c r="P329" s="102"/>
      <c r="Q329" s="102"/>
      <c r="R329" s="102"/>
      <c r="S329" s="102"/>
      <c r="T329" s="102"/>
      <c r="U329" s="102"/>
      <c r="V329" s="102"/>
      <c r="W329" s="102"/>
      <c r="X329" s="102"/>
      <c r="Y329" s="102"/>
      <c r="Z329" s="102"/>
      <c r="AA329" s="102"/>
      <c r="AB329" s="102"/>
      <c r="AC329" s="102"/>
      <c r="AD329" s="102"/>
      <c r="AE329" s="102"/>
      <c r="AF329" s="102"/>
      <c r="AG329" s="102"/>
      <c r="AH329" s="102"/>
      <c r="AI329" s="102"/>
      <c r="AJ329" s="102"/>
      <c r="AK329" s="102"/>
      <c r="AL329" s="102"/>
      <c r="AM329" s="102"/>
      <c r="AN329" s="102"/>
      <c r="AO329" s="102"/>
      <c r="AP329" s="102"/>
      <c r="AQ329" s="102"/>
      <c r="AR329" s="102"/>
      <c r="AS329" s="102"/>
      <c r="AT329" s="102"/>
      <c r="AU329" s="102"/>
      <c r="AV329" s="102"/>
    </row>
    <row r="330" ht="12.75" customHeight="1">
      <c r="C330" s="400"/>
      <c r="D330" s="102"/>
      <c r="I330" s="102"/>
      <c r="J330" s="102"/>
      <c r="K330" s="102"/>
      <c r="L330" s="102"/>
      <c r="M330" s="102"/>
      <c r="N330" s="102"/>
      <c r="O330" s="102"/>
      <c r="P330" s="102"/>
      <c r="Q330" s="102"/>
      <c r="R330" s="102"/>
      <c r="S330" s="102"/>
      <c r="T330" s="102"/>
      <c r="U330" s="102"/>
      <c r="V330" s="102"/>
      <c r="W330" s="102"/>
      <c r="X330" s="102"/>
      <c r="Y330" s="102"/>
      <c r="Z330" s="102"/>
      <c r="AA330" s="102"/>
      <c r="AB330" s="102"/>
      <c r="AC330" s="102"/>
      <c r="AD330" s="102"/>
      <c r="AE330" s="102"/>
      <c r="AF330" s="102"/>
      <c r="AG330" s="102"/>
      <c r="AH330" s="102"/>
      <c r="AI330" s="102"/>
      <c r="AJ330" s="102"/>
      <c r="AK330" s="102"/>
      <c r="AL330" s="102"/>
      <c r="AM330" s="102"/>
      <c r="AN330" s="102"/>
      <c r="AO330" s="102"/>
      <c r="AP330" s="102"/>
      <c r="AQ330" s="102"/>
      <c r="AR330" s="102"/>
      <c r="AS330" s="102"/>
      <c r="AT330" s="102"/>
      <c r="AU330" s="102"/>
      <c r="AV330" s="102"/>
    </row>
    <row r="331" ht="12.75" customHeight="1">
      <c r="C331" s="400"/>
      <c r="D331" s="102"/>
      <c r="I331" s="102"/>
      <c r="J331" s="102"/>
      <c r="K331" s="102"/>
      <c r="L331" s="102"/>
      <c r="M331" s="102"/>
      <c r="N331" s="102"/>
      <c r="O331" s="102"/>
      <c r="P331" s="102"/>
      <c r="Q331" s="102"/>
      <c r="R331" s="102"/>
      <c r="S331" s="102"/>
      <c r="T331" s="102"/>
      <c r="U331" s="102"/>
      <c r="V331" s="102"/>
      <c r="W331" s="102"/>
      <c r="X331" s="102"/>
      <c r="Y331" s="102"/>
      <c r="Z331" s="102"/>
      <c r="AA331" s="102"/>
      <c r="AB331" s="102"/>
      <c r="AC331" s="102"/>
      <c r="AD331" s="102"/>
      <c r="AE331" s="102"/>
      <c r="AF331" s="102"/>
      <c r="AG331" s="102"/>
      <c r="AH331" s="102"/>
      <c r="AI331" s="102"/>
      <c r="AJ331" s="102"/>
      <c r="AK331" s="102"/>
      <c r="AL331" s="102"/>
      <c r="AM331" s="102"/>
      <c r="AN331" s="102"/>
      <c r="AO331" s="102"/>
      <c r="AP331" s="102"/>
      <c r="AQ331" s="102"/>
      <c r="AR331" s="102"/>
      <c r="AS331" s="102"/>
      <c r="AT331" s="102"/>
      <c r="AU331" s="102"/>
      <c r="AV331" s="102"/>
    </row>
    <row r="332" ht="12.75" customHeight="1">
      <c r="C332" s="400"/>
      <c r="D332" s="102"/>
      <c r="I332" s="102"/>
      <c r="J332" s="102"/>
      <c r="K332" s="102"/>
      <c r="L332" s="102"/>
      <c r="M332" s="102"/>
      <c r="N332" s="102"/>
      <c r="O332" s="102"/>
      <c r="P332" s="102"/>
      <c r="Q332" s="102"/>
      <c r="R332" s="102"/>
      <c r="S332" s="102"/>
      <c r="T332" s="102"/>
      <c r="U332" s="102"/>
      <c r="V332" s="102"/>
      <c r="W332" s="102"/>
      <c r="X332" s="102"/>
      <c r="Y332" s="102"/>
      <c r="Z332" s="102"/>
      <c r="AA332" s="102"/>
      <c r="AB332" s="102"/>
      <c r="AC332" s="102"/>
      <c r="AD332" s="102"/>
      <c r="AE332" s="102"/>
      <c r="AF332" s="102"/>
      <c r="AG332" s="102"/>
      <c r="AH332" s="102"/>
      <c r="AI332" s="102"/>
      <c r="AJ332" s="102"/>
      <c r="AK332" s="102"/>
      <c r="AL332" s="102"/>
      <c r="AM332" s="102"/>
      <c r="AN332" s="102"/>
      <c r="AO332" s="102"/>
      <c r="AP332" s="102"/>
      <c r="AQ332" s="102"/>
      <c r="AR332" s="102"/>
      <c r="AS332" s="102"/>
      <c r="AT332" s="102"/>
      <c r="AU332" s="102"/>
      <c r="AV332" s="102"/>
    </row>
    <row r="333" ht="12.75" customHeight="1">
      <c r="C333" s="400"/>
      <c r="D333" s="102"/>
      <c r="I333" s="102"/>
      <c r="J333" s="102"/>
      <c r="K333" s="102"/>
      <c r="L333" s="102"/>
      <c r="M333" s="102"/>
      <c r="N333" s="102"/>
      <c r="O333" s="102"/>
      <c r="P333" s="102"/>
      <c r="Q333" s="102"/>
      <c r="R333" s="102"/>
      <c r="S333" s="102"/>
      <c r="T333" s="102"/>
      <c r="U333" s="102"/>
      <c r="V333" s="102"/>
      <c r="W333" s="102"/>
      <c r="X333" s="102"/>
      <c r="Y333" s="102"/>
      <c r="Z333" s="102"/>
      <c r="AA333" s="102"/>
      <c r="AB333" s="102"/>
      <c r="AC333" s="102"/>
      <c r="AD333" s="102"/>
      <c r="AE333" s="102"/>
      <c r="AF333" s="102"/>
      <c r="AG333" s="102"/>
      <c r="AH333" s="102"/>
      <c r="AI333" s="102"/>
      <c r="AJ333" s="102"/>
      <c r="AK333" s="102"/>
      <c r="AL333" s="102"/>
      <c r="AM333" s="102"/>
      <c r="AN333" s="102"/>
      <c r="AO333" s="102"/>
      <c r="AP333" s="102"/>
      <c r="AQ333" s="102"/>
      <c r="AR333" s="102"/>
      <c r="AS333" s="102"/>
      <c r="AT333" s="102"/>
      <c r="AU333" s="102"/>
      <c r="AV333" s="102"/>
    </row>
    <row r="334" ht="12.75" customHeight="1">
      <c r="C334" s="400"/>
      <c r="D334" s="102"/>
      <c r="I334" s="102"/>
      <c r="J334" s="102"/>
      <c r="K334" s="102"/>
      <c r="L334" s="102"/>
      <c r="M334" s="102"/>
      <c r="N334" s="102"/>
      <c r="O334" s="102"/>
      <c r="P334" s="102"/>
      <c r="Q334" s="102"/>
      <c r="R334" s="102"/>
      <c r="S334" s="102"/>
      <c r="T334" s="102"/>
      <c r="U334" s="102"/>
      <c r="V334" s="102"/>
      <c r="W334" s="102"/>
      <c r="X334" s="102"/>
      <c r="Y334" s="102"/>
      <c r="Z334" s="102"/>
      <c r="AA334" s="102"/>
      <c r="AB334" s="102"/>
      <c r="AC334" s="102"/>
      <c r="AD334" s="102"/>
      <c r="AE334" s="102"/>
      <c r="AF334" s="102"/>
      <c r="AG334" s="102"/>
      <c r="AH334" s="102"/>
      <c r="AI334" s="102"/>
      <c r="AJ334" s="102"/>
      <c r="AK334" s="102"/>
      <c r="AL334" s="102"/>
      <c r="AM334" s="102"/>
      <c r="AN334" s="102"/>
      <c r="AO334" s="102"/>
      <c r="AP334" s="102"/>
      <c r="AQ334" s="102"/>
      <c r="AR334" s="102"/>
      <c r="AS334" s="102"/>
      <c r="AT334" s="102"/>
      <c r="AU334" s="102"/>
      <c r="AV334" s="102"/>
    </row>
    <row r="335" ht="12.75" customHeight="1">
      <c r="C335" s="400"/>
      <c r="D335" s="102"/>
      <c r="I335" s="102"/>
      <c r="J335" s="102"/>
      <c r="K335" s="102"/>
      <c r="L335" s="102"/>
      <c r="M335" s="102"/>
      <c r="N335" s="102"/>
      <c r="O335" s="102"/>
      <c r="P335" s="102"/>
      <c r="Q335" s="102"/>
      <c r="R335" s="102"/>
      <c r="S335" s="102"/>
      <c r="T335" s="102"/>
      <c r="U335" s="102"/>
      <c r="V335" s="102"/>
      <c r="W335" s="102"/>
      <c r="X335" s="102"/>
      <c r="Y335" s="102"/>
      <c r="Z335" s="102"/>
      <c r="AA335" s="102"/>
      <c r="AB335" s="102"/>
      <c r="AC335" s="102"/>
      <c r="AD335" s="102"/>
      <c r="AE335" s="102"/>
      <c r="AF335" s="102"/>
      <c r="AG335" s="102"/>
      <c r="AH335" s="102"/>
      <c r="AI335" s="102"/>
      <c r="AJ335" s="102"/>
      <c r="AK335" s="102"/>
      <c r="AL335" s="102"/>
      <c r="AM335" s="102"/>
      <c r="AN335" s="102"/>
      <c r="AO335" s="102"/>
      <c r="AP335" s="102"/>
      <c r="AQ335" s="102"/>
      <c r="AR335" s="102"/>
      <c r="AS335" s="102"/>
      <c r="AT335" s="102"/>
      <c r="AU335" s="102"/>
      <c r="AV335" s="102"/>
    </row>
    <row r="336" ht="12.75" customHeight="1">
      <c r="C336" s="400"/>
      <c r="D336" s="102"/>
      <c r="I336" s="102"/>
      <c r="J336" s="102"/>
      <c r="K336" s="102"/>
      <c r="L336" s="102"/>
      <c r="M336" s="102"/>
      <c r="N336" s="102"/>
      <c r="O336" s="102"/>
      <c r="P336" s="102"/>
      <c r="Q336" s="102"/>
      <c r="R336" s="102"/>
      <c r="S336" s="102"/>
      <c r="T336" s="102"/>
      <c r="U336" s="102"/>
      <c r="V336" s="102"/>
      <c r="W336" s="102"/>
      <c r="X336" s="102"/>
      <c r="Y336" s="102"/>
      <c r="Z336" s="102"/>
      <c r="AA336" s="102"/>
      <c r="AB336" s="102"/>
      <c r="AC336" s="102"/>
      <c r="AD336" s="102"/>
      <c r="AE336" s="102"/>
      <c r="AF336" s="102"/>
      <c r="AG336" s="102"/>
      <c r="AH336" s="102"/>
      <c r="AI336" s="102"/>
      <c r="AJ336" s="102"/>
      <c r="AK336" s="102"/>
      <c r="AL336" s="102"/>
      <c r="AM336" s="102"/>
      <c r="AN336" s="102"/>
      <c r="AO336" s="102"/>
      <c r="AP336" s="102"/>
      <c r="AQ336" s="102"/>
      <c r="AR336" s="102"/>
      <c r="AS336" s="102"/>
      <c r="AT336" s="102"/>
      <c r="AU336" s="102"/>
      <c r="AV336" s="102"/>
    </row>
    <row r="337" ht="12.75" customHeight="1">
      <c r="C337" s="400"/>
      <c r="D337" s="102"/>
      <c r="I337" s="102"/>
      <c r="J337" s="102"/>
      <c r="K337" s="102"/>
      <c r="L337" s="102"/>
      <c r="M337" s="102"/>
      <c r="N337" s="102"/>
      <c r="O337" s="102"/>
      <c r="P337" s="102"/>
      <c r="Q337" s="102"/>
      <c r="R337" s="102"/>
      <c r="S337" s="102"/>
      <c r="T337" s="102"/>
      <c r="U337" s="102"/>
      <c r="V337" s="102"/>
      <c r="W337" s="102"/>
      <c r="X337" s="102"/>
      <c r="Y337" s="102"/>
      <c r="Z337" s="102"/>
      <c r="AA337" s="102"/>
      <c r="AB337" s="102"/>
      <c r="AC337" s="102"/>
      <c r="AD337" s="102"/>
      <c r="AE337" s="102"/>
      <c r="AF337" s="102"/>
      <c r="AG337" s="102"/>
      <c r="AH337" s="102"/>
      <c r="AI337" s="102"/>
      <c r="AJ337" s="102"/>
      <c r="AK337" s="102"/>
      <c r="AL337" s="102"/>
      <c r="AM337" s="102"/>
      <c r="AN337" s="102"/>
      <c r="AO337" s="102"/>
      <c r="AP337" s="102"/>
      <c r="AQ337" s="102"/>
      <c r="AR337" s="102"/>
      <c r="AS337" s="102"/>
      <c r="AT337" s="102"/>
      <c r="AU337" s="102"/>
      <c r="AV337" s="102"/>
    </row>
    <row r="338" ht="12.75" customHeight="1">
      <c r="C338" s="400"/>
      <c r="D338" s="102"/>
      <c r="I338" s="102"/>
      <c r="J338" s="102"/>
      <c r="K338" s="102"/>
      <c r="L338" s="102"/>
      <c r="M338" s="102"/>
      <c r="N338" s="102"/>
      <c r="O338" s="102"/>
      <c r="P338" s="102"/>
      <c r="Q338" s="102"/>
      <c r="R338" s="102"/>
      <c r="S338" s="102"/>
      <c r="T338" s="102"/>
      <c r="U338" s="102"/>
      <c r="V338" s="102"/>
      <c r="W338" s="102"/>
      <c r="X338" s="102"/>
      <c r="Y338" s="102"/>
      <c r="Z338" s="102"/>
      <c r="AA338" s="102"/>
      <c r="AB338" s="102"/>
      <c r="AC338" s="102"/>
      <c r="AD338" s="102"/>
      <c r="AE338" s="102"/>
      <c r="AF338" s="102"/>
      <c r="AG338" s="102"/>
      <c r="AH338" s="102"/>
      <c r="AI338" s="102"/>
      <c r="AJ338" s="102"/>
      <c r="AK338" s="102"/>
      <c r="AL338" s="102"/>
      <c r="AM338" s="102"/>
      <c r="AN338" s="102"/>
      <c r="AO338" s="102"/>
      <c r="AP338" s="102"/>
      <c r="AQ338" s="102"/>
      <c r="AR338" s="102"/>
      <c r="AS338" s="102"/>
      <c r="AT338" s="102"/>
      <c r="AU338" s="102"/>
      <c r="AV338" s="102"/>
    </row>
    <row r="339" ht="12.75" customHeight="1">
      <c r="C339" s="400"/>
      <c r="D339" s="102"/>
      <c r="I339" s="102"/>
      <c r="J339" s="102"/>
      <c r="K339" s="102"/>
      <c r="L339" s="102"/>
      <c r="M339" s="102"/>
      <c r="N339" s="102"/>
      <c r="O339" s="102"/>
      <c r="P339" s="102"/>
      <c r="Q339" s="102"/>
      <c r="R339" s="102"/>
      <c r="S339" s="102"/>
      <c r="T339" s="102"/>
      <c r="U339" s="102"/>
      <c r="V339" s="102"/>
      <c r="W339" s="102"/>
      <c r="X339" s="102"/>
      <c r="Y339" s="102"/>
      <c r="Z339" s="102"/>
      <c r="AA339" s="102"/>
      <c r="AB339" s="102"/>
      <c r="AC339" s="102"/>
      <c r="AD339" s="102"/>
      <c r="AE339" s="102"/>
      <c r="AF339" s="102"/>
      <c r="AG339" s="102"/>
      <c r="AH339" s="102"/>
      <c r="AI339" s="102"/>
      <c r="AJ339" s="102"/>
      <c r="AK339" s="102"/>
      <c r="AL339" s="102"/>
      <c r="AM339" s="102"/>
      <c r="AN339" s="102"/>
      <c r="AO339" s="102"/>
      <c r="AP339" s="102"/>
      <c r="AQ339" s="102"/>
      <c r="AR339" s="102"/>
      <c r="AS339" s="102"/>
      <c r="AT339" s="102"/>
      <c r="AU339" s="102"/>
      <c r="AV339" s="102"/>
    </row>
    <row r="340" ht="12.75" customHeight="1">
      <c r="C340" s="400"/>
      <c r="D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c r="AG340" s="102"/>
      <c r="AH340" s="102"/>
      <c r="AI340" s="102"/>
      <c r="AJ340" s="102"/>
      <c r="AK340" s="102"/>
      <c r="AL340" s="102"/>
      <c r="AM340" s="102"/>
      <c r="AN340" s="102"/>
      <c r="AO340" s="102"/>
      <c r="AP340" s="102"/>
      <c r="AQ340" s="102"/>
      <c r="AR340" s="102"/>
      <c r="AS340" s="102"/>
      <c r="AT340" s="102"/>
      <c r="AU340" s="102"/>
      <c r="AV340" s="102"/>
    </row>
    <row r="341" ht="12.75" customHeight="1">
      <c r="C341" s="400"/>
      <c r="D341" s="102"/>
      <c r="I341" s="102"/>
      <c r="J341" s="102"/>
      <c r="K341" s="102"/>
      <c r="L341" s="102"/>
      <c r="M341" s="102"/>
      <c r="N341" s="102"/>
      <c r="O341" s="102"/>
      <c r="P341" s="102"/>
      <c r="Q341" s="102"/>
      <c r="R341" s="102"/>
      <c r="S341" s="102"/>
      <c r="T341" s="102"/>
      <c r="U341" s="102"/>
      <c r="V341" s="102"/>
      <c r="W341" s="102"/>
      <c r="X341" s="102"/>
      <c r="Y341" s="102"/>
      <c r="Z341" s="102"/>
      <c r="AA341" s="102"/>
      <c r="AB341" s="102"/>
      <c r="AC341" s="102"/>
      <c r="AD341" s="102"/>
      <c r="AE341" s="102"/>
      <c r="AF341" s="102"/>
      <c r="AG341" s="102"/>
      <c r="AH341" s="102"/>
      <c r="AI341" s="102"/>
      <c r="AJ341" s="102"/>
      <c r="AK341" s="102"/>
      <c r="AL341" s="102"/>
      <c r="AM341" s="102"/>
      <c r="AN341" s="102"/>
      <c r="AO341" s="102"/>
      <c r="AP341" s="102"/>
      <c r="AQ341" s="102"/>
      <c r="AR341" s="102"/>
      <c r="AS341" s="102"/>
      <c r="AT341" s="102"/>
      <c r="AU341" s="102"/>
      <c r="AV341" s="102"/>
    </row>
    <row r="342" ht="12.75" customHeight="1">
      <c r="C342" s="400"/>
      <c r="D342" s="102"/>
      <c r="I342" s="102"/>
      <c r="J342" s="102"/>
      <c r="K342" s="102"/>
      <c r="L342" s="102"/>
      <c r="M342" s="102"/>
      <c r="N342" s="102"/>
      <c r="O342" s="102"/>
      <c r="P342" s="102"/>
      <c r="Q342" s="102"/>
      <c r="R342" s="102"/>
      <c r="S342" s="102"/>
      <c r="T342" s="102"/>
      <c r="U342" s="102"/>
      <c r="V342" s="102"/>
      <c r="W342" s="102"/>
      <c r="X342" s="102"/>
      <c r="Y342" s="102"/>
      <c r="Z342" s="102"/>
      <c r="AA342" s="102"/>
      <c r="AB342" s="102"/>
      <c r="AC342" s="102"/>
      <c r="AD342" s="102"/>
      <c r="AE342" s="102"/>
      <c r="AF342" s="102"/>
      <c r="AG342" s="102"/>
      <c r="AH342" s="102"/>
      <c r="AI342" s="102"/>
      <c r="AJ342" s="102"/>
      <c r="AK342" s="102"/>
      <c r="AL342" s="102"/>
      <c r="AM342" s="102"/>
      <c r="AN342" s="102"/>
      <c r="AO342" s="102"/>
      <c r="AP342" s="102"/>
      <c r="AQ342" s="102"/>
      <c r="AR342" s="102"/>
      <c r="AS342" s="102"/>
      <c r="AT342" s="102"/>
      <c r="AU342" s="102"/>
      <c r="AV342" s="102"/>
    </row>
    <row r="343" ht="12.75" customHeight="1">
      <c r="C343" s="400"/>
      <c r="D343" s="102"/>
      <c r="I343" s="102"/>
      <c r="J343" s="102"/>
      <c r="K343" s="102"/>
      <c r="L343" s="102"/>
      <c r="M343" s="102"/>
      <c r="N343" s="102"/>
      <c r="O343" s="102"/>
      <c r="P343" s="102"/>
      <c r="Q343" s="102"/>
      <c r="R343" s="102"/>
      <c r="S343" s="102"/>
      <c r="T343" s="102"/>
      <c r="U343" s="102"/>
      <c r="V343" s="102"/>
      <c r="W343" s="102"/>
      <c r="X343" s="102"/>
      <c r="Y343" s="102"/>
      <c r="Z343" s="102"/>
      <c r="AA343" s="102"/>
      <c r="AB343" s="102"/>
      <c r="AC343" s="102"/>
      <c r="AD343" s="102"/>
      <c r="AE343" s="102"/>
      <c r="AF343" s="102"/>
      <c r="AG343" s="102"/>
      <c r="AH343" s="102"/>
      <c r="AI343" s="102"/>
      <c r="AJ343" s="102"/>
      <c r="AK343" s="102"/>
      <c r="AL343" s="102"/>
      <c r="AM343" s="102"/>
      <c r="AN343" s="102"/>
      <c r="AO343" s="102"/>
      <c r="AP343" s="102"/>
      <c r="AQ343" s="102"/>
      <c r="AR343" s="102"/>
      <c r="AS343" s="102"/>
      <c r="AT343" s="102"/>
      <c r="AU343" s="102"/>
      <c r="AV343" s="102"/>
    </row>
    <row r="344" ht="12.75" customHeight="1">
      <c r="C344" s="400"/>
      <c r="D344" s="102"/>
      <c r="I344" s="102"/>
      <c r="J344" s="102"/>
      <c r="K344" s="102"/>
      <c r="L344" s="102"/>
      <c r="M344" s="102"/>
      <c r="N344" s="102"/>
      <c r="O344" s="102"/>
      <c r="P344" s="102"/>
      <c r="Q344" s="102"/>
      <c r="R344" s="102"/>
      <c r="S344" s="102"/>
      <c r="T344" s="102"/>
      <c r="U344" s="102"/>
      <c r="V344" s="102"/>
      <c r="W344" s="102"/>
      <c r="X344" s="102"/>
      <c r="Y344" s="102"/>
      <c r="Z344" s="102"/>
      <c r="AA344" s="102"/>
      <c r="AB344" s="102"/>
      <c r="AC344" s="102"/>
      <c r="AD344" s="102"/>
      <c r="AE344" s="102"/>
      <c r="AF344" s="102"/>
      <c r="AG344" s="102"/>
      <c r="AH344" s="102"/>
      <c r="AI344" s="102"/>
      <c r="AJ344" s="102"/>
      <c r="AK344" s="102"/>
      <c r="AL344" s="102"/>
      <c r="AM344" s="102"/>
      <c r="AN344" s="102"/>
      <c r="AO344" s="102"/>
      <c r="AP344" s="102"/>
      <c r="AQ344" s="102"/>
      <c r="AR344" s="102"/>
      <c r="AS344" s="102"/>
      <c r="AT344" s="102"/>
      <c r="AU344" s="102"/>
      <c r="AV344" s="102"/>
    </row>
    <row r="345" ht="12.75" customHeight="1">
      <c r="C345" s="400"/>
      <c r="D345" s="102"/>
      <c r="I345" s="102"/>
      <c r="J345" s="102"/>
      <c r="K345" s="102"/>
      <c r="L345" s="102"/>
      <c r="M345" s="102"/>
      <c r="N345" s="102"/>
      <c r="O345" s="102"/>
      <c r="P345" s="102"/>
      <c r="Q345" s="102"/>
      <c r="R345" s="102"/>
      <c r="S345" s="102"/>
      <c r="T345" s="102"/>
      <c r="U345" s="102"/>
      <c r="V345" s="102"/>
      <c r="W345" s="102"/>
      <c r="X345" s="102"/>
      <c r="Y345" s="102"/>
      <c r="Z345" s="102"/>
      <c r="AA345" s="102"/>
      <c r="AB345" s="102"/>
      <c r="AC345" s="102"/>
      <c r="AD345" s="102"/>
      <c r="AE345" s="102"/>
      <c r="AF345" s="102"/>
      <c r="AG345" s="102"/>
      <c r="AH345" s="102"/>
      <c r="AI345" s="102"/>
      <c r="AJ345" s="102"/>
      <c r="AK345" s="102"/>
      <c r="AL345" s="102"/>
      <c r="AM345" s="102"/>
      <c r="AN345" s="102"/>
      <c r="AO345" s="102"/>
      <c r="AP345" s="102"/>
      <c r="AQ345" s="102"/>
      <c r="AR345" s="102"/>
      <c r="AS345" s="102"/>
      <c r="AT345" s="102"/>
      <c r="AU345" s="102"/>
      <c r="AV345" s="102"/>
    </row>
    <row r="346" ht="12.75" customHeight="1">
      <c r="C346" s="400"/>
      <c r="D346" s="102"/>
      <c r="I346" s="102"/>
      <c r="J346" s="102"/>
      <c r="K346" s="102"/>
      <c r="L346" s="102"/>
      <c r="M346" s="102"/>
      <c r="N346" s="102"/>
      <c r="O346" s="102"/>
      <c r="P346" s="102"/>
      <c r="Q346" s="102"/>
      <c r="R346" s="102"/>
      <c r="S346" s="102"/>
      <c r="T346" s="102"/>
      <c r="U346" s="102"/>
      <c r="V346" s="102"/>
      <c r="W346" s="102"/>
      <c r="X346" s="102"/>
      <c r="Y346" s="102"/>
      <c r="Z346" s="102"/>
      <c r="AA346" s="102"/>
      <c r="AB346" s="102"/>
      <c r="AC346" s="102"/>
      <c r="AD346" s="102"/>
      <c r="AE346" s="102"/>
      <c r="AF346" s="102"/>
      <c r="AG346" s="102"/>
      <c r="AH346" s="102"/>
      <c r="AI346" s="102"/>
      <c r="AJ346" s="102"/>
      <c r="AK346" s="102"/>
      <c r="AL346" s="102"/>
      <c r="AM346" s="102"/>
      <c r="AN346" s="102"/>
      <c r="AO346" s="102"/>
      <c r="AP346" s="102"/>
      <c r="AQ346" s="102"/>
      <c r="AR346" s="102"/>
      <c r="AS346" s="102"/>
      <c r="AT346" s="102"/>
      <c r="AU346" s="102"/>
      <c r="AV346" s="102"/>
    </row>
    <row r="347" ht="12.75" customHeight="1">
      <c r="C347" s="400"/>
      <c r="D347" s="102"/>
      <c r="I347" s="102"/>
      <c r="J347" s="102"/>
      <c r="K347" s="102"/>
      <c r="L347" s="102"/>
      <c r="M347" s="102"/>
      <c r="N347" s="102"/>
      <c r="O347" s="102"/>
      <c r="P347" s="102"/>
      <c r="Q347" s="102"/>
      <c r="R347" s="102"/>
      <c r="S347" s="102"/>
      <c r="T347" s="102"/>
      <c r="U347" s="102"/>
      <c r="V347" s="102"/>
      <c r="W347" s="102"/>
      <c r="X347" s="102"/>
      <c r="Y347" s="102"/>
      <c r="Z347" s="102"/>
      <c r="AA347" s="102"/>
      <c r="AB347" s="102"/>
      <c r="AC347" s="102"/>
      <c r="AD347" s="102"/>
      <c r="AE347" s="102"/>
      <c r="AF347" s="102"/>
      <c r="AG347" s="102"/>
      <c r="AH347" s="102"/>
      <c r="AI347" s="102"/>
      <c r="AJ347" s="102"/>
      <c r="AK347" s="102"/>
      <c r="AL347" s="102"/>
      <c r="AM347" s="102"/>
      <c r="AN347" s="102"/>
      <c r="AO347" s="102"/>
      <c r="AP347" s="102"/>
      <c r="AQ347" s="102"/>
      <c r="AR347" s="102"/>
      <c r="AS347" s="102"/>
      <c r="AT347" s="102"/>
      <c r="AU347" s="102"/>
      <c r="AV347" s="102"/>
    </row>
    <row r="348" ht="12.75" customHeight="1">
      <c r="C348" s="400"/>
      <c r="D348" s="102"/>
      <c r="I348" s="102"/>
      <c r="J348" s="102"/>
      <c r="K348" s="102"/>
      <c r="L348" s="102"/>
      <c r="M348" s="102"/>
      <c r="N348" s="102"/>
      <c r="O348" s="102"/>
      <c r="P348" s="102"/>
      <c r="Q348" s="102"/>
      <c r="R348" s="102"/>
      <c r="S348" s="102"/>
      <c r="T348" s="102"/>
      <c r="U348" s="102"/>
      <c r="V348" s="102"/>
      <c r="W348" s="102"/>
      <c r="X348" s="102"/>
      <c r="Y348" s="102"/>
      <c r="Z348" s="102"/>
      <c r="AA348" s="102"/>
      <c r="AB348" s="102"/>
      <c r="AC348" s="102"/>
      <c r="AD348" s="102"/>
      <c r="AE348" s="102"/>
      <c r="AF348" s="102"/>
      <c r="AG348" s="102"/>
      <c r="AH348" s="102"/>
      <c r="AI348" s="102"/>
      <c r="AJ348" s="102"/>
      <c r="AK348" s="102"/>
      <c r="AL348" s="102"/>
      <c r="AM348" s="102"/>
      <c r="AN348" s="102"/>
      <c r="AO348" s="102"/>
      <c r="AP348" s="102"/>
      <c r="AQ348" s="102"/>
      <c r="AR348" s="102"/>
      <c r="AS348" s="102"/>
      <c r="AT348" s="102"/>
      <c r="AU348" s="102"/>
      <c r="AV348" s="102"/>
    </row>
    <row r="349" ht="12.75" customHeight="1">
      <c r="C349" s="400"/>
      <c r="D349" s="102"/>
      <c r="I349" s="102"/>
      <c r="J349" s="102"/>
      <c r="K349" s="102"/>
      <c r="L349" s="102"/>
      <c r="M349" s="102"/>
      <c r="N349" s="102"/>
      <c r="O349" s="102"/>
      <c r="P349" s="102"/>
      <c r="Q349" s="102"/>
      <c r="R349" s="102"/>
      <c r="S349" s="102"/>
      <c r="T349" s="102"/>
      <c r="U349" s="102"/>
      <c r="V349" s="102"/>
      <c r="W349" s="102"/>
      <c r="X349" s="102"/>
      <c r="Y349" s="102"/>
      <c r="Z349" s="102"/>
      <c r="AA349" s="102"/>
      <c r="AB349" s="102"/>
      <c r="AC349" s="102"/>
      <c r="AD349" s="102"/>
      <c r="AE349" s="102"/>
      <c r="AF349" s="102"/>
      <c r="AG349" s="102"/>
      <c r="AH349" s="102"/>
      <c r="AI349" s="102"/>
      <c r="AJ349" s="102"/>
      <c r="AK349" s="102"/>
      <c r="AL349" s="102"/>
      <c r="AM349" s="102"/>
      <c r="AN349" s="102"/>
      <c r="AO349" s="102"/>
      <c r="AP349" s="102"/>
      <c r="AQ349" s="102"/>
      <c r="AR349" s="102"/>
      <c r="AS349" s="102"/>
      <c r="AT349" s="102"/>
      <c r="AU349" s="102"/>
      <c r="AV349" s="102"/>
    </row>
    <row r="350" ht="12.75" customHeight="1">
      <c r="C350" s="400"/>
      <c r="D350" s="102"/>
      <c r="I350" s="102"/>
      <c r="J350" s="102"/>
      <c r="K350" s="102"/>
      <c r="L350" s="102"/>
      <c r="M350" s="102"/>
      <c r="N350" s="102"/>
      <c r="O350" s="102"/>
      <c r="P350" s="102"/>
      <c r="Q350" s="102"/>
      <c r="R350" s="102"/>
      <c r="S350" s="102"/>
      <c r="T350" s="102"/>
      <c r="U350" s="102"/>
      <c r="V350" s="102"/>
      <c r="W350" s="102"/>
      <c r="X350" s="102"/>
      <c r="Y350" s="102"/>
      <c r="Z350" s="102"/>
      <c r="AA350" s="102"/>
      <c r="AB350" s="102"/>
      <c r="AC350" s="102"/>
      <c r="AD350" s="102"/>
      <c r="AE350" s="102"/>
      <c r="AF350" s="102"/>
      <c r="AG350" s="102"/>
      <c r="AH350" s="102"/>
      <c r="AI350" s="102"/>
      <c r="AJ350" s="102"/>
      <c r="AK350" s="102"/>
      <c r="AL350" s="102"/>
      <c r="AM350" s="102"/>
      <c r="AN350" s="102"/>
      <c r="AO350" s="102"/>
      <c r="AP350" s="102"/>
      <c r="AQ350" s="102"/>
      <c r="AR350" s="102"/>
      <c r="AS350" s="102"/>
      <c r="AT350" s="102"/>
      <c r="AU350" s="102"/>
      <c r="AV350" s="102"/>
    </row>
    <row r="351" ht="12.75" customHeight="1">
      <c r="C351" s="400"/>
      <c r="D351" s="102"/>
      <c r="I351" s="102"/>
      <c r="J351" s="102"/>
      <c r="K351" s="102"/>
      <c r="L351" s="102"/>
      <c r="M351" s="102"/>
      <c r="N351" s="102"/>
      <c r="O351" s="102"/>
      <c r="P351" s="102"/>
      <c r="Q351" s="102"/>
      <c r="R351" s="102"/>
      <c r="S351" s="102"/>
      <c r="T351" s="102"/>
      <c r="U351" s="102"/>
      <c r="V351" s="102"/>
      <c r="W351" s="102"/>
      <c r="X351" s="102"/>
      <c r="Y351" s="102"/>
      <c r="Z351" s="102"/>
      <c r="AA351" s="102"/>
      <c r="AB351" s="102"/>
      <c r="AC351" s="102"/>
      <c r="AD351" s="102"/>
      <c r="AE351" s="102"/>
      <c r="AF351" s="102"/>
      <c r="AG351" s="102"/>
      <c r="AH351" s="102"/>
      <c r="AI351" s="102"/>
      <c r="AJ351" s="102"/>
      <c r="AK351" s="102"/>
      <c r="AL351" s="102"/>
      <c r="AM351" s="102"/>
      <c r="AN351" s="102"/>
      <c r="AO351" s="102"/>
      <c r="AP351" s="102"/>
      <c r="AQ351" s="102"/>
      <c r="AR351" s="102"/>
      <c r="AS351" s="102"/>
      <c r="AT351" s="102"/>
      <c r="AU351" s="102"/>
      <c r="AV351" s="102"/>
    </row>
    <row r="352" ht="12.75" customHeight="1">
      <c r="C352" s="400"/>
      <c r="D352" s="102"/>
      <c r="I352" s="102"/>
      <c r="J352" s="102"/>
      <c r="K352" s="102"/>
      <c r="L352" s="102"/>
      <c r="M352" s="102"/>
      <c r="N352" s="102"/>
      <c r="O352" s="102"/>
      <c r="P352" s="102"/>
      <c r="Q352" s="102"/>
      <c r="R352" s="102"/>
      <c r="S352" s="102"/>
      <c r="T352" s="102"/>
      <c r="U352" s="102"/>
      <c r="V352" s="102"/>
      <c r="W352" s="102"/>
      <c r="X352" s="102"/>
      <c r="Y352" s="102"/>
      <c r="Z352" s="102"/>
      <c r="AA352" s="102"/>
      <c r="AB352" s="102"/>
      <c r="AC352" s="102"/>
      <c r="AD352" s="102"/>
      <c r="AE352" s="102"/>
      <c r="AF352" s="102"/>
      <c r="AG352" s="102"/>
      <c r="AH352" s="102"/>
      <c r="AI352" s="102"/>
      <c r="AJ352" s="102"/>
      <c r="AK352" s="102"/>
      <c r="AL352" s="102"/>
      <c r="AM352" s="102"/>
      <c r="AN352" s="102"/>
      <c r="AO352" s="102"/>
      <c r="AP352" s="102"/>
      <c r="AQ352" s="102"/>
      <c r="AR352" s="102"/>
      <c r="AS352" s="102"/>
      <c r="AT352" s="102"/>
      <c r="AU352" s="102"/>
      <c r="AV352" s="102"/>
    </row>
    <row r="353" ht="12.75" customHeight="1">
      <c r="C353" s="400"/>
      <c r="D353" s="102"/>
      <c r="I353" s="102"/>
      <c r="J353" s="102"/>
      <c r="K353" s="102"/>
      <c r="L353" s="102"/>
      <c r="M353" s="102"/>
      <c r="N353" s="102"/>
      <c r="O353" s="102"/>
      <c r="P353" s="102"/>
      <c r="Q353" s="102"/>
      <c r="R353" s="102"/>
      <c r="S353" s="102"/>
      <c r="T353" s="102"/>
      <c r="U353" s="102"/>
      <c r="V353" s="102"/>
      <c r="W353" s="102"/>
      <c r="X353" s="102"/>
      <c r="Y353" s="102"/>
      <c r="Z353" s="102"/>
      <c r="AA353" s="102"/>
      <c r="AB353" s="102"/>
      <c r="AC353" s="102"/>
      <c r="AD353" s="102"/>
      <c r="AE353" s="102"/>
      <c r="AF353" s="102"/>
      <c r="AG353" s="102"/>
      <c r="AH353" s="102"/>
      <c r="AI353" s="102"/>
      <c r="AJ353" s="102"/>
      <c r="AK353" s="102"/>
      <c r="AL353" s="102"/>
      <c r="AM353" s="102"/>
      <c r="AN353" s="102"/>
      <c r="AO353" s="102"/>
      <c r="AP353" s="102"/>
      <c r="AQ353" s="102"/>
      <c r="AR353" s="102"/>
      <c r="AS353" s="102"/>
      <c r="AT353" s="102"/>
      <c r="AU353" s="102"/>
      <c r="AV353" s="102"/>
    </row>
    <row r="354" ht="12.75" customHeight="1">
      <c r="C354" s="400"/>
      <c r="D354" s="102"/>
      <c r="I354" s="102"/>
      <c r="J354" s="102"/>
      <c r="K354" s="102"/>
      <c r="L354" s="102"/>
      <c r="M354" s="102"/>
      <c r="N354" s="102"/>
      <c r="O354" s="102"/>
      <c r="P354" s="102"/>
      <c r="Q354" s="102"/>
      <c r="R354" s="102"/>
      <c r="S354" s="102"/>
      <c r="T354" s="102"/>
      <c r="U354" s="102"/>
      <c r="V354" s="102"/>
      <c r="W354" s="102"/>
      <c r="X354" s="102"/>
      <c r="Y354" s="102"/>
      <c r="Z354" s="102"/>
      <c r="AA354" s="102"/>
      <c r="AB354" s="102"/>
      <c r="AC354" s="102"/>
      <c r="AD354" s="102"/>
      <c r="AE354" s="102"/>
      <c r="AF354" s="102"/>
      <c r="AG354" s="102"/>
      <c r="AH354" s="102"/>
      <c r="AI354" s="102"/>
      <c r="AJ354" s="102"/>
      <c r="AK354" s="102"/>
      <c r="AL354" s="102"/>
      <c r="AM354" s="102"/>
      <c r="AN354" s="102"/>
      <c r="AO354" s="102"/>
      <c r="AP354" s="102"/>
      <c r="AQ354" s="102"/>
      <c r="AR354" s="102"/>
      <c r="AS354" s="102"/>
      <c r="AT354" s="102"/>
      <c r="AU354" s="102"/>
      <c r="AV354" s="102"/>
    </row>
    <row r="355" ht="12.75" customHeight="1">
      <c r="C355" s="400"/>
      <c r="D355" s="102"/>
      <c r="I355" s="102"/>
      <c r="J355" s="102"/>
      <c r="K355" s="102"/>
      <c r="L355" s="102"/>
      <c r="M355" s="102"/>
      <c r="N355" s="102"/>
      <c r="O355" s="102"/>
      <c r="P355" s="102"/>
      <c r="Q355" s="102"/>
      <c r="R355" s="102"/>
      <c r="S355" s="102"/>
      <c r="T355" s="102"/>
      <c r="U355" s="102"/>
      <c r="V355" s="102"/>
      <c r="W355" s="102"/>
      <c r="X355" s="102"/>
      <c r="Y355" s="102"/>
      <c r="Z355" s="102"/>
      <c r="AA355" s="102"/>
      <c r="AB355" s="102"/>
      <c r="AC355" s="102"/>
      <c r="AD355" s="102"/>
      <c r="AE355" s="102"/>
      <c r="AF355" s="102"/>
      <c r="AG355" s="102"/>
      <c r="AH355" s="102"/>
      <c r="AI355" s="102"/>
      <c r="AJ355" s="102"/>
      <c r="AK355" s="102"/>
      <c r="AL355" s="102"/>
      <c r="AM355" s="102"/>
      <c r="AN355" s="102"/>
      <c r="AO355" s="102"/>
      <c r="AP355" s="102"/>
      <c r="AQ355" s="102"/>
      <c r="AR355" s="102"/>
      <c r="AS355" s="102"/>
      <c r="AT355" s="102"/>
      <c r="AU355" s="102"/>
      <c r="AV355" s="102"/>
    </row>
    <row r="356" ht="12.75" customHeight="1">
      <c r="C356" s="400"/>
      <c r="D356" s="102"/>
      <c r="I356" s="102"/>
      <c r="J356" s="102"/>
      <c r="K356" s="102"/>
      <c r="L356" s="102"/>
      <c r="M356" s="102"/>
      <c r="N356" s="102"/>
      <c r="O356" s="102"/>
      <c r="P356" s="102"/>
      <c r="Q356" s="102"/>
      <c r="R356" s="102"/>
      <c r="S356" s="102"/>
      <c r="T356" s="102"/>
      <c r="U356" s="102"/>
      <c r="V356" s="102"/>
      <c r="W356" s="102"/>
      <c r="X356" s="102"/>
      <c r="Y356" s="102"/>
      <c r="Z356" s="102"/>
      <c r="AA356" s="102"/>
      <c r="AB356" s="102"/>
      <c r="AC356" s="102"/>
      <c r="AD356" s="102"/>
      <c r="AE356" s="102"/>
      <c r="AF356" s="102"/>
      <c r="AG356" s="102"/>
      <c r="AH356" s="102"/>
      <c r="AI356" s="102"/>
      <c r="AJ356" s="102"/>
      <c r="AK356" s="102"/>
      <c r="AL356" s="102"/>
      <c r="AM356" s="102"/>
      <c r="AN356" s="102"/>
      <c r="AO356" s="102"/>
      <c r="AP356" s="102"/>
      <c r="AQ356" s="102"/>
      <c r="AR356" s="102"/>
      <c r="AS356" s="102"/>
      <c r="AT356" s="102"/>
      <c r="AU356" s="102"/>
      <c r="AV356" s="102"/>
    </row>
    <row r="357" ht="12.75" customHeight="1">
      <c r="C357" s="400"/>
      <c r="D357" s="102"/>
      <c r="I357" s="102"/>
      <c r="J357" s="102"/>
      <c r="K357" s="102"/>
      <c r="L357" s="102"/>
      <c r="M357" s="102"/>
      <c r="N357" s="102"/>
      <c r="O357" s="102"/>
      <c r="P357" s="102"/>
      <c r="Q357" s="102"/>
      <c r="R357" s="102"/>
      <c r="S357" s="102"/>
      <c r="T357" s="102"/>
      <c r="U357" s="102"/>
      <c r="V357" s="102"/>
      <c r="W357" s="102"/>
      <c r="X357" s="102"/>
      <c r="Y357" s="102"/>
      <c r="Z357" s="102"/>
      <c r="AA357" s="102"/>
      <c r="AB357" s="102"/>
      <c r="AC357" s="102"/>
      <c r="AD357" s="102"/>
      <c r="AE357" s="102"/>
      <c r="AF357" s="102"/>
      <c r="AG357" s="102"/>
      <c r="AH357" s="102"/>
      <c r="AI357" s="102"/>
      <c r="AJ357" s="102"/>
      <c r="AK357" s="102"/>
      <c r="AL357" s="102"/>
      <c r="AM357" s="102"/>
      <c r="AN357" s="102"/>
      <c r="AO357" s="102"/>
      <c r="AP357" s="102"/>
      <c r="AQ357" s="102"/>
      <c r="AR357" s="102"/>
      <c r="AS357" s="102"/>
      <c r="AT357" s="102"/>
      <c r="AU357" s="102"/>
      <c r="AV357" s="102"/>
    </row>
    <row r="358" ht="12.75" customHeight="1">
      <c r="C358" s="400"/>
      <c r="D358" s="102"/>
      <c r="I358" s="102"/>
      <c r="J358" s="102"/>
      <c r="K358" s="102"/>
      <c r="L358" s="102"/>
      <c r="M358" s="102"/>
      <c r="N358" s="102"/>
      <c r="O358" s="102"/>
      <c r="P358" s="102"/>
      <c r="Q358" s="102"/>
      <c r="R358" s="102"/>
      <c r="S358" s="102"/>
      <c r="T358" s="102"/>
      <c r="U358" s="102"/>
      <c r="V358" s="102"/>
      <c r="W358" s="102"/>
      <c r="X358" s="102"/>
      <c r="Y358" s="102"/>
      <c r="Z358" s="102"/>
      <c r="AA358" s="102"/>
      <c r="AB358" s="102"/>
      <c r="AC358" s="102"/>
      <c r="AD358" s="102"/>
      <c r="AE358" s="102"/>
      <c r="AF358" s="102"/>
      <c r="AG358" s="102"/>
      <c r="AH358" s="102"/>
      <c r="AI358" s="102"/>
      <c r="AJ358" s="102"/>
      <c r="AK358" s="102"/>
      <c r="AL358" s="102"/>
      <c r="AM358" s="102"/>
      <c r="AN358" s="102"/>
      <c r="AO358" s="102"/>
      <c r="AP358" s="102"/>
      <c r="AQ358" s="102"/>
      <c r="AR358" s="102"/>
      <c r="AS358" s="102"/>
      <c r="AT358" s="102"/>
      <c r="AU358" s="102"/>
      <c r="AV358" s="102"/>
    </row>
    <row r="359" ht="12.75" customHeight="1">
      <c r="C359" s="400"/>
      <c r="D359" s="102"/>
      <c r="I359" s="102"/>
      <c r="J359" s="102"/>
      <c r="K359" s="102"/>
      <c r="L359" s="102"/>
      <c r="M359" s="102"/>
      <c r="N359" s="102"/>
      <c r="O359" s="102"/>
      <c r="P359" s="102"/>
      <c r="Q359" s="102"/>
      <c r="R359" s="102"/>
      <c r="S359" s="102"/>
      <c r="T359" s="102"/>
      <c r="U359" s="102"/>
      <c r="V359" s="102"/>
      <c r="W359" s="102"/>
      <c r="X359" s="102"/>
      <c r="Y359" s="102"/>
      <c r="Z359" s="102"/>
      <c r="AA359" s="102"/>
      <c r="AB359" s="102"/>
      <c r="AC359" s="102"/>
      <c r="AD359" s="102"/>
      <c r="AE359" s="102"/>
      <c r="AF359" s="102"/>
      <c r="AG359" s="102"/>
      <c r="AH359" s="102"/>
      <c r="AI359" s="102"/>
      <c r="AJ359" s="102"/>
      <c r="AK359" s="102"/>
      <c r="AL359" s="102"/>
      <c r="AM359" s="102"/>
      <c r="AN359" s="102"/>
      <c r="AO359" s="102"/>
      <c r="AP359" s="102"/>
      <c r="AQ359" s="102"/>
      <c r="AR359" s="102"/>
      <c r="AS359" s="102"/>
      <c r="AT359" s="102"/>
      <c r="AU359" s="102"/>
      <c r="AV359" s="102"/>
    </row>
    <row r="360" ht="12.75" customHeight="1">
      <c r="C360" s="400"/>
      <c r="D360" s="102"/>
      <c r="I360" s="102"/>
      <c r="J360" s="102"/>
      <c r="K360" s="102"/>
      <c r="L360" s="102"/>
      <c r="M360" s="102"/>
      <c r="N360" s="102"/>
      <c r="O360" s="102"/>
      <c r="P360" s="102"/>
      <c r="Q360" s="102"/>
      <c r="R360" s="102"/>
      <c r="S360" s="102"/>
      <c r="T360" s="102"/>
      <c r="U360" s="102"/>
      <c r="V360" s="102"/>
      <c r="W360" s="102"/>
      <c r="X360" s="102"/>
      <c r="Y360" s="102"/>
      <c r="Z360" s="102"/>
      <c r="AA360" s="102"/>
      <c r="AB360" s="102"/>
      <c r="AC360" s="102"/>
      <c r="AD360" s="102"/>
      <c r="AE360" s="102"/>
      <c r="AF360" s="102"/>
      <c r="AG360" s="102"/>
      <c r="AH360" s="102"/>
      <c r="AI360" s="102"/>
      <c r="AJ360" s="102"/>
      <c r="AK360" s="102"/>
      <c r="AL360" s="102"/>
      <c r="AM360" s="102"/>
      <c r="AN360" s="102"/>
      <c r="AO360" s="102"/>
      <c r="AP360" s="102"/>
      <c r="AQ360" s="102"/>
      <c r="AR360" s="102"/>
      <c r="AS360" s="102"/>
      <c r="AT360" s="102"/>
      <c r="AU360" s="102"/>
      <c r="AV360" s="102"/>
    </row>
    <row r="361" ht="12.75" customHeight="1">
      <c r="C361" s="400"/>
      <c r="D361" s="102"/>
      <c r="I361" s="102"/>
      <c r="J361" s="102"/>
      <c r="K361" s="102"/>
      <c r="L361" s="102"/>
      <c r="M361" s="102"/>
      <c r="N361" s="102"/>
      <c r="O361" s="102"/>
      <c r="P361" s="102"/>
      <c r="Q361" s="102"/>
      <c r="R361" s="102"/>
      <c r="S361" s="102"/>
      <c r="T361" s="102"/>
      <c r="U361" s="102"/>
      <c r="V361" s="102"/>
      <c r="W361" s="102"/>
      <c r="X361" s="102"/>
      <c r="Y361" s="102"/>
      <c r="Z361" s="102"/>
      <c r="AA361" s="102"/>
      <c r="AB361" s="102"/>
      <c r="AC361" s="102"/>
      <c r="AD361" s="102"/>
      <c r="AE361" s="102"/>
      <c r="AF361" s="102"/>
      <c r="AG361" s="102"/>
      <c r="AH361" s="102"/>
      <c r="AI361" s="102"/>
      <c r="AJ361" s="102"/>
      <c r="AK361" s="102"/>
      <c r="AL361" s="102"/>
      <c r="AM361" s="102"/>
      <c r="AN361" s="102"/>
      <c r="AO361" s="102"/>
      <c r="AP361" s="102"/>
      <c r="AQ361" s="102"/>
      <c r="AR361" s="102"/>
      <c r="AS361" s="102"/>
      <c r="AT361" s="102"/>
      <c r="AU361" s="102"/>
      <c r="AV361" s="102"/>
    </row>
    <row r="362" ht="12.75" customHeight="1">
      <c r="C362" s="400"/>
      <c r="D362" s="102"/>
      <c r="I362" s="102"/>
      <c r="J362" s="102"/>
      <c r="K362" s="102"/>
      <c r="L362" s="102"/>
      <c r="M362" s="102"/>
      <c r="N362" s="102"/>
      <c r="O362" s="102"/>
      <c r="P362" s="102"/>
      <c r="Q362" s="102"/>
      <c r="R362" s="102"/>
      <c r="S362" s="102"/>
      <c r="T362" s="102"/>
      <c r="U362" s="102"/>
      <c r="V362" s="102"/>
      <c r="W362" s="102"/>
      <c r="X362" s="102"/>
      <c r="Y362" s="102"/>
      <c r="Z362" s="102"/>
      <c r="AA362" s="102"/>
      <c r="AB362" s="102"/>
      <c r="AC362" s="102"/>
      <c r="AD362" s="102"/>
      <c r="AE362" s="102"/>
      <c r="AF362" s="102"/>
      <c r="AG362" s="102"/>
      <c r="AH362" s="102"/>
      <c r="AI362" s="102"/>
      <c r="AJ362" s="102"/>
      <c r="AK362" s="102"/>
      <c r="AL362" s="102"/>
      <c r="AM362" s="102"/>
      <c r="AN362" s="102"/>
      <c r="AO362" s="102"/>
      <c r="AP362" s="102"/>
      <c r="AQ362" s="102"/>
      <c r="AR362" s="102"/>
      <c r="AS362" s="102"/>
      <c r="AT362" s="102"/>
      <c r="AU362" s="102"/>
      <c r="AV362" s="102"/>
    </row>
    <row r="363" ht="12.75" customHeight="1">
      <c r="C363" s="400"/>
      <c r="D363" s="102"/>
      <c r="I363" s="102"/>
      <c r="J363" s="102"/>
      <c r="K363" s="102"/>
      <c r="L363" s="102"/>
      <c r="M363" s="102"/>
      <c r="N363" s="102"/>
      <c r="O363" s="102"/>
      <c r="P363" s="102"/>
      <c r="Q363" s="102"/>
      <c r="R363" s="102"/>
      <c r="S363" s="102"/>
      <c r="T363" s="102"/>
      <c r="U363" s="102"/>
      <c r="V363" s="102"/>
      <c r="W363" s="102"/>
      <c r="X363" s="102"/>
      <c r="Y363" s="102"/>
      <c r="Z363" s="102"/>
      <c r="AA363" s="102"/>
      <c r="AB363" s="102"/>
      <c r="AC363" s="102"/>
      <c r="AD363" s="102"/>
      <c r="AE363" s="102"/>
      <c r="AF363" s="102"/>
      <c r="AG363" s="102"/>
      <c r="AH363" s="102"/>
      <c r="AI363" s="102"/>
      <c r="AJ363" s="102"/>
      <c r="AK363" s="102"/>
      <c r="AL363" s="102"/>
      <c r="AM363" s="102"/>
      <c r="AN363" s="102"/>
      <c r="AO363" s="102"/>
      <c r="AP363" s="102"/>
      <c r="AQ363" s="102"/>
      <c r="AR363" s="102"/>
      <c r="AS363" s="102"/>
      <c r="AT363" s="102"/>
      <c r="AU363" s="102"/>
      <c r="AV363" s="102"/>
    </row>
    <row r="364" ht="12.75" customHeight="1">
      <c r="C364" s="400"/>
      <c r="D364" s="102"/>
      <c r="I364" s="102"/>
      <c r="J364" s="102"/>
      <c r="K364" s="102"/>
      <c r="L364" s="102"/>
      <c r="M364" s="102"/>
      <c r="N364" s="102"/>
      <c r="O364" s="102"/>
      <c r="P364" s="102"/>
      <c r="Q364" s="102"/>
      <c r="R364" s="102"/>
      <c r="S364" s="102"/>
      <c r="T364" s="102"/>
      <c r="U364" s="102"/>
      <c r="V364" s="102"/>
      <c r="W364" s="102"/>
      <c r="X364" s="102"/>
      <c r="Y364" s="102"/>
      <c r="Z364" s="102"/>
      <c r="AA364" s="102"/>
      <c r="AB364" s="102"/>
      <c r="AC364" s="102"/>
      <c r="AD364" s="102"/>
      <c r="AE364" s="102"/>
      <c r="AF364" s="102"/>
      <c r="AG364" s="102"/>
      <c r="AH364" s="102"/>
      <c r="AI364" s="102"/>
      <c r="AJ364" s="102"/>
      <c r="AK364" s="102"/>
      <c r="AL364" s="102"/>
      <c r="AM364" s="102"/>
      <c r="AN364" s="102"/>
      <c r="AO364" s="102"/>
      <c r="AP364" s="102"/>
      <c r="AQ364" s="102"/>
      <c r="AR364" s="102"/>
      <c r="AS364" s="102"/>
      <c r="AT364" s="102"/>
      <c r="AU364" s="102"/>
      <c r="AV364" s="102"/>
    </row>
    <row r="365" ht="12.75" customHeight="1">
      <c r="C365" s="400"/>
      <c r="D365" s="102"/>
      <c r="I365" s="102"/>
      <c r="J365" s="102"/>
      <c r="K365" s="102"/>
      <c r="L365" s="102"/>
      <c r="M365" s="102"/>
      <c r="N365" s="102"/>
      <c r="O365" s="102"/>
      <c r="P365" s="102"/>
      <c r="Q365" s="102"/>
      <c r="R365" s="102"/>
      <c r="S365" s="102"/>
      <c r="T365" s="102"/>
      <c r="U365" s="102"/>
      <c r="V365" s="102"/>
      <c r="W365" s="102"/>
      <c r="X365" s="102"/>
      <c r="Y365" s="102"/>
      <c r="Z365" s="102"/>
      <c r="AA365" s="102"/>
      <c r="AB365" s="102"/>
      <c r="AC365" s="102"/>
      <c r="AD365" s="102"/>
      <c r="AE365" s="102"/>
      <c r="AF365" s="102"/>
      <c r="AG365" s="102"/>
      <c r="AH365" s="102"/>
      <c r="AI365" s="102"/>
      <c r="AJ365" s="102"/>
      <c r="AK365" s="102"/>
      <c r="AL365" s="102"/>
      <c r="AM365" s="102"/>
      <c r="AN365" s="102"/>
      <c r="AO365" s="102"/>
      <c r="AP365" s="102"/>
      <c r="AQ365" s="102"/>
      <c r="AR365" s="102"/>
      <c r="AS365" s="102"/>
      <c r="AT365" s="102"/>
      <c r="AU365" s="102"/>
      <c r="AV365" s="102"/>
    </row>
    <row r="366" ht="12.75" customHeight="1">
      <c r="C366" s="400"/>
      <c r="D366" s="102"/>
      <c r="I366" s="102"/>
      <c r="J366" s="102"/>
      <c r="K366" s="102"/>
      <c r="L366" s="102"/>
      <c r="M366" s="102"/>
      <c r="N366" s="102"/>
      <c r="O366" s="102"/>
      <c r="P366" s="102"/>
      <c r="Q366" s="102"/>
      <c r="R366" s="102"/>
      <c r="S366" s="102"/>
      <c r="T366" s="102"/>
      <c r="U366" s="102"/>
      <c r="V366" s="102"/>
      <c r="W366" s="102"/>
      <c r="X366" s="102"/>
      <c r="Y366" s="102"/>
      <c r="Z366" s="102"/>
      <c r="AA366" s="102"/>
      <c r="AB366" s="102"/>
      <c r="AC366" s="102"/>
      <c r="AD366" s="102"/>
      <c r="AE366" s="102"/>
      <c r="AF366" s="102"/>
      <c r="AG366" s="102"/>
      <c r="AH366" s="102"/>
      <c r="AI366" s="102"/>
      <c r="AJ366" s="102"/>
      <c r="AK366" s="102"/>
      <c r="AL366" s="102"/>
      <c r="AM366" s="102"/>
      <c r="AN366" s="102"/>
      <c r="AO366" s="102"/>
      <c r="AP366" s="102"/>
      <c r="AQ366" s="102"/>
      <c r="AR366" s="102"/>
      <c r="AS366" s="102"/>
      <c r="AT366" s="102"/>
      <c r="AU366" s="102"/>
      <c r="AV366" s="102"/>
    </row>
    <row r="367" ht="12.75" customHeight="1">
      <c r="C367" s="400"/>
      <c r="D367" s="102"/>
      <c r="I367" s="102"/>
      <c r="J367" s="102"/>
      <c r="K367" s="102"/>
      <c r="L367" s="102"/>
      <c r="M367" s="102"/>
      <c r="N367" s="102"/>
      <c r="O367" s="102"/>
      <c r="P367" s="102"/>
      <c r="Q367" s="102"/>
      <c r="R367" s="102"/>
      <c r="S367" s="102"/>
      <c r="T367" s="102"/>
      <c r="U367" s="102"/>
      <c r="V367" s="102"/>
      <c r="W367" s="102"/>
      <c r="X367" s="102"/>
      <c r="Y367" s="102"/>
      <c r="Z367" s="102"/>
      <c r="AA367" s="102"/>
      <c r="AB367" s="102"/>
      <c r="AC367" s="102"/>
      <c r="AD367" s="102"/>
      <c r="AE367" s="102"/>
      <c r="AF367" s="102"/>
      <c r="AG367" s="102"/>
      <c r="AH367" s="102"/>
      <c r="AI367" s="102"/>
      <c r="AJ367" s="102"/>
      <c r="AK367" s="102"/>
      <c r="AL367" s="102"/>
      <c r="AM367" s="102"/>
      <c r="AN367" s="102"/>
      <c r="AO367" s="102"/>
      <c r="AP367" s="102"/>
      <c r="AQ367" s="102"/>
      <c r="AR367" s="102"/>
      <c r="AS367" s="102"/>
      <c r="AT367" s="102"/>
      <c r="AU367" s="102"/>
      <c r="AV367" s="102"/>
    </row>
    <row r="368" ht="12.75" customHeight="1">
      <c r="C368" s="400"/>
      <c r="D368" s="102"/>
      <c r="I368" s="102"/>
      <c r="J368" s="102"/>
      <c r="K368" s="102"/>
      <c r="L368" s="102"/>
      <c r="M368" s="102"/>
      <c r="N368" s="102"/>
      <c r="O368" s="102"/>
      <c r="P368" s="102"/>
      <c r="Q368" s="102"/>
      <c r="R368" s="102"/>
      <c r="S368" s="102"/>
      <c r="T368" s="102"/>
      <c r="U368" s="102"/>
      <c r="V368" s="102"/>
      <c r="W368" s="102"/>
      <c r="X368" s="102"/>
      <c r="Y368" s="102"/>
      <c r="Z368" s="102"/>
      <c r="AA368" s="102"/>
      <c r="AB368" s="102"/>
      <c r="AC368" s="102"/>
      <c r="AD368" s="102"/>
      <c r="AE368" s="102"/>
      <c r="AF368" s="102"/>
      <c r="AG368" s="102"/>
      <c r="AH368" s="102"/>
      <c r="AI368" s="102"/>
      <c r="AJ368" s="102"/>
      <c r="AK368" s="102"/>
      <c r="AL368" s="102"/>
      <c r="AM368" s="102"/>
      <c r="AN368" s="102"/>
      <c r="AO368" s="102"/>
      <c r="AP368" s="102"/>
      <c r="AQ368" s="102"/>
      <c r="AR368" s="102"/>
      <c r="AS368" s="102"/>
      <c r="AT368" s="102"/>
      <c r="AU368" s="102"/>
      <c r="AV368" s="102"/>
    </row>
    <row r="369" ht="12.75" customHeight="1">
      <c r="C369" s="400"/>
      <c r="D369" s="102"/>
      <c r="I369" s="102"/>
      <c r="J369" s="102"/>
      <c r="K369" s="102"/>
      <c r="L369" s="102"/>
      <c r="M369" s="102"/>
      <c r="N369" s="102"/>
      <c r="O369" s="102"/>
      <c r="P369" s="102"/>
      <c r="Q369" s="102"/>
      <c r="R369" s="102"/>
      <c r="S369" s="102"/>
      <c r="T369" s="102"/>
      <c r="U369" s="102"/>
      <c r="V369" s="102"/>
      <c r="W369" s="102"/>
      <c r="X369" s="102"/>
      <c r="Y369" s="102"/>
      <c r="Z369" s="102"/>
      <c r="AA369" s="102"/>
      <c r="AB369" s="102"/>
      <c r="AC369" s="102"/>
      <c r="AD369" s="102"/>
      <c r="AE369" s="102"/>
      <c r="AF369" s="102"/>
      <c r="AG369" s="102"/>
      <c r="AH369" s="102"/>
      <c r="AI369" s="102"/>
      <c r="AJ369" s="102"/>
      <c r="AK369" s="102"/>
      <c r="AL369" s="102"/>
      <c r="AM369" s="102"/>
      <c r="AN369" s="102"/>
      <c r="AO369" s="102"/>
      <c r="AP369" s="102"/>
      <c r="AQ369" s="102"/>
      <c r="AR369" s="102"/>
      <c r="AS369" s="102"/>
      <c r="AT369" s="102"/>
      <c r="AU369" s="102"/>
      <c r="AV369" s="102"/>
    </row>
    <row r="370" ht="12.75" customHeight="1">
      <c r="C370" s="400"/>
      <c r="D370" s="102"/>
      <c r="I370" s="102"/>
      <c r="J370" s="102"/>
      <c r="K370" s="102"/>
      <c r="L370" s="102"/>
      <c r="M370" s="102"/>
      <c r="N370" s="102"/>
      <c r="O370" s="102"/>
      <c r="P370" s="102"/>
      <c r="Q370" s="102"/>
      <c r="R370" s="102"/>
      <c r="S370" s="102"/>
      <c r="T370" s="102"/>
      <c r="U370" s="102"/>
      <c r="V370" s="102"/>
      <c r="W370" s="102"/>
      <c r="X370" s="102"/>
      <c r="Y370" s="102"/>
      <c r="Z370" s="102"/>
      <c r="AA370" s="102"/>
      <c r="AB370" s="102"/>
      <c r="AC370" s="102"/>
      <c r="AD370" s="102"/>
      <c r="AE370" s="102"/>
      <c r="AF370" s="102"/>
      <c r="AG370" s="102"/>
      <c r="AH370" s="102"/>
      <c r="AI370" s="102"/>
      <c r="AJ370" s="102"/>
      <c r="AK370" s="102"/>
      <c r="AL370" s="102"/>
      <c r="AM370" s="102"/>
      <c r="AN370" s="102"/>
      <c r="AO370" s="102"/>
      <c r="AP370" s="102"/>
      <c r="AQ370" s="102"/>
      <c r="AR370" s="102"/>
      <c r="AS370" s="102"/>
      <c r="AT370" s="102"/>
      <c r="AU370" s="102"/>
      <c r="AV370" s="102"/>
    </row>
    <row r="371" ht="12.75" customHeight="1">
      <c r="C371" s="400"/>
      <c r="D371" s="102"/>
      <c r="I371" s="102"/>
      <c r="J371" s="102"/>
      <c r="K371" s="102"/>
      <c r="L371" s="102"/>
      <c r="M371" s="102"/>
      <c r="N371" s="102"/>
      <c r="O371" s="102"/>
      <c r="P371" s="102"/>
      <c r="Q371" s="102"/>
      <c r="R371" s="102"/>
      <c r="S371" s="102"/>
      <c r="T371" s="102"/>
      <c r="U371" s="102"/>
      <c r="V371" s="102"/>
      <c r="W371" s="102"/>
      <c r="X371" s="102"/>
      <c r="Y371" s="102"/>
      <c r="Z371" s="102"/>
      <c r="AA371" s="102"/>
      <c r="AB371" s="102"/>
      <c r="AC371" s="102"/>
      <c r="AD371" s="102"/>
      <c r="AE371" s="102"/>
      <c r="AF371" s="102"/>
      <c r="AG371" s="102"/>
      <c r="AH371" s="102"/>
      <c r="AI371" s="102"/>
      <c r="AJ371" s="102"/>
      <c r="AK371" s="102"/>
      <c r="AL371" s="102"/>
      <c r="AM371" s="102"/>
      <c r="AN371" s="102"/>
      <c r="AO371" s="102"/>
      <c r="AP371" s="102"/>
      <c r="AQ371" s="102"/>
      <c r="AR371" s="102"/>
      <c r="AS371" s="102"/>
      <c r="AT371" s="102"/>
      <c r="AU371" s="102"/>
      <c r="AV371" s="102"/>
    </row>
    <row r="372" ht="12.75" customHeight="1">
      <c r="C372" s="400"/>
      <c r="D372" s="102"/>
      <c r="I372" s="102"/>
      <c r="J372" s="102"/>
      <c r="K372" s="102"/>
      <c r="L372" s="102"/>
      <c r="M372" s="102"/>
      <c r="N372" s="102"/>
      <c r="O372" s="102"/>
      <c r="P372" s="102"/>
      <c r="Q372" s="102"/>
      <c r="R372" s="102"/>
      <c r="S372" s="102"/>
      <c r="T372" s="102"/>
      <c r="U372" s="102"/>
      <c r="V372" s="102"/>
      <c r="W372" s="102"/>
      <c r="X372" s="102"/>
      <c r="Y372" s="102"/>
      <c r="Z372" s="102"/>
      <c r="AA372" s="102"/>
      <c r="AB372" s="102"/>
      <c r="AC372" s="102"/>
      <c r="AD372" s="102"/>
      <c r="AE372" s="102"/>
      <c r="AF372" s="102"/>
      <c r="AG372" s="102"/>
      <c r="AH372" s="102"/>
      <c r="AI372" s="102"/>
      <c r="AJ372" s="102"/>
      <c r="AK372" s="102"/>
      <c r="AL372" s="102"/>
      <c r="AM372" s="102"/>
      <c r="AN372" s="102"/>
      <c r="AO372" s="102"/>
      <c r="AP372" s="102"/>
      <c r="AQ372" s="102"/>
      <c r="AR372" s="102"/>
      <c r="AS372" s="102"/>
      <c r="AT372" s="102"/>
      <c r="AU372" s="102"/>
      <c r="AV372" s="102"/>
    </row>
    <row r="373" ht="12.75" customHeight="1">
      <c r="C373" s="400"/>
      <c r="D373" s="102"/>
      <c r="I373" s="102"/>
      <c r="J373" s="102"/>
      <c r="K373" s="102"/>
      <c r="L373" s="102"/>
      <c r="M373" s="102"/>
      <c r="N373" s="102"/>
      <c r="O373" s="102"/>
      <c r="P373" s="102"/>
      <c r="Q373" s="102"/>
      <c r="R373" s="102"/>
      <c r="S373" s="102"/>
      <c r="T373" s="102"/>
      <c r="U373" s="102"/>
      <c r="V373" s="102"/>
      <c r="W373" s="102"/>
      <c r="X373" s="102"/>
      <c r="Y373" s="102"/>
      <c r="Z373" s="102"/>
      <c r="AA373" s="102"/>
      <c r="AB373" s="102"/>
      <c r="AC373" s="102"/>
      <c r="AD373" s="102"/>
      <c r="AE373" s="102"/>
      <c r="AF373" s="102"/>
      <c r="AG373" s="102"/>
      <c r="AH373" s="102"/>
      <c r="AI373" s="102"/>
      <c r="AJ373" s="102"/>
      <c r="AK373" s="102"/>
      <c r="AL373" s="102"/>
      <c r="AM373" s="102"/>
      <c r="AN373" s="102"/>
      <c r="AO373" s="102"/>
      <c r="AP373" s="102"/>
      <c r="AQ373" s="102"/>
      <c r="AR373" s="102"/>
      <c r="AS373" s="102"/>
      <c r="AT373" s="102"/>
      <c r="AU373" s="102"/>
      <c r="AV373" s="102"/>
    </row>
    <row r="374" ht="12.75" customHeight="1">
      <c r="C374" s="400"/>
      <c r="D374" s="102"/>
      <c r="I374" s="102"/>
      <c r="J374" s="102"/>
      <c r="K374" s="102"/>
      <c r="L374" s="102"/>
      <c r="M374" s="102"/>
      <c r="N374" s="102"/>
      <c r="O374" s="102"/>
      <c r="P374" s="102"/>
      <c r="Q374" s="102"/>
      <c r="R374" s="102"/>
      <c r="S374" s="102"/>
      <c r="T374" s="102"/>
      <c r="U374" s="102"/>
      <c r="V374" s="102"/>
      <c r="W374" s="102"/>
      <c r="X374" s="102"/>
      <c r="Y374" s="102"/>
      <c r="Z374" s="102"/>
      <c r="AA374" s="102"/>
      <c r="AB374" s="102"/>
      <c r="AC374" s="102"/>
      <c r="AD374" s="102"/>
      <c r="AE374" s="102"/>
      <c r="AF374" s="102"/>
      <c r="AG374" s="102"/>
      <c r="AH374" s="102"/>
      <c r="AI374" s="102"/>
      <c r="AJ374" s="102"/>
      <c r="AK374" s="102"/>
      <c r="AL374" s="102"/>
      <c r="AM374" s="102"/>
      <c r="AN374" s="102"/>
      <c r="AO374" s="102"/>
      <c r="AP374" s="102"/>
      <c r="AQ374" s="102"/>
      <c r="AR374" s="102"/>
      <c r="AS374" s="102"/>
      <c r="AT374" s="102"/>
      <c r="AU374" s="102"/>
      <c r="AV374" s="102"/>
    </row>
    <row r="375" ht="12.75" customHeight="1">
      <c r="C375" s="400"/>
      <c r="D375" s="102"/>
      <c r="I375" s="102"/>
      <c r="J375" s="102"/>
      <c r="K375" s="102"/>
      <c r="L375" s="102"/>
      <c r="M375" s="102"/>
      <c r="N375" s="102"/>
      <c r="O375" s="102"/>
      <c r="P375" s="102"/>
      <c r="Q375" s="102"/>
      <c r="R375" s="102"/>
      <c r="S375" s="102"/>
      <c r="T375" s="102"/>
      <c r="U375" s="102"/>
      <c r="V375" s="102"/>
      <c r="W375" s="102"/>
      <c r="X375" s="102"/>
      <c r="Y375" s="102"/>
      <c r="Z375" s="102"/>
      <c r="AA375" s="102"/>
      <c r="AB375" s="102"/>
      <c r="AC375" s="102"/>
      <c r="AD375" s="102"/>
      <c r="AE375" s="102"/>
      <c r="AF375" s="102"/>
      <c r="AG375" s="102"/>
      <c r="AH375" s="102"/>
      <c r="AI375" s="102"/>
      <c r="AJ375" s="102"/>
      <c r="AK375" s="102"/>
      <c r="AL375" s="102"/>
      <c r="AM375" s="102"/>
      <c r="AN375" s="102"/>
      <c r="AO375" s="102"/>
      <c r="AP375" s="102"/>
      <c r="AQ375" s="102"/>
      <c r="AR375" s="102"/>
      <c r="AS375" s="102"/>
      <c r="AT375" s="102"/>
      <c r="AU375" s="102"/>
      <c r="AV375" s="102"/>
    </row>
    <row r="376" ht="12.75" customHeight="1">
      <c r="C376" s="400"/>
      <c r="D376" s="102"/>
      <c r="I376" s="102"/>
      <c r="J376" s="102"/>
      <c r="K376" s="102"/>
      <c r="L376" s="102"/>
      <c r="M376" s="102"/>
      <c r="N376" s="102"/>
      <c r="O376" s="102"/>
      <c r="P376" s="102"/>
      <c r="Q376" s="102"/>
      <c r="R376" s="102"/>
      <c r="S376" s="102"/>
      <c r="T376" s="102"/>
      <c r="U376" s="102"/>
      <c r="V376" s="102"/>
      <c r="W376" s="102"/>
      <c r="X376" s="102"/>
      <c r="Y376" s="102"/>
      <c r="Z376" s="102"/>
      <c r="AA376" s="102"/>
      <c r="AB376" s="102"/>
      <c r="AC376" s="102"/>
      <c r="AD376" s="102"/>
      <c r="AE376" s="102"/>
      <c r="AF376" s="102"/>
      <c r="AG376" s="102"/>
      <c r="AH376" s="102"/>
      <c r="AI376" s="102"/>
      <c r="AJ376" s="102"/>
      <c r="AK376" s="102"/>
      <c r="AL376" s="102"/>
      <c r="AM376" s="102"/>
      <c r="AN376" s="102"/>
      <c r="AO376" s="102"/>
      <c r="AP376" s="102"/>
      <c r="AQ376" s="102"/>
      <c r="AR376" s="102"/>
      <c r="AS376" s="102"/>
      <c r="AT376" s="102"/>
      <c r="AU376" s="102"/>
      <c r="AV376" s="102"/>
    </row>
    <row r="377" ht="12.75" customHeight="1">
      <c r="C377" s="400"/>
      <c r="D377" s="102"/>
      <c r="I377" s="102"/>
      <c r="J377" s="102"/>
      <c r="K377" s="102"/>
      <c r="L377" s="102"/>
      <c r="M377" s="102"/>
      <c r="N377" s="102"/>
      <c r="O377" s="102"/>
      <c r="P377" s="102"/>
      <c r="Q377" s="102"/>
      <c r="R377" s="102"/>
      <c r="S377" s="102"/>
      <c r="T377" s="102"/>
      <c r="U377" s="102"/>
      <c r="V377" s="102"/>
      <c r="W377" s="102"/>
      <c r="X377" s="102"/>
      <c r="Y377" s="102"/>
      <c r="Z377" s="102"/>
      <c r="AA377" s="102"/>
      <c r="AB377" s="102"/>
      <c r="AC377" s="102"/>
      <c r="AD377" s="102"/>
      <c r="AE377" s="102"/>
      <c r="AF377" s="102"/>
      <c r="AG377" s="102"/>
      <c r="AH377" s="102"/>
      <c r="AI377" s="102"/>
      <c r="AJ377" s="102"/>
      <c r="AK377" s="102"/>
      <c r="AL377" s="102"/>
      <c r="AM377" s="102"/>
      <c r="AN377" s="102"/>
      <c r="AO377" s="102"/>
      <c r="AP377" s="102"/>
      <c r="AQ377" s="102"/>
      <c r="AR377" s="102"/>
      <c r="AS377" s="102"/>
      <c r="AT377" s="102"/>
      <c r="AU377" s="102"/>
      <c r="AV377" s="102"/>
    </row>
    <row r="378" ht="12.75" customHeight="1">
      <c r="C378" s="400"/>
      <c r="D378" s="102"/>
      <c r="I378" s="102"/>
      <c r="J378" s="102"/>
      <c r="K378" s="102"/>
      <c r="L378" s="102"/>
      <c r="M378" s="102"/>
      <c r="N378" s="102"/>
      <c r="O378" s="102"/>
      <c r="P378" s="102"/>
      <c r="Q378" s="102"/>
      <c r="R378" s="102"/>
      <c r="S378" s="102"/>
      <c r="T378" s="102"/>
      <c r="U378" s="102"/>
      <c r="V378" s="102"/>
      <c r="W378" s="102"/>
      <c r="X378" s="102"/>
      <c r="Y378" s="102"/>
      <c r="Z378" s="102"/>
      <c r="AA378" s="102"/>
      <c r="AB378" s="102"/>
      <c r="AC378" s="102"/>
      <c r="AD378" s="102"/>
      <c r="AE378" s="102"/>
      <c r="AF378" s="102"/>
      <c r="AG378" s="102"/>
      <c r="AH378" s="102"/>
      <c r="AI378" s="102"/>
      <c r="AJ378" s="102"/>
      <c r="AK378" s="102"/>
      <c r="AL378" s="102"/>
      <c r="AM378" s="102"/>
      <c r="AN378" s="102"/>
      <c r="AO378" s="102"/>
      <c r="AP378" s="102"/>
      <c r="AQ378" s="102"/>
      <c r="AR378" s="102"/>
      <c r="AS378" s="102"/>
      <c r="AT378" s="102"/>
      <c r="AU378" s="102"/>
      <c r="AV378" s="102"/>
    </row>
    <row r="379" ht="12.75" customHeight="1">
      <c r="C379" s="400"/>
      <c r="D379" s="102"/>
      <c r="I379" s="102"/>
      <c r="J379" s="102"/>
      <c r="K379" s="102"/>
      <c r="L379" s="102"/>
      <c r="M379" s="102"/>
      <c r="N379" s="102"/>
      <c r="O379" s="102"/>
      <c r="P379" s="102"/>
      <c r="Q379" s="102"/>
      <c r="R379" s="102"/>
      <c r="S379" s="102"/>
      <c r="T379" s="102"/>
      <c r="U379" s="102"/>
      <c r="V379" s="102"/>
      <c r="W379" s="102"/>
      <c r="X379" s="102"/>
      <c r="Y379" s="102"/>
      <c r="Z379" s="102"/>
      <c r="AA379" s="102"/>
      <c r="AB379" s="102"/>
      <c r="AC379" s="102"/>
      <c r="AD379" s="102"/>
      <c r="AE379" s="102"/>
      <c r="AF379" s="102"/>
      <c r="AG379" s="102"/>
      <c r="AH379" s="102"/>
      <c r="AI379" s="102"/>
      <c r="AJ379" s="102"/>
      <c r="AK379" s="102"/>
      <c r="AL379" s="102"/>
      <c r="AM379" s="102"/>
      <c r="AN379" s="102"/>
      <c r="AO379" s="102"/>
      <c r="AP379" s="102"/>
      <c r="AQ379" s="102"/>
      <c r="AR379" s="102"/>
      <c r="AS379" s="102"/>
      <c r="AT379" s="102"/>
      <c r="AU379" s="102"/>
      <c r="AV379" s="102"/>
    </row>
    <row r="380" ht="12.75" customHeight="1">
      <c r="C380" s="400"/>
      <c r="D380" s="102"/>
      <c r="I380" s="102"/>
      <c r="J380" s="102"/>
      <c r="K380" s="102"/>
      <c r="L380" s="102"/>
      <c r="M380" s="102"/>
      <c r="N380" s="102"/>
      <c r="O380" s="102"/>
      <c r="P380" s="102"/>
      <c r="Q380" s="102"/>
      <c r="R380" s="102"/>
      <c r="S380" s="102"/>
      <c r="T380" s="102"/>
      <c r="U380" s="102"/>
      <c r="V380" s="102"/>
      <c r="W380" s="102"/>
      <c r="X380" s="102"/>
      <c r="Y380" s="102"/>
      <c r="Z380" s="102"/>
      <c r="AA380" s="102"/>
      <c r="AB380" s="102"/>
      <c r="AC380" s="102"/>
      <c r="AD380" s="102"/>
      <c r="AE380" s="102"/>
      <c r="AF380" s="102"/>
      <c r="AG380" s="102"/>
      <c r="AH380" s="102"/>
      <c r="AI380" s="102"/>
      <c r="AJ380" s="102"/>
      <c r="AK380" s="102"/>
      <c r="AL380" s="102"/>
      <c r="AM380" s="102"/>
      <c r="AN380" s="102"/>
      <c r="AO380" s="102"/>
      <c r="AP380" s="102"/>
      <c r="AQ380" s="102"/>
      <c r="AR380" s="102"/>
      <c r="AS380" s="102"/>
      <c r="AT380" s="102"/>
      <c r="AU380" s="102"/>
      <c r="AV380" s="102"/>
    </row>
    <row r="381" ht="12.75" customHeight="1">
      <c r="C381" s="400"/>
      <c r="D381" s="102"/>
      <c r="I381" s="102"/>
      <c r="J381" s="102"/>
      <c r="K381" s="102"/>
      <c r="L381" s="102"/>
      <c r="M381" s="102"/>
      <c r="N381" s="102"/>
      <c r="O381" s="102"/>
      <c r="P381" s="102"/>
      <c r="Q381" s="102"/>
      <c r="R381" s="102"/>
      <c r="S381" s="102"/>
      <c r="T381" s="102"/>
      <c r="U381" s="102"/>
      <c r="V381" s="102"/>
      <c r="W381" s="102"/>
      <c r="X381" s="102"/>
      <c r="Y381" s="102"/>
      <c r="Z381" s="102"/>
      <c r="AA381" s="102"/>
      <c r="AB381" s="102"/>
      <c r="AC381" s="102"/>
      <c r="AD381" s="102"/>
      <c r="AE381" s="102"/>
      <c r="AF381" s="102"/>
      <c r="AG381" s="102"/>
      <c r="AH381" s="102"/>
      <c r="AI381" s="102"/>
      <c r="AJ381" s="102"/>
      <c r="AK381" s="102"/>
      <c r="AL381" s="102"/>
      <c r="AM381" s="102"/>
      <c r="AN381" s="102"/>
      <c r="AO381" s="102"/>
      <c r="AP381" s="102"/>
      <c r="AQ381" s="102"/>
      <c r="AR381" s="102"/>
      <c r="AS381" s="102"/>
      <c r="AT381" s="102"/>
      <c r="AU381" s="102"/>
      <c r="AV381" s="102"/>
    </row>
    <row r="382" ht="12.75" customHeight="1">
      <c r="C382" s="400"/>
      <c r="D382" s="102"/>
      <c r="I382" s="102"/>
      <c r="J382" s="102"/>
      <c r="K382" s="102"/>
      <c r="L382" s="102"/>
      <c r="M382" s="102"/>
      <c r="N382" s="102"/>
      <c r="O382" s="102"/>
      <c r="P382" s="102"/>
      <c r="Q382" s="102"/>
      <c r="R382" s="102"/>
      <c r="S382" s="102"/>
      <c r="T382" s="102"/>
      <c r="U382" s="102"/>
      <c r="V382" s="102"/>
      <c r="W382" s="102"/>
      <c r="X382" s="102"/>
      <c r="Y382" s="102"/>
      <c r="Z382" s="102"/>
      <c r="AA382" s="102"/>
      <c r="AB382" s="102"/>
      <c r="AC382" s="102"/>
      <c r="AD382" s="102"/>
      <c r="AE382" s="102"/>
      <c r="AF382" s="102"/>
      <c r="AG382" s="102"/>
      <c r="AH382" s="102"/>
      <c r="AI382" s="102"/>
      <c r="AJ382" s="102"/>
      <c r="AK382" s="102"/>
      <c r="AL382" s="102"/>
      <c r="AM382" s="102"/>
      <c r="AN382" s="102"/>
      <c r="AO382" s="102"/>
      <c r="AP382" s="102"/>
      <c r="AQ382" s="102"/>
      <c r="AR382" s="102"/>
      <c r="AS382" s="102"/>
      <c r="AT382" s="102"/>
      <c r="AU382" s="102"/>
      <c r="AV382" s="102"/>
    </row>
    <row r="383" ht="12.75" customHeight="1">
      <c r="C383" s="400"/>
      <c r="D383" s="102"/>
      <c r="I383" s="102"/>
      <c r="J383" s="102"/>
      <c r="K383" s="102"/>
      <c r="L383" s="102"/>
      <c r="M383" s="102"/>
      <c r="N383" s="102"/>
      <c r="O383" s="102"/>
      <c r="P383" s="102"/>
      <c r="Q383" s="102"/>
      <c r="R383" s="102"/>
      <c r="S383" s="102"/>
      <c r="T383" s="102"/>
      <c r="U383" s="102"/>
      <c r="V383" s="102"/>
      <c r="W383" s="102"/>
      <c r="X383" s="102"/>
      <c r="Y383" s="102"/>
      <c r="Z383" s="102"/>
      <c r="AA383" s="102"/>
      <c r="AB383" s="102"/>
      <c r="AC383" s="102"/>
      <c r="AD383" s="102"/>
      <c r="AE383" s="102"/>
      <c r="AF383" s="102"/>
      <c r="AG383" s="102"/>
      <c r="AH383" s="102"/>
      <c r="AI383" s="102"/>
      <c r="AJ383" s="102"/>
      <c r="AK383" s="102"/>
      <c r="AL383" s="102"/>
      <c r="AM383" s="102"/>
      <c r="AN383" s="102"/>
      <c r="AO383" s="102"/>
      <c r="AP383" s="102"/>
      <c r="AQ383" s="102"/>
      <c r="AR383" s="102"/>
      <c r="AS383" s="102"/>
      <c r="AT383" s="102"/>
      <c r="AU383" s="102"/>
      <c r="AV383" s="102"/>
    </row>
    <row r="384" ht="12.75" customHeight="1">
      <c r="C384" s="400"/>
      <c r="D384" s="102"/>
      <c r="I384" s="102"/>
      <c r="J384" s="102"/>
      <c r="K384" s="102"/>
      <c r="L384" s="102"/>
      <c r="M384" s="102"/>
      <c r="N384" s="102"/>
      <c r="O384" s="102"/>
      <c r="P384" s="102"/>
      <c r="Q384" s="102"/>
      <c r="R384" s="102"/>
      <c r="S384" s="102"/>
      <c r="T384" s="102"/>
      <c r="U384" s="102"/>
      <c r="V384" s="102"/>
      <c r="W384" s="102"/>
      <c r="X384" s="102"/>
      <c r="Y384" s="102"/>
      <c r="Z384" s="102"/>
      <c r="AA384" s="102"/>
      <c r="AB384" s="102"/>
      <c r="AC384" s="102"/>
      <c r="AD384" s="102"/>
      <c r="AE384" s="102"/>
      <c r="AF384" s="102"/>
      <c r="AG384" s="102"/>
      <c r="AH384" s="102"/>
      <c r="AI384" s="102"/>
      <c r="AJ384" s="102"/>
      <c r="AK384" s="102"/>
      <c r="AL384" s="102"/>
      <c r="AM384" s="102"/>
      <c r="AN384" s="102"/>
      <c r="AO384" s="102"/>
      <c r="AP384" s="102"/>
      <c r="AQ384" s="102"/>
      <c r="AR384" s="102"/>
      <c r="AS384" s="102"/>
      <c r="AT384" s="102"/>
      <c r="AU384" s="102"/>
      <c r="AV384" s="102"/>
    </row>
    <row r="385" ht="12.75" customHeight="1">
      <c r="C385" s="400"/>
      <c r="D385" s="102"/>
      <c r="I385" s="102"/>
      <c r="J385" s="102"/>
      <c r="K385" s="102"/>
      <c r="L385" s="102"/>
      <c r="M385" s="102"/>
      <c r="N385" s="102"/>
      <c r="O385" s="102"/>
      <c r="P385" s="102"/>
      <c r="Q385" s="102"/>
      <c r="R385" s="102"/>
      <c r="S385" s="102"/>
      <c r="T385" s="102"/>
      <c r="U385" s="102"/>
      <c r="V385" s="102"/>
      <c r="W385" s="102"/>
      <c r="X385" s="102"/>
      <c r="Y385" s="102"/>
      <c r="Z385" s="102"/>
      <c r="AA385" s="102"/>
      <c r="AB385" s="102"/>
      <c r="AC385" s="102"/>
      <c r="AD385" s="102"/>
      <c r="AE385" s="102"/>
      <c r="AF385" s="102"/>
      <c r="AG385" s="102"/>
      <c r="AH385" s="102"/>
      <c r="AI385" s="102"/>
      <c r="AJ385" s="102"/>
      <c r="AK385" s="102"/>
      <c r="AL385" s="102"/>
      <c r="AM385" s="102"/>
      <c r="AN385" s="102"/>
      <c r="AO385" s="102"/>
      <c r="AP385" s="102"/>
      <c r="AQ385" s="102"/>
      <c r="AR385" s="102"/>
      <c r="AS385" s="102"/>
      <c r="AT385" s="102"/>
      <c r="AU385" s="102"/>
      <c r="AV385" s="102"/>
    </row>
    <row r="386" ht="12.75" customHeight="1">
      <c r="C386" s="400"/>
      <c r="D386" s="102"/>
      <c r="I386" s="102"/>
      <c r="J386" s="102"/>
      <c r="K386" s="102"/>
      <c r="L386" s="102"/>
      <c r="M386" s="102"/>
      <c r="N386" s="102"/>
      <c r="O386" s="102"/>
      <c r="P386" s="102"/>
      <c r="Q386" s="102"/>
      <c r="R386" s="102"/>
      <c r="S386" s="102"/>
      <c r="T386" s="102"/>
      <c r="U386" s="102"/>
      <c r="V386" s="102"/>
      <c r="W386" s="102"/>
      <c r="X386" s="102"/>
      <c r="Y386" s="102"/>
      <c r="Z386" s="102"/>
      <c r="AA386" s="102"/>
      <c r="AB386" s="102"/>
      <c r="AC386" s="102"/>
      <c r="AD386" s="102"/>
      <c r="AE386" s="102"/>
      <c r="AF386" s="102"/>
      <c r="AG386" s="102"/>
      <c r="AH386" s="102"/>
      <c r="AI386" s="102"/>
      <c r="AJ386" s="102"/>
      <c r="AK386" s="102"/>
      <c r="AL386" s="102"/>
      <c r="AM386" s="102"/>
      <c r="AN386" s="102"/>
      <c r="AO386" s="102"/>
      <c r="AP386" s="102"/>
      <c r="AQ386" s="102"/>
      <c r="AR386" s="102"/>
      <c r="AS386" s="102"/>
      <c r="AT386" s="102"/>
      <c r="AU386" s="102"/>
      <c r="AV386" s="102"/>
    </row>
    <row r="387" ht="12.75" customHeight="1">
      <c r="C387" s="400"/>
      <c r="D387" s="102"/>
      <c r="I387" s="102"/>
      <c r="J387" s="102"/>
      <c r="K387" s="102"/>
      <c r="L387" s="102"/>
      <c r="M387" s="102"/>
      <c r="N387" s="102"/>
      <c r="O387" s="102"/>
      <c r="P387" s="102"/>
      <c r="Q387" s="102"/>
      <c r="R387" s="102"/>
      <c r="S387" s="102"/>
      <c r="T387" s="102"/>
      <c r="U387" s="102"/>
      <c r="V387" s="102"/>
      <c r="W387" s="102"/>
      <c r="X387" s="102"/>
      <c r="Y387" s="102"/>
      <c r="Z387" s="102"/>
      <c r="AA387" s="102"/>
      <c r="AB387" s="102"/>
      <c r="AC387" s="102"/>
      <c r="AD387" s="102"/>
      <c r="AE387" s="102"/>
      <c r="AF387" s="102"/>
      <c r="AG387" s="102"/>
      <c r="AH387" s="102"/>
      <c r="AI387" s="102"/>
      <c r="AJ387" s="102"/>
      <c r="AK387" s="102"/>
      <c r="AL387" s="102"/>
      <c r="AM387" s="102"/>
      <c r="AN387" s="102"/>
      <c r="AO387" s="102"/>
      <c r="AP387" s="102"/>
      <c r="AQ387" s="102"/>
      <c r="AR387" s="102"/>
      <c r="AS387" s="102"/>
      <c r="AT387" s="102"/>
      <c r="AU387" s="102"/>
      <c r="AV387" s="102"/>
    </row>
    <row r="388" ht="12.75" customHeight="1">
      <c r="C388" s="400"/>
      <c r="D388" s="102"/>
      <c r="I388" s="102"/>
      <c r="J388" s="102"/>
      <c r="K388" s="102"/>
      <c r="L388" s="102"/>
      <c r="M388" s="102"/>
      <c r="N388" s="102"/>
      <c r="O388" s="102"/>
      <c r="P388" s="102"/>
      <c r="Q388" s="102"/>
      <c r="R388" s="102"/>
      <c r="S388" s="102"/>
      <c r="T388" s="102"/>
      <c r="U388" s="102"/>
      <c r="V388" s="102"/>
      <c r="W388" s="102"/>
      <c r="X388" s="102"/>
      <c r="Y388" s="102"/>
      <c r="Z388" s="102"/>
      <c r="AA388" s="102"/>
      <c r="AB388" s="102"/>
      <c r="AC388" s="102"/>
      <c r="AD388" s="102"/>
      <c r="AE388" s="102"/>
      <c r="AF388" s="102"/>
      <c r="AG388" s="102"/>
      <c r="AH388" s="102"/>
      <c r="AI388" s="102"/>
      <c r="AJ388" s="102"/>
      <c r="AK388" s="102"/>
      <c r="AL388" s="102"/>
      <c r="AM388" s="102"/>
      <c r="AN388" s="102"/>
      <c r="AO388" s="102"/>
      <c r="AP388" s="102"/>
      <c r="AQ388" s="102"/>
      <c r="AR388" s="102"/>
      <c r="AS388" s="102"/>
      <c r="AT388" s="102"/>
      <c r="AU388" s="102"/>
      <c r="AV388" s="102"/>
    </row>
    <row r="389" ht="12.75" customHeight="1">
      <c r="C389" s="400"/>
      <c r="D389" s="102"/>
      <c r="I389" s="102"/>
      <c r="J389" s="102"/>
      <c r="K389" s="102"/>
      <c r="L389" s="102"/>
      <c r="M389" s="102"/>
      <c r="N389" s="102"/>
      <c r="O389" s="102"/>
      <c r="P389" s="102"/>
      <c r="Q389" s="102"/>
      <c r="R389" s="102"/>
      <c r="S389" s="102"/>
      <c r="T389" s="102"/>
      <c r="U389" s="102"/>
      <c r="V389" s="102"/>
      <c r="W389" s="102"/>
      <c r="X389" s="102"/>
      <c r="Y389" s="102"/>
      <c r="Z389" s="102"/>
      <c r="AA389" s="102"/>
      <c r="AB389" s="102"/>
      <c r="AC389" s="102"/>
      <c r="AD389" s="102"/>
      <c r="AE389" s="102"/>
      <c r="AF389" s="102"/>
      <c r="AG389" s="102"/>
      <c r="AH389" s="102"/>
      <c r="AI389" s="102"/>
      <c r="AJ389" s="102"/>
      <c r="AK389" s="102"/>
      <c r="AL389" s="102"/>
      <c r="AM389" s="102"/>
      <c r="AN389" s="102"/>
      <c r="AO389" s="102"/>
      <c r="AP389" s="102"/>
      <c r="AQ389" s="102"/>
      <c r="AR389" s="102"/>
      <c r="AS389" s="102"/>
      <c r="AT389" s="102"/>
      <c r="AU389" s="102"/>
      <c r="AV389" s="102"/>
    </row>
    <row r="390" ht="12.75" customHeight="1">
      <c r="C390" s="400"/>
      <c r="D390" s="102"/>
      <c r="I390" s="102"/>
      <c r="J390" s="102"/>
      <c r="K390" s="102"/>
      <c r="L390" s="102"/>
      <c r="M390" s="102"/>
      <c r="N390" s="102"/>
      <c r="O390" s="102"/>
      <c r="P390" s="102"/>
      <c r="Q390" s="102"/>
      <c r="R390" s="102"/>
      <c r="S390" s="102"/>
      <c r="T390" s="102"/>
      <c r="U390" s="102"/>
      <c r="V390" s="102"/>
      <c r="W390" s="102"/>
      <c r="X390" s="102"/>
      <c r="Y390" s="102"/>
      <c r="Z390" s="102"/>
      <c r="AA390" s="102"/>
      <c r="AB390" s="102"/>
      <c r="AC390" s="102"/>
      <c r="AD390" s="102"/>
      <c r="AE390" s="102"/>
      <c r="AF390" s="102"/>
      <c r="AG390" s="102"/>
      <c r="AH390" s="102"/>
      <c r="AI390" s="102"/>
      <c r="AJ390" s="102"/>
      <c r="AK390" s="102"/>
      <c r="AL390" s="102"/>
      <c r="AM390" s="102"/>
      <c r="AN390" s="102"/>
      <c r="AO390" s="102"/>
      <c r="AP390" s="102"/>
      <c r="AQ390" s="102"/>
      <c r="AR390" s="102"/>
      <c r="AS390" s="102"/>
      <c r="AT390" s="102"/>
      <c r="AU390" s="102"/>
      <c r="AV390" s="102"/>
    </row>
    <row r="391" ht="12.75" customHeight="1">
      <c r="C391" s="400"/>
      <c r="D391" s="102"/>
      <c r="I391" s="102"/>
      <c r="J391" s="102"/>
      <c r="K391" s="102"/>
      <c r="L391" s="102"/>
      <c r="M391" s="102"/>
      <c r="N391" s="102"/>
      <c r="O391" s="102"/>
      <c r="P391" s="102"/>
      <c r="Q391" s="102"/>
      <c r="R391" s="102"/>
      <c r="S391" s="102"/>
      <c r="T391" s="102"/>
      <c r="U391" s="102"/>
      <c r="V391" s="102"/>
      <c r="W391" s="102"/>
      <c r="X391" s="102"/>
      <c r="Y391" s="102"/>
      <c r="Z391" s="102"/>
      <c r="AA391" s="102"/>
      <c r="AB391" s="102"/>
      <c r="AC391" s="102"/>
      <c r="AD391" s="102"/>
      <c r="AE391" s="102"/>
      <c r="AF391" s="102"/>
      <c r="AG391" s="102"/>
      <c r="AH391" s="102"/>
      <c r="AI391" s="102"/>
      <c r="AJ391" s="102"/>
      <c r="AK391" s="102"/>
      <c r="AL391" s="102"/>
      <c r="AM391" s="102"/>
      <c r="AN391" s="102"/>
      <c r="AO391" s="102"/>
      <c r="AP391" s="102"/>
      <c r="AQ391" s="102"/>
      <c r="AR391" s="102"/>
      <c r="AS391" s="102"/>
      <c r="AT391" s="102"/>
      <c r="AU391" s="102"/>
      <c r="AV391" s="102"/>
    </row>
    <row r="392" ht="12.75" customHeight="1">
      <c r="C392" s="400"/>
      <c r="D392" s="102"/>
      <c r="I392" s="102"/>
      <c r="J392" s="102"/>
      <c r="K392" s="102"/>
      <c r="L392" s="102"/>
      <c r="M392" s="102"/>
      <c r="N392" s="102"/>
      <c r="O392" s="102"/>
      <c r="P392" s="102"/>
      <c r="Q392" s="102"/>
      <c r="R392" s="102"/>
      <c r="S392" s="102"/>
      <c r="T392" s="102"/>
      <c r="U392" s="102"/>
      <c r="V392" s="102"/>
      <c r="W392" s="102"/>
      <c r="X392" s="102"/>
      <c r="Y392" s="102"/>
      <c r="Z392" s="102"/>
      <c r="AA392" s="102"/>
      <c r="AB392" s="102"/>
      <c r="AC392" s="102"/>
      <c r="AD392" s="102"/>
      <c r="AE392" s="102"/>
      <c r="AF392" s="102"/>
      <c r="AG392" s="102"/>
      <c r="AH392" s="102"/>
      <c r="AI392" s="102"/>
      <c r="AJ392" s="102"/>
      <c r="AK392" s="102"/>
      <c r="AL392" s="102"/>
      <c r="AM392" s="102"/>
      <c r="AN392" s="102"/>
      <c r="AO392" s="102"/>
      <c r="AP392" s="102"/>
      <c r="AQ392" s="102"/>
      <c r="AR392" s="102"/>
      <c r="AS392" s="102"/>
      <c r="AT392" s="102"/>
      <c r="AU392" s="102"/>
      <c r="AV392" s="102"/>
    </row>
    <row r="393" ht="12.75" customHeight="1">
      <c r="C393" s="400"/>
      <c r="D393" s="102"/>
      <c r="I393" s="102"/>
      <c r="J393" s="102"/>
      <c r="K393" s="102"/>
      <c r="L393" s="102"/>
      <c r="M393" s="102"/>
      <c r="N393" s="102"/>
      <c r="O393" s="102"/>
      <c r="P393" s="102"/>
      <c r="Q393" s="102"/>
      <c r="R393" s="102"/>
      <c r="S393" s="102"/>
      <c r="T393" s="102"/>
      <c r="U393" s="102"/>
      <c r="V393" s="102"/>
      <c r="W393" s="102"/>
      <c r="X393" s="102"/>
      <c r="Y393" s="102"/>
      <c r="Z393" s="102"/>
      <c r="AA393" s="102"/>
      <c r="AB393" s="102"/>
      <c r="AC393" s="102"/>
      <c r="AD393" s="102"/>
      <c r="AE393" s="102"/>
      <c r="AF393" s="102"/>
      <c r="AG393" s="102"/>
      <c r="AH393" s="102"/>
      <c r="AI393" s="102"/>
      <c r="AJ393" s="102"/>
      <c r="AK393" s="102"/>
      <c r="AL393" s="102"/>
      <c r="AM393" s="102"/>
      <c r="AN393" s="102"/>
      <c r="AO393" s="102"/>
      <c r="AP393" s="102"/>
      <c r="AQ393" s="102"/>
      <c r="AR393" s="102"/>
      <c r="AS393" s="102"/>
      <c r="AT393" s="102"/>
      <c r="AU393" s="102"/>
      <c r="AV393" s="102"/>
    </row>
    <row r="394" ht="12.75" customHeight="1">
      <c r="C394" s="400"/>
      <c r="D394" s="102"/>
      <c r="I394" s="102"/>
      <c r="J394" s="102"/>
      <c r="K394" s="102"/>
      <c r="L394" s="102"/>
      <c r="M394" s="102"/>
      <c r="N394" s="102"/>
      <c r="O394" s="102"/>
      <c r="P394" s="102"/>
      <c r="Q394" s="102"/>
      <c r="R394" s="102"/>
      <c r="S394" s="102"/>
      <c r="T394" s="102"/>
      <c r="U394" s="102"/>
      <c r="V394" s="102"/>
      <c r="W394" s="102"/>
      <c r="X394" s="102"/>
      <c r="Y394" s="102"/>
      <c r="Z394" s="102"/>
      <c r="AA394" s="102"/>
      <c r="AB394" s="102"/>
      <c r="AC394" s="102"/>
      <c r="AD394" s="102"/>
      <c r="AE394" s="102"/>
      <c r="AF394" s="102"/>
      <c r="AG394" s="102"/>
      <c r="AH394" s="102"/>
      <c r="AI394" s="102"/>
      <c r="AJ394" s="102"/>
      <c r="AK394" s="102"/>
      <c r="AL394" s="102"/>
      <c r="AM394" s="102"/>
      <c r="AN394" s="102"/>
      <c r="AO394" s="102"/>
      <c r="AP394" s="102"/>
      <c r="AQ394" s="102"/>
      <c r="AR394" s="102"/>
      <c r="AS394" s="102"/>
      <c r="AT394" s="102"/>
      <c r="AU394" s="102"/>
      <c r="AV394" s="102"/>
    </row>
    <row r="395" ht="12.75" customHeight="1">
      <c r="C395" s="400"/>
      <c r="D395" s="102"/>
      <c r="I395" s="102"/>
      <c r="J395" s="102"/>
      <c r="K395" s="102"/>
      <c r="L395" s="102"/>
      <c r="M395" s="102"/>
      <c r="N395" s="102"/>
      <c r="O395" s="102"/>
      <c r="P395" s="102"/>
      <c r="Q395" s="102"/>
      <c r="R395" s="102"/>
      <c r="S395" s="102"/>
      <c r="T395" s="102"/>
      <c r="U395" s="102"/>
      <c r="V395" s="102"/>
      <c r="W395" s="102"/>
      <c r="X395" s="102"/>
      <c r="Y395" s="102"/>
      <c r="Z395" s="102"/>
      <c r="AA395" s="102"/>
      <c r="AB395" s="102"/>
      <c r="AC395" s="102"/>
      <c r="AD395" s="102"/>
      <c r="AE395" s="102"/>
      <c r="AF395" s="102"/>
      <c r="AG395" s="102"/>
      <c r="AH395" s="102"/>
      <c r="AI395" s="102"/>
      <c r="AJ395" s="102"/>
      <c r="AK395" s="102"/>
      <c r="AL395" s="102"/>
      <c r="AM395" s="102"/>
      <c r="AN395" s="102"/>
      <c r="AO395" s="102"/>
      <c r="AP395" s="102"/>
      <c r="AQ395" s="102"/>
      <c r="AR395" s="102"/>
      <c r="AS395" s="102"/>
      <c r="AT395" s="102"/>
      <c r="AU395" s="102"/>
      <c r="AV395" s="102"/>
    </row>
    <row r="396" ht="12.75" customHeight="1">
      <c r="C396" s="400"/>
      <c r="D396" s="102"/>
      <c r="I396" s="102"/>
      <c r="J396" s="102"/>
      <c r="K396" s="102"/>
      <c r="L396" s="102"/>
      <c r="M396" s="102"/>
      <c r="N396" s="102"/>
      <c r="O396" s="102"/>
      <c r="P396" s="102"/>
      <c r="Q396" s="102"/>
      <c r="R396" s="102"/>
      <c r="S396" s="102"/>
      <c r="T396" s="102"/>
      <c r="U396" s="102"/>
      <c r="V396" s="102"/>
      <c r="W396" s="102"/>
      <c r="X396" s="102"/>
      <c r="Y396" s="102"/>
      <c r="Z396" s="102"/>
      <c r="AA396" s="102"/>
      <c r="AB396" s="102"/>
      <c r="AC396" s="102"/>
      <c r="AD396" s="102"/>
      <c r="AE396" s="102"/>
      <c r="AF396" s="102"/>
      <c r="AG396" s="102"/>
      <c r="AH396" s="102"/>
      <c r="AI396" s="102"/>
      <c r="AJ396" s="102"/>
      <c r="AK396" s="102"/>
      <c r="AL396" s="102"/>
      <c r="AM396" s="102"/>
      <c r="AN396" s="102"/>
      <c r="AO396" s="102"/>
      <c r="AP396" s="102"/>
      <c r="AQ396" s="102"/>
      <c r="AR396" s="102"/>
      <c r="AS396" s="102"/>
      <c r="AT396" s="102"/>
      <c r="AU396" s="102"/>
      <c r="AV396" s="102"/>
    </row>
    <row r="397" ht="12.75" customHeight="1">
      <c r="C397" s="400"/>
      <c r="D397" s="102"/>
      <c r="I397" s="102"/>
      <c r="J397" s="102"/>
      <c r="K397" s="102"/>
      <c r="L397" s="102"/>
      <c r="M397" s="102"/>
      <c r="N397" s="102"/>
      <c r="O397" s="102"/>
      <c r="P397" s="102"/>
      <c r="Q397" s="102"/>
      <c r="R397" s="102"/>
      <c r="S397" s="102"/>
      <c r="T397" s="102"/>
      <c r="U397" s="102"/>
      <c r="V397" s="102"/>
      <c r="W397" s="102"/>
      <c r="X397" s="102"/>
      <c r="Y397" s="102"/>
      <c r="Z397" s="102"/>
      <c r="AA397" s="102"/>
      <c r="AB397" s="102"/>
      <c r="AC397" s="102"/>
      <c r="AD397" s="102"/>
      <c r="AE397" s="102"/>
      <c r="AF397" s="102"/>
      <c r="AG397" s="102"/>
      <c r="AH397" s="102"/>
      <c r="AI397" s="102"/>
      <c r="AJ397" s="102"/>
      <c r="AK397" s="102"/>
      <c r="AL397" s="102"/>
      <c r="AM397" s="102"/>
      <c r="AN397" s="102"/>
      <c r="AO397" s="102"/>
      <c r="AP397" s="102"/>
      <c r="AQ397" s="102"/>
      <c r="AR397" s="102"/>
      <c r="AS397" s="102"/>
      <c r="AT397" s="102"/>
      <c r="AU397" s="102"/>
      <c r="AV397" s="102"/>
    </row>
    <row r="398" ht="12.75" customHeight="1">
      <c r="C398" s="400"/>
      <c r="D398" s="102"/>
      <c r="I398" s="102"/>
      <c r="J398" s="102"/>
      <c r="K398" s="102"/>
      <c r="L398" s="102"/>
      <c r="M398" s="102"/>
      <c r="N398" s="102"/>
      <c r="O398" s="102"/>
      <c r="P398" s="102"/>
      <c r="Q398" s="102"/>
      <c r="R398" s="102"/>
      <c r="S398" s="102"/>
      <c r="T398" s="102"/>
      <c r="U398" s="102"/>
      <c r="V398" s="102"/>
      <c r="W398" s="102"/>
      <c r="X398" s="102"/>
      <c r="Y398" s="102"/>
      <c r="Z398" s="102"/>
      <c r="AA398" s="102"/>
      <c r="AB398" s="102"/>
      <c r="AC398" s="102"/>
      <c r="AD398" s="102"/>
      <c r="AE398" s="102"/>
      <c r="AF398" s="102"/>
      <c r="AG398" s="102"/>
      <c r="AH398" s="102"/>
      <c r="AI398" s="102"/>
      <c r="AJ398" s="102"/>
      <c r="AK398" s="102"/>
      <c r="AL398" s="102"/>
      <c r="AM398" s="102"/>
      <c r="AN398" s="102"/>
      <c r="AO398" s="102"/>
      <c r="AP398" s="102"/>
      <c r="AQ398" s="102"/>
      <c r="AR398" s="102"/>
      <c r="AS398" s="102"/>
      <c r="AT398" s="102"/>
      <c r="AU398" s="102"/>
      <c r="AV398" s="102"/>
    </row>
    <row r="399" ht="12.75" customHeight="1">
      <c r="C399" s="400"/>
      <c r="D399" s="102"/>
      <c r="I399" s="102"/>
      <c r="J399" s="102"/>
      <c r="K399" s="102"/>
      <c r="L399" s="102"/>
      <c r="M399" s="102"/>
      <c r="N399" s="102"/>
      <c r="O399" s="102"/>
      <c r="P399" s="102"/>
      <c r="Q399" s="102"/>
      <c r="R399" s="102"/>
      <c r="S399" s="102"/>
      <c r="T399" s="102"/>
      <c r="U399" s="102"/>
      <c r="V399" s="102"/>
      <c r="W399" s="102"/>
      <c r="X399" s="102"/>
      <c r="Y399" s="102"/>
      <c r="Z399" s="102"/>
      <c r="AA399" s="102"/>
      <c r="AB399" s="102"/>
      <c r="AC399" s="102"/>
      <c r="AD399" s="102"/>
      <c r="AE399" s="102"/>
      <c r="AF399" s="102"/>
      <c r="AG399" s="102"/>
      <c r="AH399" s="102"/>
      <c r="AI399" s="102"/>
      <c r="AJ399" s="102"/>
      <c r="AK399" s="102"/>
      <c r="AL399" s="102"/>
      <c r="AM399" s="102"/>
      <c r="AN399" s="102"/>
      <c r="AO399" s="102"/>
      <c r="AP399" s="102"/>
      <c r="AQ399" s="102"/>
      <c r="AR399" s="102"/>
      <c r="AS399" s="102"/>
      <c r="AT399" s="102"/>
      <c r="AU399" s="102"/>
      <c r="AV399" s="102"/>
    </row>
    <row r="400" ht="12.75" customHeight="1">
      <c r="C400" s="400"/>
      <c r="D400" s="102"/>
      <c r="I400" s="102"/>
      <c r="J400" s="102"/>
      <c r="K400" s="102"/>
      <c r="L400" s="102"/>
      <c r="M400" s="102"/>
      <c r="N400" s="102"/>
      <c r="O400" s="102"/>
      <c r="P400" s="102"/>
      <c r="Q400" s="102"/>
      <c r="R400" s="102"/>
      <c r="S400" s="102"/>
      <c r="T400" s="102"/>
      <c r="U400" s="102"/>
      <c r="V400" s="102"/>
      <c r="W400" s="102"/>
      <c r="X400" s="102"/>
      <c r="Y400" s="102"/>
      <c r="Z400" s="102"/>
      <c r="AA400" s="102"/>
      <c r="AB400" s="102"/>
      <c r="AC400" s="102"/>
      <c r="AD400" s="102"/>
      <c r="AE400" s="102"/>
      <c r="AF400" s="102"/>
      <c r="AG400" s="102"/>
      <c r="AH400" s="102"/>
      <c r="AI400" s="102"/>
      <c r="AJ400" s="102"/>
      <c r="AK400" s="102"/>
      <c r="AL400" s="102"/>
      <c r="AM400" s="102"/>
      <c r="AN400" s="102"/>
      <c r="AO400" s="102"/>
      <c r="AP400" s="102"/>
      <c r="AQ400" s="102"/>
      <c r="AR400" s="102"/>
      <c r="AS400" s="102"/>
      <c r="AT400" s="102"/>
      <c r="AU400" s="102"/>
      <c r="AV400" s="102"/>
    </row>
    <row r="401" ht="12.75" customHeight="1">
      <c r="C401" s="400"/>
      <c r="D401" s="102"/>
      <c r="I401" s="102"/>
      <c r="J401" s="102"/>
      <c r="K401" s="102"/>
      <c r="L401" s="102"/>
      <c r="M401" s="102"/>
      <c r="N401" s="102"/>
      <c r="O401" s="102"/>
      <c r="P401" s="102"/>
      <c r="Q401" s="102"/>
      <c r="R401" s="102"/>
      <c r="S401" s="102"/>
      <c r="T401" s="102"/>
      <c r="U401" s="102"/>
      <c r="V401" s="102"/>
      <c r="W401" s="102"/>
      <c r="X401" s="102"/>
      <c r="Y401" s="102"/>
      <c r="Z401" s="102"/>
      <c r="AA401" s="102"/>
      <c r="AB401" s="102"/>
      <c r="AC401" s="102"/>
      <c r="AD401" s="102"/>
      <c r="AE401" s="102"/>
      <c r="AF401" s="102"/>
      <c r="AG401" s="102"/>
      <c r="AH401" s="102"/>
      <c r="AI401" s="102"/>
      <c r="AJ401" s="102"/>
      <c r="AK401" s="102"/>
      <c r="AL401" s="102"/>
      <c r="AM401" s="102"/>
      <c r="AN401" s="102"/>
      <c r="AO401" s="102"/>
      <c r="AP401" s="102"/>
      <c r="AQ401" s="102"/>
      <c r="AR401" s="102"/>
      <c r="AS401" s="102"/>
      <c r="AT401" s="102"/>
      <c r="AU401" s="102"/>
      <c r="AV401" s="102"/>
    </row>
    <row r="402" ht="12.75" customHeight="1">
      <c r="C402" s="400"/>
      <c r="D402" s="102"/>
      <c r="I402" s="102"/>
      <c r="J402" s="102"/>
      <c r="K402" s="102"/>
      <c r="L402" s="102"/>
      <c r="M402" s="102"/>
      <c r="N402" s="102"/>
      <c r="O402" s="102"/>
      <c r="P402" s="102"/>
      <c r="Q402" s="102"/>
      <c r="R402" s="102"/>
      <c r="S402" s="102"/>
      <c r="T402" s="102"/>
      <c r="U402" s="102"/>
      <c r="V402" s="102"/>
      <c r="W402" s="102"/>
      <c r="X402" s="102"/>
      <c r="Y402" s="102"/>
      <c r="Z402" s="102"/>
      <c r="AA402" s="102"/>
      <c r="AB402" s="102"/>
      <c r="AC402" s="102"/>
      <c r="AD402" s="102"/>
      <c r="AE402" s="102"/>
      <c r="AF402" s="102"/>
      <c r="AG402" s="102"/>
      <c r="AH402" s="102"/>
      <c r="AI402" s="102"/>
      <c r="AJ402" s="102"/>
      <c r="AK402" s="102"/>
      <c r="AL402" s="102"/>
      <c r="AM402" s="102"/>
      <c r="AN402" s="102"/>
      <c r="AO402" s="102"/>
      <c r="AP402" s="102"/>
      <c r="AQ402" s="102"/>
      <c r="AR402" s="102"/>
      <c r="AS402" s="102"/>
      <c r="AT402" s="102"/>
      <c r="AU402" s="102"/>
      <c r="AV402" s="102"/>
    </row>
    <row r="403" ht="12.75" customHeight="1">
      <c r="C403" s="400"/>
      <c r="D403" s="102"/>
      <c r="I403" s="102"/>
      <c r="J403" s="102"/>
      <c r="K403" s="102"/>
      <c r="L403" s="102"/>
      <c r="M403" s="102"/>
      <c r="N403" s="102"/>
      <c r="O403" s="102"/>
      <c r="P403" s="102"/>
      <c r="Q403" s="102"/>
      <c r="R403" s="102"/>
      <c r="S403" s="102"/>
      <c r="T403" s="102"/>
      <c r="U403" s="102"/>
      <c r="V403" s="102"/>
      <c r="W403" s="102"/>
      <c r="X403" s="102"/>
      <c r="Y403" s="102"/>
      <c r="Z403" s="102"/>
      <c r="AA403" s="102"/>
      <c r="AB403" s="102"/>
      <c r="AC403" s="102"/>
      <c r="AD403" s="102"/>
      <c r="AE403" s="102"/>
      <c r="AF403" s="102"/>
      <c r="AG403" s="102"/>
      <c r="AH403" s="102"/>
      <c r="AI403" s="102"/>
      <c r="AJ403" s="102"/>
      <c r="AK403" s="102"/>
      <c r="AL403" s="102"/>
      <c r="AM403" s="102"/>
      <c r="AN403" s="102"/>
      <c r="AO403" s="102"/>
      <c r="AP403" s="102"/>
      <c r="AQ403" s="102"/>
      <c r="AR403" s="102"/>
      <c r="AS403" s="102"/>
      <c r="AT403" s="102"/>
      <c r="AU403" s="102"/>
      <c r="AV403" s="102"/>
    </row>
    <row r="404" ht="12.75" customHeight="1">
      <c r="C404" s="400"/>
      <c r="D404" s="102"/>
      <c r="I404" s="102"/>
      <c r="J404" s="102"/>
      <c r="K404" s="102"/>
      <c r="L404" s="102"/>
      <c r="M404" s="102"/>
      <c r="N404" s="102"/>
      <c r="O404" s="102"/>
      <c r="P404" s="102"/>
      <c r="Q404" s="102"/>
      <c r="R404" s="102"/>
      <c r="S404" s="102"/>
      <c r="T404" s="102"/>
      <c r="U404" s="102"/>
      <c r="V404" s="102"/>
      <c r="W404" s="102"/>
      <c r="X404" s="102"/>
      <c r="Y404" s="102"/>
      <c r="Z404" s="102"/>
      <c r="AA404" s="102"/>
      <c r="AB404" s="102"/>
      <c r="AC404" s="102"/>
      <c r="AD404" s="102"/>
      <c r="AE404" s="102"/>
      <c r="AF404" s="102"/>
      <c r="AG404" s="102"/>
      <c r="AH404" s="102"/>
      <c r="AI404" s="102"/>
      <c r="AJ404" s="102"/>
      <c r="AK404" s="102"/>
      <c r="AL404" s="102"/>
      <c r="AM404" s="102"/>
      <c r="AN404" s="102"/>
      <c r="AO404" s="102"/>
      <c r="AP404" s="102"/>
      <c r="AQ404" s="102"/>
      <c r="AR404" s="102"/>
      <c r="AS404" s="102"/>
      <c r="AT404" s="102"/>
      <c r="AU404" s="102"/>
      <c r="AV404" s="102"/>
    </row>
    <row r="405" ht="12.75" customHeight="1">
      <c r="C405" s="400"/>
      <c r="D405" s="102"/>
      <c r="I405" s="102"/>
      <c r="J405" s="102"/>
      <c r="K405" s="102"/>
      <c r="L405" s="102"/>
      <c r="M405" s="102"/>
      <c r="N405" s="102"/>
      <c r="O405" s="102"/>
      <c r="P405" s="102"/>
      <c r="Q405" s="102"/>
      <c r="R405" s="102"/>
      <c r="S405" s="102"/>
      <c r="T405" s="102"/>
      <c r="U405" s="102"/>
      <c r="V405" s="102"/>
      <c r="W405" s="102"/>
      <c r="X405" s="102"/>
      <c r="Y405" s="102"/>
      <c r="Z405" s="102"/>
      <c r="AA405" s="102"/>
      <c r="AB405" s="102"/>
      <c r="AC405" s="102"/>
      <c r="AD405" s="102"/>
      <c r="AE405" s="102"/>
      <c r="AF405" s="102"/>
      <c r="AG405" s="102"/>
      <c r="AH405" s="102"/>
      <c r="AI405" s="102"/>
      <c r="AJ405" s="102"/>
      <c r="AK405" s="102"/>
      <c r="AL405" s="102"/>
      <c r="AM405" s="102"/>
      <c r="AN405" s="102"/>
      <c r="AO405" s="102"/>
      <c r="AP405" s="102"/>
      <c r="AQ405" s="102"/>
      <c r="AR405" s="102"/>
      <c r="AS405" s="102"/>
      <c r="AT405" s="102"/>
      <c r="AU405" s="102"/>
      <c r="AV405" s="102"/>
    </row>
    <row r="406" ht="12.75" customHeight="1">
      <c r="C406" s="400"/>
      <c r="D406" s="102"/>
      <c r="I406" s="102"/>
      <c r="J406" s="102"/>
      <c r="K406" s="102"/>
      <c r="L406" s="102"/>
      <c r="M406" s="102"/>
      <c r="N406" s="102"/>
      <c r="O406" s="102"/>
      <c r="P406" s="102"/>
      <c r="Q406" s="102"/>
      <c r="R406" s="102"/>
      <c r="S406" s="102"/>
      <c r="T406" s="102"/>
      <c r="U406" s="102"/>
      <c r="V406" s="102"/>
      <c r="W406" s="102"/>
      <c r="X406" s="102"/>
      <c r="Y406" s="102"/>
      <c r="Z406" s="102"/>
      <c r="AA406" s="102"/>
      <c r="AB406" s="102"/>
      <c r="AC406" s="102"/>
      <c r="AD406" s="102"/>
      <c r="AE406" s="102"/>
      <c r="AF406" s="102"/>
      <c r="AG406" s="102"/>
      <c r="AH406" s="102"/>
      <c r="AI406" s="102"/>
      <c r="AJ406" s="102"/>
      <c r="AK406" s="102"/>
      <c r="AL406" s="102"/>
      <c r="AM406" s="102"/>
      <c r="AN406" s="102"/>
      <c r="AO406" s="102"/>
      <c r="AP406" s="102"/>
      <c r="AQ406" s="102"/>
      <c r="AR406" s="102"/>
      <c r="AS406" s="102"/>
      <c r="AT406" s="102"/>
      <c r="AU406" s="102"/>
      <c r="AV406" s="102"/>
    </row>
    <row r="407" ht="12.75" customHeight="1">
      <c r="C407" s="400"/>
      <c r="D407" s="102"/>
      <c r="I407" s="102"/>
      <c r="J407" s="102"/>
      <c r="K407" s="102"/>
      <c r="L407" s="102"/>
      <c r="M407" s="102"/>
      <c r="N407" s="102"/>
      <c r="O407" s="102"/>
      <c r="P407" s="102"/>
      <c r="Q407" s="102"/>
      <c r="R407" s="102"/>
      <c r="S407" s="102"/>
      <c r="T407" s="102"/>
      <c r="U407" s="102"/>
      <c r="V407" s="102"/>
      <c r="W407" s="102"/>
      <c r="X407" s="102"/>
      <c r="Y407" s="102"/>
      <c r="Z407" s="102"/>
      <c r="AA407" s="102"/>
      <c r="AB407" s="102"/>
      <c r="AC407" s="102"/>
      <c r="AD407" s="102"/>
      <c r="AE407" s="102"/>
      <c r="AF407" s="102"/>
      <c r="AG407" s="102"/>
      <c r="AH407" s="102"/>
      <c r="AI407" s="102"/>
      <c r="AJ407" s="102"/>
      <c r="AK407" s="102"/>
      <c r="AL407" s="102"/>
      <c r="AM407" s="102"/>
      <c r="AN407" s="102"/>
      <c r="AO407" s="102"/>
      <c r="AP407" s="102"/>
      <c r="AQ407" s="102"/>
      <c r="AR407" s="102"/>
      <c r="AS407" s="102"/>
      <c r="AT407" s="102"/>
      <c r="AU407" s="102"/>
      <c r="AV407" s="102"/>
    </row>
    <row r="408" ht="12.75" customHeight="1">
      <c r="C408" s="400"/>
      <c r="D408" s="102"/>
      <c r="I408" s="102"/>
      <c r="J408" s="102"/>
      <c r="K408" s="102"/>
      <c r="L408" s="102"/>
      <c r="M408" s="102"/>
      <c r="N408" s="102"/>
      <c r="O408" s="102"/>
      <c r="P408" s="102"/>
      <c r="Q408" s="102"/>
      <c r="R408" s="102"/>
      <c r="S408" s="102"/>
      <c r="T408" s="102"/>
      <c r="U408" s="102"/>
      <c r="V408" s="102"/>
      <c r="W408" s="102"/>
      <c r="X408" s="102"/>
      <c r="Y408" s="102"/>
      <c r="Z408" s="102"/>
      <c r="AA408" s="102"/>
      <c r="AB408" s="102"/>
      <c r="AC408" s="102"/>
      <c r="AD408" s="102"/>
      <c r="AE408" s="102"/>
      <c r="AF408" s="102"/>
      <c r="AG408" s="102"/>
      <c r="AH408" s="102"/>
      <c r="AI408" s="102"/>
      <c r="AJ408" s="102"/>
      <c r="AK408" s="102"/>
      <c r="AL408" s="102"/>
      <c r="AM408" s="102"/>
      <c r="AN408" s="102"/>
      <c r="AO408" s="102"/>
      <c r="AP408" s="102"/>
      <c r="AQ408" s="102"/>
      <c r="AR408" s="102"/>
      <c r="AS408" s="102"/>
      <c r="AT408" s="102"/>
      <c r="AU408" s="102"/>
      <c r="AV408" s="102"/>
    </row>
    <row r="409" ht="12.75" customHeight="1">
      <c r="C409" s="400"/>
      <c r="D409" s="102"/>
      <c r="I409" s="102"/>
      <c r="J409" s="102"/>
      <c r="K409" s="102"/>
      <c r="L409" s="102"/>
      <c r="M409" s="102"/>
      <c r="N409" s="102"/>
      <c r="O409" s="102"/>
      <c r="P409" s="102"/>
      <c r="Q409" s="102"/>
      <c r="R409" s="102"/>
      <c r="S409" s="102"/>
      <c r="T409" s="102"/>
      <c r="U409" s="102"/>
      <c r="V409" s="102"/>
      <c r="W409" s="102"/>
      <c r="X409" s="102"/>
      <c r="Y409" s="102"/>
      <c r="Z409" s="102"/>
      <c r="AA409" s="102"/>
      <c r="AB409" s="102"/>
      <c r="AC409" s="102"/>
      <c r="AD409" s="102"/>
      <c r="AE409" s="102"/>
      <c r="AF409" s="102"/>
      <c r="AG409" s="102"/>
      <c r="AH409" s="102"/>
      <c r="AI409" s="102"/>
      <c r="AJ409" s="102"/>
      <c r="AK409" s="102"/>
      <c r="AL409" s="102"/>
      <c r="AM409" s="102"/>
      <c r="AN409" s="102"/>
      <c r="AO409" s="102"/>
      <c r="AP409" s="102"/>
      <c r="AQ409" s="102"/>
      <c r="AR409" s="102"/>
      <c r="AS409" s="102"/>
      <c r="AT409" s="102"/>
      <c r="AU409" s="102"/>
      <c r="AV409" s="102"/>
    </row>
    <row r="410" ht="12.75" customHeight="1">
      <c r="C410" s="400"/>
      <c r="D410" s="102"/>
      <c r="I410" s="102"/>
      <c r="J410" s="102"/>
      <c r="K410" s="102"/>
      <c r="L410" s="102"/>
      <c r="M410" s="102"/>
      <c r="N410" s="102"/>
      <c r="O410" s="102"/>
      <c r="P410" s="102"/>
      <c r="Q410" s="102"/>
      <c r="R410" s="102"/>
      <c r="S410" s="102"/>
      <c r="T410" s="102"/>
      <c r="U410" s="102"/>
      <c r="V410" s="102"/>
      <c r="W410" s="102"/>
      <c r="X410" s="102"/>
      <c r="Y410" s="102"/>
      <c r="Z410" s="102"/>
      <c r="AA410" s="102"/>
      <c r="AB410" s="102"/>
      <c r="AC410" s="102"/>
      <c r="AD410" s="102"/>
      <c r="AE410" s="102"/>
      <c r="AF410" s="102"/>
      <c r="AG410" s="102"/>
      <c r="AH410" s="102"/>
      <c r="AI410" s="102"/>
      <c r="AJ410" s="102"/>
      <c r="AK410" s="102"/>
      <c r="AL410" s="102"/>
      <c r="AM410" s="102"/>
      <c r="AN410" s="102"/>
      <c r="AO410" s="102"/>
      <c r="AP410" s="102"/>
      <c r="AQ410" s="102"/>
      <c r="AR410" s="102"/>
      <c r="AS410" s="102"/>
      <c r="AT410" s="102"/>
      <c r="AU410" s="102"/>
      <c r="AV410" s="102"/>
    </row>
    <row r="411" ht="12.75" customHeight="1">
      <c r="C411" s="400"/>
      <c r="D411" s="102"/>
      <c r="I411" s="102"/>
      <c r="J411" s="102"/>
      <c r="K411" s="102"/>
      <c r="L411" s="102"/>
      <c r="M411" s="102"/>
      <c r="N411" s="102"/>
      <c r="O411" s="102"/>
      <c r="P411" s="102"/>
      <c r="Q411" s="102"/>
      <c r="R411" s="102"/>
      <c r="S411" s="102"/>
      <c r="T411" s="102"/>
      <c r="U411" s="102"/>
      <c r="V411" s="102"/>
      <c r="W411" s="102"/>
      <c r="X411" s="102"/>
      <c r="Y411" s="102"/>
      <c r="Z411" s="102"/>
      <c r="AA411" s="102"/>
      <c r="AB411" s="102"/>
      <c r="AC411" s="102"/>
      <c r="AD411" s="102"/>
      <c r="AE411" s="102"/>
      <c r="AF411" s="102"/>
      <c r="AG411" s="102"/>
      <c r="AH411" s="102"/>
      <c r="AI411" s="102"/>
      <c r="AJ411" s="102"/>
      <c r="AK411" s="102"/>
      <c r="AL411" s="102"/>
      <c r="AM411" s="102"/>
      <c r="AN411" s="102"/>
      <c r="AO411" s="102"/>
      <c r="AP411" s="102"/>
      <c r="AQ411" s="102"/>
      <c r="AR411" s="102"/>
      <c r="AS411" s="102"/>
      <c r="AT411" s="102"/>
      <c r="AU411" s="102"/>
      <c r="AV411" s="102"/>
    </row>
    <row r="412" ht="12.75" customHeight="1">
      <c r="C412" s="400"/>
      <c r="D412" s="102"/>
      <c r="I412" s="102"/>
      <c r="J412" s="102"/>
      <c r="K412" s="102"/>
      <c r="L412" s="102"/>
      <c r="M412" s="102"/>
      <c r="N412" s="102"/>
      <c r="O412" s="102"/>
      <c r="P412" s="102"/>
      <c r="Q412" s="102"/>
      <c r="R412" s="102"/>
      <c r="S412" s="102"/>
      <c r="T412" s="102"/>
      <c r="U412" s="102"/>
      <c r="V412" s="102"/>
      <c r="W412" s="102"/>
      <c r="X412" s="102"/>
      <c r="Y412" s="102"/>
      <c r="Z412" s="102"/>
      <c r="AA412" s="102"/>
      <c r="AB412" s="102"/>
      <c r="AC412" s="102"/>
      <c r="AD412" s="102"/>
      <c r="AE412" s="102"/>
      <c r="AF412" s="102"/>
      <c r="AG412" s="102"/>
      <c r="AH412" s="102"/>
      <c r="AI412" s="102"/>
      <c r="AJ412" s="102"/>
      <c r="AK412" s="102"/>
      <c r="AL412" s="102"/>
      <c r="AM412" s="102"/>
      <c r="AN412" s="102"/>
      <c r="AO412" s="102"/>
      <c r="AP412" s="102"/>
      <c r="AQ412" s="102"/>
      <c r="AR412" s="102"/>
      <c r="AS412" s="102"/>
      <c r="AT412" s="102"/>
      <c r="AU412" s="102"/>
      <c r="AV412" s="102"/>
    </row>
    <row r="413" ht="12.75" customHeight="1">
      <c r="C413" s="400"/>
      <c r="D413" s="102"/>
      <c r="I413" s="102"/>
      <c r="J413" s="102"/>
      <c r="K413" s="102"/>
      <c r="L413" s="102"/>
      <c r="M413" s="102"/>
      <c r="N413" s="102"/>
      <c r="O413" s="102"/>
      <c r="P413" s="102"/>
      <c r="Q413" s="102"/>
      <c r="R413" s="102"/>
      <c r="S413" s="102"/>
      <c r="T413" s="102"/>
      <c r="U413" s="102"/>
      <c r="V413" s="102"/>
      <c r="W413" s="102"/>
      <c r="X413" s="102"/>
      <c r="Y413" s="102"/>
      <c r="Z413" s="102"/>
      <c r="AA413" s="102"/>
      <c r="AB413" s="102"/>
      <c r="AC413" s="102"/>
      <c r="AD413" s="102"/>
      <c r="AE413" s="102"/>
      <c r="AF413" s="102"/>
      <c r="AG413" s="102"/>
      <c r="AH413" s="102"/>
      <c r="AI413" s="102"/>
      <c r="AJ413" s="102"/>
      <c r="AK413" s="102"/>
      <c r="AL413" s="102"/>
      <c r="AM413" s="102"/>
      <c r="AN413" s="102"/>
      <c r="AO413" s="102"/>
      <c r="AP413" s="102"/>
      <c r="AQ413" s="102"/>
      <c r="AR413" s="102"/>
      <c r="AS413" s="102"/>
      <c r="AT413" s="102"/>
      <c r="AU413" s="102"/>
      <c r="AV413" s="102"/>
    </row>
    <row r="414" ht="12.75" customHeight="1">
      <c r="C414" s="400"/>
      <c r="D414" s="102"/>
      <c r="I414" s="102"/>
      <c r="J414" s="102"/>
      <c r="K414" s="102"/>
      <c r="L414" s="102"/>
      <c r="M414" s="102"/>
      <c r="N414" s="102"/>
      <c r="O414" s="102"/>
      <c r="P414" s="102"/>
      <c r="Q414" s="102"/>
      <c r="R414" s="102"/>
      <c r="S414" s="102"/>
      <c r="T414" s="102"/>
      <c r="U414" s="102"/>
      <c r="V414" s="102"/>
      <c r="W414" s="102"/>
      <c r="X414" s="102"/>
      <c r="Y414" s="102"/>
      <c r="Z414" s="102"/>
      <c r="AA414" s="102"/>
      <c r="AB414" s="102"/>
      <c r="AC414" s="102"/>
      <c r="AD414" s="102"/>
      <c r="AE414" s="102"/>
      <c r="AF414" s="102"/>
      <c r="AG414" s="102"/>
      <c r="AH414" s="102"/>
      <c r="AI414" s="102"/>
      <c r="AJ414" s="102"/>
      <c r="AK414" s="102"/>
      <c r="AL414" s="102"/>
      <c r="AM414" s="102"/>
      <c r="AN414" s="102"/>
      <c r="AO414" s="102"/>
      <c r="AP414" s="102"/>
      <c r="AQ414" s="102"/>
      <c r="AR414" s="102"/>
      <c r="AS414" s="102"/>
      <c r="AT414" s="102"/>
      <c r="AU414" s="102"/>
      <c r="AV414" s="102"/>
    </row>
    <row r="415" ht="12.75" customHeight="1">
      <c r="C415" s="400"/>
      <c r="D415" s="102"/>
      <c r="I415" s="102"/>
      <c r="J415" s="102"/>
      <c r="K415" s="102"/>
      <c r="L415" s="102"/>
      <c r="M415" s="102"/>
      <c r="N415" s="102"/>
      <c r="O415" s="102"/>
      <c r="P415" s="102"/>
      <c r="Q415" s="102"/>
      <c r="R415" s="102"/>
      <c r="S415" s="102"/>
      <c r="T415" s="102"/>
      <c r="U415" s="102"/>
      <c r="V415" s="102"/>
      <c r="W415" s="102"/>
      <c r="X415" s="102"/>
      <c r="Y415" s="102"/>
      <c r="Z415" s="102"/>
      <c r="AA415" s="102"/>
      <c r="AB415" s="102"/>
      <c r="AC415" s="102"/>
      <c r="AD415" s="102"/>
      <c r="AE415" s="102"/>
      <c r="AF415" s="102"/>
      <c r="AG415" s="102"/>
      <c r="AH415" s="102"/>
      <c r="AI415" s="102"/>
      <c r="AJ415" s="102"/>
      <c r="AK415" s="102"/>
      <c r="AL415" s="102"/>
      <c r="AM415" s="102"/>
      <c r="AN415" s="102"/>
      <c r="AO415" s="102"/>
      <c r="AP415" s="102"/>
      <c r="AQ415" s="102"/>
      <c r="AR415" s="102"/>
      <c r="AS415" s="102"/>
      <c r="AT415" s="102"/>
      <c r="AU415" s="102"/>
      <c r="AV415" s="102"/>
    </row>
    <row r="416" ht="12.75" customHeight="1">
      <c r="C416" s="400"/>
      <c r="D416" s="102"/>
      <c r="I416" s="102"/>
      <c r="J416" s="102"/>
      <c r="K416" s="102"/>
      <c r="L416" s="102"/>
      <c r="M416" s="102"/>
      <c r="N416" s="102"/>
      <c r="O416" s="102"/>
      <c r="P416" s="102"/>
      <c r="Q416" s="102"/>
      <c r="R416" s="102"/>
      <c r="S416" s="102"/>
      <c r="T416" s="102"/>
      <c r="U416" s="102"/>
      <c r="V416" s="102"/>
      <c r="W416" s="102"/>
      <c r="X416" s="102"/>
      <c r="Y416" s="102"/>
      <c r="Z416" s="102"/>
      <c r="AA416" s="102"/>
      <c r="AB416" s="102"/>
      <c r="AC416" s="102"/>
      <c r="AD416" s="102"/>
      <c r="AE416" s="102"/>
      <c r="AF416" s="102"/>
      <c r="AG416" s="102"/>
      <c r="AH416" s="102"/>
      <c r="AI416" s="102"/>
      <c r="AJ416" s="102"/>
      <c r="AK416" s="102"/>
      <c r="AL416" s="102"/>
      <c r="AM416" s="102"/>
      <c r="AN416" s="102"/>
      <c r="AO416" s="102"/>
      <c r="AP416" s="102"/>
      <c r="AQ416" s="102"/>
      <c r="AR416" s="102"/>
      <c r="AS416" s="102"/>
      <c r="AT416" s="102"/>
      <c r="AU416" s="102"/>
      <c r="AV416" s="102"/>
    </row>
    <row r="417" ht="12.75" customHeight="1">
      <c r="C417" s="400"/>
      <c r="D417" s="102"/>
      <c r="I417" s="102"/>
      <c r="J417" s="102"/>
      <c r="K417" s="102"/>
      <c r="L417" s="102"/>
      <c r="M417" s="102"/>
      <c r="N417" s="102"/>
      <c r="O417" s="102"/>
      <c r="P417" s="102"/>
      <c r="Q417" s="102"/>
      <c r="R417" s="102"/>
      <c r="S417" s="102"/>
      <c r="T417" s="102"/>
      <c r="U417" s="102"/>
      <c r="V417" s="102"/>
      <c r="W417" s="102"/>
      <c r="X417" s="102"/>
      <c r="Y417" s="102"/>
      <c r="Z417" s="102"/>
      <c r="AA417" s="102"/>
      <c r="AB417" s="102"/>
      <c r="AC417" s="102"/>
      <c r="AD417" s="102"/>
      <c r="AE417" s="102"/>
      <c r="AF417" s="102"/>
      <c r="AG417" s="102"/>
      <c r="AH417" s="102"/>
      <c r="AI417" s="102"/>
      <c r="AJ417" s="102"/>
      <c r="AK417" s="102"/>
      <c r="AL417" s="102"/>
      <c r="AM417" s="102"/>
      <c r="AN417" s="102"/>
      <c r="AO417" s="102"/>
      <c r="AP417" s="102"/>
      <c r="AQ417" s="102"/>
      <c r="AR417" s="102"/>
      <c r="AS417" s="102"/>
      <c r="AT417" s="102"/>
      <c r="AU417" s="102"/>
      <c r="AV417" s="102"/>
    </row>
    <row r="418" ht="12.75" customHeight="1">
      <c r="C418" s="400"/>
      <c r="D418" s="102"/>
      <c r="I418" s="102"/>
      <c r="J418" s="102"/>
      <c r="K418" s="102"/>
      <c r="L418" s="102"/>
      <c r="M418" s="102"/>
      <c r="N418" s="102"/>
      <c r="O418" s="102"/>
      <c r="P418" s="102"/>
      <c r="Q418" s="102"/>
      <c r="R418" s="102"/>
      <c r="S418" s="102"/>
      <c r="T418" s="102"/>
      <c r="U418" s="102"/>
      <c r="V418" s="102"/>
      <c r="W418" s="102"/>
      <c r="X418" s="102"/>
      <c r="Y418" s="102"/>
      <c r="Z418" s="102"/>
      <c r="AA418" s="102"/>
      <c r="AB418" s="102"/>
      <c r="AC418" s="102"/>
      <c r="AD418" s="102"/>
      <c r="AE418" s="102"/>
      <c r="AF418" s="102"/>
      <c r="AG418" s="102"/>
      <c r="AH418" s="102"/>
      <c r="AI418" s="102"/>
      <c r="AJ418" s="102"/>
      <c r="AK418" s="102"/>
      <c r="AL418" s="102"/>
      <c r="AM418" s="102"/>
      <c r="AN418" s="102"/>
      <c r="AO418" s="102"/>
      <c r="AP418" s="102"/>
      <c r="AQ418" s="102"/>
      <c r="AR418" s="102"/>
      <c r="AS418" s="102"/>
      <c r="AT418" s="102"/>
      <c r="AU418" s="102"/>
      <c r="AV418" s="102"/>
    </row>
    <row r="419" ht="12.75" customHeight="1">
      <c r="C419" s="400"/>
      <c r="D419" s="102"/>
      <c r="I419" s="102"/>
      <c r="J419" s="102"/>
      <c r="K419" s="102"/>
      <c r="L419" s="102"/>
      <c r="M419" s="102"/>
      <c r="N419" s="102"/>
      <c r="O419" s="102"/>
      <c r="P419" s="102"/>
      <c r="Q419" s="102"/>
      <c r="R419" s="102"/>
      <c r="S419" s="102"/>
      <c r="T419" s="102"/>
      <c r="U419" s="102"/>
      <c r="V419" s="102"/>
      <c r="W419" s="102"/>
      <c r="X419" s="102"/>
      <c r="Y419" s="102"/>
      <c r="Z419" s="102"/>
      <c r="AA419" s="102"/>
      <c r="AB419" s="102"/>
      <c r="AC419" s="102"/>
      <c r="AD419" s="102"/>
      <c r="AE419" s="102"/>
      <c r="AF419" s="102"/>
      <c r="AG419" s="102"/>
      <c r="AH419" s="102"/>
      <c r="AI419" s="102"/>
      <c r="AJ419" s="102"/>
      <c r="AK419" s="102"/>
      <c r="AL419" s="102"/>
      <c r="AM419" s="102"/>
      <c r="AN419" s="102"/>
      <c r="AO419" s="102"/>
      <c r="AP419" s="102"/>
      <c r="AQ419" s="102"/>
      <c r="AR419" s="102"/>
      <c r="AS419" s="102"/>
      <c r="AT419" s="102"/>
      <c r="AU419" s="102"/>
      <c r="AV419" s="102"/>
    </row>
    <row r="420" ht="12.75" customHeight="1">
      <c r="C420" s="400"/>
      <c r="D420" s="102"/>
      <c r="I420" s="102"/>
      <c r="J420" s="102"/>
      <c r="K420" s="102"/>
      <c r="L420" s="102"/>
      <c r="M420" s="102"/>
      <c r="N420" s="102"/>
      <c r="O420" s="102"/>
      <c r="P420" s="102"/>
      <c r="Q420" s="102"/>
      <c r="R420" s="102"/>
      <c r="S420" s="102"/>
      <c r="T420" s="102"/>
      <c r="U420" s="102"/>
      <c r="V420" s="102"/>
      <c r="W420" s="102"/>
      <c r="X420" s="102"/>
      <c r="Y420" s="102"/>
      <c r="Z420" s="102"/>
      <c r="AA420" s="102"/>
      <c r="AB420" s="102"/>
      <c r="AC420" s="102"/>
      <c r="AD420" s="102"/>
      <c r="AE420" s="102"/>
      <c r="AF420" s="102"/>
      <c r="AG420" s="102"/>
      <c r="AH420" s="102"/>
      <c r="AI420" s="102"/>
      <c r="AJ420" s="102"/>
      <c r="AK420" s="102"/>
      <c r="AL420" s="102"/>
      <c r="AM420" s="102"/>
      <c r="AN420" s="102"/>
      <c r="AO420" s="102"/>
      <c r="AP420" s="102"/>
      <c r="AQ420" s="102"/>
      <c r="AR420" s="102"/>
      <c r="AS420" s="102"/>
      <c r="AT420" s="102"/>
      <c r="AU420" s="102"/>
      <c r="AV420" s="102"/>
    </row>
    <row r="421" ht="12.75" customHeight="1">
      <c r="C421" s="400"/>
      <c r="D421" s="102"/>
      <c r="I421" s="102"/>
      <c r="J421" s="102"/>
      <c r="K421" s="102"/>
      <c r="L421" s="102"/>
      <c r="M421" s="102"/>
      <c r="N421" s="102"/>
      <c r="O421" s="102"/>
      <c r="P421" s="102"/>
      <c r="Q421" s="102"/>
      <c r="R421" s="102"/>
      <c r="S421" s="102"/>
      <c r="T421" s="102"/>
      <c r="U421" s="102"/>
      <c r="V421" s="102"/>
      <c r="W421" s="102"/>
      <c r="X421" s="102"/>
      <c r="Y421" s="102"/>
      <c r="Z421" s="102"/>
      <c r="AA421" s="102"/>
      <c r="AB421" s="102"/>
      <c r="AC421" s="102"/>
      <c r="AD421" s="102"/>
      <c r="AE421" s="102"/>
      <c r="AF421" s="102"/>
      <c r="AG421" s="102"/>
      <c r="AH421" s="102"/>
      <c r="AI421" s="102"/>
      <c r="AJ421" s="102"/>
      <c r="AK421" s="102"/>
      <c r="AL421" s="102"/>
      <c r="AM421" s="102"/>
      <c r="AN421" s="102"/>
      <c r="AO421" s="102"/>
      <c r="AP421" s="102"/>
      <c r="AQ421" s="102"/>
      <c r="AR421" s="102"/>
      <c r="AS421" s="102"/>
      <c r="AT421" s="102"/>
      <c r="AU421" s="102"/>
      <c r="AV421" s="102"/>
    </row>
    <row r="422" ht="12.75" customHeight="1">
      <c r="C422" s="400"/>
      <c r="D422" s="102"/>
      <c r="I422" s="102"/>
      <c r="J422" s="102"/>
      <c r="K422" s="102"/>
      <c r="L422" s="102"/>
      <c r="M422" s="102"/>
      <c r="N422" s="102"/>
      <c r="O422" s="102"/>
      <c r="P422" s="102"/>
      <c r="Q422" s="102"/>
      <c r="R422" s="102"/>
      <c r="S422" s="102"/>
      <c r="T422" s="102"/>
      <c r="U422" s="102"/>
      <c r="V422" s="102"/>
      <c r="W422" s="102"/>
      <c r="X422" s="102"/>
      <c r="Y422" s="102"/>
      <c r="Z422" s="102"/>
      <c r="AA422" s="102"/>
      <c r="AB422" s="102"/>
      <c r="AC422" s="102"/>
      <c r="AD422" s="102"/>
      <c r="AE422" s="102"/>
      <c r="AF422" s="102"/>
      <c r="AG422" s="102"/>
      <c r="AH422" s="102"/>
      <c r="AI422" s="102"/>
      <c r="AJ422" s="102"/>
      <c r="AK422" s="102"/>
      <c r="AL422" s="102"/>
      <c r="AM422" s="102"/>
      <c r="AN422" s="102"/>
      <c r="AO422" s="102"/>
      <c r="AP422" s="102"/>
      <c r="AQ422" s="102"/>
      <c r="AR422" s="102"/>
      <c r="AS422" s="102"/>
      <c r="AT422" s="102"/>
      <c r="AU422" s="102"/>
      <c r="AV422" s="102"/>
    </row>
    <row r="423" ht="12.75" customHeight="1">
      <c r="C423" s="400"/>
      <c r="D423" s="102"/>
      <c r="I423" s="102"/>
      <c r="J423" s="102"/>
      <c r="K423" s="102"/>
      <c r="L423" s="102"/>
      <c r="M423" s="102"/>
      <c r="N423" s="102"/>
      <c r="O423" s="102"/>
      <c r="P423" s="102"/>
      <c r="Q423" s="102"/>
      <c r="R423" s="102"/>
      <c r="S423" s="102"/>
      <c r="T423" s="102"/>
      <c r="U423" s="102"/>
      <c r="V423" s="102"/>
      <c r="W423" s="102"/>
      <c r="X423" s="102"/>
      <c r="Y423" s="102"/>
      <c r="Z423" s="102"/>
      <c r="AA423" s="102"/>
      <c r="AB423" s="102"/>
      <c r="AC423" s="102"/>
      <c r="AD423" s="102"/>
      <c r="AE423" s="102"/>
      <c r="AF423" s="102"/>
      <c r="AG423" s="102"/>
      <c r="AH423" s="102"/>
      <c r="AI423" s="102"/>
      <c r="AJ423" s="102"/>
      <c r="AK423" s="102"/>
      <c r="AL423" s="102"/>
      <c r="AM423" s="102"/>
      <c r="AN423" s="102"/>
      <c r="AO423" s="102"/>
      <c r="AP423" s="102"/>
      <c r="AQ423" s="102"/>
      <c r="AR423" s="102"/>
      <c r="AS423" s="102"/>
      <c r="AT423" s="102"/>
      <c r="AU423" s="102"/>
      <c r="AV423" s="102"/>
    </row>
    <row r="424" ht="12.75" customHeight="1">
      <c r="C424" s="400"/>
      <c r="D424" s="102"/>
      <c r="I424" s="102"/>
      <c r="J424" s="102"/>
      <c r="K424" s="102"/>
      <c r="L424" s="102"/>
      <c r="M424" s="102"/>
      <c r="N424" s="102"/>
      <c r="O424" s="102"/>
      <c r="P424" s="102"/>
      <c r="Q424" s="102"/>
      <c r="R424" s="102"/>
      <c r="S424" s="102"/>
      <c r="T424" s="102"/>
      <c r="U424" s="102"/>
      <c r="V424" s="102"/>
      <c r="W424" s="102"/>
      <c r="X424" s="102"/>
      <c r="Y424" s="102"/>
      <c r="Z424" s="102"/>
      <c r="AA424" s="102"/>
      <c r="AB424" s="102"/>
      <c r="AC424" s="102"/>
      <c r="AD424" s="102"/>
      <c r="AE424" s="102"/>
      <c r="AF424" s="102"/>
      <c r="AG424" s="102"/>
      <c r="AH424" s="102"/>
      <c r="AI424" s="102"/>
      <c r="AJ424" s="102"/>
      <c r="AK424" s="102"/>
      <c r="AL424" s="102"/>
      <c r="AM424" s="102"/>
      <c r="AN424" s="102"/>
      <c r="AO424" s="102"/>
      <c r="AP424" s="102"/>
      <c r="AQ424" s="102"/>
      <c r="AR424" s="102"/>
      <c r="AS424" s="102"/>
      <c r="AT424" s="102"/>
      <c r="AU424" s="102"/>
      <c r="AV424" s="102"/>
    </row>
    <row r="425" ht="12.75" customHeight="1">
      <c r="C425" s="400"/>
      <c r="D425" s="102"/>
      <c r="I425" s="102"/>
      <c r="J425" s="102"/>
      <c r="K425" s="102"/>
      <c r="L425" s="102"/>
      <c r="M425" s="102"/>
      <c r="N425" s="102"/>
      <c r="O425" s="102"/>
      <c r="P425" s="102"/>
      <c r="Q425" s="102"/>
      <c r="R425" s="102"/>
      <c r="S425" s="102"/>
      <c r="T425" s="102"/>
      <c r="U425" s="102"/>
      <c r="V425" s="102"/>
      <c r="W425" s="102"/>
      <c r="X425" s="102"/>
      <c r="Y425" s="102"/>
      <c r="Z425" s="102"/>
      <c r="AA425" s="102"/>
      <c r="AB425" s="102"/>
      <c r="AC425" s="102"/>
      <c r="AD425" s="102"/>
      <c r="AE425" s="102"/>
      <c r="AF425" s="102"/>
      <c r="AG425" s="102"/>
      <c r="AH425" s="102"/>
      <c r="AI425" s="102"/>
      <c r="AJ425" s="102"/>
      <c r="AK425" s="102"/>
      <c r="AL425" s="102"/>
      <c r="AM425" s="102"/>
      <c r="AN425" s="102"/>
      <c r="AO425" s="102"/>
      <c r="AP425" s="102"/>
      <c r="AQ425" s="102"/>
      <c r="AR425" s="102"/>
      <c r="AS425" s="102"/>
      <c r="AT425" s="102"/>
      <c r="AU425" s="102"/>
      <c r="AV425" s="102"/>
    </row>
    <row r="426" ht="12.75" customHeight="1">
      <c r="C426" s="400"/>
      <c r="D426" s="102"/>
      <c r="I426" s="102"/>
      <c r="J426" s="102"/>
      <c r="K426" s="102"/>
      <c r="L426" s="102"/>
      <c r="M426" s="102"/>
      <c r="N426" s="102"/>
      <c r="O426" s="102"/>
      <c r="P426" s="102"/>
      <c r="Q426" s="102"/>
      <c r="R426" s="102"/>
      <c r="S426" s="102"/>
      <c r="T426" s="102"/>
      <c r="U426" s="102"/>
      <c r="V426" s="102"/>
      <c r="W426" s="102"/>
      <c r="X426" s="102"/>
      <c r="Y426" s="102"/>
      <c r="Z426" s="102"/>
      <c r="AA426" s="102"/>
      <c r="AB426" s="102"/>
      <c r="AC426" s="102"/>
      <c r="AD426" s="102"/>
      <c r="AE426" s="102"/>
      <c r="AF426" s="102"/>
      <c r="AG426" s="102"/>
      <c r="AH426" s="102"/>
      <c r="AI426" s="102"/>
      <c r="AJ426" s="102"/>
      <c r="AK426" s="102"/>
      <c r="AL426" s="102"/>
      <c r="AM426" s="102"/>
      <c r="AN426" s="102"/>
      <c r="AO426" s="102"/>
      <c r="AP426" s="102"/>
      <c r="AQ426" s="102"/>
      <c r="AR426" s="102"/>
      <c r="AS426" s="102"/>
      <c r="AT426" s="102"/>
      <c r="AU426" s="102"/>
      <c r="AV426" s="102"/>
    </row>
    <row r="427" ht="12.75" customHeight="1">
      <c r="C427" s="400"/>
      <c r="D427" s="102"/>
      <c r="I427" s="102"/>
      <c r="J427" s="102"/>
      <c r="K427" s="102"/>
      <c r="L427" s="102"/>
      <c r="M427" s="102"/>
      <c r="N427" s="102"/>
      <c r="O427" s="102"/>
      <c r="P427" s="102"/>
      <c r="Q427" s="102"/>
      <c r="R427" s="102"/>
      <c r="S427" s="102"/>
      <c r="T427" s="102"/>
      <c r="U427" s="102"/>
      <c r="V427" s="102"/>
      <c r="W427" s="102"/>
      <c r="X427" s="102"/>
      <c r="Y427" s="102"/>
      <c r="Z427" s="102"/>
      <c r="AA427" s="102"/>
      <c r="AB427" s="102"/>
      <c r="AC427" s="102"/>
      <c r="AD427" s="102"/>
      <c r="AE427" s="102"/>
      <c r="AF427" s="102"/>
      <c r="AG427" s="102"/>
      <c r="AH427" s="102"/>
      <c r="AI427" s="102"/>
      <c r="AJ427" s="102"/>
      <c r="AK427" s="102"/>
      <c r="AL427" s="102"/>
      <c r="AM427" s="102"/>
      <c r="AN427" s="102"/>
      <c r="AO427" s="102"/>
      <c r="AP427" s="102"/>
      <c r="AQ427" s="102"/>
      <c r="AR427" s="102"/>
      <c r="AS427" s="102"/>
      <c r="AT427" s="102"/>
      <c r="AU427" s="102"/>
      <c r="AV427" s="102"/>
    </row>
    <row r="428" ht="12.75" customHeight="1">
      <c r="C428" s="400"/>
      <c r="D428" s="102"/>
      <c r="I428" s="102"/>
      <c r="J428" s="102"/>
      <c r="K428" s="102"/>
      <c r="L428" s="102"/>
      <c r="M428" s="102"/>
      <c r="N428" s="102"/>
      <c r="O428" s="102"/>
      <c r="P428" s="102"/>
      <c r="Q428" s="102"/>
      <c r="R428" s="102"/>
      <c r="S428" s="102"/>
      <c r="T428" s="102"/>
      <c r="U428" s="102"/>
      <c r="V428" s="102"/>
      <c r="W428" s="102"/>
      <c r="X428" s="102"/>
      <c r="Y428" s="102"/>
      <c r="Z428" s="102"/>
      <c r="AA428" s="102"/>
      <c r="AB428" s="102"/>
      <c r="AC428" s="102"/>
      <c r="AD428" s="102"/>
      <c r="AE428" s="102"/>
      <c r="AF428" s="102"/>
      <c r="AG428" s="102"/>
      <c r="AH428" s="102"/>
      <c r="AI428" s="102"/>
      <c r="AJ428" s="102"/>
      <c r="AK428" s="102"/>
      <c r="AL428" s="102"/>
      <c r="AM428" s="102"/>
      <c r="AN428" s="102"/>
      <c r="AO428" s="102"/>
      <c r="AP428" s="102"/>
      <c r="AQ428" s="102"/>
      <c r="AR428" s="102"/>
      <c r="AS428" s="102"/>
      <c r="AT428" s="102"/>
      <c r="AU428" s="102"/>
      <c r="AV428" s="102"/>
    </row>
    <row r="429" ht="12.75" customHeight="1">
      <c r="C429" s="400"/>
      <c r="D429" s="102"/>
      <c r="I429" s="102"/>
      <c r="J429" s="102"/>
      <c r="K429" s="102"/>
      <c r="L429" s="102"/>
      <c r="M429" s="102"/>
      <c r="N429" s="102"/>
      <c r="O429" s="102"/>
      <c r="P429" s="102"/>
      <c r="Q429" s="102"/>
      <c r="R429" s="102"/>
      <c r="S429" s="102"/>
      <c r="T429" s="102"/>
      <c r="U429" s="102"/>
      <c r="V429" s="102"/>
      <c r="W429" s="102"/>
      <c r="X429" s="102"/>
      <c r="Y429" s="102"/>
      <c r="Z429" s="102"/>
      <c r="AA429" s="102"/>
      <c r="AB429" s="102"/>
      <c r="AC429" s="102"/>
      <c r="AD429" s="102"/>
      <c r="AE429" s="102"/>
      <c r="AF429" s="102"/>
      <c r="AG429" s="102"/>
      <c r="AH429" s="102"/>
      <c r="AI429" s="102"/>
      <c r="AJ429" s="102"/>
      <c r="AK429" s="102"/>
      <c r="AL429" s="102"/>
      <c r="AM429" s="102"/>
      <c r="AN429" s="102"/>
      <c r="AO429" s="102"/>
      <c r="AP429" s="102"/>
      <c r="AQ429" s="102"/>
      <c r="AR429" s="102"/>
      <c r="AS429" s="102"/>
      <c r="AT429" s="102"/>
      <c r="AU429" s="102"/>
      <c r="AV429" s="102"/>
    </row>
    <row r="430" ht="12.75" customHeight="1">
      <c r="C430" s="400"/>
      <c r="D430" s="102"/>
      <c r="I430" s="102"/>
      <c r="J430" s="102"/>
      <c r="K430" s="102"/>
      <c r="L430" s="102"/>
      <c r="M430" s="102"/>
      <c r="N430" s="102"/>
      <c r="O430" s="102"/>
      <c r="P430" s="102"/>
      <c r="Q430" s="102"/>
      <c r="R430" s="102"/>
      <c r="S430" s="102"/>
      <c r="T430" s="102"/>
      <c r="U430" s="102"/>
      <c r="V430" s="102"/>
      <c r="W430" s="102"/>
      <c r="X430" s="102"/>
      <c r="Y430" s="102"/>
      <c r="Z430" s="102"/>
      <c r="AA430" s="102"/>
      <c r="AB430" s="102"/>
      <c r="AC430" s="102"/>
      <c r="AD430" s="102"/>
      <c r="AE430" s="102"/>
      <c r="AF430" s="102"/>
      <c r="AG430" s="102"/>
      <c r="AH430" s="102"/>
      <c r="AI430" s="102"/>
      <c r="AJ430" s="102"/>
      <c r="AK430" s="102"/>
      <c r="AL430" s="102"/>
      <c r="AM430" s="102"/>
      <c r="AN430" s="102"/>
      <c r="AO430" s="102"/>
      <c r="AP430" s="102"/>
      <c r="AQ430" s="102"/>
      <c r="AR430" s="102"/>
      <c r="AS430" s="102"/>
      <c r="AT430" s="102"/>
      <c r="AU430" s="102"/>
      <c r="AV430" s="102"/>
    </row>
    <row r="431" ht="12.75" customHeight="1">
      <c r="C431" s="400"/>
      <c r="D431" s="102"/>
      <c r="I431" s="102"/>
      <c r="J431" s="102"/>
      <c r="K431" s="102"/>
      <c r="L431" s="102"/>
      <c r="M431" s="102"/>
      <c r="N431" s="102"/>
      <c r="O431" s="102"/>
      <c r="P431" s="102"/>
      <c r="Q431" s="102"/>
      <c r="R431" s="102"/>
      <c r="S431" s="102"/>
      <c r="T431" s="102"/>
      <c r="U431" s="102"/>
      <c r="V431" s="102"/>
      <c r="W431" s="102"/>
      <c r="X431" s="102"/>
      <c r="Y431" s="102"/>
      <c r="Z431" s="102"/>
      <c r="AA431" s="102"/>
      <c r="AB431" s="102"/>
      <c r="AC431" s="102"/>
      <c r="AD431" s="102"/>
      <c r="AE431" s="102"/>
      <c r="AF431" s="102"/>
      <c r="AG431" s="102"/>
      <c r="AH431" s="102"/>
      <c r="AI431" s="102"/>
      <c r="AJ431" s="102"/>
      <c r="AK431" s="102"/>
      <c r="AL431" s="102"/>
      <c r="AM431" s="102"/>
      <c r="AN431" s="102"/>
      <c r="AO431" s="102"/>
      <c r="AP431" s="102"/>
      <c r="AQ431" s="102"/>
      <c r="AR431" s="102"/>
      <c r="AS431" s="102"/>
      <c r="AT431" s="102"/>
      <c r="AU431" s="102"/>
      <c r="AV431" s="102"/>
    </row>
    <row r="432" ht="12.75" customHeight="1">
      <c r="C432" s="400"/>
      <c r="D432" s="102"/>
      <c r="I432" s="102"/>
      <c r="J432" s="102"/>
      <c r="K432" s="102"/>
      <c r="L432" s="102"/>
      <c r="M432" s="102"/>
      <c r="N432" s="102"/>
      <c r="O432" s="102"/>
      <c r="P432" s="102"/>
      <c r="Q432" s="102"/>
      <c r="R432" s="102"/>
      <c r="S432" s="102"/>
      <c r="T432" s="102"/>
      <c r="U432" s="102"/>
      <c r="V432" s="102"/>
      <c r="W432" s="102"/>
      <c r="X432" s="102"/>
      <c r="Y432" s="102"/>
      <c r="Z432" s="102"/>
      <c r="AA432" s="102"/>
      <c r="AB432" s="102"/>
      <c r="AC432" s="102"/>
      <c r="AD432" s="102"/>
      <c r="AE432" s="102"/>
      <c r="AF432" s="102"/>
      <c r="AG432" s="102"/>
      <c r="AH432" s="102"/>
      <c r="AI432" s="102"/>
      <c r="AJ432" s="102"/>
      <c r="AK432" s="102"/>
      <c r="AL432" s="102"/>
      <c r="AM432" s="102"/>
      <c r="AN432" s="102"/>
      <c r="AO432" s="102"/>
      <c r="AP432" s="102"/>
      <c r="AQ432" s="102"/>
      <c r="AR432" s="102"/>
      <c r="AS432" s="102"/>
      <c r="AT432" s="102"/>
      <c r="AU432" s="102"/>
      <c r="AV432" s="102"/>
    </row>
    <row r="433" ht="12.75" customHeight="1">
      <c r="C433" s="400"/>
      <c r="D433" s="102"/>
      <c r="I433" s="102"/>
      <c r="J433" s="102"/>
      <c r="K433" s="102"/>
      <c r="L433" s="102"/>
      <c r="M433" s="102"/>
      <c r="N433" s="102"/>
      <c r="O433" s="102"/>
      <c r="P433" s="102"/>
      <c r="Q433" s="102"/>
      <c r="R433" s="102"/>
      <c r="S433" s="102"/>
      <c r="T433" s="102"/>
      <c r="U433" s="102"/>
      <c r="V433" s="102"/>
      <c r="W433" s="102"/>
      <c r="X433" s="102"/>
      <c r="Y433" s="102"/>
      <c r="Z433" s="102"/>
      <c r="AA433" s="102"/>
      <c r="AB433" s="102"/>
      <c r="AC433" s="102"/>
      <c r="AD433" s="102"/>
      <c r="AE433" s="102"/>
      <c r="AF433" s="102"/>
      <c r="AG433" s="102"/>
      <c r="AH433" s="102"/>
      <c r="AI433" s="102"/>
      <c r="AJ433" s="102"/>
      <c r="AK433" s="102"/>
      <c r="AL433" s="102"/>
      <c r="AM433" s="102"/>
      <c r="AN433" s="102"/>
      <c r="AO433" s="102"/>
      <c r="AP433" s="102"/>
      <c r="AQ433" s="102"/>
      <c r="AR433" s="102"/>
      <c r="AS433" s="102"/>
      <c r="AT433" s="102"/>
      <c r="AU433" s="102"/>
      <c r="AV433" s="102"/>
    </row>
    <row r="434" ht="12.75" customHeight="1">
      <c r="C434" s="400"/>
      <c r="D434" s="102"/>
      <c r="I434" s="102"/>
      <c r="J434" s="102"/>
      <c r="K434" s="102"/>
      <c r="L434" s="102"/>
      <c r="M434" s="102"/>
      <c r="N434" s="102"/>
      <c r="O434" s="102"/>
      <c r="P434" s="102"/>
      <c r="Q434" s="102"/>
      <c r="R434" s="102"/>
      <c r="S434" s="102"/>
      <c r="T434" s="102"/>
      <c r="U434" s="102"/>
      <c r="V434" s="102"/>
      <c r="W434" s="102"/>
      <c r="X434" s="102"/>
      <c r="Y434" s="102"/>
      <c r="Z434" s="102"/>
      <c r="AA434" s="102"/>
      <c r="AB434" s="102"/>
      <c r="AC434" s="102"/>
      <c r="AD434" s="102"/>
      <c r="AE434" s="102"/>
      <c r="AF434" s="102"/>
      <c r="AG434" s="102"/>
      <c r="AH434" s="102"/>
      <c r="AI434" s="102"/>
      <c r="AJ434" s="102"/>
      <c r="AK434" s="102"/>
      <c r="AL434" s="102"/>
      <c r="AM434" s="102"/>
      <c r="AN434" s="102"/>
      <c r="AO434" s="102"/>
      <c r="AP434" s="102"/>
      <c r="AQ434" s="102"/>
      <c r="AR434" s="102"/>
      <c r="AS434" s="102"/>
      <c r="AT434" s="102"/>
      <c r="AU434" s="102"/>
      <c r="AV434" s="102"/>
    </row>
    <row r="435" ht="12.75" customHeight="1">
      <c r="C435" s="400"/>
      <c r="D435" s="102"/>
      <c r="I435" s="102"/>
      <c r="J435" s="102"/>
      <c r="K435" s="102"/>
      <c r="L435" s="102"/>
      <c r="M435" s="102"/>
      <c r="N435" s="102"/>
      <c r="O435" s="102"/>
      <c r="P435" s="102"/>
      <c r="Q435" s="102"/>
      <c r="R435" s="102"/>
      <c r="S435" s="102"/>
      <c r="T435" s="102"/>
      <c r="U435" s="102"/>
      <c r="V435" s="102"/>
      <c r="W435" s="102"/>
      <c r="X435" s="102"/>
      <c r="Y435" s="102"/>
      <c r="Z435" s="102"/>
      <c r="AA435" s="102"/>
      <c r="AB435" s="102"/>
      <c r="AC435" s="102"/>
      <c r="AD435" s="102"/>
      <c r="AE435" s="102"/>
      <c r="AF435" s="102"/>
      <c r="AG435" s="102"/>
      <c r="AH435" s="102"/>
      <c r="AI435" s="102"/>
      <c r="AJ435" s="102"/>
      <c r="AK435" s="102"/>
      <c r="AL435" s="102"/>
      <c r="AM435" s="102"/>
      <c r="AN435" s="102"/>
      <c r="AO435" s="102"/>
      <c r="AP435" s="102"/>
      <c r="AQ435" s="102"/>
      <c r="AR435" s="102"/>
      <c r="AS435" s="102"/>
      <c r="AT435" s="102"/>
      <c r="AU435" s="102"/>
      <c r="AV435" s="102"/>
    </row>
    <row r="436" ht="12.75" customHeight="1">
      <c r="C436" s="400"/>
      <c r="D436" s="102"/>
      <c r="I436" s="102"/>
      <c r="J436" s="102"/>
      <c r="K436" s="102"/>
      <c r="L436" s="102"/>
      <c r="M436" s="102"/>
      <c r="N436" s="102"/>
      <c r="O436" s="102"/>
      <c r="P436" s="102"/>
      <c r="Q436" s="102"/>
      <c r="R436" s="102"/>
      <c r="S436" s="102"/>
      <c r="T436" s="102"/>
      <c r="U436" s="102"/>
      <c r="V436" s="102"/>
      <c r="W436" s="102"/>
      <c r="X436" s="102"/>
      <c r="Y436" s="102"/>
      <c r="Z436" s="102"/>
      <c r="AA436" s="102"/>
      <c r="AB436" s="102"/>
      <c r="AC436" s="102"/>
      <c r="AD436" s="102"/>
      <c r="AE436" s="102"/>
      <c r="AF436" s="102"/>
      <c r="AG436" s="102"/>
      <c r="AH436" s="102"/>
      <c r="AI436" s="102"/>
      <c r="AJ436" s="102"/>
      <c r="AK436" s="102"/>
      <c r="AL436" s="102"/>
      <c r="AM436" s="102"/>
      <c r="AN436" s="102"/>
      <c r="AO436" s="102"/>
      <c r="AP436" s="102"/>
      <c r="AQ436" s="102"/>
      <c r="AR436" s="102"/>
      <c r="AS436" s="102"/>
      <c r="AT436" s="102"/>
      <c r="AU436" s="102"/>
      <c r="AV436" s="102"/>
    </row>
    <row r="437" ht="12.75" customHeight="1">
      <c r="C437" s="400"/>
      <c r="D437" s="102"/>
      <c r="I437" s="102"/>
      <c r="J437" s="102"/>
      <c r="K437" s="102"/>
      <c r="L437" s="102"/>
      <c r="M437" s="102"/>
      <c r="N437" s="102"/>
      <c r="O437" s="102"/>
      <c r="P437" s="102"/>
      <c r="Q437" s="102"/>
      <c r="R437" s="102"/>
      <c r="S437" s="102"/>
      <c r="T437" s="102"/>
      <c r="U437" s="102"/>
      <c r="V437" s="102"/>
      <c r="W437" s="102"/>
      <c r="X437" s="102"/>
      <c r="Y437" s="102"/>
      <c r="Z437" s="102"/>
      <c r="AA437" s="102"/>
      <c r="AB437" s="102"/>
      <c r="AC437" s="102"/>
      <c r="AD437" s="102"/>
      <c r="AE437" s="102"/>
      <c r="AF437" s="102"/>
      <c r="AG437" s="102"/>
      <c r="AH437" s="102"/>
      <c r="AI437" s="102"/>
      <c r="AJ437" s="102"/>
      <c r="AK437" s="102"/>
      <c r="AL437" s="102"/>
      <c r="AM437" s="102"/>
      <c r="AN437" s="102"/>
      <c r="AO437" s="102"/>
      <c r="AP437" s="102"/>
      <c r="AQ437" s="102"/>
      <c r="AR437" s="102"/>
      <c r="AS437" s="102"/>
      <c r="AT437" s="102"/>
      <c r="AU437" s="102"/>
      <c r="AV437" s="102"/>
    </row>
    <row r="438" ht="12.75" customHeight="1">
      <c r="C438" s="400"/>
      <c r="D438" s="102"/>
      <c r="I438" s="102"/>
      <c r="J438" s="102"/>
      <c r="K438" s="102"/>
      <c r="L438" s="102"/>
      <c r="M438" s="102"/>
      <c r="N438" s="102"/>
      <c r="O438" s="102"/>
      <c r="P438" s="102"/>
      <c r="Q438" s="102"/>
      <c r="R438" s="102"/>
      <c r="S438" s="102"/>
      <c r="T438" s="102"/>
      <c r="U438" s="102"/>
      <c r="V438" s="102"/>
      <c r="W438" s="102"/>
      <c r="X438" s="102"/>
      <c r="Y438" s="102"/>
      <c r="Z438" s="102"/>
      <c r="AA438" s="102"/>
      <c r="AB438" s="102"/>
      <c r="AC438" s="102"/>
      <c r="AD438" s="102"/>
      <c r="AE438" s="102"/>
      <c r="AF438" s="102"/>
      <c r="AG438" s="102"/>
      <c r="AH438" s="102"/>
      <c r="AI438" s="102"/>
      <c r="AJ438" s="102"/>
      <c r="AK438" s="102"/>
      <c r="AL438" s="102"/>
      <c r="AM438" s="102"/>
      <c r="AN438" s="102"/>
      <c r="AO438" s="102"/>
      <c r="AP438" s="102"/>
      <c r="AQ438" s="102"/>
      <c r="AR438" s="102"/>
      <c r="AS438" s="102"/>
      <c r="AT438" s="102"/>
      <c r="AU438" s="102"/>
      <c r="AV438" s="102"/>
    </row>
    <row r="439" ht="12.75" customHeight="1">
      <c r="C439" s="400"/>
      <c r="D439" s="102"/>
      <c r="I439" s="102"/>
      <c r="J439" s="102"/>
      <c r="K439" s="102"/>
      <c r="L439" s="102"/>
      <c r="M439" s="102"/>
      <c r="N439" s="102"/>
      <c r="O439" s="102"/>
      <c r="P439" s="102"/>
      <c r="Q439" s="102"/>
      <c r="R439" s="102"/>
      <c r="S439" s="102"/>
      <c r="T439" s="102"/>
      <c r="U439" s="102"/>
      <c r="V439" s="102"/>
      <c r="W439" s="102"/>
      <c r="X439" s="102"/>
      <c r="Y439" s="102"/>
      <c r="Z439" s="102"/>
      <c r="AA439" s="102"/>
      <c r="AB439" s="102"/>
      <c r="AC439" s="102"/>
      <c r="AD439" s="102"/>
      <c r="AE439" s="102"/>
      <c r="AF439" s="102"/>
      <c r="AG439" s="102"/>
      <c r="AH439" s="102"/>
      <c r="AI439" s="102"/>
      <c r="AJ439" s="102"/>
      <c r="AK439" s="102"/>
      <c r="AL439" s="102"/>
      <c r="AM439" s="102"/>
      <c r="AN439" s="102"/>
      <c r="AO439" s="102"/>
      <c r="AP439" s="102"/>
      <c r="AQ439" s="102"/>
      <c r="AR439" s="102"/>
      <c r="AS439" s="102"/>
      <c r="AT439" s="102"/>
      <c r="AU439" s="102"/>
      <c r="AV439" s="102"/>
    </row>
    <row r="440" ht="12.75" customHeight="1">
      <c r="C440" s="400"/>
      <c r="D440" s="102"/>
      <c r="I440" s="102"/>
      <c r="J440" s="102"/>
      <c r="K440" s="102"/>
      <c r="L440" s="102"/>
      <c r="M440" s="102"/>
      <c r="N440" s="102"/>
      <c r="O440" s="102"/>
      <c r="P440" s="102"/>
      <c r="Q440" s="102"/>
      <c r="R440" s="102"/>
      <c r="S440" s="102"/>
      <c r="T440" s="102"/>
      <c r="U440" s="102"/>
      <c r="V440" s="102"/>
      <c r="W440" s="102"/>
      <c r="X440" s="102"/>
      <c r="Y440" s="102"/>
      <c r="Z440" s="102"/>
      <c r="AA440" s="102"/>
      <c r="AB440" s="102"/>
      <c r="AC440" s="102"/>
      <c r="AD440" s="102"/>
      <c r="AE440" s="102"/>
      <c r="AF440" s="102"/>
      <c r="AG440" s="102"/>
      <c r="AH440" s="102"/>
      <c r="AI440" s="102"/>
      <c r="AJ440" s="102"/>
      <c r="AK440" s="102"/>
      <c r="AL440" s="102"/>
      <c r="AM440" s="102"/>
      <c r="AN440" s="102"/>
      <c r="AO440" s="102"/>
      <c r="AP440" s="102"/>
      <c r="AQ440" s="102"/>
      <c r="AR440" s="102"/>
      <c r="AS440" s="102"/>
      <c r="AT440" s="102"/>
      <c r="AU440" s="102"/>
      <c r="AV440" s="102"/>
    </row>
    <row r="441" ht="12.75" customHeight="1">
      <c r="C441" s="400"/>
      <c r="D441" s="102"/>
      <c r="I441" s="102"/>
      <c r="J441" s="102"/>
      <c r="K441" s="102"/>
      <c r="L441" s="102"/>
      <c r="M441" s="102"/>
      <c r="N441" s="102"/>
      <c r="O441" s="102"/>
      <c r="P441" s="102"/>
      <c r="Q441" s="102"/>
      <c r="R441" s="102"/>
      <c r="S441" s="102"/>
      <c r="T441" s="102"/>
      <c r="U441" s="102"/>
      <c r="V441" s="102"/>
      <c r="W441" s="102"/>
      <c r="X441" s="102"/>
      <c r="Y441" s="102"/>
      <c r="Z441" s="102"/>
      <c r="AA441" s="102"/>
      <c r="AB441" s="102"/>
      <c r="AC441" s="102"/>
      <c r="AD441" s="102"/>
      <c r="AE441" s="102"/>
      <c r="AF441" s="102"/>
      <c r="AG441" s="102"/>
      <c r="AH441" s="102"/>
      <c r="AI441" s="102"/>
      <c r="AJ441" s="102"/>
      <c r="AK441" s="102"/>
      <c r="AL441" s="102"/>
      <c r="AM441" s="102"/>
      <c r="AN441" s="102"/>
      <c r="AO441" s="102"/>
      <c r="AP441" s="102"/>
      <c r="AQ441" s="102"/>
      <c r="AR441" s="102"/>
      <c r="AS441" s="102"/>
      <c r="AT441" s="102"/>
      <c r="AU441" s="102"/>
      <c r="AV441" s="102"/>
    </row>
    <row r="442" ht="12.75" customHeight="1">
      <c r="C442" s="400"/>
      <c r="D442" s="102"/>
      <c r="I442" s="102"/>
      <c r="J442" s="102"/>
      <c r="K442" s="102"/>
      <c r="L442" s="102"/>
      <c r="M442" s="102"/>
      <c r="N442" s="102"/>
      <c r="O442" s="102"/>
      <c r="P442" s="102"/>
      <c r="Q442" s="102"/>
      <c r="R442" s="102"/>
      <c r="S442" s="102"/>
      <c r="T442" s="102"/>
      <c r="U442" s="102"/>
      <c r="V442" s="102"/>
      <c r="W442" s="102"/>
      <c r="X442" s="102"/>
      <c r="Y442" s="102"/>
      <c r="Z442" s="102"/>
      <c r="AA442" s="102"/>
      <c r="AB442" s="102"/>
      <c r="AC442" s="102"/>
      <c r="AD442" s="102"/>
      <c r="AE442" s="102"/>
      <c r="AF442" s="102"/>
      <c r="AG442" s="102"/>
      <c r="AH442" s="102"/>
      <c r="AI442" s="102"/>
      <c r="AJ442" s="102"/>
      <c r="AK442" s="102"/>
      <c r="AL442" s="102"/>
      <c r="AM442" s="102"/>
      <c r="AN442" s="102"/>
      <c r="AO442" s="102"/>
      <c r="AP442" s="102"/>
      <c r="AQ442" s="102"/>
      <c r="AR442" s="102"/>
      <c r="AS442" s="102"/>
      <c r="AT442" s="102"/>
      <c r="AU442" s="102"/>
      <c r="AV442" s="102"/>
    </row>
    <row r="443" ht="12.75" customHeight="1">
      <c r="C443" s="400"/>
      <c r="D443" s="102"/>
      <c r="I443" s="102"/>
      <c r="J443" s="102"/>
      <c r="K443" s="102"/>
      <c r="L443" s="102"/>
      <c r="M443" s="102"/>
      <c r="N443" s="102"/>
      <c r="O443" s="102"/>
      <c r="P443" s="102"/>
      <c r="Q443" s="102"/>
      <c r="R443" s="102"/>
      <c r="S443" s="102"/>
      <c r="T443" s="102"/>
      <c r="U443" s="102"/>
      <c r="V443" s="102"/>
      <c r="W443" s="102"/>
      <c r="X443" s="102"/>
      <c r="Y443" s="102"/>
      <c r="Z443" s="102"/>
      <c r="AA443" s="102"/>
      <c r="AB443" s="102"/>
      <c r="AC443" s="102"/>
      <c r="AD443" s="102"/>
      <c r="AE443" s="102"/>
      <c r="AF443" s="102"/>
      <c r="AG443" s="102"/>
      <c r="AH443" s="102"/>
      <c r="AI443" s="102"/>
      <c r="AJ443" s="102"/>
      <c r="AK443" s="102"/>
      <c r="AL443" s="102"/>
      <c r="AM443" s="102"/>
      <c r="AN443" s="102"/>
      <c r="AO443" s="102"/>
      <c r="AP443" s="102"/>
      <c r="AQ443" s="102"/>
      <c r="AR443" s="102"/>
      <c r="AS443" s="102"/>
      <c r="AT443" s="102"/>
      <c r="AU443" s="102"/>
      <c r="AV443" s="102"/>
    </row>
    <row r="444" ht="12.75" customHeight="1">
      <c r="C444" s="400"/>
      <c r="D444" s="102"/>
      <c r="I444" s="102"/>
      <c r="J444" s="102"/>
      <c r="K444" s="102"/>
      <c r="L444" s="102"/>
      <c r="M444" s="102"/>
      <c r="N444" s="102"/>
      <c r="O444" s="102"/>
      <c r="P444" s="102"/>
      <c r="Q444" s="102"/>
      <c r="R444" s="102"/>
      <c r="S444" s="102"/>
      <c r="T444" s="102"/>
      <c r="U444" s="102"/>
      <c r="V444" s="102"/>
      <c r="W444" s="102"/>
      <c r="X444" s="102"/>
      <c r="Y444" s="102"/>
      <c r="Z444" s="102"/>
      <c r="AA444" s="102"/>
      <c r="AB444" s="102"/>
      <c r="AC444" s="102"/>
      <c r="AD444" s="102"/>
      <c r="AE444" s="102"/>
      <c r="AF444" s="102"/>
      <c r="AG444" s="102"/>
      <c r="AH444" s="102"/>
      <c r="AI444" s="102"/>
      <c r="AJ444" s="102"/>
      <c r="AK444" s="102"/>
      <c r="AL444" s="102"/>
      <c r="AM444" s="102"/>
      <c r="AN444" s="102"/>
      <c r="AO444" s="102"/>
      <c r="AP444" s="102"/>
      <c r="AQ444" s="102"/>
      <c r="AR444" s="102"/>
      <c r="AS444" s="102"/>
      <c r="AT444" s="102"/>
      <c r="AU444" s="102"/>
      <c r="AV444" s="102"/>
    </row>
    <row r="445" ht="12.75" customHeight="1">
      <c r="C445" s="400"/>
      <c r="D445" s="102"/>
      <c r="I445" s="102"/>
      <c r="J445" s="102"/>
      <c r="K445" s="102"/>
      <c r="L445" s="102"/>
      <c r="M445" s="102"/>
      <c r="N445" s="102"/>
      <c r="O445" s="102"/>
      <c r="P445" s="102"/>
      <c r="Q445" s="102"/>
      <c r="R445" s="102"/>
      <c r="S445" s="102"/>
      <c r="T445" s="102"/>
      <c r="U445" s="102"/>
      <c r="V445" s="102"/>
      <c r="W445" s="102"/>
      <c r="X445" s="102"/>
      <c r="Y445" s="102"/>
      <c r="Z445" s="102"/>
      <c r="AA445" s="102"/>
      <c r="AB445" s="102"/>
      <c r="AC445" s="102"/>
      <c r="AD445" s="102"/>
      <c r="AE445" s="102"/>
      <c r="AF445" s="102"/>
      <c r="AG445" s="102"/>
      <c r="AH445" s="102"/>
      <c r="AI445" s="102"/>
      <c r="AJ445" s="102"/>
      <c r="AK445" s="102"/>
      <c r="AL445" s="102"/>
      <c r="AM445" s="102"/>
      <c r="AN445" s="102"/>
      <c r="AO445" s="102"/>
      <c r="AP445" s="102"/>
      <c r="AQ445" s="102"/>
      <c r="AR445" s="102"/>
      <c r="AS445" s="102"/>
      <c r="AT445" s="102"/>
      <c r="AU445" s="102"/>
      <c r="AV445" s="102"/>
    </row>
    <row r="446" ht="12.75" customHeight="1">
      <c r="C446" s="400"/>
      <c r="D446" s="102"/>
      <c r="I446" s="102"/>
      <c r="J446" s="102"/>
      <c r="K446" s="102"/>
      <c r="L446" s="102"/>
      <c r="M446" s="102"/>
      <c r="N446" s="102"/>
      <c r="O446" s="102"/>
      <c r="P446" s="102"/>
      <c r="Q446" s="102"/>
      <c r="R446" s="102"/>
      <c r="S446" s="102"/>
      <c r="T446" s="102"/>
      <c r="U446" s="102"/>
      <c r="V446" s="102"/>
      <c r="W446" s="102"/>
      <c r="X446" s="102"/>
      <c r="Y446" s="102"/>
      <c r="Z446" s="102"/>
      <c r="AA446" s="102"/>
      <c r="AB446" s="102"/>
      <c r="AC446" s="102"/>
      <c r="AD446" s="102"/>
      <c r="AE446" s="102"/>
      <c r="AF446" s="102"/>
      <c r="AG446" s="102"/>
      <c r="AH446" s="102"/>
      <c r="AI446" s="102"/>
      <c r="AJ446" s="102"/>
      <c r="AK446" s="102"/>
      <c r="AL446" s="102"/>
      <c r="AM446" s="102"/>
      <c r="AN446" s="102"/>
      <c r="AO446" s="102"/>
      <c r="AP446" s="102"/>
      <c r="AQ446" s="102"/>
      <c r="AR446" s="102"/>
      <c r="AS446" s="102"/>
      <c r="AT446" s="102"/>
      <c r="AU446" s="102"/>
      <c r="AV446" s="102"/>
    </row>
    <row r="447" ht="12.75" customHeight="1">
      <c r="C447" s="400"/>
      <c r="D447" s="102"/>
      <c r="I447" s="102"/>
      <c r="J447" s="102"/>
      <c r="K447" s="102"/>
      <c r="L447" s="102"/>
      <c r="M447" s="102"/>
      <c r="N447" s="102"/>
      <c r="O447" s="102"/>
      <c r="P447" s="102"/>
      <c r="Q447" s="102"/>
      <c r="R447" s="102"/>
      <c r="S447" s="102"/>
      <c r="T447" s="102"/>
      <c r="U447" s="102"/>
      <c r="V447" s="102"/>
      <c r="W447" s="102"/>
      <c r="X447" s="102"/>
      <c r="Y447" s="102"/>
      <c r="Z447" s="102"/>
      <c r="AA447" s="102"/>
      <c r="AB447" s="102"/>
      <c r="AC447" s="102"/>
      <c r="AD447" s="102"/>
      <c r="AE447" s="102"/>
      <c r="AF447" s="102"/>
      <c r="AG447" s="102"/>
      <c r="AH447" s="102"/>
      <c r="AI447" s="102"/>
      <c r="AJ447" s="102"/>
      <c r="AK447" s="102"/>
      <c r="AL447" s="102"/>
      <c r="AM447" s="102"/>
      <c r="AN447" s="102"/>
      <c r="AO447" s="102"/>
      <c r="AP447" s="102"/>
      <c r="AQ447" s="102"/>
      <c r="AR447" s="102"/>
      <c r="AS447" s="102"/>
      <c r="AT447" s="102"/>
      <c r="AU447" s="102"/>
      <c r="AV447" s="102"/>
    </row>
    <row r="448" ht="12.75" customHeight="1">
      <c r="C448" s="400"/>
      <c r="D448" s="102"/>
      <c r="I448" s="102"/>
      <c r="J448" s="102"/>
      <c r="K448" s="102"/>
      <c r="L448" s="102"/>
      <c r="M448" s="102"/>
      <c r="N448" s="102"/>
      <c r="O448" s="102"/>
      <c r="P448" s="102"/>
      <c r="Q448" s="102"/>
      <c r="R448" s="102"/>
      <c r="S448" s="102"/>
      <c r="T448" s="102"/>
      <c r="U448" s="102"/>
      <c r="V448" s="102"/>
      <c r="W448" s="102"/>
      <c r="X448" s="102"/>
      <c r="Y448" s="102"/>
      <c r="Z448" s="102"/>
      <c r="AA448" s="102"/>
      <c r="AB448" s="102"/>
      <c r="AC448" s="102"/>
      <c r="AD448" s="102"/>
      <c r="AE448" s="102"/>
      <c r="AF448" s="102"/>
      <c r="AG448" s="102"/>
      <c r="AH448" s="102"/>
      <c r="AI448" s="102"/>
      <c r="AJ448" s="102"/>
      <c r="AK448" s="102"/>
      <c r="AL448" s="102"/>
      <c r="AM448" s="102"/>
      <c r="AN448" s="102"/>
      <c r="AO448" s="102"/>
      <c r="AP448" s="102"/>
      <c r="AQ448" s="102"/>
      <c r="AR448" s="102"/>
      <c r="AS448" s="102"/>
      <c r="AT448" s="102"/>
      <c r="AU448" s="102"/>
      <c r="AV448" s="102"/>
    </row>
    <row r="449" ht="12.75" customHeight="1">
      <c r="C449" s="400"/>
      <c r="D449" s="102"/>
      <c r="I449" s="102"/>
      <c r="J449" s="102"/>
      <c r="K449" s="102"/>
      <c r="L449" s="102"/>
      <c r="M449" s="102"/>
      <c r="N449" s="102"/>
      <c r="O449" s="102"/>
      <c r="P449" s="102"/>
      <c r="Q449" s="102"/>
      <c r="R449" s="102"/>
      <c r="S449" s="102"/>
      <c r="T449" s="102"/>
      <c r="U449" s="102"/>
      <c r="V449" s="102"/>
      <c r="W449" s="102"/>
      <c r="X449" s="102"/>
      <c r="Y449" s="102"/>
      <c r="Z449" s="102"/>
      <c r="AA449" s="102"/>
      <c r="AB449" s="102"/>
      <c r="AC449" s="102"/>
      <c r="AD449" s="102"/>
      <c r="AE449" s="102"/>
      <c r="AF449" s="102"/>
      <c r="AG449" s="102"/>
      <c r="AH449" s="102"/>
      <c r="AI449" s="102"/>
      <c r="AJ449" s="102"/>
      <c r="AK449" s="102"/>
      <c r="AL449" s="102"/>
      <c r="AM449" s="102"/>
      <c r="AN449" s="102"/>
      <c r="AO449" s="102"/>
      <c r="AP449" s="102"/>
      <c r="AQ449" s="102"/>
      <c r="AR449" s="102"/>
      <c r="AS449" s="102"/>
      <c r="AT449" s="102"/>
      <c r="AU449" s="102"/>
      <c r="AV449" s="102"/>
    </row>
    <row r="450" ht="12.75" customHeight="1">
      <c r="C450" s="400"/>
      <c r="D450" s="102"/>
      <c r="I450" s="102"/>
      <c r="J450" s="102"/>
      <c r="K450" s="102"/>
      <c r="L450" s="102"/>
      <c r="M450" s="102"/>
      <c r="N450" s="102"/>
      <c r="O450" s="102"/>
      <c r="P450" s="102"/>
      <c r="Q450" s="102"/>
      <c r="R450" s="102"/>
      <c r="S450" s="102"/>
      <c r="T450" s="102"/>
      <c r="U450" s="102"/>
      <c r="V450" s="102"/>
      <c r="W450" s="102"/>
      <c r="X450" s="102"/>
      <c r="Y450" s="102"/>
      <c r="Z450" s="102"/>
      <c r="AA450" s="102"/>
      <c r="AB450" s="102"/>
      <c r="AC450" s="102"/>
      <c r="AD450" s="102"/>
      <c r="AE450" s="102"/>
      <c r="AF450" s="102"/>
      <c r="AG450" s="102"/>
      <c r="AH450" s="102"/>
      <c r="AI450" s="102"/>
      <c r="AJ450" s="102"/>
      <c r="AK450" s="102"/>
      <c r="AL450" s="102"/>
      <c r="AM450" s="102"/>
      <c r="AN450" s="102"/>
      <c r="AO450" s="102"/>
      <c r="AP450" s="102"/>
      <c r="AQ450" s="102"/>
      <c r="AR450" s="102"/>
      <c r="AS450" s="102"/>
      <c r="AT450" s="102"/>
      <c r="AU450" s="102"/>
      <c r="AV450" s="102"/>
    </row>
    <row r="451" ht="12.75" customHeight="1">
      <c r="C451" s="400"/>
      <c r="D451" s="102"/>
      <c r="I451" s="102"/>
      <c r="J451" s="102"/>
      <c r="K451" s="102"/>
      <c r="L451" s="102"/>
      <c r="M451" s="102"/>
      <c r="N451" s="102"/>
      <c r="O451" s="102"/>
      <c r="P451" s="102"/>
      <c r="Q451" s="102"/>
      <c r="R451" s="102"/>
      <c r="S451" s="102"/>
      <c r="T451" s="102"/>
      <c r="U451" s="102"/>
      <c r="V451" s="102"/>
      <c r="W451" s="102"/>
      <c r="X451" s="102"/>
      <c r="Y451" s="102"/>
      <c r="Z451" s="102"/>
      <c r="AA451" s="102"/>
      <c r="AB451" s="102"/>
      <c r="AC451" s="102"/>
      <c r="AD451" s="102"/>
      <c r="AE451" s="102"/>
      <c r="AF451" s="102"/>
      <c r="AG451" s="102"/>
      <c r="AH451" s="102"/>
      <c r="AI451" s="102"/>
      <c r="AJ451" s="102"/>
      <c r="AK451" s="102"/>
      <c r="AL451" s="102"/>
      <c r="AM451" s="102"/>
      <c r="AN451" s="102"/>
      <c r="AO451" s="102"/>
      <c r="AP451" s="102"/>
      <c r="AQ451" s="102"/>
      <c r="AR451" s="102"/>
      <c r="AS451" s="102"/>
      <c r="AT451" s="102"/>
      <c r="AU451" s="102"/>
      <c r="AV451" s="102"/>
    </row>
    <row r="452" ht="12.75" customHeight="1">
      <c r="C452" s="400"/>
      <c r="D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c r="AG452" s="102"/>
      <c r="AH452" s="102"/>
      <c r="AI452" s="102"/>
      <c r="AJ452" s="102"/>
      <c r="AK452" s="102"/>
      <c r="AL452" s="102"/>
      <c r="AM452" s="102"/>
      <c r="AN452" s="102"/>
      <c r="AO452" s="102"/>
      <c r="AP452" s="102"/>
      <c r="AQ452" s="102"/>
      <c r="AR452" s="102"/>
      <c r="AS452" s="102"/>
      <c r="AT452" s="102"/>
      <c r="AU452" s="102"/>
      <c r="AV452" s="102"/>
    </row>
    <row r="453" ht="12.75" customHeight="1">
      <c r="C453" s="400"/>
      <c r="D453" s="102"/>
      <c r="I453" s="102"/>
      <c r="J453" s="102"/>
      <c r="K453" s="102"/>
      <c r="L453" s="102"/>
      <c r="M453" s="102"/>
      <c r="N453" s="102"/>
      <c r="O453" s="102"/>
      <c r="P453" s="102"/>
      <c r="Q453" s="102"/>
      <c r="R453" s="102"/>
      <c r="S453" s="102"/>
      <c r="T453" s="102"/>
      <c r="U453" s="102"/>
      <c r="V453" s="102"/>
      <c r="W453" s="102"/>
      <c r="X453" s="102"/>
      <c r="Y453" s="102"/>
      <c r="Z453" s="102"/>
      <c r="AA453" s="102"/>
      <c r="AB453" s="102"/>
      <c r="AC453" s="102"/>
      <c r="AD453" s="102"/>
      <c r="AE453" s="102"/>
      <c r="AF453" s="102"/>
      <c r="AG453" s="102"/>
      <c r="AH453" s="102"/>
      <c r="AI453" s="102"/>
      <c r="AJ453" s="102"/>
      <c r="AK453" s="102"/>
      <c r="AL453" s="102"/>
      <c r="AM453" s="102"/>
      <c r="AN453" s="102"/>
      <c r="AO453" s="102"/>
      <c r="AP453" s="102"/>
      <c r="AQ453" s="102"/>
      <c r="AR453" s="102"/>
      <c r="AS453" s="102"/>
      <c r="AT453" s="102"/>
      <c r="AU453" s="102"/>
      <c r="AV453" s="102"/>
    </row>
    <row r="454" ht="12.75" customHeight="1">
      <c r="C454" s="400"/>
      <c r="D454" s="102"/>
      <c r="I454" s="102"/>
      <c r="J454" s="102"/>
      <c r="K454" s="102"/>
      <c r="L454" s="102"/>
      <c r="M454" s="102"/>
      <c r="N454" s="102"/>
      <c r="O454" s="102"/>
      <c r="P454" s="102"/>
      <c r="Q454" s="102"/>
      <c r="R454" s="102"/>
      <c r="S454" s="102"/>
      <c r="T454" s="102"/>
      <c r="U454" s="102"/>
      <c r="V454" s="102"/>
      <c r="W454" s="102"/>
      <c r="X454" s="102"/>
      <c r="Y454" s="102"/>
      <c r="Z454" s="102"/>
      <c r="AA454" s="102"/>
      <c r="AB454" s="102"/>
      <c r="AC454" s="102"/>
      <c r="AD454" s="102"/>
      <c r="AE454" s="102"/>
      <c r="AF454" s="102"/>
      <c r="AG454" s="102"/>
      <c r="AH454" s="102"/>
      <c r="AI454" s="102"/>
      <c r="AJ454" s="102"/>
      <c r="AK454" s="102"/>
      <c r="AL454" s="102"/>
      <c r="AM454" s="102"/>
      <c r="AN454" s="102"/>
      <c r="AO454" s="102"/>
      <c r="AP454" s="102"/>
      <c r="AQ454" s="102"/>
      <c r="AR454" s="102"/>
      <c r="AS454" s="102"/>
      <c r="AT454" s="102"/>
      <c r="AU454" s="102"/>
      <c r="AV454" s="102"/>
    </row>
    <row r="455" ht="12.75" customHeight="1">
      <c r="C455" s="400"/>
      <c r="D455" s="102"/>
      <c r="I455" s="102"/>
      <c r="J455" s="102"/>
      <c r="K455" s="102"/>
      <c r="L455" s="102"/>
      <c r="M455" s="102"/>
      <c r="N455" s="102"/>
      <c r="O455" s="102"/>
      <c r="P455" s="102"/>
      <c r="Q455" s="102"/>
      <c r="R455" s="102"/>
      <c r="S455" s="102"/>
      <c r="T455" s="102"/>
      <c r="U455" s="102"/>
      <c r="V455" s="102"/>
      <c r="W455" s="102"/>
      <c r="X455" s="102"/>
      <c r="Y455" s="102"/>
      <c r="Z455" s="102"/>
      <c r="AA455" s="102"/>
      <c r="AB455" s="102"/>
      <c r="AC455" s="102"/>
      <c r="AD455" s="102"/>
      <c r="AE455" s="102"/>
      <c r="AF455" s="102"/>
      <c r="AG455" s="102"/>
      <c r="AH455" s="102"/>
      <c r="AI455" s="102"/>
      <c r="AJ455" s="102"/>
      <c r="AK455" s="102"/>
      <c r="AL455" s="102"/>
      <c r="AM455" s="102"/>
      <c r="AN455" s="102"/>
      <c r="AO455" s="102"/>
      <c r="AP455" s="102"/>
      <c r="AQ455" s="102"/>
      <c r="AR455" s="102"/>
      <c r="AS455" s="102"/>
      <c r="AT455" s="102"/>
      <c r="AU455" s="102"/>
      <c r="AV455" s="102"/>
    </row>
    <row r="456" ht="12.75" customHeight="1">
      <c r="C456" s="400"/>
      <c r="D456" s="102"/>
      <c r="I456" s="102"/>
      <c r="J456" s="102"/>
      <c r="K456" s="102"/>
      <c r="L456" s="102"/>
      <c r="M456" s="102"/>
      <c r="N456" s="102"/>
      <c r="O456" s="102"/>
      <c r="P456" s="102"/>
      <c r="Q456" s="102"/>
      <c r="R456" s="102"/>
      <c r="S456" s="102"/>
      <c r="T456" s="102"/>
      <c r="U456" s="102"/>
      <c r="V456" s="102"/>
      <c r="W456" s="102"/>
      <c r="X456" s="102"/>
      <c r="Y456" s="102"/>
      <c r="Z456" s="102"/>
      <c r="AA456" s="102"/>
      <c r="AB456" s="102"/>
      <c r="AC456" s="102"/>
      <c r="AD456" s="102"/>
      <c r="AE456" s="102"/>
      <c r="AF456" s="102"/>
      <c r="AG456" s="102"/>
      <c r="AH456" s="102"/>
      <c r="AI456" s="102"/>
      <c r="AJ456" s="102"/>
      <c r="AK456" s="102"/>
      <c r="AL456" s="102"/>
      <c r="AM456" s="102"/>
      <c r="AN456" s="102"/>
      <c r="AO456" s="102"/>
      <c r="AP456" s="102"/>
      <c r="AQ456" s="102"/>
      <c r="AR456" s="102"/>
      <c r="AS456" s="102"/>
      <c r="AT456" s="102"/>
      <c r="AU456" s="102"/>
      <c r="AV456" s="102"/>
    </row>
    <row r="457" ht="12.75" customHeight="1">
      <c r="C457" s="400"/>
      <c r="D457" s="102"/>
      <c r="I457" s="102"/>
      <c r="J457" s="102"/>
      <c r="K457" s="102"/>
      <c r="L457" s="102"/>
      <c r="M457" s="102"/>
      <c r="N457" s="102"/>
      <c r="O457" s="102"/>
      <c r="P457" s="102"/>
      <c r="Q457" s="102"/>
      <c r="R457" s="102"/>
      <c r="S457" s="102"/>
      <c r="T457" s="102"/>
      <c r="U457" s="102"/>
      <c r="V457" s="102"/>
      <c r="W457" s="102"/>
      <c r="X457" s="102"/>
      <c r="Y457" s="102"/>
      <c r="Z457" s="102"/>
      <c r="AA457" s="102"/>
      <c r="AB457" s="102"/>
      <c r="AC457" s="102"/>
      <c r="AD457" s="102"/>
      <c r="AE457" s="102"/>
      <c r="AF457" s="102"/>
      <c r="AG457" s="102"/>
      <c r="AH457" s="102"/>
      <c r="AI457" s="102"/>
      <c r="AJ457" s="102"/>
      <c r="AK457" s="102"/>
      <c r="AL457" s="102"/>
      <c r="AM457" s="102"/>
      <c r="AN457" s="102"/>
      <c r="AO457" s="102"/>
      <c r="AP457" s="102"/>
      <c r="AQ457" s="102"/>
      <c r="AR457" s="102"/>
      <c r="AS457" s="102"/>
      <c r="AT457" s="102"/>
      <c r="AU457" s="102"/>
      <c r="AV457" s="102"/>
    </row>
    <row r="458" ht="12.75" customHeight="1">
      <c r="C458" s="400"/>
      <c r="D458" s="102"/>
      <c r="I458" s="102"/>
      <c r="J458" s="102"/>
      <c r="K458" s="102"/>
      <c r="L458" s="102"/>
      <c r="M458" s="102"/>
      <c r="N458" s="102"/>
      <c r="O458" s="102"/>
      <c r="P458" s="102"/>
      <c r="Q458" s="102"/>
      <c r="R458" s="102"/>
      <c r="S458" s="102"/>
      <c r="T458" s="102"/>
      <c r="U458" s="102"/>
      <c r="V458" s="102"/>
      <c r="W458" s="102"/>
      <c r="X458" s="102"/>
      <c r="Y458" s="102"/>
      <c r="Z458" s="102"/>
      <c r="AA458" s="102"/>
      <c r="AB458" s="102"/>
      <c r="AC458" s="102"/>
      <c r="AD458" s="102"/>
      <c r="AE458" s="102"/>
      <c r="AF458" s="102"/>
      <c r="AG458" s="102"/>
      <c r="AH458" s="102"/>
      <c r="AI458" s="102"/>
      <c r="AJ458" s="102"/>
      <c r="AK458" s="102"/>
      <c r="AL458" s="102"/>
      <c r="AM458" s="102"/>
      <c r="AN458" s="102"/>
      <c r="AO458" s="102"/>
      <c r="AP458" s="102"/>
      <c r="AQ458" s="102"/>
      <c r="AR458" s="102"/>
      <c r="AS458" s="102"/>
      <c r="AT458" s="102"/>
      <c r="AU458" s="102"/>
      <c r="AV458" s="102"/>
    </row>
    <row r="459" ht="12.75" customHeight="1">
      <c r="C459" s="400"/>
      <c r="D459" s="102"/>
      <c r="I459" s="102"/>
      <c r="J459" s="102"/>
      <c r="K459" s="102"/>
      <c r="L459" s="102"/>
      <c r="M459" s="102"/>
      <c r="N459" s="102"/>
      <c r="O459" s="102"/>
      <c r="P459" s="102"/>
      <c r="Q459" s="102"/>
      <c r="R459" s="102"/>
      <c r="S459" s="102"/>
      <c r="T459" s="102"/>
      <c r="U459" s="102"/>
      <c r="V459" s="102"/>
      <c r="W459" s="102"/>
      <c r="X459" s="102"/>
      <c r="Y459" s="102"/>
      <c r="Z459" s="102"/>
      <c r="AA459" s="102"/>
      <c r="AB459" s="102"/>
      <c r="AC459" s="102"/>
      <c r="AD459" s="102"/>
      <c r="AE459" s="102"/>
      <c r="AF459" s="102"/>
      <c r="AG459" s="102"/>
      <c r="AH459" s="102"/>
      <c r="AI459" s="102"/>
      <c r="AJ459" s="102"/>
      <c r="AK459" s="102"/>
      <c r="AL459" s="102"/>
      <c r="AM459" s="102"/>
      <c r="AN459" s="102"/>
      <c r="AO459" s="102"/>
      <c r="AP459" s="102"/>
      <c r="AQ459" s="102"/>
      <c r="AR459" s="102"/>
      <c r="AS459" s="102"/>
      <c r="AT459" s="102"/>
      <c r="AU459" s="102"/>
      <c r="AV459" s="102"/>
    </row>
    <row r="460" ht="12.75" customHeight="1">
      <c r="C460" s="400"/>
      <c r="D460" s="102"/>
      <c r="I460" s="102"/>
      <c r="J460" s="102"/>
      <c r="K460" s="102"/>
      <c r="L460" s="102"/>
      <c r="M460" s="102"/>
      <c r="N460" s="102"/>
      <c r="O460" s="102"/>
      <c r="P460" s="102"/>
      <c r="Q460" s="102"/>
      <c r="R460" s="102"/>
      <c r="S460" s="102"/>
      <c r="T460" s="102"/>
      <c r="U460" s="102"/>
      <c r="V460" s="102"/>
      <c r="W460" s="102"/>
      <c r="X460" s="102"/>
      <c r="Y460" s="102"/>
      <c r="Z460" s="102"/>
      <c r="AA460" s="102"/>
      <c r="AB460" s="102"/>
      <c r="AC460" s="102"/>
      <c r="AD460" s="102"/>
      <c r="AE460" s="102"/>
      <c r="AF460" s="102"/>
      <c r="AG460" s="102"/>
      <c r="AH460" s="102"/>
      <c r="AI460" s="102"/>
      <c r="AJ460" s="102"/>
      <c r="AK460" s="102"/>
      <c r="AL460" s="102"/>
      <c r="AM460" s="102"/>
      <c r="AN460" s="102"/>
      <c r="AO460" s="102"/>
      <c r="AP460" s="102"/>
      <c r="AQ460" s="102"/>
      <c r="AR460" s="102"/>
      <c r="AS460" s="102"/>
      <c r="AT460" s="102"/>
      <c r="AU460" s="102"/>
      <c r="AV460" s="102"/>
    </row>
    <row r="461" ht="12.75" customHeight="1">
      <c r="C461" s="400"/>
      <c r="D461" s="102"/>
      <c r="I461" s="102"/>
      <c r="J461" s="102"/>
      <c r="K461" s="102"/>
      <c r="L461" s="102"/>
      <c r="M461" s="102"/>
      <c r="N461" s="102"/>
      <c r="O461" s="102"/>
      <c r="P461" s="102"/>
      <c r="Q461" s="102"/>
      <c r="R461" s="102"/>
      <c r="S461" s="102"/>
      <c r="T461" s="102"/>
      <c r="U461" s="102"/>
      <c r="V461" s="102"/>
      <c r="W461" s="102"/>
      <c r="X461" s="102"/>
      <c r="Y461" s="102"/>
      <c r="Z461" s="102"/>
      <c r="AA461" s="102"/>
      <c r="AB461" s="102"/>
      <c r="AC461" s="102"/>
      <c r="AD461" s="102"/>
      <c r="AE461" s="102"/>
      <c r="AF461" s="102"/>
      <c r="AG461" s="102"/>
      <c r="AH461" s="102"/>
      <c r="AI461" s="102"/>
      <c r="AJ461" s="102"/>
      <c r="AK461" s="102"/>
      <c r="AL461" s="102"/>
      <c r="AM461" s="102"/>
      <c r="AN461" s="102"/>
      <c r="AO461" s="102"/>
      <c r="AP461" s="102"/>
      <c r="AQ461" s="102"/>
      <c r="AR461" s="102"/>
      <c r="AS461" s="102"/>
      <c r="AT461" s="102"/>
      <c r="AU461" s="102"/>
      <c r="AV461" s="102"/>
    </row>
    <row r="462" ht="12.75" customHeight="1">
      <c r="C462" s="400"/>
      <c r="D462" s="102"/>
      <c r="I462" s="102"/>
      <c r="J462" s="102"/>
      <c r="K462" s="102"/>
      <c r="L462" s="102"/>
      <c r="M462" s="102"/>
      <c r="N462" s="102"/>
      <c r="O462" s="102"/>
      <c r="P462" s="102"/>
      <c r="Q462" s="102"/>
      <c r="R462" s="102"/>
      <c r="S462" s="102"/>
      <c r="T462" s="102"/>
      <c r="U462" s="102"/>
      <c r="V462" s="102"/>
      <c r="W462" s="102"/>
      <c r="X462" s="102"/>
      <c r="Y462" s="102"/>
      <c r="Z462" s="102"/>
      <c r="AA462" s="102"/>
      <c r="AB462" s="102"/>
      <c r="AC462" s="102"/>
      <c r="AD462" s="102"/>
      <c r="AE462" s="102"/>
      <c r="AF462" s="102"/>
      <c r="AG462" s="102"/>
      <c r="AH462" s="102"/>
      <c r="AI462" s="102"/>
      <c r="AJ462" s="102"/>
      <c r="AK462" s="102"/>
      <c r="AL462" s="102"/>
      <c r="AM462" s="102"/>
      <c r="AN462" s="102"/>
      <c r="AO462" s="102"/>
      <c r="AP462" s="102"/>
      <c r="AQ462" s="102"/>
      <c r="AR462" s="102"/>
      <c r="AS462" s="102"/>
      <c r="AT462" s="102"/>
      <c r="AU462" s="102"/>
      <c r="AV462" s="102"/>
    </row>
    <row r="463" ht="12.75" customHeight="1">
      <c r="C463" s="400"/>
      <c r="D463" s="102"/>
      <c r="I463" s="102"/>
      <c r="J463" s="102"/>
      <c r="K463" s="102"/>
      <c r="L463" s="102"/>
      <c r="M463" s="102"/>
      <c r="N463" s="102"/>
      <c r="O463" s="102"/>
      <c r="P463" s="102"/>
      <c r="Q463" s="102"/>
      <c r="R463" s="102"/>
      <c r="S463" s="102"/>
      <c r="T463" s="102"/>
      <c r="U463" s="102"/>
      <c r="V463" s="102"/>
      <c r="W463" s="102"/>
      <c r="X463" s="102"/>
      <c r="Y463" s="102"/>
      <c r="Z463" s="102"/>
      <c r="AA463" s="102"/>
      <c r="AB463" s="102"/>
      <c r="AC463" s="102"/>
      <c r="AD463" s="102"/>
      <c r="AE463" s="102"/>
      <c r="AF463" s="102"/>
      <c r="AG463" s="102"/>
      <c r="AH463" s="102"/>
      <c r="AI463" s="102"/>
      <c r="AJ463" s="102"/>
      <c r="AK463" s="102"/>
      <c r="AL463" s="102"/>
      <c r="AM463" s="102"/>
      <c r="AN463" s="102"/>
      <c r="AO463" s="102"/>
      <c r="AP463" s="102"/>
      <c r="AQ463" s="102"/>
      <c r="AR463" s="102"/>
      <c r="AS463" s="102"/>
      <c r="AT463" s="102"/>
      <c r="AU463" s="102"/>
      <c r="AV463" s="102"/>
    </row>
    <row r="464" ht="12.75" customHeight="1">
      <c r="C464" s="400"/>
      <c r="D464" s="102"/>
      <c r="I464" s="102"/>
      <c r="J464" s="102"/>
      <c r="K464" s="102"/>
      <c r="L464" s="102"/>
      <c r="M464" s="102"/>
      <c r="N464" s="102"/>
      <c r="O464" s="102"/>
      <c r="P464" s="102"/>
      <c r="Q464" s="102"/>
      <c r="R464" s="102"/>
      <c r="S464" s="102"/>
      <c r="T464" s="102"/>
      <c r="U464" s="102"/>
      <c r="V464" s="102"/>
      <c r="W464" s="102"/>
      <c r="X464" s="102"/>
      <c r="Y464" s="102"/>
      <c r="Z464" s="102"/>
      <c r="AA464" s="102"/>
      <c r="AB464" s="102"/>
      <c r="AC464" s="102"/>
      <c r="AD464" s="102"/>
      <c r="AE464" s="102"/>
      <c r="AF464" s="102"/>
      <c r="AG464" s="102"/>
      <c r="AH464" s="102"/>
      <c r="AI464" s="102"/>
      <c r="AJ464" s="102"/>
      <c r="AK464" s="102"/>
      <c r="AL464" s="102"/>
      <c r="AM464" s="102"/>
      <c r="AN464" s="102"/>
      <c r="AO464" s="102"/>
      <c r="AP464" s="102"/>
      <c r="AQ464" s="102"/>
      <c r="AR464" s="102"/>
      <c r="AS464" s="102"/>
      <c r="AT464" s="102"/>
      <c r="AU464" s="102"/>
      <c r="AV464" s="102"/>
    </row>
    <row r="465" ht="12.75" customHeight="1">
      <c r="C465" s="400"/>
      <c r="D465" s="102"/>
      <c r="I465" s="102"/>
      <c r="J465" s="102"/>
      <c r="K465" s="102"/>
      <c r="L465" s="102"/>
      <c r="M465" s="102"/>
      <c r="N465" s="102"/>
      <c r="O465" s="102"/>
      <c r="P465" s="102"/>
      <c r="Q465" s="102"/>
      <c r="R465" s="102"/>
      <c r="S465" s="102"/>
      <c r="T465" s="102"/>
      <c r="U465" s="102"/>
      <c r="V465" s="102"/>
      <c r="W465" s="102"/>
      <c r="X465" s="102"/>
      <c r="Y465" s="102"/>
      <c r="Z465" s="102"/>
      <c r="AA465" s="102"/>
      <c r="AB465" s="102"/>
      <c r="AC465" s="102"/>
      <c r="AD465" s="102"/>
      <c r="AE465" s="102"/>
      <c r="AF465" s="102"/>
      <c r="AG465" s="102"/>
      <c r="AH465" s="102"/>
      <c r="AI465" s="102"/>
      <c r="AJ465" s="102"/>
      <c r="AK465" s="102"/>
      <c r="AL465" s="102"/>
      <c r="AM465" s="102"/>
      <c r="AN465" s="102"/>
      <c r="AO465" s="102"/>
      <c r="AP465" s="102"/>
      <c r="AQ465" s="102"/>
      <c r="AR465" s="102"/>
      <c r="AS465" s="102"/>
      <c r="AT465" s="102"/>
      <c r="AU465" s="102"/>
      <c r="AV465" s="102"/>
    </row>
    <row r="466" ht="12.75" customHeight="1">
      <c r="C466" s="400"/>
      <c r="D466" s="102"/>
      <c r="I466" s="102"/>
      <c r="J466" s="102"/>
      <c r="K466" s="102"/>
      <c r="L466" s="102"/>
      <c r="M466" s="102"/>
      <c r="N466" s="102"/>
      <c r="O466" s="102"/>
      <c r="P466" s="102"/>
      <c r="Q466" s="102"/>
      <c r="R466" s="102"/>
      <c r="S466" s="102"/>
      <c r="T466" s="102"/>
      <c r="U466" s="102"/>
      <c r="V466" s="102"/>
      <c r="W466" s="102"/>
      <c r="X466" s="102"/>
      <c r="Y466" s="102"/>
      <c r="Z466" s="102"/>
      <c r="AA466" s="102"/>
      <c r="AB466" s="102"/>
      <c r="AC466" s="102"/>
      <c r="AD466" s="102"/>
      <c r="AE466" s="102"/>
      <c r="AF466" s="102"/>
      <c r="AG466" s="102"/>
      <c r="AH466" s="102"/>
      <c r="AI466" s="102"/>
      <c r="AJ466" s="102"/>
      <c r="AK466" s="102"/>
      <c r="AL466" s="102"/>
      <c r="AM466" s="102"/>
      <c r="AN466" s="102"/>
      <c r="AO466" s="102"/>
      <c r="AP466" s="102"/>
      <c r="AQ466" s="102"/>
      <c r="AR466" s="102"/>
      <c r="AS466" s="102"/>
      <c r="AT466" s="102"/>
      <c r="AU466" s="102"/>
      <c r="AV466" s="102"/>
    </row>
    <row r="467" ht="12.75" customHeight="1">
      <c r="C467" s="400"/>
      <c r="D467" s="102"/>
      <c r="I467" s="102"/>
      <c r="J467" s="102"/>
      <c r="K467" s="102"/>
      <c r="L467" s="102"/>
      <c r="M467" s="102"/>
      <c r="N467" s="102"/>
      <c r="O467" s="102"/>
      <c r="P467" s="102"/>
      <c r="Q467" s="102"/>
      <c r="R467" s="102"/>
      <c r="S467" s="102"/>
      <c r="T467" s="102"/>
      <c r="U467" s="102"/>
      <c r="V467" s="102"/>
      <c r="W467" s="102"/>
      <c r="X467" s="102"/>
      <c r="Y467" s="102"/>
      <c r="Z467" s="102"/>
      <c r="AA467" s="102"/>
      <c r="AB467" s="102"/>
      <c r="AC467" s="102"/>
      <c r="AD467" s="102"/>
      <c r="AE467" s="102"/>
      <c r="AF467" s="102"/>
      <c r="AG467" s="102"/>
      <c r="AH467" s="102"/>
      <c r="AI467" s="102"/>
      <c r="AJ467" s="102"/>
      <c r="AK467" s="102"/>
      <c r="AL467" s="102"/>
      <c r="AM467" s="102"/>
      <c r="AN467" s="102"/>
      <c r="AO467" s="102"/>
      <c r="AP467" s="102"/>
      <c r="AQ467" s="102"/>
      <c r="AR467" s="102"/>
      <c r="AS467" s="102"/>
      <c r="AT467" s="102"/>
      <c r="AU467" s="102"/>
      <c r="AV467" s="102"/>
    </row>
    <row r="468" ht="12.75" customHeight="1">
      <c r="C468" s="400"/>
      <c r="D468" s="102"/>
      <c r="I468" s="102"/>
      <c r="J468" s="102"/>
      <c r="K468" s="102"/>
      <c r="L468" s="102"/>
      <c r="M468" s="102"/>
      <c r="N468" s="102"/>
      <c r="O468" s="102"/>
      <c r="P468" s="102"/>
      <c r="Q468" s="102"/>
      <c r="R468" s="102"/>
      <c r="S468" s="102"/>
      <c r="T468" s="102"/>
      <c r="U468" s="102"/>
      <c r="V468" s="102"/>
      <c r="W468" s="102"/>
      <c r="X468" s="102"/>
      <c r="Y468" s="102"/>
      <c r="Z468" s="102"/>
      <c r="AA468" s="102"/>
      <c r="AB468" s="102"/>
      <c r="AC468" s="102"/>
      <c r="AD468" s="102"/>
      <c r="AE468" s="102"/>
      <c r="AF468" s="102"/>
      <c r="AG468" s="102"/>
      <c r="AH468" s="102"/>
      <c r="AI468" s="102"/>
      <c r="AJ468" s="102"/>
      <c r="AK468" s="102"/>
      <c r="AL468" s="102"/>
      <c r="AM468" s="102"/>
      <c r="AN468" s="102"/>
      <c r="AO468" s="102"/>
      <c r="AP468" s="102"/>
      <c r="AQ468" s="102"/>
      <c r="AR468" s="102"/>
      <c r="AS468" s="102"/>
      <c r="AT468" s="102"/>
      <c r="AU468" s="102"/>
      <c r="AV468" s="102"/>
    </row>
    <row r="469" ht="12.75" customHeight="1">
      <c r="C469" s="400"/>
      <c r="D469" s="102"/>
      <c r="I469" s="102"/>
      <c r="J469" s="102"/>
      <c r="K469" s="102"/>
      <c r="L469" s="102"/>
      <c r="M469" s="102"/>
      <c r="N469" s="102"/>
      <c r="O469" s="102"/>
      <c r="P469" s="102"/>
      <c r="Q469" s="102"/>
      <c r="R469" s="102"/>
      <c r="S469" s="102"/>
      <c r="T469" s="102"/>
      <c r="U469" s="102"/>
      <c r="V469" s="102"/>
      <c r="W469" s="102"/>
      <c r="X469" s="102"/>
      <c r="Y469" s="102"/>
      <c r="Z469" s="102"/>
      <c r="AA469" s="102"/>
      <c r="AB469" s="102"/>
      <c r="AC469" s="102"/>
      <c r="AD469" s="102"/>
      <c r="AE469" s="102"/>
      <c r="AF469" s="102"/>
      <c r="AG469" s="102"/>
      <c r="AH469" s="102"/>
      <c r="AI469" s="102"/>
      <c r="AJ469" s="102"/>
      <c r="AK469" s="102"/>
      <c r="AL469" s="102"/>
      <c r="AM469" s="102"/>
      <c r="AN469" s="102"/>
      <c r="AO469" s="102"/>
      <c r="AP469" s="102"/>
      <c r="AQ469" s="102"/>
      <c r="AR469" s="102"/>
      <c r="AS469" s="102"/>
      <c r="AT469" s="102"/>
      <c r="AU469" s="102"/>
      <c r="AV469" s="102"/>
    </row>
    <row r="470" ht="12.75" customHeight="1">
      <c r="C470" s="400"/>
      <c r="D470" s="102"/>
      <c r="I470" s="102"/>
      <c r="J470" s="102"/>
      <c r="K470" s="102"/>
      <c r="L470" s="102"/>
      <c r="M470" s="102"/>
      <c r="N470" s="102"/>
      <c r="O470" s="102"/>
      <c r="P470" s="102"/>
      <c r="Q470" s="102"/>
      <c r="R470" s="102"/>
      <c r="S470" s="102"/>
      <c r="T470" s="102"/>
      <c r="U470" s="102"/>
      <c r="V470" s="102"/>
      <c r="W470" s="102"/>
      <c r="X470" s="102"/>
      <c r="Y470" s="102"/>
      <c r="Z470" s="102"/>
      <c r="AA470" s="102"/>
      <c r="AB470" s="102"/>
      <c r="AC470" s="102"/>
      <c r="AD470" s="102"/>
      <c r="AE470" s="102"/>
      <c r="AF470" s="102"/>
      <c r="AG470" s="102"/>
      <c r="AH470" s="102"/>
      <c r="AI470" s="102"/>
      <c r="AJ470" s="102"/>
      <c r="AK470" s="102"/>
      <c r="AL470" s="102"/>
      <c r="AM470" s="102"/>
      <c r="AN470" s="102"/>
      <c r="AO470" s="102"/>
      <c r="AP470" s="102"/>
      <c r="AQ470" s="102"/>
      <c r="AR470" s="102"/>
      <c r="AS470" s="102"/>
      <c r="AT470" s="102"/>
      <c r="AU470" s="102"/>
      <c r="AV470" s="102"/>
    </row>
    <row r="471" ht="12.75" customHeight="1">
      <c r="C471" s="400"/>
      <c r="D471" s="102"/>
      <c r="I471" s="102"/>
      <c r="J471" s="102"/>
      <c r="K471" s="102"/>
      <c r="L471" s="102"/>
      <c r="M471" s="102"/>
      <c r="N471" s="102"/>
      <c r="O471" s="102"/>
      <c r="P471" s="102"/>
      <c r="Q471" s="102"/>
      <c r="R471" s="102"/>
      <c r="S471" s="102"/>
      <c r="T471" s="102"/>
      <c r="U471" s="102"/>
      <c r="V471" s="102"/>
      <c r="W471" s="102"/>
      <c r="X471" s="102"/>
      <c r="Y471" s="102"/>
      <c r="Z471" s="102"/>
      <c r="AA471" s="102"/>
      <c r="AB471" s="102"/>
      <c r="AC471" s="102"/>
      <c r="AD471" s="102"/>
      <c r="AE471" s="102"/>
      <c r="AF471" s="102"/>
      <c r="AG471" s="102"/>
      <c r="AH471" s="102"/>
      <c r="AI471" s="102"/>
      <c r="AJ471" s="102"/>
      <c r="AK471" s="102"/>
      <c r="AL471" s="102"/>
      <c r="AM471" s="102"/>
      <c r="AN471" s="102"/>
      <c r="AO471" s="102"/>
      <c r="AP471" s="102"/>
      <c r="AQ471" s="102"/>
      <c r="AR471" s="102"/>
      <c r="AS471" s="102"/>
      <c r="AT471" s="102"/>
      <c r="AU471" s="102"/>
      <c r="AV471" s="102"/>
    </row>
    <row r="472" ht="12.75" customHeight="1">
      <c r="C472" s="400"/>
      <c r="D472" s="102"/>
      <c r="I472" s="102"/>
      <c r="J472" s="102"/>
      <c r="K472" s="102"/>
      <c r="L472" s="102"/>
      <c r="M472" s="102"/>
      <c r="N472" s="102"/>
      <c r="O472" s="102"/>
      <c r="P472" s="102"/>
      <c r="Q472" s="102"/>
      <c r="R472" s="102"/>
      <c r="S472" s="102"/>
      <c r="T472" s="102"/>
      <c r="U472" s="102"/>
      <c r="V472" s="102"/>
      <c r="W472" s="102"/>
      <c r="X472" s="102"/>
      <c r="Y472" s="102"/>
      <c r="Z472" s="102"/>
      <c r="AA472" s="102"/>
      <c r="AB472" s="102"/>
      <c r="AC472" s="102"/>
      <c r="AD472" s="102"/>
      <c r="AE472" s="102"/>
      <c r="AF472" s="102"/>
      <c r="AG472" s="102"/>
      <c r="AH472" s="102"/>
      <c r="AI472" s="102"/>
      <c r="AJ472" s="102"/>
      <c r="AK472" s="102"/>
      <c r="AL472" s="102"/>
      <c r="AM472" s="102"/>
      <c r="AN472" s="102"/>
      <c r="AO472" s="102"/>
      <c r="AP472" s="102"/>
      <c r="AQ472" s="102"/>
      <c r="AR472" s="102"/>
      <c r="AS472" s="102"/>
      <c r="AT472" s="102"/>
      <c r="AU472" s="102"/>
      <c r="AV472" s="102"/>
    </row>
    <row r="473" ht="12.75" customHeight="1">
      <c r="C473" s="400"/>
      <c r="D473" s="102"/>
      <c r="I473" s="102"/>
      <c r="J473" s="102"/>
      <c r="K473" s="102"/>
      <c r="L473" s="102"/>
      <c r="M473" s="102"/>
      <c r="N473" s="102"/>
      <c r="O473" s="102"/>
      <c r="P473" s="102"/>
      <c r="Q473" s="102"/>
      <c r="R473" s="102"/>
      <c r="S473" s="102"/>
      <c r="T473" s="102"/>
      <c r="U473" s="102"/>
      <c r="V473" s="102"/>
      <c r="W473" s="102"/>
      <c r="X473" s="102"/>
      <c r="Y473" s="102"/>
      <c r="Z473" s="102"/>
      <c r="AA473" s="102"/>
      <c r="AB473" s="102"/>
      <c r="AC473" s="102"/>
      <c r="AD473" s="102"/>
      <c r="AE473" s="102"/>
      <c r="AF473" s="102"/>
      <c r="AG473" s="102"/>
      <c r="AH473" s="102"/>
      <c r="AI473" s="102"/>
      <c r="AJ473" s="102"/>
      <c r="AK473" s="102"/>
      <c r="AL473" s="102"/>
      <c r="AM473" s="102"/>
      <c r="AN473" s="102"/>
      <c r="AO473" s="102"/>
      <c r="AP473" s="102"/>
      <c r="AQ473" s="102"/>
      <c r="AR473" s="102"/>
      <c r="AS473" s="102"/>
      <c r="AT473" s="102"/>
      <c r="AU473" s="102"/>
      <c r="AV473" s="102"/>
    </row>
    <row r="474" ht="12.75" customHeight="1">
      <c r="C474" s="400"/>
      <c r="D474" s="102"/>
      <c r="I474" s="102"/>
      <c r="J474" s="102"/>
      <c r="K474" s="102"/>
      <c r="L474" s="102"/>
      <c r="M474" s="102"/>
      <c r="N474" s="102"/>
      <c r="O474" s="102"/>
      <c r="P474" s="102"/>
      <c r="Q474" s="102"/>
      <c r="R474" s="102"/>
      <c r="S474" s="102"/>
      <c r="T474" s="102"/>
      <c r="U474" s="102"/>
      <c r="V474" s="102"/>
      <c r="W474" s="102"/>
      <c r="X474" s="102"/>
      <c r="Y474" s="102"/>
      <c r="Z474" s="102"/>
      <c r="AA474" s="102"/>
      <c r="AB474" s="102"/>
      <c r="AC474" s="102"/>
      <c r="AD474" s="102"/>
      <c r="AE474" s="102"/>
      <c r="AF474" s="102"/>
      <c r="AG474" s="102"/>
      <c r="AH474" s="102"/>
      <c r="AI474" s="102"/>
      <c r="AJ474" s="102"/>
      <c r="AK474" s="102"/>
      <c r="AL474" s="102"/>
      <c r="AM474" s="102"/>
      <c r="AN474" s="102"/>
      <c r="AO474" s="102"/>
      <c r="AP474" s="102"/>
      <c r="AQ474" s="102"/>
      <c r="AR474" s="102"/>
      <c r="AS474" s="102"/>
      <c r="AT474" s="102"/>
      <c r="AU474" s="102"/>
      <c r="AV474" s="102"/>
    </row>
    <row r="475" ht="12.75" customHeight="1">
      <c r="C475" s="400"/>
      <c r="D475" s="102"/>
      <c r="I475" s="102"/>
      <c r="J475" s="102"/>
      <c r="K475" s="102"/>
      <c r="L475" s="102"/>
      <c r="M475" s="102"/>
      <c r="N475" s="102"/>
      <c r="O475" s="102"/>
      <c r="P475" s="102"/>
      <c r="Q475" s="102"/>
      <c r="R475" s="102"/>
      <c r="S475" s="102"/>
      <c r="T475" s="102"/>
      <c r="U475" s="102"/>
      <c r="V475" s="102"/>
      <c r="W475" s="102"/>
      <c r="X475" s="102"/>
      <c r="Y475" s="102"/>
      <c r="Z475" s="102"/>
      <c r="AA475" s="102"/>
      <c r="AB475" s="102"/>
      <c r="AC475" s="102"/>
      <c r="AD475" s="102"/>
      <c r="AE475" s="102"/>
      <c r="AF475" s="102"/>
      <c r="AG475" s="102"/>
      <c r="AH475" s="102"/>
      <c r="AI475" s="102"/>
      <c r="AJ475" s="102"/>
      <c r="AK475" s="102"/>
      <c r="AL475" s="102"/>
      <c r="AM475" s="102"/>
      <c r="AN475" s="102"/>
      <c r="AO475" s="102"/>
      <c r="AP475" s="102"/>
      <c r="AQ475" s="102"/>
      <c r="AR475" s="102"/>
      <c r="AS475" s="102"/>
      <c r="AT475" s="102"/>
      <c r="AU475" s="102"/>
      <c r="AV475" s="102"/>
    </row>
    <row r="476" ht="12.75" customHeight="1">
      <c r="C476" s="400"/>
      <c r="D476" s="102"/>
      <c r="I476" s="102"/>
      <c r="J476" s="102"/>
      <c r="K476" s="102"/>
      <c r="L476" s="102"/>
      <c r="M476" s="102"/>
      <c r="N476" s="102"/>
      <c r="O476" s="102"/>
      <c r="P476" s="102"/>
      <c r="Q476" s="102"/>
      <c r="R476" s="102"/>
      <c r="S476" s="102"/>
      <c r="T476" s="102"/>
      <c r="U476" s="102"/>
      <c r="V476" s="102"/>
      <c r="W476" s="102"/>
      <c r="X476" s="102"/>
      <c r="Y476" s="102"/>
      <c r="Z476" s="102"/>
      <c r="AA476" s="102"/>
      <c r="AB476" s="102"/>
      <c r="AC476" s="102"/>
      <c r="AD476" s="102"/>
      <c r="AE476" s="102"/>
      <c r="AF476" s="102"/>
      <c r="AG476" s="102"/>
      <c r="AH476" s="102"/>
      <c r="AI476" s="102"/>
      <c r="AJ476" s="102"/>
      <c r="AK476" s="102"/>
      <c r="AL476" s="102"/>
      <c r="AM476" s="102"/>
      <c r="AN476" s="102"/>
      <c r="AO476" s="102"/>
      <c r="AP476" s="102"/>
      <c r="AQ476" s="102"/>
      <c r="AR476" s="102"/>
      <c r="AS476" s="102"/>
      <c r="AT476" s="102"/>
      <c r="AU476" s="102"/>
      <c r="AV476" s="102"/>
    </row>
    <row r="477" ht="12.75" customHeight="1">
      <c r="C477" s="400"/>
      <c r="D477" s="102"/>
      <c r="I477" s="102"/>
      <c r="J477" s="102"/>
      <c r="K477" s="102"/>
      <c r="L477" s="102"/>
      <c r="M477" s="102"/>
      <c r="N477" s="102"/>
      <c r="O477" s="102"/>
      <c r="P477" s="102"/>
      <c r="Q477" s="102"/>
      <c r="R477" s="102"/>
      <c r="S477" s="102"/>
      <c r="T477" s="102"/>
      <c r="U477" s="102"/>
      <c r="V477" s="102"/>
      <c r="W477" s="102"/>
      <c r="X477" s="102"/>
      <c r="Y477" s="102"/>
      <c r="Z477" s="102"/>
      <c r="AA477" s="102"/>
      <c r="AB477" s="102"/>
      <c r="AC477" s="102"/>
      <c r="AD477" s="102"/>
      <c r="AE477" s="102"/>
      <c r="AF477" s="102"/>
      <c r="AG477" s="102"/>
      <c r="AH477" s="102"/>
      <c r="AI477" s="102"/>
      <c r="AJ477" s="102"/>
      <c r="AK477" s="102"/>
      <c r="AL477" s="102"/>
      <c r="AM477" s="102"/>
      <c r="AN477" s="102"/>
      <c r="AO477" s="102"/>
      <c r="AP477" s="102"/>
      <c r="AQ477" s="102"/>
      <c r="AR477" s="102"/>
      <c r="AS477" s="102"/>
      <c r="AT477" s="102"/>
      <c r="AU477" s="102"/>
      <c r="AV477" s="102"/>
    </row>
    <row r="478" ht="12.75" customHeight="1">
      <c r="C478" s="400"/>
      <c r="D478" s="102"/>
      <c r="I478" s="102"/>
      <c r="J478" s="102"/>
      <c r="K478" s="102"/>
      <c r="L478" s="102"/>
      <c r="M478" s="102"/>
      <c r="N478" s="102"/>
      <c r="O478" s="102"/>
      <c r="P478" s="102"/>
      <c r="Q478" s="102"/>
      <c r="R478" s="102"/>
      <c r="S478" s="102"/>
      <c r="T478" s="102"/>
      <c r="U478" s="102"/>
      <c r="V478" s="102"/>
      <c r="W478" s="102"/>
      <c r="X478" s="102"/>
      <c r="Y478" s="102"/>
      <c r="Z478" s="102"/>
      <c r="AA478" s="102"/>
      <c r="AB478" s="102"/>
      <c r="AC478" s="102"/>
      <c r="AD478" s="102"/>
      <c r="AE478" s="102"/>
      <c r="AF478" s="102"/>
      <c r="AG478" s="102"/>
      <c r="AH478" s="102"/>
      <c r="AI478" s="102"/>
      <c r="AJ478" s="102"/>
      <c r="AK478" s="102"/>
      <c r="AL478" s="102"/>
      <c r="AM478" s="102"/>
      <c r="AN478" s="102"/>
      <c r="AO478" s="102"/>
      <c r="AP478" s="102"/>
      <c r="AQ478" s="102"/>
      <c r="AR478" s="102"/>
      <c r="AS478" s="102"/>
      <c r="AT478" s="102"/>
      <c r="AU478" s="102"/>
      <c r="AV478" s="102"/>
    </row>
    <row r="479" ht="12.75" customHeight="1">
      <c r="C479" s="400"/>
      <c r="D479" s="102"/>
      <c r="I479" s="102"/>
      <c r="J479" s="102"/>
      <c r="K479" s="102"/>
      <c r="L479" s="102"/>
      <c r="M479" s="102"/>
      <c r="N479" s="102"/>
      <c r="O479" s="102"/>
      <c r="P479" s="102"/>
      <c r="Q479" s="102"/>
      <c r="R479" s="102"/>
      <c r="S479" s="102"/>
      <c r="T479" s="102"/>
      <c r="U479" s="102"/>
      <c r="V479" s="102"/>
      <c r="W479" s="102"/>
      <c r="X479" s="102"/>
      <c r="Y479" s="102"/>
      <c r="Z479" s="102"/>
      <c r="AA479" s="102"/>
      <c r="AB479" s="102"/>
      <c r="AC479" s="102"/>
      <c r="AD479" s="102"/>
      <c r="AE479" s="102"/>
      <c r="AF479" s="102"/>
      <c r="AG479" s="102"/>
      <c r="AH479" s="102"/>
      <c r="AI479" s="102"/>
      <c r="AJ479" s="102"/>
      <c r="AK479" s="102"/>
      <c r="AL479" s="102"/>
      <c r="AM479" s="102"/>
      <c r="AN479" s="102"/>
      <c r="AO479" s="102"/>
      <c r="AP479" s="102"/>
      <c r="AQ479" s="102"/>
      <c r="AR479" s="102"/>
      <c r="AS479" s="102"/>
      <c r="AT479" s="102"/>
      <c r="AU479" s="102"/>
      <c r="AV479" s="102"/>
    </row>
    <row r="480" ht="12.75" customHeight="1">
      <c r="C480" s="400"/>
      <c r="D480" s="102"/>
      <c r="I480" s="102"/>
      <c r="J480" s="102"/>
      <c r="K480" s="102"/>
      <c r="L480" s="102"/>
      <c r="M480" s="102"/>
      <c r="N480" s="102"/>
      <c r="O480" s="102"/>
      <c r="P480" s="102"/>
      <c r="Q480" s="102"/>
      <c r="R480" s="102"/>
      <c r="S480" s="102"/>
      <c r="T480" s="102"/>
      <c r="U480" s="102"/>
      <c r="V480" s="102"/>
      <c r="W480" s="102"/>
      <c r="X480" s="102"/>
      <c r="Y480" s="102"/>
      <c r="Z480" s="102"/>
      <c r="AA480" s="102"/>
      <c r="AB480" s="102"/>
      <c r="AC480" s="102"/>
      <c r="AD480" s="102"/>
      <c r="AE480" s="102"/>
      <c r="AF480" s="102"/>
      <c r="AG480" s="102"/>
      <c r="AH480" s="102"/>
      <c r="AI480" s="102"/>
      <c r="AJ480" s="102"/>
      <c r="AK480" s="102"/>
      <c r="AL480" s="102"/>
      <c r="AM480" s="102"/>
      <c r="AN480" s="102"/>
      <c r="AO480" s="102"/>
      <c r="AP480" s="102"/>
      <c r="AQ480" s="102"/>
      <c r="AR480" s="102"/>
      <c r="AS480" s="102"/>
      <c r="AT480" s="102"/>
      <c r="AU480" s="102"/>
      <c r="AV480" s="102"/>
    </row>
    <row r="481" ht="12.75" customHeight="1">
      <c r="C481" s="400"/>
      <c r="D481" s="102"/>
      <c r="I481" s="102"/>
      <c r="J481" s="102"/>
      <c r="K481" s="102"/>
      <c r="L481" s="102"/>
      <c r="M481" s="102"/>
      <c r="N481" s="102"/>
      <c r="O481" s="102"/>
      <c r="P481" s="102"/>
      <c r="Q481" s="102"/>
      <c r="R481" s="102"/>
      <c r="S481" s="102"/>
      <c r="T481" s="102"/>
      <c r="U481" s="102"/>
      <c r="V481" s="102"/>
      <c r="W481" s="102"/>
      <c r="X481" s="102"/>
      <c r="Y481" s="102"/>
      <c r="Z481" s="102"/>
      <c r="AA481" s="102"/>
      <c r="AB481" s="102"/>
      <c r="AC481" s="102"/>
      <c r="AD481" s="102"/>
      <c r="AE481" s="102"/>
      <c r="AF481" s="102"/>
      <c r="AG481" s="102"/>
      <c r="AH481" s="102"/>
      <c r="AI481" s="102"/>
      <c r="AJ481" s="102"/>
      <c r="AK481" s="102"/>
      <c r="AL481" s="102"/>
      <c r="AM481" s="102"/>
      <c r="AN481" s="102"/>
      <c r="AO481" s="102"/>
      <c r="AP481" s="102"/>
      <c r="AQ481" s="102"/>
      <c r="AR481" s="102"/>
      <c r="AS481" s="102"/>
      <c r="AT481" s="102"/>
      <c r="AU481" s="102"/>
      <c r="AV481" s="102"/>
    </row>
    <row r="482" ht="12.75" customHeight="1">
      <c r="C482" s="400"/>
      <c r="D482" s="102"/>
      <c r="I482" s="102"/>
      <c r="J482" s="102"/>
      <c r="K482" s="102"/>
      <c r="L482" s="102"/>
      <c r="M482" s="102"/>
      <c r="N482" s="102"/>
      <c r="O482" s="102"/>
      <c r="P482" s="102"/>
      <c r="Q482" s="102"/>
      <c r="R482" s="102"/>
      <c r="S482" s="102"/>
      <c r="T482" s="102"/>
      <c r="U482" s="102"/>
      <c r="V482" s="102"/>
      <c r="W482" s="102"/>
      <c r="X482" s="102"/>
      <c r="Y482" s="102"/>
      <c r="Z482" s="102"/>
      <c r="AA482" s="102"/>
      <c r="AB482" s="102"/>
      <c r="AC482" s="102"/>
      <c r="AD482" s="102"/>
      <c r="AE482" s="102"/>
      <c r="AF482" s="102"/>
      <c r="AG482" s="102"/>
      <c r="AH482" s="102"/>
      <c r="AI482" s="102"/>
      <c r="AJ482" s="102"/>
      <c r="AK482" s="102"/>
      <c r="AL482" s="102"/>
      <c r="AM482" s="102"/>
      <c r="AN482" s="102"/>
      <c r="AO482" s="102"/>
      <c r="AP482" s="102"/>
      <c r="AQ482" s="102"/>
      <c r="AR482" s="102"/>
      <c r="AS482" s="102"/>
      <c r="AT482" s="102"/>
      <c r="AU482" s="102"/>
      <c r="AV482" s="102"/>
    </row>
    <row r="483" ht="12.75" customHeight="1">
      <c r="C483" s="400"/>
      <c r="D483" s="102"/>
      <c r="I483" s="102"/>
      <c r="J483" s="102"/>
      <c r="K483" s="102"/>
      <c r="L483" s="102"/>
      <c r="M483" s="102"/>
      <c r="N483" s="102"/>
      <c r="O483" s="102"/>
      <c r="P483" s="102"/>
      <c r="Q483" s="102"/>
      <c r="R483" s="102"/>
      <c r="S483" s="102"/>
      <c r="T483" s="102"/>
      <c r="U483" s="102"/>
      <c r="V483" s="102"/>
      <c r="W483" s="102"/>
      <c r="X483" s="102"/>
      <c r="Y483" s="102"/>
      <c r="Z483" s="102"/>
      <c r="AA483" s="102"/>
      <c r="AB483" s="102"/>
      <c r="AC483" s="102"/>
      <c r="AD483" s="102"/>
      <c r="AE483" s="102"/>
      <c r="AF483" s="102"/>
      <c r="AG483" s="102"/>
      <c r="AH483" s="102"/>
      <c r="AI483" s="102"/>
      <c r="AJ483" s="102"/>
      <c r="AK483" s="102"/>
      <c r="AL483" s="102"/>
      <c r="AM483" s="102"/>
      <c r="AN483" s="102"/>
      <c r="AO483" s="102"/>
      <c r="AP483" s="102"/>
      <c r="AQ483" s="102"/>
      <c r="AR483" s="102"/>
      <c r="AS483" s="102"/>
      <c r="AT483" s="102"/>
      <c r="AU483" s="102"/>
      <c r="AV483" s="102"/>
    </row>
    <row r="484" ht="12.75" customHeight="1">
      <c r="C484" s="400"/>
      <c r="D484" s="102"/>
      <c r="I484" s="102"/>
      <c r="J484" s="102"/>
      <c r="K484" s="102"/>
      <c r="L484" s="102"/>
      <c r="M484" s="102"/>
      <c r="N484" s="102"/>
      <c r="O484" s="102"/>
      <c r="P484" s="102"/>
      <c r="Q484" s="102"/>
      <c r="R484" s="102"/>
      <c r="S484" s="102"/>
      <c r="T484" s="102"/>
      <c r="U484" s="102"/>
      <c r="V484" s="102"/>
      <c r="W484" s="102"/>
      <c r="X484" s="102"/>
      <c r="Y484" s="102"/>
      <c r="Z484" s="102"/>
      <c r="AA484" s="102"/>
      <c r="AB484" s="102"/>
      <c r="AC484" s="102"/>
      <c r="AD484" s="102"/>
      <c r="AE484" s="102"/>
      <c r="AF484" s="102"/>
      <c r="AG484" s="102"/>
      <c r="AH484" s="102"/>
      <c r="AI484" s="102"/>
      <c r="AJ484" s="102"/>
      <c r="AK484" s="102"/>
      <c r="AL484" s="102"/>
      <c r="AM484" s="102"/>
      <c r="AN484" s="102"/>
      <c r="AO484" s="102"/>
      <c r="AP484" s="102"/>
      <c r="AQ484" s="102"/>
      <c r="AR484" s="102"/>
      <c r="AS484" s="102"/>
      <c r="AT484" s="102"/>
      <c r="AU484" s="102"/>
      <c r="AV484" s="102"/>
    </row>
    <row r="485" ht="12.75" customHeight="1">
      <c r="C485" s="400"/>
      <c r="D485" s="102"/>
      <c r="I485" s="102"/>
      <c r="J485" s="102"/>
      <c r="K485" s="102"/>
      <c r="L485" s="102"/>
      <c r="M485" s="102"/>
      <c r="N485" s="102"/>
      <c r="O485" s="102"/>
      <c r="P485" s="102"/>
      <c r="Q485" s="102"/>
      <c r="R485" s="102"/>
      <c r="S485" s="102"/>
      <c r="T485" s="102"/>
      <c r="U485" s="102"/>
      <c r="V485" s="102"/>
      <c r="W485" s="102"/>
      <c r="X485" s="102"/>
      <c r="Y485" s="102"/>
      <c r="Z485" s="102"/>
      <c r="AA485" s="102"/>
      <c r="AB485" s="102"/>
      <c r="AC485" s="102"/>
      <c r="AD485" s="102"/>
      <c r="AE485" s="102"/>
      <c r="AF485" s="102"/>
      <c r="AG485" s="102"/>
      <c r="AH485" s="102"/>
      <c r="AI485" s="102"/>
      <c r="AJ485" s="102"/>
      <c r="AK485" s="102"/>
      <c r="AL485" s="102"/>
      <c r="AM485" s="102"/>
      <c r="AN485" s="102"/>
      <c r="AO485" s="102"/>
      <c r="AP485" s="102"/>
      <c r="AQ485" s="102"/>
      <c r="AR485" s="102"/>
      <c r="AS485" s="102"/>
      <c r="AT485" s="102"/>
      <c r="AU485" s="102"/>
      <c r="AV485" s="102"/>
    </row>
    <row r="486" ht="12.75" customHeight="1">
      <c r="C486" s="400"/>
      <c r="D486" s="102"/>
      <c r="I486" s="102"/>
      <c r="J486" s="102"/>
      <c r="K486" s="102"/>
      <c r="L486" s="102"/>
      <c r="M486" s="102"/>
      <c r="N486" s="102"/>
      <c r="O486" s="102"/>
      <c r="P486" s="102"/>
      <c r="Q486" s="102"/>
      <c r="R486" s="102"/>
      <c r="S486" s="102"/>
      <c r="T486" s="102"/>
      <c r="U486" s="102"/>
      <c r="V486" s="102"/>
      <c r="W486" s="102"/>
      <c r="X486" s="102"/>
      <c r="Y486" s="102"/>
      <c r="Z486" s="102"/>
      <c r="AA486" s="102"/>
      <c r="AB486" s="102"/>
      <c r="AC486" s="102"/>
      <c r="AD486" s="102"/>
      <c r="AE486" s="102"/>
      <c r="AF486" s="102"/>
      <c r="AG486" s="102"/>
      <c r="AH486" s="102"/>
      <c r="AI486" s="102"/>
      <c r="AJ486" s="102"/>
      <c r="AK486" s="102"/>
      <c r="AL486" s="102"/>
      <c r="AM486" s="102"/>
      <c r="AN486" s="102"/>
      <c r="AO486" s="102"/>
      <c r="AP486" s="102"/>
      <c r="AQ486" s="102"/>
      <c r="AR486" s="102"/>
      <c r="AS486" s="102"/>
      <c r="AT486" s="102"/>
      <c r="AU486" s="102"/>
      <c r="AV486" s="102"/>
    </row>
    <row r="487" ht="12.75" customHeight="1">
      <c r="C487" s="400"/>
      <c r="D487" s="102"/>
      <c r="I487" s="102"/>
      <c r="J487" s="102"/>
      <c r="K487" s="102"/>
      <c r="L487" s="102"/>
      <c r="M487" s="102"/>
      <c r="N487" s="102"/>
      <c r="O487" s="102"/>
      <c r="P487" s="102"/>
      <c r="Q487" s="102"/>
      <c r="R487" s="102"/>
      <c r="S487" s="102"/>
      <c r="T487" s="102"/>
      <c r="U487" s="102"/>
      <c r="V487" s="102"/>
      <c r="W487" s="102"/>
      <c r="X487" s="102"/>
      <c r="Y487" s="102"/>
      <c r="Z487" s="102"/>
      <c r="AA487" s="102"/>
      <c r="AB487" s="102"/>
      <c r="AC487" s="102"/>
      <c r="AD487" s="102"/>
      <c r="AE487" s="102"/>
      <c r="AF487" s="102"/>
      <c r="AG487" s="102"/>
      <c r="AH487" s="102"/>
      <c r="AI487" s="102"/>
      <c r="AJ487" s="102"/>
      <c r="AK487" s="102"/>
      <c r="AL487" s="102"/>
      <c r="AM487" s="102"/>
      <c r="AN487" s="102"/>
      <c r="AO487" s="102"/>
      <c r="AP487" s="102"/>
      <c r="AQ487" s="102"/>
      <c r="AR487" s="102"/>
      <c r="AS487" s="102"/>
      <c r="AT487" s="102"/>
      <c r="AU487" s="102"/>
      <c r="AV487" s="102"/>
    </row>
    <row r="488" ht="12.75" customHeight="1">
      <c r="C488" s="400"/>
      <c r="D488" s="102"/>
      <c r="I488" s="102"/>
      <c r="J488" s="102"/>
      <c r="K488" s="102"/>
      <c r="L488" s="102"/>
      <c r="M488" s="102"/>
      <c r="N488" s="102"/>
      <c r="O488" s="102"/>
      <c r="P488" s="102"/>
      <c r="Q488" s="102"/>
      <c r="R488" s="102"/>
      <c r="S488" s="102"/>
      <c r="T488" s="102"/>
      <c r="U488" s="102"/>
      <c r="V488" s="102"/>
      <c r="W488" s="102"/>
      <c r="X488" s="102"/>
      <c r="Y488" s="102"/>
      <c r="Z488" s="102"/>
      <c r="AA488" s="102"/>
      <c r="AB488" s="102"/>
      <c r="AC488" s="102"/>
      <c r="AD488" s="102"/>
      <c r="AE488" s="102"/>
      <c r="AF488" s="102"/>
      <c r="AG488" s="102"/>
      <c r="AH488" s="102"/>
      <c r="AI488" s="102"/>
      <c r="AJ488" s="102"/>
      <c r="AK488" s="102"/>
      <c r="AL488" s="102"/>
      <c r="AM488" s="102"/>
      <c r="AN488" s="102"/>
      <c r="AO488" s="102"/>
      <c r="AP488" s="102"/>
      <c r="AQ488" s="102"/>
      <c r="AR488" s="102"/>
      <c r="AS488" s="102"/>
      <c r="AT488" s="102"/>
      <c r="AU488" s="102"/>
      <c r="AV488" s="102"/>
    </row>
    <row r="489" ht="12.75" customHeight="1">
      <c r="C489" s="400"/>
      <c r="D489" s="102"/>
      <c r="I489" s="102"/>
      <c r="J489" s="102"/>
      <c r="K489" s="102"/>
      <c r="L489" s="102"/>
      <c r="M489" s="102"/>
      <c r="N489" s="102"/>
      <c r="O489" s="102"/>
      <c r="P489" s="102"/>
      <c r="Q489" s="102"/>
      <c r="R489" s="102"/>
      <c r="S489" s="102"/>
      <c r="T489" s="102"/>
      <c r="U489" s="102"/>
      <c r="V489" s="102"/>
      <c r="W489" s="102"/>
      <c r="X489" s="102"/>
      <c r="Y489" s="102"/>
      <c r="Z489" s="102"/>
      <c r="AA489" s="102"/>
      <c r="AB489" s="102"/>
      <c r="AC489" s="102"/>
      <c r="AD489" s="102"/>
      <c r="AE489" s="102"/>
      <c r="AF489" s="102"/>
      <c r="AG489" s="102"/>
      <c r="AH489" s="102"/>
      <c r="AI489" s="102"/>
      <c r="AJ489" s="102"/>
      <c r="AK489" s="102"/>
      <c r="AL489" s="102"/>
      <c r="AM489" s="102"/>
      <c r="AN489" s="102"/>
      <c r="AO489" s="102"/>
      <c r="AP489" s="102"/>
      <c r="AQ489" s="102"/>
      <c r="AR489" s="102"/>
      <c r="AS489" s="102"/>
      <c r="AT489" s="102"/>
      <c r="AU489" s="102"/>
      <c r="AV489" s="102"/>
    </row>
    <row r="490" ht="12.75" customHeight="1">
      <c r="C490" s="400"/>
      <c r="D490" s="102"/>
      <c r="I490" s="102"/>
      <c r="J490" s="102"/>
      <c r="K490" s="102"/>
      <c r="L490" s="102"/>
      <c r="M490" s="102"/>
      <c r="N490" s="102"/>
      <c r="O490" s="102"/>
      <c r="P490" s="102"/>
      <c r="Q490" s="102"/>
      <c r="R490" s="102"/>
      <c r="S490" s="102"/>
      <c r="T490" s="102"/>
      <c r="U490" s="102"/>
      <c r="V490" s="102"/>
      <c r="W490" s="102"/>
      <c r="X490" s="102"/>
      <c r="Y490" s="102"/>
      <c r="Z490" s="102"/>
      <c r="AA490" s="102"/>
      <c r="AB490" s="102"/>
      <c r="AC490" s="102"/>
      <c r="AD490" s="102"/>
      <c r="AE490" s="102"/>
      <c r="AF490" s="102"/>
      <c r="AG490" s="102"/>
      <c r="AH490" s="102"/>
      <c r="AI490" s="102"/>
      <c r="AJ490" s="102"/>
      <c r="AK490" s="102"/>
      <c r="AL490" s="102"/>
      <c r="AM490" s="102"/>
      <c r="AN490" s="102"/>
      <c r="AO490" s="102"/>
      <c r="AP490" s="102"/>
      <c r="AQ490" s="102"/>
      <c r="AR490" s="102"/>
      <c r="AS490" s="102"/>
      <c r="AT490" s="102"/>
      <c r="AU490" s="102"/>
      <c r="AV490" s="102"/>
    </row>
    <row r="491" ht="12.75" customHeight="1">
      <c r="C491" s="400"/>
      <c r="D491" s="102"/>
      <c r="I491" s="102"/>
      <c r="J491" s="102"/>
      <c r="K491" s="102"/>
      <c r="L491" s="102"/>
      <c r="M491" s="102"/>
      <c r="N491" s="102"/>
      <c r="O491" s="102"/>
      <c r="P491" s="102"/>
      <c r="Q491" s="102"/>
      <c r="R491" s="102"/>
      <c r="S491" s="102"/>
      <c r="T491" s="102"/>
      <c r="U491" s="102"/>
      <c r="V491" s="102"/>
      <c r="W491" s="102"/>
      <c r="X491" s="102"/>
      <c r="Y491" s="102"/>
      <c r="Z491" s="102"/>
      <c r="AA491" s="102"/>
      <c r="AB491" s="102"/>
      <c r="AC491" s="102"/>
      <c r="AD491" s="102"/>
      <c r="AE491" s="102"/>
      <c r="AF491" s="102"/>
      <c r="AG491" s="102"/>
      <c r="AH491" s="102"/>
      <c r="AI491" s="102"/>
      <c r="AJ491" s="102"/>
      <c r="AK491" s="102"/>
      <c r="AL491" s="102"/>
      <c r="AM491" s="102"/>
      <c r="AN491" s="102"/>
      <c r="AO491" s="102"/>
      <c r="AP491" s="102"/>
      <c r="AQ491" s="102"/>
      <c r="AR491" s="102"/>
      <c r="AS491" s="102"/>
      <c r="AT491" s="102"/>
      <c r="AU491" s="102"/>
      <c r="AV491" s="102"/>
    </row>
    <row r="492" ht="12.75" customHeight="1">
      <c r="C492" s="400"/>
      <c r="D492" s="102"/>
      <c r="I492" s="102"/>
      <c r="J492" s="102"/>
      <c r="K492" s="102"/>
      <c r="L492" s="102"/>
      <c r="M492" s="102"/>
      <c r="N492" s="102"/>
      <c r="O492" s="102"/>
      <c r="P492" s="102"/>
      <c r="Q492" s="102"/>
      <c r="R492" s="102"/>
      <c r="S492" s="102"/>
      <c r="T492" s="102"/>
      <c r="U492" s="102"/>
      <c r="V492" s="102"/>
      <c r="W492" s="102"/>
      <c r="X492" s="102"/>
      <c r="Y492" s="102"/>
      <c r="Z492" s="102"/>
      <c r="AA492" s="102"/>
      <c r="AB492" s="102"/>
      <c r="AC492" s="102"/>
      <c r="AD492" s="102"/>
      <c r="AE492" s="102"/>
      <c r="AF492" s="102"/>
      <c r="AG492" s="102"/>
      <c r="AH492" s="102"/>
      <c r="AI492" s="102"/>
      <c r="AJ492" s="102"/>
      <c r="AK492" s="102"/>
      <c r="AL492" s="102"/>
      <c r="AM492" s="102"/>
      <c r="AN492" s="102"/>
      <c r="AO492" s="102"/>
      <c r="AP492" s="102"/>
      <c r="AQ492" s="102"/>
      <c r="AR492" s="102"/>
      <c r="AS492" s="102"/>
      <c r="AT492" s="102"/>
      <c r="AU492" s="102"/>
      <c r="AV492" s="102"/>
    </row>
    <row r="493" ht="12.75" customHeight="1">
      <c r="C493" s="400"/>
      <c r="D493" s="102"/>
      <c r="I493" s="102"/>
      <c r="J493" s="102"/>
      <c r="K493" s="102"/>
      <c r="L493" s="102"/>
      <c r="M493" s="102"/>
      <c r="N493" s="102"/>
      <c r="O493" s="102"/>
      <c r="P493" s="102"/>
      <c r="Q493" s="102"/>
      <c r="R493" s="102"/>
      <c r="S493" s="102"/>
      <c r="T493" s="102"/>
      <c r="U493" s="102"/>
      <c r="V493" s="102"/>
      <c r="W493" s="102"/>
      <c r="X493" s="102"/>
      <c r="Y493" s="102"/>
      <c r="Z493" s="102"/>
      <c r="AA493" s="102"/>
      <c r="AB493" s="102"/>
      <c r="AC493" s="102"/>
      <c r="AD493" s="102"/>
      <c r="AE493" s="102"/>
      <c r="AF493" s="102"/>
      <c r="AG493" s="102"/>
      <c r="AH493" s="102"/>
      <c r="AI493" s="102"/>
      <c r="AJ493" s="102"/>
      <c r="AK493" s="102"/>
      <c r="AL493" s="102"/>
      <c r="AM493" s="102"/>
      <c r="AN493" s="102"/>
      <c r="AO493" s="102"/>
      <c r="AP493" s="102"/>
      <c r="AQ493" s="102"/>
      <c r="AR493" s="102"/>
      <c r="AS493" s="102"/>
      <c r="AT493" s="102"/>
      <c r="AU493" s="102"/>
      <c r="AV493" s="102"/>
    </row>
    <row r="494" ht="12.75" customHeight="1">
      <c r="C494" s="400"/>
      <c r="D494" s="102"/>
      <c r="I494" s="102"/>
      <c r="J494" s="102"/>
      <c r="K494" s="102"/>
      <c r="L494" s="102"/>
      <c r="M494" s="102"/>
      <c r="N494" s="102"/>
      <c r="O494" s="102"/>
      <c r="P494" s="102"/>
      <c r="Q494" s="102"/>
      <c r="R494" s="102"/>
      <c r="S494" s="102"/>
      <c r="T494" s="102"/>
      <c r="U494" s="102"/>
      <c r="V494" s="102"/>
      <c r="W494" s="102"/>
      <c r="X494" s="102"/>
      <c r="Y494" s="102"/>
      <c r="Z494" s="102"/>
      <c r="AA494" s="102"/>
      <c r="AB494" s="102"/>
      <c r="AC494" s="102"/>
      <c r="AD494" s="102"/>
      <c r="AE494" s="102"/>
      <c r="AF494" s="102"/>
      <c r="AG494" s="102"/>
      <c r="AH494" s="102"/>
      <c r="AI494" s="102"/>
      <c r="AJ494" s="102"/>
      <c r="AK494" s="102"/>
      <c r="AL494" s="102"/>
      <c r="AM494" s="102"/>
      <c r="AN494" s="102"/>
      <c r="AO494" s="102"/>
      <c r="AP494" s="102"/>
      <c r="AQ494" s="102"/>
      <c r="AR494" s="102"/>
      <c r="AS494" s="102"/>
      <c r="AT494" s="102"/>
      <c r="AU494" s="102"/>
      <c r="AV494" s="102"/>
    </row>
    <row r="495" ht="12.75" customHeight="1">
      <c r="C495" s="400"/>
      <c r="D495" s="102"/>
      <c r="I495" s="102"/>
      <c r="J495" s="102"/>
      <c r="K495" s="102"/>
      <c r="L495" s="102"/>
      <c r="M495" s="102"/>
      <c r="N495" s="102"/>
      <c r="O495" s="102"/>
      <c r="P495" s="102"/>
      <c r="Q495" s="102"/>
      <c r="R495" s="102"/>
      <c r="S495" s="102"/>
      <c r="T495" s="102"/>
      <c r="U495" s="102"/>
      <c r="V495" s="102"/>
      <c r="W495" s="102"/>
      <c r="X495" s="102"/>
      <c r="Y495" s="102"/>
      <c r="Z495" s="102"/>
      <c r="AA495" s="102"/>
      <c r="AB495" s="102"/>
      <c r="AC495" s="102"/>
      <c r="AD495" s="102"/>
      <c r="AE495" s="102"/>
      <c r="AF495" s="102"/>
      <c r="AG495" s="102"/>
      <c r="AH495" s="102"/>
      <c r="AI495" s="102"/>
      <c r="AJ495" s="102"/>
      <c r="AK495" s="102"/>
      <c r="AL495" s="102"/>
      <c r="AM495" s="102"/>
      <c r="AN495" s="102"/>
      <c r="AO495" s="102"/>
      <c r="AP495" s="102"/>
      <c r="AQ495" s="102"/>
      <c r="AR495" s="102"/>
      <c r="AS495" s="102"/>
      <c r="AT495" s="102"/>
      <c r="AU495" s="102"/>
      <c r="AV495" s="102"/>
    </row>
    <row r="496" ht="12.75" customHeight="1">
      <c r="C496" s="400"/>
      <c r="D496" s="102"/>
      <c r="I496" s="102"/>
      <c r="J496" s="102"/>
      <c r="K496" s="102"/>
      <c r="L496" s="102"/>
      <c r="M496" s="102"/>
      <c r="N496" s="102"/>
      <c r="O496" s="102"/>
      <c r="P496" s="102"/>
      <c r="Q496" s="102"/>
      <c r="R496" s="102"/>
      <c r="S496" s="102"/>
      <c r="T496" s="102"/>
      <c r="U496" s="102"/>
      <c r="V496" s="102"/>
      <c r="W496" s="102"/>
      <c r="X496" s="102"/>
      <c r="Y496" s="102"/>
      <c r="Z496" s="102"/>
      <c r="AA496" s="102"/>
      <c r="AB496" s="102"/>
      <c r="AC496" s="102"/>
      <c r="AD496" s="102"/>
      <c r="AE496" s="102"/>
      <c r="AF496" s="102"/>
      <c r="AG496" s="102"/>
      <c r="AH496" s="102"/>
      <c r="AI496" s="102"/>
      <c r="AJ496" s="102"/>
      <c r="AK496" s="102"/>
      <c r="AL496" s="102"/>
      <c r="AM496" s="102"/>
      <c r="AN496" s="102"/>
      <c r="AO496" s="102"/>
      <c r="AP496" s="102"/>
      <c r="AQ496" s="102"/>
      <c r="AR496" s="102"/>
      <c r="AS496" s="102"/>
      <c r="AT496" s="102"/>
      <c r="AU496" s="102"/>
      <c r="AV496" s="102"/>
    </row>
    <row r="497" ht="12.75" customHeight="1">
      <c r="C497" s="400"/>
      <c r="D497" s="102"/>
      <c r="I497" s="102"/>
      <c r="J497" s="102"/>
      <c r="K497" s="102"/>
      <c r="L497" s="102"/>
      <c r="M497" s="102"/>
      <c r="N497" s="102"/>
      <c r="O497" s="102"/>
      <c r="P497" s="102"/>
      <c r="Q497" s="102"/>
      <c r="R497" s="102"/>
      <c r="S497" s="102"/>
      <c r="T497" s="102"/>
      <c r="U497" s="102"/>
      <c r="V497" s="102"/>
      <c r="W497" s="102"/>
      <c r="X497" s="102"/>
      <c r="Y497" s="102"/>
      <c r="Z497" s="102"/>
      <c r="AA497" s="102"/>
      <c r="AB497" s="102"/>
      <c r="AC497" s="102"/>
      <c r="AD497" s="102"/>
      <c r="AE497" s="102"/>
      <c r="AF497" s="102"/>
      <c r="AG497" s="102"/>
      <c r="AH497" s="102"/>
      <c r="AI497" s="102"/>
      <c r="AJ497" s="102"/>
      <c r="AK497" s="102"/>
      <c r="AL497" s="102"/>
      <c r="AM497" s="102"/>
      <c r="AN497" s="102"/>
      <c r="AO497" s="102"/>
      <c r="AP497" s="102"/>
      <c r="AQ497" s="102"/>
      <c r="AR497" s="102"/>
      <c r="AS497" s="102"/>
      <c r="AT497" s="102"/>
      <c r="AU497" s="102"/>
      <c r="AV497" s="102"/>
    </row>
    <row r="498" ht="12.75" customHeight="1">
      <c r="C498" s="400"/>
      <c r="D498" s="102"/>
      <c r="I498" s="102"/>
      <c r="J498" s="102"/>
      <c r="K498" s="102"/>
      <c r="L498" s="102"/>
      <c r="M498" s="102"/>
      <c r="N498" s="102"/>
      <c r="O498" s="102"/>
      <c r="P498" s="102"/>
      <c r="Q498" s="102"/>
      <c r="R498" s="102"/>
      <c r="S498" s="102"/>
      <c r="T498" s="102"/>
      <c r="U498" s="102"/>
      <c r="V498" s="102"/>
      <c r="W498" s="102"/>
      <c r="X498" s="102"/>
      <c r="Y498" s="102"/>
      <c r="Z498" s="102"/>
      <c r="AA498" s="102"/>
      <c r="AB498" s="102"/>
      <c r="AC498" s="102"/>
      <c r="AD498" s="102"/>
      <c r="AE498" s="102"/>
      <c r="AF498" s="102"/>
      <c r="AG498" s="102"/>
      <c r="AH498" s="102"/>
      <c r="AI498" s="102"/>
      <c r="AJ498" s="102"/>
      <c r="AK498" s="102"/>
      <c r="AL498" s="102"/>
      <c r="AM498" s="102"/>
      <c r="AN498" s="102"/>
      <c r="AO498" s="102"/>
      <c r="AP498" s="102"/>
      <c r="AQ498" s="102"/>
      <c r="AR498" s="102"/>
      <c r="AS498" s="102"/>
      <c r="AT498" s="102"/>
      <c r="AU498" s="102"/>
      <c r="AV498" s="102"/>
    </row>
    <row r="499" ht="12.75" customHeight="1">
      <c r="C499" s="400"/>
      <c r="D499" s="102"/>
      <c r="I499" s="102"/>
      <c r="J499" s="102"/>
      <c r="K499" s="102"/>
      <c r="L499" s="102"/>
      <c r="M499" s="102"/>
      <c r="N499" s="102"/>
      <c r="O499" s="102"/>
      <c r="P499" s="102"/>
      <c r="Q499" s="102"/>
      <c r="R499" s="102"/>
      <c r="S499" s="102"/>
      <c r="T499" s="102"/>
      <c r="U499" s="102"/>
      <c r="V499" s="102"/>
      <c r="W499" s="102"/>
      <c r="X499" s="102"/>
      <c r="Y499" s="102"/>
      <c r="Z499" s="102"/>
      <c r="AA499" s="102"/>
      <c r="AB499" s="102"/>
      <c r="AC499" s="102"/>
      <c r="AD499" s="102"/>
      <c r="AE499" s="102"/>
      <c r="AF499" s="102"/>
      <c r="AG499" s="102"/>
      <c r="AH499" s="102"/>
      <c r="AI499" s="102"/>
      <c r="AJ499" s="102"/>
      <c r="AK499" s="102"/>
      <c r="AL499" s="102"/>
      <c r="AM499" s="102"/>
      <c r="AN499" s="102"/>
      <c r="AO499" s="102"/>
      <c r="AP499" s="102"/>
      <c r="AQ499" s="102"/>
      <c r="AR499" s="102"/>
      <c r="AS499" s="102"/>
      <c r="AT499" s="102"/>
      <c r="AU499" s="102"/>
      <c r="AV499" s="102"/>
    </row>
    <row r="500" ht="12.75" customHeight="1">
      <c r="C500" s="400"/>
      <c r="D500" s="102"/>
      <c r="I500" s="102"/>
      <c r="J500" s="102"/>
      <c r="K500" s="102"/>
      <c r="L500" s="102"/>
      <c r="M500" s="102"/>
      <c r="N500" s="102"/>
      <c r="O500" s="102"/>
      <c r="P500" s="102"/>
      <c r="Q500" s="102"/>
      <c r="R500" s="102"/>
      <c r="S500" s="102"/>
      <c r="T500" s="102"/>
      <c r="U500" s="102"/>
      <c r="V500" s="102"/>
      <c r="W500" s="102"/>
      <c r="X500" s="102"/>
      <c r="Y500" s="102"/>
      <c r="Z500" s="102"/>
      <c r="AA500" s="102"/>
      <c r="AB500" s="102"/>
      <c r="AC500" s="102"/>
      <c r="AD500" s="102"/>
      <c r="AE500" s="102"/>
      <c r="AF500" s="102"/>
      <c r="AG500" s="102"/>
      <c r="AH500" s="102"/>
      <c r="AI500" s="102"/>
      <c r="AJ500" s="102"/>
      <c r="AK500" s="102"/>
      <c r="AL500" s="102"/>
      <c r="AM500" s="102"/>
      <c r="AN500" s="102"/>
      <c r="AO500" s="102"/>
      <c r="AP500" s="102"/>
      <c r="AQ500" s="102"/>
      <c r="AR500" s="102"/>
      <c r="AS500" s="102"/>
      <c r="AT500" s="102"/>
      <c r="AU500" s="102"/>
      <c r="AV500" s="102"/>
    </row>
    <row r="501" ht="12.75" customHeight="1">
      <c r="C501" s="400"/>
      <c r="D501" s="102"/>
      <c r="I501" s="102"/>
      <c r="J501" s="102"/>
      <c r="K501" s="102"/>
      <c r="L501" s="102"/>
      <c r="M501" s="102"/>
      <c r="N501" s="102"/>
      <c r="O501" s="102"/>
      <c r="P501" s="102"/>
      <c r="Q501" s="102"/>
      <c r="R501" s="102"/>
      <c r="S501" s="102"/>
      <c r="T501" s="102"/>
      <c r="U501" s="102"/>
      <c r="V501" s="102"/>
      <c r="W501" s="102"/>
      <c r="X501" s="102"/>
      <c r="Y501" s="102"/>
      <c r="Z501" s="102"/>
      <c r="AA501" s="102"/>
      <c r="AB501" s="102"/>
      <c r="AC501" s="102"/>
      <c r="AD501" s="102"/>
      <c r="AE501" s="102"/>
      <c r="AF501" s="102"/>
      <c r="AG501" s="102"/>
      <c r="AH501" s="102"/>
      <c r="AI501" s="102"/>
      <c r="AJ501" s="102"/>
      <c r="AK501" s="102"/>
      <c r="AL501" s="102"/>
      <c r="AM501" s="102"/>
      <c r="AN501" s="102"/>
      <c r="AO501" s="102"/>
      <c r="AP501" s="102"/>
      <c r="AQ501" s="102"/>
      <c r="AR501" s="102"/>
      <c r="AS501" s="102"/>
      <c r="AT501" s="102"/>
      <c r="AU501" s="102"/>
      <c r="AV501" s="102"/>
    </row>
    <row r="502" ht="12.75" customHeight="1">
      <c r="C502" s="400"/>
      <c r="D502" s="102"/>
      <c r="I502" s="102"/>
      <c r="J502" s="102"/>
      <c r="K502" s="102"/>
      <c r="L502" s="102"/>
      <c r="M502" s="102"/>
      <c r="N502" s="102"/>
      <c r="O502" s="102"/>
      <c r="P502" s="102"/>
      <c r="Q502" s="102"/>
      <c r="R502" s="102"/>
      <c r="S502" s="102"/>
      <c r="T502" s="102"/>
      <c r="U502" s="102"/>
      <c r="V502" s="102"/>
      <c r="W502" s="102"/>
      <c r="X502" s="102"/>
      <c r="Y502" s="102"/>
      <c r="Z502" s="102"/>
      <c r="AA502" s="102"/>
      <c r="AB502" s="102"/>
      <c r="AC502" s="102"/>
      <c r="AD502" s="102"/>
      <c r="AE502" s="102"/>
      <c r="AF502" s="102"/>
      <c r="AG502" s="102"/>
      <c r="AH502" s="102"/>
      <c r="AI502" s="102"/>
      <c r="AJ502" s="102"/>
      <c r="AK502" s="102"/>
      <c r="AL502" s="102"/>
      <c r="AM502" s="102"/>
      <c r="AN502" s="102"/>
      <c r="AO502" s="102"/>
      <c r="AP502" s="102"/>
      <c r="AQ502" s="102"/>
      <c r="AR502" s="102"/>
      <c r="AS502" s="102"/>
      <c r="AT502" s="102"/>
      <c r="AU502" s="102"/>
      <c r="AV502" s="102"/>
    </row>
    <row r="503" ht="12.75" customHeight="1">
      <c r="C503" s="400"/>
      <c r="D503" s="102"/>
      <c r="I503" s="102"/>
      <c r="J503" s="102"/>
      <c r="K503" s="102"/>
      <c r="L503" s="102"/>
      <c r="M503" s="102"/>
      <c r="N503" s="102"/>
      <c r="O503" s="102"/>
      <c r="P503" s="102"/>
      <c r="Q503" s="102"/>
      <c r="R503" s="102"/>
      <c r="S503" s="102"/>
      <c r="T503" s="102"/>
      <c r="U503" s="102"/>
      <c r="V503" s="102"/>
      <c r="W503" s="102"/>
      <c r="X503" s="102"/>
      <c r="Y503" s="102"/>
      <c r="Z503" s="102"/>
      <c r="AA503" s="102"/>
      <c r="AB503" s="102"/>
      <c r="AC503" s="102"/>
      <c r="AD503" s="102"/>
      <c r="AE503" s="102"/>
      <c r="AF503" s="102"/>
      <c r="AG503" s="102"/>
      <c r="AH503" s="102"/>
      <c r="AI503" s="102"/>
      <c r="AJ503" s="102"/>
      <c r="AK503" s="102"/>
      <c r="AL503" s="102"/>
      <c r="AM503" s="102"/>
      <c r="AN503" s="102"/>
      <c r="AO503" s="102"/>
      <c r="AP503" s="102"/>
      <c r="AQ503" s="102"/>
      <c r="AR503" s="102"/>
      <c r="AS503" s="102"/>
      <c r="AT503" s="102"/>
      <c r="AU503" s="102"/>
      <c r="AV503" s="102"/>
    </row>
    <row r="504" ht="12.75" customHeight="1">
      <c r="C504" s="400"/>
      <c r="D504" s="102"/>
      <c r="I504" s="102"/>
      <c r="J504" s="102"/>
      <c r="K504" s="102"/>
      <c r="L504" s="102"/>
      <c r="M504" s="102"/>
      <c r="N504" s="102"/>
      <c r="O504" s="102"/>
      <c r="P504" s="102"/>
      <c r="Q504" s="102"/>
      <c r="R504" s="102"/>
      <c r="S504" s="102"/>
      <c r="T504" s="102"/>
      <c r="U504" s="102"/>
      <c r="V504" s="102"/>
      <c r="W504" s="102"/>
      <c r="X504" s="102"/>
      <c r="Y504" s="102"/>
      <c r="Z504" s="102"/>
      <c r="AA504" s="102"/>
      <c r="AB504" s="102"/>
      <c r="AC504" s="102"/>
      <c r="AD504" s="102"/>
      <c r="AE504" s="102"/>
      <c r="AF504" s="102"/>
      <c r="AG504" s="102"/>
      <c r="AH504" s="102"/>
      <c r="AI504" s="102"/>
      <c r="AJ504" s="102"/>
      <c r="AK504" s="102"/>
      <c r="AL504" s="102"/>
      <c r="AM504" s="102"/>
      <c r="AN504" s="102"/>
      <c r="AO504" s="102"/>
      <c r="AP504" s="102"/>
      <c r="AQ504" s="102"/>
      <c r="AR504" s="102"/>
      <c r="AS504" s="102"/>
      <c r="AT504" s="102"/>
      <c r="AU504" s="102"/>
      <c r="AV504" s="102"/>
    </row>
    <row r="505" ht="12.75" customHeight="1">
      <c r="C505" s="400"/>
      <c r="D505" s="102"/>
      <c r="I505" s="102"/>
      <c r="J505" s="102"/>
      <c r="K505" s="102"/>
      <c r="L505" s="102"/>
      <c r="M505" s="102"/>
      <c r="N505" s="102"/>
      <c r="O505" s="102"/>
      <c r="P505" s="102"/>
      <c r="Q505" s="102"/>
      <c r="R505" s="102"/>
      <c r="S505" s="102"/>
      <c r="T505" s="102"/>
      <c r="U505" s="102"/>
      <c r="V505" s="102"/>
      <c r="W505" s="102"/>
      <c r="X505" s="102"/>
      <c r="Y505" s="102"/>
      <c r="Z505" s="102"/>
      <c r="AA505" s="102"/>
      <c r="AB505" s="102"/>
      <c r="AC505" s="102"/>
      <c r="AD505" s="102"/>
      <c r="AE505" s="102"/>
      <c r="AF505" s="102"/>
      <c r="AG505" s="102"/>
      <c r="AH505" s="102"/>
      <c r="AI505" s="102"/>
      <c r="AJ505" s="102"/>
      <c r="AK505" s="102"/>
      <c r="AL505" s="102"/>
      <c r="AM505" s="102"/>
      <c r="AN505" s="102"/>
      <c r="AO505" s="102"/>
      <c r="AP505" s="102"/>
      <c r="AQ505" s="102"/>
      <c r="AR505" s="102"/>
      <c r="AS505" s="102"/>
      <c r="AT505" s="102"/>
      <c r="AU505" s="102"/>
      <c r="AV505" s="102"/>
    </row>
    <row r="506" ht="12.75" customHeight="1">
      <c r="C506" s="400"/>
      <c r="D506" s="102"/>
      <c r="I506" s="102"/>
      <c r="J506" s="102"/>
      <c r="K506" s="102"/>
      <c r="L506" s="102"/>
      <c r="M506" s="102"/>
      <c r="N506" s="102"/>
      <c r="O506" s="102"/>
      <c r="P506" s="102"/>
      <c r="Q506" s="102"/>
      <c r="R506" s="102"/>
      <c r="S506" s="102"/>
      <c r="T506" s="102"/>
      <c r="U506" s="102"/>
      <c r="V506" s="102"/>
      <c r="W506" s="102"/>
      <c r="X506" s="102"/>
      <c r="Y506" s="102"/>
      <c r="Z506" s="102"/>
      <c r="AA506" s="102"/>
      <c r="AB506" s="102"/>
      <c r="AC506" s="102"/>
      <c r="AD506" s="102"/>
      <c r="AE506" s="102"/>
      <c r="AF506" s="102"/>
      <c r="AG506" s="102"/>
      <c r="AH506" s="102"/>
      <c r="AI506" s="102"/>
      <c r="AJ506" s="102"/>
      <c r="AK506" s="102"/>
      <c r="AL506" s="102"/>
      <c r="AM506" s="102"/>
      <c r="AN506" s="102"/>
      <c r="AO506" s="102"/>
      <c r="AP506" s="102"/>
      <c r="AQ506" s="102"/>
      <c r="AR506" s="102"/>
      <c r="AS506" s="102"/>
      <c r="AT506" s="102"/>
      <c r="AU506" s="102"/>
      <c r="AV506" s="102"/>
    </row>
    <row r="507" ht="12.75" customHeight="1">
      <c r="C507" s="400"/>
      <c r="D507" s="102"/>
      <c r="I507" s="102"/>
      <c r="J507" s="102"/>
      <c r="K507" s="102"/>
      <c r="L507" s="102"/>
      <c r="M507" s="102"/>
      <c r="N507" s="102"/>
      <c r="O507" s="102"/>
      <c r="P507" s="102"/>
      <c r="Q507" s="102"/>
      <c r="R507" s="102"/>
      <c r="S507" s="102"/>
      <c r="T507" s="102"/>
      <c r="U507" s="102"/>
      <c r="V507" s="102"/>
      <c r="W507" s="102"/>
      <c r="X507" s="102"/>
      <c r="Y507" s="102"/>
      <c r="Z507" s="102"/>
      <c r="AA507" s="102"/>
      <c r="AB507" s="102"/>
      <c r="AC507" s="102"/>
      <c r="AD507" s="102"/>
      <c r="AE507" s="102"/>
      <c r="AF507" s="102"/>
      <c r="AG507" s="102"/>
      <c r="AH507" s="102"/>
      <c r="AI507" s="102"/>
      <c r="AJ507" s="102"/>
      <c r="AK507" s="102"/>
      <c r="AL507" s="102"/>
      <c r="AM507" s="102"/>
      <c r="AN507" s="102"/>
      <c r="AO507" s="102"/>
      <c r="AP507" s="102"/>
      <c r="AQ507" s="102"/>
      <c r="AR507" s="102"/>
      <c r="AS507" s="102"/>
      <c r="AT507" s="102"/>
      <c r="AU507" s="102"/>
      <c r="AV507" s="102"/>
    </row>
    <row r="508" ht="12.75" customHeight="1">
      <c r="C508" s="400"/>
      <c r="D508" s="102"/>
      <c r="I508" s="102"/>
      <c r="J508" s="102"/>
      <c r="K508" s="102"/>
      <c r="L508" s="102"/>
      <c r="M508" s="102"/>
      <c r="N508" s="102"/>
      <c r="O508" s="102"/>
      <c r="P508" s="102"/>
      <c r="Q508" s="102"/>
      <c r="R508" s="102"/>
      <c r="S508" s="102"/>
      <c r="T508" s="102"/>
      <c r="U508" s="102"/>
      <c r="V508" s="102"/>
      <c r="W508" s="102"/>
      <c r="X508" s="102"/>
      <c r="Y508" s="102"/>
      <c r="Z508" s="102"/>
      <c r="AA508" s="102"/>
      <c r="AB508" s="102"/>
      <c r="AC508" s="102"/>
      <c r="AD508" s="102"/>
      <c r="AE508" s="102"/>
      <c r="AF508" s="102"/>
      <c r="AG508" s="102"/>
      <c r="AH508" s="102"/>
      <c r="AI508" s="102"/>
      <c r="AJ508" s="102"/>
      <c r="AK508" s="102"/>
      <c r="AL508" s="102"/>
      <c r="AM508" s="102"/>
      <c r="AN508" s="102"/>
      <c r="AO508" s="102"/>
      <c r="AP508" s="102"/>
      <c r="AQ508" s="102"/>
      <c r="AR508" s="102"/>
      <c r="AS508" s="102"/>
      <c r="AT508" s="102"/>
      <c r="AU508" s="102"/>
      <c r="AV508" s="102"/>
    </row>
    <row r="509" ht="12.75" customHeight="1">
      <c r="C509" s="400"/>
      <c r="D509" s="102"/>
      <c r="I509" s="102"/>
      <c r="J509" s="102"/>
      <c r="K509" s="102"/>
      <c r="L509" s="102"/>
      <c r="M509" s="102"/>
      <c r="N509" s="102"/>
      <c r="O509" s="102"/>
      <c r="P509" s="102"/>
      <c r="Q509" s="102"/>
      <c r="R509" s="102"/>
      <c r="S509" s="102"/>
      <c r="T509" s="102"/>
      <c r="U509" s="102"/>
      <c r="V509" s="102"/>
      <c r="W509" s="102"/>
      <c r="X509" s="102"/>
      <c r="Y509" s="102"/>
      <c r="Z509" s="102"/>
      <c r="AA509" s="102"/>
      <c r="AB509" s="102"/>
      <c r="AC509" s="102"/>
      <c r="AD509" s="102"/>
      <c r="AE509" s="102"/>
      <c r="AF509" s="102"/>
      <c r="AG509" s="102"/>
      <c r="AH509" s="102"/>
      <c r="AI509" s="102"/>
      <c r="AJ509" s="102"/>
      <c r="AK509" s="102"/>
      <c r="AL509" s="102"/>
      <c r="AM509" s="102"/>
      <c r="AN509" s="102"/>
      <c r="AO509" s="102"/>
      <c r="AP509" s="102"/>
      <c r="AQ509" s="102"/>
      <c r="AR509" s="102"/>
      <c r="AS509" s="102"/>
      <c r="AT509" s="102"/>
      <c r="AU509" s="102"/>
      <c r="AV509" s="102"/>
    </row>
    <row r="510" ht="12.75" customHeight="1">
      <c r="C510" s="400"/>
      <c r="D510" s="102"/>
      <c r="I510" s="102"/>
      <c r="J510" s="102"/>
      <c r="K510" s="102"/>
      <c r="L510" s="102"/>
      <c r="M510" s="102"/>
      <c r="N510" s="102"/>
      <c r="O510" s="102"/>
      <c r="P510" s="102"/>
      <c r="Q510" s="102"/>
      <c r="R510" s="102"/>
      <c r="S510" s="102"/>
      <c r="T510" s="102"/>
      <c r="U510" s="102"/>
      <c r="V510" s="102"/>
      <c r="W510" s="102"/>
      <c r="X510" s="102"/>
      <c r="Y510" s="102"/>
      <c r="Z510" s="102"/>
      <c r="AA510" s="102"/>
      <c r="AB510" s="102"/>
      <c r="AC510" s="102"/>
      <c r="AD510" s="102"/>
      <c r="AE510" s="102"/>
      <c r="AF510" s="102"/>
      <c r="AG510" s="102"/>
      <c r="AH510" s="102"/>
      <c r="AI510" s="102"/>
      <c r="AJ510" s="102"/>
      <c r="AK510" s="102"/>
      <c r="AL510" s="102"/>
      <c r="AM510" s="102"/>
      <c r="AN510" s="102"/>
      <c r="AO510" s="102"/>
      <c r="AP510" s="102"/>
      <c r="AQ510" s="102"/>
      <c r="AR510" s="102"/>
      <c r="AS510" s="102"/>
      <c r="AT510" s="102"/>
      <c r="AU510" s="102"/>
      <c r="AV510" s="102"/>
    </row>
    <row r="511" ht="12.75" customHeight="1">
      <c r="C511" s="400"/>
      <c r="D511" s="102"/>
      <c r="I511" s="102"/>
      <c r="J511" s="102"/>
      <c r="K511" s="102"/>
      <c r="L511" s="102"/>
      <c r="M511" s="102"/>
      <c r="N511" s="102"/>
      <c r="O511" s="102"/>
      <c r="P511" s="102"/>
      <c r="Q511" s="102"/>
      <c r="R511" s="102"/>
      <c r="S511" s="102"/>
      <c r="T511" s="102"/>
      <c r="U511" s="102"/>
      <c r="V511" s="102"/>
      <c r="W511" s="102"/>
      <c r="X511" s="102"/>
      <c r="Y511" s="102"/>
      <c r="Z511" s="102"/>
      <c r="AA511" s="102"/>
      <c r="AB511" s="102"/>
      <c r="AC511" s="102"/>
      <c r="AD511" s="102"/>
      <c r="AE511" s="102"/>
      <c r="AF511" s="102"/>
      <c r="AG511" s="102"/>
      <c r="AH511" s="102"/>
      <c r="AI511" s="102"/>
      <c r="AJ511" s="102"/>
      <c r="AK511" s="102"/>
      <c r="AL511" s="102"/>
      <c r="AM511" s="102"/>
      <c r="AN511" s="102"/>
      <c r="AO511" s="102"/>
      <c r="AP511" s="102"/>
      <c r="AQ511" s="102"/>
      <c r="AR511" s="102"/>
      <c r="AS511" s="102"/>
      <c r="AT511" s="102"/>
      <c r="AU511" s="102"/>
      <c r="AV511" s="102"/>
    </row>
    <row r="512" ht="12.75" customHeight="1">
      <c r="C512" s="400"/>
      <c r="D512" s="102"/>
      <c r="I512" s="102"/>
      <c r="J512" s="102"/>
      <c r="K512" s="102"/>
      <c r="L512" s="102"/>
      <c r="M512" s="102"/>
      <c r="N512" s="102"/>
      <c r="O512" s="102"/>
      <c r="P512" s="102"/>
      <c r="Q512" s="102"/>
      <c r="R512" s="102"/>
      <c r="S512" s="102"/>
      <c r="T512" s="102"/>
      <c r="U512" s="102"/>
      <c r="V512" s="102"/>
      <c r="W512" s="102"/>
      <c r="X512" s="102"/>
      <c r="Y512" s="102"/>
      <c r="Z512" s="102"/>
      <c r="AA512" s="102"/>
      <c r="AB512" s="102"/>
      <c r="AC512" s="102"/>
      <c r="AD512" s="102"/>
      <c r="AE512" s="102"/>
      <c r="AF512" s="102"/>
      <c r="AG512" s="102"/>
      <c r="AH512" s="102"/>
      <c r="AI512" s="102"/>
      <c r="AJ512" s="102"/>
      <c r="AK512" s="102"/>
      <c r="AL512" s="102"/>
      <c r="AM512" s="102"/>
      <c r="AN512" s="102"/>
      <c r="AO512" s="102"/>
      <c r="AP512" s="102"/>
      <c r="AQ512" s="102"/>
      <c r="AR512" s="102"/>
      <c r="AS512" s="102"/>
      <c r="AT512" s="102"/>
      <c r="AU512" s="102"/>
      <c r="AV512" s="102"/>
    </row>
    <row r="513" ht="12.75" customHeight="1">
      <c r="C513" s="400"/>
      <c r="D513" s="102"/>
      <c r="I513" s="102"/>
      <c r="J513" s="102"/>
      <c r="K513" s="102"/>
      <c r="L513" s="102"/>
      <c r="M513" s="102"/>
      <c r="N513" s="102"/>
      <c r="O513" s="102"/>
      <c r="P513" s="102"/>
      <c r="Q513" s="102"/>
      <c r="R513" s="102"/>
      <c r="S513" s="102"/>
      <c r="T513" s="102"/>
      <c r="U513" s="102"/>
      <c r="V513" s="102"/>
      <c r="W513" s="102"/>
      <c r="X513" s="102"/>
      <c r="Y513" s="102"/>
      <c r="Z513" s="102"/>
      <c r="AA513" s="102"/>
      <c r="AB513" s="102"/>
      <c r="AC513" s="102"/>
      <c r="AD513" s="102"/>
      <c r="AE513" s="102"/>
      <c r="AF513" s="102"/>
      <c r="AG513" s="102"/>
      <c r="AH513" s="102"/>
      <c r="AI513" s="102"/>
      <c r="AJ513" s="102"/>
      <c r="AK513" s="102"/>
      <c r="AL513" s="102"/>
      <c r="AM513" s="102"/>
      <c r="AN513" s="102"/>
      <c r="AO513" s="102"/>
      <c r="AP513" s="102"/>
      <c r="AQ513" s="102"/>
      <c r="AR513" s="102"/>
      <c r="AS513" s="102"/>
      <c r="AT513" s="102"/>
      <c r="AU513" s="102"/>
      <c r="AV513" s="102"/>
    </row>
    <row r="514" ht="12.75" customHeight="1">
      <c r="C514" s="400"/>
      <c r="D514" s="102"/>
      <c r="I514" s="102"/>
      <c r="J514" s="102"/>
      <c r="K514" s="102"/>
      <c r="L514" s="102"/>
      <c r="M514" s="102"/>
      <c r="N514" s="102"/>
      <c r="O514" s="102"/>
      <c r="P514" s="102"/>
      <c r="Q514" s="102"/>
      <c r="R514" s="102"/>
      <c r="S514" s="102"/>
      <c r="T514" s="102"/>
      <c r="U514" s="102"/>
      <c r="V514" s="102"/>
      <c r="W514" s="102"/>
      <c r="X514" s="102"/>
      <c r="Y514" s="102"/>
      <c r="Z514" s="102"/>
      <c r="AA514" s="102"/>
      <c r="AB514" s="102"/>
      <c r="AC514" s="102"/>
      <c r="AD514" s="102"/>
      <c r="AE514" s="102"/>
      <c r="AF514" s="102"/>
      <c r="AG514" s="102"/>
      <c r="AH514" s="102"/>
      <c r="AI514" s="102"/>
      <c r="AJ514" s="102"/>
      <c r="AK514" s="102"/>
      <c r="AL514" s="102"/>
      <c r="AM514" s="102"/>
      <c r="AN514" s="102"/>
      <c r="AO514" s="102"/>
      <c r="AP514" s="102"/>
      <c r="AQ514" s="102"/>
      <c r="AR514" s="102"/>
      <c r="AS514" s="102"/>
      <c r="AT514" s="102"/>
      <c r="AU514" s="102"/>
      <c r="AV514" s="102"/>
    </row>
    <row r="515" ht="12.75" customHeight="1">
      <c r="C515" s="400"/>
      <c r="D515" s="102"/>
      <c r="I515" s="102"/>
      <c r="J515" s="102"/>
      <c r="K515" s="102"/>
      <c r="L515" s="102"/>
      <c r="M515" s="102"/>
      <c r="N515" s="102"/>
      <c r="O515" s="102"/>
      <c r="P515" s="102"/>
      <c r="Q515" s="102"/>
      <c r="R515" s="102"/>
      <c r="S515" s="102"/>
      <c r="T515" s="102"/>
      <c r="U515" s="102"/>
      <c r="V515" s="102"/>
      <c r="W515" s="102"/>
      <c r="X515" s="102"/>
      <c r="Y515" s="102"/>
      <c r="Z515" s="102"/>
      <c r="AA515" s="102"/>
      <c r="AB515" s="102"/>
      <c r="AC515" s="102"/>
      <c r="AD515" s="102"/>
      <c r="AE515" s="102"/>
      <c r="AF515" s="102"/>
      <c r="AG515" s="102"/>
      <c r="AH515" s="102"/>
      <c r="AI515" s="102"/>
      <c r="AJ515" s="102"/>
      <c r="AK515" s="102"/>
      <c r="AL515" s="102"/>
      <c r="AM515" s="102"/>
      <c r="AN515" s="102"/>
      <c r="AO515" s="102"/>
      <c r="AP515" s="102"/>
      <c r="AQ515" s="102"/>
      <c r="AR515" s="102"/>
      <c r="AS515" s="102"/>
      <c r="AT515" s="102"/>
      <c r="AU515" s="102"/>
      <c r="AV515" s="102"/>
    </row>
    <row r="516" ht="12.75" customHeight="1">
      <c r="C516" s="400"/>
      <c r="D516" s="102"/>
      <c r="I516" s="102"/>
      <c r="J516" s="102"/>
      <c r="K516" s="102"/>
      <c r="L516" s="102"/>
      <c r="M516" s="102"/>
      <c r="N516" s="102"/>
      <c r="O516" s="102"/>
      <c r="P516" s="102"/>
      <c r="Q516" s="102"/>
      <c r="R516" s="102"/>
      <c r="S516" s="102"/>
      <c r="T516" s="102"/>
      <c r="U516" s="102"/>
      <c r="V516" s="102"/>
      <c r="W516" s="102"/>
      <c r="X516" s="102"/>
      <c r="Y516" s="102"/>
      <c r="Z516" s="102"/>
      <c r="AA516" s="102"/>
      <c r="AB516" s="102"/>
      <c r="AC516" s="102"/>
      <c r="AD516" s="102"/>
      <c r="AE516" s="102"/>
      <c r="AF516" s="102"/>
      <c r="AG516" s="102"/>
      <c r="AH516" s="102"/>
      <c r="AI516" s="102"/>
      <c r="AJ516" s="102"/>
      <c r="AK516" s="102"/>
      <c r="AL516" s="102"/>
      <c r="AM516" s="102"/>
      <c r="AN516" s="102"/>
      <c r="AO516" s="102"/>
      <c r="AP516" s="102"/>
      <c r="AQ516" s="102"/>
      <c r="AR516" s="102"/>
      <c r="AS516" s="102"/>
      <c r="AT516" s="102"/>
      <c r="AU516" s="102"/>
      <c r="AV516" s="102"/>
    </row>
    <row r="517" ht="12.75" customHeight="1">
      <c r="C517" s="400"/>
      <c r="D517" s="102"/>
      <c r="I517" s="102"/>
      <c r="J517" s="102"/>
      <c r="K517" s="102"/>
      <c r="L517" s="102"/>
      <c r="M517" s="102"/>
      <c r="N517" s="102"/>
      <c r="O517" s="102"/>
      <c r="P517" s="102"/>
      <c r="Q517" s="102"/>
      <c r="R517" s="102"/>
      <c r="S517" s="102"/>
      <c r="T517" s="102"/>
      <c r="U517" s="102"/>
      <c r="V517" s="102"/>
      <c r="W517" s="102"/>
      <c r="X517" s="102"/>
      <c r="Y517" s="102"/>
      <c r="Z517" s="102"/>
      <c r="AA517" s="102"/>
      <c r="AB517" s="102"/>
      <c r="AC517" s="102"/>
      <c r="AD517" s="102"/>
      <c r="AE517" s="102"/>
      <c r="AF517" s="102"/>
      <c r="AG517" s="102"/>
      <c r="AH517" s="102"/>
      <c r="AI517" s="102"/>
      <c r="AJ517" s="102"/>
      <c r="AK517" s="102"/>
      <c r="AL517" s="102"/>
      <c r="AM517" s="102"/>
      <c r="AN517" s="102"/>
      <c r="AO517" s="102"/>
      <c r="AP517" s="102"/>
      <c r="AQ517" s="102"/>
      <c r="AR517" s="102"/>
      <c r="AS517" s="102"/>
      <c r="AT517" s="102"/>
      <c r="AU517" s="102"/>
      <c r="AV517" s="102"/>
    </row>
    <row r="518" ht="12.75" customHeight="1">
      <c r="C518" s="400"/>
      <c r="D518" s="102"/>
      <c r="I518" s="102"/>
      <c r="J518" s="102"/>
      <c r="K518" s="102"/>
      <c r="L518" s="102"/>
      <c r="M518" s="102"/>
      <c r="N518" s="102"/>
      <c r="O518" s="102"/>
      <c r="P518" s="102"/>
      <c r="Q518" s="102"/>
      <c r="R518" s="102"/>
      <c r="S518" s="102"/>
      <c r="T518" s="102"/>
      <c r="U518" s="102"/>
      <c r="V518" s="102"/>
      <c r="W518" s="102"/>
      <c r="X518" s="102"/>
      <c r="Y518" s="102"/>
      <c r="Z518" s="102"/>
      <c r="AA518" s="102"/>
      <c r="AB518" s="102"/>
      <c r="AC518" s="102"/>
      <c r="AD518" s="102"/>
      <c r="AE518" s="102"/>
      <c r="AF518" s="102"/>
      <c r="AG518" s="102"/>
      <c r="AH518" s="102"/>
      <c r="AI518" s="102"/>
      <c r="AJ518" s="102"/>
      <c r="AK518" s="102"/>
      <c r="AL518" s="102"/>
      <c r="AM518" s="102"/>
      <c r="AN518" s="102"/>
      <c r="AO518" s="102"/>
      <c r="AP518" s="102"/>
      <c r="AQ518" s="102"/>
      <c r="AR518" s="102"/>
      <c r="AS518" s="102"/>
      <c r="AT518" s="102"/>
      <c r="AU518" s="102"/>
      <c r="AV518" s="102"/>
    </row>
    <row r="519" ht="12.75" customHeight="1">
      <c r="C519" s="400"/>
      <c r="D519" s="102"/>
      <c r="I519" s="102"/>
      <c r="J519" s="102"/>
      <c r="K519" s="102"/>
      <c r="L519" s="102"/>
      <c r="M519" s="102"/>
      <c r="N519" s="102"/>
      <c r="O519" s="102"/>
      <c r="P519" s="102"/>
      <c r="Q519" s="102"/>
      <c r="R519" s="102"/>
      <c r="S519" s="102"/>
      <c r="T519" s="102"/>
      <c r="U519" s="102"/>
      <c r="V519" s="102"/>
      <c r="W519" s="102"/>
      <c r="X519" s="102"/>
      <c r="Y519" s="102"/>
      <c r="Z519" s="102"/>
      <c r="AA519" s="102"/>
      <c r="AB519" s="102"/>
      <c r="AC519" s="102"/>
      <c r="AD519" s="102"/>
      <c r="AE519" s="102"/>
      <c r="AF519" s="102"/>
      <c r="AG519" s="102"/>
      <c r="AH519" s="102"/>
      <c r="AI519" s="102"/>
      <c r="AJ519" s="102"/>
      <c r="AK519" s="102"/>
      <c r="AL519" s="102"/>
      <c r="AM519" s="102"/>
      <c r="AN519" s="102"/>
      <c r="AO519" s="102"/>
      <c r="AP519" s="102"/>
      <c r="AQ519" s="102"/>
      <c r="AR519" s="102"/>
      <c r="AS519" s="102"/>
      <c r="AT519" s="102"/>
      <c r="AU519" s="102"/>
      <c r="AV519" s="102"/>
    </row>
    <row r="520" ht="12.75" customHeight="1">
      <c r="C520" s="400"/>
      <c r="D520" s="102"/>
      <c r="I520" s="102"/>
      <c r="J520" s="102"/>
      <c r="K520" s="102"/>
      <c r="L520" s="102"/>
      <c r="M520" s="102"/>
      <c r="N520" s="102"/>
      <c r="O520" s="102"/>
      <c r="P520" s="102"/>
      <c r="Q520" s="102"/>
      <c r="R520" s="102"/>
      <c r="S520" s="102"/>
      <c r="T520" s="102"/>
      <c r="U520" s="102"/>
      <c r="V520" s="102"/>
      <c r="W520" s="102"/>
      <c r="X520" s="102"/>
      <c r="Y520" s="102"/>
      <c r="Z520" s="102"/>
      <c r="AA520" s="102"/>
      <c r="AB520" s="102"/>
      <c r="AC520" s="102"/>
      <c r="AD520" s="102"/>
      <c r="AE520" s="102"/>
      <c r="AF520" s="102"/>
      <c r="AG520" s="102"/>
      <c r="AH520" s="102"/>
      <c r="AI520" s="102"/>
      <c r="AJ520" s="102"/>
      <c r="AK520" s="102"/>
      <c r="AL520" s="102"/>
      <c r="AM520" s="102"/>
      <c r="AN520" s="102"/>
      <c r="AO520" s="102"/>
      <c r="AP520" s="102"/>
      <c r="AQ520" s="102"/>
      <c r="AR520" s="102"/>
      <c r="AS520" s="102"/>
      <c r="AT520" s="102"/>
      <c r="AU520" s="102"/>
      <c r="AV520" s="102"/>
    </row>
    <row r="521" ht="12.75" customHeight="1">
      <c r="C521" s="400"/>
      <c r="D521" s="102"/>
      <c r="I521" s="102"/>
      <c r="J521" s="102"/>
      <c r="K521" s="102"/>
      <c r="L521" s="102"/>
      <c r="M521" s="102"/>
      <c r="N521" s="102"/>
      <c r="O521" s="102"/>
      <c r="P521" s="102"/>
      <c r="Q521" s="102"/>
      <c r="R521" s="102"/>
      <c r="S521" s="102"/>
      <c r="T521" s="102"/>
      <c r="U521" s="102"/>
      <c r="V521" s="102"/>
      <c r="W521" s="102"/>
      <c r="X521" s="102"/>
      <c r="Y521" s="102"/>
      <c r="Z521" s="102"/>
      <c r="AA521" s="102"/>
      <c r="AB521" s="102"/>
      <c r="AC521" s="102"/>
      <c r="AD521" s="102"/>
      <c r="AE521" s="102"/>
      <c r="AF521" s="102"/>
      <c r="AG521" s="102"/>
      <c r="AH521" s="102"/>
      <c r="AI521" s="102"/>
      <c r="AJ521" s="102"/>
      <c r="AK521" s="102"/>
      <c r="AL521" s="102"/>
      <c r="AM521" s="102"/>
      <c r="AN521" s="102"/>
      <c r="AO521" s="102"/>
      <c r="AP521" s="102"/>
      <c r="AQ521" s="102"/>
      <c r="AR521" s="102"/>
      <c r="AS521" s="102"/>
      <c r="AT521" s="102"/>
      <c r="AU521" s="102"/>
      <c r="AV521" s="102"/>
    </row>
    <row r="522" ht="12.75" customHeight="1">
      <c r="C522" s="400"/>
      <c r="D522" s="102"/>
      <c r="I522" s="102"/>
      <c r="J522" s="102"/>
      <c r="K522" s="102"/>
      <c r="L522" s="102"/>
      <c r="M522" s="102"/>
      <c r="N522" s="102"/>
      <c r="O522" s="102"/>
      <c r="P522" s="102"/>
      <c r="Q522" s="102"/>
      <c r="R522" s="102"/>
      <c r="S522" s="102"/>
      <c r="T522" s="102"/>
      <c r="U522" s="102"/>
      <c r="V522" s="102"/>
      <c r="W522" s="102"/>
      <c r="X522" s="102"/>
      <c r="Y522" s="102"/>
      <c r="Z522" s="102"/>
      <c r="AA522" s="102"/>
      <c r="AB522" s="102"/>
      <c r="AC522" s="102"/>
      <c r="AD522" s="102"/>
      <c r="AE522" s="102"/>
      <c r="AF522" s="102"/>
      <c r="AG522" s="102"/>
      <c r="AH522" s="102"/>
      <c r="AI522" s="102"/>
      <c r="AJ522" s="102"/>
      <c r="AK522" s="102"/>
      <c r="AL522" s="102"/>
      <c r="AM522" s="102"/>
      <c r="AN522" s="102"/>
      <c r="AO522" s="102"/>
      <c r="AP522" s="102"/>
      <c r="AQ522" s="102"/>
      <c r="AR522" s="102"/>
      <c r="AS522" s="102"/>
      <c r="AT522" s="102"/>
      <c r="AU522" s="102"/>
      <c r="AV522" s="102"/>
    </row>
    <row r="523" ht="12.75" customHeight="1">
      <c r="C523" s="400"/>
      <c r="D523" s="102"/>
      <c r="I523" s="102"/>
      <c r="J523" s="102"/>
      <c r="K523" s="102"/>
      <c r="L523" s="102"/>
      <c r="M523" s="102"/>
      <c r="N523" s="102"/>
      <c r="O523" s="102"/>
      <c r="P523" s="102"/>
      <c r="Q523" s="102"/>
      <c r="R523" s="102"/>
      <c r="S523" s="102"/>
      <c r="T523" s="102"/>
      <c r="U523" s="102"/>
      <c r="V523" s="102"/>
      <c r="W523" s="102"/>
      <c r="X523" s="102"/>
      <c r="Y523" s="102"/>
      <c r="Z523" s="102"/>
      <c r="AA523" s="102"/>
      <c r="AB523" s="102"/>
      <c r="AC523" s="102"/>
      <c r="AD523" s="102"/>
      <c r="AE523" s="102"/>
      <c r="AF523" s="102"/>
      <c r="AG523" s="102"/>
      <c r="AH523" s="102"/>
      <c r="AI523" s="102"/>
      <c r="AJ523" s="102"/>
      <c r="AK523" s="102"/>
      <c r="AL523" s="102"/>
      <c r="AM523" s="102"/>
      <c r="AN523" s="102"/>
      <c r="AO523" s="102"/>
      <c r="AP523" s="102"/>
      <c r="AQ523" s="102"/>
      <c r="AR523" s="102"/>
      <c r="AS523" s="102"/>
      <c r="AT523" s="102"/>
      <c r="AU523" s="102"/>
      <c r="AV523" s="102"/>
    </row>
    <row r="524" ht="12.75" customHeight="1">
      <c r="C524" s="400"/>
      <c r="D524" s="102"/>
      <c r="I524" s="102"/>
      <c r="J524" s="102"/>
      <c r="K524" s="102"/>
      <c r="L524" s="102"/>
      <c r="M524" s="102"/>
      <c r="N524" s="102"/>
      <c r="O524" s="102"/>
      <c r="P524" s="102"/>
      <c r="Q524" s="102"/>
      <c r="R524" s="102"/>
      <c r="S524" s="102"/>
      <c r="T524" s="102"/>
      <c r="U524" s="102"/>
      <c r="V524" s="102"/>
      <c r="W524" s="102"/>
      <c r="X524" s="102"/>
      <c r="Y524" s="102"/>
      <c r="Z524" s="102"/>
      <c r="AA524" s="102"/>
      <c r="AB524" s="102"/>
      <c r="AC524" s="102"/>
      <c r="AD524" s="102"/>
      <c r="AE524" s="102"/>
      <c r="AF524" s="102"/>
      <c r="AG524" s="102"/>
      <c r="AH524" s="102"/>
      <c r="AI524" s="102"/>
      <c r="AJ524" s="102"/>
      <c r="AK524" s="102"/>
      <c r="AL524" s="102"/>
      <c r="AM524" s="102"/>
      <c r="AN524" s="102"/>
      <c r="AO524" s="102"/>
      <c r="AP524" s="102"/>
      <c r="AQ524" s="102"/>
      <c r="AR524" s="102"/>
      <c r="AS524" s="102"/>
      <c r="AT524" s="102"/>
      <c r="AU524" s="102"/>
      <c r="AV524" s="102"/>
    </row>
    <row r="525" ht="12.75" customHeight="1">
      <c r="C525" s="400"/>
      <c r="D525" s="102"/>
      <c r="I525" s="102"/>
      <c r="J525" s="102"/>
      <c r="K525" s="102"/>
      <c r="L525" s="102"/>
      <c r="M525" s="102"/>
      <c r="N525" s="102"/>
      <c r="O525" s="102"/>
      <c r="P525" s="102"/>
      <c r="Q525" s="102"/>
      <c r="R525" s="102"/>
      <c r="S525" s="102"/>
      <c r="T525" s="102"/>
      <c r="U525" s="102"/>
      <c r="V525" s="102"/>
      <c r="W525" s="102"/>
      <c r="X525" s="102"/>
      <c r="Y525" s="102"/>
      <c r="Z525" s="102"/>
      <c r="AA525" s="102"/>
      <c r="AB525" s="102"/>
      <c r="AC525" s="102"/>
      <c r="AD525" s="102"/>
      <c r="AE525" s="102"/>
      <c r="AF525" s="102"/>
      <c r="AG525" s="102"/>
      <c r="AH525" s="102"/>
      <c r="AI525" s="102"/>
      <c r="AJ525" s="102"/>
      <c r="AK525" s="102"/>
      <c r="AL525" s="102"/>
      <c r="AM525" s="102"/>
      <c r="AN525" s="102"/>
      <c r="AO525" s="102"/>
      <c r="AP525" s="102"/>
      <c r="AQ525" s="102"/>
      <c r="AR525" s="102"/>
      <c r="AS525" s="102"/>
      <c r="AT525" s="102"/>
      <c r="AU525" s="102"/>
      <c r="AV525" s="102"/>
    </row>
    <row r="526" ht="12.75" customHeight="1">
      <c r="C526" s="400"/>
      <c r="D526" s="102"/>
      <c r="I526" s="102"/>
      <c r="J526" s="102"/>
      <c r="K526" s="102"/>
      <c r="L526" s="102"/>
      <c r="M526" s="102"/>
      <c r="N526" s="102"/>
      <c r="O526" s="102"/>
      <c r="P526" s="102"/>
      <c r="Q526" s="102"/>
      <c r="R526" s="102"/>
      <c r="S526" s="102"/>
      <c r="T526" s="102"/>
      <c r="U526" s="102"/>
      <c r="V526" s="102"/>
      <c r="W526" s="102"/>
      <c r="X526" s="102"/>
      <c r="Y526" s="102"/>
      <c r="Z526" s="102"/>
      <c r="AA526" s="102"/>
      <c r="AB526" s="102"/>
      <c r="AC526" s="102"/>
      <c r="AD526" s="102"/>
      <c r="AE526" s="102"/>
      <c r="AF526" s="102"/>
      <c r="AG526" s="102"/>
      <c r="AH526" s="102"/>
      <c r="AI526" s="102"/>
      <c r="AJ526" s="102"/>
      <c r="AK526" s="102"/>
      <c r="AL526" s="102"/>
      <c r="AM526" s="102"/>
      <c r="AN526" s="102"/>
      <c r="AO526" s="102"/>
      <c r="AP526" s="102"/>
      <c r="AQ526" s="102"/>
      <c r="AR526" s="102"/>
      <c r="AS526" s="102"/>
      <c r="AT526" s="102"/>
      <c r="AU526" s="102"/>
      <c r="AV526" s="102"/>
    </row>
    <row r="527" ht="12.75" customHeight="1">
      <c r="C527" s="400"/>
      <c r="D527" s="102"/>
      <c r="I527" s="102"/>
      <c r="J527" s="102"/>
      <c r="K527" s="102"/>
      <c r="L527" s="102"/>
      <c r="M527" s="102"/>
      <c r="N527" s="102"/>
      <c r="O527" s="102"/>
      <c r="P527" s="102"/>
      <c r="Q527" s="102"/>
      <c r="R527" s="102"/>
      <c r="S527" s="102"/>
      <c r="T527" s="102"/>
      <c r="U527" s="102"/>
      <c r="V527" s="102"/>
      <c r="W527" s="102"/>
      <c r="X527" s="102"/>
      <c r="Y527" s="102"/>
      <c r="Z527" s="102"/>
      <c r="AA527" s="102"/>
      <c r="AB527" s="102"/>
      <c r="AC527" s="102"/>
      <c r="AD527" s="102"/>
      <c r="AE527" s="102"/>
      <c r="AF527" s="102"/>
      <c r="AG527" s="102"/>
      <c r="AH527" s="102"/>
      <c r="AI527" s="102"/>
      <c r="AJ527" s="102"/>
      <c r="AK527" s="102"/>
      <c r="AL527" s="102"/>
      <c r="AM527" s="102"/>
      <c r="AN527" s="102"/>
      <c r="AO527" s="102"/>
      <c r="AP527" s="102"/>
      <c r="AQ527" s="102"/>
      <c r="AR527" s="102"/>
      <c r="AS527" s="102"/>
      <c r="AT527" s="102"/>
      <c r="AU527" s="102"/>
      <c r="AV527" s="102"/>
    </row>
    <row r="528" ht="12.75" customHeight="1">
      <c r="C528" s="400"/>
      <c r="D528" s="102"/>
      <c r="I528" s="102"/>
      <c r="J528" s="102"/>
      <c r="K528" s="102"/>
      <c r="L528" s="102"/>
      <c r="M528" s="102"/>
      <c r="N528" s="102"/>
      <c r="O528" s="102"/>
      <c r="P528" s="102"/>
      <c r="Q528" s="102"/>
      <c r="R528" s="102"/>
      <c r="S528" s="102"/>
      <c r="T528" s="102"/>
      <c r="U528" s="102"/>
      <c r="V528" s="102"/>
      <c r="W528" s="102"/>
      <c r="X528" s="102"/>
      <c r="Y528" s="102"/>
      <c r="Z528" s="102"/>
      <c r="AA528" s="102"/>
      <c r="AB528" s="102"/>
      <c r="AC528" s="102"/>
      <c r="AD528" s="102"/>
      <c r="AE528" s="102"/>
      <c r="AF528" s="102"/>
      <c r="AG528" s="102"/>
      <c r="AH528" s="102"/>
      <c r="AI528" s="102"/>
      <c r="AJ528" s="102"/>
      <c r="AK528" s="102"/>
      <c r="AL528" s="102"/>
      <c r="AM528" s="102"/>
      <c r="AN528" s="102"/>
      <c r="AO528" s="102"/>
      <c r="AP528" s="102"/>
      <c r="AQ528" s="102"/>
      <c r="AR528" s="102"/>
      <c r="AS528" s="102"/>
      <c r="AT528" s="102"/>
      <c r="AU528" s="102"/>
      <c r="AV528" s="102"/>
    </row>
    <row r="529" ht="12.75" customHeight="1">
      <c r="C529" s="400"/>
      <c r="D529" s="102"/>
      <c r="I529" s="102"/>
      <c r="J529" s="102"/>
      <c r="K529" s="102"/>
      <c r="L529" s="102"/>
      <c r="M529" s="102"/>
      <c r="N529" s="102"/>
      <c r="O529" s="102"/>
      <c r="P529" s="102"/>
      <c r="Q529" s="102"/>
      <c r="R529" s="102"/>
      <c r="S529" s="102"/>
      <c r="T529" s="102"/>
      <c r="U529" s="102"/>
      <c r="V529" s="102"/>
      <c r="W529" s="102"/>
      <c r="X529" s="102"/>
      <c r="Y529" s="102"/>
      <c r="Z529" s="102"/>
      <c r="AA529" s="102"/>
      <c r="AB529" s="102"/>
      <c r="AC529" s="102"/>
      <c r="AD529" s="102"/>
      <c r="AE529" s="102"/>
      <c r="AF529" s="102"/>
      <c r="AG529" s="102"/>
      <c r="AH529" s="102"/>
      <c r="AI529" s="102"/>
      <c r="AJ529" s="102"/>
      <c r="AK529" s="102"/>
      <c r="AL529" s="102"/>
      <c r="AM529" s="102"/>
      <c r="AN529" s="102"/>
      <c r="AO529" s="102"/>
      <c r="AP529" s="102"/>
      <c r="AQ529" s="102"/>
      <c r="AR529" s="102"/>
      <c r="AS529" s="102"/>
      <c r="AT529" s="102"/>
      <c r="AU529" s="102"/>
      <c r="AV529" s="102"/>
    </row>
    <row r="530" ht="12.75" customHeight="1">
      <c r="C530" s="400"/>
      <c r="D530" s="102"/>
      <c r="I530" s="102"/>
      <c r="J530" s="102"/>
      <c r="K530" s="102"/>
      <c r="L530" s="102"/>
      <c r="M530" s="102"/>
      <c r="N530" s="102"/>
      <c r="O530" s="102"/>
      <c r="P530" s="102"/>
      <c r="Q530" s="102"/>
      <c r="R530" s="102"/>
      <c r="S530" s="102"/>
      <c r="T530" s="102"/>
      <c r="U530" s="102"/>
      <c r="V530" s="102"/>
      <c r="W530" s="102"/>
      <c r="X530" s="102"/>
      <c r="Y530" s="102"/>
      <c r="Z530" s="102"/>
      <c r="AA530" s="102"/>
      <c r="AB530" s="102"/>
      <c r="AC530" s="102"/>
      <c r="AD530" s="102"/>
      <c r="AE530" s="102"/>
      <c r="AF530" s="102"/>
      <c r="AG530" s="102"/>
      <c r="AH530" s="102"/>
      <c r="AI530" s="102"/>
      <c r="AJ530" s="102"/>
      <c r="AK530" s="102"/>
      <c r="AL530" s="102"/>
      <c r="AM530" s="102"/>
      <c r="AN530" s="102"/>
      <c r="AO530" s="102"/>
      <c r="AP530" s="102"/>
      <c r="AQ530" s="102"/>
      <c r="AR530" s="102"/>
      <c r="AS530" s="102"/>
      <c r="AT530" s="102"/>
      <c r="AU530" s="102"/>
      <c r="AV530" s="102"/>
    </row>
    <row r="531" ht="12.75" customHeight="1">
      <c r="C531" s="400"/>
      <c r="D531" s="102"/>
      <c r="I531" s="102"/>
      <c r="J531" s="102"/>
      <c r="K531" s="102"/>
      <c r="L531" s="102"/>
      <c r="M531" s="102"/>
      <c r="N531" s="102"/>
      <c r="O531" s="102"/>
      <c r="P531" s="102"/>
      <c r="Q531" s="102"/>
      <c r="R531" s="102"/>
      <c r="S531" s="102"/>
      <c r="T531" s="102"/>
      <c r="U531" s="102"/>
      <c r="V531" s="102"/>
      <c r="W531" s="102"/>
      <c r="X531" s="102"/>
      <c r="Y531" s="102"/>
      <c r="Z531" s="102"/>
      <c r="AA531" s="102"/>
      <c r="AB531" s="102"/>
      <c r="AC531" s="102"/>
      <c r="AD531" s="102"/>
      <c r="AE531" s="102"/>
      <c r="AF531" s="102"/>
      <c r="AG531" s="102"/>
      <c r="AH531" s="102"/>
      <c r="AI531" s="102"/>
      <c r="AJ531" s="102"/>
      <c r="AK531" s="102"/>
      <c r="AL531" s="102"/>
      <c r="AM531" s="102"/>
      <c r="AN531" s="102"/>
      <c r="AO531" s="102"/>
      <c r="AP531" s="102"/>
      <c r="AQ531" s="102"/>
      <c r="AR531" s="102"/>
      <c r="AS531" s="102"/>
      <c r="AT531" s="102"/>
      <c r="AU531" s="102"/>
      <c r="AV531" s="102"/>
    </row>
    <row r="532" ht="12.75" customHeight="1">
      <c r="C532" s="400"/>
      <c r="D532" s="102"/>
      <c r="I532" s="102"/>
      <c r="J532" s="102"/>
      <c r="K532" s="102"/>
      <c r="L532" s="102"/>
      <c r="M532" s="102"/>
      <c r="N532" s="102"/>
      <c r="O532" s="102"/>
      <c r="P532" s="102"/>
      <c r="Q532" s="102"/>
      <c r="R532" s="102"/>
      <c r="S532" s="102"/>
      <c r="T532" s="102"/>
      <c r="U532" s="102"/>
      <c r="V532" s="102"/>
      <c r="W532" s="102"/>
      <c r="X532" s="102"/>
      <c r="Y532" s="102"/>
      <c r="Z532" s="102"/>
      <c r="AA532" s="102"/>
      <c r="AB532" s="102"/>
      <c r="AC532" s="102"/>
      <c r="AD532" s="102"/>
      <c r="AE532" s="102"/>
      <c r="AF532" s="102"/>
      <c r="AG532" s="102"/>
      <c r="AH532" s="102"/>
      <c r="AI532" s="102"/>
      <c r="AJ532" s="102"/>
      <c r="AK532" s="102"/>
      <c r="AL532" s="102"/>
      <c r="AM532" s="102"/>
      <c r="AN532" s="102"/>
      <c r="AO532" s="102"/>
      <c r="AP532" s="102"/>
      <c r="AQ532" s="102"/>
      <c r="AR532" s="102"/>
      <c r="AS532" s="102"/>
      <c r="AT532" s="102"/>
      <c r="AU532" s="102"/>
      <c r="AV532" s="102"/>
    </row>
    <row r="533" ht="12.75" customHeight="1">
      <c r="C533" s="400"/>
      <c r="D533" s="102"/>
      <c r="I533" s="102"/>
      <c r="J533" s="102"/>
      <c r="K533" s="102"/>
      <c r="L533" s="102"/>
      <c r="M533" s="102"/>
      <c r="N533" s="102"/>
      <c r="O533" s="102"/>
      <c r="P533" s="102"/>
      <c r="Q533" s="102"/>
      <c r="R533" s="102"/>
      <c r="S533" s="102"/>
      <c r="T533" s="102"/>
      <c r="U533" s="102"/>
      <c r="V533" s="102"/>
      <c r="W533" s="102"/>
      <c r="X533" s="102"/>
      <c r="Y533" s="102"/>
      <c r="Z533" s="102"/>
      <c r="AA533" s="102"/>
      <c r="AB533" s="102"/>
      <c r="AC533" s="102"/>
      <c r="AD533" s="102"/>
      <c r="AE533" s="102"/>
      <c r="AF533" s="102"/>
      <c r="AG533" s="102"/>
      <c r="AH533" s="102"/>
      <c r="AI533" s="102"/>
      <c r="AJ533" s="102"/>
      <c r="AK533" s="102"/>
      <c r="AL533" s="102"/>
      <c r="AM533" s="102"/>
      <c r="AN533" s="102"/>
      <c r="AO533" s="102"/>
      <c r="AP533" s="102"/>
      <c r="AQ533" s="102"/>
      <c r="AR533" s="102"/>
      <c r="AS533" s="102"/>
      <c r="AT533" s="102"/>
      <c r="AU533" s="102"/>
      <c r="AV533" s="102"/>
    </row>
    <row r="534" ht="12.75" customHeight="1">
      <c r="C534" s="400"/>
      <c r="D534" s="102"/>
      <c r="I534" s="102"/>
      <c r="J534" s="102"/>
      <c r="K534" s="102"/>
      <c r="L534" s="102"/>
      <c r="M534" s="102"/>
      <c r="N534" s="102"/>
      <c r="O534" s="102"/>
      <c r="P534" s="102"/>
      <c r="Q534" s="102"/>
      <c r="R534" s="102"/>
      <c r="S534" s="102"/>
      <c r="T534" s="102"/>
      <c r="U534" s="102"/>
      <c r="V534" s="102"/>
      <c r="W534" s="102"/>
      <c r="X534" s="102"/>
      <c r="Y534" s="102"/>
      <c r="Z534" s="102"/>
      <c r="AA534" s="102"/>
      <c r="AB534" s="102"/>
      <c r="AC534" s="102"/>
      <c r="AD534" s="102"/>
      <c r="AE534" s="102"/>
      <c r="AF534" s="102"/>
      <c r="AG534" s="102"/>
      <c r="AH534" s="102"/>
      <c r="AI534" s="102"/>
      <c r="AJ534" s="102"/>
      <c r="AK534" s="102"/>
      <c r="AL534" s="102"/>
      <c r="AM534" s="102"/>
      <c r="AN534" s="102"/>
      <c r="AO534" s="102"/>
      <c r="AP534" s="102"/>
      <c r="AQ534" s="102"/>
      <c r="AR534" s="102"/>
      <c r="AS534" s="102"/>
      <c r="AT534" s="102"/>
      <c r="AU534" s="102"/>
      <c r="AV534" s="102"/>
    </row>
    <row r="535" ht="12.75" customHeight="1">
      <c r="C535" s="400"/>
      <c r="D535" s="102"/>
      <c r="I535" s="102"/>
      <c r="J535" s="102"/>
      <c r="K535" s="102"/>
      <c r="L535" s="102"/>
      <c r="M535" s="102"/>
      <c r="N535" s="102"/>
      <c r="O535" s="102"/>
      <c r="P535" s="102"/>
      <c r="Q535" s="102"/>
      <c r="R535" s="102"/>
      <c r="S535" s="102"/>
      <c r="T535" s="102"/>
      <c r="U535" s="102"/>
      <c r="V535" s="102"/>
      <c r="W535" s="102"/>
      <c r="X535" s="102"/>
      <c r="Y535" s="102"/>
      <c r="Z535" s="102"/>
      <c r="AA535" s="102"/>
      <c r="AB535" s="102"/>
      <c r="AC535" s="102"/>
      <c r="AD535" s="102"/>
      <c r="AE535" s="102"/>
      <c r="AF535" s="102"/>
      <c r="AG535" s="102"/>
      <c r="AH535" s="102"/>
      <c r="AI535" s="102"/>
      <c r="AJ535" s="102"/>
      <c r="AK535" s="102"/>
      <c r="AL535" s="102"/>
      <c r="AM535" s="102"/>
      <c r="AN535" s="102"/>
      <c r="AO535" s="102"/>
      <c r="AP535" s="102"/>
      <c r="AQ535" s="102"/>
      <c r="AR535" s="102"/>
      <c r="AS535" s="102"/>
      <c r="AT535" s="102"/>
      <c r="AU535" s="102"/>
      <c r="AV535" s="102"/>
    </row>
    <row r="536" ht="12.75" customHeight="1">
      <c r="C536" s="400"/>
      <c r="D536" s="102"/>
      <c r="I536" s="102"/>
      <c r="J536" s="102"/>
      <c r="K536" s="102"/>
      <c r="L536" s="102"/>
      <c r="M536" s="102"/>
      <c r="N536" s="102"/>
      <c r="O536" s="102"/>
      <c r="P536" s="102"/>
      <c r="Q536" s="102"/>
      <c r="R536" s="102"/>
      <c r="S536" s="102"/>
      <c r="T536" s="102"/>
      <c r="U536" s="102"/>
      <c r="V536" s="102"/>
      <c r="W536" s="102"/>
      <c r="X536" s="102"/>
      <c r="Y536" s="102"/>
      <c r="Z536" s="102"/>
      <c r="AA536" s="102"/>
      <c r="AB536" s="102"/>
      <c r="AC536" s="102"/>
      <c r="AD536" s="102"/>
      <c r="AE536" s="102"/>
      <c r="AF536" s="102"/>
      <c r="AG536" s="102"/>
      <c r="AH536" s="102"/>
      <c r="AI536" s="102"/>
      <c r="AJ536" s="102"/>
      <c r="AK536" s="102"/>
      <c r="AL536" s="102"/>
      <c r="AM536" s="102"/>
      <c r="AN536" s="102"/>
      <c r="AO536" s="102"/>
      <c r="AP536" s="102"/>
      <c r="AQ536" s="102"/>
      <c r="AR536" s="102"/>
      <c r="AS536" s="102"/>
      <c r="AT536" s="102"/>
      <c r="AU536" s="102"/>
      <c r="AV536" s="102"/>
    </row>
    <row r="537" ht="12.75" customHeight="1">
      <c r="C537" s="400"/>
      <c r="D537" s="102"/>
      <c r="I537" s="102"/>
      <c r="J537" s="102"/>
      <c r="K537" s="102"/>
      <c r="L537" s="102"/>
      <c r="M537" s="102"/>
      <c r="N537" s="102"/>
      <c r="O537" s="102"/>
      <c r="P537" s="102"/>
      <c r="Q537" s="102"/>
      <c r="R537" s="102"/>
      <c r="S537" s="102"/>
      <c r="T537" s="102"/>
      <c r="U537" s="102"/>
      <c r="V537" s="102"/>
      <c r="W537" s="102"/>
      <c r="X537" s="102"/>
      <c r="Y537" s="102"/>
      <c r="Z537" s="102"/>
      <c r="AA537" s="102"/>
      <c r="AB537" s="102"/>
      <c r="AC537" s="102"/>
      <c r="AD537" s="102"/>
      <c r="AE537" s="102"/>
      <c r="AF537" s="102"/>
      <c r="AG537" s="102"/>
      <c r="AH537" s="102"/>
      <c r="AI537" s="102"/>
      <c r="AJ537" s="102"/>
      <c r="AK537" s="102"/>
      <c r="AL537" s="102"/>
      <c r="AM537" s="102"/>
      <c r="AN537" s="102"/>
      <c r="AO537" s="102"/>
      <c r="AP537" s="102"/>
      <c r="AQ537" s="102"/>
      <c r="AR537" s="102"/>
      <c r="AS537" s="102"/>
      <c r="AT537" s="102"/>
      <c r="AU537" s="102"/>
      <c r="AV537" s="102"/>
    </row>
    <row r="538" ht="12.75" customHeight="1">
      <c r="C538" s="400"/>
      <c r="D538" s="102"/>
      <c r="I538" s="102"/>
      <c r="J538" s="102"/>
      <c r="K538" s="102"/>
      <c r="L538" s="102"/>
      <c r="M538" s="102"/>
      <c r="N538" s="102"/>
      <c r="O538" s="102"/>
      <c r="P538" s="102"/>
      <c r="Q538" s="102"/>
      <c r="R538" s="102"/>
      <c r="S538" s="102"/>
      <c r="T538" s="102"/>
      <c r="U538" s="102"/>
      <c r="V538" s="102"/>
      <c r="W538" s="102"/>
      <c r="X538" s="102"/>
      <c r="Y538" s="102"/>
      <c r="Z538" s="102"/>
      <c r="AA538" s="102"/>
      <c r="AB538" s="102"/>
      <c r="AC538" s="102"/>
      <c r="AD538" s="102"/>
      <c r="AE538" s="102"/>
      <c r="AF538" s="102"/>
      <c r="AG538" s="102"/>
      <c r="AH538" s="102"/>
      <c r="AI538" s="102"/>
      <c r="AJ538" s="102"/>
      <c r="AK538" s="102"/>
      <c r="AL538" s="102"/>
      <c r="AM538" s="102"/>
      <c r="AN538" s="102"/>
      <c r="AO538" s="102"/>
      <c r="AP538" s="102"/>
      <c r="AQ538" s="102"/>
      <c r="AR538" s="102"/>
      <c r="AS538" s="102"/>
      <c r="AT538" s="102"/>
      <c r="AU538" s="102"/>
      <c r="AV538" s="102"/>
    </row>
    <row r="539" ht="12.75" customHeight="1">
      <c r="C539" s="400"/>
      <c r="D539" s="102"/>
      <c r="I539" s="102"/>
      <c r="J539" s="102"/>
      <c r="K539" s="102"/>
      <c r="L539" s="102"/>
      <c r="M539" s="102"/>
      <c r="N539" s="102"/>
      <c r="O539" s="102"/>
      <c r="P539" s="102"/>
      <c r="Q539" s="102"/>
      <c r="R539" s="102"/>
      <c r="S539" s="102"/>
      <c r="T539" s="102"/>
      <c r="U539" s="102"/>
      <c r="V539" s="102"/>
      <c r="W539" s="102"/>
      <c r="X539" s="102"/>
      <c r="Y539" s="102"/>
      <c r="Z539" s="102"/>
      <c r="AA539" s="102"/>
      <c r="AB539" s="102"/>
      <c r="AC539" s="102"/>
      <c r="AD539" s="102"/>
      <c r="AE539" s="102"/>
      <c r="AF539" s="102"/>
      <c r="AG539" s="102"/>
      <c r="AH539" s="102"/>
      <c r="AI539" s="102"/>
      <c r="AJ539" s="102"/>
      <c r="AK539" s="102"/>
      <c r="AL539" s="102"/>
      <c r="AM539" s="102"/>
      <c r="AN539" s="102"/>
      <c r="AO539" s="102"/>
      <c r="AP539" s="102"/>
      <c r="AQ539" s="102"/>
      <c r="AR539" s="102"/>
      <c r="AS539" s="102"/>
      <c r="AT539" s="102"/>
      <c r="AU539" s="102"/>
      <c r="AV539" s="102"/>
    </row>
    <row r="540" ht="12.75" customHeight="1">
      <c r="C540" s="400"/>
      <c r="D540" s="102"/>
      <c r="I540" s="102"/>
      <c r="J540" s="102"/>
      <c r="K540" s="102"/>
      <c r="L540" s="102"/>
      <c r="M540" s="102"/>
      <c r="N540" s="102"/>
      <c r="O540" s="102"/>
      <c r="P540" s="102"/>
      <c r="Q540" s="102"/>
      <c r="R540" s="102"/>
      <c r="S540" s="102"/>
      <c r="T540" s="102"/>
      <c r="U540" s="102"/>
      <c r="V540" s="102"/>
      <c r="W540" s="102"/>
      <c r="X540" s="102"/>
      <c r="Y540" s="102"/>
      <c r="Z540" s="102"/>
      <c r="AA540" s="102"/>
      <c r="AB540" s="102"/>
      <c r="AC540" s="102"/>
      <c r="AD540" s="102"/>
      <c r="AE540" s="102"/>
      <c r="AF540" s="102"/>
      <c r="AG540" s="102"/>
      <c r="AH540" s="102"/>
      <c r="AI540" s="102"/>
      <c r="AJ540" s="102"/>
      <c r="AK540" s="102"/>
      <c r="AL540" s="102"/>
      <c r="AM540" s="102"/>
      <c r="AN540" s="102"/>
      <c r="AO540" s="102"/>
      <c r="AP540" s="102"/>
      <c r="AQ540" s="102"/>
      <c r="AR540" s="102"/>
      <c r="AS540" s="102"/>
      <c r="AT540" s="102"/>
      <c r="AU540" s="102"/>
      <c r="AV540" s="102"/>
    </row>
    <row r="541" ht="12.75" customHeight="1">
      <c r="C541" s="400"/>
      <c r="D541" s="102"/>
      <c r="I541" s="102"/>
      <c r="J541" s="102"/>
      <c r="K541" s="102"/>
      <c r="L541" s="102"/>
      <c r="M541" s="102"/>
      <c r="N541" s="102"/>
      <c r="O541" s="102"/>
      <c r="P541" s="102"/>
      <c r="Q541" s="102"/>
      <c r="R541" s="102"/>
      <c r="S541" s="102"/>
      <c r="T541" s="102"/>
      <c r="U541" s="102"/>
      <c r="V541" s="102"/>
      <c r="W541" s="102"/>
      <c r="X541" s="102"/>
      <c r="Y541" s="102"/>
      <c r="Z541" s="102"/>
      <c r="AA541" s="102"/>
      <c r="AB541" s="102"/>
      <c r="AC541" s="102"/>
      <c r="AD541" s="102"/>
      <c r="AE541" s="102"/>
      <c r="AF541" s="102"/>
      <c r="AG541" s="102"/>
      <c r="AH541" s="102"/>
      <c r="AI541" s="102"/>
      <c r="AJ541" s="102"/>
      <c r="AK541" s="102"/>
      <c r="AL541" s="102"/>
      <c r="AM541" s="102"/>
      <c r="AN541" s="102"/>
      <c r="AO541" s="102"/>
      <c r="AP541" s="102"/>
      <c r="AQ541" s="102"/>
      <c r="AR541" s="102"/>
      <c r="AS541" s="102"/>
      <c r="AT541" s="102"/>
      <c r="AU541" s="102"/>
      <c r="AV541" s="102"/>
    </row>
    <row r="542" ht="12.75" customHeight="1">
      <c r="C542" s="400"/>
      <c r="D542" s="102"/>
      <c r="I542" s="102"/>
      <c r="J542" s="102"/>
      <c r="K542" s="102"/>
      <c r="L542" s="102"/>
      <c r="M542" s="102"/>
      <c r="N542" s="102"/>
      <c r="O542" s="102"/>
      <c r="P542" s="102"/>
      <c r="Q542" s="102"/>
      <c r="R542" s="102"/>
      <c r="S542" s="102"/>
      <c r="T542" s="102"/>
      <c r="U542" s="102"/>
      <c r="V542" s="102"/>
      <c r="W542" s="102"/>
      <c r="X542" s="102"/>
      <c r="Y542" s="102"/>
      <c r="Z542" s="102"/>
      <c r="AA542" s="102"/>
      <c r="AB542" s="102"/>
      <c r="AC542" s="102"/>
      <c r="AD542" s="102"/>
      <c r="AE542" s="102"/>
      <c r="AF542" s="102"/>
      <c r="AG542" s="102"/>
      <c r="AH542" s="102"/>
      <c r="AI542" s="102"/>
      <c r="AJ542" s="102"/>
      <c r="AK542" s="102"/>
      <c r="AL542" s="102"/>
      <c r="AM542" s="102"/>
      <c r="AN542" s="102"/>
      <c r="AO542" s="102"/>
      <c r="AP542" s="102"/>
      <c r="AQ542" s="102"/>
      <c r="AR542" s="102"/>
      <c r="AS542" s="102"/>
      <c r="AT542" s="102"/>
      <c r="AU542" s="102"/>
      <c r="AV542" s="102"/>
    </row>
    <row r="543" ht="12.75" customHeight="1">
      <c r="C543" s="400"/>
      <c r="D543" s="102"/>
      <c r="I543" s="102"/>
      <c r="J543" s="102"/>
      <c r="K543" s="102"/>
      <c r="L543" s="102"/>
      <c r="M543" s="102"/>
      <c r="N543" s="102"/>
      <c r="O543" s="102"/>
      <c r="P543" s="102"/>
      <c r="Q543" s="102"/>
      <c r="R543" s="102"/>
      <c r="S543" s="102"/>
      <c r="T543" s="102"/>
      <c r="U543" s="102"/>
      <c r="V543" s="102"/>
      <c r="W543" s="102"/>
      <c r="X543" s="102"/>
      <c r="Y543" s="102"/>
      <c r="Z543" s="102"/>
      <c r="AA543" s="102"/>
      <c r="AB543" s="102"/>
      <c r="AC543" s="102"/>
      <c r="AD543" s="102"/>
      <c r="AE543" s="102"/>
      <c r="AF543" s="102"/>
      <c r="AG543" s="102"/>
      <c r="AH543" s="102"/>
      <c r="AI543" s="102"/>
      <c r="AJ543" s="102"/>
      <c r="AK543" s="102"/>
      <c r="AL543" s="102"/>
      <c r="AM543" s="102"/>
      <c r="AN543" s="102"/>
      <c r="AO543" s="102"/>
      <c r="AP543" s="102"/>
      <c r="AQ543" s="102"/>
      <c r="AR543" s="102"/>
      <c r="AS543" s="102"/>
      <c r="AT543" s="102"/>
      <c r="AU543" s="102"/>
      <c r="AV543" s="102"/>
    </row>
    <row r="544" ht="12.75" customHeight="1">
      <c r="C544" s="400"/>
      <c r="D544" s="102"/>
      <c r="I544" s="102"/>
      <c r="J544" s="102"/>
      <c r="K544" s="102"/>
      <c r="L544" s="102"/>
      <c r="M544" s="102"/>
      <c r="N544" s="102"/>
      <c r="O544" s="102"/>
      <c r="P544" s="102"/>
      <c r="Q544" s="102"/>
      <c r="R544" s="102"/>
      <c r="S544" s="102"/>
      <c r="T544" s="102"/>
      <c r="U544" s="102"/>
      <c r="V544" s="102"/>
      <c r="W544" s="102"/>
      <c r="X544" s="102"/>
      <c r="Y544" s="102"/>
      <c r="Z544" s="102"/>
      <c r="AA544" s="102"/>
      <c r="AB544" s="102"/>
      <c r="AC544" s="102"/>
      <c r="AD544" s="102"/>
      <c r="AE544" s="102"/>
      <c r="AF544" s="102"/>
      <c r="AG544" s="102"/>
      <c r="AH544" s="102"/>
      <c r="AI544" s="102"/>
      <c r="AJ544" s="102"/>
      <c r="AK544" s="102"/>
      <c r="AL544" s="102"/>
      <c r="AM544" s="102"/>
      <c r="AN544" s="102"/>
      <c r="AO544" s="102"/>
      <c r="AP544" s="102"/>
      <c r="AQ544" s="102"/>
      <c r="AR544" s="102"/>
      <c r="AS544" s="102"/>
      <c r="AT544" s="102"/>
      <c r="AU544" s="102"/>
      <c r="AV544" s="102"/>
    </row>
    <row r="545" ht="12.75" customHeight="1">
      <c r="C545" s="400"/>
      <c r="D545" s="102"/>
      <c r="I545" s="102"/>
      <c r="J545" s="102"/>
      <c r="K545" s="102"/>
      <c r="L545" s="102"/>
      <c r="M545" s="102"/>
      <c r="N545" s="102"/>
      <c r="O545" s="102"/>
      <c r="P545" s="102"/>
      <c r="Q545" s="102"/>
      <c r="R545" s="102"/>
      <c r="S545" s="102"/>
      <c r="T545" s="102"/>
      <c r="U545" s="102"/>
      <c r="V545" s="102"/>
      <c r="W545" s="102"/>
      <c r="X545" s="102"/>
      <c r="Y545" s="102"/>
      <c r="Z545" s="102"/>
      <c r="AA545" s="102"/>
      <c r="AB545" s="102"/>
      <c r="AC545" s="102"/>
      <c r="AD545" s="102"/>
      <c r="AE545" s="102"/>
      <c r="AF545" s="102"/>
      <c r="AG545" s="102"/>
      <c r="AH545" s="102"/>
      <c r="AI545" s="102"/>
      <c r="AJ545" s="102"/>
      <c r="AK545" s="102"/>
      <c r="AL545" s="102"/>
      <c r="AM545" s="102"/>
      <c r="AN545" s="102"/>
      <c r="AO545" s="102"/>
      <c r="AP545" s="102"/>
      <c r="AQ545" s="102"/>
      <c r="AR545" s="102"/>
      <c r="AS545" s="102"/>
      <c r="AT545" s="102"/>
      <c r="AU545" s="102"/>
      <c r="AV545" s="102"/>
    </row>
    <row r="546" ht="12.75" customHeight="1">
      <c r="C546" s="400"/>
      <c r="D546" s="102"/>
      <c r="I546" s="102"/>
      <c r="J546" s="102"/>
      <c r="K546" s="102"/>
      <c r="L546" s="102"/>
      <c r="M546" s="102"/>
      <c r="N546" s="102"/>
      <c r="O546" s="102"/>
      <c r="P546" s="102"/>
      <c r="Q546" s="102"/>
      <c r="R546" s="102"/>
      <c r="S546" s="102"/>
      <c r="T546" s="102"/>
      <c r="U546" s="102"/>
      <c r="V546" s="102"/>
      <c r="W546" s="102"/>
      <c r="X546" s="102"/>
      <c r="Y546" s="102"/>
      <c r="Z546" s="102"/>
      <c r="AA546" s="102"/>
      <c r="AB546" s="102"/>
      <c r="AC546" s="102"/>
      <c r="AD546" s="102"/>
      <c r="AE546" s="102"/>
      <c r="AF546" s="102"/>
      <c r="AG546" s="102"/>
      <c r="AH546" s="102"/>
      <c r="AI546" s="102"/>
      <c r="AJ546" s="102"/>
      <c r="AK546" s="102"/>
      <c r="AL546" s="102"/>
      <c r="AM546" s="102"/>
      <c r="AN546" s="102"/>
      <c r="AO546" s="102"/>
      <c r="AP546" s="102"/>
      <c r="AQ546" s="102"/>
      <c r="AR546" s="102"/>
      <c r="AS546" s="102"/>
      <c r="AT546" s="102"/>
      <c r="AU546" s="102"/>
      <c r="AV546" s="102"/>
    </row>
    <row r="547" ht="12.75" customHeight="1">
      <c r="C547" s="400"/>
      <c r="D547" s="102"/>
      <c r="I547" s="102"/>
      <c r="J547" s="102"/>
      <c r="K547" s="102"/>
      <c r="L547" s="102"/>
      <c r="M547" s="102"/>
      <c r="N547" s="102"/>
      <c r="O547" s="102"/>
      <c r="P547" s="102"/>
      <c r="Q547" s="102"/>
      <c r="R547" s="102"/>
      <c r="S547" s="102"/>
      <c r="T547" s="102"/>
      <c r="U547" s="102"/>
      <c r="V547" s="102"/>
      <c r="W547" s="102"/>
      <c r="X547" s="102"/>
      <c r="Y547" s="102"/>
      <c r="Z547" s="102"/>
      <c r="AA547" s="102"/>
      <c r="AB547" s="102"/>
      <c r="AC547" s="102"/>
      <c r="AD547" s="102"/>
      <c r="AE547" s="102"/>
      <c r="AF547" s="102"/>
      <c r="AG547" s="102"/>
      <c r="AH547" s="102"/>
      <c r="AI547" s="102"/>
      <c r="AJ547" s="102"/>
      <c r="AK547" s="102"/>
      <c r="AL547" s="102"/>
      <c r="AM547" s="102"/>
      <c r="AN547" s="102"/>
      <c r="AO547" s="102"/>
      <c r="AP547" s="102"/>
      <c r="AQ547" s="102"/>
      <c r="AR547" s="102"/>
      <c r="AS547" s="102"/>
      <c r="AT547" s="102"/>
      <c r="AU547" s="102"/>
      <c r="AV547" s="102"/>
    </row>
    <row r="548" ht="12.75" customHeight="1">
      <c r="C548" s="400"/>
      <c r="D548" s="102"/>
      <c r="I548" s="102"/>
      <c r="J548" s="102"/>
      <c r="K548" s="102"/>
      <c r="L548" s="102"/>
      <c r="M548" s="102"/>
      <c r="N548" s="102"/>
      <c r="O548" s="102"/>
      <c r="P548" s="102"/>
      <c r="Q548" s="102"/>
      <c r="R548" s="102"/>
      <c r="S548" s="102"/>
      <c r="T548" s="102"/>
      <c r="U548" s="102"/>
      <c r="V548" s="102"/>
      <c r="W548" s="102"/>
      <c r="X548" s="102"/>
      <c r="Y548" s="102"/>
      <c r="Z548" s="102"/>
      <c r="AA548" s="102"/>
      <c r="AB548" s="102"/>
      <c r="AC548" s="102"/>
      <c r="AD548" s="102"/>
      <c r="AE548" s="102"/>
      <c r="AF548" s="102"/>
      <c r="AG548" s="102"/>
      <c r="AH548" s="102"/>
      <c r="AI548" s="102"/>
      <c r="AJ548" s="102"/>
      <c r="AK548" s="102"/>
      <c r="AL548" s="102"/>
      <c r="AM548" s="102"/>
      <c r="AN548" s="102"/>
      <c r="AO548" s="102"/>
      <c r="AP548" s="102"/>
      <c r="AQ548" s="102"/>
      <c r="AR548" s="102"/>
      <c r="AS548" s="102"/>
      <c r="AT548" s="102"/>
      <c r="AU548" s="102"/>
      <c r="AV548" s="102"/>
    </row>
    <row r="549" ht="12.75" customHeight="1">
      <c r="C549" s="400"/>
      <c r="D549" s="102"/>
      <c r="I549" s="102"/>
      <c r="J549" s="102"/>
      <c r="K549" s="102"/>
      <c r="L549" s="102"/>
      <c r="M549" s="102"/>
      <c r="N549" s="102"/>
      <c r="O549" s="102"/>
      <c r="P549" s="102"/>
      <c r="Q549" s="102"/>
      <c r="R549" s="102"/>
      <c r="S549" s="102"/>
      <c r="T549" s="102"/>
      <c r="U549" s="102"/>
      <c r="V549" s="102"/>
      <c r="W549" s="102"/>
      <c r="X549" s="102"/>
      <c r="Y549" s="102"/>
      <c r="Z549" s="102"/>
      <c r="AA549" s="102"/>
      <c r="AB549" s="102"/>
      <c r="AC549" s="102"/>
      <c r="AD549" s="102"/>
      <c r="AE549" s="102"/>
      <c r="AF549" s="102"/>
      <c r="AG549" s="102"/>
      <c r="AH549" s="102"/>
      <c r="AI549" s="102"/>
      <c r="AJ549" s="102"/>
      <c r="AK549" s="102"/>
      <c r="AL549" s="102"/>
      <c r="AM549" s="102"/>
      <c r="AN549" s="102"/>
      <c r="AO549" s="102"/>
      <c r="AP549" s="102"/>
      <c r="AQ549" s="102"/>
      <c r="AR549" s="102"/>
      <c r="AS549" s="102"/>
      <c r="AT549" s="102"/>
      <c r="AU549" s="102"/>
      <c r="AV549" s="102"/>
    </row>
    <row r="550" ht="12.75" customHeight="1">
      <c r="C550" s="400"/>
      <c r="D550" s="102"/>
      <c r="I550" s="102"/>
      <c r="J550" s="102"/>
      <c r="K550" s="102"/>
      <c r="L550" s="102"/>
      <c r="M550" s="102"/>
      <c r="N550" s="102"/>
      <c r="O550" s="102"/>
      <c r="P550" s="102"/>
      <c r="Q550" s="102"/>
      <c r="R550" s="102"/>
      <c r="S550" s="102"/>
      <c r="T550" s="102"/>
      <c r="U550" s="102"/>
      <c r="V550" s="102"/>
      <c r="W550" s="102"/>
      <c r="X550" s="102"/>
      <c r="Y550" s="102"/>
      <c r="Z550" s="102"/>
      <c r="AA550" s="102"/>
      <c r="AB550" s="102"/>
      <c r="AC550" s="102"/>
      <c r="AD550" s="102"/>
      <c r="AE550" s="102"/>
      <c r="AF550" s="102"/>
      <c r="AG550" s="102"/>
      <c r="AH550" s="102"/>
      <c r="AI550" s="102"/>
      <c r="AJ550" s="102"/>
      <c r="AK550" s="102"/>
      <c r="AL550" s="102"/>
      <c r="AM550" s="102"/>
      <c r="AN550" s="102"/>
      <c r="AO550" s="102"/>
      <c r="AP550" s="102"/>
      <c r="AQ550" s="102"/>
      <c r="AR550" s="102"/>
      <c r="AS550" s="102"/>
      <c r="AT550" s="102"/>
      <c r="AU550" s="102"/>
      <c r="AV550" s="102"/>
    </row>
    <row r="551" ht="12.75" customHeight="1">
      <c r="C551" s="400"/>
      <c r="D551" s="102"/>
      <c r="I551" s="102"/>
      <c r="J551" s="102"/>
      <c r="K551" s="102"/>
      <c r="L551" s="102"/>
      <c r="M551" s="102"/>
      <c r="N551" s="102"/>
      <c r="O551" s="102"/>
      <c r="P551" s="102"/>
      <c r="Q551" s="102"/>
      <c r="R551" s="102"/>
      <c r="S551" s="102"/>
      <c r="T551" s="102"/>
      <c r="U551" s="102"/>
      <c r="V551" s="102"/>
      <c r="W551" s="102"/>
      <c r="X551" s="102"/>
      <c r="Y551" s="102"/>
      <c r="Z551" s="102"/>
      <c r="AA551" s="102"/>
      <c r="AB551" s="102"/>
      <c r="AC551" s="102"/>
      <c r="AD551" s="102"/>
      <c r="AE551" s="102"/>
      <c r="AF551" s="102"/>
      <c r="AG551" s="102"/>
      <c r="AH551" s="102"/>
      <c r="AI551" s="102"/>
      <c r="AJ551" s="102"/>
      <c r="AK551" s="102"/>
      <c r="AL551" s="102"/>
      <c r="AM551" s="102"/>
      <c r="AN551" s="102"/>
      <c r="AO551" s="102"/>
      <c r="AP551" s="102"/>
      <c r="AQ551" s="102"/>
      <c r="AR551" s="102"/>
      <c r="AS551" s="102"/>
      <c r="AT551" s="102"/>
      <c r="AU551" s="102"/>
      <c r="AV551" s="102"/>
    </row>
    <row r="552" ht="12.75" customHeight="1">
      <c r="C552" s="400"/>
      <c r="D552" s="102"/>
      <c r="I552" s="102"/>
      <c r="J552" s="102"/>
      <c r="K552" s="102"/>
      <c r="L552" s="102"/>
      <c r="M552" s="102"/>
      <c r="N552" s="102"/>
      <c r="O552" s="102"/>
      <c r="P552" s="102"/>
      <c r="Q552" s="102"/>
      <c r="R552" s="102"/>
      <c r="S552" s="102"/>
      <c r="T552" s="102"/>
      <c r="U552" s="102"/>
      <c r="V552" s="102"/>
      <c r="W552" s="102"/>
      <c r="X552" s="102"/>
      <c r="Y552" s="102"/>
      <c r="Z552" s="102"/>
      <c r="AA552" s="102"/>
      <c r="AB552" s="102"/>
      <c r="AC552" s="102"/>
      <c r="AD552" s="102"/>
      <c r="AE552" s="102"/>
      <c r="AF552" s="102"/>
      <c r="AG552" s="102"/>
      <c r="AH552" s="102"/>
      <c r="AI552" s="102"/>
      <c r="AJ552" s="102"/>
      <c r="AK552" s="102"/>
      <c r="AL552" s="102"/>
      <c r="AM552" s="102"/>
      <c r="AN552" s="102"/>
      <c r="AO552" s="102"/>
      <c r="AP552" s="102"/>
      <c r="AQ552" s="102"/>
      <c r="AR552" s="102"/>
      <c r="AS552" s="102"/>
      <c r="AT552" s="102"/>
      <c r="AU552" s="102"/>
      <c r="AV552" s="102"/>
    </row>
    <row r="553" ht="12.75" customHeight="1">
      <c r="C553" s="400"/>
      <c r="D553" s="102"/>
      <c r="I553" s="102"/>
      <c r="J553" s="102"/>
      <c r="K553" s="102"/>
      <c r="L553" s="102"/>
      <c r="M553" s="102"/>
      <c r="N553" s="102"/>
      <c r="O553" s="102"/>
      <c r="P553" s="102"/>
      <c r="Q553" s="102"/>
      <c r="R553" s="102"/>
      <c r="S553" s="102"/>
      <c r="T553" s="102"/>
      <c r="U553" s="102"/>
      <c r="V553" s="102"/>
      <c r="W553" s="102"/>
      <c r="X553" s="102"/>
      <c r="Y553" s="102"/>
      <c r="Z553" s="102"/>
      <c r="AA553" s="102"/>
      <c r="AB553" s="102"/>
      <c r="AC553" s="102"/>
      <c r="AD553" s="102"/>
      <c r="AE553" s="102"/>
      <c r="AF553" s="102"/>
      <c r="AG553" s="102"/>
      <c r="AH553" s="102"/>
      <c r="AI553" s="102"/>
      <c r="AJ553" s="102"/>
      <c r="AK553" s="102"/>
      <c r="AL553" s="102"/>
      <c r="AM553" s="102"/>
      <c r="AN553" s="102"/>
      <c r="AO553" s="102"/>
      <c r="AP553" s="102"/>
      <c r="AQ553" s="102"/>
      <c r="AR553" s="102"/>
      <c r="AS553" s="102"/>
      <c r="AT553" s="102"/>
      <c r="AU553" s="102"/>
      <c r="AV553" s="102"/>
    </row>
    <row r="554" ht="12.75" customHeight="1">
      <c r="C554" s="400"/>
      <c r="D554" s="102"/>
      <c r="I554" s="102"/>
      <c r="J554" s="102"/>
      <c r="K554" s="102"/>
      <c r="L554" s="102"/>
      <c r="M554" s="102"/>
      <c r="N554" s="102"/>
      <c r="O554" s="102"/>
      <c r="P554" s="102"/>
      <c r="Q554" s="102"/>
      <c r="R554" s="102"/>
      <c r="S554" s="102"/>
      <c r="T554" s="102"/>
      <c r="U554" s="102"/>
      <c r="V554" s="102"/>
      <c r="W554" s="102"/>
      <c r="X554" s="102"/>
      <c r="Y554" s="102"/>
      <c r="Z554" s="102"/>
      <c r="AA554" s="102"/>
      <c r="AB554" s="102"/>
      <c r="AC554" s="102"/>
      <c r="AD554" s="102"/>
      <c r="AE554" s="102"/>
      <c r="AF554" s="102"/>
      <c r="AG554" s="102"/>
      <c r="AH554" s="102"/>
      <c r="AI554" s="102"/>
      <c r="AJ554" s="102"/>
      <c r="AK554" s="102"/>
      <c r="AL554" s="102"/>
      <c r="AM554" s="102"/>
      <c r="AN554" s="102"/>
      <c r="AO554" s="102"/>
      <c r="AP554" s="102"/>
      <c r="AQ554" s="102"/>
      <c r="AR554" s="102"/>
      <c r="AS554" s="102"/>
      <c r="AT554" s="102"/>
      <c r="AU554" s="102"/>
      <c r="AV554" s="102"/>
    </row>
    <row r="555" ht="12.75" customHeight="1">
      <c r="C555" s="400"/>
      <c r="D555" s="102"/>
      <c r="I555" s="102"/>
      <c r="J555" s="102"/>
      <c r="K555" s="102"/>
      <c r="L555" s="102"/>
      <c r="M555" s="102"/>
      <c r="N555" s="102"/>
      <c r="O555" s="102"/>
      <c r="P555" s="102"/>
      <c r="Q555" s="102"/>
      <c r="R555" s="102"/>
      <c r="S555" s="102"/>
      <c r="T555" s="102"/>
      <c r="U555" s="102"/>
      <c r="V555" s="102"/>
      <c r="W555" s="102"/>
      <c r="X555" s="102"/>
      <c r="Y555" s="102"/>
      <c r="Z555" s="102"/>
      <c r="AA555" s="102"/>
      <c r="AB555" s="102"/>
      <c r="AC555" s="102"/>
      <c r="AD555" s="102"/>
      <c r="AE555" s="102"/>
      <c r="AF555" s="102"/>
      <c r="AG555" s="102"/>
      <c r="AH555" s="102"/>
      <c r="AI555" s="102"/>
      <c r="AJ555" s="102"/>
      <c r="AK555" s="102"/>
      <c r="AL555" s="102"/>
      <c r="AM555" s="102"/>
      <c r="AN555" s="102"/>
      <c r="AO555" s="102"/>
      <c r="AP555" s="102"/>
      <c r="AQ555" s="102"/>
      <c r="AR555" s="102"/>
      <c r="AS555" s="102"/>
      <c r="AT555" s="102"/>
      <c r="AU555" s="102"/>
      <c r="AV555" s="102"/>
    </row>
    <row r="556" ht="12.75" customHeight="1">
      <c r="C556" s="400"/>
      <c r="D556" s="102"/>
      <c r="I556" s="102"/>
      <c r="J556" s="102"/>
      <c r="K556" s="102"/>
      <c r="L556" s="102"/>
      <c r="M556" s="102"/>
      <c r="N556" s="102"/>
      <c r="O556" s="102"/>
      <c r="P556" s="102"/>
      <c r="Q556" s="102"/>
      <c r="R556" s="102"/>
      <c r="S556" s="102"/>
      <c r="T556" s="102"/>
      <c r="U556" s="102"/>
      <c r="V556" s="102"/>
      <c r="W556" s="102"/>
      <c r="X556" s="102"/>
      <c r="Y556" s="102"/>
      <c r="Z556" s="102"/>
      <c r="AA556" s="102"/>
      <c r="AB556" s="102"/>
      <c r="AC556" s="102"/>
      <c r="AD556" s="102"/>
      <c r="AE556" s="102"/>
      <c r="AF556" s="102"/>
      <c r="AG556" s="102"/>
      <c r="AH556" s="102"/>
      <c r="AI556" s="102"/>
      <c r="AJ556" s="102"/>
      <c r="AK556" s="102"/>
      <c r="AL556" s="102"/>
      <c r="AM556" s="102"/>
      <c r="AN556" s="102"/>
      <c r="AO556" s="102"/>
      <c r="AP556" s="102"/>
      <c r="AQ556" s="102"/>
      <c r="AR556" s="102"/>
      <c r="AS556" s="102"/>
      <c r="AT556" s="102"/>
      <c r="AU556" s="102"/>
      <c r="AV556" s="102"/>
    </row>
    <row r="557" ht="12.75" customHeight="1">
      <c r="C557" s="400"/>
      <c r="D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c r="AG557" s="102"/>
      <c r="AH557" s="102"/>
      <c r="AI557" s="102"/>
      <c r="AJ557" s="102"/>
      <c r="AK557" s="102"/>
      <c r="AL557" s="102"/>
      <c r="AM557" s="102"/>
      <c r="AN557" s="102"/>
      <c r="AO557" s="102"/>
      <c r="AP557" s="102"/>
      <c r="AQ557" s="102"/>
      <c r="AR557" s="102"/>
      <c r="AS557" s="102"/>
      <c r="AT557" s="102"/>
      <c r="AU557" s="102"/>
      <c r="AV557" s="102"/>
    </row>
    <row r="558" ht="12.75" customHeight="1">
      <c r="C558" s="400"/>
      <c r="D558" s="102"/>
      <c r="I558" s="102"/>
      <c r="J558" s="102"/>
      <c r="K558" s="102"/>
      <c r="L558" s="102"/>
      <c r="M558" s="102"/>
      <c r="N558" s="102"/>
      <c r="O558" s="102"/>
      <c r="P558" s="102"/>
      <c r="Q558" s="102"/>
      <c r="R558" s="102"/>
      <c r="S558" s="102"/>
      <c r="T558" s="102"/>
      <c r="U558" s="102"/>
      <c r="V558" s="102"/>
      <c r="W558" s="102"/>
      <c r="X558" s="102"/>
      <c r="Y558" s="102"/>
      <c r="Z558" s="102"/>
      <c r="AA558" s="102"/>
      <c r="AB558" s="102"/>
      <c r="AC558" s="102"/>
      <c r="AD558" s="102"/>
      <c r="AE558" s="102"/>
      <c r="AF558" s="102"/>
      <c r="AG558" s="102"/>
      <c r="AH558" s="102"/>
      <c r="AI558" s="102"/>
      <c r="AJ558" s="102"/>
      <c r="AK558" s="102"/>
      <c r="AL558" s="102"/>
      <c r="AM558" s="102"/>
      <c r="AN558" s="102"/>
      <c r="AO558" s="102"/>
      <c r="AP558" s="102"/>
      <c r="AQ558" s="102"/>
      <c r="AR558" s="102"/>
      <c r="AS558" s="102"/>
      <c r="AT558" s="102"/>
      <c r="AU558" s="102"/>
      <c r="AV558" s="102"/>
    </row>
    <row r="559" ht="12.75" customHeight="1">
      <c r="C559" s="400"/>
      <c r="D559" s="102"/>
      <c r="I559" s="102"/>
      <c r="J559" s="102"/>
      <c r="K559" s="102"/>
      <c r="L559" s="102"/>
      <c r="M559" s="102"/>
      <c r="N559" s="102"/>
      <c r="O559" s="102"/>
      <c r="P559" s="102"/>
      <c r="Q559" s="102"/>
      <c r="R559" s="102"/>
      <c r="S559" s="102"/>
      <c r="T559" s="102"/>
      <c r="U559" s="102"/>
      <c r="V559" s="102"/>
      <c r="W559" s="102"/>
      <c r="X559" s="102"/>
      <c r="Y559" s="102"/>
      <c r="Z559" s="102"/>
      <c r="AA559" s="102"/>
      <c r="AB559" s="102"/>
      <c r="AC559" s="102"/>
      <c r="AD559" s="102"/>
      <c r="AE559" s="102"/>
      <c r="AF559" s="102"/>
      <c r="AG559" s="102"/>
      <c r="AH559" s="102"/>
      <c r="AI559" s="102"/>
      <c r="AJ559" s="102"/>
      <c r="AK559" s="102"/>
      <c r="AL559" s="102"/>
      <c r="AM559" s="102"/>
      <c r="AN559" s="102"/>
      <c r="AO559" s="102"/>
      <c r="AP559" s="102"/>
      <c r="AQ559" s="102"/>
      <c r="AR559" s="102"/>
      <c r="AS559" s="102"/>
      <c r="AT559" s="102"/>
      <c r="AU559" s="102"/>
      <c r="AV559" s="102"/>
    </row>
    <row r="560" ht="12.75" customHeight="1">
      <c r="C560" s="400"/>
      <c r="D560" s="102"/>
      <c r="I560" s="102"/>
      <c r="J560" s="102"/>
      <c r="K560" s="102"/>
      <c r="L560" s="102"/>
      <c r="M560" s="102"/>
      <c r="N560" s="102"/>
      <c r="O560" s="102"/>
      <c r="P560" s="102"/>
      <c r="Q560" s="102"/>
      <c r="R560" s="102"/>
      <c r="S560" s="102"/>
      <c r="T560" s="102"/>
      <c r="U560" s="102"/>
      <c r="V560" s="102"/>
      <c r="W560" s="102"/>
      <c r="X560" s="102"/>
      <c r="Y560" s="102"/>
      <c r="Z560" s="102"/>
      <c r="AA560" s="102"/>
      <c r="AB560" s="102"/>
      <c r="AC560" s="102"/>
      <c r="AD560" s="102"/>
      <c r="AE560" s="102"/>
      <c r="AF560" s="102"/>
      <c r="AG560" s="102"/>
      <c r="AH560" s="102"/>
      <c r="AI560" s="102"/>
      <c r="AJ560" s="102"/>
      <c r="AK560" s="102"/>
      <c r="AL560" s="102"/>
      <c r="AM560" s="102"/>
      <c r="AN560" s="102"/>
      <c r="AO560" s="102"/>
      <c r="AP560" s="102"/>
      <c r="AQ560" s="102"/>
      <c r="AR560" s="102"/>
      <c r="AS560" s="102"/>
      <c r="AT560" s="102"/>
      <c r="AU560" s="102"/>
      <c r="AV560" s="102"/>
    </row>
    <row r="561" ht="12.75" customHeight="1">
      <c r="C561" s="400"/>
      <c r="D561" s="102"/>
      <c r="I561" s="102"/>
      <c r="J561" s="102"/>
      <c r="K561" s="102"/>
      <c r="L561" s="102"/>
      <c r="M561" s="102"/>
      <c r="N561" s="102"/>
      <c r="O561" s="102"/>
      <c r="P561" s="102"/>
      <c r="Q561" s="102"/>
      <c r="R561" s="102"/>
      <c r="S561" s="102"/>
      <c r="T561" s="102"/>
      <c r="U561" s="102"/>
      <c r="V561" s="102"/>
      <c r="W561" s="102"/>
      <c r="X561" s="102"/>
      <c r="Y561" s="102"/>
      <c r="Z561" s="102"/>
      <c r="AA561" s="102"/>
      <c r="AB561" s="102"/>
      <c r="AC561" s="102"/>
      <c r="AD561" s="102"/>
      <c r="AE561" s="102"/>
      <c r="AF561" s="102"/>
      <c r="AG561" s="102"/>
      <c r="AH561" s="102"/>
      <c r="AI561" s="102"/>
      <c r="AJ561" s="102"/>
      <c r="AK561" s="102"/>
      <c r="AL561" s="102"/>
      <c r="AM561" s="102"/>
      <c r="AN561" s="102"/>
      <c r="AO561" s="102"/>
      <c r="AP561" s="102"/>
      <c r="AQ561" s="102"/>
      <c r="AR561" s="102"/>
      <c r="AS561" s="102"/>
      <c r="AT561" s="102"/>
      <c r="AU561" s="102"/>
      <c r="AV561" s="102"/>
    </row>
    <row r="562" ht="12.75" customHeight="1">
      <c r="C562" s="400"/>
      <c r="D562" s="102"/>
      <c r="I562" s="102"/>
      <c r="J562" s="102"/>
      <c r="K562" s="102"/>
      <c r="L562" s="102"/>
      <c r="M562" s="102"/>
      <c r="N562" s="102"/>
      <c r="O562" s="102"/>
      <c r="P562" s="102"/>
      <c r="Q562" s="102"/>
      <c r="R562" s="102"/>
      <c r="S562" s="102"/>
      <c r="T562" s="102"/>
      <c r="U562" s="102"/>
      <c r="V562" s="102"/>
      <c r="W562" s="102"/>
      <c r="X562" s="102"/>
      <c r="Y562" s="102"/>
      <c r="Z562" s="102"/>
      <c r="AA562" s="102"/>
      <c r="AB562" s="102"/>
      <c r="AC562" s="102"/>
      <c r="AD562" s="102"/>
      <c r="AE562" s="102"/>
      <c r="AF562" s="102"/>
      <c r="AG562" s="102"/>
      <c r="AH562" s="102"/>
      <c r="AI562" s="102"/>
      <c r="AJ562" s="102"/>
      <c r="AK562" s="102"/>
      <c r="AL562" s="102"/>
      <c r="AM562" s="102"/>
      <c r="AN562" s="102"/>
      <c r="AO562" s="102"/>
      <c r="AP562" s="102"/>
      <c r="AQ562" s="102"/>
      <c r="AR562" s="102"/>
      <c r="AS562" s="102"/>
      <c r="AT562" s="102"/>
      <c r="AU562" s="102"/>
      <c r="AV562" s="102"/>
    </row>
    <row r="563" ht="12.75" customHeight="1">
      <c r="C563" s="400"/>
      <c r="D563" s="102"/>
      <c r="I563" s="102"/>
      <c r="J563" s="102"/>
      <c r="K563" s="102"/>
      <c r="L563" s="102"/>
      <c r="M563" s="102"/>
      <c r="N563" s="102"/>
      <c r="O563" s="102"/>
      <c r="P563" s="102"/>
      <c r="Q563" s="102"/>
      <c r="R563" s="102"/>
      <c r="S563" s="102"/>
      <c r="T563" s="102"/>
      <c r="U563" s="102"/>
      <c r="V563" s="102"/>
      <c r="W563" s="102"/>
      <c r="X563" s="102"/>
      <c r="Y563" s="102"/>
      <c r="Z563" s="102"/>
      <c r="AA563" s="102"/>
      <c r="AB563" s="102"/>
      <c r="AC563" s="102"/>
      <c r="AD563" s="102"/>
      <c r="AE563" s="102"/>
      <c r="AF563" s="102"/>
      <c r="AG563" s="102"/>
      <c r="AH563" s="102"/>
      <c r="AI563" s="102"/>
      <c r="AJ563" s="102"/>
      <c r="AK563" s="102"/>
      <c r="AL563" s="102"/>
      <c r="AM563" s="102"/>
      <c r="AN563" s="102"/>
      <c r="AO563" s="102"/>
      <c r="AP563" s="102"/>
      <c r="AQ563" s="102"/>
      <c r="AR563" s="102"/>
      <c r="AS563" s="102"/>
      <c r="AT563" s="102"/>
      <c r="AU563" s="102"/>
      <c r="AV563" s="102"/>
    </row>
    <row r="564" ht="12.75" customHeight="1">
      <c r="C564" s="400"/>
      <c r="D564" s="102"/>
      <c r="I564" s="102"/>
      <c r="J564" s="102"/>
      <c r="K564" s="102"/>
      <c r="L564" s="102"/>
      <c r="M564" s="102"/>
      <c r="N564" s="102"/>
      <c r="O564" s="102"/>
      <c r="P564" s="102"/>
      <c r="Q564" s="102"/>
      <c r="R564" s="102"/>
      <c r="S564" s="102"/>
      <c r="T564" s="102"/>
      <c r="U564" s="102"/>
      <c r="V564" s="102"/>
      <c r="W564" s="102"/>
      <c r="X564" s="102"/>
      <c r="Y564" s="102"/>
      <c r="Z564" s="102"/>
      <c r="AA564" s="102"/>
      <c r="AB564" s="102"/>
      <c r="AC564" s="102"/>
      <c r="AD564" s="102"/>
      <c r="AE564" s="102"/>
      <c r="AF564" s="102"/>
      <c r="AG564" s="102"/>
      <c r="AH564" s="102"/>
      <c r="AI564" s="102"/>
      <c r="AJ564" s="102"/>
      <c r="AK564" s="102"/>
      <c r="AL564" s="102"/>
      <c r="AM564" s="102"/>
      <c r="AN564" s="102"/>
      <c r="AO564" s="102"/>
      <c r="AP564" s="102"/>
      <c r="AQ564" s="102"/>
      <c r="AR564" s="102"/>
      <c r="AS564" s="102"/>
      <c r="AT564" s="102"/>
      <c r="AU564" s="102"/>
      <c r="AV564" s="102"/>
    </row>
    <row r="565" ht="12.75" customHeight="1">
      <c r="C565" s="400"/>
      <c r="D565" s="102"/>
      <c r="I565" s="102"/>
      <c r="J565" s="102"/>
      <c r="K565" s="102"/>
      <c r="L565" s="102"/>
      <c r="M565" s="102"/>
      <c r="N565" s="102"/>
      <c r="O565" s="102"/>
      <c r="P565" s="102"/>
      <c r="Q565" s="102"/>
      <c r="R565" s="102"/>
      <c r="S565" s="102"/>
      <c r="T565" s="102"/>
      <c r="U565" s="102"/>
      <c r="V565" s="102"/>
      <c r="W565" s="102"/>
      <c r="X565" s="102"/>
      <c r="Y565" s="102"/>
      <c r="Z565" s="102"/>
      <c r="AA565" s="102"/>
      <c r="AB565" s="102"/>
      <c r="AC565" s="102"/>
      <c r="AD565" s="102"/>
      <c r="AE565" s="102"/>
      <c r="AF565" s="102"/>
      <c r="AG565" s="102"/>
      <c r="AH565" s="102"/>
      <c r="AI565" s="102"/>
      <c r="AJ565" s="102"/>
      <c r="AK565" s="102"/>
      <c r="AL565" s="102"/>
      <c r="AM565" s="102"/>
      <c r="AN565" s="102"/>
      <c r="AO565" s="102"/>
      <c r="AP565" s="102"/>
      <c r="AQ565" s="102"/>
      <c r="AR565" s="102"/>
      <c r="AS565" s="102"/>
      <c r="AT565" s="102"/>
      <c r="AU565" s="102"/>
      <c r="AV565" s="102"/>
    </row>
    <row r="566" ht="12.75" customHeight="1">
      <c r="C566" s="400"/>
      <c r="D566" s="102"/>
      <c r="I566" s="102"/>
      <c r="J566" s="102"/>
      <c r="K566" s="102"/>
      <c r="L566" s="102"/>
      <c r="M566" s="102"/>
      <c r="N566" s="102"/>
      <c r="O566" s="102"/>
      <c r="P566" s="102"/>
      <c r="Q566" s="102"/>
      <c r="R566" s="102"/>
      <c r="S566" s="102"/>
      <c r="T566" s="102"/>
      <c r="U566" s="102"/>
      <c r="V566" s="102"/>
      <c r="W566" s="102"/>
      <c r="X566" s="102"/>
      <c r="Y566" s="102"/>
      <c r="Z566" s="102"/>
      <c r="AA566" s="102"/>
      <c r="AB566" s="102"/>
      <c r="AC566" s="102"/>
      <c r="AD566" s="102"/>
      <c r="AE566" s="102"/>
      <c r="AF566" s="102"/>
      <c r="AG566" s="102"/>
      <c r="AH566" s="102"/>
      <c r="AI566" s="102"/>
      <c r="AJ566" s="102"/>
      <c r="AK566" s="102"/>
      <c r="AL566" s="102"/>
      <c r="AM566" s="102"/>
      <c r="AN566" s="102"/>
      <c r="AO566" s="102"/>
      <c r="AP566" s="102"/>
      <c r="AQ566" s="102"/>
      <c r="AR566" s="102"/>
      <c r="AS566" s="102"/>
      <c r="AT566" s="102"/>
      <c r="AU566" s="102"/>
      <c r="AV566" s="102"/>
    </row>
    <row r="567" ht="12.75" customHeight="1">
      <c r="C567" s="400"/>
      <c r="D567" s="102"/>
      <c r="I567" s="102"/>
      <c r="J567" s="102"/>
      <c r="K567" s="102"/>
      <c r="L567" s="102"/>
      <c r="M567" s="102"/>
      <c r="N567" s="102"/>
      <c r="O567" s="102"/>
      <c r="P567" s="102"/>
      <c r="Q567" s="102"/>
      <c r="R567" s="102"/>
      <c r="S567" s="102"/>
      <c r="T567" s="102"/>
      <c r="U567" s="102"/>
      <c r="V567" s="102"/>
      <c r="W567" s="102"/>
      <c r="X567" s="102"/>
      <c r="Y567" s="102"/>
      <c r="Z567" s="102"/>
      <c r="AA567" s="102"/>
      <c r="AB567" s="102"/>
      <c r="AC567" s="102"/>
      <c r="AD567" s="102"/>
      <c r="AE567" s="102"/>
      <c r="AF567" s="102"/>
      <c r="AG567" s="102"/>
      <c r="AH567" s="102"/>
      <c r="AI567" s="102"/>
      <c r="AJ567" s="102"/>
      <c r="AK567" s="102"/>
      <c r="AL567" s="102"/>
      <c r="AM567" s="102"/>
      <c r="AN567" s="102"/>
      <c r="AO567" s="102"/>
      <c r="AP567" s="102"/>
      <c r="AQ567" s="102"/>
      <c r="AR567" s="102"/>
      <c r="AS567" s="102"/>
      <c r="AT567" s="102"/>
      <c r="AU567" s="102"/>
      <c r="AV567" s="102"/>
    </row>
    <row r="568" ht="12.75" customHeight="1">
      <c r="C568" s="400"/>
      <c r="D568" s="102"/>
      <c r="I568" s="102"/>
      <c r="J568" s="102"/>
      <c r="K568" s="102"/>
      <c r="L568" s="102"/>
      <c r="M568" s="102"/>
      <c r="N568" s="102"/>
      <c r="O568" s="102"/>
      <c r="P568" s="102"/>
      <c r="Q568" s="102"/>
      <c r="R568" s="102"/>
      <c r="S568" s="102"/>
      <c r="T568" s="102"/>
      <c r="U568" s="102"/>
      <c r="V568" s="102"/>
      <c r="W568" s="102"/>
      <c r="X568" s="102"/>
      <c r="Y568" s="102"/>
      <c r="Z568" s="102"/>
      <c r="AA568" s="102"/>
      <c r="AB568" s="102"/>
      <c r="AC568" s="102"/>
      <c r="AD568" s="102"/>
      <c r="AE568" s="102"/>
      <c r="AF568" s="102"/>
      <c r="AG568" s="102"/>
      <c r="AH568" s="102"/>
      <c r="AI568" s="102"/>
      <c r="AJ568" s="102"/>
      <c r="AK568" s="102"/>
      <c r="AL568" s="102"/>
      <c r="AM568" s="102"/>
      <c r="AN568" s="102"/>
      <c r="AO568" s="102"/>
      <c r="AP568" s="102"/>
      <c r="AQ568" s="102"/>
      <c r="AR568" s="102"/>
      <c r="AS568" s="102"/>
      <c r="AT568" s="102"/>
      <c r="AU568" s="102"/>
      <c r="AV568" s="102"/>
    </row>
    <row r="569" ht="12.75" customHeight="1">
      <c r="C569" s="400"/>
      <c r="D569" s="102"/>
      <c r="I569" s="102"/>
      <c r="J569" s="102"/>
      <c r="K569" s="102"/>
      <c r="L569" s="102"/>
      <c r="M569" s="102"/>
      <c r="N569" s="102"/>
      <c r="O569" s="102"/>
      <c r="P569" s="102"/>
      <c r="Q569" s="102"/>
      <c r="R569" s="102"/>
      <c r="S569" s="102"/>
      <c r="T569" s="102"/>
      <c r="U569" s="102"/>
      <c r="V569" s="102"/>
      <c r="W569" s="102"/>
      <c r="X569" s="102"/>
      <c r="Y569" s="102"/>
      <c r="Z569" s="102"/>
      <c r="AA569" s="102"/>
      <c r="AB569" s="102"/>
      <c r="AC569" s="102"/>
      <c r="AD569" s="102"/>
      <c r="AE569" s="102"/>
      <c r="AF569" s="102"/>
      <c r="AG569" s="102"/>
      <c r="AH569" s="102"/>
      <c r="AI569" s="102"/>
      <c r="AJ569" s="102"/>
      <c r="AK569" s="102"/>
      <c r="AL569" s="102"/>
      <c r="AM569" s="102"/>
      <c r="AN569" s="102"/>
      <c r="AO569" s="102"/>
      <c r="AP569" s="102"/>
      <c r="AQ569" s="102"/>
      <c r="AR569" s="102"/>
      <c r="AS569" s="102"/>
      <c r="AT569" s="102"/>
      <c r="AU569" s="102"/>
      <c r="AV569" s="102"/>
    </row>
    <row r="570" ht="12.75" customHeight="1">
      <c r="C570" s="400"/>
      <c r="D570" s="102"/>
      <c r="I570" s="102"/>
      <c r="J570" s="102"/>
      <c r="K570" s="102"/>
      <c r="L570" s="102"/>
      <c r="M570" s="102"/>
      <c r="N570" s="102"/>
      <c r="O570" s="102"/>
      <c r="P570" s="102"/>
      <c r="Q570" s="102"/>
      <c r="R570" s="102"/>
      <c r="S570" s="102"/>
      <c r="T570" s="102"/>
      <c r="U570" s="102"/>
      <c r="V570" s="102"/>
      <c r="W570" s="102"/>
      <c r="X570" s="102"/>
      <c r="Y570" s="102"/>
      <c r="Z570" s="102"/>
      <c r="AA570" s="102"/>
      <c r="AB570" s="102"/>
      <c r="AC570" s="102"/>
      <c r="AD570" s="102"/>
      <c r="AE570" s="102"/>
      <c r="AF570" s="102"/>
      <c r="AG570" s="102"/>
      <c r="AH570" s="102"/>
      <c r="AI570" s="102"/>
      <c r="AJ570" s="102"/>
      <c r="AK570" s="102"/>
      <c r="AL570" s="102"/>
      <c r="AM570" s="102"/>
      <c r="AN570" s="102"/>
      <c r="AO570" s="102"/>
      <c r="AP570" s="102"/>
      <c r="AQ570" s="102"/>
      <c r="AR570" s="102"/>
      <c r="AS570" s="102"/>
      <c r="AT570" s="102"/>
      <c r="AU570" s="102"/>
      <c r="AV570" s="102"/>
    </row>
    <row r="571" ht="12.75" customHeight="1">
      <c r="C571" s="400"/>
      <c r="D571" s="102"/>
      <c r="I571" s="102"/>
      <c r="J571" s="102"/>
      <c r="K571" s="102"/>
      <c r="L571" s="102"/>
      <c r="M571" s="102"/>
      <c r="N571" s="102"/>
      <c r="O571" s="102"/>
      <c r="P571" s="102"/>
      <c r="Q571" s="102"/>
      <c r="R571" s="102"/>
      <c r="S571" s="102"/>
      <c r="T571" s="102"/>
      <c r="U571" s="102"/>
      <c r="V571" s="102"/>
      <c r="W571" s="102"/>
      <c r="X571" s="102"/>
      <c r="Y571" s="102"/>
      <c r="Z571" s="102"/>
      <c r="AA571" s="102"/>
      <c r="AB571" s="102"/>
      <c r="AC571" s="102"/>
      <c r="AD571" s="102"/>
      <c r="AE571" s="102"/>
      <c r="AF571" s="102"/>
      <c r="AG571" s="102"/>
      <c r="AH571" s="102"/>
      <c r="AI571" s="102"/>
      <c r="AJ571" s="102"/>
      <c r="AK571" s="102"/>
      <c r="AL571" s="102"/>
      <c r="AM571" s="102"/>
      <c r="AN571" s="102"/>
      <c r="AO571" s="102"/>
      <c r="AP571" s="102"/>
      <c r="AQ571" s="102"/>
      <c r="AR571" s="102"/>
      <c r="AS571" s="102"/>
      <c r="AT571" s="102"/>
      <c r="AU571" s="102"/>
      <c r="AV571" s="102"/>
    </row>
    <row r="572" ht="12.75" customHeight="1">
      <c r="C572" s="400"/>
      <c r="D572" s="102"/>
      <c r="I572" s="102"/>
      <c r="J572" s="102"/>
      <c r="K572" s="102"/>
      <c r="L572" s="102"/>
      <c r="M572" s="102"/>
      <c r="N572" s="102"/>
      <c r="O572" s="102"/>
      <c r="P572" s="102"/>
      <c r="Q572" s="102"/>
      <c r="R572" s="102"/>
      <c r="S572" s="102"/>
      <c r="T572" s="102"/>
      <c r="U572" s="102"/>
      <c r="V572" s="102"/>
      <c r="W572" s="102"/>
      <c r="X572" s="102"/>
      <c r="Y572" s="102"/>
      <c r="Z572" s="102"/>
      <c r="AA572" s="102"/>
      <c r="AB572" s="102"/>
      <c r="AC572" s="102"/>
      <c r="AD572" s="102"/>
      <c r="AE572" s="102"/>
      <c r="AF572" s="102"/>
      <c r="AG572" s="102"/>
      <c r="AH572" s="102"/>
      <c r="AI572" s="102"/>
      <c r="AJ572" s="102"/>
      <c r="AK572" s="102"/>
      <c r="AL572" s="102"/>
      <c r="AM572" s="102"/>
      <c r="AN572" s="102"/>
      <c r="AO572" s="102"/>
      <c r="AP572" s="102"/>
      <c r="AQ572" s="102"/>
      <c r="AR572" s="102"/>
      <c r="AS572" s="102"/>
      <c r="AT572" s="102"/>
      <c r="AU572" s="102"/>
      <c r="AV572" s="102"/>
    </row>
    <row r="573" ht="12.75" customHeight="1">
      <c r="C573" s="400"/>
      <c r="D573" s="102"/>
      <c r="I573" s="102"/>
      <c r="J573" s="102"/>
      <c r="K573" s="102"/>
      <c r="L573" s="102"/>
      <c r="M573" s="102"/>
      <c r="N573" s="102"/>
      <c r="O573" s="102"/>
      <c r="P573" s="102"/>
      <c r="Q573" s="102"/>
      <c r="R573" s="102"/>
      <c r="S573" s="102"/>
      <c r="T573" s="102"/>
      <c r="U573" s="102"/>
      <c r="V573" s="102"/>
      <c r="W573" s="102"/>
      <c r="X573" s="102"/>
      <c r="Y573" s="102"/>
      <c r="Z573" s="102"/>
      <c r="AA573" s="102"/>
      <c r="AB573" s="102"/>
      <c r="AC573" s="102"/>
      <c r="AD573" s="102"/>
      <c r="AE573" s="102"/>
      <c r="AF573" s="102"/>
      <c r="AG573" s="102"/>
      <c r="AH573" s="102"/>
      <c r="AI573" s="102"/>
      <c r="AJ573" s="102"/>
      <c r="AK573" s="102"/>
      <c r="AL573" s="102"/>
      <c r="AM573" s="102"/>
      <c r="AN573" s="102"/>
      <c r="AO573" s="102"/>
      <c r="AP573" s="102"/>
      <c r="AQ573" s="102"/>
      <c r="AR573" s="102"/>
      <c r="AS573" s="102"/>
      <c r="AT573" s="102"/>
      <c r="AU573" s="102"/>
      <c r="AV573" s="102"/>
    </row>
    <row r="574" ht="12.75" customHeight="1">
      <c r="C574" s="400"/>
      <c r="D574" s="102"/>
      <c r="I574" s="102"/>
      <c r="J574" s="102"/>
      <c r="K574" s="102"/>
      <c r="L574" s="102"/>
      <c r="M574" s="102"/>
      <c r="N574" s="102"/>
      <c r="O574" s="102"/>
      <c r="P574" s="102"/>
      <c r="Q574" s="102"/>
      <c r="R574" s="102"/>
      <c r="S574" s="102"/>
      <c r="T574" s="102"/>
      <c r="U574" s="102"/>
      <c r="V574" s="102"/>
      <c r="W574" s="102"/>
      <c r="X574" s="102"/>
      <c r="Y574" s="102"/>
      <c r="Z574" s="102"/>
      <c r="AA574" s="102"/>
      <c r="AB574" s="102"/>
      <c r="AC574" s="102"/>
      <c r="AD574" s="102"/>
      <c r="AE574" s="102"/>
      <c r="AF574" s="102"/>
      <c r="AG574" s="102"/>
      <c r="AH574" s="102"/>
      <c r="AI574" s="102"/>
      <c r="AJ574" s="102"/>
      <c r="AK574" s="102"/>
      <c r="AL574" s="102"/>
      <c r="AM574" s="102"/>
      <c r="AN574" s="102"/>
      <c r="AO574" s="102"/>
      <c r="AP574" s="102"/>
      <c r="AQ574" s="102"/>
      <c r="AR574" s="102"/>
      <c r="AS574" s="102"/>
      <c r="AT574" s="102"/>
      <c r="AU574" s="102"/>
      <c r="AV574" s="102"/>
    </row>
    <row r="575" ht="12.75" customHeight="1">
      <c r="C575" s="400"/>
      <c r="D575" s="102"/>
      <c r="I575" s="102"/>
      <c r="J575" s="102"/>
      <c r="K575" s="102"/>
      <c r="L575" s="102"/>
      <c r="M575" s="102"/>
      <c r="N575" s="102"/>
      <c r="O575" s="102"/>
      <c r="P575" s="102"/>
      <c r="Q575" s="102"/>
      <c r="R575" s="102"/>
      <c r="S575" s="102"/>
      <c r="T575" s="102"/>
      <c r="U575" s="102"/>
      <c r="V575" s="102"/>
      <c r="W575" s="102"/>
      <c r="X575" s="102"/>
      <c r="Y575" s="102"/>
      <c r="Z575" s="102"/>
      <c r="AA575" s="102"/>
      <c r="AB575" s="102"/>
      <c r="AC575" s="102"/>
      <c r="AD575" s="102"/>
      <c r="AE575" s="102"/>
      <c r="AF575" s="102"/>
      <c r="AG575" s="102"/>
      <c r="AH575" s="102"/>
      <c r="AI575" s="102"/>
      <c r="AJ575" s="102"/>
      <c r="AK575" s="102"/>
      <c r="AL575" s="102"/>
      <c r="AM575" s="102"/>
      <c r="AN575" s="102"/>
      <c r="AO575" s="102"/>
      <c r="AP575" s="102"/>
      <c r="AQ575" s="102"/>
      <c r="AR575" s="102"/>
      <c r="AS575" s="102"/>
      <c r="AT575" s="102"/>
      <c r="AU575" s="102"/>
      <c r="AV575" s="102"/>
    </row>
    <row r="576" ht="12.75" customHeight="1">
      <c r="C576" s="400"/>
      <c r="D576" s="102"/>
      <c r="I576" s="102"/>
      <c r="J576" s="102"/>
      <c r="K576" s="102"/>
      <c r="L576" s="102"/>
      <c r="M576" s="102"/>
      <c r="N576" s="102"/>
      <c r="O576" s="102"/>
      <c r="P576" s="102"/>
      <c r="Q576" s="102"/>
      <c r="R576" s="102"/>
      <c r="S576" s="102"/>
      <c r="T576" s="102"/>
      <c r="U576" s="102"/>
      <c r="V576" s="102"/>
      <c r="W576" s="102"/>
      <c r="X576" s="102"/>
      <c r="Y576" s="102"/>
      <c r="Z576" s="102"/>
      <c r="AA576" s="102"/>
      <c r="AB576" s="102"/>
      <c r="AC576" s="102"/>
      <c r="AD576" s="102"/>
      <c r="AE576" s="102"/>
      <c r="AF576" s="102"/>
      <c r="AG576" s="102"/>
      <c r="AH576" s="102"/>
      <c r="AI576" s="102"/>
      <c r="AJ576" s="102"/>
      <c r="AK576" s="102"/>
      <c r="AL576" s="102"/>
      <c r="AM576" s="102"/>
      <c r="AN576" s="102"/>
      <c r="AO576" s="102"/>
      <c r="AP576" s="102"/>
      <c r="AQ576" s="102"/>
      <c r="AR576" s="102"/>
      <c r="AS576" s="102"/>
      <c r="AT576" s="102"/>
      <c r="AU576" s="102"/>
      <c r="AV576" s="102"/>
    </row>
    <row r="577" ht="12.75" customHeight="1">
      <c r="C577" s="400"/>
      <c r="D577" s="102"/>
      <c r="I577" s="102"/>
      <c r="J577" s="102"/>
      <c r="K577" s="102"/>
      <c r="L577" s="102"/>
      <c r="M577" s="102"/>
      <c r="N577" s="102"/>
      <c r="O577" s="102"/>
      <c r="P577" s="102"/>
      <c r="Q577" s="102"/>
      <c r="R577" s="102"/>
      <c r="S577" s="102"/>
      <c r="T577" s="102"/>
      <c r="U577" s="102"/>
      <c r="V577" s="102"/>
      <c r="W577" s="102"/>
      <c r="X577" s="102"/>
      <c r="Y577" s="102"/>
      <c r="Z577" s="102"/>
      <c r="AA577" s="102"/>
      <c r="AB577" s="102"/>
      <c r="AC577" s="102"/>
      <c r="AD577" s="102"/>
      <c r="AE577" s="102"/>
      <c r="AF577" s="102"/>
      <c r="AG577" s="102"/>
      <c r="AH577" s="102"/>
      <c r="AI577" s="102"/>
      <c r="AJ577" s="102"/>
      <c r="AK577" s="102"/>
      <c r="AL577" s="102"/>
      <c r="AM577" s="102"/>
      <c r="AN577" s="102"/>
      <c r="AO577" s="102"/>
      <c r="AP577" s="102"/>
      <c r="AQ577" s="102"/>
      <c r="AR577" s="102"/>
      <c r="AS577" s="102"/>
      <c r="AT577" s="102"/>
      <c r="AU577" s="102"/>
      <c r="AV577" s="102"/>
    </row>
    <row r="578" ht="12.75" customHeight="1">
      <c r="C578" s="400"/>
      <c r="D578" s="102"/>
      <c r="I578" s="102"/>
      <c r="J578" s="102"/>
      <c r="K578" s="102"/>
      <c r="L578" s="102"/>
      <c r="M578" s="102"/>
      <c r="N578" s="102"/>
      <c r="O578" s="102"/>
      <c r="P578" s="102"/>
      <c r="Q578" s="102"/>
      <c r="R578" s="102"/>
      <c r="S578" s="102"/>
      <c r="T578" s="102"/>
      <c r="U578" s="102"/>
      <c r="V578" s="102"/>
      <c r="W578" s="102"/>
      <c r="X578" s="102"/>
      <c r="Y578" s="102"/>
      <c r="Z578" s="102"/>
      <c r="AA578" s="102"/>
      <c r="AB578" s="102"/>
      <c r="AC578" s="102"/>
      <c r="AD578" s="102"/>
      <c r="AE578" s="102"/>
      <c r="AF578" s="102"/>
      <c r="AG578" s="102"/>
      <c r="AH578" s="102"/>
      <c r="AI578" s="102"/>
      <c r="AJ578" s="102"/>
      <c r="AK578" s="102"/>
      <c r="AL578" s="102"/>
      <c r="AM578" s="102"/>
      <c r="AN578" s="102"/>
      <c r="AO578" s="102"/>
      <c r="AP578" s="102"/>
      <c r="AQ578" s="102"/>
      <c r="AR578" s="102"/>
      <c r="AS578" s="102"/>
      <c r="AT578" s="102"/>
      <c r="AU578" s="102"/>
      <c r="AV578" s="102"/>
    </row>
    <row r="579" ht="12.75" customHeight="1">
      <c r="C579" s="400"/>
      <c r="D579" s="102"/>
      <c r="I579" s="102"/>
      <c r="J579" s="102"/>
      <c r="K579" s="102"/>
      <c r="L579" s="102"/>
      <c r="M579" s="102"/>
      <c r="N579" s="102"/>
      <c r="O579" s="102"/>
      <c r="P579" s="102"/>
      <c r="Q579" s="102"/>
      <c r="R579" s="102"/>
      <c r="S579" s="102"/>
      <c r="T579" s="102"/>
      <c r="U579" s="102"/>
      <c r="V579" s="102"/>
      <c r="W579" s="102"/>
      <c r="X579" s="102"/>
      <c r="Y579" s="102"/>
      <c r="Z579" s="102"/>
      <c r="AA579" s="102"/>
      <c r="AB579" s="102"/>
      <c r="AC579" s="102"/>
      <c r="AD579" s="102"/>
      <c r="AE579" s="102"/>
      <c r="AF579" s="102"/>
      <c r="AG579" s="102"/>
      <c r="AH579" s="102"/>
      <c r="AI579" s="102"/>
      <c r="AJ579" s="102"/>
      <c r="AK579" s="102"/>
      <c r="AL579" s="102"/>
      <c r="AM579" s="102"/>
      <c r="AN579" s="102"/>
      <c r="AO579" s="102"/>
      <c r="AP579" s="102"/>
      <c r="AQ579" s="102"/>
      <c r="AR579" s="102"/>
      <c r="AS579" s="102"/>
      <c r="AT579" s="102"/>
      <c r="AU579" s="102"/>
      <c r="AV579" s="102"/>
    </row>
    <row r="580" ht="12.75" customHeight="1">
      <c r="C580" s="400"/>
      <c r="D580" s="102"/>
      <c r="I580" s="102"/>
      <c r="J580" s="102"/>
      <c r="K580" s="102"/>
      <c r="L580" s="102"/>
      <c r="M580" s="102"/>
      <c r="N580" s="102"/>
      <c r="O580" s="102"/>
      <c r="P580" s="102"/>
      <c r="Q580" s="102"/>
      <c r="R580" s="102"/>
      <c r="S580" s="102"/>
      <c r="T580" s="102"/>
      <c r="U580" s="102"/>
      <c r="V580" s="102"/>
      <c r="W580" s="102"/>
      <c r="X580" s="102"/>
      <c r="Y580" s="102"/>
      <c r="Z580" s="102"/>
      <c r="AA580" s="102"/>
      <c r="AB580" s="102"/>
      <c r="AC580" s="102"/>
      <c r="AD580" s="102"/>
      <c r="AE580" s="102"/>
      <c r="AF580" s="102"/>
      <c r="AG580" s="102"/>
      <c r="AH580" s="102"/>
      <c r="AI580" s="102"/>
      <c r="AJ580" s="102"/>
      <c r="AK580" s="102"/>
      <c r="AL580" s="102"/>
      <c r="AM580" s="102"/>
      <c r="AN580" s="102"/>
      <c r="AO580" s="102"/>
      <c r="AP580" s="102"/>
      <c r="AQ580" s="102"/>
      <c r="AR580" s="102"/>
      <c r="AS580" s="102"/>
      <c r="AT580" s="102"/>
      <c r="AU580" s="102"/>
      <c r="AV580" s="102"/>
    </row>
    <row r="581" ht="12.75" customHeight="1">
      <c r="C581" s="400"/>
      <c r="D581" s="102"/>
      <c r="I581" s="102"/>
      <c r="J581" s="102"/>
      <c r="K581" s="102"/>
      <c r="L581" s="102"/>
      <c r="M581" s="102"/>
      <c r="N581" s="102"/>
      <c r="O581" s="102"/>
      <c r="P581" s="102"/>
      <c r="Q581" s="102"/>
      <c r="R581" s="102"/>
      <c r="S581" s="102"/>
      <c r="T581" s="102"/>
      <c r="U581" s="102"/>
      <c r="V581" s="102"/>
      <c r="W581" s="102"/>
      <c r="X581" s="102"/>
      <c r="Y581" s="102"/>
      <c r="Z581" s="102"/>
      <c r="AA581" s="102"/>
      <c r="AB581" s="102"/>
      <c r="AC581" s="102"/>
      <c r="AD581" s="102"/>
      <c r="AE581" s="102"/>
      <c r="AF581" s="102"/>
      <c r="AG581" s="102"/>
      <c r="AH581" s="102"/>
      <c r="AI581" s="102"/>
      <c r="AJ581" s="102"/>
      <c r="AK581" s="102"/>
      <c r="AL581" s="102"/>
      <c r="AM581" s="102"/>
      <c r="AN581" s="102"/>
      <c r="AO581" s="102"/>
      <c r="AP581" s="102"/>
      <c r="AQ581" s="102"/>
      <c r="AR581" s="102"/>
      <c r="AS581" s="102"/>
      <c r="AT581" s="102"/>
      <c r="AU581" s="102"/>
      <c r="AV581" s="102"/>
    </row>
    <row r="582" ht="12.75" customHeight="1">
      <c r="C582" s="400"/>
      <c r="D582" s="102"/>
      <c r="I582" s="102"/>
      <c r="J582" s="102"/>
      <c r="K582" s="102"/>
      <c r="L582" s="102"/>
      <c r="M582" s="102"/>
      <c r="N582" s="102"/>
      <c r="O582" s="102"/>
      <c r="P582" s="102"/>
      <c r="Q582" s="102"/>
      <c r="R582" s="102"/>
      <c r="S582" s="102"/>
      <c r="T582" s="102"/>
      <c r="U582" s="102"/>
      <c r="V582" s="102"/>
      <c r="W582" s="102"/>
      <c r="X582" s="102"/>
      <c r="Y582" s="102"/>
      <c r="Z582" s="102"/>
      <c r="AA582" s="102"/>
      <c r="AB582" s="102"/>
      <c r="AC582" s="102"/>
      <c r="AD582" s="102"/>
      <c r="AE582" s="102"/>
      <c r="AF582" s="102"/>
      <c r="AG582" s="102"/>
      <c r="AH582" s="102"/>
      <c r="AI582" s="102"/>
      <c r="AJ582" s="102"/>
      <c r="AK582" s="102"/>
      <c r="AL582" s="102"/>
      <c r="AM582" s="102"/>
      <c r="AN582" s="102"/>
      <c r="AO582" s="102"/>
      <c r="AP582" s="102"/>
      <c r="AQ582" s="102"/>
      <c r="AR582" s="102"/>
      <c r="AS582" s="102"/>
      <c r="AT582" s="102"/>
      <c r="AU582" s="102"/>
      <c r="AV582" s="102"/>
    </row>
    <row r="583" ht="12.75" customHeight="1">
      <c r="C583" s="400"/>
      <c r="D583" s="102"/>
      <c r="I583" s="102"/>
      <c r="J583" s="102"/>
      <c r="K583" s="102"/>
      <c r="L583" s="102"/>
      <c r="M583" s="102"/>
      <c r="N583" s="102"/>
      <c r="O583" s="102"/>
      <c r="P583" s="102"/>
      <c r="Q583" s="102"/>
      <c r="R583" s="102"/>
      <c r="S583" s="102"/>
      <c r="T583" s="102"/>
      <c r="U583" s="102"/>
      <c r="V583" s="102"/>
      <c r="W583" s="102"/>
      <c r="X583" s="102"/>
      <c r="Y583" s="102"/>
      <c r="Z583" s="102"/>
      <c r="AA583" s="102"/>
      <c r="AB583" s="102"/>
      <c r="AC583" s="102"/>
      <c r="AD583" s="102"/>
      <c r="AE583" s="102"/>
      <c r="AF583" s="102"/>
      <c r="AG583" s="102"/>
      <c r="AH583" s="102"/>
      <c r="AI583" s="102"/>
      <c r="AJ583" s="102"/>
      <c r="AK583" s="102"/>
      <c r="AL583" s="102"/>
      <c r="AM583" s="102"/>
      <c r="AN583" s="102"/>
      <c r="AO583" s="102"/>
      <c r="AP583" s="102"/>
      <c r="AQ583" s="102"/>
      <c r="AR583" s="102"/>
      <c r="AS583" s="102"/>
      <c r="AT583" s="102"/>
      <c r="AU583" s="102"/>
      <c r="AV583" s="102"/>
    </row>
    <row r="584" ht="12.75" customHeight="1">
      <c r="C584" s="400"/>
      <c r="D584" s="102"/>
      <c r="I584" s="102"/>
      <c r="J584" s="102"/>
      <c r="K584" s="102"/>
      <c r="L584" s="102"/>
      <c r="M584" s="102"/>
      <c r="N584" s="102"/>
      <c r="O584" s="102"/>
      <c r="P584" s="102"/>
      <c r="Q584" s="102"/>
      <c r="R584" s="102"/>
      <c r="S584" s="102"/>
      <c r="T584" s="102"/>
      <c r="U584" s="102"/>
      <c r="V584" s="102"/>
      <c r="W584" s="102"/>
      <c r="X584" s="102"/>
      <c r="Y584" s="102"/>
      <c r="Z584" s="102"/>
      <c r="AA584" s="102"/>
      <c r="AB584" s="102"/>
      <c r="AC584" s="102"/>
      <c r="AD584" s="102"/>
      <c r="AE584" s="102"/>
      <c r="AF584" s="102"/>
      <c r="AG584" s="102"/>
      <c r="AH584" s="102"/>
      <c r="AI584" s="102"/>
      <c r="AJ584" s="102"/>
      <c r="AK584" s="102"/>
      <c r="AL584" s="102"/>
      <c r="AM584" s="102"/>
      <c r="AN584" s="102"/>
      <c r="AO584" s="102"/>
      <c r="AP584" s="102"/>
      <c r="AQ584" s="102"/>
      <c r="AR584" s="102"/>
      <c r="AS584" s="102"/>
      <c r="AT584" s="102"/>
      <c r="AU584" s="102"/>
      <c r="AV584" s="102"/>
    </row>
    <row r="585" ht="12.75" customHeight="1">
      <c r="C585" s="400"/>
      <c r="D585" s="102"/>
      <c r="I585" s="102"/>
      <c r="J585" s="102"/>
      <c r="K585" s="102"/>
      <c r="L585" s="102"/>
      <c r="M585" s="102"/>
      <c r="N585" s="102"/>
      <c r="O585" s="102"/>
      <c r="P585" s="102"/>
      <c r="Q585" s="102"/>
      <c r="R585" s="102"/>
      <c r="S585" s="102"/>
      <c r="T585" s="102"/>
      <c r="U585" s="102"/>
      <c r="V585" s="102"/>
      <c r="W585" s="102"/>
      <c r="X585" s="102"/>
      <c r="Y585" s="102"/>
      <c r="Z585" s="102"/>
      <c r="AA585" s="102"/>
      <c r="AB585" s="102"/>
      <c r="AC585" s="102"/>
      <c r="AD585" s="102"/>
      <c r="AE585" s="102"/>
      <c r="AF585" s="102"/>
      <c r="AG585" s="102"/>
      <c r="AH585" s="102"/>
      <c r="AI585" s="102"/>
      <c r="AJ585" s="102"/>
      <c r="AK585" s="102"/>
      <c r="AL585" s="102"/>
      <c r="AM585" s="102"/>
      <c r="AN585" s="102"/>
      <c r="AO585" s="102"/>
      <c r="AP585" s="102"/>
      <c r="AQ585" s="102"/>
      <c r="AR585" s="102"/>
      <c r="AS585" s="102"/>
      <c r="AT585" s="102"/>
      <c r="AU585" s="102"/>
      <c r="AV585" s="102"/>
    </row>
    <row r="586" ht="12.75" customHeight="1">
      <c r="C586" s="400"/>
      <c r="D586" s="102"/>
      <c r="I586" s="102"/>
      <c r="J586" s="102"/>
      <c r="K586" s="102"/>
      <c r="L586" s="102"/>
      <c r="M586" s="102"/>
      <c r="N586" s="102"/>
      <c r="O586" s="102"/>
      <c r="P586" s="102"/>
      <c r="Q586" s="102"/>
      <c r="R586" s="102"/>
      <c r="S586" s="102"/>
      <c r="T586" s="102"/>
      <c r="U586" s="102"/>
      <c r="V586" s="102"/>
      <c r="W586" s="102"/>
      <c r="X586" s="102"/>
      <c r="Y586" s="102"/>
      <c r="Z586" s="102"/>
      <c r="AA586" s="102"/>
      <c r="AB586" s="102"/>
      <c r="AC586" s="102"/>
      <c r="AD586" s="102"/>
      <c r="AE586" s="102"/>
      <c r="AF586" s="102"/>
      <c r="AG586" s="102"/>
      <c r="AH586" s="102"/>
      <c r="AI586" s="102"/>
      <c r="AJ586" s="102"/>
      <c r="AK586" s="102"/>
      <c r="AL586" s="102"/>
      <c r="AM586" s="102"/>
      <c r="AN586" s="102"/>
      <c r="AO586" s="102"/>
      <c r="AP586" s="102"/>
      <c r="AQ586" s="102"/>
      <c r="AR586" s="102"/>
      <c r="AS586" s="102"/>
      <c r="AT586" s="102"/>
      <c r="AU586" s="102"/>
      <c r="AV586" s="102"/>
    </row>
    <row r="587" ht="12.75" customHeight="1">
      <c r="C587" s="400"/>
      <c r="D587" s="102"/>
      <c r="I587" s="102"/>
      <c r="J587" s="102"/>
      <c r="K587" s="102"/>
      <c r="L587" s="102"/>
      <c r="M587" s="102"/>
      <c r="N587" s="102"/>
      <c r="O587" s="102"/>
      <c r="P587" s="102"/>
      <c r="Q587" s="102"/>
      <c r="R587" s="102"/>
      <c r="S587" s="102"/>
      <c r="T587" s="102"/>
      <c r="U587" s="102"/>
      <c r="V587" s="102"/>
      <c r="W587" s="102"/>
      <c r="X587" s="102"/>
      <c r="Y587" s="102"/>
      <c r="Z587" s="102"/>
      <c r="AA587" s="102"/>
      <c r="AB587" s="102"/>
      <c r="AC587" s="102"/>
      <c r="AD587" s="102"/>
      <c r="AE587" s="102"/>
      <c r="AF587" s="102"/>
      <c r="AG587" s="102"/>
      <c r="AH587" s="102"/>
      <c r="AI587" s="102"/>
      <c r="AJ587" s="102"/>
      <c r="AK587" s="102"/>
      <c r="AL587" s="102"/>
      <c r="AM587" s="102"/>
      <c r="AN587" s="102"/>
      <c r="AO587" s="102"/>
      <c r="AP587" s="102"/>
      <c r="AQ587" s="102"/>
      <c r="AR587" s="102"/>
      <c r="AS587" s="102"/>
      <c r="AT587" s="102"/>
      <c r="AU587" s="102"/>
      <c r="AV587" s="102"/>
    </row>
    <row r="588" ht="12.75" customHeight="1">
      <c r="C588" s="400"/>
      <c r="D588" s="102"/>
      <c r="I588" s="102"/>
      <c r="J588" s="102"/>
      <c r="K588" s="102"/>
      <c r="L588" s="102"/>
      <c r="M588" s="102"/>
      <c r="N588" s="102"/>
      <c r="O588" s="102"/>
      <c r="P588" s="102"/>
      <c r="Q588" s="102"/>
      <c r="R588" s="102"/>
      <c r="S588" s="102"/>
      <c r="T588" s="102"/>
      <c r="U588" s="102"/>
      <c r="V588" s="102"/>
      <c r="W588" s="102"/>
      <c r="X588" s="102"/>
      <c r="Y588" s="102"/>
      <c r="Z588" s="102"/>
      <c r="AA588" s="102"/>
      <c r="AB588" s="102"/>
      <c r="AC588" s="102"/>
      <c r="AD588" s="102"/>
      <c r="AE588" s="102"/>
      <c r="AF588" s="102"/>
      <c r="AG588" s="102"/>
      <c r="AH588" s="102"/>
      <c r="AI588" s="102"/>
      <c r="AJ588" s="102"/>
      <c r="AK588" s="102"/>
      <c r="AL588" s="102"/>
      <c r="AM588" s="102"/>
      <c r="AN588" s="102"/>
      <c r="AO588" s="102"/>
      <c r="AP588" s="102"/>
      <c r="AQ588" s="102"/>
      <c r="AR588" s="102"/>
      <c r="AS588" s="102"/>
      <c r="AT588" s="102"/>
      <c r="AU588" s="102"/>
      <c r="AV588" s="102"/>
    </row>
    <row r="589" ht="12.75" customHeight="1">
      <c r="C589" s="400"/>
      <c r="D589" s="102"/>
      <c r="I589" s="102"/>
      <c r="J589" s="102"/>
      <c r="K589" s="102"/>
      <c r="L589" s="102"/>
      <c r="M589" s="102"/>
      <c r="N589" s="102"/>
      <c r="O589" s="102"/>
      <c r="P589" s="102"/>
      <c r="Q589" s="102"/>
      <c r="R589" s="102"/>
      <c r="S589" s="102"/>
      <c r="T589" s="102"/>
      <c r="U589" s="102"/>
      <c r="V589" s="102"/>
      <c r="W589" s="102"/>
      <c r="X589" s="102"/>
      <c r="Y589" s="102"/>
      <c r="Z589" s="102"/>
      <c r="AA589" s="102"/>
      <c r="AB589" s="102"/>
      <c r="AC589" s="102"/>
      <c r="AD589" s="102"/>
      <c r="AE589" s="102"/>
      <c r="AF589" s="102"/>
      <c r="AG589" s="102"/>
      <c r="AH589" s="102"/>
      <c r="AI589" s="102"/>
      <c r="AJ589" s="102"/>
      <c r="AK589" s="102"/>
      <c r="AL589" s="102"/>
      <c r="AM589" s="102"/>
      <c r="AN589" s="102"/>
      <c r="AO589" s="102"/>
      <c r="AP589" s="102"/>
      <c r="AQ589" s="102"/>
      <c r="AR589" s="102"/>
      <c r="AS589" s="102"/>
      <c r="AT589" s="102"/>
      <c r="AU589" s="102"/>
      <c r="AV589" s="102"/>
    </row>
    <row r="590" ht="12.75" customHeight="1">
      <c r="C590" s="400"/>
      <c r="D590" s="102"/>
      <c r="I590" s="102"/>
      <c r="J590" s="102"/>
      <c r="K590" s="102"/>
      <c r="L590" s="102"/>
      <c r="M590" s="102"/>
      <c r="N590" s="102"/>
      <c r="O590" s="102"/>
      <c r="P590" s="102"/>
      <c r="Q590" s="102"/>
      <c r="R590" s="102"/>
      <c r="S590" s="102"/>
      <c r="T590" s="102"/>
      <c r="U590" s="102"/>
      <c r="V590" s="102"/>
      <c r="W590" s="102"/>
      <c r="X590" s="102"/>
      <c r="Y590" s="102"/>
      <c r="Z590" s="102"/>
      <c r="AA590" s="102"/>
      <c r="AB590" s="102"/>
      <c r="AC590" s="102"/>
      <c r="AD590" s="102"/>
      <c r="AE590" s="102"/>
      <c r="AF590" s="102"/>
      <c r="AG590" s="102"/>
      <c r="AH590" s="102"/>
      <c r="AI590" s="102"/>
      <c r="AJ590" s="102"/>
      <c r="AK590" s="102"/>
      <c r="AL590" s="102"/>
      <c r="AM590" s="102"/>
      <c r="AN590" s="102"/>
      <c r="AO590" s="102"/>
      <c r="AP590" s="102"/>
      <c r="AQ590" s="102"/>
      <c r="AR590" s="102"/>
      <c r="AS590" s="102"/>
      <c r="AT590" s="102"/>
      <c r="AU590" s="102"/>
      <c r="AV590" s="102"/>
    </row>
    <row r="591" ht="12.75" customHeight="1">
      <c r="C591" s="400"/>
      <c r="D591" s="102"/>
      <c r="I591" s="102"/>
      <c r="J591" s="102"/>
      <c r="K591" s="102"/>
      <c r="L591" s="102"/>
      <c r="M591" s="102"/>
      <c r="N591" s="102"/>
      <c r="O591" s="102"/>
      <c r="P591" s="102"/>
      <c r="Q591" s="102"/>
      <c r="R591" s="102"/>
      <c r="S591" s="102"/>
      <c r="T591" s="102"/>
      <c r="U591" s="102"/>
      <c r="V591" s="102"/>
      <c r="W591" s="102"/>
      <c r="X591" s="102"/>
      <c r="Y591" s="102"/>
      <c r="Z591" s="102"/>
      <c r="AA591" s="102"/>
      <c r="AB591" s="102"/>
      <c r="AC591" s="102"/>
      <c r="AD591" s="102"/>
      <c r="AE591" s="102"/>
      <c r="AF591" s="102"/>
      <c r="AG591" s="102"/>
      <c r="AH591" s="102"/>
      <c r="AI591" s="102"/>
      <c r="AJ591" s="102"/>
      <c r="AK591" s="102"/>
      <c r="AL591" s="102"/>
      <c r="AM591" s="102"/>
      <c r="AN591" s="102"/>
      <c r="AO591" s="102"/>
      <c r="AP591" s="102"/>
      <c r="AQ591" s="102"/>
      <c r="AR591" s="102"/>
      <c r="AS591" s="102"/>
      <c r="AT591" s="102"/>
      <c r="AU591" s="102"/>
      <c r="AV591" s="102"/>
    </row>
    <row r="592" ht="12.75" customHeight="1">
      <c r="C592" s="400"/>
      <c r="D592" s="102"/>
      <c r="I592" s="102"/>
      <c r="J592" s="102"/>
      <c r="K592" s="102"/>
      <c r="L592" s="102"/>
      <c r="M592" s="102"/>
      <c r="N592" s="102"/>
      <c r="O592" s="102"/>
      <c r="P592" s="102"/>
      <c r="Q592" s="102"/>
      <c r="R592" s="102"/>
      <c r="S592" s="102"/>
      <c r="T592" s="102"/>
      <c r="U592" s="102"/>
      <c r="V592" s="102"/>
      <c r="W592" s="102"/>
      <c r="X592" s="102"/>
      <c r="Y592" s="102"/>
      <c r="Z592" s="102"/>
      <c r="AA592" s="102"/>
      <c r="AB592" s="102"/>
      <c r="AC592" s="102"/>
      <c r="AD592" s="102"/>
      <c r="AE592" s="102"/>
      <c r="AF592" s="102"/>
      <c r="AG592" s="102"/>
      <c r="AH592" s="102"/>
      <c r="AI592" s="102"/>
      <c r="AJ592" s="102"/>
      <c r="AK592" s="102"/>
      <c r="AL592" s="102"/>
      <c r="AM592" s="102"/>
      <c r="AN592" s="102"/>
      <c r="AO592" s="102"/>
      <c r="AP592" s="102"/>
      <c r="AQ592" s="102"/>
      <c r="AR592" s="102"/>
      <c r="AS592" s="102"/>
      <c r="AT592" s="102"/>
      <c r="AU592" s="102"/>
      <c r="AV592" s="102"/>
    </row>
    <row r="593" ht="12.75" customHeight="1">
      <c r="C593" s="400"/>
      <c r="D593" s="102"/>
      <c r="I593" s="102"/>
      <c r="J593" s="102"/>
      <c r="K593" s="102"/>
      <c r="L593" s="102"/>
      <c r="M593" s="102"/>
      <c r="N593" s="102"/>
      <c r="O593" s="102"/>
      <c r="P593" s="102"/>
      <c r="Q593" s="102"/>
      <c r="R593" s="102"/>
      <c r="S593" s="102"/>
      <c r="T593" s="102"/>
      <c r="U593" s="102"/>
      <c r="V593" s="102"/>
      <c r="W593" s="102"/>
      <c r="X593" s="102"/>
      <c r="Y593" s="102"/>
      <c r="Z593" s="102"/>
      <c r="AA593" s="102"/>
      <c r="AB593" s="102"/>
      <c r="AC593" s="102"/>
      <c r="AD593" s="102"/>
      <c r="AE593" s="102"/>
      <c r="AF593" s="102"/>
      <c r="AG593" s="102"/>
      <c r="AH593" s="102"/>
      <c r="AI593" s="102"/>
      <c r="AJ593" s="102"/>
      <c r="AK593" s="102"/>
      <c r="AL593" s="102"/>
      <c r="AM593" s="102"/>
      <c r="AN593" s="102"/>
      <c r="AO593" s="102"/>
      <c r="AP593" s="102"/>
      <c r="AQ593" s="102"/>
      <c r="AR593" s="102"/>
      <c r="AS593" s="102"/>
      <c r="AT593" s="102"/>
      <c r="AU593" s="102"/>
      <c r="AV593" s="102"/>
    </row>
    <row r="594" ht="12.75" customHeight="1">
      <c r="C594" s="400"/>
      <c r="D594" s="102"/>
      <c r="I594" s="102"/>
      <c r="J594" s="102"/>
      <c r="K594" s="102"/>
      <c r="L594" s="102"/>
      <c r="M594" s="102"/>
      <c r="N594" s="102"/>
      <c r="O594" s="102"/>
      <c r="P594" s="102"/>
      <c r="Q594" s="102"/>
      <c r="R594" s="102"/>
      <c r="S594" s="102"/>
      <c r="T594" s="102"/>
      <c r="U594" s="102"/>
      <c r="V594" s="102"/>
      <c r="W594" s="102"/>
      <c r="X594" s="102"/>
      <c r="Y594" s="102"/>
      <c r="Z594" s="102"/>
      <c r="AA594" s="102"/>
      <c r="AB594" s="102"/>
      <c r="AC594" s="102"/>
      <c r="AD594" s="102"/>
      <c r="AE594" s="102"/>
      <c r="AF594" s="102"/>
      <c r="AG594" s="102"/>
      <c r="AH594" s="102"/>
      <c r="AI594" s="102"/>
      <c r="AJ594" s="102"/>
      <c r="AK594" s="102"/>
      <c r="AL594" s="102"/>
      <c r="AM594" s="102"/>
      <c r="AN594" s="102"/>
      <c r="AO594" s="102"/>
      <c r="AP594" s="102"/>
      <c r="AQ594" s="102"/>
      <c r="AR594" s="102"/>
      <c r="AS594" s="102"/>
      <c r="AT594" s="102"/>
      <c r="AU594" s="102"/>
      <c r="AV594" s="102"/>
    </row>
    <row r="595" ht="12.75" customHeight="1">
      <c r="C595" s="400"/>
      <c r="D595" s="102"/>
      <c r="I595" s="102"/>
      <c r="J595" s="102"/>
      <c r="K595" s="102"/>
      <c r="L595" s="102"/>
      <c r="M595" s="102"/>
      <c r="N595" s="102"/>
      <c r="O595" s="102"/>
      <c r="P595" s="102"/>
      <c r="Q595" s="102"/>
      <c r="R595" s="102"/>
      <c r="S595" s="102"/>
      <c r="T595" s="102"/>
      <c r="U595" s="102"/>
      <c r="V595" s="102"/>
      <c r="W595" s="102"/>
      <c r="X595" s="102"/>
      <c r="Y595" s="102"/>
      <c r="Z595" s="102"/>
      <c r="AA595" s="102"/>
      <c r="AB595" s="102"/>
      <c r="AC595" s="102"/>
      <c r="AD595" s="102"/>
      <c r="AE595" s="102"/>
      <c r="AF595" s="102"/>
      <c r="AG595" s="102"/>
      <c r="AH595" s="102"/>
      <c r="AI595" s="102"/>
      <c r="AJ595" s="102"/>
      <c r="AK595" s="102"/>
      <c r="AL595" s="102"/>
      <c r="AM595" s="102"/>
      <c r="AN595" s="102"/>
      <c r="AO595" s="102"/>
      <c r="AP595" s="102"/>
      <c r="AQ595" s="102"/>
      <c r="AR595" s="102"/>
      <c r="AS595" s="102"/>
      <c r="AT595" s="102"/>
      <c r="AU595" s="102"/>
      <c r="AV595" s="102"/>
    </row>
    <row r="596" ht="12.75" customHeight="1">
      <c r="C596" s="400"/>
      <c r="D596" s="102"/>
      <c r="I596" s="102"/>
      <c r="J596" s="102"/>
      <c r="K596" s="102"/>
      <c r="L596" s="102"/>
      <c r="M596" s="102"/>
      <c r="N596" s="102"/>
      <c r="O596" s="102"/>
      <c r="P596" s="102"/>
      <c r="Q596" s="102"/>
      <c r="R596" s="102"/>
      <c r="S596" s="102"/>
      <c r="T596" s="102"/>
      <c r="U596" s="102"/>
      <c r="V596" s="102"/>
      <c r="W596" s="102"/>
      <c r="X596" s="102"/>
      <c r="Y596" s="102"/>
      <c r="Z596" s="102"/>
      <c r="AA596" s="102"/>
      <c r="AB596" s="102"/>
      <c r="AC596" s="102"/>
      <c r="AD596" s="102"/>
      <c r="AE596" s="102"/>
      <c r="AF596" s="102"/>
      <c r="AG596" s="102"/>
      <c r="AH596" s="102"/>
      <c r="AI596" s="102"/>
      <c r="AJ596" s="102"/>
      <c r="AK596" s="102"/>
      <c r="AL596" s="102"/>
      <c r="AM596" s="102"/>
      <c r="AN596" s="102"/>
      <c r="AO596" s="102"/>
      <c r="AP596" s="102"/>
      <c r="AQ596" s="102"/>
      <c r="AR596" s="102"/>
      <c r="AS596" s="102"/>
      <c r="AT596" s="102"/>
      <c r="AU596" s="102"/>
      <c r="AV596" s="102"/>
    </row>
    <row r="597" ht="12.75" customHeight="1">
      <c r="C597" s="400"/>
      <c r="D597" s="102"/>
      <c r="I597" s="102"/>
      <c r="J597" s="102"/>
      <c r="K597" s="102"/>
      <c r="L597" s="102"/>
      <c r="M597" s="102"/>
      <c r="N597" s="102"/>
      <c r="O597" s="102"/>
      <c r="P597" s="102"/>
      <c r="Q597" s="102"/>
      <c r="R597" s="102"/>
      <c r="S597" s="102"/>
      <c r="T597" s="102"/>
      <c r="U597" s="102"/>
      <c r="V597" s="102"/>
      <c r="W597" s="102"/>
      <c r="X597" s="102"/>
      <c r="Y597" s="102"/>
      <c r="Z597" s="102"/>
      <c r="AA597" s="102"/>
      <c r="AB597" s="102"/>
      <c r="AC597" s="102"/>
      <c r="AD597" s="102"/>
      <c r="AE597" s="102"/>
      <c r="AF597" s="102"/>
      <c r="AG597" s="102"/>
      <c r="AH597" s="102"/>
      <c r="AI597" s="102"/>
      <c r="AJ597" s="102"/>
      <c r="AK597" s="102"/>
      <c r="AL597" s="102"/>
      <c r="AM597" s="102"/>
      <c r="AN597" s="102"/>
      <c r="AO597" s="102"/>
      <c r="AP597" s="102"/>
      <c r="AQ597" s="102"/>
      <c r="AR597" s="102"/>
      <c r="AS597" s="102"/>
      <c r="AT597" s="102"/>
      <c r="AU597" s="102"/>
      <c r="AV597" s="102"/>
    </row>
    <row r="598" ht="12.75" customHeight="1">
      <c r="C598" s="400"/>
      <c r="D598" s="102"/>
      <c r="I598" s="102"/>
      <c r="J598" s="102"/>
      <c r="K598" s="102"/>
      <c r="L598" s="102"/>
      <c r="M598" s="102"/>
      <c r="N598" s="102"/>
      <c r="O598" s="102"/>
      <c r="P598" s="102"/>
      <c r="Q598" s="102"/>
      <c r="R598" s="102"/>
      <c r="S598" s="102"/>
      <c r="T598" s="102"/>
      <c r="U598" s="102"/>
      <c r="V598" s="102"/>
      <c r="W598" s="102"/>
      <c r="X598" s="102"/>
      <c r="Y598" s="102"/>
      <c r="Z598" s="102"/>
      <c r="AA598" s="102"/>
      <c r="AB598" s="102"/>
      <c r="AC598" s="102"/>
      <c r="AD598" s="102"/>
      <c r="AE598" s="102"/>
      <c r="AF598" s="102"/>
      <c r="AG598" s="102"/>
      <c r="AH598" s="102"/>
      <c r="AI598" s="102"/>
      <c r="AJ598" s="102"/>
      <c r="AK598" s="102"/>
      <c r="AL598" s="102"/>
      <c r="AM598" s="102"/>
      <c r="AN598" s="102"/>
      <c r="AO598" s="102"/>
      <c r="AP598" s="102"/>
      <c r="AQ598" s="102"/>
      <c r="AR598" s="102"/>
      <c r="AS598" s="102"/>
      <c r="AT598" s="102"/>
      <c r="AU598" s="102"/>
      <c r="AV598" s="102"/>
    </row>
    <row r="599" ht="12.75" customHeight="1">
      <c r="C599" s="400"/>
      <c r="D599" s="102"/>
      <c r="I599" s="102"/>
      <c r="J599" s="102"/>
      <c r="K599" s="102"/>
      <c r="L599" s="102"/>
      <c r="M599" s="102"/>
      <c r="N599" s="102"/>
      <c r="O599" s="102"/>
      <c r="P599" s="102"/>
      <c r="Q599" s="102"/>
      <c r="R599" s="102"/>
      <c r="S599" s="102"/>
      <c r="T599" s="102"/>
      <c r="U599" s="102"/>
      <c r="V599" s="102"/>
      <c r="W599" s="102"/>
      <c r="X599" s="102"/>
      <c r="Y599" s="102"/>
      <c r="Z599" s="102"/>
      <c r="AA599" s="102"/>
      <c r="AB599" s="102"/>
      <c r="AC599" s="102"/>
      <c r="AD599" s="102"/>
      <c r="AE599" s="102"/>
      <c r="AF599" s="102"/>
      <c r="AG599" s="102"/>
      <c r="AH599" s="102"/>
      <c r="AI599" s="102"/>
      <c r="AJ599" s="102"/>
      <c r="AK599" s="102"/>
      <c r="AL599" s="102"/>
      <c r="AM599" s="102"/>
      <c r="AN599" s="102"/>
      <c r="AO599" s="102"/>
      <c r="AP599" s="102"/>
      <c r="AQ599" s="102"/>
      <c r="AR599" s="102"/>
      <c r="AS599" s="102"/>
      <c r="AT599" s="102"/>
      <c r="AU599" s="102"/>
      <c r="AV599" s="102"/>
    </row>
    <row r="600" ht="12.75" customHeight="1">
      <c r="C600" s="400"/>
      <c r="D600" s="102"/>
      <c r="I600" s="102"/>
      <c r="J600" s="102"/>
      <c r="K600" s="102"/>
      <c r="L600" s="102"/>
      <c r="M600" s="102"/>
      <c r="N600" s="102"/>
      <c r="O600" s="102"/>
      <c r="P600" s="102"/>
      <c r="Q600" s="102"/>
      <c r="R600" s="102"/>
      <c r="S600" s="102"/>
      <c r="T600" s="102"/>
      <c r="U600" s="102"/>
      <c r="V600" s="102"/>
      <c r="W600" s="102"/>
      <c r="X600" s="102"/>
      <c r="Y600" s="102"/>
      <c r="Z600" s="102"/>
      <c r="AA600" s="102"/>
      <c r="AB600" s="102"/>
      <c r="AC600" s="102"/>
      <c r="AD600" s="102"/>
      <c r="AE600" s="102"/>
      <c r="AF600" s="102"/>
      <c r="AG600" s="102"/>
      <c r="AH600" s="102"/>
      <c r="AI600" s="102"/>
      <c r="AJ600" s="102"/>
      <c r="AK600" s="102"/>
      <c r="AL600" s="102"/>
      <c r="AM600" s="102"/>
      <c r="AN600" s="102"/>
      <c r="AO600" s="102"/>
      <c r="AP600" s="102"/>
      <c r="AQ600" s="102"/>
      <c r="AR600" s="102"/>
      <c r="AS600" s="102"/>
      <c r="AT600" s="102"/>
      <c r="AU600" s="102"/>
      <c r="AV600" s="102"/>
    </row>
    <row r="601" ht="12.75" customHeight="1">
      <c r="C601" s="400"/>
      <c r="D601" s="102"/>
      <c r="I601" s="102"/>
      <c r="J601" s="102"/>
      <c r="K601" s="102"/>
      <c r="L601" s="102"/>
      <c r="M601" s="102"/>
      <c r="N601" s="102"/>
      <c r="O601" s="102"/>
      <c r="P601" s="102"/>
      <c r="Q601" s="102"/>
      <c r="R601" s="102"/>
      <c r="S601" s="102"/>
      <c r="T601" s="102"/>
      <c r="U601" s="102"/>
      <c r="V601" s="102"/>
      <c r="W601" s="102"/>
      <c r="X601" s="102"/>
      <c r="Y601" s="102"/>
      <c r="Z601" s="102"/>
      <c r="AA601" s="102"/>
      <c r="AB601" s="102"/>
      <c r="AC601" s="102"/>
      <c r="AD601" s="102"/>
      <c r="AE601" s="102"/>
      <c r="AF601" s="102"/>
      <c r="AG601" s="102"/>
      <c r="AH601" s="102"/>
      <c r="AI601" s="102"/>
      <c r="AJ601" s="102"/>
      <c r="AK601" s="102"/>
      <c r="AL601" s="102"/>
      <c r="AM601" s="102"/>
      <c r="AN601" s="102"/>
      <c r="AO601" s="102"/>
      <c r="AP601" s="102"/>
      <c r="AQ601" s="102"/>
      <c r="AR601" s="102"/>
      <c r="AS601" s="102"/>
      <c r="AT601" s="102"/>
      <c r="AU601" s="102"/>
      <c r="AV601" s="102"/>
    </row>
    <row r="602" ht="12.75" customHeight="1">
      <c r="C602" s="400"/>
      <c r="D602" s="102"/>
      <c r="I602" s="102"/>
      <c r="J602" s="102"/>
      <c r="K602" s="102"/>
      <c r="L602" s="102"/>
      <c r="M602" s="102"/>
      <c r="N602" s="102"/>
      <c r="O602" s="102"/>
      <c r="P602" s="102"/>
      <c r="Q602" s="102"/>
      <c r="R602" s="102"/>
      <c r="S602" s="102"/>
      <c r="T602" s="102"/>
      <c r="U602" s="102"/>
      <c r="V602" s="102"/>
      <c r="W602" s="102"/>
      <c r="X602" s="102"/>
      <c r="Y602" s="102"/>
      <c r="Z602" s="102"/>
      <c r="AA602" s="102"/>
      <c r="AB602" s="102"/>
      <c r="AC602" s="102"/>
      <c r="AD602" s="102"/>
      <c r="AE602" s="102"/>
      <c r="AF602" s="102"/>
      <c r="AG602" s="102"/>
      <c r="AH602" s="102"/>
      <c r="AI602" s="102"/>
      <c r="AJ602" s="102"/>
      <c r="AK602" s="102"/>
      <c r="AL602" s="102"/>
      <c r="AM602" s="102"/>
      <c r="AN602" s="102"/>
      <c r="AO602" s="102"/>
      <c r="AP602" s="102"/>
      <c r="AQ602" s="102"/>
      <c r="AR602" s="102"/>
      <c r="AS602" s="102"/>
      <c r="AT602" s="102"/>
      <c r="AU602" s="102"/>
      <c r="AV602" s="102"/>
    </row>
    <row r="603" ht="12.75" customHeight="1">
      <c r="C603" s="400"/>
      <c r="D603" s="102"/>
      <c r="I603" s="102"/>
      <c r="J603" s="102"/>
      <c r="K603" s="102"/>
      <c r="L603" s="102"/>
      <c r="M603" s="102"/>
      <c r="N603" s="102"/>
      <c r="O603" s="102"/>
      <c r="P603" s="102"/>
      <c r="Q603" s="102"/>
      <c r="R603" s="102"/>
      <c r="S603" s="102"/>
      <c r="T603" s="102"/>
      <c r="U603" s="102"/>
      <c r="V603" s="102"/>
      <c r="W603" s="102"/>
      <c r="X603" s="102"/>
      <c r="Y603" s="102"/>
      <c r="Z603" s="102"/>
      <c r="AA603" s="102"/>
      <c r="AB603" s="102"/>
      <c r="AC603" s="102"/>
      <c r="AD603" s="102"/>
      <c r="AE603" s="102"/>
      <c r="AF603" s="102"/>
      <c r="AG603" s="102"/>
      <c r="AH603" s="102"/>
      <c r="AI603" s="102"/>
      <c r="AJ603" s="102"/>
      <c r="AK603" s="102"/>
      <c r="AL603" s="102"/>
      <c r="AM603" s="102"/>
      <c r="AN603" s="102"/>
      <c r="AO603" s="102"/>
      <c r="AP603" s="102"/>
      <c r="AQ603" s="102"/>
      <c r="AR603" s="102"/>
      <c r="AS603" s="102"/>
      <c r="AT603" s="102"/>
      <c r="AU603" s="102"/>
      <c r="AV603" s="102"/>
    </row>
    <row r="604" ht="12.75" customHeight="1">
      <c r="C604" s="400"/>
      <c r="D604" s="102"/>
      <c r="I604" s="102"/>
      <c r="J604" s="102"/>
      <c r="K604" s="102"/>
      <c r="L604" s="102"/>
      <c r="M604" s="102"/>
      <c r="N604" s="102"/>
      <c r="O604" s="102"/>
      <c r="P604" s="102"/>
      <c r="Q604" s="102"/>
      <c r="R604" s="102"/>
      <c r="S604" s="102"/>
      <c r="T604" s="102"/>
      <c r="U604" s="102"/>
      <c r="V604" s="102"/>
      <c r="W604" s="102"/>
      <c r="X604" s="102"/>
      <c r="Y604" s="102"/>
      <c r="Z604" s="102"/>
      <c r="AA604" s="102"/>
      <c r="AB604" s="102"/>
      <c r="AC604" s="102"/>
      <c r="AD604" s="102"/>
      <c r="AE604" s="102"/>
      <c r="AF604" s="102"/>
      <c r="AG604" s="102"/>
      <c r="AH604" s="102"/>
      <c r="AI604" s="102"/>
      <c r="AJ604" s="102"/>
      <c r="AK604" s="102"/>
      <c r="AL604" s="102"/>
      <c r="AM604" s="102"/>
      <c r="AN604" s="102"/>
      <c r="AO604" s="102"/>
      <c r="AP604" s="102"/>
      <c r="AQ604" s="102"/>
      <c r="AR604" s="102"/>
      <c r="AS604" s="102"/>
      <c r="AT604" s="102"/>
      <c r="AU604" s="102"/>
      <c r="AV604" s="102"/>
    </row>
    <row r="605" ht="12.75" customHeight="1">
      <c r="C605" s="400"/>
      <c r="D605" s="102"/>
      <c r="I605" s="102"/>
      <c r="J605" s="102"/>
      <c r="K605" s="102"/>
      <c r="L605" s="102"/>
      <c r="M605" s="102"/>
      <c r="N605" s="102"/>
      <c r="O605" s="102"/>
      <c r="P605" s="102"/>
      <c r="Q605" s="102"/>
      <c r="R605" s="102"/>
      <c r="S605" s="102"/>
      <c r="T605" s="102"/>
      <c r="U605" s="102"/>
      <c r="V605" s="102"/>
      <c r="W605" s="102"/>
      <c r="X605" s="102"/>
      <c r="Y605" s="102"/>
      <c r="Z605" s="102"/>
      <c r="AA605" s="102"/>
      <c r="AB605" s="102"/>
      <c r="AC605" s="102"/>
      <c r="AD605" s="102"/>
      <c r="AE605" s="102"/>
      <c r="AF605" s="102"/>
      <c r="AG605" s="102"/>
      <c r="AH605" s="102"/>
      <c r="AI605" s="102"/>
      <c r="AJ605" s="102"/>
      <c r="AK605" s="102"/>
      <c r="AL605" s="102"/>
      <c r="AM605" s="102"/>
      <c r="AN605" s="102"/>
      <c r="AO605" s="102"/>
      <c r="AP605" s="102"/>
      <c r="AQ605" s="102"/>
      <c r="AR605" s="102"/>
      <c r="AS605" s="102"/>
      <c r="AT605" s="102"/>
      <c r="AU605" s="102"/>
      <c r="AV605" s="102"/>
    </row>
    <row r="606" ht="12.75" customHeight="1">
      <c r="C606" s="400"/>
      <c r="D606" s="102"/>
      <c r="I606" s="102"/>
      <c r="J606" s="102"/>
      <c r="K606" s="102"/>
      <c r="L606" s="102"/>
      <c r="M606" s="102"/>
      <c r="N606" s="102"/>
      <c r="O606" s="102"/>
      <c r="P606" s="102"/>
      <c r="Q606" s="102"/>
      <c r="R606" s="102"/>
      <c r="S606" s="102"/>
      <c r="T606" s="102"/>
      <c r="U606" s="102"/>
      <c r="V606" s="102"/>
      <c r="W606" s="102"/>
      <c r="X606" s="102"/>
      <c r="Y606" s="102"/>
      <c r="Z606" s="102"/>
      <c r="AA606" s="102"/>
      <c r="AB606" s="102"/>
      <c r="AC606" s="102"/>
      <c r="AD606" s="102"/>
      <c r="AE606" s="102"/>
      <c r="AF606" s="102"/>
      <c r="AG606" s="102"/>
      <c r="AH606" s="102"/>
      <c r="AI606" s="102"/>
      <c r="AJ606" s="102"/>
      <c r="AK606" s="102"/>
      <c r="AL606" s="102"/>
      <c r="AM606" s="102"/>
      <c r="AN606" s="102"/>
      <c r="AO606" s="102"/>
      <c r="AP606" s="102"/>
      <c r="AQ606" s="102"/>
      <c r="AR606" s="102"/>
      <c r="AS606" s="102"/>
      <c r="AT606" s="102"/>
      <c r="AU606" s="102"/>
      <c r="AV606" s="102"/>
    </row>
    <row r="607" ht="12.75" customHeight="1">
      <c r="C607" s="400"/>
      <c r="D607" s="102"/>
      <c r="I607" s="102"/>
      <c r="J607" s="102"/>
      <c r="K607" s="102"/>
      <c r="L607" s="102"/>
      <c r="M607" s="102"/>
      <c r="N607" s="102"/>
      <c r="O607" s="102"/>
      <c r="P607" s="102"/>
      <c r="Q607" s="102"/>
      <c r="R607" s="102"/>
      <c r="S607" s="102"/>
      <c r="T607" s="102"/>
      <c r="U607" s="102"/>
      <c r="V607" s="102"/>
      <c r="W607" s="102"/>
      <c r="X607" s="102"/>
      <c r="Y607" s="102"/>
      <c r="Z607" s="102"/>
      <c r="AA607" s="102"/>
      <c r="AB607" s="102"/>
      <c r="AC607" s="102"/>
      <c r="AD607" s="102"/>
      <c r="AE607" s="102"/>
      <c r="AF607" s="102"/>
      <c r="AG607" s="102"/>
      <c r="AH607" s="102"/>
      <c r="AI607" s="102"/>
      <c r="AJ607" s="102"/>
      <c r="AK607" s="102"/>
      <c r="AL607" s="102"/>
      <c r="AM607" s="102"/>
      <c r="AN607" s="102"/>
      <c r="AO607" s="102"/>
      <c r="AP607" s="102"/>
      <c r="AQ607" s="102"/>
      <c r="AR607" s="102"/>
      <c r="AS607" s="102"/>
      <c r="AT607" s="102"/>
      <c r="AU607" s="102"/>
      <c r="AV607" s="102"/>
    </row>
    <row r="608" ht="12.75" customHeight="1">
      <c r="C608" s="400"/>
      <c r="D608" s="102"/>
      <c r="I608" s="102"/>
      <c r="J608" s="102"/>
      <c r="K608" s="102"/>
      <c r="L608" s="102"/>
      <c r="M608" s="102"/>
      <c r="N608" s="102"/>
      <c r="O608" s="102"/>
      <c r="P608" s="102"/>
      <c r="Q608" s="102"/>
      <c r="R608" s="102"/>
      <c r="S608" s="102"/>
      <c r="T608" s="102"/>
      <c r="U608" s="102"/>
      <c r="V608" s="102"/>
      <c r="W608" s="102"/>
      <c r="X608" s="102"/>
      <c r="Y608" s="102"/>
      <c r="Z608" s="102"/>
      <c r="AA608" s="102"/>
      <c r="AB608" s="102"/>
      <c r="AC608" s="102"/>
      <c r="AD608" s="102"/>
      <c r="AE608" s="102"/>
      <c r="AF608" s="102"/>
      <c r="AG608" s="102"/>
      <c r="AH608" s="102"/>
      <c r="AI608" s="102"/>
      <c r="AJ608" s="102"/>
      <c r="AK608" s="102"/>
      <c r="AL608" s="102"/>
      <c r="AM608" s="102"/>
      <c r="AN608" s="102"/>
      <c r="AO608" s="102"/>
      <c r="AP608" s="102"/>
      <c r="AQ608" s="102"/>
      <c r="AR608" s="102"/>
      <c r="AS608" s="102"/>
      <c r="AT608" s="102"/>
      <c r="AU608" s="102"/>
      <c r="AV608" s="102"/>
    </row>
    <row r="609" ht="12.75" customHeight="1">
      <c r="C609" s="400"/>
      <c r="D609" s="102"/>
      <c r="I609" s="102"/>
      <c r="J609" s="102"/>
      <c r="K609" s="102"/>
      <c r="L609" s="102"/>
      <c r="M609" s="102"/>
      <c r="N609" s="102"/>
      <c r="O609" s="102"/>
      <c r="P609" s="102"/>
      <c r="Q609" s="102"/>
      <c r="R609" s="102"/>
      <c r="S609" s="102"/>
      <c r="T609" s="102"/>
      <c r="U609" s="102"/>
      <c r="V609" s="102"/>
      <c r="W609" s="102"/>
      <c r="X609" s="102"/>
      <c r="Y609" s="102"/>
      <c r="Z609" s="102"/>
      <c r="AA609" s="102"/>
      <c r="AB609" s="102"/>
      <c r="AC609" s="102"/>
      <c r="AD609" s="102"/>
      <c r="AE609" s="102"/>
      <c r="AF609" s="102"/>
      <c r="AG609" s="102"/>
      <c r="AH609" s="102"/>
      <c r="AI609" s="102"/>
      <c r="AJ609" s="102"/>
      <c r="AK609" s="102"/>
      <c r="AL609" s="102"/>
      <c r="AM609" s="102"/>
      <c r="AN609" s="102"/>
      <c r="AO609" s="102"/>
      <c r="AP609" s="102"/>
      <c r="AQ609" s="102"/>
      <c r="AR609" s="102"/>
      <c r="AS609" s="102"/>
      <c r="AT609" s="102"/>
      <c r="AU609" s="102"/>
      <c r="AV609" s="102"/>
    </row>
    <row r="610" ht="12.75" customHeight="1">
      <c r="C610" s="400"/>
      <c r="D610" s="102"/>
      <c r="I610" s="102"/>
      <c r="J610" s="102"/>
      <c r="K610" s="102"/>
      <c r="L610" s="102"/>
      <c r="M610" s="102"/>
      <c r="N610" s="102"/>
      <c r="O610" s="102"/>
      <c r="P610" s="102"/>
      <c r="Q610" s="102"/>
      <c r="R610" s="102"/>
      <c r="S610" s="102"/>
      <c r="T610" s="102"/>
      <c r="U610" s="102"/>
      <c r="V610" s="102"/>
      <c r="W610" s="102"/>
      <c r="X610" s="102"/>
      <c r="Y610" s="102"/>
      <c r="Z610" s="102"/>
      <c r="AA610" s="102"/>
      <c r="AB610" s="102"/>
      <c r="AC610" s="102"/>
      <c r="AD610" s="102"/>
      <c r="AE610" s="102"/>
      <c r="AF610" s="102"/>
      <c r="AG610" s="102"/>
      <c r="AH610" s="102"/>
      <c r="AI610" s="102"/>
      <c r="AJ610" s="102"/>
      <c r="AK610" s="102"/>
      <c r="AL610" s="102"/>
      <c r="AM610" s="102"/>
      <c r="AN610" s="102"/>
      <c r="AO610" s="102"/>
      <c r="AP610" s="102"/>
      <c r="AQ610" s="102"/>
      <c r="AR610" s="102"/>
      <c r="AS610" s="102"/>
      <c r="AT610" s="102"/>
      <c r="AU610" s="102"/>
      <c r="AV610" s="102"/>
    </row>
    <row r="611" ht="12.75" customHeight="1">
      <c r="C611" s="400"/>
      <c r="D611" s="102"/>
      <c r="I611" s="102"/>
      <c r="J611" s="102"/>
      <c r="K611" s="102"/>
      <c r="L611" s="102"/>
      <c r="M611" s="102"/>
      <c r="N611" s="102"/>
      <c r="O611" s="102"/>
      <c r="P611" s="102"/>
      <c r="Q611" s="102"/>
      <c r="R611" s="102"/>
      <c r="S611" s="102"/>
      <c r="T611" s="102"/>
      <c r="U611" s="102"/>
      <c r="V611" s="102"/>
      <c r="W611" s="102"/>
      <c r="X611" s="102"/>
      <c r="Y611" s="102"/>
      <c r="Z611" s="102"/>
      <c r="AA611" s="102"/>
      <c r="AB611" s="102"/>
      <c r="AC611" s="102"/>
      <c r="AD611" s="102"/>
      <c r="AE611" s="102"/>
      <c r="AF611" s="102"/>
      <c r="AG611" s="102"/>
      <c r="AH611" s="102"/>
      <c r="AI611" s="102"/>
      <c r="AJ611" s="102"/>
      <c r="AK611" s="102"/>
      <c r="AL611" s="102"/>
      <c r="AM611" s="102"/>
      <c r="AN611" s="102"/>
      <c r="AO611" s="102"/>
      <c r="AP611" s="102"/>
      <c r="AQ611" s="102"/>
      <c r="AR611" s="102"/>
      <c r="AS611" s="102"/>
      <c r="AT611" s="102"/>
      <c r="AU611" s="102"/>
      <c r="AV611" s="102"/>
    </row>
    <row r="612" ht="12.75" customHeight="1">
      <c r="C612" s="400"/>
      <c r="D612" s="102"/>
      <c r="I612" s="102"/>
      <c r="J612" s="102"/>
      <c r="K612" s="102"/>
      <c r="L612" s="102"/>
      <c r="M612" s="102"/>
      <c r="N612" s="102"/>
      <c r="O612" s="102"/>
      <c r="P612" s="102"/>
      <c r="Q612" s="102"/>
      <c r="R612" s="102"/>
      <c r="S612" s="102"/>
      <c r="T612" s="102"/>
      <c r="U612" s="102"/>
      <c r="V612" s="102"/>
      <c r="W612" s="102"/>
      <c r="X612" s="102"/>
      <c r="Y612" s="102"/>
      <c r="Z612" s="102"/>
      <c r="AA612" s="102"/>
      <c r="AB612" s="102"/>
      <c r="AC612" s="102"/>
      <c r="AD612" s="102"/>
      <c r="AE612" s="102"/>
      <c r="AF612" s="102"/>
      <c r="AG612" s="102"/>
      <c r="AH612" s="102"/>
      <c r="AI612" s="102"/>
      <c r="AJ612" s="102"/>
      <c r="AK612" s="102"/>
      <c r="AL612" s="102"/>
      <c r="AM612" s="102"/>
      <c r="AN612" s="102"/>
      <c r="AO612" s="102"/>
      <c r="AP612" s="102"/>
      <c r="AQ612" s="102"/>
      <c r="AR612" s="102"/>
      <c r="AS612" s="102"/>
      <c r="AT612" s="102"/>
      <c r="AU612" s="102"/>
      <c r="AV612" s="102"/>
    </row>
    <row r="613" ht="12.75" customHeight="1">
      <c r="C613" s="400"/>
      <c r="D613" s="102"/>
      <c r="I613" s="102"/>
      <c r="J613" s="102"/>
      <c r="K613" s="102"/>
      <c r="L613" s="102"/>
      <c r="M613" s="102"/>
      <c r="N613" s="102"/>
      <c r="O613" s="102"/>
      <c r="P613" s="102"/>
      <c r="Q613" s="102"/>
      <c r="R613" s="102"/>
      <c r="S613" s="102"/>
      <c r="T613" s="102"/>
      <c r="U613" s="102"/>
      <c r="V613" s="102"/>
      <c r="W613" s="102"/>
      <c r="X613" s="102"/>
      <c r="Y613" s="102"/>
      <c r="Z613" s="102"/>
      <c r="AA613" s="102"/>
      <c r="AB613" s="102"/>
      <c r="AC613" s="102"/>
      <c r="AD613" s="102"/>
      <c r="AE613" s="102"/>
      <c r="AF613" s="102"/>
      <c r="AG613" s="102"/>
      <c r="AH613" s="102"/>
      <c r="AI613" s="102"/>
      <c r="AJ613" s="102"/>
      <c r="AK613" s="102"/>
      <c r="AL613" s="102"/>
      <c r="AM613" s="102"/>
      <c r="AN613" s="102"/>
      <c r="AO613" s="102"/>
      <c r="AP613" s="102"/>
      <c r="AQ613" s="102"/>
      <c r="AR613" s="102"/>
      <c r="AS613" s="102"/>
      <c r="AT613" s="102"/>
      <c r="AU613" s="102"/>
      <c r="AV613" s="102"/>
    </row>
    <row r="614" ht="12.75" customHeight="1">
      <c r="C614" s="400"/>
      <c r="D614" s="102"/>
      <c r="I614" s="102"/>
      <c r="J614" s="102"/>
      <c r="K614" s="102"/>
      <c r="L614" s="102"/>
      <c r="M614" s="102"/>
      <c r="N614" s="102"/>
      <c r="O614" s="102"/>
      <c r="P614" s="102"/>
      <c r="Q614" s="102"/>
      <c r="R614" s="102"/>
      <c r="S614" s="102"/>
      <c r="T614" s="102"/>
      <c r="U614" s="102"/>
      <c r="V614" s="102"/>
      <c r="W614" s="102"/>
      <c r="X614" s="102"/>
      <c r="Y614" s="102"/>
      <c r="Z614" s="102"/>
      <c r="AA614" s="102"/>
      <c r="AB614" s="102"/>
      <c r="AC614" s="102"/>
      <c r="AD614" s="102"/>
      <c r="AE614" s="102"/>
      <c r="AF614" s="102"/>
      <c r="AG614" s="102"/>
      <c r="AH614" s="102"/>
      <c r="AI614" s="102"/>
      <c r="AJ614" s="102"/>
      <c r="AK614" s="102"/>
      <c r="AL614" s="102"/>
      <c r="AM614" s="102"/>
      <c r="AN614" s="102"/>
      <c r="AO614" s="102"/>
      <c r="AP614" s="102"/>
      <c r="AQ614" s="102"/>
      <c r="AR614" s="102"/>
      <c r="AS614" s="102"/>
      <c r="AT614" s="102"/>
      <c r="AU614" s="102"/>
      <c r="AV614" s="102"/>
    </row>
    <row r="615" ht="12.75" customHeight="1">
      <c r="C615" s="400"/>
      <c r="D615" s="102"/>
      <c r="I615" s="102"/>
      <c r="J615" s="102"/>
      <c r="K615" s="102"/>
      <c r="L615" s="102"/>
      <c r="M615" s="102"/>
      <c r="N615" s="102"/>
      <c r="O615" s="102"/>
      <c r="P615" s="102"/>
      <c r="Q615" s="102"/>
      <c r="R615" s="102"/>
      <c r="S615" s="102"/>
      <c r="T615" s="102"/>
      <c r="U615" s="102"/>
      <c r="V615" s="102"/>
      <c r="W615" s="102"/>
      <c r="X615" s="102"/>
      <c r="Y615" s="102"/>
      <c r="Z615" s="102"/>
      <c r="AA615" s="102"/>
      <c r="AB615" s="102"/>
      <c r="AC615" s="102"/>
      <c r="AD615" s="102"/>
      <c r="AE615" s="102"/>
      <c r="AF615" s="102"/>
      <c r="AG615" s="102"/>
      <c r="AH615" s="102"/>
      <c r="AI615" s="102"/>
      <c r="AJ615" s="102"/>
      <c r="AK615" s="102"/>
      <c r="AL615" s="102"/>
      <c r="AM615" s="102"/>
      <c r="AN615" s="102"/>
      <c r="AO615" s="102"/>
      <c r="AP615" s="102"/>
      <c r="AQ615" s="102"/>
      <c r="AR615" s="102"/>
      <c r="AS615" s="102"/>
      <c r="AT615" s="102"/>
      <c r="AU615" s="102"/>
      <c r="AV615" s="102"/>
    </row>
    <row r="616" ht="12.75" customHeight="1">
      <c r="C616" s="400"/>
      <c r="D616" s="102"/>
      <c r="I616" s="102"/>
      <c r="J616" s="102"/>
      <c r="K616" s="102"/>
      <c r="L616" s="102"/>
      <c r="M616" s="102"/>
      <c r="N616" s="102"/>
      <c r="O616" s="102"/>
      <c r="P616" s="102"/>
      <c r="Q616" s="102"/>
      <c r="R616" s="102"/>
      <c r="S616" s="102"/>
      <c r="T616" s="102"/>
      <c r="U616" s="102"/>
      <c r="V616" s="102"/>
      <c r="W616" s="102"/>
      <c r="X616" s="102"/>
      <c r="Y616" s="102"/>
      <c r="Z616" s="102"/>
      <c r="AA616" s="102"/>
      <c r="AB616" s="102"/>
      <c r="AC616" s="102"/>
      <c r="AD616" s="102"/>
      <c r="AE616" s="102"/>
      <c r="AF616" s="102"/>
      <c r="AG616" s="102"/>
      <c r="AH616" s="102"/>
      <c r="AI616" s="102"/>
      <c r="AJ616" s="102"/>
      <c r="AK616" s="102"/>
      <c r="AL616" s="102"/>
      <c r="AM616" s="102"/>
      <c r="AN616" s="102"/>
      <c r="AO616" s="102"/>
      <c r="AP616" s="102"/>
      <c r="AQ616" s="102"/>
      <c r="AR616" s="102"/>
      <c r="AS616" s="102"/>
      <c r="AT616" s="102"/>
      <c r="AU616" s="102"/>
      <c r="AV616" s="102"/>
    </row>
    <row r="617" ht="12.75" customHeight="1">
      <c r="C617" s="400"/>
      <c r="D617" s="102"/>
      <c r="I617" s="102"/>
      <c r="J617" s="102"/>
      <c r="K617" s="102"/>
      <c r="L617" s="102"/>
      <c r="M617" s="102"/>
      <c r="N617" s="102"/>
      <c r="O617" s="102"/>
      <c r="P617" s="102"/>
      <c r="Q617" s="102"/>
      <c r="R617" s="102"/>
      <c r="S617" s="102"/>
      <c r="T617" s="102"/>
      <c r="U617" s="102"/>
      <c r="V617" s="102"/>
      <c r="W617" s="102"/>
      <c r="X617" s="102"/>
      <c r="Y617" s="102"/>
      <c r="Z617" s="102"/>
      <c r="AA617" s="102"/>
      <c r="AB617" s="102"/>
      <c r="AC617" s="102"/>
      <c r="AD617" s="102"/>
      <c r="AE617" s="102"/>
      <c r="AF617" s="102"/>
      <c r="AG617" s="102"/>
      <c r="AH617" s="102"/>
      <c r="AI617" s="102"/>
      <c r="AJ617" s="102"/>
      <c r="AK617" s="102"/>
      <c r="AL617" s="102"/>
      <c r="AM617" s="102"/>
      <c r="AN617" s="102"/>
      <c r="AO617" s="102"/>
      <c r="AP617" s="102"/>
      <c r="AQ617" s="102"/>
      <c r="AR617" s="102"/>
      <c r="AS617" s="102"/>
      <c r="AT617" s="102"/>
      <c r="AU617" s="102"/>
      <c r="AV617" s="102"/>
    </row>
    <row r="618" ht="12.75" customHeight="1">
      <c r="C618" s="400"/>
      <c r="D618" s="102"/>
      <c r="I618" s="102"/>
      <c r="J618" s="102"/>
      <c r="K618" s="102"/>
      <c r="L618" s="102"/>
      <c r="M618" s="102"/>
      <c r="N618" s="102"/>
      <c r="O618" s="102"/>
      <c r="P618" s="102"/>
      <c r="Q618" s="102"/>
      <c r="R618" s="102"/>
      <c r="S618" s="102"/>
      <c r="T618" s="102"/>
      <c r="U618" s="102"/>
      <c r="V618" s="102"/>
      <c r="W618" s="102"/>
      <c r="X618" s="102"/>
      <c r="Y618" s="102"/>
      <c r="Z618" s="102"/>
      <c r="AA618" s="102"/>
      <c r="AB618" s="102"/>
      <c r="AC618" s="102"/>
      <c r="AD618" s="102"/>
      <c r="AE618" s="102"/>
      <c r="AF618" s="102"/>
      <c r="AG618" s="102"/>
      <c r="AH618" s="102"/>
      <c r="AI618" s="102"/>
      <c r="AJ618" s="102"/>
      <c r="AK618" s="102"/>
      <c r="AL618" s="102"/>
      <c r="AM618" s="102"/>
      <c r="AN618" s="102"/>
      <c r="AO618" s="102"/>
      <c r="AP618" s="102"/>
      <c r="AQ618" s="102"/>
      <c r="AR618" s="102"/>
      <c r="AS618" s="102"/>
      <c r="AT618" s="102"/>
      <c r="AU618" s="102"/>
      <c r="AV618" s="102"/>
    </row>
    <row r="619" ht="12.75" customHeight="1">
      <c r="C619" s="400"/>
      <c r="D619" s="102"/>
      <c r="I619" s="102"/>
      <c r="J619" s="102"/>
      <c r="K619" s="102"/>
      <c r="L619" s="102"/>
      <c r="M619" s="102"/>
      <c r="N619" s="102"/>
      <c r="O619" s="102"/>
      <c r="P619" s="102"/>
      <c r="Q619" s="102"/>
      <c r="R619" s="102"/>
      <c r="S619" s="102"/>
      <c r="T619" s="102"/>
      <c r="U619" s="102"/>
      <c r="V619" s="102"/>
      <c r="W619" s="102"/>
      <c r="X619" s="102"/>
      <c r="Y619" s="102"/>
      <c r="Z619" s="102"/>
      <c r="AA619" s="102"/>
      <c r="AB619" s="102"/>
      <c r="AC619" s="102"/>
      <c r="AD619" s="102"/>
      <c r="AE619" s="102"/>
      <c r="AF619" s="102"/>
      <c r="AG619" s="102"/>
      <c r="AH619" s="102"/>
      <c r="AI619" s="102"/>
      <c r="AJ619" s="102"/>
      <c r="AK619" s="102"/>
      <c r="AL619" s="102"/>
      <c r="AM619" s="102"/>
      <c r="AN619" s="102"/>
      <c r="AO619" s="102"/>
      <c r="AP619" s="102"/>
      <c r="AQ619" s="102"/>
      <c r="AR619" s="102"/>
      <c r="AS619" s="102"/>
      <c r="AT619" s="102"/>
      <c r="AU619" s="102"/>
      <c r="AV619" s="102"/>
    </row>
    <row r="620" ht="12.75" customHeight="1">
      <c r="C620" s="400"/>
      <c r="D620" s="102"/>
      <c r="I620" s="102"/>
      <c r="J620" s="102"/>
      <c r="K620" s="102"/>
      <c r="L620" s="102"/>
      <c r="M620" s="102"/>
      <c r="N620" s="102"/>
      <c r="O620" s="102"/>
      <c r="P620" s="102"/>
      <c r="Q620" s="102"/>
      <c r="R620" s="102"/>
      <c r="S620" s="102"/>
      <c r="T620" s="102"/>
      <c r="U620" s="102"/>
      <c r="V620" s="102"/>
      <c r="W620" s="102"/>
      <c r="X620" s="102"/>
      <c r="Y620" s="102"/>
      <c r="Z620" s="102"/>
      <c r="AA620" s="102"/>
      <c r="AB620" s="102"/>
      <c r="AC620" s="102"/>
      <c r="AD620" s="102"/>
      <c r="AE620" s="102"/>
      <c r="AF620" s="102"/>
      <c r="AG620" s="102"/>
      <c r="AH620" s="102"/>
      <c r="AI620" s="102"/>
      <c r="AJ620" s="102"/>
      <c r="AK620" s="102"/>
      <c r="AL620" s="102"/>
      <c r="AM620" s="102"/>
      <c r="AN620" s="102"/>
      <c r="AO620" s="102"/>
      <c r="AP620" s="102"/>
      <c r="AQ620" s="102"/>
      <c r="AR620" s="102"/>
      <c r="AS620" s="102"/>
      <c r="AT620" s="102"/>
      <c r="AU620" s="102"/>
      <c r="AV620" s="102"/>
    </row>
    <row r="621" ht="12.75" customHeight="1">
      <c r="C621" s="400"/>
      <c r="D621" s="102"/>
      <c r="I621" s="102"/>
      <c r="J621" s="102"/>
      <c r="K621" s="102"/>
      <c r="L621" s="102"/>
      <c r="M621" s="102"/>
      <c r="N621" s="102"/>
      <c r="O621" s="102"/>
      <c r="P621" s="102"/>
      <c r="Q621" s="102"/>
      <c r="R621" s="102"/>
      <c r="S621" s="102"/>
      <c r="T621" s="102"/>
      <c r="U621" s="102"/>
      <c r="V621" s="102"/>
      <c r="W621" s="102"/>
      <c r="X621" s="102"/>
      <c r="Y621" s="102"/>
      <c r="Z621" s="102"/>
      <c r="AA621" s="102"/>
      <c r="AB621" s="102"/>
      <c r="AC621" s="102"/>
      <c r="AD621" s="102"/>
      <c r="AE621" s="102"/>
      <c r="AF621" s="102"/>
      <c r="AG621" s="102"/>
      <c r="AH621" s="102"/>
      <c r="AI621" s="102"/>
      <c r="AJ621" s="102"/>
      <c r="AK621" s="102"/>
      <c r="AL621" s="102"/>
      <c r="AM621" s="102"/>
      <c r="AN621" s="102"/>
      <c r="AO621" s="102"/>
      <c r="AP621" s="102"/>
      <c r="AQ621" s="102"/>
      <c r="AR621" s="102"/>
      <c r="AS621" s="102"/>
      <c r="AT621" s="102"/>
      <c r="AU621" s="102"/>
      <c r="AV621" s="102"/>
    </row>
    <row r="622" ht="12.75" customHeight="1">
      <c r="C622" s="400"/>
      <c r="D622" s="102"/>
      <c r="I622" s="102"/>
      <c r="J622" s="102"/>
      <c r="K622" s="102"/>
      <c r="L622" s="102"/>
      <c r="M622" s="102"/>
      <c r="N622" s="102"/>
      <c r="O622" s="102"/>
      <c r="P622" s="102"/>
      <c r="Q622" s="102"/>
      <c r="R622" s="102"/>
      <c r="S622" s="102"/>
      <c r="T622" s="102"/>
      <c r="U622" s="102"/>
      <c r="V622" s="102"/>
      <c r="W622" s="102"/>
      <c r="X622" s="102"/>
      <c r="Y622" s="102"/>
      <c r="Z622" s="102"/>
      <c r="AA622" s="102"/>
      <c r="AB622" s="102"/>
      <c r="AC622" s="102"/>
      <c r="AD622" s="102"/>
      <c r="AE622" s="102"/>
      <c r="AF622" s="102"/>
      <c r="AG622" s="102"/>
      <c r="AH622" s="102"/>
      <c r="AI622" s="102"/>
      <c r="AJ622" s="102"/>
      <c r="AK622" s="102"/>
      <c r="AL622" s="102"/>
      <c r="AM622" s="102"/>
      <c r="AN622" s="102"/>
      <c r="AO622" s="102"/>
      <c r="AP622" s="102"/>
      <c r="AQ622" s="102"/>
      <c r="AR622" s="102"/>
      <c r="AS622" s="102"/>
      <c r="AT622" s="102"/>
      <c r="AU622" s="102"/>
      <c r="AV622" s="102"/>
    </row>
    <row r="623" ht="12.75" customHeight="1">
      <c r="C623" s="400"/>
      <c r="D623" s="102"/>
      <c r="I623" s="102"/>
      <c r="J623" s="102"/>
      <c r="K623" s="102"/>
      <c r="L623" s="102"/>
      <c r="M623" s="102"/>
      <c r="N623" s="102"/>
      <c r="O623" s="102"/>
      <c r="P623" s="102"/>
      <c r="Q623" s="102"/>
      <c r="R623" s="102"/>
      <c r="S623" s="102"/>
      <c r="T623" s="102"/>
      <c r="U623" s="102"/>
      <c r="V623" s="102"/>
      <c r="W623" s="102"/>
      <c r="X623" s="102"/>
      <c r="Y623" s="102"/>
      <c r="Z623" s="102"/>
      <c r="AA623" s="102"/>
      <c r="AB623" s="102"/>
      <c r="AC623" s="102"/>
      <c r="AD623" s="102"/>
      <c r="AE623" s="102"/>
      <c r="AF623" s="102"/>
      <c r="AG623" s="102"/>
      <c r="AH623" s="102"/>
      <c r="AI623" s="102"/>
      <c r="AJ623" s="102"/>
      <c r="AK623" s="102"/>
      <c r="AL623" s="102"/>
      <c r="AM623" s="102"/>
      <c r="AN623" s="102"/>
      <c r="AO623" s="102"/>
      <c r="AP623" s="102"/>
      <c r="AQ623" s="102"/>
      <c r="AR623" s="102"/>
      <c r="AS623" s="102"/>
      <c r="AT623" s="102"/>
      <c r="AU623" s="102"/>
      <c r="AV623" s="102"/>
    </row>
    <row r="624" ht="12.75" customHeight="1">
      <c r="C624" s="400"/>
      <c r="D624" s="102"/>
      <c r="I624" s="102"/>
      <c r="J624" s="102"/>
      <c r="K624" s="102"/>
      <c r="L624" s="102"/>
      <c r="M624" s="102"/>
      <c r="N624" s="102"/>
      <c r="O624" s="102"/>
      <c r="P624" s="102"/>
      <c r="Q624" s="102"/>
      <c r="R624" s="102"/>
      <c r="S624" s="102"/>
      <c r="T624" s="102"/>
      <c r="U624" s="102"/>
      <c r="V624" s="102"/>
      <c r="W624" s="102"/>
      <c r="X624" s="102"/>
      <c r="Y624" s="102"/>
      <c r="Z624" s="102"/>
      <c r="AA624" s="102"/>
      <c r="AB624" s="102"/>
      <c r="AC624" s="102"/>
      <c r="AD624" s="102"/>
      <c r="AE624" s="102"/>
      <c r="AF624" s="102"/>
      <c r="AG624" s="102"/>
      <c r="AH624" s="102"/>
      <c r="AI624" s="102"/>
      <c r="AJ624" s="102"/>
      <c r="AK624" s="102"/>
      <c r="AL624" s="102"/>
      <c r="AM624" s="102"/>
      <c r="AN624" s="102"/>
      <c r="AO624" s="102"/>
      <c r="AP624" s="102"/>
      <c r="AQ624" s="102"/>
      <c r="AR624" s="102"/>
      <c r="AS624" s="102"/>
      <c r="AT624" s="102"/>
      <c r="AU624" s="102"/>
      <c r="AV624" s="102"/>
    </row>
    <row r="625" ht="12.75" customHeight="1">
      <c r="C625" s="400"/>
      <c r="D625" s="102"/>
      <c r="I625" s="102"/>
      <c r="J625" s="102"/>
      <c r="K625" s="102"/>
      <c r="L625" s="102"/>
      <c r="M625" s="102"/>
      <c r="N625" s="102"/>
      <c r="O625" s="102"/>
      <c r="P625" s="102"/>
      <c r="Q625" s="102"/>
      <c r="R625" s="102"/>
      <c r="S625" s="102"/>
      <c r="T625" s="102"/>
      <c r="U625" s="102"/>
      <c r="V625" s="102"/>
      <c r="W625" s="102"/>
      <c r="X625" s="102"/>
      <c r="Y625" s="102"/>
      <c r="Z625" s="102"/>
      <c r="AA625" s="102"/>
      <c r="AB625" s="102"/>
      <c r="AC625" s="102"/>
      <c r="AD625" s="102"/>
      <c r="AE625" s="102"/>
      <c r="AF625" s="102"/>
      <c r="AG625" s="102"/>
      <c r="AH625" s="102"/>
      <c r="AI625" s="102"/>
      <c r="AJ625" s="102"/>
      <c r="AK625" s="102"/>
      <c r="AL625" s="102"/>
      <c r="AM625" s="102"/>
      <c r="AN625" s="102"/>
      <c r="AO625" s="102"/>
      <c r="AP625" s="102"/>
      <c r="AQ625" s="102"/>
      <c r="AR625" s="102"/>
      <c r="AS625" s="102"/>
      <c r="AT625" s="102"/>
      <c r="AU625" s="102"/>
      <c r="AV625" s="102"/>
    </row>
    <row r="626" ht="12.75" customHeight="1">
      <c r="C626" s="400"/>
      <c r="D626" s="102"/>
      <c r="I626" s="102"/>
      <c r="J626" s="102"/>
      <c r="K626" s="102"/>
      <c r="L626" s="102"/>
      <c r="M626" s="102"/>
      <c r="N626" s="102"/>
      <c r="O626" s="102"/>
      <c r="P626" s="102"/>
      <c r="Q626" s="102"/>
      <c r="R626" s="102"/>
      <c r="S626" s="102"/>
      <c r="T626" s="102"/>
      <c r="U626" s="102"/>
      <c r="V626" s="102"/>
      <c r="W626" s="102"/>
      <c r="X626" s="102"/>
      <c r="Y626" s="102"/>
      <c r="Z626" s="102"/>
      <c r="AA626" s="102"/>
      <c r="AB626" s="102"/>
      <c r="AC626" s="102"/>
      <c r="AD626" s="102"/>
      <c r="AE626" s="102"/>
      <c r="AF626" s="102"/>
      <c r="AG626" s="102"/>
      <c r="AH626" s="102"/>
      <c r="AI626" s="102"/>
      <c r="AJ626" s="102"/>
      <c r="AK626" s="102"/>
      <c r="AL626" s="102"/>
      <c r="AM626" s="102"/>
      <c r="AN626" s="102"/>
      <c r="AO626" s="102"/>
      <c r="AP626" s="102"/>
      <c r="AQ626" s="102"/>
      <c r="AR626" s="102"/>
      <c r="AS626" s="102"/>
      <c r="AT626" s="102"/>
      <c r="AU626" s="102"/>
      <c r="AV626" s="102"/>
    </row>
    <row r="627" ht="12.75" customHeight="1">
      <c r="C627" s="400"/>
      <c r="D627" s="102"/>
      <c r="I627" s="102"/>
      <c r="J627" s="102"/>
      <c r="K627" s="102"/>
      <c r="L627" s="102"/>
      <c r="M627" s="102"/>
      <c r="N627" s="102"/>
      <c r="O627" s="102"/>
      <c r="P627" s="102"/>
      <c r="Q627" s="102"/>
      <c r="R627" s="102"/>
      <c r="S627" s="102"/>
      <c r="T627" s="102"/>
      <c r="U627" s="102"/>
      <c r="V627" s="102"/>
      <c r="W627" s="102"/>
      <c r="X627" s="102"/>
      <c r="Y627" s="102"/>
      <c r="Z627" s="102"/>
      <c r="AA627" s="102"/>
      <c r="AB627" s="102"/>
      <c r="AC627" s="102"/>
      <c r="AD627" s="102"/>
      <c r="AE627" s="102"/>
      <c r="AF627" s="102"/>
      <c r="AG627" s="102"/>
      <c r="AH627" s="102"/>
      <c r="AI627" s="102"/>
      <c r="AJ627" s="102"/>
      <c r="AK627" s="102"/>
      <c r="AL627" s="102"/>
      <c r="AM627" s="102"/>
      <c r="AN627" s="102"/>
      <c r="AO627" s="102"/>
      <c r="AP627" s="102"/>
      <c r="AQ627" s="102"/>
      <c r="AR627" s="102"/>
      <c r="AS627" s="102"/>
      <c r="AT627" s="102"/>
      <c r="AU627" s="102"/>
      <c r="AV627" s="102"/>
    </row>
    <row r="628" ht="12.75" customHeight="1">
      <c r="C628" s="400"/>
      <c r="D628" s="102"/>
      <c r="I628" s="102"/>
      <c r="J628" s="102"/>
      <c r="K628" s="102"/>
      <c r="L628" s="102"/>
      <c r="M628" s="102"/>
      <c r="N628" s="102"/>
      <c r="O628" s="102"/>
      <c r="P628" s="102"/>
      <c r="Q628" s="102"/>
      <c r="R628" s="102"/>
      <c r="S628" s="102"/>
      <c r="T628" s="102"/>
      <c r="U628" s="102"/>
      <c r="V628" s="102"/>
      <c r="W628" s="102"/>
      <c r="X628" s="102"/>
      <c r="Y628" s="102"/>
      <c r="Z628" s="102"/>
      <c r="AA628" s="102"/>
      <c r="AB628" s="102"/>
      <c r="AC628" s="102"/>
      <c r="AD628" s="102"/>
      <c r="AE628" s="102"/>
      <c r="AF628" s="102"/>
      <c r="AG628" s="102"/>
      <c r="AH628" s="102"/>
      <c r="AI628" s="102"/>
      <c r="AJ628" s="102"/>
      <c r="AK628" s="102"/>
      <c r="AL628" s="102"/>
      <c r="AM628" s="102"/>
      <c r="AN628" s="102"/>
      <c r="AO628" s="102"/>
      <c r="AP628" s="102"/>
      <c r="AQ628" s="102"/>
      <c r="AR628" s="102"/>
      <c r="AS628" s="102"/>
      <c r="AT628" s="102"/>
      <c r="AU628" s="102"/>
      <c r="AV628" s="102"/>
    </row>
    <row r="629" ht="12.75" customHeight="1">
      <c r="C629" s="400"/>
      <c r="D629" s="102"/>
      <c r="I629" s="102"/>
      <c r="J629" s="102"/>
      <c r="K629" s="102"/>
      <c r="L629" s="102"/>
      <c r="M629" s="102"/>
      <c r="N629" s="102"/>
      <c r="O629" s="102"/>
      <c r="P629" s="102"/>
      <c r="Q629" s="102"/>
      <c r="R629" s="102"/>
      <c r="S629" s="102"/>
      <c r="T629" s="102"/>
      <c r="U629" s="102"/>
      <c r="V629" s="102"/>
      <c r="W629" s="102"/>
      <c r="X629" s="102"/>
      <c r="Y629" s="102"/>
      <c r="Z629" s="102"/>
      <c r="AA629" s="102"/>
      <c r="AB629" s="102"/>
      <c r="AC629" s="102"/>
      <c r="AD629" s="102"/>
      <c r="AE629" s="102"/>
      <c r="AF629" s="102"/>
      <c r="AG629" s="102"/>
      <c r="AH629" s="102"/>
      <c r="AI629" s="102"/>
      <c r="AJ629" s="102"/>
      <c r="AK629" s="102"/>
      <c r="AL629" s="102"/>
      <c r="AM629" s="102"/>
      <c r="AN629" s="102"/>
      <c r="AO629" s="102"/>
      <c r="AP629" s="102"/>
      <c r="AQ629" s="102"/>
      <c r="AR629" s="102"/>
      <c r="AS629" s="102"/>
      <c r="AT629" s="102"/>
      <c r="AU629" s="102"/>
      <c r="AV629" s="102"/>
    </row>
    <row r="630" ht="12.75" customHeight="1">
      <c r="C630" s="400"/>
      <c r="D630" s="102"/>
      <c r="I630" s="102"/>
      <c r="J630" s="102"/>
      <c r="K630" s="102"/>
      <c r="L630" s="102"/>
      <c r="M630" s="102"/>
      <c r="N630" s="102"/>
      <c r="O630" s="102"/>
      <c r="P630" s="102"/>
      <c r="Q630" s="102"/>
      <c r="R630" s="102"/>
      <c r="S630" s="102"/>
      <c r="T630" s="102"/>
      <c r="U630" s="102"/>
      <c r="V630" s="102"/>
      <c r="W630" s="102"/>
      <c r="X630" s="102"/>
      <c r="Y630" s="102"/>
      <c r="Z630" s="102"/>
      <c r="AA630" s="102"/>
      <c r="AB630" s="102"/>
      <c r="AC630" s="102"/>
      <c r="AD630" s="102"/>
      <c r="AE630" s="102"/>
      <c r="AF630" s="102"/>
      <c r="AG630" s="102"/>
      <c r="AH630" s="102"/>
      <c r="AI630" s="102"/>
      <c r="AJ630" s="102"/>
      <c r="AK630" s="102"/>
      <c r="AL630" s="102"/>
      <c r="AM630" s="102"/>
      <c r="AN630" s="102"/>
      <c r="AO630" s="102"/>
      <c r="AP630" s="102"/>
      <c r="AQ630" s="102"/>
      <c r="AR630" s="102"/>
      <c r="AS630" s="102"/>
      <c r="AT630" s="102"/>
      <c r="AU630" s="102"/>
      <c r="AV630" s="102"/>
    </row>
    <row r="631" ht="12.75" customHeight="1">
      <c r="C631" s="400"/>
      <c r="D631" s="102"/>
      <c r="I631" s="102"/>
      <c r="J631" s="102"/>
      <c r="K631" s="102"/>
      <c r="L631" s="102"/>
      <c r="M631" s="102"/>
      <c r="N631" s="102"/>
      <c r="O631" s="102"/>
      <c r="P631" s="102"/>
      <c r="Q631" s="102"/>
      <c r="R631" s="102"/>
      <c r="S631" s="102"/>
      <c r="T631" s="102"/>
      <c r="U631" s="102"/>
      <c r="V631" s="102"/>
      <c r="W631" s="102"/>
      <c r="X631" s="102"/>
      <c r="Y631" s="102"/>
      <c r="Z631" s="102"/>
      <c r="AA631" s="102"/>
      <c r="AB631" s="102"/>
      <c r="AC631" s="102"/>
      <c r="AD631" s="102"/>
      <c r="AE631" s="102"/>
      <c r="AF631" s="102"/>
      <c r="AG631" s="102"/>
      <c r="AH631" s="102"/>
      <c r="AI631" s="102"/>
      <c r="AJ631" s="102"/>
      <c r="AK631" s="102"/>
      <c r="AL631" s="102"/>
      <c r="AM631" s="102"/>
      <c r="AN631" s="102"/>
      <c r="AO631" s="102"/>
      <c r="AP631" s="102"/>
      <c r="AQ631" s="102"/>
      <c r="AR631" s="102"/>
      <c r="AS631" s="102"/>
      <c r="AT631" s="102"/>
      <c r="AU631" s="102"/>
      <c r="AV631" s="102"/>
    </row>
    <row r="632" ht="12.75" customHeight="1">
      <c r="C632" s="400"/>
      <c r="D632" s="102"/>
      <c r="I632" s="102"/>
      <c r="J632" s="102"/>
      <c r="K632" s="102"/>
      <c r="L632" s="102"/>
      <c r="M632" s="102"/>
      <c r="N632" s="102"/>
      <c r="O632" s="102"/>
      <c r="P632" s="102"/>
      <c r="Q632" s="102"/>
      <c r="R632" s="102"/>
      <c r="S632" s="102"/>
      <c r="T632" s="102"/>
      <c r="U632" s="102"/>
      <c r="V632" s="102"/>
      <c r="W632" s="102"/>
      <c r="X632" s="102"/>
      <c r="Y632" s="102"/>
      <c r="Z632" s="102"/>
      <c r="AA632" s="102"/>
      <c r="AB632" s="102"/>
      <c r="AC632" s="102"/>
      <c r="AD632" s="102"/>
      <c r="AE632" s="102"/>
      <c r="AF632" s="102"/>
      <c r="AG632" s="102"/>
      <c r="AH632" s="102"/>
      <c r="AI632" s="102"/>
      <c r="AJ632" s="102"/>
      <c r="AK632" s="102"/>
      <c r="AL632" s="102"/>
      <c r="AM632" s="102"/>
      <c r="AN632" s="102"/>
      <c r="AO632" s="102"/>
      <c r="AP632" s="102"/>
      <c r="AQ632" s="102"/>
      <c r="AR632" s="102"/>
      <c r="AS632" s="102"/>
      <c r="AT632" s="102"/>
      <c r="AU632" s="102"/>
      <c r="AV632" s="102"/>
    </row>
    <row r="633" ht="12.75" customHeight="1">
      <c r="C633" s="400"/>
      <c r="D633" s="102"/>
      <c r="I633" s="102"/>
      <c r="J633" s="102"/>
      <c r="K633" s="102"/>
      <c r="L633" s="102"/>
      <c r="M633" s="102"/>
      <c r="N633" s="102"/>
      <c r="O633" s="102"/>
      <c r="P633" s="102"/>
      <c r="Q633" s="102"/>
      <c r="R633" s="102"/>
      <c r="S633" s="102"/>
      <c r="T633" s="102"/>
      <c r="U633" s="102"/>
      <c r="V633" s="102"/>
      <c r="W633" s="102"/>
      <c r="X633" s="102"/>
      <c r="Y633" s="102"/>
      <c r="Z633" s="102"/>
      <c r="AA633" s="102"/>
      <c r="AB633" s="102"/>
      <c r="AC633" s="102"/>
      <c r="AD633" s="102"/>
      <c r="AE633" s="102"/>
      <c r="AF633" s="102"/>
      <c r="AG633" s="102"/>
      <c r="AH633" s="102"/>
      <c r="AI633" s="102"/>
      <c r="AJ633" s="102"/>
      <c r="AK633" s="102"/>
      <c r="AL633" s="102"/>
      <c r="AM633" s="102"/>
      <c r="AN633" s="102"/>
      <c r="AO633" s="102"/>
      <c r="AP633" s="102"/>
      <c r="AQ633" s="102"/>
      <c r="AR633" s="102"/>
      <c r="AS633" s="102"/>
      <c r="AT633" s="102"/>
      <c r="AU633" s="102"/>
      <c r="AV633" s="102"/>
    </row>
    <row r="634" ht="12.75" customHeight="1">
      <c r="C634" s="400"/>
      <c r="D634" s="102"/>
      <c r="I634" s="102"/>
      <c r="J634" s="102"/>
      <c r="K634" s="102"/>
      <c r="L634" s="102"/>
      <c r="M634" s="102"/>
      <c r="N634" s="102"/>
      <c r="O634" s="102"/>
      <c r="P634" s="102"/>
      <c r="Q634" s="102"/>
      <c r="R634" s="102"/>
      <c r="S634" s="102"/>
      <c r="T634" s="102"/>
      <c r="U634" s="102"/>
      <c r="V634" s="102"/>
      <c r="W634" s="102"/>
      <c r="X634" s="102"/>
      <c r="Y634" s="102"/>
      <c r="Z634" s="102"/>
      <c r="AA634" s="102"/>
      <c r="AB634" s="102"/>
      <c r="AC634" s="102"/>
      <c r="AD634" s="102"/>
      <c r="AE634" s="102"/>
      <c r="AF634" s="102"/>
      <c r="AG634" s="102"/>
      <c r="AH634" s="102"/>
      <c r="AI634" s="102"/>
      <c r="AJ634" s="102"/>
      <c r="AK634" s="102"/>
      <c r="AL634" s="102"/>
      <c r="AM634" s="102"/>
      <c r="AN634" s="102"/>
      <c r="AO634" s="102"/>
      <c r="AP634" s="102"/>
      <c r="AQ634" s="102"/>
      <c r="AR634" s="102"/>
      <c r="AS634" s="102"/>
      <c r="AT634" s="102"/>
      <c r="AU634" s="102"/>
      <c r="AV634" s="102"/>
    </row>
    <row r="635" ht="12.75" customHeight="1">
      <c r="C635" s="400"/>
      <c r="D635" s="102"/>
      <c r="I635" s="102"/>
      <c r="J635" s="102"/>
      <c r="K635" s="102"/>
      <c r="L635" s="102"/>
      <c r="M635" s="102"/>
      <c r="N635" s="102"/>
      <c r="O635" s="102"/>
      <c r="P635" s="102"/>
      <c r="Q635" s="102"/>
      <c r="R635" s="102"/>
      <c r="S635" s="102"/>
      <c r="T635" s="102"/>
      <c r="U635" s="102"/>
      <c r="V635" s="102"/>
      <c r="W635" s="102"/>
      <c r="X635" s="102"/>
      <c r="Y635" s="102"/>
      <c r="Z635" s="102"/>
      <c r="AA635" s="102"/>
      <c r="AB635" s="102"/>
      <c r="AC635" s="102"/>
      <c r="AD635" s="102"/>
      <c r="AE635" s="102"/>
      <c r="AF635" s="102"/>
      <c r="AG635" s="102"/>
      <c r="AH635" s="102"/>
      <c r="AI635" s="102"/>
      <c r="AJ635" s="102"/>
      <c r="AK635" s="102"/>
      <c r="AL635" s="102"/>
      <c r="AM635" s="102"/>
      <c r="AN635" s="102"/>
      <c r="AO635" s="102"/>
      <c r="AP635" s="102"/>
      <c r="AQ635" s="102"/>
      <c r="AR635" s="102"/>
      <c r="AS635" s="102"/>
      <c r="AT635" s="102"/>
      <c r="AU635" s="102"/>
      <c r="AV635" s="102"/>
    </row>
    <row r="636" ht="12.75" customHeight="1">
      <c r="C636" s="400"/>
      <c r="D636" s="102"/>
      <c r="I636" s="102"/>
      <c r="J636" s="102"/>
      <c r="K636" s="102"/>
      <c r="L636" s="102"/>
      <c r="M636" s="102"/>
      <c r="N636" s="102"/>
      <c r="O636" s="102"/>
      <c r="P636" s="102"/>
      <c r="Q636" s="102"/>
      <c r="R636" s="102"/>
      <c r="S636" s="102"/>
      <c r="T636" s="102"/>
      <c r="U636" s="102"/>
      <c r="V636" s="102"/>
      <c r="W636" s="102"/>
      <c r="X636" s="102"/>
      <c r="Y636" s="102"/>
      <c r="Z636" s="102"/>
      <c r="AA636" s="102"/>
      <c r="AB636" s="102"/>
      <c r="AC636" s="102"/>
      <c r="AD636" s="102"/>
      <c r="AE636" s="102"/>
      <c r="AF636" s="102"/>
      <c r="AG636" s="102"/>
      <c r="AH636" s="102"/>
      <c r="AI636" s="102"/>
      <c r="AJ636" s="102"/>
      <c r="AK636" s="102"/>
      <c r="AL636" s="102"/>
      <c r="AM636" s="102"/>
      <c r="AN636" s="102"/>
      <c r="AO636" s="102"/>
      <c r="AP636" s="102"/>
      <c r="AQ636" s="102"/>
      <c r="AR636" s="102"/>
      <c r="AS636" s="102"/>
      <c r="AT636" s="102"/>
      <c r="AU636" s="102"/>
      <c r="AV636" s="102"/>
    </row>
    <row r="637" ht="12.75" customHeight="1">
      <c r="C637" s="400"/>
      <c r="D637" s="102"/>
      <c r="I637" s="102"/>
      <c r="J637" s="102"/>
      <c r="K637" s="102"/>
      <c r="L637" s="102"/>
      <c r="M637" s="102"/>
      <c r="N637" s="102"/>
      <c r="O637" s="102"/>
      <c r="P637" s="102"/>
      <c r="Q637" s="102"/>
      <c r="R637" s="102"/>
      <c r="S637" s="102"/>
      <c r="T637" s="102"/>
      <c r="U637" s="102"/>
      <c r="V637" s="102"/>
      <c r="W637" s="102"/>
      <c r="X637" s="102"/>
      <c r="Y637" s="102"/>
      <c r="Z637" s="102"/>
      <c r="AA637" s="102"/>
      <c r="AB637" s="102"/>
      <c r="AC637" s="102"/>
      <c r="AD637" s="102"/>
      <c r="AE637" s="102"/>
      <c r="AF637" s="102"/>
      <c r="AG637" s="102"/>
      <c r="AH637" s="102"/>
      <c r="AI637" s="102"/>
      <c r="AJ637" s="102"/>
      <c r="AK637" s="102"/>
      <c r="AL637" s="102"/>
      <c r="AM637" s="102"/>
      <c r="AN637" s="102"/>
      <c r="AO637" s="102"/>
      <c r="AP637" s="102"/>
      <c r="AQ637" s="102"/>
      <c r="AR637" s="102"/>
      <c r="AS637" s="102"/>
      <c r="AT637" s="102"/>
      <c r="AU637" s="102"/>
      <c r="AV637" s="102"/>
    </row>
    <row r="638" ht="12.75" customHeight="1">
      <c r="C638" s="400"/>
      <c r="D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c r="AG638" s="102"/>
      <c r="AH638" s="102"/>
      <c r="AI638" s="102"/>
      <c r="AJ638" s="102"/>
      <c r="AK638" s="102"/>
      <c r="AL638" s="102"/>
      <c r="AM638" s="102"/>
      <c r="AN638" s="102"/>
      <c r="AO638" s="102"/>
      <c r="AP638" s="102"/>
      <c r="AQ638" s="102"/>
      <c r="AR638" s="102"/>
      <c r="AS638" s="102"/>
      <c r="AT638" s="102"/>
      <c r="AU638" s="102"/>
      <c r="AV638" s="102"/>
    </row>
    <row r="639" ht="12.75" customHeight="1">
      <c r="C639" s="400"/>
      <c r="D639" s="102"/>
      <c r="I639" s="102"/>
      <c r="J639" s="102"/>
      <c r="K639" s="102"/>
      <c r="L639" s="102"/>
      <c r="M639" s="102"/>
      <c r="N639" s="102"/>
      <c r="O639" s="102"/>
      <c r="P639" s="102"/>
      <c r="Q639" s="102"/>
      <c r="R639" s="102"/>
      <c r="S639" s="102"/>
      <c r="T639" s="102"/>
      <c r="U639" s="102"/>
      <c r="V639" s="102"/>
      <c r="W639" s="102"/>
      <c r="X639" s="102"/>
      <c r="Y639" s="102"/>
      <c r="Z639" s="102"/>
      <c r="AA639" s="102"/>
      <c r="AB639" s="102"/>
      <c r="AC639" s="102"/>
      <c r="AD639" s="102"/>
      <c r="AE639" s="102"/>
      <c r="AF639" s="102"/>
      <c r="AG639" s="102"/>
      <c r="AH639" s="102"/>
      <c r="AI639" s="102"/>
      <c r="AJ639" s="102"/>
      <c r="AK639" s="102"/>
      <c r="AL639" s="102"/>
      <c r="AM639" s="102"/>
      <c r="AN639" s="102"/>
      <c r="AO639" s="102"/>
      <c r="AP639" s="102"/>
      <c r="AQ639" s="102"/>
      <c r="AR639" s="102"/>
      <c r="AS639" s="102"/>
      <c r="AT639" s="102"/>
      <c r="AU639" s="102"/>
      <c r="AV639" s="102"/>
    </row>
    <row r="640" ht="12.75" customHeight="1">
      <c r="C640" s="400"/>
      <c r="D640" s="102"/>
      <c r="I640" s="102"/>
      <c r="J640" s="102"/>
      <c r="K640" s="102"/>
      <c r="L640" s="102"/>
      <c r="M640" s="102"/>
      <c r="N640" s="102"/>
      <c r="O640" s="102"/>
      <c r="P640" s="102"/>
      <c r="Q640" s="102"/>
      <c r="R640" s="102"/>
      <c r="S640" s="102"/>
      <c r="T640" s="102"/>
      <c r="U640" s="102"/>
      <c r="V640" s="102"/>
      <c r="W640" s="102"/>
      <c r="X640" s="102"/>
      <c r="Y640" s="102"/>
      <c r="Z640" s="102"/>
      <c r="AA640" s="102"/>
      <c r="AB640" s="102"/>
      <c r="AC640" s="102"/>
      <c r="AD640" s="102"/>
      <c r="AE640" s="102"/>
      <c r="AF640" s="102"/>
      <c r="AG640" s="102"/>
      <c r="AH640" s="102"/>
      <c r="AI640" s="102"/>
      <c r="AJ640" s="102"/>
      <c r="AK640" s="102"/>
      <c r="AL640" s="102"/>
      <c r="AM640" s="102"/>
      <c r="AN640" s="102"/>
      <c r="AO640" s="102"/>
      <c r="AP640" s="102"/>
      <c r="AQ640" s="102"/>
      <c r="AR640" s="102"/>
      <c r="AS640" s="102"/>
      <c r="AT640" s="102"/>
      <c r="AU640" s="102"/>
      <c r="AV640" s="102"/>
    </row>
    <row r="641" ht="12.75" customHeight="1">
      <c r="C641" s="400"/>
      <c r="D641" s="102"/>
      <c r="I641" s="102"/>
      <c r="J641" s="102"/>
      <c r="K641" s="102"/>
      <c r="L641" s="102"/>
      <c r="M641" s="102"/>
      <c r="N641" s="102"/>
      <c r="O641" s="102"/>
      <c r="P641" s="102"/>
      <c r="Q641" s="102"/>
      <c r="R641" s="102"/>
      <c r="S641" s="102"/>
      <c r="T641" s="102"/>
      <c r="U641" s="102"/>
      <c r="V641" s="102"/>
      <c r="W641" s="102"/>
      <c r="X641" s="102"/>
      <c r="Y641" s="102"/>
      <c r="Z641" s="102"/>
      <c r="AA641" s="102"/>
      <c r="AB641" s="102"/>
      <c r="AC641" s="102"/>
      <c r="AD641" s="102"/>
      <c r="AE641" s="102"/>
      <c r="AF641" s="102"/>
      <c r="AG641" s="102"/>
      <c r="AH641" s="102"/>
      <c r="AI641" s="102"/>
      <c r="AJ641" s="102"/>
      <c r="AK641" s="102"/>
      <c r="AL641" s="102"/>
      <c r="AM641" s="102"/>
      <c r="AN641" s="102"/>
      <c r="AO641" s="102"/>
      <c r="AP641" s="102"/>
      <c r="AQ641" s="102"/>
      <c r="AR641" s="102"/>
      <c r="AS641" s="102"/>
      <c r="AT641" s="102"/>
      <c r="AU641" s="102"/>
      <c r="AV641" s="102"/>
    </row>
    <row r="642" ht="12.75" customHeight="1">
      <c r="C642" s="400"/>
      <c r="D642" s="102"/>
      <c r="I642" s="102"/>
      <c r="J642" s="102"/>
      <c r="K642" s="102"/>
      <c r="L642" s="102"/>
      <c r="M642" s="102"/>
      <c r="N642" s="102"/>
      <c r="O642" s="102"/>
      <c r="P642" s="102"/>
      <c r="Q642" s="102"/>
      <c r="R642" s="102"/>
      <c r="S642" s="102"/>
      <c r="T642" s="102"/>
      <c r="U642" s="102"/>
      <c r="V642" s="102"/>
      <c r="W642" s="102"/>
      <c r="X642" s="102"/>
      <c r="Y642" s="102"/>
      <c r="Z642" s="102"/>
      <c r="AA642" s="102"/>
      <c r="AB642" s="102"/>
      <c r="AC642" s="102"/>
      <c r="AD642" s="102"/>
      <c r="AE642" s="102"/>
      <c r="AF642" s="102"/>
      <c r="AG642" s="102"/>
      <c r="AH642" s="102"/>
      <c r="AI642" s="102"/>
      <c r="AJ642" s="102"/>
      <c r="AK642" s="102"/>
      <c r="AL642" s="102"/>
      <c r="AM642" s="102"/>
      <c r="AN642" s="102"/>
      <c r="AO642" s="102"/>
      <c r="AP642" s="102"/>
      <c r="AQ642" s="102"/>
      <c r="AR642" s="102"/>
      <c r="AS642" s="102"/>
      <c r="AT642" s="102"/>
      <c r="AU642" s="102"/>
      <c r="AV642" s="102"/>
    </row>
    <row r="643" ht="12.75" customHeight="1">
      <c r="C643" s="400"/>
      <c r="D643" s="102"/>
      <c r="I643" s="102"/>
      <c r="J643" s="102"/>
      <c r="K643" s="102"/>
      <c r="L643" s="102"/>
      <c r="M643" s="102"/>
      <c r="N643" s="102"/>
      <c r="O643" s="102"/>
      <c r="P643" s="102"/>
      <c r="Q643" s="102"/>
      <c r="R643" s="102"/>
      <c r="S643" s="102"/>
      <c r="T643" s="102"/>
      <c r="U643" s="102"/>
      <c r="V643" s="102"/>
      <c r="W643" s="102"/>
      <c r="X643" s="102"/>
      <c r="Y643" s="102"/>
      <c r="Z643" s="102"/>
      <c r="AA643" s="102"/>
      <c r="AB643" s="102"/>
      <c r="AC643" s="102"/>
      <c r="AD643" s="102"/>
      <c r="AE643" s="102"/>
      <c r="AF643" s="102"/>
      <c r="AG643" s="102"/>
      <c r="AH643" s="102"/>
      <c r="AI643" s="102"/>
      <c r="AJ643" s="102"/>
      <c r="AK643" s="102"/>
      <c r="AL643" s="102"/>
      <c r="AM643" s="102"/>
      <c r="AN643" s="102"/>
      <c r="AO643" s="102"/>
      <c r="AP643" s="102"/>
      <c r="AQ643" s="102"/>
      <c r="AR643" s="102"/>
      <c r="AS643" s="102"/>
      <c r="AT643" s="102"/>
      <c r="AU643" s="102"/>
      <c r="AV643" s="102"/>
    </row>
    <row r="644" ht="12.75" customHeight="1">
      <c r="C644" s="400"/>
      <c r="D644" s="102"/>
      <c r="I644" s="102"/>
      <c r="J644" s="102"/>
      <c r="K644" s="102"/>
      <c r="L644" s="102"/>
      <c r="M644" s="102"/>
      <c r="N644" s="102"/>
      <c r="O644" s="102"/>
      <c r="P644" s="102"/>
      <c r="Q644" s="102"/>
      <c r="R644" s="102"/>
      <c r="S644" s="102"/>
      <c r="T644" s="102"/>
      <c r="U644" s="102"/>
      <c r="V644" s="102"/>
      <c r="W644" s="102"/>
      <c r="X644" s="102"/>
      <c r="Y644" s="102"/>
      <c r="Z644" s="102"/>
      <c r="AA644" s="102"/>
      <c r="AB644" s="102"/>
      <c r="AC644" s="102"/>
      <c r="AD644" s="102"/>
      <c r="AE644" s="102"/>
      <c r="AF644" s="102"/>
      <c r="AG644" s="102"/>
      <c r="AH644" s="102"/>
      <c r="AI644" s="102"/>
      <c r="AJ644" s="102"/>
      <c r="AK644" s="102"/>
      <c r="AL644" s="102"/>
      <c r="AM644" s="102"/>
      <c r="AN644" s="102"/>
      <c r="AO644" s="102"/>
      <c r="AP644" s="102"/>
      <c r="AQ644" s="102"/>
      <c r="AR644" s="102"/>
      <c r="AS644" s="102"/>
      <c r="AT644" s="102"/>
      <c r="AU644" s="102"/>
      <c r="AV644" s="102"/>
    </row>
    <row r="645" ht="12.75" customHeight="1">
      <c r="C645" s="400"/>
      <c r="D645" s="102"/>
      <c r="I645" s="102"/>
      <c r="J645" s="102"/>
      <c r="K645" s="102"/>
      <c r="L645" s="102"/>
      <c r="M645" s="102"/>
      <c r="N645" s="102"/>
      <c r="O645" s="102"/>
      <c r="P645" s="102"/>
      <c r="Q645" s="102"/>
      <c r="R645" s="102"/>
      <c r="S645" s="102"/>
      <c r="T645" s="102"/>
      <c r="U645" s="102"/>
      <c r="V645" s="102"/>
      <c r="W645" s="102"/>
      <c r="X645" s="102"/>
      <c r="Y645" s="102"/>
      <c r="Z645" s="102"/>
      <c r="AA645" s="102"/>
      <c r="AB645" s="102"/>
      <c r="AC645" s="102"/>
      <c r="AD645" s="102"/>
      <c r="AE645" s="102"/>
      <c r="AF645" s="102"/>
      <c r="AG645" s="102"/>
      <c r="AH645" s="102"/>
      <c r="AI645" s="102"/>
      <c r="AJ645" s="102"/>
      <c r="AK645" s="102"/>
      <c r="AL645" s="102"/>
      <c r="AM645" s="102"/>
      <c r="AN645" s="102"/>
      <c r="AO645" s="102"/>
      <c r="AP645" s="102"/>
      <c r="AQ645" s="102"/>
      <c r="AR645" s="102"/>
      <c r="AS645" s="102"/>
      <c r="AT645" s="102"/>
      <c r="AU645" s="102"/>
      <c r="AV645" s="102"/>
    </row>
    <row r="646" ht="12.75" customHeight="1">
      <c r="C646" s="400"/>
      <c r="D646" s="102"/>
      <c r="I646" s="102"/>
      <c r="J646" s="102"/>
      <c r="K646" s="102"/>
      <c r="L646" s="102"/>
      <c r="M646" s="102"/>
      <c r="N646" s="102"/>
      <c r="O646" s="102"/>
      <c r="P646" s="102"/>
      <c r="Q646" s="102"/>
      <c r="R646" s="102"/>
      <c r="S646" s="102"/>
      <c r="T646" s="102"/>
      <c r="U646" s="102"/>
      <c r="V646" s="102"/>
      <c r="W646" s="102"/>
      <c r="X646" s="102"/>
      <c r="Y646" s="102"/>
      <c r="Z646" s="102"/>
      <c r="AA646" s="102"/>
      <c r="AB646" s="102"/>
      <c r="AC646" s="102"/>
      <c r="AD646" s="102"/>
      <c r="AE646" s="102"/>
      <c r="AF646" s="102"/>
      <c r="AG646" s="102"/>
      <c r="AH646" s="102"/>
      <c r="AI646" s="102"/>
      <c r="AJ646" s="102"/>
      <c r="AK646" s="102"/>
      <c r="AL646" s="102"/>
      <c r="AM646" s="102"/>
      <c r="AN646" s="102"/>
      <c r="AO646" s="102"/>
      <c r="AP646" s="102"/>
      <c r="AQ646" s="102"/>
      <c r="AR646" s="102"/>
      <c r="AS646" s="102"/>
      <c r="AT646" s="102"/>
      <c r="AU646" s="102"/>
      <c r="AV646" s="102"/>
    </row>
    <row r="647" ht="12.75" customHeight="1">
      <c r="C647" s="400"/>
      <c r="D647" s="102"/>
      <c r="I647" s="102"/>
      <c r="J647" s="102"/>
      <c r="K647" s="102"/>
      <c r="L647" s="102"/>
      <c r="M647" s="102"/>
      <c r="N647" s="102"/>
      <c r="O647" s="102"/>
      <c r="P647" s="102"/>
      <c r="Q647" s="102"/>
      <c r="R647" s="102"/>
      <c r="S647" s="102"/>
      <c r="T647" s="102"/>
      <c r="U647" s="102"/>
      <c r="V647" s="102"/>
      <c r="W647" s="102"/>
      <c r="X647" s="102"/>
      <c r="Y647" s="102"/>
      <c r="Z647" s="102"/>
      <c r="AA647" s="102"/>
      <c r="AB647" s="102"/>
      <c r="AC647" s="102"/>
      <c r="AD647" s="102"/>
      <c r="AE647" s="102"/>
      <c r="AF647" s="102"/>
      <c r="AG647" s="102"/>
      <c r="AH647" s="102"/>
      <c r="AI647" s="102"/>
      <c r="AJ647" s="102"/>
      <c r="AK647" s="102"/>
      <c r="AL647" s="102"/>
      <c r="AM647" s="102"/>
      <c r="AN647" s="102"/>
      <c r="AO647" s="102"/>
      <c r="AP647" s="102"/>
      <c r="AQ647" s="102"/>
      <c r="AR647" s="102"/>
      <c r="AS647" s="102"/>
      <c r="AT647" s="102"/>
      <c r="AU647" s="102"/>
      <c r="AV647" s="102"/>
    </row>
    <row r="648" ht="12.75" customHeight="1">
      <c r="C648" s="400"/>
      <c r="D648" s="102"/>
      <c r="I648" s="102"/>
      <c r="J648" s="102"/>
      <c r="K648" s="102"/>
      <c r="L648" s="102"/>
      <c r="M648" s="102"/>
      <c r="N648" s="102"/>
      <c r="O648" s="102"/>
      <c r="P648" s="102"/>
      <c r="Q648" s="102"/>
      <c r="R648" s="102"/>
      <c r="S648" s="102"/>
      <c r="T648" s="102"/>
      <c r="U648" s="102"/>
      <c r="V648" s="102"/>
      <c r="W648" s="102"/>
      <c r="X648" s="102"/>
      <c r="Y648" s="102"/>
      <c r="Z648" s="102"/>
      <c r="AA648" s="102"/>
      <c r="AB648" s="102"/>
      <c r="AC648" s="102"/>
      <c r="AD648" s="102"/>
      <c r="AE648" s="102"/>
      <c r="AF648" s="102"/>
      <c r="AG648" s="102"/>
      <c r="AH648" s="102"/>
      <c r="AI648" s="102"/>
      <c r="AJ648" s="102"/>
      <c r="AK648" s="102"/>
      <c r="AL648" s="102"/>
      <c r="AM648" s="102"/>
      <c r="AN648" s="102"/>
      <c r="AO648" s="102"/>
      <c r="AP648" s="102"/>
      <c r="AQ648" s="102"/>
      <c r="AR648" s="102"/>
      <c r="AS648" s="102"/>
      <c r="AT648" s="102"/>
      <c r="AU648" s="102"/>
      <c r="AV648" s="102"/>
    </row>
    <row r="649" ht="12.75" customHeight="1">
      <c r="C649" s="400"/>
      <c r="D649" s="102"/>
      <c r="I649" s="102"/>
      <c r="J649" s="102"/>
      <c r="K649" s="102"/>
      <c r="L649" s="102"/>
      <c r="M649" s="102"/>
      <c r="N649" s="102"/>
      <c r="O649" s="102"/>
      <c r="P649" s="102"/>
      <c r="Q649" s="102"/>
      <c r="R649" s="102"/>
      <c r="S649" s="102"/>
      <c r="T649" s="102"/>
      <c r="U649" s="102"/>
      <c r="V649" s="102"/>
      <c r="W649" s="102"/>
      <c r="X649" s="102"/>
      <c r="Y649" s="102"/>
      <c r="Z649" s="102"/>
      <c r="AA649" s="102"/>
      <c r="AB649" s="102"/>
      <c r="AC649" s="102"/>
      <c r="AD649" s="102"/>
      <c r="AE649" s="102"/>
      <c r="AF649" s="102"/>
      <c r="AG649" s="102"/>
      <c r="AH649" s="102"/>
      <c r="AI649" s="102"/>
      <c r="AJ649" s="102"/>
      <c r="AK649" s="102"/>
      <c r="AL649" s="102"/>
      <c r="AM649" s="102"/>
      <c r="AN649" s="102"/>
      <c r="AO649" s="102"/>
      <c r="AP649" s="102"/>
      <c r="AQ649" s="102"/>
      <c r="AR649" s="102"/>
      <c r="AS649" s="102"/>
      <c r="AT649" s="102"/>
      <c r="AU649" s="102"/>
      <c r="AV649" s="102"/>
    </row>
    <row r="650" ht="12.75" customHeight="1">
      <c r="C650" s="400"/>
      <c r="D650" s="102"/>
      <c r="I650" s="102"/>
      <c r="J650" s="102"/>
      <c r="K650" s="102"/>
      <c r="L650" s="102"/>
      <c r="M650" s="102"/>
      <c r="N650" s="102"/>
      <c r="O650" s="102"/>
      <c r="P650" s="102"/>
      <c r="Q650" s="102"/>
      <c r="R650" s="102"/>
      <c r="S650" s="102"/>
      <c r="T650" s="102"/>
      <c r="U650" s="102"/>
      <c r="V650" s="102"/>
      <c r="W650" s="102"/>
      <c r="X650" s="102"/>
      <c r="Y650" s="102"/>
      <c r="Z650" s="102"/>
      <c r="AA650" s="102"/>
      <c r="AB650" s="102"/>
      <c r="AC650" s="102"/>
      <c r="AD650" s="102"/>
      <c r="AE650" s="102"/>
      <c r="AF650" s="102"/>
      <c r="AG650" s="102"/>
      <c r="AH650" s="102"/>
      <c r="AI650" s="102"/>
      <c r="AJ650" s="102"/>
      <c r="AK650" s="102"/>
      <c r="AL650" s="102"/>
      <c r="AM650" s="102"/>
      <c r="AN650" s="102"/>
      <c r="AO650" s="102"/>
      <c r="AP650" s="102"/>
      <c r="AQ650" s="102"/>
      <c r="AR650" s="102"/>
      <c r="AS650" s="102"/>
      <c r="AT650" s="102"/>
      <c r="AU650" s="102"/>
      <c r="AV650" s="102"/>
    </row>
    <row r="651" ht="12.75" customHeight="1">
      <c r="C651" s="400"/>
      <c r="D651" s="102"/>
      <c r="I651" s="102"/>
      <c r="J651" s="102"/>
      <c r="K651" s="102"/>
      <c r="L651" s="102"/>
      <c r="M651" s="102"/>
      <c r="N651" s="102"/>
      <c r="O651" s="102"/>
      <c r="P651" s="102"/>
      <c r="Q651" s="102"/>
      <c r="R651" s="102"/>
      <c r="S651" s="102"/>
      <c r="T651" s="102"/>
      <c r="U651" s="102"/>
      <c r="V651" s="102"/>
      <c r="W651" s="102"/>
      <c r="X651" s="102"/>
      <c r="Y651" s="102"/>
      <c r="Z651" s="102"/>
      <c r="AA651" s="102"/>
      <c r="AB651" s="102"/>
      <c r="AC651" s="102"/>
      <c r="AD651" s="102"/>
      <c r="AE651" s="102"/>
      <c r="AF651" s="102"/>
      <c r="AG651" s="102"/>
      <c r="AH651" s="102"/>
      <c r="AI651" s="102"/>
      <c r="AJ651" s="102"/>
      <c r="AK651" s="102"/>
      <c r="AL651" s="102"/>
      <c r="AM651" s="102"/>
      <c r="AN651" s="102"/>
      <c r="AO651" s="102"/>
      <c r="AP651" s="102"/>
      <c r="AQ651" s="102"/>
      <c r="AR651" s="102"/>
      <c r="AS651" s="102"/>
      <c r="AT651" s="102"/>
      <c r="AU651" s="102"/>
      <c r="AV651" s="102"/>
    </row>
    <row r="652" ht="12.75" customHeight="1">
      <c r="C652" s="400"/>
      <c r="D652" s="102"/>
      <c r="I652" s="102"/>
      <c r="J652" s="102"/>
      <c r="K652" s="102"/>
      <c r="L652" s="102"/>
      <c r="M652" s="102"/>
      <c r="N652" s="102"/>
      <c r="O652" s="102"/>
      <c r="P652" s="102"/>
      <c r="Q652" s="102"/>
      <c r="R652" s="102"/>
      <c r="S652" s="102"/>
      <c r="T652" s="102"/>
      <c r="U652" s="102"/>
      <c r="V652" s="102"/>
      <c r="W652" s="102"/>
      <c r="X652" s="102"/>
      <c r="Y652" s="102"/>
      <c r="Z652" s="102"/>
      <c r="AA652" s="102"/>
      <c r="AB652" s="102"/>
      <c r="AC652" s="102"/>
      <c r="AD652" s="102"/>
      <c r="AE652" s="102"/>
      <c r="AF652" s="102"/>
      <c r="AG652" s="102"/>
      <c r="AH652" s="102"/>
      <c r="AI652" s="102"/>
      <c r="AJ652" s="102"/>
      <c r="AK652" s="102"/>
      <c r="AL652" s="102"/>
      <c r="AM652" s="102"/>
      <c r="AN652" s="102"/>
      <c r="AO652" s="102"/>
      <c r="AP652" s="102"/>
      <c r="AQ652" s="102"/>
      <c r="AR652" s="102"/>
      <c r="AS652" s="102"/>
      <c r="AT652" s="102"/>
      <c r="AU652" s="102"/>
      <c r="AV652" s="102"/>
    </row>
    <row r="653" ht="12.75" customHeight="1">
      <c r="C653" s="400"/>
      <c r="D653" s="102"/>
      <c r="I653" s="102"/>
      <c r="J653" s="102"/>
      <c r="K653" s="102"/>
      <c r="L653" s="102"/>
      <c r="M653" s="102"/>
      <c r="N653" s="102"/>
      <c r="O653" s="102"/>
      <c r="P653" s="102"/>
      <c r="Q653" s="102"/>
      <c r="R653" s="102"/>
      <c r="S653" s="102"/>
      <c r="T653" s="102"/>
      <c r="U653" s="102"/>
      <c r="V653" s="102"/>
      <c r="W653" s="102"/>
      <c r="X653" s="102"/>
      <c r="Y653" s="102"/>
      <c r="Z653" s="102"/>
      <c r="AA653" s="102"/>
      <c r="AB653" s="102"/>
      <c r="AC653" s="102"/>
      <c r="AD653" s="102"/>
      <c r="AE653" s="102"/>
      <c r="AF653" s="102"/>
      <c r="AG653" s="102"/>
      <c r="AH653" s="102"/>
      <c r="AI653" s="102"/>
      <c r="AJ653" s="102"/>
      <c r="AK653" s="102"/>
      <c r="AL653" s="102"/>
      <c r="AM653" s="102"/>
      <c r="AN653" s="102"/>
      <c r="AO653" s="102"/>
      <c r="AP653" s="102"/>
      <c r="AQ653" s="102"/>
      <c r="AR653" s="102"/>
      <c r="AS653" s="102"/>
      <c r="AT653" s="102"/>
      <c r="AU653" s="102"/>
      <c r="AV653" s="102"/>
    </row>
    <row r="654" ht="12.75" customHeight="1">
      <c r="C654" s="400"/>
      <c r="D654" s="102"/>
      <c r="I654" s="102"/>
      <c r="J654" s="102"/>
      <c r="K654" s="102"/>
      <c r="L654" s="102"/>
      <c r="M654" s="102"/>
      <c r="N654" s="102"/>
      <c r="O654" s="102"/>
      <c r="P654" s="102"/>
      <c r="Q654" s="102"/>
      <c r="R654" s="102"/>
      <c r="S654" s="102"/>
      <c r="T654" s="102"/>
      <c r="U654" s="102"/>
      <c r="V654" s="102"/>
      <c r="W654" s="102"/>
      <c r="X654" s="102"/>
      <c r="Y654" s="102"/>
      <c r="Z654" s="102"/>
      <c r="AA654" s="102"/>
      <c r="AB654" s="102"/>
      <c r="AC654" s="102"/>
      <c r="AD654" s="102"/>
      <c r="AE654" s="102"/>
      <c r="AF654" s="102"/>
      <c r="AG654" s="102"/>
      <c r="AH654" s="102"/>
      <c r="AI654" s="102"/>
      <c r="AJ654" s="102"/>
      <c r="AK654" s="102"/>
      <c r="AL654" s="102"/>
      <c r="AM654" s="102"/>
      <c r="AN654" s="102"/>
      <c r="AO654" s="102"/>
      <c r="AP654" s="102"/>
      <c r="AQ654" s="102"/>
      <c r="AR654" s="102"/>
      <c r="AS654" s="102"/>
      <c r="AT654" s="102"/>
      <c r="AU654" s="102"/>
      <c r="AV654" s="102"/>
    </row>
    <row r="655" ht="12.75" customHeight="1">
      <c r="C655" s="400"/>
      <c r="D655" s="102"/>
      <c r="I655" s="102"/>
      <c r="J655" s="102"/>
      <c r="K655" s="102"/>
      <c r="L655" s="102"/>
      <c r="M655" s="102"/>
      <c r="N655" s="102"/>
      <c r="O655" s="102"/>
      <c r="P655" s="102"/>
      <c r="Q655" s="102"/>
      <c r="R655" s="102"/>
      <c r="S655" s="102"/>
      <c r="T655" s="102"/>
      <c r="U655" s="102"/>
      <c r="V655" s="102"/>
      <c r="W655" s="102"/>
      <c r="X655" s="102"/>
      <c r="Y655" s="102"/>
      <c r="Z655" s="102"/>
      <c r="AA655" s="102"/>
      <c r="AB655" s="102"/>
      <c r="AC655" s="102"/>
      <c r="AD655" s="102"/>
      <c r="AE655" s="102"/>
      <c r="AF655" s="102"/>
      <c r="AG655" s="102"/>
      <c r="AH655" s="102"/>
      <c r="AI655" s="102"/>
      <c r="AJ655" s="102"/>
      <c r="AK655" s="102"/>
      <c r="AL655" s="102"/>
      <c r="AM655" s="102"/>
      <c r="AN655" s="102"/>
      <c r="AO655" s="102"/>
      <c r="AP655" s="102"/>
      <c r="AQ655" s="102"/>
      <c r="AR655" s="102"/>
      <c r="AS655" s="102"/>
      <c r="AT655" s="102"/>
      <c r="AU655" s="102"/>
      <c r="AV655" s="102"/>
    </row>
    <row r="656" ht="12.75" customHeight="1">
      <c r="C656" s="400"/>
      <c r="D656" s="102"/>
      <c r="I656" s="102"/>
      <c r="J656" s="102"/>
      <c r="K656" s="102"/>
      <c r="L656" s="102"/>
      <c r="M656" s="102"/>
      <c r="N656" s="102"/>
      <c r="O656" s="102"/>
      <c r="P656" s="102"/>
      <c r="Q656" s="102"/>
      <c r="R656" s="102"/>
      <c r="S656" s="102"/>
      <c r="T656" s="102"/>
      <c r="U656" s="102"/>
      <c r="V656" s="102"/>
      <c r="W656" s="102"/>
      <c r="X656" s="102"/>
      <c r="Y656" s="102"/>
      <c r="Z656" s="102"/>
      <c r="AA656" s="102"/>
      <c r="AB656" s="102"/>
      <c r="AC656" s="102"/>
      <c r="AD656" s="102"/>
      <c r="AE656" s="102"/>
      <c r="AF656" s="102"/>
      <c r="AG656" s="102"/>
      <c r="AH656" s="102"/>
      <c r="AI656" s="102"/>
      <c r="AJ656" s="102"/>
      <c r="AK656" s="102"/>
      <c r="AL656" s="102"/>
      <c r="AM656" s="102"/>
      <c r="AN656" s="102"/>
      <c r="AO656" s="102"/>
      <c r="AP656" s="102"/>
      <c r="AQ656" s="102"/>
      <c r="AR656" s="102"/>
      <c r="AS656" s="102"/>
      <c r="AT656" s="102"/>
      <c r="AU656" s="102"/>
      <c r="AV656" s="102"/>
    </row>
    <row r="657" ht="12.75" customHeight="1">
      <c r="C657" s="400"/>
      <c r="D657" s="102"/>
      <c r="I657" s="102"/>
      <c r="J657" s="102"/>
      <c r="K657" s="102"/>
      <c r="L657" s="102"/>
      <c r="M657" s="102"/>
      <c r="N657" s="102"/>
      <c r="O657" s="102"/>
      <c r="P657" s="102"/>
      <c r="Q657" s="102"/>
      <c r="R657" s="102"/>
      <c r="S657" s="102"/>
      <c r="T657" s="102"/>
      <c r="U657" s="102"/>
      <c r="V657" s="102"/>
      <c r="W657" s="102"/>
      <c r="X657" s="102"/>
      <c r="Y657" s="102"/>
      <c r="Z657" s="102"/>
      <c r="AA657" s="102"/>
      <c r="AB657" s="102"/>
      <c r="AC657" s="102"/>
      <c r="AD657" s="102"/>
      <c r="AE657" s="102"/>
      <c r="AF657" s="102"/>
      <c r="AG657" s="102"/>
      <c r="AH657" s="102"/>
      <c r="AI657" s="102"/>
      <c r="AJ657" s="102"/>
      <c r="AK657" s="102"/>
      <c r="AL657" s="102"/>
      <c r="AM657" s="102"/>
      <c r="AN657" s="102"/>
      <c r="AO657" s="102"/>
      <c r="AP657" s="102"/>
      <c r="AQ657" s="102"/>
      <c r="AR657" s="102"/>
      <c r="AS657" s="102"/>
      <c r="AT657" s="102"/>
      <c r="AU657" s="102"/>
      <c r="AV657" s="102"/>
    </row>
    <row r="658" ht="12.75" customHeight="1">
      <c r="C658" s="400"/>
      <c r="D658" s="102"/>
      <c r="I658" s="102"/>
      <c r="J658" s="102"/>
      <c r="K658" s="102"/>
      <c r="L658" s="102"/>
      <c r="M658" s="102"/>
      <c r="N658" s="102"/>
      <c r="O658" s="102"/>
      <c r="P658" s="102"/>
      <c r="Q658" s="102"/>
      <c r="R658" s="102"/>
      <c r="S658" s="102"/>
      <c r="T658" s="102"/>
      <c r="U658" s="102"/>
      <c r="V658" s="102"/>
      <c r="W658" s="102"/>
      <c r="X658" s="102"/>
      <c r="Y658" s="102"/>
      <c r="Z658" s="102"/>
      <c r="AA658" s="102"/>
      <c r="AB658" s="102"/>
      <c r="AC658" s="102"/>
      <c r="AD658" s="102"/>
      <c r="AE658" s="102"/>
      <c r="AF658" s="102"/>
      <c r="AG658" s="102"/>
      <c r="AH658" s="102"/>
      <c r="AI658" s="102"/>
      <c r="AJ658" s="102"/>
      <c r="AK658" s="102"/>
      <c r="AL658" s="102"/>
      <c r="AM658" s="102"/>
      <c r="AN658" s="102"/>
      <c r="AO658" s="102"/>
      <c r="AP658" s="102"/>
      <c r="AQ658" s="102"/>
      <c r="AR658" s="102"/>
      <c r="AS658" s="102"/>
      <c r="AT658" s="102"/>
      <c r="AU658" s="102"/>
      <c r="AV658" s="102"/>
    </row>
    <row r="659" ht="12.75" customHeight="1">
      <c r="C659" s="400"/>
      <c r="D659" s="102"/>
      <c r="I659" s="102"/>
      <c r="J659" s="102"/>
      <c r="K659" s="102"/>
      <c r="L659" s="102"/>
      <c r="M659" s="102"/>
      <c r="N659" s="102"/>
      <c r="O659" s="102"/>
      <c r="P659" s="102"/>
      <c r="Q659" s="102"/>
      <c r="R659" s="102"/>
      <c r="S659" s="102"/>
      <c r="T659" s="102"/>
      <c r="U659" s="102"/>
      <c r="V659" s="102"/>
      <c r="W659" s="102"/>
      <c r="X659" s="102"/>
      <c r="Y659" s="102"/>
      <c r="Z659" s="102"/>
      <c r="AA659" s="102"/>
      <c r="AB659" s="102"/>
      <c r="AC659" s="102"/>
      <c r="AD659" s="102"/>
      <c r="AE659" s="102"/>
      <c r="AF659" s="102"/>
      <c r="AG659" s="102"/>
      <c r="AH659" s="102"/>
      <c r="AI659" s="102"/>
      <c r="AJ659" s="102"/>
      <c r="AK659" s="102"/>
      <c r="AL659" s="102"/>
      <c r="AM659" s="102"/>
      <c r="AN659" s="102"/>
      <c r="AO659" s="102"/>
      <c r="AP659" s="102"/>
      <c r="AQ659" s="102"/>
      <c r="AR659" s="102"/>
      <c r="AS659" s="102"/>
      <c r="AT659" s="102"/>
      <c r="AU659" s="102"/>
      <c r="AV659" s="102"/>
    </row>
    <row r="660" ht="12.75" customHeight="1">
      <c r="C660" s="400"/>
      <c r="D660" s="102"/>
      <c r="I660" s="102"/>
      <c r="J660" s="102"/>
      <c r="K660" s="102"/>
      <c r="L660" s="102"/>
      <c r="M660" s="102"/>
      <c r="N660" s="102"/>
      <c r="O660" s="102"/>
      <c r="P660" s="102"/>
      <c r="Q660" s="102"/>
      <c r="R660" s="102"/>
      <c r="S660" s="102"/>
      <c r="T660" s="102"/>
      <c r="U660" s="102"/>
      <c r="V660" s="102"/>
      <c r="W660" s="102"/>
      <c r="X660" s="102"/>
      <c r="Y660" s="102"/>
      <c r="Z660" s="102"/>
      <c r="AA660" s="102"/>
      <c r="AB660" s="102"/>
      <c r="AC660" s="102"/>
      <c r="AD660" s="102"/>
      <c r="AE660" s="102"/>
      <c r="AF660" s="102"/>
      <c r="AG660" s="102"/>
      <c r="AH660" s="102"/>
      <c r="AI660" s="102"/>
      <c r="AJ660" s="102"/>
      <c r="AK660" s="102"/>
      <c r="AL660" s="102"/>
      <c r="AM660" s="102"/>
      <c r="AN660" s="102"/>
      <c r="AO660" s="102"/>
      <c r="AP660" s="102"/>
      <c r="AQ660" s="102"/>
      <c r="AR660" s="102"/>
      <c r="AS660" s="102"/>
      <c r="AT660" s="102"/>
      <c r="AU660" s="102"/>
      <c r="AV660" s="102"/>
    </row>
    <row r="661" ht="12.75" customHeight="1">
      <c r="C661" s="400"/>
      <c r="D661" s="102"/>
      <c r="I661" s="102"/>
      <c r="J661" s="102"/>
      <c r="K661" s="102"/>
      <c r="L661" s="102"/>
      <c r="M661" s="102"/>
      <c r="N661" s="102"/>
      <c r="O661" s="102"/>
      <c r="P661" s="102"/>
      <c r="Q661" s="102"/>
      <c r="R661" s="102"/>
      <c r="S661" s="102"/>
      <c r="T661" s="102"/>
      <c r="U661" s="102"/>
      <c r="V661" s="102"/>
      <c r="W661" s="102"/>
      <c r="X661" s="102"/>
      <c r="Y661" s="102"/>
      <c r="Z661" s="102"/>
      <c r="AA661" s="102"/>
      <c r="AB661" s="102"/>
      <c r="AC661" s="102"/>
      <c r="AD661" s="102"/>
      <c r="AE661" s="102"/>
      <c r="AF661" s="102"/>
      <c r="AG661" s="102"/>
      <c r="AH661" s="102"/>
      <c r="AI661" s="102"/>
      <c r="AJ661" s="102"/>
      <c r="AK661" s="102"/>
      <c r="AL661" s="102"/>
      <c r="AM661" s="102"/>
      <c r="AN661" s="102"/>
      <c r="AO661" s="102"/>
      <c r="AP661" s="102"/>
      <c r="AQ661" s="102"/>
      <c r="AR661" s="102"/>
      <c r="AS661" s="102"/>
      <c r="AT661" s="102"/>
      <c r="AU661" s="102"/>
      <c r="AV661" s="102"/>
    </row>
    <row r="662" ht="12.75" customHeight="1">
      <c r="C662" s="400"/>
      <c r="D662" s="102"/>
      <c r="I662" s="102"/>
      <c r="J662" s="102"/>
      <c r="K662" s="102"/>
      <c r="L662" s="102"/>
      <c r="M662" s="102"/>
      <c r="N662" s="102"/>
      <c r="O662" s="102"/>
      <c r="P662" s="102"/>
      <c r="Q662" s="102"/>
      <c r="R662" s="102"/>
      <c r="S662" s="102"/>
      <c r="T662" s="102"/>
      <c r="U662" s="102"/>
      <c r="V662" s="102"/>
      <c r="W662" s="102"/>
      <c r="X662" s="102"/>
      <c r="Y662" s="102"/>
      <c r="Z662" s="102"/>
      <c r="AA662" s="102"/>
      <c r="AB662" s="102"/>
      <c r="AC662" s="102"/>
      <c r="AD662" s="102"/>
      <c r="AE662" s="102"/>
      <c r="AF662" s="102"/>
      <c r="AG662" s="102"/>
      <c r="AH662" s="102"/>
      <c r="AI662" s="102"/>
      <c r="AJ662" s="102"/>
      <c r="AK662" s="102"/>
      <c r="AL662" s="102"/>
      <c r="AM662" s="102"/>
      <c r="AN662" s="102"/>
      <c r="AO662" s="102"/>
      <c r="AP662" s="102"/>
      <c r="AQ662" s="102"/>
      <c r="AR662" s="102"/>
      <c r="AS662" s="102"/>
      <c r="AT662" s="102"/>
      <c r="AU662" s="102"/>
      <c r="AV662" s="102"/>
    </row>
    <row r="663" ht="12.75" customHeight="1">
      <c r="C663" s="400"/>
      <c r="D663" s="102"/>
      <c r="I663" s="102"/>
      <c r="J663" s="102"/>
      <c r="K663" s="102"/>
      <c r="L663" s="102"/>
      <c r="M663" s="102"/>
      <c r="N663" s="102"/>
      <c r="O663" s="102"/>
      <c r="P663" s="102"/>
      <c r="Q663" s="102"/>
      <c r="R663" s="102"/>
      <c r="S663" s="102"/>
      <c r="T663" s="102"/>
      <c r="U663" s="102"/>
      <c r="V663" s="102"/>
      <c r="W663" s="102"/>
      <c r="X663" s="102"/>
      <c r="Y663" s="102"/>
      <c r="Z663" s="102"/>
      <c r="AA663" s="102"/>
      <c r="AB663" s="102"/>
      <c r="AC663" s="102"/>
      <c r="AD663" s="102"/>
      <c r="AE663" s="102"/>
      <c r="AF663" s="102"/>
      <c r="AG663" s="102"/>
      <c r="AH663" s="102"/>
      <c r="AI663" s="102"/>
      <c r="AJ663" s="102"/>
      <c r="AK663" s="102"/>
      <c r="AL663" s="102"/>
      <c r="AM663" s="102"/>
      <c r="AN663" s="102"/>
      <c r="AO663" s="102"/>
      <c r="AP663" s="102"/>
      <c r="AQ663" s="102"/>
      <c r="AR663" s="102"/>
      <c r="AS663" s="102"/>
      <c r="AT663" s="102"/>
      <c r="AU663" s="102"/>
      <c r="AV663" s="102"/>
    </row>
    <row r="664" ht="12.75" customHeight="1">
      <c r="C664" s="400"/>
      <c r="D664" s="102"/>
      <c r="I664" s="102"/>
      <c r="J664" s="102"/>
      <c r="K664" s="102"/>
      <c r="L664" s="102"/>
      <c r="M664" s="102"/>
      <c r="N664" s="102"/>
      <c r="O664" s="102"/>
      <c r="P664" s="102"/>
      <c r="Q664" s="102"/>
      <c r="R664" s="102"/>
      <c r="S664" s="102"/>
      <c r="T664" s="102"/>
      <c r="U664" s="102"/>
      <c r="V664" s="102"/>
      <c r="W664" s="102"/>
      <c r="X664" s="102"/>
      <c r="Y664" s="102"/>
      <c r="Z664" s="102"/>
      <c r="AA664" s="102"/>
      <c r="AB664" s="102"/>
      <c r="AC664" s="102"/>
      <c r="AD664" s="102"/>
      <c r="AE664" s="102"/>
      <c r="AF664" s="102"/>
      <c r="AG664" s="102"/>
      <c r="AH664" s="102"/>
      <c r="AI664" s="102"/>
      <c r="AJ664" s="102"/>
      <c r="AK664" s="102"/>
      <c r="AL664" s="102"/>
      <c r="AM664" s="102"/>
      <c r="AN664" s="102"/>
      <c r="AO664" s="102"/>
      <c r="AP664" s="102"/>
      <c r="AQ664" s="102"/>
      <c r="AR664" s="102"/>
      <c r="AS664" s="102"/>
      <c r="AT664" s="102"/>
      <c r="AU664" s="102"/>
      <c r="AV664" s="102"/>
    </row>
    <row r="665" ht="12.75" customHeight="1">
      <c r="C665" s="400"/>
      <c r="D665" s="102"/>
      <c r="I665" s="102"/>
      <c r="J665" s="102"/>
      <c r="K665" s="102"/>
      <c r="L665" s="102"/>
      <c r="M665" s="102"/>
      <c r="N665" s="102"/>
      <c r="O665" s="102"/>
      <c r="P665" s="102"/>
      <c r="Q665" s="102"/>
      <c r="R665" s="102"/>
      <c r="S665" s="102"/>
      <c r="T665" s="102"/>
      <c r="U665" s="102"/>
      <c r="V665" s="102"/>
      <c r="W665" s="102"/>
      <c r="X665" s="102"/>
      <c r="Y665" s="102"/>
      <c r="Z665" s="102"/>
      <c r="AA665" s="102"/>
      <c r="AB665" s="102"/>
      <c r="AC665" s="102"/>
      <c r="AD665" s="102"/>
      <c r="AE665" s="102"/>
      <c r="AF665" s="102"/>
      <c r="AG665" s="102"/>
      <c r="AH665" s="102"/>
      <c r="AI665" s="102"/>
      <c r="AJ665" s="102"/>
      <c r="AK665" s="102"/>
      <c r="AL665" s="102"/>
      <c r="AM665" s="102"/>
      <c r="AN665" s="102"/>
      <c r="AO665" s="102"/>
      <c r="AP665" s="102"/>
      <c r="AQ665" s="102"/>
      <c r="AR665" s="102"/>
      <c r="AS665" s="102"/>
      <c r="AT665" s="102"/>
      <c r="AU665" s="102"/>
      <c r="AV665" s="102"/>
    </row>
    <row r="666" ht="12.75" customHeight="1">
      <c r="C666" s="400"/>
      <c r="D666" s="102"/>
      <c r="I666" s="102"/>
      <c r="J666" s="102"/>
      <c r="K666" s="102"/>
      <c r="L666" s="102"/>
      <c r="M666" s="102"/>
      <c r="N666" s="102"/>
      <c r="O666" s="102"/>
      <c r="P666" s="102"/>
      <c r="Q666" s="102"/>
      <c r="R666" s="102"/>
      <c r="S666" s="102"/>
      <c r="T666" s="102"/>
      <c r="U666" s="102"/>
      <c r="V666" s="102"/>
      <c r="W666" s="102"/>
      <c r="X666" s="102"/>
      <c r="Y666" s="102"/>
      <c r="Z666" s="102"/>
      <c r="AA666" s="102"/>
      <c r="AB666" s="102"/>
      <c r="AC666" s="102"/>
      <c r="AD666" s="102"/>
      <c r="AE666" s="102"/>
      <c r="AF666" s="102"/>
      <c r="AG666" s="102"/>
      <c r="AH666" s="102"/>
      <c r="AI666" s="102"/>
      <c r="AJ666" s="102"/>
      <c r="AK666" s="102"/>
      <c r="AL666" s="102"/>
      <c r="AM666" s="102"/>
      <c r="AN666" s="102"/>
      <c r="AO666" s="102"/>
      <c r="AP666" s="102"/>
      <c r="AQ666" s="102"/>
      <c r="AR666" s="102"/>
      <c r="AS666" s="102"/>
      <c r="AT666" s="102"/>
      <c r="AU666" s="102"/>
      <c r="AV666" s="102"/>
    </row>
    <row r="667" ht="12.75" customHeight="1">
      <c r="C667" s="400"/>
      <c r="D667" s="102"/>
      <c r="I667" s="102"/>
      <c r="J667" s="102"/>
      <c r="K667" s="102"/>
      <c r="L667" s="102"/>
      <c r="M667" s="102"/>
      <c r="N667" s="102"/>
      <c r="O667" s="102"/>
      <c r="P667" s="102"/>
      <c r="Q667" s="102"/>
      <c r="R667" s="102"/>
      <c r="S667" s="102"/>
      <c r="T667" s="102"/>
      <c r="U667" s="102"/>
      <c r="V667" s="102"/>
      <c r="W667" s="102"/>
      <c r="X667" s="102"/>
      <c r="Y667" s="102"/>
      <c r="Z667" s="102"/>
      <c r="AA667" s="102"/>
      <c r="AB667" s="102"/>
      <c r="AC667" s="102"/>
      <c r="AD667" s="102"/>
      <c r="AE667" s="102"/>
      <c r="AF667" s="102"/>
      <c r="AG667" s="102"/>
      <c r="AH667" s="102"/>
      <c r="AI667" s="102"/>
      <c r="AJ667" s="102"/>
      <c r="AK667" s="102"/>
      <c r="AL667" s="102"/>
      <c r="AM667" s="102"/>
      <c r="AN667" s="102"/>
      <c r="AO667" s="102"/>
      <c r="AP667" s="102"/>
      <c r="AQ667" s="102"/>
      <c r="AR667" s="102"/>
      <c r="AS667" s="102"/>
      <c r="AT667" s="102"/>
      <c r="AU667" s="102"/>
      <c r="AV667" s="102"/>
    </row>
    <row r="668" ht="12.75" customHeight="1">
      <c r="C668" s="400"/>
      <c r="D668" s="102"/>
      <c r="I668" s="102"/>
      <c r="J668" s="102"/>
      <c r="K668" s="102"/>
      <c r="L668" s="102"/>
      <c r="M668" s="102"/>
      <c r="N668" s="102"/>
      <c r="O668" s="102"/>
      <c r="P668" s="102"/>
      <c r="Q668" s="102"/>
      <c r="R668" s="102"/>
      <c r="S668" s="102"/>
      <c r="T668" s="102"/>
      <c r="U668" s="102"/>
      <c r="V668" s="102"/>
      <c r="W668" s="102"/>
      <c r="X668" s="102"/>
      <c r="Y668" s="102"/>
      <c r="Z668" s="102"/>
      <c r="AA668" s="102"/>
      <c r="AB668" s="102"/>
      <c r="AC668" s="102"/>
      <c r="AD668" s="102"/>
      <c r="AE668" s="102"/>
      <c r="AF668" s="102"/>
      <c r="AG668" s="102"/>
      <c r="AH668" s="102"/>
      <c r="AI668" s="102"/>
      <c r="AJ668" s="102"/>
      <c r="AK668" s="102"/>
      <c r="AL668" s="102"/>
      <c r="AM668" s="102"/>
      <c r="AN668" s="102"/>
      <c r="AO668" s="102"/>
      <c r="AP668" s="102"/>
      <c r="AQ668" s="102"/>
      <c r="AR668" s="102"/>
      <c r="AS668" s="102"/>
      <c r="AT668" s="102"/>
      <c r="AU668" s="102"/>
      <c r="AV668" s="102"/>
    </row>
    <row r="669" ht="12.75" customHeight="1">
      <c r="C669" s="400"/>
      <c r="D669" s="102"/>
      <c r="I669" s="102"/>
      <c r="J669" s="102"/>
      <c r="K669" s="102"/>
      <c r="L669" s="102"/>
      <c r="M669" s="102"/>
      <c r="N669" s="102"/>
      <c r="O669" s="102"/>
      <c r="P669" s="102"/>
      <c r="Q669" s="102"/>
      <c r="R669" s="102"/>
      <c r="S669" s="102"/>
      <c r="T669" s="102"/>
      <c r="U669" s="102"/>
      <c r="V669" s="102"/>
      <c r="W669" s="102"/>
      <c r="X669" s="102"/>
      <c r="Y669" s="102"/>
      <c r="Z669" s="102"/>
      <c r="AA669" s="102"/>
      <c r="AB669" s="102"/>
      <c r="AC669" s="102"/>
      <c r="AD669" s="102"/>
      <c r="AE669" s="102"/>
      <c r="AF669" s="102"/>
      <c r="AG669" s="102"/>
      <c r="AH669" s="102"/>
      <c r="AI669" s="102"/>
      <c r="AJ669" s="102"/>
      <c r="AK669" s="102"/>
      <c r="AL669" s="102"/>
      <c r="AM669" s="102"/>
      <c r="AN669" s="102"/>
      <c r="AO669" s="102"/>
      <c r="AP669" s="102"/>
      <c r="AQ669" s="102"/>
      <c r="AR669" s="102"/>
      <c r="AS669" s="102"/>
      <c r="AT669" s="102"/>
      <c r="AU669" s="102"/>
      <c r="AV669" s="102"/>
    </row>
    <row r="670" ht="12.75" customHeight="1">
      <c r="C670" s="400"/>
      <c r="D670" s="102"/>
      <c r="I670" s="102"/>
      <c r="J670" s="102"/>
      <c r="K670" s="102"/>
      <c r="L670" s="102"/>
      <c r="M670" s="102"/>
      <c r="N670" s="102"/>
      <c r="O670" s="102"/>
      <c r="P670" s="102"/>
      <c r="Q670" s="102"/>
      <c r="R670" s="102"/>
      <c r="S670" s="102"/>
      <c r="T670" s="102"/>
      <c r="U670" s="102"/>
      <c r="V670" s="102"/>
      <c r="W670" s="102"/>
      <c r="X670" s="102"/>
      <c r="Y670" s="102"/>
      <c r="Z670" s="102"/>
      <c r="AA670" s="102"/>
      <c r="AB670" s="102"/>
      <c r="AC670" s="102"/>
      <c r="AD670" s="102"/>
      <c r="AE670" s="102"/>
      <c r="AF670" s="102"/>
      <c r="AG670" s="102"/>
      <c r="AH670" s="102"/>
      <c r="AI670" s="102"/>
      <c r="AJ670" s="102"/>
      <c r="AK670" s="102"/>
      <c r="AL670" s="102"/>
      <c r="AM670" s="102"/>
      <c r="AN670" s="102"/>
      <c r="AO670" s="102"/>
      <c r="AP670" s="102"/>
      <c r="AQ670" s="102"/>
      <c r="AR670" s="102"/>
      <c r="AS670" s="102"/>
      <c r="AT670" s="102"/>
      <c r="AU670" s="102"/>
      <c r="AV670" s="102"/>
    </row>
    <row r="671" ht="12.75" customHeight="1">
      <c r="C671" s="400"/>
      <c r="D671" s="102"/>
      <c r="I671" s="102"/>
      <c r="J671" s="102"/>
      <c r="K671" s="102"/>
      <c r="L671" s="102"/>
      <c r="M671" s="102"/>
      <c r="N671" s="102"/>
      <c r="O671" s="102"/>
      <c r="P671" s="102"/>
      <c r="Q671" s="102"/>
      <c r="R671" s="102"/>
      <c r="S671" s="102"/>
      <c r="T671" s="102"/>
      <c r="U671" s="102"/>
      <c r="V671" s="102"/>
      <c r="W671" s="102"/>
      <c r="X671" s="102"/>
      <c r="Y671" s="102"/>
      <c r="Z671" s="102"/>
      <c r="AA671" s="102"/>
      <c r="AB671" s="102"/>
      <c r="AC671" s="102"/>
      <c r="AD671" s="102"/>
      <c r="AE671" s="102"/>
      <c r="AF671" s="102"/>
      <c r="AG671" s="102"/>
      <c r="AH671" s="102"/>
      <c r="AI671" s="102"/>
      <c r="AJ671" s="102"/>
      <c r="AK671" s="102"/>
      <c r="AL671" s="102"/>
      <c r="AM671" s="102"/>
      <c r="AN671" s="102"/>
      <c r="AO671" s="102"/>
      <c r="AP671" s="102"/>
      <c r="AQ671" s="102"/>
      <c r="AR671" s="102"/>
      <c r="AS671" s="102"/>
      <c r="AT671" s="102"/>
      <c r="AU671" s="102"/>
      <c r="AV671" s="102"/>
    </row>
    <row r="672" ht="12.75" customHeight="1">
      <c r="C672" s="400"/>
      <c r="D672" s="102"/>
      <c r="I672" s="102"/>
      <c r="J672" s="102"/>
      <c r="K672" s="102"/>
      <c r="L672" s="102"/>
      <c r="M672" s="102"/>
      <c r="N672" s="102"/>
      <c r="O672" s="102"/>
      <c r="P672" s="102"/>
      <c r="Q672" s="102"/>
      <c r="R672" s="102"/>
      <c r="S672" s="102"/>
      <c r="T672" s="102"/>
      <c r="U672" s="102"/>
      <c r="V672" s="102"/>
      <c r="W672" s="102"/>
      <c r="X672" s="102"/>
      <c r="Y672" s="102"/>
      <c r="Z672" s="102"/>
      <c r="AA672" s="102"/>
      <c r="AB672" s="102"/>
      <c r="AC672" s="102"/>
      <c r="AD672" s="102"/>
      <c r="AE672" s="102"/>
      <c r="AF672" s="102"/>
      <c r="AG672" s="102"/>
      <c r="AH672" s="102"/>
      <c r="AI672" s="102"/>
      <c r="AJ672" s="102"/>
      <c r="AK672" s="102"/>
      <c r="AL672" s="102"/>
      <c r="AM672" s="102"/>
      <c r="AN672" s="102"/>
      <c r="AO672" s="102"/>
      <c r="AP672" s="102"/>
      <c r="AQ672" s="102"/>
      <c r="AR672" s="102"/>
      <c r="AS672" s="102"/>
      <c r="AT672" s="102"/>
      <c r="AU672" s="102"/>
      <c r="AV672" s="102"/>
    </row>
    <row r="673" ht="12.75" customHeight="1">
      <c r="C673" s="400"/>
      <c r="D673" s="102"/>
      <c r="I673" s="102"/>
      <c r="J673" s="102"/>
      <c r="K673" s="102"/>
      <c r="L673" s="102"/>
      <c r="M673" s="102"/>
      <c r="N673" s="102"/>
      <c r="O673" s="102"/>
      <c r="P673" s="102"/>
      <c r="Q673" s="102"/>
      <c r="R673" s="102"/>
      <c r="S673" s="102"/>
      <c r="T673" s="102"/>
      <c r="U673" s="102"/>
      <c r="V673" s="102"/>
      <c r="W673" s="102"/>
      <c r="X673" s="102"/>
      <c r="Y673" s="102"/>
      <c r="Z673" s="102"/>
      <c r="AA673" s="102"/>
      <c r="AB673" s="102"/>
      <c r="AC673" s="102"/>
      <c r="AD673" s="102"/>
      <c r="AE673" s="102"/>
      <c r="AF673" s="102"/>
      <c r="AG673" s="102"/>
      <c r="AH673" s="102"/>
      <c r="AI673" s="102"/>
      <c r="AJ673" s="102"/>
      <c r="AK673" s="102"/>
      <c r="AL673" s="102"/>
      <c r="AM673" s="102"/>
      <c r="AN673" s="102"/>
      <c r="AO673" s="102"/>
      <c r="AP673" s="102"/>
      <c r="AQ673" s="102"/>
      <c r="AR673" s="102"/>
      <c r="AS673" s="102"/>
      <c r="AT673" s="102"/>
      <c r="AU673" s="102"/>
      <c r="AV673" s="102"/>
    </row>
    <row r="674" ht="12.75" customHeight="1">
      <c r="C674" s="400"/>
      <c r="D674" s="102"/>
      <c r="I674" s="102"/>
      <c r="J674" s="102"/>
      <c r="K674" s="102"/>
      <c r="L674" s="102"/>
      <c r="M674" s="102"/>
      <c r="N674" s="102"/>
      <c r="O674" s="102"/>
      <c r="P674" s="102"/>
      <c r="Q674" s="102"/>
      <c r="R674" s="102"/>
      <c r="S674" s="102"/>
      <c r="T674" s="102"/>
      <c r="U674" s="102"/>
      <c r="V674" s="102"/>
      <c r="W674" s="102"/>
      <c r="X674" s="102"/>
      <c r="Y674" s="102"/>
      <c r="Z674" s="102"/>
      <c r="AA674" s="102"/>
      <c r="AB674" s="102"/>
      <c r="AC674" s="102"/>
      <c r="AD674" s="102"/>
      <c r="AE674" s="102"/>
      <c r="AF674" s="102"/>
      <c r="AG674" s="102"/>
      <c r="AH674" s="102"/>
      <c r="AI674" s="102"/>
      <c r="AJ674" s="102"/>
      <c r="AK674" s="102"/>
      <c r="AL674" s="102"/>
      <c r="AM674" s="102"/>
      <c r="AN674" s="102"/>
      <c r="AO674" s="102"/>
      <c r="AP674" s="102"/>
      <c r="AQ674" s="102"/>
      <c r="AR674" s="102"/>
      <c r="AS674" s="102"/>
      <c r="AT674" s="102"/>
      <c r="AU674" s="102"/>
      <c r="AV674" s="102"/>
    </row>
    <row r="675" ht="12.75" customHeight="1">
      <c r="C675" s="400"/>
      <c r="D675" s="102"/>
      <c r="I675" s="102"/>
      <c r="J675" s="102"/>
      <c r="K675" s="102"/>
      <c r="L675" s="102"/>
      <c r="M675" s="102"/>
      <c r="N675" s="102"/>
      <c r="O675" s="102"/>
      <c r="P675" s="102"/>
      <c r="Q675" s="102"/>
      <c r="R675" s="102"/>
      <c r="S675" s="102"/>
      <c r="T675" s="102"/>
      <c r="U675" s="102"/>
      <c r="V675" s="102"/>
      <c r="W675" s="102"/>
      <c r="X675" s="102"/>
      <c r="Y675" s="102"/>
      <c r="Z675" s="102"/>
      <c r="AA675" s="102"/>
      <c r="AB675" s="102"/>
      <c r="AC675" s="102"/>
      <c r="AD675" s="102"/>
      <c r="AE675" s="102"/>
      <c r="AF675" s="102"/>
      <c r="AG675" s="102"/>
      <c r="AH675" s="102"/>
      <c r="AI675" s="102"/>
      <c r="AJ675" s="102"/>
      <c r="AK675" s="102"/>
      <c r="AL675" s="102"/>
      <c r="AM675" s="102"/>
      <c r="AN675" s="102"/>
      <c r="AO675" s="102"/>
      <c r="AP675" s="102"/>
      <c r="AQ675" s="102"/>
      <c r="AR675" s="102"/>
      <c r="AS675" s="102"/>
      <c r="AT675" s="102"/>
      <c r="AU675" s="102"/>
      <c r="AV675" s="102"/>
    </row>
    <row r="676" ht="12.75" customHeight="1">
      <c r="C676" s="400"/>
      <c r="D676" s="102"/>
      <c r="I676" s="102"/>
      <c r="J676" s="102"/>
      <c r="K676" s="102"/>
      <c r="L676" s="102"/>
      <c r="M676" s="102"/>
      <c r="N676" s="102"/>
      <c r="O676" s="102"/>
      <c r="P676" s="102"/>
      <c r="Q676" s="102"/>
      <c r="R676" s="102"/>
      <c r="S676" s="102"/>
      <c r="T676" s="102"/>
      <c r="U676" s="102"/>
      <c r="V676" s="102"/>
      <c r="W676" s="102"/>
      <c r="X676" s="102"/>
      <c r="Y676" s="102"/>
      <c r="Z676" s="102"/>
      <c r="AA676" s="102"/>
      <c r="AB676" s="102"/>
      <c r="AC676" s="102"/>
      <c r="AD676" s="102"/>
      <c r="AE676" s="102"/>
      <c r="AF676" s="102"/>
      <c r="AG676" s="102"/>
      <c r="AH676" s="102"/>
      <c r="AI676" s="102"/>
      <c r="AJ676" s="102"/>
      <c r="AK676" s="102"/>
      <c r="AL676" s="102"/>
      <c r="AM676" s="102"/>
      <c r="AN676" s="102"/>
      <c r="AO676" s="102"/>
      <c r="AP676" s="102"/>
      <c r="AQ676" s="102"/>
      <c r="AR676" s="102"/>
      <c r="AS676" s="102"/>
      <c r="AT676" s="102"/>
      <c r="AU676" s="102"/>
      <c r="AV676" s="102"/>
    </row>
    <row r="677" ht="12.75" customHeight="1">
      <c r="C677" s="400"/>
      <c r="D677" s="102"/>
      <c r="I677" s="102"/>
      <c r="J677" s="102"/>
      <c r="K677" s="102"/>
      <c r="L677" s="102"/>
      <c r="M677" s="102"/>
      <c r="N677" s="102"/>
      <c r="O677" s="102"/>
      <c r="P677" s="102"/>
      <c r="Q677" s="102"/>
      <c r="R677" s="102"/>
      <c r="S677" s="102"/>
      <c r="T677" s="102"/>
      <c r="U677" s="102"/>
      <c r="V677" s="102"/>
      <c r="W677" s="102"/>
      <c r="X677" s="102"/>
      <c r="Y677" s="102"/>
      <c r="Z677" s="102"/>
      <c r="AA677" s="102"/>
      <c r="AB677" s="102"/>
      <c r="AC677" s="102"/>
      <c r="AD677" s="102"/>
      <c r="AE677" s="102"/>
      <c r="AF677" s="102"/>
      <c r="AG677" s="102"/>
      <c r="AH677" s="102"/>
      <c r="AI677" s="102"/>
      <c r="AJ677" s="102"/>
      <c r="AK677" s="102"/>
      <c r="AL677" s="102"/>
      <c r="AM677" s="102"/>
      <c r="AN677" s="102"/>
      <c r="AO677" s="102"/>
      <c r="AP677" s="102"/>
      <c r="AQ677" s="102"/>
      <c r="AR677" s="102"/>
      <c r="AS677" s="102"/>
      <c r="AT677" s="102"/>
      <c r="AU677" s="102"/>
      <c r="AV677" s="102"/>
    </row>
    <row r="678" ht="12.75" customHeight="1">
      <c r="C678" s="400"/>
      <c r="D678" s="102"/>
      <c r="I678" s="102"/>
      <c r="J678" s="102"/>
      <c r="K678" s="102"/>
      <c r="L678" s="102"/>
      <c r="M678" s="102"/>
      <c r="N678" s="102"/>
      <c r="O678" s="102"/>
      <c r="P678" s="102"/>
      <c r="Q678" s="102"/>
      <c r="R678" s="102"/>
      <c r="S678" s="102"/>
      <c r="T678" s="102"/>
      <c r="U678" s="102"/>
      <c r="V678" s="102"/>
      <c r="W678" s="102"/>
      <c r="X678" s="102"/>
      <c r="Y678" s="102"/>
      <c r="Z678" s="102"/>
      <c r="AA678" s="102"/>
      <c r="AB678" s="102"/>
      <c r="AC678" s="102"/>
      <c r="AD678" s="102"/>
      <c r="AE678" s="102"/>
      <c r="AF678" s="102"/>
      <c r="AG678" s="102"/>
      <c r="AH678" s="102"/>
      <c r="AI678" s="102"/>
      <c r="AJ678" s="102"/>
      <c r="AK678" s="102"/>
      <c r="AL678" s="102"/>
      <c r="AM678" s="102"/>
      <c r="AN678" s="102"/>
      <c r="AO678" s="102"/>
      <c r="AP678" s="102"/>
      <c r="AQ678" s="102"/>
      <c r="AR678" s="102"/>
      <c r="AS678" s="102"/>
      <c r="AT678" s="102"/>
      <c r="AU678" s="102"/>
      <c r="AV678" s="102"/>
    </row>
    <row r="679" ht="12.75" customHeight="1">
      <c r="C679" s="400"/>
      <c r="D679" s="102"/>
      <c r="I679" s="102"/>
      <c r="J679" s="102"/>
      <c r="K679" s="102"/>
      <c r="L679" s="102"/>
      <c r="M679" s="102"/>
      <c r="N679" s="102"/>
      <c r="O679" s="102"/>
      <c r="P679" s="102"/>
      <c r="Q679" s="102"/>
      <c r="R679" s="102"/>
      <c r="S679" s="102"/>
      <c r="T679" s="102"/>
      <c r="U679" s="102"/>
      <c r="V679" s="102"/>
      <c r="W679" s="102"/>
      <c r="X679" s="102"/>
      <c r="Y679" s="102"/>
      <c r="Z679" s="102"/>
      <c r="AA679" s="102"/>
      <c r="AB679" s="102"/>
      <c r="AC679" s="102"/>
      <c r="AD679" s="102"/>
      <c r="AE679" s="102"/>
      <c r="AF679" s="102"/>
      <c r="AG679" s="102"/>
      <c r="AH679" s="102"/>
      <c r="AI679" s="102"/>
      <c r="AJ679" s="102"/>
      <c r="AK679" s="102"/>
      <c r="AL679" s="102"/>
      <c r="AM679" s="102"/>
      <c r="AN679" s="102"/>
      <c r="AO679" s="102"/>
      <c r="AP679" s="102"/>
      <c r="AQ679" s="102"/>
      <c r="AR679" s="102"/>
      <c r="AS679" s="102"/>
      <c r="AT679" s="102"/>
      <c r="AU679" s="102"/>
      <c r="AV679" s="102"/>
    </row>
    <row r="680" ht="12.75" customHeight="1">
      <c r="C680" s="400"/>
      <c r="D680" s="102"/>
      <c r="I680" s="102"/>
      <c r="J680" s="102"/>
      <c r="K680" s="102"/>
      <c r="L680" s="102"/>
      <c r="M680" s="102"/>
      <c r="N680" s="102"/>
      <c r="O680" s="102"/>
      <c r="P680" s="102"/>
      <c r="Q680" s="102"/>
      <c r="R680" s="102"/>
      <c r="S680" s="102"/>
      <c r="T680" s="102"/>
      <c r="U680" s="102"/>
      <c r="V680" s="102"/>
      <c r="W680" s="102"/>
      <c r="X680" s="102"/>
      <c r="Y680" s="102"/>
      <c r="Z680" s="102"/>
      <c r="AA680" s="102"/>
      <c r="AB680" s="102"/>
      <c r="AC680" s="102"/>
      <c r="AD680" s="102"/>
      <c r="AE680" s="102"/>
      <c r="AF680" s="102"/>
      <c r="AG680" s="102"/>
      <c r="AH680" s="102"/>
      <c r="AI680" s="102"/>
      <c r="AJ680" s="102"/>
      <c r="AK680" s="102"/>
      <c r="AL680" s="102"/>
      <c r="AM680" s="102"/>
      <c r="AN680" s="102"/>
      <c r="AO680" s="102"/>
      <c r="AP680" s="102"/>
      <c r="AQ680" s="102"/>
      <c r="AR680" s="102"/>
      <c r="AS680" s="102"/>
      <c r="AT680" s="102"/>
      <c r="AU680" s="102"/>
      <c r="AV680" s="102"/>
    </row>
    <row r="681" ht="12.75" customHeight="1">
      <c r="C681" s="400"/>
      <c r="D681" s="102"/>
      <c r="I681" s="102"/>
      <c r="J681" s="102"/>
      <c r="K681" s="102"/>
      <c r="L681" s="102"/>
      <c r="M681" s="102"/>
      <c r="N681" s="102"/>
      <c r="O681" s="102"/>
      <c r="P681" s="102"/>
      <c r="Q681" s="102"/>
      <c r="R681" s="102"/>
      <c r="S681" s="102"/>
      <c r="T681" s="102"/>
      <c r="U681" s="102"/>
      <c r="V681" s="102"/>
      <c r="W681" s="102"/>
      <c r="X681" s="102"/>
      <c r="Y681" s="102"/>
      <c r="Z681" s="102"/>
      <c r="AA681" s="102"/>
      <c r="AB681" s="102"/>
      <c r="AC681" s="102"/>
      <c r="AD681" s="102"/>
      <c r="AE681" s="102"/>
      <c r="AF681" s="102"/>
      <c r="AG681" s="102"/>
      <c r="AH681" s="102"/>
      <c r="AI681" s="102"/>
      <c r="AJ681" s="102"/>
      <c r="AK681" s="102"/>
      <c r="AL681" s="102"/>
      <c r="AM681" s="102"/>
      <c r="AN681" s="102"/>
      <c r="AO681" s="102"/>
      <c r="AP681" s="102"/>
      <c r="AQ681" s="102"/>
      <c r="AR681" s="102"/>
      <c r="AS681" s="102"/>
      <c r="AT681" s="102"/>
      <c r="AU681" s="102"/>
      <c r="AV681" s="102"/>
    </row>
    <row r="682" ht="12.75" customHeight="1">
      <c r="C682" s="400"/>
      <c r="D682" s="102"/>
      <c r="I682" s="102"/>
      <c r="J682" s="102"/>
      <c r="K682" s="102"/>
      <c r="L682" s="102"/>
      <c r="M682" s="102"/>
      <c r="N682" s="102"/>
      <c r="O682" s="102"/>
      <c r="P682" s="102"/>
      <c r="Q682" s="102"/>
      <c r="R682" s="102"/>
      <c r="S682" s="102"/>
      <c r="T682" s="102"/>
      <c r="U682" s="102"/>
      <c r="V682" s="102"/>
      <c r="W682" s="102"/>
      <c r="X682" s="102"/>
      <c r="Y682" s="102"/>
      <c r="Z682" s="102"/>
      <c r="AA682" s="102"/>
      <c r="AB682" s="102"/>
      <c r="AC682" s="102"/>
      <c r="AD682" s="102"/>
      <c r="AE682" s="102"/>
      <c r="AF682" s="102"/>
      <c r="AG682" s="102"/>
      <c r="AH682" s="102"/>
      <c r="AI682" s="102"/>
      <c r="AJ682" s="102"/>
      <c r="AK682" s="102"/>
      <c r="AL682" s="102"/>
      <c r="AM682" s="102"/>
      <c r="AN682" s="102"/>
      <c r="AO682" s="102"/>
      <c r="AP682" s="102"/>
      <c r="AQ682" s="102"/>
      <c r="AR682" s="102"/>
      <c r="AS682" s="102"/>
      <c r="AT682" s="102"/>
      <c r="AU682" s="102"/>
      <c r="AV682" s="102"/>
    </row>
    <row r="683" ht="12.75" customHeight="1">
      <c r="C683" s="400"/>
      <c r="D683" s="102"/>
      <c r="I683" s="102"/>
      <c r="J683" s="102"/>
      <c r="K683" s="102"/>
      <c r="L683" s="102"/>
      <c r="M683" s="102"/>
      <c r="N683" s="102"/>
      <c r="O683" s="102"/>
      <c r="P683" s="102"/>
      <c r="Q683" s="102"/>
      <c r="R683" s="102"/>
      <c r="S683" s="102"/>
      <c r="T683" s="102"/>
      <c r="U683" s="102"/>
      <c r="V683" s="102"/>
      <c r="W683" s="102"/>
      <c r="X683" s="102"/>
      <c r="Y683" s="102"/>
      <c r="Z683" s="102"/>
      <c r="AA683" s="102"/>
      <c r="AB683" s="102"/>
      <c r="AC683" s="102"/>
      <c r="AD683" s="102"/>
      <c r="AE683" s="102"/>
      <c r="AF683" s="102"/>
      <c r="AG683" s="102"/>
      <c r="AH683" s="102"/>
      <c r="AI683" s="102"/>
      <c r="AJ683" s="102"/>
      <c r="AK683" s="102"/>
      <c r="AL683" s="102"/>
      <c r="AM683" s="102"/>
      <c r="AN683" s="102"/>
      <c r="AO683" s="102"/>
      <c r="AP683" s="102"/>
      <c r="AQ683" s="102"/>
      <c r="AR683" s="102"/>
      <c r="AS683" s="102"/>
      <c r="AT683" s="102"/>
      <c r="AU683" s="102"/>
      <c r="AV683" s="102"/>
    </row>
    <row r="684" ht="12.75" customHeight="1">
      <c r="C684" s="400"/>
      <c r="D684" s="102"/>
      <c r="I684" s="102"/>
      <c r="J684" s="102"/>
      <c r="K684" s="102"/>
      <c r="L684" s="102"/>
      <c r="M684" s="102"/>
      <c r="N684" s="102"/>
      <c r="O684" s="102"/>
      <c r="P684" s="102"/>
      <c r="Q684" s="102"/>
      <c r="R684" s="102"/>
      <c r="S684" s="102"/>
      <c r="T684" s="102"/>
      <c r="U684" s="102"/>
      <c r="V684" s="102"/>
      <c r="W684" s="102"/>
      <c r="X684" s="102"/>
      <c r="Y684" s="102"/>
      <c r="Z684" s="102"/>
      <c r="AA684" s="102"/>
      <c r="AB684" s="102"/>
      <c r="AC684" s="102"/>
      <c r="AD684" s="102"/>
      <c r="AE684" s="102"/>
      <c r="AF684" s="102"/>
      <c r="AG684" s="102"/>
      <c r="AH684" s="102"/>
      <c r="AI684" s="102"/>
      <c r="AJ684" s="102"/>
      <c r="AK684" s="102"/>
      <c r="AL684" s="102"/>
      <c r="AM684" s="102"/>
      <c r="AN684" s="102"/>
      <c r="AO684" s="102"/>
      <c r="AP684" s="102"/>
      <c r="AQ684" s="102"/>
      <c r="AR684" s="102"/>
      <c r="AS684" s="102"/>
      <c r="AT684" s="102"/>
      <c r="AU684" s="102"/>
      <c r="AV684" s="102"/>
    </row>
    <row r="685" ht="12.75" customHeight="1">
      <c r="C685" s="400"/>
      <c r="D685" s="102"/>
      <c r="I685" s="102"/>
      <c r="J685" s="102"/>
      <c r="K685" s="102"/>
      <c r="L685" s="102"/>
      <c r="M685" s="102"/>
      <c r="N685" s="102"/>
      <c r="O685" s="102"/>
      <c r="P685" s="102"/>
      <c r="Q685" s="102"/>
      <c r="R685" s="102"/>
      <c r="S685" s="102"/>
      <c r="T685" s="102"/>
      <c r="U685" s="102"/>
      <c r="V685" s="102"/>
      <c r="W685" s="102"/>
      <c r="X685" s="102"/>
      <c r="Y685" s="102"/>
      <c r="Z685" s="102"/>
      <c r="AA685" s="102"/>
      <c r="AB685" s="102"/>
      <c r="AC685" s="102"/>
      <c r="AD685" s="102"/>
      <c r="AE685" s="102"/>
      <c r="AF685" s="102"/>
      <c r="AG685" s="102"/>
      <c r="AH685" s="102"/>
      <c r="AI685" s="102"/>
      <c r="AJ685" s="102"/>
      <c r="AK685" s="102"/>
      <c r="AL685" s="102"/>
      <c r="AM685" s="102"/>
      <c r="AN685" s="102"/>
      <c r="AO685" s="102"/>
      <c r="AP685" s="102"/>
      <c r="AQ685" s="102"/>
      <c r="AR685" s="102"/>
      <c r="AS685" s="102"/>
      <c r="AT685" s="102"/>
      <c r="AU685" s="102"/>
      <c r="AV685" s="102"/>
    </row>
    <row r="686" ht="12.75" customHeight="1">
      <c r="C686" s="400"/>
      <c r="D686" s="102"/>
      <c r="I686" s="102"/>
      <c r="J686" s="102"/>
      <c r="K686" s="102"/>
      <c r="L686" s="102"/>
      <c r="M686" s="102"/>
      <c r="N686" s="102"/>
      <c r="O686" s="102"/>
      <c r="P686" s="102"/>
      <c r="Q686" s="102"/>
      <c r="R686" s="102"/>
      <c r="S686" s="102"/>
      <c r="T686" s="102"/>
      <c r="U686" s="102"/>
      <c r="V686" s="102"/>
      <c r="W686" s="102"/>
      <c r="X686" s="102"/>
      <c r="Y686" s="102"/>
      <c r="Z686" s="102"/>
      <c r="AA686" s="102"/>
      <c r="AB686" s="102"/>
      <c r="AC686" s="102"/>
      <c r="AD686" s="102"/>
      <c r="AE686" s="102"/>
      <c r="AF686" s="102"/>
      <c r="AG686" s="102"/>
      <c r="AH686" s="102"/>
      <c r="AI686" s="102"/>
      <c r="AJ686" s="102"/>
      <c r="AK686" s="102"/>
      <c r="AL686" s="102"/>
      <c r="AM686" s="102"/>
      <c r="AN686" s="102"/>
      <c r="AO686" s="102"/>
      <c r="AP686" s="102"/>
      <c r="AQ686" s="102"/>
      <c r="AR686" s="102"/>
      <c r="AS686" s="102"/>
      <c r="AT686" s="102"/>
      <c r="AU686" s="102"/>
      <c r="AV686" s="102"/>
    </row>
    <row r="687" ht="12.75" customHeight="1">
      <c r="C687" s="400"/>
      <c r="D687" s="102"/>
      <c r="I687" s="102"/>
      <c r="J687" s="102"/>
      <c r="K687" s="102"/>
      <c r="L687" s="102"/>
      <c r="M687" s="102"/>
      <c r="N687" s="102"/>
      <c r="O687" s="102"/>
      <c r="P687" s="102"/>
      <c r="Q687" s="102"/>
      <c r="R687" s="102"/>
      <c r="S687" s="102"/>
      <c r="T687" s="102"/>
      <c r="U687" s="102"/>
      <c r="V687" s="102"/>
      <c r="W687" s="102"/>
      <c r="X687" s="102"/>
      <c r="Y687" s="102"/>
      <c r="Z687" s="102"/>
      <c r="AA687" s="102"/>
      <c r="AB687" s="102"/>
      <c r="AC687" s="102"/>
      <c r="AD687" s="102"/>
      <c r="AE687" s="102"/>
      <c r="AF687" s="102"/>
      <c r="AG687" s="102"/>
      <c r="AH687" s="102"/>
      <c r="AI687" s="102"/>
      <c r="AJ687" s="102"/>
      <c r="AK687" s="102"/>
      <c r="AL687" s="102"/>
      <c r="AM687" s="102"/>
      <c r="AN687" s="102"/>
      <c r="AO687" s="102"/>
      <c r="AP687" s="102"/>
      <c r="AQ687" s="102"/>
      <c r="AR687" s="102"/>
      <c r="AS687" s="102"/>
      <c r="AT687" s="102"/>
      <c r="AU687" s="102"/>
      <c r="AV687" s="102"/>
    </row>
    <row r="688" ht="12.75" customHeight="1">
      <c r="C688" s="400"/>
      <c r="D688" s="102"/>
      <c r="I688" s="102"/>
      <c r="J688" s="102"/>
      <c r="K688" s="102"/>
      <c r="L688" s="102"/>
      <c r="M688" s="102"/>
      <c r="N688" s="102"/>
      <c r="O688" s="102"/>
      <c r="P688" s="102"/>
      <c r="Q688" s="102"/>
      <c r="R688" s="102"/>
      <c r="S688" s="102"/>
      <c r="T688" s="102"/>
      <c r="U688" s="102"/>
      <c r="V688" s="102"/>
      <c r="W688" s="102"/>
      <c r="X688" s="102"/>
      <c r="Y688" s="102"/>
      <c r="Z688" s="102"/>
      <c r="AA688" s="102"/>
      <c r="AB688" s="102"/>
      <c r="AC688" s="102"/>
      <c r="AD688" s="102"/>
      <c r="AE688" s="102"/>
      <c r="AF688" s="102"/>
      <c r="AG688" s="102"/>
      <c r="AH688" s="102"/>
      <c r="AI688" s="102"/>
      <c r="AJ688" s="102"/>
      <c r="AK688" s="102"/>
      <c r="AL688" s="102"/>
      <c r="AM688" s="102"/>
      <c r="AN688" s="102"/>
      <c r="AO688" s="102"/>
      <c r="AP688" s="102"/>
      <c r="AQ688" s="102"/>
      <c r="AR688" s="102"/>
      <c r="AS688" s="102"/>
      <c r="AT688" s="102"/>
      <c r="AU688" s="102"/>
      <c r="AV688" s="102"/>
    </row>
    <row r="689" ht="12.75" customHeight="1">
      <c r="C689" s="400"/>
      <c r="D689" s="102"/>
      <c r="I689" s="102"/>
      <c r="J689" s="102"/>
      <c r="K689" s="102"/>
      <c r="L689" s="102"/>
      <c r="M689" s="102"/>
      <c r="N689" s="102"/>
      <c r="O689" s="102"/>
      <c r="P689" s="102"/>
      <c r="Q689" s="102"/>
      <c r="R689" s="102"/>
      <c r="S689" s="102"/>
      <c r="T689" s="102"/>
      <c r="U689" s="102"/>
      <c r="V689" s="102"/>
      <c r="W689" s="102"/>
      <c r="X689" s="102"/>
      <c r="Y689" s="102"/>
      <c r="Z689" s="102"/>
      <c r="AA689" s="102"/>
      <c r="AB689" s="102"/>
      <c r="AC689" s="102"/>
      <c r="AD689" s="102"/>
      <c r="AE689" s="102"/>
      <c r="AF689" s="102"/>
      <c r="AG689" s="102"/>
      <c r="AH689" s="102"/>
      <c r="AI689" s="102"/>
      <c r="AJ689" s="102"/>
      <c r="AK689" s="102"/>
      <c r="AL689" s="102"/>
      <c r="AM689" s="102"/>
      <c r="AN689" s="102"/>
      <c r="AO689" s="102"/>
      <c r="AP689" s="102"/>
      <c r="AQ689" s="102"/>
      <c r="AR689" s="102"/>
      <c r="AS689" s="102"/>
      <c r="AT689" s="102"/>
      <c r="AU689" s="102"/>
      <c r="AV689" s="102"/>
    </row>
    <row r="690" ht="12.75" customHeight="1">
      <c r="C690" s="400"/>
      <c r="D690" s="102"/>
      <c r="I690" s="102"/>
      <c r="J690" s="102"/>
      <c r="K690" s="102"/>
      <c r="L690" s="102"/>
      <c r="M690" s="102"/>
      <c r="N690" s="102"/>
      <c r="O690" s="102"/>
      <c r="P690" s="102"/>
      <c r="Q690" s="102"/>
      <c r="R690" s="102"/>
      <c r="S690" s="102"/>
      <c r="T690" s="102"/>
      <c r="U690" s="102"/>
      <c r="V690" s="102"/>
      <c r="W690" s="102"/>
      <c r="X690" s="102"/>
      <c r="Y690" s="102"/>
      <c r="Z690" s="102"/>
      <c r="AA690" s="102"/>
      <c r="AB690" s="102"/>
      <c r="AC690" s="102"/>
      <c r="AD690" s="102"/>
      <c r="AE690" s="102"/>
      <c r="AF690" s="102"/>
      <c r="AG690" s="102"/>
      <c r="AH690" s="102"/>
      <c r="AI690" s="102"/>
      <c r="AJ690" s="102"/>
      <c r="AK690" s="102"/>
      <c r="AL690" s="102"/>
      <c r="AM690" s="102"/>
      <c r="AN690" s="102"/>
      <c r="AO690" s="102"/>
      <c r="AP690" s="102"/>
      <c r="AQ690" s="102"/>
      <c r="AR690" s="102"/>
      <c r="AS690" s="102"/>
      <c r="AT690" s="102"/>
      <c r="AU690" s="102"/>
      <c r="AV690" s="102"/>
    </row>
    <row r="691" ht="12.75" customHeight="1">
      <c r="C691" s="400"/>
      <c r="D691" s="102"/>
      <c r="I691" s="102"/>
      <c r="J691" s="102"/>
      <c r="K691" s="102"/>
      <c r="L691" s="102"/>
      <c r="M691" s="102"/>
      <c r="N691" s="102"/>
      <c r="O691" s="102"/>
      <c r="P691" s="102"/>
      <c r="Q691" s="102"/>
      <c r="R691" s="102"/>
      <c r="S691" s="102"/>
      <c r="T691" s="102"/>
      <c r="U691" s="102"/>
      <c r="V691" s="102"/>
      <c r="W691" s="102"/>
      <c r="X691" s="102"/>
      <c r="Y691" s="102"/>
      <c r="Z691" s="102"/>
      <c r="AA691" s="102"/>
      <c r="AB691" s="102"/>
      <c r="AC691" s="102"/>
      <c r="AD691" s="102"/>
      <c r="AE691" s="102"/>
      <c r="AF691" s="102"/>
      <c r="AG691" s="102"/>
      <c r="AH691" s="102"/>
      <c r="AI691" s="102"/>
      <c r="AJ691" s="102"/>
      <c r="AK691" s="102"/>
      <c r="AL691" s="102"/>
      <c r="AM691" s="102"/>
      <c r="AN691" s="102"/>
      <c r="AO691" s="102"/>
      <c r="AP691" s="102"/>
      <c r="AQ691" s="102"/>
      <c r="AR691" s="102"/>
      <c r="AS691" s="102"/>
      <c r="AT691" s="102"/>
      <c r="AU691" s="102"/>
      <c r="AV691" s="102"/>
    </row>
    <row r="692" ht="12.75" customHeight="1">
      <c r="C692" s="400"/>
      <c r="D692" s="102"/>
      <c r="I692" s="102"/>
      <c r="J692" s="102"/>
      <c r="K692" s="102"/>
      <c r="L692" s="102"/>
      <c r="M692" s="102"/>
      <c r="N692" s="102"/>
      <c r="O692" s="102"/>
      <c r="P692" s="102"/>
      <c r="Q692" s="102"/>
      <c r="R692" s="102"/>
      <c r="S692" s="102"/>
      <c r="T692" s="102"/>
      <c r="U692" s="102"/>
      <c r="V692" s="102"/>
      <c r="W692" s="102"/>
      <c r="X692" s="102"/>
      <c r="Y692" s="102"/>
      <c r="Z692" s="102"/>
      <c r="AA692" s="102"/>
      <c r="AB692" s="102"/>
      <c r="AC692" s="102"/>
      <c r="AD692" s="102"/>
      <c r="AE692" s="102"/>
      <c r="AF692" s="102"/>
      <c r="AG692" s="102"/>
      <c r="AH692" s="102"/>
      <c r="AI692" s="102"/>
      <c r="AJ692" s="102"/>
      <c r="AK692" s="102"/>
      <c r="AL692" s="102"/>
      <c r="AM692" s="102"/>
      <c r="AN692" s="102"/>
      <c r="AO692" s="102"/>
      <c r="AP692" s="102"/>
      <c r="AQ692" s="102"/>
      <c r="AR692" s="102"/>
      <c r="AS692" s="102"/>
      <c r="AT692" s="102"/>
      <c r="AU692" s="102"/>
      <c r="AV692" s="102"/>
    </row>
    <row r="693" ht="12.75" customHeight="1">
      <c r="C693" s="400"/>
      <c r="D693" s="102"/>
      <c r="I693" s="102"/>
      <c r="J693" s="102"/>
      <c r="K693" s="102"/>
      <c r="L693" s="102"/>
      <c r="M693" s="102"/>
      <c r="N693" s="102"/>
      <c r="O693" s="102"/>
      <c r="P693" s="102"/>
      <c r="Q693" s="102"/>
      <c r="R693" s="102"/>
      <c r="S693" s="102"/>
      <c r="T693" s="102"/>
      <c r="U693" s="102"/>
      <c r="V693" s="102"/>
      <c r="W693" s="102"/>
      <c r="X693" s="102"/>
      <c r="Y693" s="102"/>
      <c r="Z693" s="102"/>
      <c r="AA693" s="102"/>
      <c r="AB693" s="102"/>
      <c r="AC693" s="102"/>
      <c r="AD693" s="102"/>
      <c r="AE693" s="102"/>
      <c r="AF693" s="102"/>
      <c r="AG693" s="102"/>
      <c r="AH693" s="102"/>
      <c r="AI693" s="102"/>
      <c r="AJ693" s="102"/>
      <c r="AK693" s="102"/>
      <c r="AL693" s="102"/>
      <c r="AM693" s="102"/>
      <c r="AN693" s="102"/>
      <c r="AO693" s="102"/>
      <c r="AP693" s="102"/>
      <c r="AQ693" s="102"/>
      <c r="AR693" s="102"/>
      <c r="AS693" s="102"/>
      <c r="AT693" s="102"/>
      <c r="AU693" s="102"/>
      <c r="AV693" s="102"/>
    </row>
    <row r="694" ht="12.75" customHeight="1">
      <c r="C694" s="400"/>
      <c r="D694" s="102"/>
      <c r="I694" s="102"/>
      <c r="J694" s="102"/>
      <c r="K694" s="102"/>
      <c r="L694" s="102"/>
      <c r="M694" s="102"/>
      <c r="N694" s="102"/>
      <c r="O694" s="102"/>
      <c r="P694" s="102"/>
      <c r="Q694" s="102"/>
      <c r="R694" s="102"/>
      <c r="S694" s="102"/>
      <c r="T694" s="102"/>
      <c r="U694" s="102"/>
      <c r="V694" s="102"/>
      <c r="W694" s="102"/>
      <c r="X694" s="102"/>
      <c r="Y694" s="102"/>
      <c r="Z694" s="102"/>
      <c r="AA694" s="102"/>
      <c r="AB694" s="102"/>
      <c r="AC694" s="102"/>
      <c r="AD694" s="102"/>
      <c r="AE694" s="102"/>
      <c r="AF694" s="102"/>
      <c r="AG694" s="102"/>
      <c r="AH694" s="102"/>
      <c r="AI694" s="102"/>
      <c r="AJ694" s="102"/>
      <c r="AK694" s="102"/>
      <c r="AL694" s="102"/>
      <c r="AM694" s="102"/>
      <c r="AN694" s="102"/>
      <c r="AO694" s="102"/>
      <c r="AP694" s="102"/>
      <c r="AQ694" s="102"/>
      <c r="AR694" s="102"/>
      <c r="AS694" s="102"/>
      <c r="AT694" s="102"/>
      <c r="AU694" s="102"/>
      <c r="AV694" s="102"/>
    </row>
    <row r="695" ht="12.75" customHeight="1">
      <c r="C695" s="400"/>
      <c r="D695" s="102"/>
      <c r="I695" s="102"/>
      <c r="J695" s="102"/>
      <c r="K695" s="102"/>
      <c r="L695" s="102"/>
      <c r="M695" s="102"/>
      <c r="N695" s="102"/>
      <c r="O695" s="102"/>
      <c r="P695" s="102"/>
      <c r="Q695" s="102"/>
      <c r="R695" s="102"/>
      <c r="S695" s="102"/>
      <c r="T695" s="102"/>
      <c r="U695" s="102"/>
      <c r="V695" s="102"/>
      <c r="W695" s="102"/>
      <c r="X695" s="102"/>
      <c r="Y695" s="102"/>
      <c r="Z695" s="102"/>
      <c r="AA695" s="102"/>
      <c r="AB695" s="102"/>
      <c r="AC695" s="102"/>
      <c r="AD695" s="102"/>
      <c r="AE695" s="102"/>
      <c r="AF695" s="102"/>
      <c r="AG695" s="102"/>
      <c r="AH695" s="102"/>
      <c r="AI695" s="102"/>
      <c r="AJ695" s="102"/>
      <c r="AK695" s="102"/>
      <c r="AL695" s="102"/>
      <c r="AM695" s="102"/>
      <c r="AN695" s="102"/>
      <c r="AO695" s="102"/>
      <c r="AP695" s="102"/>
      <c r="AQ695" s="102"/>
      <c r="AR695" s="102"/>
      <c r="AS695" s="102"/>
      <c r="AT695" s="102"/>
      <c r="AU695" s="102"/>
      <c r="AV695" s="102"/>
    </row>
    <row r="696" ht="12.75" customHeight="1">
      <c r="C696" s="400"/>
      <c r="D696" s="102"/>
      <c r="I696" s="102"/>
      <c r="J696" s="102"/>
      <c r="K696" s="102"/>
      <c r="L696" s="102"/>
      <c r="M696" s="102"/>
      <c r="N696" s="102"/>
      <c r="O696" s="102"/>
      <c r="P696" s="102"/>
      <c r="Q696" s="102"/>
      <c r="R696" s="102"/>
      <c r="S696" s="102"/>
      <c r="T696" s="102"/>
      <c r="U696" s="102"/>
      <c r="V696" s="102"/>
      <c r="W696" s="102"/>
      <c r="X696" s="102"/>
      <c r="Y696" s="102"/>
      <c r="Z696" s="102"/>
      <c r="AA696" s="102"/>
      <c r="AB696" s="102"/>
      <c r="AC696" s="102"/>
      <c r="AD696" s="102"/>
      <c r="AE696" s="102"/>
      <c r="AF696" s="102"/>
      <c r="AG696" s="102"/>
      <c r="AH696" s="102"/>
      <c r="AI696" s="102"/>
      <c r="AJ696" s="102"/>
      <c r="AK696" s="102"/>
      <c r="AL696" s="102"/>
      <c r="AM696" s="102"/>
      <c r="AN696" s="102"/>
      <c r="AO696" s="102"/>
      <c r="AP696" s="102"/>
      <c r="AQ696" s="102"/>
      <c r="AR696" s="102"/>
      <c r="AS696" s="102"/>
      <c r="AT696" s="102"/>
      <c r="AU696" s="102"/>
      <c r="AV696" s="102"/>
    </row>
    <row r="697" ht="12.75" customHeight="1">
      <c r="C697" s="400"/>
      <c r="D697" s="102"/>
      <c r="I697" s="102"/>
      <c r="J697" s="102"/>
      <c r="K697" s="102"/>
      <c r="L697" s="102"/>
      <c r="M697" s="102"/>
      <c r="N697" s="102"/>
      <c r="O697" s="102"/>
      <c r="P697" s="102"/>
      <c r="Q697" s="102"/>
      <c r="R697" s="102"/>
      <c r="S697" s="102"/>
      <c r="T697" s="102"/>
      <c r="U697" s="102"/>
      <c r="V697" s="102"/>
      <c r="W697" s="102"/>
      <c r="X697" s="102"/>
      <c r="Y697" s="102"/>
      <c r="Z697" s="102"/>
      <c r="AA697" s="102"/>
      <c r="AB697" s="102"/>
      <c r="AC697" s="102"/>
      <c r="AD697" s="102"/>
      <c r="AE697" s="102"/>
      <c r="AF697" s="102"/>
      <c r="AG697" s="102"/>
      <c r="AH697" s="102"/>
      <c r="AI697" s="102"/>
      <c r="AJ697" s="102"/>
      <c r="AK697" s="102"/>
      <c r="AL697" s="102"/>
      <c r="AM697" s="102"/>
      <c r="AN697" s="102"/>
      <c r="AO697" s="102"/>
      <c r="AP697" s="102"/>
      <c r="AQ697" s="102"/>
      <c r="AR697" s="102"/>
      <c r="AS697" s="102"/>
      <c r="AT697" s="102"/>
      <c r="AU697" s="102"/>
      <c r="AV697" s="102"/>
    </row>
    <row r="698" ht="12.75" customHeight="1">
      <c r="C698" s="400"/>
      <c r="D698" s="102"/>
      <c r="I698" s="102"/>
      <c r="J698" s="102"/>
      <c r="K698" s="102"/>
      <c r="L698" s="102"/>
      <c r="M698" s="102"/>
      <c r="N698" s="102"/>
      <c r="O698" s="102"/>
      <c r="P698" s="102"/>
      <c r="Q698" s="102"/>
      <c r="R698" s="102"/>
      <c r="S698" s="102"/>
      <c r="T698" s="102"/>
      <c r="U698" s="102"/>
      <c r="V698" s="102"/>
      <c r="W698" s="102"/>
      <c r="X698" s="102"/>
      <c r="Y698" s="102"/>
      <c r="Z698" s="102"/>
      <c r="AA698" s="102"/>
      <c r="AB698" s="102"/>
      <c r="AC698" s="102"/>
      <c r="AD698" s="102"/>
      <c r="AE698" s="102"/>
      <c r="AF698" s="102"/>
      <c r="AG698" s="102"/>
      <c r="AH698" s="102"/>
      <c r="AI698" s="102"/>
      <c r="AJ698" s="102"/>
      <c r="AK698" s="102"/>
      <c r="AL698" s="102"/>
      <c r="AM698" s="102"/>
      <c r="AN698" s="102"/>
      <c r="AO698" s="102"/>
      <c r="AP698" s="102"/>
      <c r="AQ698" s="102"/>
      <c r="AR698" s="102"/>
      <c r="AS698" s="102"/>
      <c r="AT698" s="102"/>
      <c r="AU698" s="102"/>
      <c r="AV698" s="102"/>
    </row>
    <row r="699" ht="12.75" customHeight="1">
      <c r="C699" s="400"/>
      <c r="D699" s="102"/>
      <c r="I699" s="102"/>
      <c r="J699" s="102"/>
      <c r="K699" s="102"/>
      <c r="L699" s="102"/>
      <c r="M699" s="102"/>
      <c r="N699" s="102"/>
      <c r="O699" s="102"/>
      <c r="P699" s="102"/>
      <c r="Q699" s="102"/>
      <c r="R699" s="102"/>
      <c r="S699" s="102"/>
      <c r="T699" s="102"/>
      <c r="U699" s="102"/>
      <c r="V699" s="102"/>
      <c r="W699" s="102"/>
      <c r="X699" s="102"/>
      <c r="Y699" s="102"/>
      <c r="Z699" s="102"/>
      <c r="AA699" s="102"/>
      <c r="AB699" s="102"/>
      <c r="AC699" s="102"/>
      <c r="AD699" s="102"/>
      <c r="AE699" s="102"/>
      <c r="AF699" s="102"/>
      <c r="AG699" s="102"/>
      <c r="AH699" s="102"/>
      <c r="AI699" s="102"/>
      <c r="AJ699" s="102"/>
      <c r="AK699" s="102"/>
      <c r="AL699" s="102"/>
      <c r="AM699" s="102"/>
      <c r="AN699" s="102"/>
      <c r="AO699" s="102"/>
      <c r="AP699" s="102"/>
      <c r="AQ699" s="102"/>
      <c r="AR699" s="102"/>
      <c r="AS699" s="102"/>
      <c r="AT699" s="102"/>
      <c r="AU699" s="102"/>
      <c r="AV699" s="102"/>
    </row>
    <row r="700" ht="12.75" customHeight="1">
      <c r="C700" s="400"/>
      <c r="D700" s="102"/>
      <c r="I700" s="102"/>
      <c r="J700" s="102"/>
      <c r="K700" s="102"/>
      <c r="L700" s="102"/>
      <c r="M700" s="102"/>
      <c r="N700" s="102"/>
      <c r="O700" s="102"/>
      <c r="P700" s="102"/>
      <c r="Q700" s="102"/>
      <c r="R700" s="102"/>
      <c r="S700" s="102"/>
      <c r="T700" s="102"/>
      <c r="U700" s="102"/>
      <c r="V700" s="102"/>
      <c r="W700" s="102"/>
      <c r="X700" s="102"/>
      <c r="Y700" s="102"/>
      <c r="Z700" s="102"/>
      <c r="AA700" s="102"/>
      <c r="AB700" s="102"/>
      <c r="AC700" s="102"/>
      <c r="AD700" s="102"/>
      <c r="AE700" s="102"/>
      <c r="AF700" s="102"/>
      <c r="AG700" s="102"/>
      <c r="AH700" s="102"/>
      <c r="AI700" s="102"/>
      <c r="AJ700" s="102"/>
      <c r="AK700" s="102"/>
      <c r="AL700" s="102"/>
      <c r="AM700" s="102"/>
      <c r="AN700" s="102"/>
      <c r="AO700" s="102"/>
      <c r="AP700" s="102"/>
      <c r="AQ700" s="102"/>
      <c r="AR700" s="102"/>
      <c r="AS700" s="102"/>
      <c r="AT700" s="102"/>
      <c r="AU700" s="102"/>
      <c r="AV700" s="102"/>
    </row>
    <row r="701" ht="12.75" customHeight="1">
      <c r="C701" s="400"/>
      <c r="D701" s="102"/>
      <c r="I701" s="102"/>
      <c r="J701" s="102"/>
      <c r="K701" s="102"/>
      <c r="L701" s="102"/>
      <c r="M701" s="102"/>
      <c r="N701" s="102"/>
      <c r="O701" s="102"/>
      <c r="P701" s="102"/>
      <c r="Q701" s="102"/>
      <c r="R701" s="102"/>
      <c r="S701" s="102"/>
      <c r="T701" s="102"/>
      <c r="U701" s="102"/>
      <c r="V701" s="102"/>
      <c r="W701" s="102"/>
      <c r="X701" s="102"/>
      <c r="Y701" s="102"/>
      <c r="Z701" s="102"/>
      <c r="AA701" s="102"/>
      <c r="AB701" s="102"/>
      <c r="AC701" s="102"/>
      <c r="AD701" s="102"/>
      <c r="AE701" s="102"/>
      <c r="AF701" s="102"/>
      <c r="AG701" s="102"/>
      <c r="AH701" s="102"/>
      <c r="AI701" s="102"/>
      <c r="AJ701" s="102"/>
      <c r="AK701" s="102"/>
      <c r="AL701" s="102"/>
      <c r="AM701" s="102"/>
      <c r="AN701" s="102"/>
      <c r="AO701" s="102"/>
      <c r="AP701" s="102"/>
      <c r="AQ701" s="102"/>
      <c r="AR701" s="102"/>
      <c r="AS701" s="102"/>
      <c r="AT701" s="102"/>
      <c r="AU701" s="102"/>
      <c r="AV701" s="102"/>
    </row>
    <row r="702" ht="12.75" customHeight="1">
      <c r="C702" s="400"/>
      <c r="D702" s="102"/>
      <c r="I702" s="102"/>
      <c r="J702" s="102"/>
      <c r="K702" s="102"/>
      <c r="L702" s="102"/>
      <c r="M702" s="102"/>
      <c r="N702" s="102"/>
      <c r="O702" s="102"/>
      <c r="P702" s="102"/>
      <c r="Q702" s="102"/>
      <c r="R702" s="102"/>
      <c r="S702" s="102"/>
      <c r="T702" s="102"/>
      <c r="U702" s="102"/>
      <c r="V702" s="102"/>
      <c r="W702" s="102"/>
      <c r="X702" s="102"/>
      <c r="Y702" s="102"/>
      <c r="Z702" s="102"/>
      <c r="AA702" s="102"/>
      <c r="AB702" s="102"/>
      <c r="AC702" s="102"/>
      <c r="AD702" s="102"/>
      <c r="AE702" s="102"/>
      <c r="AF702" s="102"/>
      <c r="AG702" s="102"/>
      <c r="AH702" s="102"/>
      <c r="AI702" s="102"/>
      <c r="AJ702" s="102"/>
      <c r="AK702" s="102"/>
      <c r="AL702" s="102"/>
      <c r="AM702" s="102"/>
      <c r="AN702" s="102"/>
      <c r="AO702" s="102"/>
      <c r="AP702" s="102"/>
      <c r="AQ702" s="102"/>
      <c r="AR702" s="102"/>
      <c r="AS702" s="102"/>
      <c r="AT702" s="102"/>
      <c r="AU702" s="102"/>
      <c r="AV702" s="102"/>
    </row>
    <row r="703" ht="12.75" customHeight="1">
      <c r="C703" s="400"/>
      <c r="D703" s="102"/>
      <c r="I703" s="102"/>
      <c r="J703" s="102"/>
      <c r="K703" s="102"/>
      <c r="L703" s="102"/>
      <c r="M703" s="102"/>
      <c r="N703" s="102"/>
      <c r="O703" s="102"/>
      <c r="P703" s="102"/>
      <c r="Q703" s="102"/>
      <c r="R703" s="102"/>
      <c r="S703" s="102"/>
      <c r="T703" s="102"/>
      <c r="U703" s="102"/>
      <c r="V703" s="102"/>
      <c r="W703" s="102"/>
      <c r="X703" s="102"/>
      <c r="Y703" s="102"/>
      <c r="Z703" s="102"/>
      <c r="AA703" s="102"/>
      <c r="AB703" s="102"/>
      <c r="AC703" s="102"/>
      <c r="AD703" s="102"/>
      <c r="AE703" s="102"/>
      <c r="AF703" s="102"/>
      <c r="AG703" s="102"/>
      <c r="AH703" s="102"/>
      <c r="AI703" s="102"/>
      <c r="AJ703" s="102"/>
      <c r="AK703" s="102"/>
      <c r="AL703" s="102"/>
      <c r="AM703" s="102"/>
      <c r="AN703" s="102"/>
      <c r="AO703" s="102"/>
      <c r="AP703" s="102"/>
      <c r="AQ703" s="102"/>
      <c r="AR703" s="102"/>
      <c r="AS703" s="102"/>
      <c r="AT703" s="102"/>
      <c r="AU703" s="102"/>
      <c r="AV703" s="102"/>
    </row>
    <row r="704" ht="12.75" customHeight="1">
      <c r="C704" s="400"/>
      <c r="D704" s="102"/>
      <c r="I704" s="102"/>
      <c r="J704" s="102"/>
      <c r="K704" s="102"/>
      <c r="L704" s="102"/>
      <c r="M704" s="102"/>
      <c r="N704" s="102"/>
      <c r="O704" s="102"/>
      <c r="P704" s="102"/>
      <c r="Q704" s="102"/>
      <c r="R704" s="102"/>
      <c r="S704" s="102"/>
      <c r="T704" s="102"/>
      <c r="U704" s="102"/>
      <c r="V704" s="102"/>
      <c r="W704" s="102"/>
      <c r="X704" s="102"/>
      <c r="Y704" s="102"/>
      <c r="Z704" s="102"/>
      <c r="AA704" s="102"/>
      <c r="AB704" s="102"/>
      <c r="AC704" s="102"/>
      <c r="AD704" s="102"/>
      <c r="AE704" s="102"/>
      <c r="AF704" s="102"/>
      <c r="AG704" s="102"/>
      <c r="AH704" s="102"/>
      <c r="AI704" s="102"/>
      <c r="AJ704" s="102"/>
      <c r="AK704" s="102"/>
      <c r="AL704" s="102"/>
      <c r="AM704" s="102"/>
      <c r="AN704" s="102"/>
      <c r="AO704" s="102"/>
      <c r="AP704" s="102"/>
      <c r="AQ704" s="102"/>
      <c r="AR704" s="102"/>
      <c r="AS704" s="102"/>
      <c r="AT704" s="102"/>
      <c r="AU704" s="102"/>
      <c r="AV704" s="102"/>
    </row>
    <row r="705" ht="12.75" customHeight="1">
      <c r="C705" s="400"/>
      <c r="D705" s="102"/>
      <c r="I705" s="102"/>
      <c r="J705" s="102"/>
      <c r="K705" s="102"/>
      <c r="L705" s="102"/>
      <c r="M705" s="102"/>
      <c r="N705" s="102"/>
      <c r="O705" s="102"/>
      <c r="P705" s="102"/>
      <c r="Q705" s="102"/>
      <c r="R705" s="102"/>
      <c r="S705" s="102"/>
      <c r="T705" s="102"/>
      <c r="U705" s="102"/>
      <c r="V705" s="102"/>
      <c r="W705" s="102"/>
      <c r="X705" s="102"/>
      <c r="Y705" s="102"/>
      <c r="Z705" s="102"/>
      <c r="AA705" s="102"/>
      <c r="AB705" s="102"/>
      <c r="AC705" s="102"/>
      <c r="AD705" s="102"/>
      <c r="AE705" s="102"/>
      <c r="AF705" s="102"/>
      <c r="AG705" s="102"/>
      <c r="AH705" s="102"/>
      <c r="AI705" s="102"/>
      <c r="AJ705" s="102"/>
      <c r="AK705" s="102"/>
      <c r="AL705" s="102"/>
      <c r="AM705" s="102"/>
      <c r="AN705" s="102"/>
      <c r="AO705" s="102"/>
      <c r="AP705" s="102"/>
      <c r="AQ705" s="102"/>
      <c r="AR705" s="102"/>
      <c r="AS705" s="102"/>
      <c r="AT705" s="102"/>
      <c r="AU705" s="102"/>
      <c r="AV705" s="102"/>
    </row>
    <row r="706" ht="12.75" customHeight="1">
      <c r="C706" s="400"/>
      <c r="D706" s="102"/>
      <c r="I706" s="102"/>
      <c r="J706" s="102"/>
      <c r="K706" s="102"/>
      <c r="L706" s="102"/>
      <c r="M706" s="102"/>
      <c r="N706" s="102"/>
      <c r="O706" s="102"/>
      <c r="P706" s="102"/>
      <c r="Q706" s="102"/>
      <c r="R706" s="102"/>
      <c r="S706" s="102"/>
      <c r="T706" s="102"/>
      <c r="U706" s="102"/>
      <c r="V706" s="102"/>
      <c r="W706" s="102"/>
      <c r="X706" s="102"/>
      <c r="Y706" s="102"/>
      <c r="Z706" s="102"/>
      <c r="AA706" s="102"/>
      <c r="AB706" s="102"/>
      <c r="AC706" s="102"/>
      <c r="AD706" s="102"/>
      <c r="AE706" s="102"/>
      <c r="AF706" s="102"/>
      <c r="AG706" s="102"/>
      <c r="AH706" s="102"/>
      <c r="AI706" s="102"/>
      <c r="AJ706" s="102"/>
      <c r="AK706" s="102"/>
      <c r="AL706" s="102"/>
      <c r="AM706" s="102"/>
      <c r="AN706" s="102"/>
      <c r="AO706" s="102"/>
      <c r="AP706" s="102"/>
      <c r="AQ706" s="102"/>
      <c r="AR706" s="102"/>
      <c r="AS706" s="102"/>
      <c r="AT706" s="102"/>
      <c r="AU706" s="102"/>
      <c r="AV706" s="102"/>
    </row>
    <row r="707" ht="12.75" customHeight="1">
      <c r="C707" s="400"/>
      <c r="D707" s="102"/>
      <c r="I707" s="102"/>
      <c r="J707" s="102"/>
      <c r="K707" s="102"/>
      <c r="L707" s="102"/>
      <c r="M707" s="102"/>
      <c r="N707" s="102"/>
      <c r="O707" s="102"/>
      <c r="P707" s="102"/>
      <c r="Q707" s="102"/>
      <c r="R707" s="102"/>
      <c r="S707" s="102"/>
      <c r="T707" s="102"/>
      <c r="U707" s="102"/>
      <c r="V707" s="102"/>
      <c r="W707" s="102"/>
      <c r="X707" s="102"/>
      <c r="Y707" s="102"/>
      <c r="Z707" s="102"/>
      <c r="AA707" s="102"/>
      <c r="AB707" s="102"/>
      <c r="AC707" s="102"/>
      <c r="AD707" s="102"/>
      <c r="AE707" s="102"/>
      <c r="AF707" s="102"/>
      <c r="AG707" s="102"/>
      <c r="AH707" s="102"/>
      <c r="AI707" s="102"/>
      <c r="AJ707" s="102"/>
      <c r="AK707" s="102"/>
      <c r="AL707" s="102"/>
      <c r="AM707" s="102"/>
      <c r="AN707" s="102"/>
      <c r="AO707" s="102"/>
      <c r="AP707" s="102"/>
      <c r="AQ707" s="102"/>
      <c r="AR707" s="102"/>
      <c r="AS707" s="102"/>
      <c r="AT707" s="102"/>
      <c r="AU707" s="102"/>
      <c r="AV707" s="102"/>
    </row>
    <row r="708" ht="12.75" customHeight="1">
      <c r="C708" s="400"/>
      <c r="D708" s="102"/>
      <c r="I708" s="102"/>
      <c r="J708" s="102"/>
      <c r="K708" s="102"/>
      <c r="L708" s="102"/>
      <c r="M708" s="102"/>
      <c r="N708" s="102"/>
      <c r="O708" s="102"/>
      <c r="P708" s="102"/>
      <c r="Q708" s="102"/>
      <c r="R708" s="102"/>
      <c r="S708" s="102"/>
      <c r="T708" s="102"/>
      <c r="U708" s="102"/>
      <c r="V708" s="102"/>
      <c r="W708" s="102"/>
      <c r="X708" s="102"/>
      <c r="Y708" s="102"/>
      <c r="Z708" s="102"/>
      <c r="AA708" s="102"/>
      <c r="AB708" s="102"/>
      <c r="AC708" s="102"/>
      <c r="AD708" s="102"/>
      <c r="AE708" s="102"/>
      <c r="AF708" s="102"/>
      <c r="AG708" s="102"/>
      <c r="AH708" s="102"/>
      <c r="AI708" s="102"/>
      <c r="AJ708" s="102"/>
      <c r="AK708" s="102"/>
      <c r="AL708" s="102"/>
      <c r="AM708" s="102"/>
      <c r="AN708" s="102"/>
      <c r="AO708" s="102"/>
      <c r="AP708" s="102"/>
      <c r="AQ708" s="102"/>
      <c r="AR708" s="102"/>
      <c r="AS708" s="102"/>
      <c r="AT708" s="102"/>
      <c r="AU708" s="102"/>
      <c r="AV708" s="102"/>
    </row>
    <row r="709" ht="12.75" customHeight="1">
      <c r="C709" s="400"/>
      <c r="D709" s="102"/>
      <c r="I709" s="102"/>
      <c r="J709" s="102"/>
      <c r="K709" s="102"/>
      <c r="L709" s="102"/>
      <c r="M709" s="102"/>
      <c r="N709" s="102"/>
      <c r="O709" s="102"/>
      <c r="P709" s="102"/>
      <c r="Q709" s="102"/>
      <c r="R709" s="102"/>
      <c r="S709" s="102"/>
      <c r="T709" s="102"/>
      <c r="U709" s="102"/>
      <c r="V709" s="102"/>
      <c r="W709" s="102"/>
      <c r="X709" s="102"/>
      <c r="Y709" s="102"/>
      <c r="Z709" s="102"/>
      <c r="AA709" s="102"/>
      <c r="AB709" s="102"/>
      <c r="AC709" s="102"/>
      <c r="AD709" s="102"/>
      <c r="AE709" s="102"/>
      <c r="AF709" s="102"/>
      <c r="AG709" s="102"/>
      <c r="AH709" s="102"/>
      <c r="AI709" s="102"/>
      <c r="AJ709" s="102"/>
      <c r="AK709" s="102"/>
      <c r="AL709" s="102"/>
      <c r="AM709" s="102"/>
      <c r="AN709" s="102"/>
      <c r="AO709" s="102"/>
      <c r="AP709" s="102"/>
      <c r="AQ709" s="102"/>
      <c r="AR709" s="102"/>
      <c r="AS709" s="102"/>
      <c r="AT709" s="102"/>
      <c r="AU709" s="102"/>
      <c r="AV709" s="102"/>
    </row>
    <row r="710" ht="12.75" customHeight="1">
      <c r="C710" s="400"/>
      <c r="D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c r="AG710" s="102"/>
      <c r="AH710" s="102"/>
      <c r="AI710" s="102"/>
      <c r="AJ710" s="102"/>
      <c r="AK710" s="102"/>
      <c r="AL710" s="102"/>
      <c r="AM710" s="102"/>
      <c r="AN710" s="102"/>
      <c r="AO710" s="102"/>
      <c r="AP710" s="102"/>
      <c r="AQ710" s="102"/>
      <c r="AR710" s="102"/>
      <c r="AS710" s="102"/>
      <c r="AT710" s="102"/>
      <c r="AU710" s="102"/>
      <c r="AV710" s="102"/>
    </row>
    <row r="711" ht="12.75" customHeight="1">
      <c r="C711" s="400"/>
      <c r="D711" s="102"/>
      <c r="I711" s="102"/>
      <c r="J711" s="102"/>
      <c r="K711" s="102"/>
      <c r="L711" s="102"/>
      <c r="M711" s="102"/>
      <c r="N711" s="102"/>
      <c r="O711" s="102"/>
      <c r="P711" s="102"/>
      <c r="Q711" s="102"/>
      <c r="R711" s="102"/>
      <c r="S711" s="102"/>
      <c r="T711" s="102"/>
      <c r="U711" s="102"/>
      <c r="V711" s="102"/>
      <c r="W711" s="102"/>
      <c r="X711" s="102"/>
      <c r="Y711" s="102"/>
      <c r="Z711" s="102"/>
      <c r="AA711" s="102"/>
      <c r="AB711" s="102"/>
      <c r="AC711" s="102"/>
      <c r="AD711" s="102"/>
      <c r="AE711" s="102"/>
      <c r="AF711" s="102"/>
      <c r="AG711" s="102"/>
      <c r="AH711" s="102"/>
      <c r="AI711" s="102"/>
      <c r="AJ711" s="102"/>
      <c r="AK711" s="102"/>
      <c r="AL711" s="102"/>
      <c r="AM711" s="102"/>
      <c r="AN711" s="102"/>
      <c r="AO711" s="102"/>
      <c r="AP711" s="102"/>
      <c r="AQ711" s="102"/>
      <c r="AR711" s="102"/>
      <c r="AS711" s="102"/>
      <c r="AT711" s="102"/>
      <c r="AU711" s="102"/>
      <c r="AV711" s="102"/>
    </row>
    <row r="712" ht="12.75" customHeight="1">
      <c r="C712" s="400"/>
      <c r="D712" s="102"/>
      <c r="I712" s="102"/>
      <c r="J712" s="102"/>
      <c r="K712" s="102"/>
      <c r="L712" s="102"/>
      <c r="M712" s="102"/>
      <c r="N712" s="102"/>
      <c r="O712" s="102"/>
      <c r="P712" s="102"/>
      <c r="Q712" s="102"/>
      <c r="R712" s="102"/>
      <c r="S712" s="102"/>
      <c r="T712" s="102"/>
      <c r="U712" s="102"/>
      <c r="V712" s="102"/>
      <c r="W712" s="102"/>
      <c r="X712" s="102"/>
      <c r="Y712" s="102"/>
      <c r="Z712" s="102"/>
      <c r="AA712" s="102"/>
      <c r="AB712" s="102"/>
      <c r="AC712" s="102"/>
      <c r="AD712" s="102"/>
      <c r="AE712" s="102"/>
      <c r="AF712" s="102"/>
      <c r="AG712" s="102"/>
      <c r="AH712" s="102"/>
      <c r="AI712" s="102"/>
      <c r="AJ712" s="102"/>
      <c r="AK712" s="102"/>
      <c r="AL712" s="102"/>
      <c r="AM712" s="102"/>
      <c r="AN712" s="102"/>
      <c r="AO712" s="102"/>
      <c r="AP712" s="102"/>
      <c r="AQ712" s="102"/>
      <c r="AR712" s="102"/>
      <c r="AS712" s="102"/>
      <c r="AT712" s="102"/>
      <c r="AU712" s="102"/>
      <c r="AV712" s="102"/>
    </row>
    <row r="713" ht="12.75" customHeight="1">
      <c r="C713" s="400"/>
      <c r="D713" s="102"/>
      <c r="I713" s="102"/>
      <c r="J713" s="102"/>
      <c r="K713" s="102"/>
      <c r="L713" s="102"/>
      <c r="M713" s="102"/>
      <c r="N713" s="102"/>
      <c r="O713" s="102"/>
      <c r="P713" s="102"/>
      <c r="Q713" s="102"/>
      <c r="R713" s="102"/>
      <c r="S713" s="102"/>
      <c r="T713" s="102"/>
      <c r="U713" s="102"/>
      <c r="V713" s="102"/>
      <c r="W713" s="102"/>
      <c r="X713" s="102"/>
      <c r="Y713" s="102"/>
      <c r="Z713" s="102"/>
      <c r="AA713" s="102"/>
      <c r="AB713" s="102"/>
      <c r="AC713" s="102"/>
      <c r="AD713" s="102"/>
      <c r="AE713" s="102"/>
      <c r="AF713" s="102"/>
      <c r="AG713" s="102"/>
      <c r="AH713" s="102"/>
      <c r="AI713" s="102"/>
      <c r="AJ713" s="102"/>
      <c r="AK713" s="102"/>
      <c r="AL713" s="102"/>
      <c r="AM713" s="102"/>
      <c r="AN713" s="102"/>
      <c r="AO713" s="102"/>
      <c r="AP713" s="102"/>
      <c r="AQ713" s="102"/>
      <c r="AR713" s="102"/>
      <c r="AS713" s="102"/>
      <c r="AT713" s="102"/>
      <c r="AU713" s="102"/>
      <c r="AV713" s="102"/>
    </row>
    <row r="714" ht="12.75" customHeight="1">
      <c r="C714" s="400"/>
      <c r="D714" s="102"/>
      <c r="I714" s="102"/>
      <c r="J714" s="102"/>
      <c r="K714" s="102"/>
      <c r="L714" s="102"/>
      <c r="M714" s="102"/>
      <c r="N714" s="102"/>
      <c r="O714" s="102"/>
      <c r="P714" s="102"/>
      <c r="Q714" s="102"/>
      <c r="R714" s="102"/>
      <c r="S714" s="102"/>
      <c r="T714" s="102"/>
      <c r="U714" s="102"/>
      <c r="V714" s="102"/>
      <c r="W714" s="102"/>
      <c r="X714" s="102"/>
      <c r="Y714" s="102"/>
      <c r="Z714" s="102"/>
      <c r="AA714" s="102"/>
      <c r="AB714" s="102"/>
      <c r="AC714" s="102"/>
      <c r="AD714" s="102"/>
      <c r="AE714" s="102"/>
      <c r="AF714" s="102"/>
      <c r="AG714" s="102"/>
      <c r="AH714" s="102"/>
      <c r="AI714" s="102"/>
      <c r="AJ714" s="102"/>
      <c r="AK714" s="102"/>
      <c r="AL714" s="102"/>
      <c r="AM714" s="102"/>
      <c r="AN714" s="102"/>
      <c r="AO714" s="102"/>
      <c r="AP714" s="102"/>
      <c r="AQ714" s="102"/>
      <c r="AR714" s="102"/>
      <c r="AS714" s="102"/>
      <c r="AT714" s="102"/>
      <c r="AU714" s="102"/>
      <c r="AV714" s="102"/>
    </row>
    <row r="715" ht="12.75" customHeight="1">
      <c r="C715" s="400"/>
      <c r="D715" s="102"/>
      <c r="I715" s="102"/>
      <c r="J715" s="102"/>
      <c r="K715" s="102"/>
      <c r="L715" s="102"/>
      <c r="M715" s="102"/>
      <c r="N715" s="102"/>
      <c r="O715" s="102"/>
      <c r="P715" s="102"/>
      <c r="Q715" s="102"/>
      <c r="R715" s="102"/>
      <c r="S715" s="102"/>
      <c r="T715" s="102"/>
      <c r="U715" s="102"/>
      <c r="V715" s="102"/>
      <c r="W715" s="102"/>
      <c r="X715" s="102"/>
      <c r="Y715" s="102"/>
      <c r="Z715" s="102"/>
      <c r="AA715" s="102"/>
      <c r="AB715" s="102"/>
      <c r="AC715" s="102"/>
      <c r="AD715" s="102"/>
      <c r="AE715" s="102"/>
      <c r="AF715" s="102"/>
      <c r="AG715" s="102"/>
      <c r="AH715" s="102"/>
      <c r="AI715" s="102"/>
      <c r="AJ715" s="102"/>
      <c r="AK715" s="102"/>
      <c r="AL715" s="102"/>
      <c r="AM715" s="102"/>
      <c r="AN715" s="102"/>
      <c r="AO715" s="102"/>
      <c r="AP715" s="102"/>
      <c r="AQ715" s="102"/>
      <c r="AR715" s="102"/>
      <c r="AS715" s="102"/>
      <c r="AT715" s="102"/>
      <c r="AU715" s="102"/>
      <c r="AV715" s="102"/>
    </row>
    <row r="716" ht="12.75" customHeight="1">
      <c r="C716" s="400"/>
      <c r="D716" s="102"/>
      <c r="I716" s="102"/>
      <c r="J716" s="102"/>
      <c r="K716" s="102"/>
      <c r="L716" s="102"/>
      <c r="M716" s="102"/>
      <c r="N716" s="102"/>
      <c r="O716" s="102"/>
      <c r="P716" s="102"/>
      <c r="Q716" s="102"/>
      <c r="R716" s="102"/>
      <c r="S716" s="102"/>
      <c r="T716" s="102"/>
      <c r="U716" s="102"/>
      <c r="V716" s="102"/>
      <c r="W716" s="102"/>
      <c r="X716" s="102"/>
      <c r="Y716" s="102"/>
      <c r="Z716" s="102"/>
      <c r="AA716" s="102"/>
      <c r="AB716" s="102"/>
      <c r="AC716" s="102"/>
      <c r="AD716" s="102"/>
      <c r="AE716" s="102"/>
      <c r="AF716" s="102"/>
      <c r="AG716" s="102"/>
      <c r="AH716" s="102"/>
      <c r="AI716" s="102"/>
      <c r="AJ716" s="102"/>
      <c r="AK716" s="102"/>
      <c r="AL716" s="102"/>
      <c r="AM716" s="102"/>
      <c r="AN716" s="102"/>
      <c r="AO716" s="102"/>
      <c r="AP716" s="102"/>
      <c r="AQ716" s="102"/>
      <c r="AR716" s="102"/>
      <c r="AS716" s="102"/>
      <c r="AT716" s="102"/>
      <c r="AU716" s="102"/>
      <c r="AV716" s="102"/>
    </row>
    <row r="717" ht="12.75" customHeight="1">
      <c r="C717" s="400"/>
      <c r="D717" s="102"/>
      <c r="I717" s="102"/>
      <c r="J717" s="102"/>
      <c r="K717" s="102"/>
      <c r="L717" s="102"/>
      <c r="M717" s="102"/>
      <c r="N717" s="102"/>
      <c r="O717" s="102"/>
      <c r="P717" s="102"/>
      <c r="Q717" s="102"/>
      <c r="R717" s="102"/>
      <c r="S717" s="102"/>
      <c r="T717" s="102"/>
      <c r="U717" s="102"/>
      <c r="V717" s="102"/>
      <c r="W717" s="102"/>
      <c r="X717" s="102"/>
      <c r="Y717" s="102"/>
      <c r="Z717" s="102"/>
      <c r="AA717" s="102"/>
      <c r="AB717" s="102"/>
      <c r="AC717" s="102"/>
      <c r="AD717" s="102"/>
      <c r="AE717" s="102"/>
      <c r="AF717" s="102"/>
      <c r="AG717" s="102"/>
      <c r="AH717" s="102"/>
      <c r="AI717" s="102"/>
      <c r="AJ717" s="102"/>
      <c r="AK717" s="102"/>
      <c r="AL717" s="102"/>
      <c r="AM717" s="102"/>
      <c r="AN717" s="102"/>
      <c r="AO717" s="102"/>
      <c r="AP717" s="102"/>
      <c r="AQ717" s="102"/>
      <c r="AR717" s="102"/>
      <c r="AS717" s="102"/>
      <c r="AT717" s="102"/>
      <c r="AU717" s="102"/>
      <c r="AV717" s="102"/>
    </row>
    <row r="718" ht="12.75" customHeight="1">
      <c r="C718" s="400"/>
      <c r="D718" s="102"/>
      <c r="I718" s="102"/>
      <c r="J718" s="102"/>
      <c r="K718" s="102"/>
      <c r="L718" s="102"/>
      <c r="M718" s="102"/>
      <c r="N718" s="102"/>
      <c r="O718" s="102"/>
      <c r="P718" s="102"/>
      <c r="Q718" s="102"/>
      <c r="R718" s="102"/>
      <c r="S718" s="102"/>
      <c r="T718" s="102"/>
      <c r="U718" s="102"/>
      <c r="V718" s="102"/>
      <c r="W718" s="102"/>
      <c r="X718" s="102"/>
      <c r="Y718" s="102"/>
      <c r="Z718" s="102"/>
      <c r="AA718" s="102"/>
      <c r="AB718" s="102"/>
      <c r="AC718" s="102"/>
      <c r="AD718" s="102"/>
      <c r="AE718" s="102"/>
      <c r="AF718" s="102"/>
      <c r="AG718" s="102"/>
      <c r="AH718" s="102"/>
      <c r="AI718" s="102"/>
      <c r="AJ718" s="102"/>
      <c r="AK718" s="102"/>
      <c r="AL718" s="102"/>
      <c r="AM718" s="102"/>
      <c r="AN718" s="102"/>
      <c r="AO718" s="102"/>
      <c r="AP718" s="102"/>
      <c r="AQ718" s="102"/>
      <c r="AR718" s="102"/>
      <c r="AS718" s="102"/>
      <c r="AT718" s="102"/>
      <c r="AU718" s="102"/>
      <c r="AV718" s="102"/>
    </row>
    <row r="719" ht="12.75" customHeight="1">
      <c r="C719" s="400"/>
      <c r="D719" s="102"/>
      <c r="I719" s="102"/>
      <c r="J719" s="102"/>
      <c r="K719" s="102"/>
      <c r="L719" s="102"/>
      <c r="M719" s="102"/>
      <c r="N719" s="102"/>
      <c r="O719" s="102"/>
      <c r="P719" s="102"/>
      <c r="Q719" s="102"/>
      <c r="R719" s="102"/>
      <c r="S719" s="102"/>
      <c r="T719" s="102"/>
      <c r="U719" s="102"/>
      <c r="V719" s="102"/>
      <c r="W719" s="102"/>
      <c r="X719" s="102"/>
      <c r="Y719" s="102"/>
      <c r="Z719" s="102"/>
      <c r="AA719" s="102"/>
      <c r="AB719" s="102"/>
      <c r="AC719" s="102"/>
      <c r="AD719" s="102"/>
      <c r="AE719" s="102"/>
      <c r="AF719" s="102"/>
      <c r="AG719" s="102"/>
      <c r="AH719" s="102"/>
      <c r="AI719" s="102"/>
      <c r="AJ719" s="102"/>
      <c r="AK719" s="102"/>
      <c r="AL719" s="102"/>
      <c r="AM719" s="102"/>
      <c r="AN719" s="102"/>
      <c r="AO719" s="102"/>
      <c r="AP719" s="102"/>
      <c r="AQ719" s="102"/>
      <c r="AR719" s="102"/>
      <c r="AS719" s="102"/>
      <c r="AT719" s="102"/>
      <c r="AU719" s="102"/>
      <c r="AV719" s="102"/>
    </row>
    <row r="720" ht="12.75" customHeight="1">
      <c r="C720" s="400"/>
      <c r="D720" s="102"/>
      <c r="I720" s="102"/>
      <c r="J720" s="102"/>
      <c r="K720" s="102"/>
      <c r="L720" s="102"/>
      <c r="M720" s="102"/>
      <c r="N720" s="102"/>
      <c r="O720" s="102"/>
      <c r="P720" s="102"/>
      <c r="Q720" s="102"/>
      <c r="R720" s="102"/>
      <c r="S720" s="102"/>
      <c r="T720" s="102"/>
      <c r="U720" s="102"/>
      <c r="V720" s="102"/>
      <c r="W720" s="102"/>
      <c r="X720" s="102"/>
      <c r="Y720" s="102"/>
      <c r="Z720" s="102"/>
      <c r="AA720" s="102"/>
      <c r="AB720" s="102"/>
      <c r="AC720" s="102"/>
      <c r="AD720" s="102"/>
      <c r="AE720" s="102"/>
      <c r="AF720" s="102"/>
      <c r="AG720" s="102"/>
      <c r="AH720" s="102"/>
      <c r="AI720" s="102"/>
      <c r="AJ720" s="102"/>
      <c r="AK720" s="102"/>
      <c r="AL720" s="102"/>
      <c r="AM720" s="102"/>
      <c r="AN720" s="102"/>
      <c r="AO720" s="102"/>
      <c r="AP720" s="102"/>
      <c r="AQ720" s="102"/>
      <c r="AR720" s="102"/>
      <c r="AS720" s="102"/>
      <c r="AT720" s="102"/>
      <c r="AU720" s="102"/>
      <c r="AV720" s="102"/>
    </row>
    <row r="721" ht="12.75" customHeight="1">
      <c r="C721" s="400"/>
      <c r="D721" s="102"/>
      <c r="I721" s="102"/>
      <c r="J721" s="102"/>
      <c r="K721" s="102"/>
      <c r="L721" s="102"/>
      <c r="M721" s="102"/>
      <c r="N721" s="102"/>
      <c r="O721" s="102"/>
      <c r="P721" s="102"/>
      <c r="Q721" s="102"/>
      <c r="R721" s="102"/>
      <c r="S721" s="102"/>
      <c r="T721" s="102"/>
      <c r="U721" s="102"/>
      <c r="V721" s="102"/>
      <c r="W721" s="102"/>
      <c r="X721" s="102"/>
      <c r="Y721" s="102"/>
      <c r="Z721" s="102"/>
      <c r="AA721" s="102"/>
      <c r="AB721" s="102"/>
      <c r="AC721" s="102"/>
      <c r="AD721" s="102"/>
      <c r="AE721" s="102"/>
      <c r="AF721" s="102"/>
      <c r="AG721" s="102"/>
      <c r="AH721" s="102"/>
      <c r="AI721" s="102"/>
      <c r="AJ721" s="102"/>
      <c r="AK721" s="102"/>
      <c r="AL721" s="102"/>
      <c r="AM721" s="102"/>
      <c r="AN721" s="102"/>
      <c r="AO721" s="102"/>
      <c r="AP721" s="102"/>
      <c r="AQ721" s="102"/>
      <c r="AR721" s="102"/>
      <c r="AS721" s="102"/>
      <c r="AT721" s="102"/>
      <c r="AU721" s="102"/>
      <c r="AV721" s="102"/>
    </row>
    <row r="722" ht="12.75" customHeight="1">
      <c r="C722" s="400"/>
      <c r="D722" s="102"/>
      <c r="I722" s="102"/>
      <c r="J722" s="102"/>
      <c r="K722" s="102"/>
      <c r="L722" s="102"/>
      <c r="M722" s="102"/>
      <c r="N722" s="102"/>
      <c r="O722" s="102"/>
      <c r="P722" s="102"/>
      <c r="Q722" s="102"/>
      <c r="R722" s="102"/>
      <c r="S722" s="102"/>
      <c r="T722" s="102"/>
      <c r="U722" s="102"/>
      <c r="V722" s="102"/>
      <c r="W722" s="102"/>
      <c r="X722" s="102"/>
      <c r="Y722" s="102"/>
      <c r="Z722" s="102"/>
      <c r="AA722" s="102"/>
      <c r="AB722" s="102"/>
      <c r="AC722" s="102"/>
      <c r="AD722" s="102"/>
      <c r="AE722" s="102"/>
      <c r="AF722" s="102"/>
      <c r="AG722" s="102"/>
      <c r="AH722" s="102"/>
      <c r="AI722" s="102"/>
      <c r="AJ722" s="102"/>
      <c r="AK722" s="102"/>
      <c r="AL722" s="102"/>
      <c r="AM722" s="102"/>
      <c r="AN722" s="102"/>
      <c r="AO722" s="102"/>
      <c r="AP722" s="102"/>
      <c r="AQ722" s="102"/>
      <c r="AR722" s="102"/>
      <c r="AS722" s="102"/>
      <c r="AT722" s="102"/>
      <c r="AU722" s="102"/>
      <c r="AV722" s="102"/>
    </row>
    <row r="723" ht="12.75" customHeight="1">
      <c r="C723" s="400"/>
      <c r="D723" s="102"/>
      <c r="I723" s="102"/>
      <c r="J723" s="102"/>
      <c r="K723" s="102"/>
      <c r="L723" s="102"/>
      <c r="M723" s="102"/>
      <c r="N723" s="102"/>
      <c r="O723" s="102"/>
      <c r="P723" s="102"/>
      <c r="Q723" s="102"/>
      <c r="R723" s="102"/>
      <c r="S723" s="102"/>
      <c r="T723" s="102"/>
      <c r="U723" s="102"/>
      <c r="V723" s="102"/>
      <c r="W723" s="102"/>
      <c r="X723" s="102"/>
      <c r="Y723" s="102"/>
      <c r="Z723" s="102"/>
      <c r="AA723" s="102"/>
      <c r="AB723" s="102"/>
      <c r="AC723" s="102"/>
      <c r="AD723" s="102"/>
      <c r="AE723" s="102"/>
      <c r="AF723" s="102"/>
      <c r="AG723" s="102"/>
      <c r="AH723" s="102"/>
      <c r="AI723" s="102"/>
      <c r="AJ723" s="102"/>
      <c r="AK723" s="102"/>
      <c r="AL723" s="102"/>
      <c r="AM723" s="102"/>
      <c r="AN723" s="102"/>
      <c r="AO723" s="102"/>
      <c r="AP723" s="102"/>
      <c r="AQ723" s="102"/>
      <c r="AR723" s="102"/>
      <c r="AS723" s="102"/>
      <c r="AT723" s="102"/>
      <c r="AU723" s="102"/>
      <c r="AV723" s="102"/>
    </row>
    <row r="724" ht="12.75" customHeight="1">
      <c r="C724" s="400"/>
      <c r="D724" s="102"/>
      <c r="I724" s="102"/>
      <c r="J724" s="102"/>
      <c r="K724" s="102"/>
      <c r="L724" s="102"/>
      <c r="M724" s="102"/>
      <c r="N724" s="102"/>
      <c r="O724" s="102"/>
      <c r="P724" s="102"/>
      <c r="Q724" s="102"/>
      <c r="R724" s="102"/>
      <c r="S724" s="102"/>
      <c r="T724" s="102"/>
      <c r="U724" s="102"/>
      <c r="V724" s="102"/>
      <c r="W724" s="102"/>
      <c r="X724" s="102"/>
      <c r="Y724" s="102"/>
      <c r="Z724" s="102"/>
      <c r="AA724" s="102"/>
      <c r="AB724" s="102"/>
      <c r="AC724" s="102"/>
      <c r="AD724" s="102"/>
      <c r="AE724" s="102"/>
      <c r="AF724" s="102"/>
      <c r="AG724" s="102"/>
      <c r="AH724" s="102"/>
      <c r="AI724" s="102"/>
      <c r="AJ724" s="102"/>
      <c r="AK724" s="102"/>
      <c r="AL724" s="102"/>
      <c r="AM724" s="102"/>
      <c r="AN724" s="102"/>
      <c r="AO724" s="102"/>
      <c r="AP724" s="102"/>
      <c r="AQ724" s="102"/>
      <c r="AR724" s="102"/>
      <c r="AS724" s="102"/>
      <c r="AT724" s="102"/>
      <c r="AU724" s="102"/>
      <c r="AV724" s="102"/>
    </row>
    <row r="725" ht="12.75" customHeight="1">
      <c r="C725" s="400"/>
      <c r="D725" s="102"/>
      <c r="I725" s="102"/>
      <c r="J725" s="102"/>
      <c r="K725" s="102"/>
      <c r="L725" s="102"/>
      <c r="M725" s="102"/>
      <c r="N725" s="102"/>
      <c r="O725" s="102"/>
      <c r="P725" s="102"/>
      <c r="Q725" s="102"/>
      <c r="R725" s="102"/>
      <c r="S725" s="102"/>
      <c r="T725" s="102"/>
      <c r="U725" s="102"/>
      <c r="V725" s="102"/>
      <c r="W725" s="102"/>
      <c r="X725" s="102"/>
      <c r="Y725" s="102"/>
      <c r="Z725" s="102"/>
      <c r="AA725" s="102"/>
      <c r="AB725" s="102"/>
      <c r="AC725" s="102"/>
      <c r="AD725" s="102"/>
      <c r="AE725" s="102"/>
      <c r="AF725" s="102"/>
      <c r="AG725" s="102"/>
      <c r="AH725" s="102"/>
      <c r="AI725" s="102"/>
      <c r="AJ725" s="102"/>
      <c r="AK725" s="102"/>
      <c r="AL725" s="102"/>
      <c r="AM725" s="102"/>
      <c r="AN725" s="102"/>
      <c r="AO725" s="102"/>
      <c r="AP725" s="102"/>
      <c r="AQ725" s="102"/>
      <c r="AR725" s="102"/>
      <c r="AS725" s="102"/>
      <c r="AT725" s="102"/>
      <c r="AU725" s="102"/>
      <c r="AV725" s="102"/>
    </row>
    <row r="726" ht="12.75" customHeight="1">
      <c r="C726" s="400"/>
      <c r="D726" s="102"/>
      <c r="I726" s="102"/>
      <c r="J726" s="102"/>
      <c r="K726" s="102"/>
      <c r="L726" s="102"/>
      <c r="M726" s="102"/>
      <c r="N726" s="102"/>
      <c r="O726" s="102"/>
      <c r="P726" s="102"/>
      <c r="Q726" s="102"/>
      <c r="R726" s="102"/>
      <c r="S726" s="102"/>
      <c r="T726" s="102"/>
      <c r="U726" s="102"/>
      <c r="V726" s="102"/>
      <c r="W726" s="102"/>
      <c r="X726" s="102"/>
      <c r="Y726" s="102"/>
      <c r="Z726" s="102"/>
      <c r="AA726" s="102"/>
      <c r="AB726" s="102"/>
      <c r="AC726" s="102"/>
      <c r="AD726" s="102"/>
      <c r="AE726" s="102"/>
      <c r="AF726" s="102"/>
      <c r="AG726" s="102"/>
      <c r="AH726" s="102"/>
      <c r="AI726" s="102"/>
      <c r="AJ726" s="102"/>
      <c r="AK726" s="102"/>
      <c r="AL726" s="102"/>
      <c r="AM726" s="102"/>
      <c r="AN726" s="102"/>
      <c r="AO726" s="102"/>
      <c r="AP726" s="102"/>
      <c r="AQ726" s="102"/>
      <c r="AR726" s="102"/>
      <c r="AS726" s="102"/>
      <c r="AT726" s="102"/>
      <c r="AU726" s="102"/>
      <c r="AV726" s="102"/>
    </row>
    <row r="727" ht="12.75" customHeight="1">
      <c r="C727" s="400"/>
      <c r="D727" s="102"/>
      <c r="I727" s="102"/>
      <c r="J727" s="102"/>
      <c r="K727" s="102"/>
      <c r="L727" s="102"/>
      <c r="M727" s="102"/>
      <c r="N727" s="102"/>
      <c r="O727" s="102"/>
      <c r="P727" s="102"/>
      <c r="Q727" s="102"/>
      <c r="R727" s="102"/>
      <c r="S727" s="102"/>
      <c r="T727" s="102"/>
      <c r="U727" s="102"/>
      <c r="V727" s="102"/>
      <c r="W727" s="102"/>
      <c r="X727" s="102"/>
      <c r="Y727" s="102"/>
      <c r="Z727" s="102"/>
      <c r="AA727" s="102"/>
      <c r="AB727" s="102"/>
      <c r="AC727" s="102"/>
      <c r="AD727" s="102"/>
      <c r="AE727" s="102"/>
      <c r="AF727" s="102"/>
      <c r="AG727" s="102"/>
      <c r="AH727" s="102"/>
      <c r="AI727" s="102"/>
      <c r="AJ727" s="102"/>
      <c r="AK727" s="102"/>
      <c r="AL727" s="102"/>
      <c r="AM727" s="102"/>
      <c r="AN727" s="102"/>
      <c r="AO727" s="102"/>
      <c r="AP727" s="102"/>
      <c r="AQ727" s="102"/>
      <c r="AR727" s="102"/>
      <c r="AS727" s="102"/>
      <c r="AT727" s="102"/>
      <c r="AU727" s="102"/>
      <c r="AV727" s="102"/>
    </row>
    <row r="728" ht="12.75" customHeight="1">
      <c r="C728" s="400"/>
      <c r="D728" s="102"/>
      <c r="I728" s="102"/>
      <c r="J728" s="102"/>
      <c r="K728" s="102"/>
      <c r="L728" s="102"/>
      <c r="M728" s="102"/>
      <c r="N728" s="102"/>
      <c r="O728" s="102"/>
      <c r="P728" s="102"/>
      <c r="Q728" s="102"/>
      <c r="R728" s="102"/>
      <c r="S728" s="102"/>
      <c r="T728" s="102"/>
      <c r="U728" s="102"/>
      <c r="V728" s="102"/>
      <c r="W728" s="102"/>
      <c r="X728" s="102"/>
      <c r="Y728" s="102"/>
      <c r="Z728" s="102"/>
      <c r="AA728" s="102"/>
      <c r="AB728" s="102"/>
      <c r="AC728" s="102"/>
      <c r="AD728" s="102"/>
      <c r="AE728" s="102"/>
      <c r="AF728" s="102"/>
      <c r="AG728" s="102"/>
      <c r="AH728" s="102"/>
      <c r="AI728" s="102"/>
      <c r="AJ728" s="102"/>
      <c r="AK728" s="102"/>
      <c r="AL728" s="102"/>
      <c r="AM728" s="102"/>
      <c r="AN728" s="102"/>
      <c r="AO728" s="102"/>
      <c r="AP728" s="102"/>
      <c r="AQ728" s="102"/>
      <c r="AR728" s="102"/>
      <c r="AS728" s="102"/>
      <c r="AT728" s="102"/>
      <c r="AU728" s="102"/>
      <c r="AV728" s="102"/>
    </row>
    <row r="729" ht="12.75" customHeight="1">
      <c r="C729" s="400"/>
      <c r="D729" s="102"/>
      <c r="I729" s="102"/>
      <c r="J729" s="102"/>
      <c r="K729" s="102"/>
      <c r="L729" s="102"/>
      <c r="M729" s="102"/>
      <c r="N729" s="102"/>
      <c r="O729" s="102"/>
      <c r="P729" s="102"/>
      <c r="Q729" s="102"/>
      <c r="R729" s="102"/>
      <c r="S729" s="102"/>
      <c r="T729" s="102"/>
      <c r="U729" s="102"/>
      <c r="V729" s="102"/>
      <c r="W729" s="102"/>
      <c r="X729" s="102"/>
      <c r="Y729" s="102"/>
      <c r="Z729" s="102"/>
      <c r="AA729" s="102"/>
      <c r="AB729" s="102"/>
      <c r="AC729" s="102"/>
      <c r="AD729" s="102"/>
      <c r="AE729" s="102"/>
      <c r="AF729" s="102"/>
      <c r="AG729" s="102"/>
      <c r="AH729" s="102"/>
      <c r="AI729" s="102"/>
      <c r="AJ729" s="102"/>
      <c r="AK729" s="102"/>
      <c r="AL729" s="102"/>
      <c r="AM729" s="102"/>
      <c r="AN729" s="102"/>
      <c r="AO729" s="102"/>
      <c r="AP729" s="102"/>
      <c r="AQ729" s="102"/>
      <c r="AR729" s="102"/>
      <c r="AS729" s="102"/>
      <c r="AT729" s="102"/>
      <c r="AU729" s="102"/>
      <c r="AV729" s="102"/>
    </row>
    <row r="730" ht="12.75" customHeight="1">
      <c r="C730" s="400"/>
      <c r="D730" s="102"/>
      <c r="I730" s="102"/>
      <c r="J730" s="102"/>
      <c r="K730" s="102"/>
      <c r="L730" s="102"/>
      <c r="M730" s="102"/>
      <c r="N730" s="102"/>
      <c r="O730" s="102"/>
      <c r="P730" s="102"/>
      <c r="Q730" s="102"/>
      <c r="R730" s="102"/>
      <c r="S730" s="102"/>
      <c r="T730" s="102"/>
      <c r="U730" s="102"/>
      <c r="V730" s="102"/>
      <c r="W730" s="102"/>
      <c r="X730" s="102"/>
      <c r="Y730" s="102"/>
      <c r="Z730" s="102"/>
      <c r="AA730" s="102"/>
      <c r="AB730" s="102"/>
      <c r="AC730" s="102"/>
      <c r="AD730" s="102"/>
      <c r="AE730" s="102"/>
      <c r="AF730" s="102"/>
      <c r="AG730" s="102"/>
      <c r="AH730" s="102"/>
      <c r="AI730" s="102"/>
      <c r="AJ730" s="102"/>
      <c r="AK730" s="102"/>
      <c r="AL730" s="102"/>
      <c r="AM730" s="102"/>
      <c r="AN730" s="102"/>
      <c r="AO730" s="102"/>
      <c r="AP730" s="102"/>
      <c r="AQ730" s="102"/>
      <c r="AR730" s="102"/>
      <c r="AS730" s="102"/>
      <c r="AT730" s="102"/>
      <c r="AU730" s="102"/>
      <c r="AV730" s="102"/>
    </row>
    <row r="731" ht="12.75" customHeight="1">
      <c r="C731" s="400"/>
      <c r="D731" s="102"/>
      <c r="I731" s="102"/>
      <c r="J731" s="102"/>
      <c r="K731" s="102"/>
      <c r="L731" s="102"/>
      <c r="M731" s="102"/>
      <c r="N731" s="102"/>
      <c r="O731" s="102"/>
      <c r="P731" s="102"/>
      <c r="Q731" s="102"/>
      <c r="R731" s="102"/>
      <c r="S731" s="102"/>
      <c r="T731" s="102"/>
      <c r="U731" s="102"/>
      <c r="V731" s="102"/>
      <c r="W731" s="102"/>
      <c r="X731" s="102"/>
      <c r="Y731" s="102"/>
      <c r="Z731" s="102"/>
      <c r="AA731" s="102"/>
      <c r="AB731" s="102"/>
      <c r="AC731" s="102"/>
      <c r="AD731" s="102"/>
      <c r="AE731" s="102"/>
      <c r="AF731" s="102"/>
      <c r="AG731" s="102"/>
      <c r="AH731" s="102"/>
      <c r="AI731" s="102"/>
      <c r="AJ731" s="102"/>
      <c r="AK731" s="102"/>
      <c r="AL731" s="102"/>
      <c r="AM731" s="102"/>
      <c r="AN731" s="102"/>
      <c r="AO731" s="102"/>
      <c r="AP731" s="102"/>
      <c r="AQ731" s="102"/>
      <c r="AR731" s="102"/>
      <c r="AS731" s="102"/>
      <c r="AT731" s="102"/>
      <c r="AU731" s="102"/>
      <c r="AV731" s="102"/>
    </row>
    <row r="732" ht="12.75" customHeight="1">
      <c r="C732" s="400"/>
      <c r="D732" s="102"/>
      <c r="I732" s="102"/>
      <c r="J732" s="102"/>
      <c r="K732" s="102"/>
      <c r="L732" s="102"/>
      <c r="M732" s="102"/>
      <c r="N732" s="102"/>
      <c r="O732" s="102"/>
      <c r="P732" s="102"/>
      <c r="Q732" s="102"/>
      <c r="R732" s="102"/>
      <c r="S732" s="102"/>
      <c r="T732" s="102"/>
      <c r="U732" s="102"/>
      <c r="V732" s="102"/>
      <c r="W732" s="102"/>
      <c r="X732" s="102"/>
      <c r="Y732" s="102"/>
      <c r="Z732" s="102"/>
      <c r="AA732" s="102"/>
      <c r="AB732" s="102"/>
      <c r="AC732" s="102"/>
      <c r="AD732" s="102"/>
      <c r="AE732" s="102"/>
      <c r="AF732" s="102"/>
      <c r="AG732" s="102"/>
      <c r="AH732" s="102"/>
      <c r="AI732" s="102"/>
      <c r="AJ732" s="102"/>
      <c r="AK732" s="102"/>
      <c r="AL732" s="102"/>
      <c r="AM732" s="102"/>
      <c r="AN732" s="102"/>
      <c r="AO732" s="102"/>
      <c r="AP732" s="102"/>
      <c r="AQ732" s="102"/>
      <c r="AR732" s="102"/>
      <c r="AS732" s="102"/>
      <c r="AT732" s="102"/>
      <c r="AU732" s="102"/>
      <c r="AV732" s="102"/>
    </row>
    <row r="733" ht="12.75" customHeight="1">
      <c r="C733" s="400"/>
      <c r="D733" s="102"/>
      <c r="I733" s="102"/>
      <c r="J733" s="102"/>
      <c r="K733" s="102"/>
      <c r="L733" s="102"/>
      <c r="M733" s="102"/>
      <c r="N733" s="102"/>
      <c r="O733" s="102"/>
      <c r="P733" s="102"/>
      <c r="Q733" s="102"/>
      <c r="R733" s="102"/>
      <c r="S733" s="102"/>
      <c r="T733" s="102"/>
      <c r="U733" s="102"/>
      <c r="V733" s="102"/>
      <c r="W733" s="102"/>
      <c r="X733" s="102"/>
      <c r="Y733" s="102"/>
      <c r="Z733" s="102"/>
      <c r="AA733" s="102"/>
      <c r="AB733" s="102"/>
      <c r="AC733" s="102"/>
      <c r="AD733" s="102"/>
      <c r="AE733" s="102"/>
      <c r="AF733" s="102"/>
      <c r="AG733" s="102"/>
      <c r="AH733" s="102"/>
      <c r="AI733" s="102"/>
      <c r="AJ733" s="102"/>
      <c r="AK733" s="102"/>
      <c r="AL733" s="102"/>
      <c r="AM733" s="102"/>
      <c r="AN733" s="102"/>
      <c r="AO733" s="102"/>
      <c r="AP733" s="102"/>
      <c r="AQ733" s="102"/>
      <c r="AR733" s="102"/>
      <c r="AS733" s="102"/>
      <c r="AT733" s="102"/>
      <c r="AU733" s="102"/>
      <c r="AV733" s="102"/>
    </row>
    <row r="734" ht="12.75" customHeight="1">
      <c r="C734" s="400"/>
      <c r="D734" s="102"/>
      <c r="I734" s="102"/>
      <c r="J734" s="102"/>
      <c r="K734" s="102"/>
      <c r="L734" s="102"/>
      <c r="M734" s="102"/>
      <c r="N734" s="102"/>
      <c r="O734" s="102"/>
      <c r="P734" s="102"/>
      <c r="Q734" s="102"/>
      <c r="R734" s="102"/>
      <c r="S734" s="102"/>
      <c r="T734" s="102"/>
      <c r="U734" s="102"/>
      <c r="V734" s="102"/>
      <c r="W734" s="102"/>
      <c r="X734" s="102"/>
      <c r="Y734" s="102"/>
      <c r="Z734" s="102"/>
      <c r="AA734" s="102"/>
      <c r="AB734" s="102"/>
      <c r="AC734" s="102"/>
      <c r="AD734" s="102"/>
      <c r="AE734" s="102"/>
      <c r="AF734" s="102"/>
      <c r="AG734" s="102"/>
      <c r="AH734" s="102"/>
      <c r="AI734" s="102"/>
      <c r="AJ734" s="102"/>
      <c r="AK734" s="102"/>
      <c r="AL734" s="102"/>
      <c r="AM734" s="102"/>
      <c r="AN734" s="102"/>
      <c r="AO734" s="102"/>
      <c r="AP734" s="102"/>
      <c r="AQ734" s="102"/>
      <c r="AR734" s="102"/>
      <c r="AS734" s="102"/>
      <c r="AT734" s="102"/>
      <c r="AU734" s="102"/>
      <c r="AV734" s="102"/>
    </row>
    <row r="735" ht="12.75" customHeight="1">
      <c r="C735" s="400"/>
      <c r="D735" s="102"/>
      <c r="I735" s="102"/>
      <c r="J735" s="102"/>
      <c r="K735" s="102"/>
      <c r="L735" s="102"/>
      <c r="M735" s="102"/>
      <c r="N735" s="102"/>
      <c r="O735" s="102"/>
      <c r="P735" s="102"/>
      <c r="Q735" s="102"/>
      <c r="R735" s="102"/>
      <c r="S735" s="102"/>
      <c r="T735" s="102"/>
      <c r="U735" s="102"/>
      <c r="V735" s="102"/>
      <c r="W735" s="102"/>
      <c r="X735" s="102"/>
      <c r="Y735" s="102"/>
      <c r="Z735" s="102"/>
      <c r="AA735" s="102"/>
      <c r="AB735" s="102"/>
      <c r="AC735" s="102"/>
      <c r="AD735" s="102"/>
      <c r="AE735" s="102"/>
      <c r="AF735" s="102"/>
      <c r="AG735" s="102"/>
      <c r="AH735" s="102"/>
      <c r="AI735" s="102"/>
      <c r="AJ735" s="102"/>
      <c r="AK735" s="102"/>
      <c r="AL735" s="102"/>
      <c r="AM735" s="102"/>
      <c r="AN735" s="102"/>
      <c r="AO735" s="102"/>
      <c r="AP735" s="102"/>
      <c r="AQ735" s="102"/>
      <c r="AR735" s="102"/>
      <c r="AS735" s="102"/>
      <c r="AT735" s="102"/>
      <c r="AU735" s="102"/>
      <c r="AV735" s="102"/>
    </row>
    <row r="736" ht="12.75" customHeight="1">
      <c r="C736" s="400"/>
      <c r="D736" s="102"/>
      <c r="I736" s="102"/>
      <c r="J736" s="102"/>
      <c r="K736" s="102"/>
      <c r="L736" s="102"/>
      <c r="M736" s="102"/>
      <c r="N736" s="102"/>
      <c r="O736" s="102"/>
      <c r="P736" s="102"/>
      <c r="Q736" s="102"/>
      <c r="R736" s="102"/>
      <c r="S736" s="102"/>
      <c r="T736" s="102"/>
      <c r="U736" s="102"/>
      <c r="V736" s="102"/>
      <c r="W736" s="102"/>
      <c r="X736" s="102"/>
      <c r="Y736" s="102"/>
      <c r="Z736" s="102"/>
      <c r="AA736" s="102"/>
      <c r="AB736" s="102"/>
      <c r="AC736" s="102"/>
      <c r="AD736" s="102"/>
      <c r="AE736" s="102"/>
      <c r="AF736" s="102"/>
      <c r="AG736" s="102"/>
      <c r="AH736" s="102"/>
      <c r="AI736" s="102"/>
      <c r="AJ736" s="102"/>
      <c r="AK736" s="102"/>
      <c r="AL736" s="102"/>
      <c r="AM736" s="102"/>
      <c r="AN736" s="102"/>
      <c r="AO736" s="102"/>
      <c r="AP736" s="102"/>
      <c r="AQ736" s="102"/>
      <c r="AR736" s="102"/>
      <c r="AS736" s="102"/>
      <c r="AT736" s="102"/>
      <c r="AU736" s="102"/>
      <c r="AV736" s="102"/>
    </row>
    <row r="737" ht="12.75" customHeight="1">
      <c r="C737" s="400"/>
      <c r="D737" s="102"/>
      <c r="I737" s="102"/>
      <c r="J737" s="102"/>
      <c r="K737" s="102"/>
      <c r="L737" s="102"/>
      <c r="M737" s="102"/>
      <c r="N737" s="102"/>
      <c r="O737" s="102"/>
      <c r="P737" s="102"/>
      <c r="Q737" s="102"/>
      <c r="R737" s="102"/>
      <c r="S737" s="102"/>
      <c r="T737" s="102"/>
      <c r="U737" s="102"/>
      <c r="V737" s="102"/>
      <c r="W737" s="102"/>
      <c r="X737" s="102"/>
      <c r="Y737" s="102"/>
      <c r="Z737" s="102"/>
      <c r="AA737" s="102"/>
      <c r="AB737" s="102"/>
      <c r="AC737" s="102"/>
      <c r="AD737" s="102"/>
      <c r="AE737" s="102"/>
      <c r="AF737" s="102"/>
      <c r="AG737" s="102"/>
      <c r="AH737" s="102"/>
      <c r="AI737" s="102"/>
      <c r="AJ737" s="102"/>
      <c r="AK737" s="102"/>
      <c r="AL737" s="102"/>
      <c r="AM737" s="102"/>
      <c r="AN737" s="102"/>
      <c r="AO737" s="102"/>
      <c r="AP737" s="102"/>
      <c r="AQ737" s="102"/>
      <c r="AR737" s="102"/>
      <c r="AS737" s="102"/>
      <c r="AT737" s="102"/>
      <c r="AU737" s="102"/>
      <c r="AV737" s="102"/>
    </row>
    <row r="738" ht="12.75" customHeight="1">
      <c r="C738" s="400"/>
      <c r="D738" s="102"/>
      <c r="I738" s="102"/>
      <c r="J738" s="102"/>
      <c r="K738" s="102"/>
      <c r="L738" s="102"/>
      <c r="M738" s="102"/>
      <c r="N738" s="102"/>
      <c r="O738" s="102"/>
      <c r="P738" s="102"/>
      <c r="Q738" s="102"/>
      <c r="R738" s="102"/>
      <c r="S738" s="102"/>
      <c r="T738" s="102"/>
      <c r="U738" s="102"/>
      <c r="V738" s="102"/>
      <c r="W738" s="102"/>
      <c r="X738" s="102"/>
      <c r="Y738" s="102"/>
      <c r="Z738" s="102"/>
      <c r="AA738" s="102"/>
      <c r="AB738" s="102"/>
      <c r="AC738" s="102"/>
      <c r="AD738" s="102"/>
      <c r="AE738" s="102"/>
      <c r="AF738" s="102"/>
      <c r="AG738" s="102"/>
      <c r="AH738" s="102"/>
      <c r="AI738" s="102"/>
      <c r="AJ738" s="102"/>
      <c r="AK738" s="102"/>
      <c r="AL738" s="102"/>
      <c r="AM738" s="102"/>
      <c r="AN738" s="102"/>
      <c r="AO738" s="102"/>
      <c r="AP738" s="102"/>
      <c r="AQ738" s="102"/>
      <c r="AR738" s="102"/>
      <c r="AS738" s="102"/>
      <c r="AT738" s="102"/>
      <c r="AU738" s="102"/>
      <c r="AV738" s="102"/>
    </row>
    <row r="739" ht="12.75" customHeight="1">
      <c r="C739" s="400"/>
      <c r="D739" s="102"/>
      <c r="I739" s="102"/>
      <c r="J739" s="102"/>
      <c r="K739" s="102"/>
      <c r="L739" s="102"/>
      <c r="M739" s="102"/>
      <c r="N739" s="102"/>
      <c r="O739" s="102"/>
      <c r="P739" s="102"/>
      <c r="Q739" s="102"/>
      <c r="R739" s="102"/>
      <c r="S739" s="102"/>
      <c r="T739" s="102"/>
      <c r="U739" s="102"/>
      <c r="V739" s="102"/>
      <c r="W739" s="102"/>
      <c r="X739" s="102"/>
      <c r="Y739" s="102"/>
      <c r="Z739" s="102"/>
      <c r="AA739" s="102"/>
      <c r="AB739" s="102"/>
      <c r="AC739" s="102"/>
      <c r="AD739" s="102"/>
      <c r="AE739" s="102"/>
      <c r="AF739" s="102"/>
      <c r="AG739" s="102"/>
      <c r="AH739" s="102"/>
      <c r="AI739" s="102"/>
      <c r="AJ739" s="102"/>
      <c r="AK739" s="102"/>
      <c r="AL739" s="102"/>
      <c r="AM739" s="102"/>
      <c r="AN739" s="102"/>
      <c r="AO739" s="102"/>
      <c r="AP739" s="102"/>
      <c r="AQ739" s="102"/>
      <c r="AR739" s="102"/>
      <c r="AS739" s="102"/>
      <c r="AT739" s="102"/>
      <c r="AU739" s="102"/>
      <c r="AV739" s="102"/>
    </row>
    <row r="740" ht="12.75" customHeight="1">
      <c r="C740" s="400"/>
      <c r="D740" s="102"/>
      <c r="I740" s="102"/>
      <c r="J740" s="102"/>
      <c r="K740" s="102"/>
      <c r="L740" s="102"/>
      <c r="M740" s="102"/>
      <c r="N740" s="102"/>
      <c r="O740" s="102"/>
      <c r="P740" s="102"/>
      <c r="Q740" s="102"/>
      <c r="R740" s="102"/>
      <c r="S740" s="102"/>
      <c r="T740" s="102"/>
      <c r="U740" s="102"/>
      <c r="V740" s="102"/>
      <c r="W740" s="102"/>
      <c r="X740" s="102"/>
      <c r="Y740" s="102"/>
      <c r="Z740" s="102"/>
      <c r="AA740" s="102"/>
      <c r="AB740" s="102"/>
      <c r="AC740" s="102"/>
      <c r="AD740" s="102"/>
      <c r="AE740" s="102"/>
      <c r="AF740" s="102"/>
      <c r="AG740" s="102"/>
      <c r="AH740" s="102"/>
      <c r="AI740" s="102"/>
      <c r="AJ740" s="102"/>
      <c r="AK740" s="102"/>
      <c r="AL740" s="102"/>
      <c r="AM740" s="102"/>
      <c r="AN740" s="102"/>
      <c r="AO740" s="102"/>
      <c r="AP740" s="102"/>
      <c r="AQ740" s="102"/>
      <c r="AR740" s="102"/>
      <c r="AS740" s="102"/>
      <c r="AT740" s="102"/>
      <c r="AU740" s="102"/>
      <c r="AV740" s="102"/>
    </row>
    <row r="741" ht="12.75" customHeight="1">
      <c r="C741" s="400"/>
      <c r="D741" s="102"/>
      <c r="I741" s="102"/>
      <c r="J741" s="102"/>
      <c r="K741" s="102"/>
      <c r="L741" s="102"/>
      <c r="M741" s="102"/>
      <c r="N741" s="102"/>
      <c r="O741" s="102"/>
      <c r="P741" s="102"/>
      <c r="Q741" s="102"/>
      <c r="R741" s="102"/>
      <c r="S741" s="102"/>
      <c r="T741" s="102"/>
      <c r="U741" s="102"/>
      <c r="V741" s="102"/>
      <c r="W741" s="102"/>
      <c r="X741" s="102"/>
      <c r="Y741" s="102"/>
      <c r="Z741" s="102"/>
      <c r="AA741" s="102"/>
      <c r="AB741" s="102"/>
      <c r="AC741" s="102"/>
      <c r="AD741" s="102"/>
      <c r="AE741" s="102"/>
      <c r="AF741" s="102"/>
      <c r="AG741" s="102"/>
      <c r="AH741" s="102"/>
      <c r="AI741" s="102"/>
      <c r="AJ741" s="102"/>
      <c r="AK741" s="102"/>
      <c r="AL741" s="102"/>
      <c r="AM741" s="102"/>
      <c r="AN741" s="102"/>
      <c r="AO741" s="102"/>
      <c r="AP741" s="102"/>
      <c r="AQ741" s="102"/>
      <c r="AR741" s="102"/>
      <c r="AS741" s="102"/>
      <c r="AT741" s="102"/>
      <c r="AU741" s="102"/>
      <c r="AV741" s="102"/>
    </row>
    <row r="742" ht="12.75" customHeight="1">
      <c r="C742" s="400"/>
      <c r="D742" s="102"/>
      <c r="I742" s="102"/>
      <c r="J742" s="102"/>
      <c r="K742" s="102"/>
      <c r="L742" s="102"/>
      <c r="M742" s="102"/>
      <c r="N742" s="102"/>
      <c r="O742" s="102"/>
      <c r="P742" s="102"/>
      <c r="Q742" s="102"/>
      <c r="R742" s="102"/>
      <c r="S742" s="102"/>
      <c r="T742" s="102"/>
      <c r="U742" s="102"/>
      <c r="V742" s="102"/>
      <c r="W742" s="102"/>
      <c r="X742" s="102"/>
      <c r="Y742" s="102"/>
      <c r="Z742" s="102"/>
      <c r="AA742" s="102"/>
      <c r="AB742" s="102"/>
      <c r="AC742" s="102"/>
      <c r="AD742" s="102"/>
      <c r="AE742" s="102"/>
      <c r="AF742" s="102"/>
      <c r="AG742" s="102"/>
      <c r="AH742" s="102"/>
      <c r="AI742" s="102"/>
      <c r="AJ742" s="102"/>
      <c r="AK742" s="102"/>
      <c r="AL742" s="102"/>
      <c r="AM742" s="102"/>
      <c r="AN742" s="102"/>
      <c r="AO742" s="102"/>
      <c r="AP742" s="102"/>
      <c r="AQ742" s="102"/>
      <c r="AR742" s="102"/>
      <c r="AS742" s="102"/>
      <c r="AT742" s="102"/>
      <c r="AU742" s="102"/>
      <c r="AV742" s="102"/>
    </row>
    <row r="743" ht="12.75" customHeight="1">
      <c r="C743" s="400"/>
      <c r="D743" s="102"/>
      <c r="I743" s="102"/>
      <c r="J743" s="102"/>
      <c r="K743" s="102"/>
      <c r="L743" s="102"/>
      <c r="M743" s="102"/>
      <c r="N743" s="102"/>
      <c r="O743" s="102"/>
      <c r="P743" s="102"/>
      <c r="Q743" s="102"/>
      <c r="R743" s="102"/>
      <c r="S743" s="102"/>
      <c r="T743" s="102"/>
      <c r="U743" s="102"/>
      <c r="V743" s="102"/>
      <c r="W743" s="102"/>
      <c r="X743" s="102"/>
      <c r="Y743" s="102"/>
      <c r="Z743" s="102"/>
      <c r="AA743" s="102"/>
      <c r="AB743" s="102"/>
      <c r="AC743" s="102"/>
      <c r="AD743" s="102"/>
      <c r="AE743" s="102"/>
      <c r="AF743" s="102"/>
      <c r="AG743" s="102"/>
      <c r="AH743" s="102"/>
      <c r="AI743" s="102"/>
      <c r="AJ743" s="102"/>
      <c r="AK743" s="102"/>
      <c r="AL743" s="102"/>
      <c r="AM743" s="102"/>
      <c r="AN743" s="102"/>
      <c r="AO743" s="102"/>
      <c r="AP743" s="102"/>
      <c r="AQ743" s="102"/>
      <c r="AR743" s="102"/>
      <c r="AS743" s="102"/>
      <c r="AT743" s="102"/>
      <c r="AU743" s="102"/>
      <c r="AV743" s="102"/>
    </row>
    <row r="744" ht="12.75" customHeight="1">
      <c r="C744" s="400"/>
      <c r="D744" s="102"/>
      <c r="I744" s="102"/>
      <c r="J744" s="102"/>
      <c r="K744" s="102"/>
      <c r="L744" s="102"/>
      <c r="M744" s="102"/>
      <c r="N744" s="102"/>
      <c r="O744" s="102"/>
      <c r="P744" s="102"/>
      <c r="Q744" s="102"/>
      <c r="R744" s="102"/>
      <c r="S744" s="102"/>
      <c r="T744" s="102"/>
      <c r="U744" s="102"/>
      <c r="V744" s="102"/>
      <c r="W744" s="102"/>
      <c r="X744" s="102"/>
      <c r="Y744" s="102"/>
      <c r="Z744" s="102"/>
      <c r="AA744" s="102"/>
      <c r="AB744" s="102"/>
      <c r="AC744" s="102"/>
      <c r="AD744" s="102"/>
      <c r="AE744" s="102"/>
      <c r="AF744" s="102"/>
      <c r="AG744" s="102"/>
      <c r="AH744" s="102"/>
      <c r="AI744" s="102"/>
      <c r="AJ744" s="102"/>
      <c r="AK744" s="102"/>
      <c r="AL744" s="102"/>
      <c r="AM744" s="102"/>
      <c r="AN744" s="102"/>
      <c r="AO744" s="102"/>
      <c r="AP744" s="102"/>
      <c r="AQ744" s="102"/>
      <c r="AR744" s="102"/>
      <c r="AS744" s="102"/>
      <c r="AT744" s="102"/>
      <c r="AU744" s="102"/>
      <c r="AV744" s="102"/>
    </row>
    <row r="745" ht="12.75" customHeight="1">
      <c r="C745" s="400"/>
      <c r="D745" s="102"/>
      <c r="I745" s="102"/>
      <c r="J745" s="102"/>
      <c r="K745" s="102"/>
      <c r="L745" s="102"/>
      <c r="M745" s="102"/>
      <c r="N745" s="102"/>
      <c r="O745" s="102"/>
      <c r="P745" s="102"/>
      <c r="Q745" s="102"/>
      <c r="R745" s="102"/>
      <c r="S745" s="102"/>
      <c r="T745" s="102"/>
      <c r="U745" s="102"/>
      <c r="V745" s="102"/>
      <c r="W745" s="102"/>
      <c r="X745" s="102"/>
      <c r="Y745" s="102"/>
      <c r="Z745" s="102"/>
      <c r="AA745" s="102"/>
      <c r="AB745" s="102"/>
      <c r="AC745" s="102"/>
      <c r="AD745" s="102"/>
      <c r="AE745" s="102"/>
      <c r="AF745" s="102"/>
      <c r="AG745" s="102"/>
      <c r="AH745" s="102"/>
      <c r="AI745" s="102"/>
      <c r="AJ745" s="102"/>
      <c r="AK745" s="102"/>
      <c r="AL745" s="102"/>
      <c r="AM745" s="102"/>
      <c r="AN745" s="102"/>
      <c r="AO745" s="102"/>
      <c r="AP745" s="102"/>
      <c r="AQ745" s="102"/>
      <c r="AR745" s="102"/>
      <c r="AS745" s="102"/>
      <c r="AT745" s="102"/>
      <c r="AU745" s="102"/>
      <c r="AV745" s="102"/>
    </row>
    <row r="746" ht="12.75" customHeight="1">
      <c r="C746" s="400"/>
      <c r="D746" s="102"/>
      <c r="I746" s="102"/>
      <c r="J746" s="102"/>
      <c r="K746" s="102"/>
      <c r="L746" s="102"/>
      <c r="M746" s="102"/>
      <c r="N746" s="102"/>
      <c r="O746" s="102"/>
      <c r="P746" s="102"/>
      <c r="Q746" s="102"/>
      <c r="R746" s="102"/>
      <c r="S746" s="102"/>
      <c r="T746" s="102"/>
      <c r="U746" s="102"/>
      <c r="V746" s="102"/>
      <c r="W746" s="102"/>
      <c r="X746" s="102"/>
      <c r="Y746" s="102"/>
      <c r="Z746" s="102"/>
      <c r="AA746" s="102"/>
      <c r="AB746" s="102"/>
      <c r="AC746" s="102"/>
      <c r="AD746" s="102"/>
      <c r="AE746" s="102"/>
      <c r="AF746" s="102"/>
      <c r="AG746" s="102"/>
      <c r="AH746" s="102"/>
      <c r="AI746" s="102"/>
      <c r="AJ746" s="102"/>
      <c r="AK746" s="102"/>
      <c r="AL746" s="102"/>
      <c r="AM746" s="102"/>
      <c r="AN746" s="102"/>
      <c r="AO746" s="102"/>
      <c r="AP746" s="102"/>
      <c r="AQ746" s="102"/>
      <c r="AR746" s="102"/>
      <c r="AS746" s="102"/>
      <c r="AT746" s="102"/>
      <c r="AU746" s="102"/>
      <c r="AV746" s="102"/>
    </row>
    <row r="747" ht="12.75" customHeight="1">
      <c r="C747" s="400"/>
      <c r="D747" s="102"/>
      <c r="I747" s="102"/>
      <c r="J747" s="102"/>
      <c r="K747" s="102"/>
      <c r="L747" s="102"/>
      <c r="M747" s="102"/>
      <c r="N747" s="102"/>
      <c r="O747" s="102"/>
      <c r="P747" s="102"/>
      <c r="Q747" s="102"/>
      <c r="R747" s="102"/>
      <c r="S747" s="102"/>
      <c r="T747" s="102"/>
      <c r="U747" s="102"/>
      <c r="V747" s="102"/>
      <c r="W747" s="102"/>
      <c r="X747" s="102"/>
      <c r="Y747" s="102"/>
      <c r="Z747" s="102"/>
      <c r="AA747" s="102"/>
      <c r="AB747" s="102"/>
      <c r="AC747" s="102"/>
      <c r="AD747" s="102"/>
      <c r="AE747" s="102"/>
      <c r="AF747" s="102"/>
      <c r="AG747" s="102"/>
      <c r="AH747" s="102"/>
      <c r="AI747" s="102"/>
      <c r="AJ747" s="102"/>
      <c r="AK747" s="102"/>
      <c r="AL747" s="102"/>
      <c r="AM747" s="102"/>
      <c r="AN747" s="102"/>
      <c r="AO747" s="102"/>
      <c r="AP747" s="102"/>
      <c r="AQ747" s="102"/>
      <c r="AR747" s="102"/>
      <c r="AS747" s="102"/>
      <c r="AT747" s="102"/>
      <c r="AU747" s="102"/>
      <c r="AV747" s="102"/>
    </row>
    <row r="748" ht="12.75" customHeight="1">
      <c r="C748" s="400"/>
      <c r="D748" s="102"/>
      <c r="I748" s="102"/>
      <c r="J748" s="102"/>
      <c r="K748" s="102"/>
      <c r="L748" s="102"/>
      <c r="M748" s="102"/>
      <c r="N748" s="102"/>
      <c r="O748" s="102"/>
      <c r="P748" s="102"/>
      <c r="Q748" s="102"/>
      <c r="R748" s="102"/>
      <c r="S748" s="102"/>
      <c r="T748" s="102"/>
      <c r="U748" s="102"/>
      <c r="V748" s="102"/>
      <c r="W748" s="102"/>
      <c r="X748" s="102"/>
      <c r="Y748" s="102"/>
      <c r="Z748" s="102"/>
      <c r="AA748" s="102"/>
      <c r="AB748" s="102"/>
      <c r="AC748" s="102"/>
      <c r="AD748" s="102"/>
      <c r="AE748" s="102"/>
      <c r="AF748" s="102"/>
      <c r="AG748" s="102"/>
      <c r="AH748" s="102"/>
      <c r="AI748" s="102"/>
      <c r="AJ748" s="102"/>
      <c r="AK748" s="102"/>
      <c r="AL748" s="102"/>
      <c r="AM748" s="102"/>
      <c r="AN748" s="102"/>
      <c r="AO748" s="102"/>
      <c r="AP748" s="102"/>
      <c r="AQ748" s="102"/>
      <c r="AR748" s="102"/>
      <c r="AS748" s="102"/>
      <c r="AT748" s="102"/>
      <c r="AU748" s="102"/>
      <c r="AV748" s="102"/>
    </row>
    <row r="749" ht="12.75" customHeight="1">
      <c r="C749" s="400"/>
      <c r="D749" s="102"/>
      <c r="I749" s="102"/>
      <c r="J749" s="102"/>
      <c r="K749" s="102"/>
      <c r="L749" s="102"/>
      <c r="M749" s="102"/>
      <c r="N749" s="102"/>
      <c r="O749" s="102"/>
      <c r="P749" s="102"/>
      <c r="Q749" s="102"/>
      <c r="R749" s="102"/>
      <c r="S749" s="102"/>
      <c r="T749" s="102"/>
      <c r="U749" s="102"/>
      <c r="V749" s="102"/>
      <c r="W749" s="102"/>
      <c r="X749" s="102"/>
      <c r="Y749" s="102"/>
      <c r="Z749" s="102"/>
      <c r="AA749" s="102"/>
      <c r="AB749" s="102"/>
      <c r="AC749" s="102"/>
      <c r="AD749" s="102"/>
      <c r="AE749" s="102"/>
      <c r="AF749" s="102"/>
      <c r="AG749" s="102"/>
      <c r="AH749" s="102"/>
      <c r="AI749" s="102"/>
      <c r="AJ749" s="102"/>
      <c r="AK749" s="102"/>
      <c r="AL749" s="102"/>
      <c r="AM749" s="102"/>
      <c r="AN749" s="102"/>
      <c r="AO749" s="102"/>
      <c r="AP749" s="102"/>
      <c r="AQ749" s="102"/>
      <c r="AR749" s="102"/>
      <c r="AS749" s="102"/>
      <c r="AT749" s="102"/>
      <c r="AU749" s="102"/>
      <c r="AV749" s="102"/>
    </row>
    <row r="750" ht="12.75" customHeight="1">
      <c r="C750" s="400"/>
      <c r="D750" s="102"/>
      <c r="I750" s="102"/>
      <c r="J750" s="102"/>
      <c r="K750" s="102"/>
      <c r="L750" s="102"/>
      <c r="M750" s="102"/>
      <c r="N750" s="102"/>
      <c r="O750" s="102"/>
      <c r="P750" s="102"/>
      <c r="Q750" s="102"/>
      <c r="R750" s="102"/>
      <c r="S750" s="102"/>
      <c r="T750" s="102"/>
      <c r="U750" s="102"/>
      <c r="V750" s="102"/>
      <c r="W750" s="102"/>
      <c r="X750" s="102"/>
      <c r="Y750" s="102"/>
      <c r="Z750" s="102"/>
      <c r="AA750" s="102"/>
      <c r="AB750" s="102"/>
      <c r="AC750" s="102"/>
      <c r="AD750" s="102"/>
      <c r="AE750" s="102"/>
      <c r="AF750" s="102"/>
      <c r="AG750" s="102"/>
      <c r="AH750" s="102"/>
      <c r="AI750" s="102"/>
      <c r="AJ750" s="102"/>
      <c r="AK750" s="102"/>
      <c r="AL750" s="102"/>
      <c r="AM750" s="102"/>
      <c r="AN750" s="102"/>
      <c r="AO750" s="102"/>
      <c r="AP750" s="102"/>
      <c r="AQ750" s="102"/>
      <c r="AR750" s="102"/>
      <c r="AS750" s="102"/>
      <c r="AT750" s="102"/>
      <c r="AU750" s="102"/>
      <c r="AV750" s="102"/>
    </row>
    <row r="751" ht="12.75" customHeight="1">
      <c r="C751" s="400"/>
      <c r="D751" s="102"/>
      <c r="I751" s="102"/>
      <c r="J751" s="102"/>
      <c r="K751" s="102"/>
      <c r="L751" s="102"/>
      <c r="M751" s="102"/>
      <c r="N751" s="102"/>
      <c r="O751" s="102"/>
      <c r="P751" s="102"/>
      <c r="Q751" s="102"/>
      <c r="R751" s="102"/>
      <c r="S751" s="102"/>
      <c r="T751" s="102"/>
      <c r="U751" s="102"/>
      <c r="V751" s="102"/>
      <c r="W751" s="102"/>
      <c r="X751" s="102"/>
      <c r="Y751" s="102"/>
      <c r="Z751" s="102"/>
      <c r="AA751" s="102"/>
      <c r="AB751" s="102"/>
      <c r="AC751" s="102"/>
      <c r="AD751" s="102"/>
      <c r="AE751" s="102"/>
      <c r="AF751" s="102"/>
      <c r="AG751" s="102"/>
      <c r="AH751" s="102"/>
      <c r="AI751" s="102"/>
      <c r="AJ751" s="102"/>
      <c r="AK751" s="102"/>
      <c r="AL751" s="102"/>
      <c r="AM751" s="102"/>
      <c r="AN751" s="102"/>
      <c r="AO751" s="102"/>
      <c r="AP751" s="102"/>
      <c r="AQ751" s="102"/>
      <c r="AR751" s="102"/>
      <c r="AS751" s="102"/>
      <c r="AT751" s="102"/>
      <c r="AU751" s="102"/>
      <c r="AV751" s="102"/>
    </row>
    <row r="752" ht="12.75" customHeight="1">
      <c r="C752" s="400"/>
      <c r="D752" s="102"/>
      <c r="I752" s="102"/>
      <c r="J752" s="102"/>
      <c r="K752" s="102"/>
      <c r="L752" s="102"/>
      <c r="M752" s="102"/>
      <c r="N752" s="102"/>
      <c r="O752" s="102"/>
      <c r="P752" s="102"/>
      <c r="Q752" s="102"/>
      <c r="R752" s="102"/>
      <c r="S752" s="102"/>
      <c r="T752" s="102"/>
      <c r="U752" s="102"/>
      <c r="V752" s="102"/>
      <c r="W752" s="102"/>
      <c r="X752" s="102"/>
      <c r="Y752" s="102"/>
      <c r="Z752" s="102"/>
      <c r="AA752" s="102"/>
      <c r="AB752" s="102"/>
      <c r="AC752" s="102"/>
      <c r="AD752" s="102"/>
      <c r="AE752" s="102"/>
      <c r="AF752" s="102"/>
      <c r="AG752" s="102"/>
      <c r="AH752" s="102"/>
      <c r="AI752" s="102"/>
      <c r="AJ752" s="102"/>
      <c r="AK752" s="102"/>
      <c r="AL752" s="102"/>
      <c r="AM752" s="102"/>
      <c r="AN752" s="102"/>
      <c r="AO752" s="102"/>
      <c r="AP752" s="102"/>
      <c r="AQ752" s="102"/>
      <c r="AR752" s="102"/>
      <c r="AS752" s="102"/>
      <c r="AT752" s="102"/>
      <c r="AU752" s="102"/>
      <c r="AV752" s="102"/>
    </row>
    <row r="753" ht="12.75" customHeight="1">
      <c r="C753" s="400"/>
      <c r="D753" s="102"/>
      <c r="I753" s="102"/>
      <c r="J753" s="102"/>
      <c r="K753" s="102"/>
      <c r="L753" s="102"/>
      <c r="M753" s="102"/>
      <c r="N753" s="102"/>
      <c r="O753" s="102"/>
      <c r="P753" s="102"/>
      <c r="Q753" s="102"/>
      <c r="R753" s="102"/>
      <c r="S753" s="102"/>
      <c r="T753" s="102"/>
      <c r="U753" s="102"/>
      <c r="V753" s="102"/>
      <c r="W753" s="102"/>
      <c r="X753" s="102"/>
      <c r="Y753" s="102"/>
      <c r="Z753" s="102"/>
      <c r="AA753" s="102"/>
      <c r="AB753" s="102"/>
      <c r="AC753" s="102"/>
      <c r="AD753" s="102"/>
      <c r="AE753" s="102"/>
      <c r="AF753" s="102"/>
      <c r="AG753" s="102"/>
      <c r="AH753" s="102"/>
      <c r="AI753" s="102"/>
      <c r="AJ753" s="102"/>
      <c r="AK753" s="102"/>
      <c r="AL753" s="102"/>
      <c r="AM753" s="102"/>
      <c r="AN753" s="102"/>
      <c r="AO753" s="102"/>
      <c r="AP753" s="102"/>
      <c r="AQ753" s="102"/>
      <c r="AR753" s="102"/>
      <c r="AS753" s="102"/>
      <c r="AT753" s="102"/>
      <c r="AU753" s="102"/>
      <c r="AV753" s="102"/>
    </row>
    <row r="754" ht="12.75" customHeight="1">
      <c r="C754" s="400"/>
      <c r="D754" s="102"/>
      <c r="I754" s="102"/>
      <c r="J754" s="102"/>
      <c r="K754" s="102"/>
      <c r="L754" s="102"/>
      <c r="M754" s="102"/>
      <c r="N754" s="102"/>
      <c r="O754" s="102"/>
      <c r="P754" s="102"/>
      <c r="Q754" s="102"/>
      <c r="R754" s="102"/>
      <c r="S754" s="102"/>
      <c r="T754" s="102"/>
      <c r="U754" s="102"/>
      <c r="V754" s="102"/>
      <c r="W754" s="102"/>
      <c r="X754" s="102"/>
      <c r="Y754" s="102"/>
      <c r="Z754" s="102"/>
      <c r="AA754" s="102"/>
      <c r="AB754" s="102"/>
      <c r="AC754" s="102"/>
      <c r="AD754" s="102"/>
      <c r="AE754" s="102"/>
      <c r="AF754" s="102"/>
      <c r="AG754" s="102"/>
      <c r="AH754" s="102"/>
      <c r="AI754" s="102"/>
      <c r="AJ754" s="102"/>
      <c r="AK754" s="102"/>
      <c r="AL754" s="102"/>
      <c r="AM754" s="102"/>
      <c r="AN754" s="102"/>
      <c r="AO754" s="102"/>
      <c r="AP754" s="102"/>
      <c r="AQ754" s="102"/>
      <c r="AR754" s="102"/>
      <c r="AS754" s="102"/>
      <c r="AT754" s="102"/>
      <c r="AU754" s="102"/>
      <c r="AV754" s="102"/>
    </row>
    <row r="755" ht="12.75" customHeight="1">
      <c r="C755" s="400"/>
      <c r="D755" s="102"/>
      <c r="I755" s="102"/>
      <c r="J755" s="102"/>
      <c r="K755" s="102"/>
      <c r="L755" s="102"/>
      <c r="M755" s="102"/>
      <c r="N755" s="102"/>
      <c r="O755" s="102"/>
      <c r="P755" s="102"/>
      <c r="Q755" s="102"/>
      <c r="R755" s="102"/>
      <c r="S755" s="102"/>
      <c r="T755" s="102"/>
      <c r="U755" s="102"/>
      <c r="V755" s="102"/>
      <c r="W755" s="102"/>
      <c r="X755" s="102"/>
      <c r="Y755" s="102"/>
      <c r="Z755" s="102"/>
      <c r="AA755" s="102"/>
      <c r="AB755" s="102"/>
      <c r="AC755" s="102"/>
      <c r="AD755" s="102"/>
      <c r="AE755" s="102"/>
      <c r="AF755" s="102"/>
      <c r="AG755" s="102"/>
      <c r="AH755" s="102"/>
      <c r="AI755" s="102"/>
      <c r="AJ755" s="102"/>
      <c r="AK755" s="102"/>
      <c r="AL755" s="102"/>
      <c r="AM755" s="102"/>
      <c r="AN755" s="102"/>
      <c r="AO755" s="102"/>
      <c r="AP755" s="102"/>
      <c r="AQ755" s="102"/>
      <c r="AR755" s="102"/>
      <c r="AS755" s="102"/>
      <c r="AT755" s="102"/>
      <c r="AU755" s="102"/>
      <c r="AV755" s="102"/>
    </row>
    <row r="756" ht="12.75" customHeight="1">
      <c r="C756" s="400"/>
      <c r="D756" s="102"/>
      <c r="I756" s="102"/>
      <c r="J756" s="102"/>
      <c r="K756" s="102"/>
      <c r="L756" s="102"/>
      <c r="M756" s="102"/>
      <c r="N756" s="102"/>
      <c r="O756" s="102"/>
      <c r="P756" s="102"/>
      <c r="Q756" s="102"/>
      <c r="R756" s="102"/>
      <c r="S756" s="102"/>
      <c r="T756" s="102"/>
      <c r="U756" s="102"/>
      <c r="V756" s="102"/>
      <c r="W756" s="102"/>
      <c r="X756" s="102"/>
      <c r="Y756" s="102"/>
      <c r="Z756" s="102"/>
      <c r="AA756" s="102"/>
      <c r="AB756" s="102"/>
      <c r="AC756" s="102"/>
      <c r="AD756" s="102"/>
      <c r="AE756" s="102"/>
      <c r="AF756" s="102"/>
      <c r="AG756" s="102"/>
      <c r="AH756" s="102"/>
      <c r="AI756" s="102"/>
      <c r="AJ756" s="102"/>
      <c r="AK756" s="102"/>
      <c r="AL756" s="102"/>
      <c r="AM756" s="102"/>
      <c r="AN756" s="102"/>
      <c r="AO756" s="102"/>
      <c r="AP756" s="102"/>
      <c r="AQ756" s="102"/>
      <c r="AR756" s="102"/>
      <c r="AS756" s="102"/>
      <c r="AT756" s="102"/>
      <c r="AU756" s="102"/>
      <c r="AV756" s="102"/>
    </row>
    <row r="757" ht="12.75" customHeight="1">
      <c r="C757" s="400"/>
      <c r="D757" s="102"/>
      <c r="I757" s="102"/>
      <c r="J757" s="102"/>
      <c r="K757" s="102"/>
      <c r="L757" s="102"/>
      <c r="M757" s="102"/>
      <c r="N757" s="102"/>
      <c r="O757" s="102"/>
      <c r="P757" s="102"/>
      <c r="Q757" s="102"/>
      <c r="R757" s="102"/>
      <c r="S757" s="102"/>
      <c r="T757" s="102"/>
      <c r="U757" s="102"/>
      <c r="V757" s="102"/>
      <c r="W757" s="102"/>
      <c r="X757" s="102"/>
      <c r="Y757" s="102"/>
      <c r="Z757" s="102"/>
      <c r="AA757" s="102"/>
      <c r="AB757" s="102"/>
      <c r="AC757" s="102"/>
      <c r="AD757" s="102"/>
      <c r="AE757" s="102"/>
      <c r="AF757" s="102"/>
      <c r="AG757" s="102"/>
      <c r="AH757" s="102"/>
      <c r="AI757" s="102"/>
      <c r="AJ757" s="102"/>
      <c r="AK757" s="102"/>
      <c r="AL757" s="102"/>
      <c r="AM757" s="102"/>
      <c r="AN757" s="102"/>
      <c r="AO757" s="102"/>
      <c r="AP757" s="102"/>
      <c r="AQ757" s="102"/>
      <c r="AR757" s="102"/>
      <c r="AS757" s="102"/>
      <c r="AT757" s="102"/>
      <c r="AU757" s="102"/>
      <c r="AV757" s="102"/>
    </row>
    <row r="758" ht="12.75" customHeight="1">
      <c r="C758" s="400"/>
      <c r="D758" s="102"/>
      <c r="I758" s="102"/>
      <c r="J758" s="102"/>
      <c r="K758" s="102"/>
      <c r="L758" s="102"/>
      <c r="M758" s="102"/>
      <c r="N758" s="102"/>
      <c r="O758" s="102"/>
      <c r="P758" s="102"/>
      <c r="Q758" s="102"/>
      <c r="R758" s="102"/>
      <c r="S758" s="102"/>
      <c r="T758" s="102"/>
      <c r="U758" s="102"/>
      <c r="V758" s="102"/>
      <c r="W758" s="102"/>
      <c r="X758" s="102"/>
      <c r="Y758" s="102"/>
      <c r="Z758" s="102"/>
      <c r="AA758" s="102"/>
      <c r="AB758" s="102"/>
      <c r="AC758" s="102"/>
      <c r="AD758" s="102"/>
      <c r="AE758" s="102"/>
      <c r="AF758" s="102"/>
      <c r="AG758" s="102"/>
      <c r="AH758" s="102"/>
      <c r="AI758" s="102"/>
      <c r="AJ758" s="102"/>
      <c r="AK758" s="102"/>
      <c r="AL758" s="102"/>
      <c r="AM758" s="102"/>
      <c r="AN758" s="102"/>
      <c r="AO758" s="102"/>
      <c r="AP758" s="102"/>
      <c r="AQ758" s="102"/>
      <c r="AR758" s="102"/>
      <c r="AS758" s="102"/>
      <c r="AT758" s="102"/>
      <c r="AU758" s="102"/>
      <c r="AV758" s="102"/>
    </row>
    <row r="759" ht="12.75" customHeight="1">
      <c r="C759" s="400"/>
      <c r="D759" s="102"/>
      <c r="I759" s="102"/>
      <c r="J759" s="102"/>
      <c r="K759" s="102"/>
      <c r="L759" s="102"/>
      <c r="M759" s="102"/>
      <c r="N759" s="102"/>
      <c r="O759" s="102"/>
      <c r="P759" s="102"/>
      <c r="Q759" s="102"/>
      <c r="R759" s="102"/>
      <c r="S759" s="102"/>
      <c r="T759" s="102"/>
      <c r="U759" s="102"/>
      <c r="V759" s="102"/>
      <c r="W759" s="102"/>
      <c r="X759" s="102"/>
      <c r="Y759" s="102"/>
      <c r="Z759" s="102"/>
      <c r="AA759" s="102"/>
      <c r="AB759" s="102"/>
      <c r="AC759" s="102"/>
      <c r="AD759" s="102"/>
      <c r="AE759" s="102"/>
      <c r="AF759" s="102"/>
      <c r="AG759" s="102"/>
      <c r="AH759" s="102"/>
      <c r="AI759" s="102"/>
      <c r="AJ759" s="102"/>
      <c r="AK759" s="102"/>
      <c r="AL759" s="102"/>
      <c r="AM759" s="102"/>
      <c r="AN759" s="102"/>
      <c r="AO759" s="102"/>
      <c r="AP759" s="102"/>
      <c r="AQ759" s="102"/>
      <c r="AR759" s="102"/>
      <c r="AS759" s="102"/>
      <c r="AT759" s="102"/>
      <c r="AU759" s="102"/>
      <c r="AV759" s="102"/>
    </row>
    <row r="760" ht="12.75" customHeight="1">
      <c r="C760" s="400"/>
      <c r="D760" s="102"/>
      <c r="I760" s="102"/>
      <c r="J760" s="102"/>
      <c r="K760" s="102"/>
      <c r="L760" s="102"/>
      <c r="M760" s="102"/>
      <c r="N760" s="102"/>
      <c r="O760" s="102"/>
      <c r="P760" s="102"/>
      <c r="Q760" s="102"/>
      <c r="R760" s="102"/>
      <c r="S760" s="102"/>
      <c r="T760" s="102"/>
      <c r="U760" s="102"/>
      <c r="V760" s="102"/>
      <c r="W760" s="102"/>
      <c r="X760" s="102"/>
      <c r="Y760" s="102"/>
      <c r="Z760" s="102"/>
      <c r="AA760" s="102"/>
      <c r="AB760" s="102"/>
      <c r="AC760" s="102"/>
      <c r="AD760" s="102"/>
      <c r="AE760" s="102"/>
      <c r="AF760" s="102"/>
      <c r="AG760" s="102"/>
      <c r="AH760" s="102"/>
      <c r="AI760" s="102"/>
      <c r="AJ760" s="102"/>
      <c r="AK760" s="102"/>
      <c r="AL760" s="102"/>
      <c r="AM760" s="102"/>
      <c r="AN760" s="102"/>
      <c r="AO760" s="102"/>
      <c r="AP760" s="102"/>
      <c r="AQ760" s="102"/>
      <c r="AR760" s="102"/>
      <c r="AS760" s="102"/>
      <c r="AT760" s="102"/>
      <c r="AU760" s="102"/>
      <c r="AV760" s="102"/>
    </row>
    <row r="761" ht="12.75" customHeight="1">
      <c r="C761" s="400"/>
      <c r="D761" s="102"/>
      <c r="I761" s="102"/>
      <c r="J761" s="102"/>
      <c r="K761" s="102"/>
      <c r="L761" s="102"/>
      <c r="M761" s="102"/>
      <c r="N761" s="102"/>
      <c r="O761" s="102"/>
      <c r="P761" s="102"/>
      <c r="Q761" s="102"/>
      <c r="R761" s="102"/>
      <c r="S761" s="102"/>
      <c r="T761" s="102"/>
      <c r="U761" s="102"/>
      <c r="V761" s="102"/>
      <c r="W761" s="102"/>
      <c r="X761" s="102"/>
      <c r="Y761" s="102"/>
      <c r="Z761" s="102"/>
      <c r="AA761" s="102"/>
      <c r="AB761" s="102"/>
      <c r="AC761" s="102"/>
      <c r="AD761" s="102"/>
      <c r="AE761" s="102"/>
      <c r="AF761" s="102"/>
      <c r="AG761" s="102"/>
      <c r="AH761" s="102"/>
      <c r="AI761" s="102"/>
      <c r="AJ761" s="102"/>
      <c r="AK761" s="102"/>
      <c r="AL761" s="102"/>
      <c r="AM761" s="102"/>
      <c r="AN761" s="102"/>
      <c r="AO761" s="102"/>
      <c r="AP761" s="102"/>
      <c r="AQ761" s="102"/>
      <c r="AR761" s="102"/>
      <c r="AS761" s="102"/>
      <c r="AT761" s="102"/>
      <c r="AU761" s="102"/>
      <c r="AV761" s="102"/>
    </row>
    <row r="762" ht="12.75" customHeight="1">
      <c r="C762" s="400"/>
      <c r="D762" s="102"/>
      <c r="I762" s="102"/>
      <c r="J762" s="102"/>
      <c r="K762" s="102"/>
      <c r="L762" s="102"/>
      <c r="M762" s="102"/>
      <c r="N762" s="102"/>
      <c r="O762" s="102"/>
      <c r="P762" s="102"/>
      <c r="Q762" s="102"/>
      <c r="R762" s="102"/>
      <c r="S762" s="102"/>
      <c r="T762" s="102"/>
      <c r="U762" s="102"/>
      <c r="V762" s="102"/>
      <c r="W762" s="102"/>
      <c r="X762" s="102"/>
      <c r="Y762" s="102"/>
      <c r="Z762" s="102"/>
      <c r="AA762" s="102"/>
      <c r="AB762" s="102"/>
      <c r="AC762" s="102"/>
      <c r="AD762" s="102"/>
      <c r="AE762" s="102"/>
      <c r="AF762" s="102"/>
      <c r="AG762" s="102"/>
      <c r="AH762" s="102"/>
      <c r="AI762" s="102"/>
      <c r="AJ762" s="102"/>
      <c r="AK762" s="102"/>
      <c r="AL762" s="102"/>
      <c r="AM762" s="102"/>
      <c r="AN762" s="102"/>
      <c r="AO762" s="102"/>
      <c r="AP762" s="102"/>
      <c r="AQ762" s="102"/>
      <c r="AR762" s="102"/>
      <c r="AS762" s="102"/>
      <c r="AT762" s="102"/>
      <c r="AU762" s="102"/>
      <c r="AV762" s="102"/>
    </row>
    <row r="763" ht="12.75" customHeight="1">
      <c r="C763" s="400"/>
      <c r="D763" s="102"/>
      <c r="I763" s="102"/>
      <c r="J763" s="102"/>
      <c r="K763" s="102"/>
      <c r="L763" s="102"/>
      <c r="M763" s="102"/>
      <c r="N763" s="102"/>
      <c r="O763" s="102"/>
      <c r="P763" s="102"/>
      <c r="Q763" s="102"/>
      <c r="R763" s="102"/>
      <c r="S763" s="102"/>
      <c r="T763" s="102"/>
      <c r="U763" s="102"/>
      <c r="V763" s="102"/>
      <c r="W763" s="102"/>
      <c r="X763" s="102"/>
      <c r="Y763" s="102"/>
      <c r="Z763" s="102"/>
      <c r="AA763" s="102"/>
      <c r="AB763" s="102"/>
      <c r="AC763" s="102"/>
      <c r="AD763" s="102"/>
      <c r="AE763" s="102"/>
      <c r="AF763" s="102"/>
      <c r="AG763" s="102"/>
      <c r="AH763" s="102"/>
      <c r="AI763" s="102"/>
      <c r="AJ763" s="102"/>
      <c r="AK763" s="102"/>
      <c r="AL763" s="102"/>
      <c r="AM763" s="102"/>
      <c r="AN763" s="102"/>
      <c r="AO763" s="102"/>
      <c r="AP763" s="102"/>
      <c r="AQ763" s="102"/>
      <c r="AR763" s="102"/>
      <c r="AS763" s="102"/>
      <c r="AT763" s="102"/>
      <c r="AU763" s="102"/>
      <c r="AV763" s="102"/>
    </row>
    <row r="764" ht="12.75" customHeight="1">
      <c r="C764" s="400"/>
      <c r="D764" s="102"/>
      <c r="I764" s="102"/>
      <c r="J764" s="102"/>
      <c r="K764" s="102"/>
      <c r="L764" s="102"/>
      <c r="M764" s="102"/>
      <c r="N764" s="102"/>
      <c r="O764" s="102"/>
      <c r="P764" s="102"/>
      <c r="Q764" s="102"/>
      <c r="R764" s="102"/>
      <c r="S764" s="102"/>
      <c r="T764" s="102"/>
      <c r="U764" s="102"/>
      <c r="V764" s="102"/>
      <c r="W764" s="102"/>
      <c r="X764" s="102"/>
      <c r="Y764" s="102"/>
      <c r="Z764" s="102"/>
      <c r="AA764" s="102"/>
      <c r="AB764" s="102"/>
      <c r="AC764" s="102"/>
      <c r="AD764" s="102"/>
      <c r="AE764" s="102"/>
      <c r="AF764" s="102"/>
      <c r="AG764" s="102"/>
      <c r="AH764" s="102"/>
      <c r="AI764" s="102"/>
      <c r="AJ764" s="102"/>
      <c r="AK764" s="102"/>
      <c r="AL764" s="102"/>
      <c r="AM764" s="102"/>
      <c r="AN764" s="102"/>
      <c r="AO764" s="102"/>
      <c r="AP764" s="102"/>
      <c r="AQ764" s="102"/>
      <c r="AR764" s="102"/>
      <c r="AS764" s="102"/>
      <c r="AT764" s="102"/>
      <c r="AU764" s="102"/>
      <c r="AV764" s="102"/>
    </row>
    <row r="765" ht="12.75" customHeight="1">
      <c r="C765" s="400"/>
      <c r="D765" s="102"/>
      <c r="I765" s="102"/>
      <c r="J765" s="102"/>
      <c r="K765" s="102"/>
      <c r="L765" s="102"/>
      <c r="M765" s="102"/>
      <c r="N765" s="102"/>
      <c r="O765" s="102"/>
      <c r="P765" s="102"/>
      <c r="Q765" s="102"/>
      <c r="R765" s="102"/>
      <c r="S765" s="102"/>
      <c r="T765" s="102"/>
      <c r="U765" s="102"/>
      <c r="V765" s="102"/>
      <c r="W765" s="102"/>
      <c r="X765" s="102"/>
      <c r="Y765" s="102"/>
      <c r="Z765" s="102"/>
      <c r="AA765" s="102"/>
      <c r="AB765" s="102"/>
      <c r="AC765" s="102"/>
      <c r="AD765" s="102"/>
      <c r="AE765" s="102"/>
      <c r="AF765" s="102"/>
      <c r="AG765" s="102"/>
      <c r="AH765" s="102"/>
      <c r="AI765" s="102"/>
      <c r="AJ765" s="102"/>
      <c r="AK765" s="102"/>
      <c r="AL765" s="102"/>
      <c r="AM765" s="102"/>
      <c r="AN765" s="102"/>
      <c r="AO765" s="102"/>
      <c r="AP765" s="102"/>
      <c r="AQ765" s="102"/>
      <c r="AR765" s="102"/>
      <c r="AS765" s="102"/>
      <c r="AT765" s="102"/>
      <c r="AU765" s="102"/>
      <c r="AV765" s="102"/>
    </row>
    <row r="766" ht="12.75" customHeight="1">
      <c r="C766" s="400"/>
      <c r="D766" s="102"/>
      <c r="I766" s="102"/>
      <c r="J766" s="102"/>
      <c r="K766" s="102"/>
      <c r="L766" s="102"/>
      <c r="M766" s="102"/>
      <c r="N766" s="102"/>
      <c r="O766" s="102"/>
      <c r="P766" s="102"/>
      <c r="Q766" s="102"/>
      <c r="R766" s="102"/>
      <c r="S766" s="102"/>
      <c r="T766" s="102"/>
      <c r="U766" s="102"/>
      <c r="V766" s="102"/>
      <c r="W766" s="102"/>
      <c r="X766" s="102"/>
      <c r="Y766" s="102"/>
      <c r="Z766" s="102"/>
      <c r="AA766" s="102"/>
      <c r="AB766" s="102"/>
      <c r="AC766" s="102"/>
      <c r="AD766" s="102"/>
      <c r="AE766" s="102"/>
      <c r="AF766" s="102"/>
      <c r="AG766" s="102"/>
      <c r="AH766" s="102"/>
      <c r="AI766" s="102"/>
      <c r="AJ766" s="102"/>
      <c r="AK766" s="102"/>
      <c r="AL766" s="102"/>
      <c r="AM766" s="102"/>
      <c r="AN766" s="102"/>
      <c r="AO766" s="102"/>
      <c r="AP766" s="102"/>
      <c r="AQ766" s="102"/>
      <c r="AR766" s="102"/>
      <c r="AS766" s="102"/>
      <c r="AT766" s="102"/>
      <c r="AU766" s="102"/>
      <c r="AV766" s="102"/>
    </row>
    <row r="767" ht="12.75" customHeight="1">
      <c r="C767" s="400"/>
      <c r="D767" s="102"/>
      <c r="I767" s="102"/>
      <c r="J767" s="102"/>
      <c r="K767" s="102"/>
      <c r="L767" s="102"/>
      <c r="M767" s="102"/>
      <c r="N767" s="102"/>
      <c r="O767" s="102"/>
      <c r="P767" s="102"/>
      <c r="Q767" s="102"/>
      <c r="R767" s="102"/>
      <c r="S767" s="102"/>
      <c r="T767" s="102"/>
      <c r="U767" s="102"/>
      <c r="V767" s="102"/>
      <c r="W767" s="102"/>
      <c r="X767" s="102"/>
      <c r="Y767" s="102"/>
      <c r="Z767" s="102"/>
      <c r="AA767" s="102"/>
      <c r="AB767" s="102"/>
      <c r="AC767" s="102"/>
      <c r="AD767" s="102"/>
      <c r="AE767" s="102"/>
      <c r="AF767" s="102"/>
      <c r="AG767" s="102"/>
      <c r="AH767" s="102"/>
      <c r="AI767" s="102"/>
      <c r="AJ767" s="102"/>
      <c r="AK767" s="102"/>
      <c r="AL767" s="102"/>
      <c r="AM767" s="102"/>
      <c r="AN767" s="102"/>
      <c r="AO767" s="102"/>
      <c r="AP767" s="102"/>
      <c r="AQ767" s="102"/>
      <c r="AR767" s="102"/>
      <c r="AS767" s="102"/>
      <c r="AT767" s="102"/>
      <c r="AU767" s="102"/>
      <c r="AV767" s="102"/>
    </row>
    <row r="768" ht="12.75" customHeight="1">
      <c r="C768" s="400"/>
      <c r="D768" s="102"/>
      <c r="I768" s="102"/>
      <c r="J768" s="102"/>
      <c r="K768" s="102"/>
      <c r="L768" s="102"/>
      <c r="M768" s="102"/>
      <c r="N768" s="102"/>
      <c r="O768" s="102"/>
      <c r="P768" s="102"/>
      <c r="Q768" s="102"/>
      <c r="R768" s="102"/>
      <c r="S768" s="102"/>
      <c r="T768" s="102"/>
      <c r="U768" s="102"/>
      <c r="V768" s="102"/>
      <c r="W768" s="102"/>
      <c r="X768" s="102"/>
      <c r="Y768" s="102"/>
      <c r="Z768" s="102"/>
      <c r="AA768" s="102"/>
      <c r="AB768" s="102"/>
      <c r="AC768" s="102"/>
      <c r="AD768" s="102"/>
      <c r="AE768" s="102"/>
      <c r="AF768" s="102"/>
      <c r="AG768" s="102"/>
      <c r="AH768" s="102"/>
      <c r="AI768" s="102"/>
      <c r="AJ768" s="102"/>
      <c r="AK768" s="102"/>
      <c r="AL768" s="102"/>
      <c r="AM768" s="102"/>
      <c r="AN768" s="102"/>
      <c r="AO768" s="102"/>
      <c r="AP768" s="102"/>
      <c r="AQ768" s="102"/>
      <c r="AR768" s="102"/>
      <c r="AS768" s="102"/>
      <c r="AT768" s="102"/>
      <c r="AU768" s="102"/>
      <c r="AV768" s="102"/>
    </row>
    <row r="769" ht="12.75" customHeight="1">
      <c r="C769" s="400"/>
      <c r="D769" s="102"/>
      <c r="I769" s="102"/>
      <c r="J769" s="102"/>
      <c r="K769" s="102"/>
      <c r="L769" s="102"/>
      <c r="M769" s="102"/>
      <c r="N769" s="102"/>
      <c r="O769" s="102"/>
      <c r="P769" s="102"/>
      <c r="Q769" s="102"/>
      <c r="R769" s="102"/>
      <c r="S769" s="102"/>
      <c r="T769" s="102"/>
      <c r="U769" s="102"/>
      <c r="V769" s="102"/>
      <c r="W769" s="102"/>
      <c r="X769" s="102"/>
      <c r="Y769" s="102"/>
      <c r="Z769" s="102"/>
      <c r="AA769" s="102"/>
      <c r="AB769" s="102"/>
      <c r="AC769" s="102"/>
      <c r="AD769" s="102"/>
      <c r="AE769" s="102"/>
      <c r="AF769" s="102"/>
      <c r="AG769" s="102"/>
      <c r="AH769" s="102"/>
      <c r="AI769" s="102"/>
      <c r="AJ769" s="102"/>
      <c r="AK769" s="102"/>
      <c r="AL769" s="102"/>
      <c r="AM769" s="102"/>
      <c r="AN769" s="102"/>
      <c r="AO769" s="102"/>
      <c r="AP769" s="102"/>
      <c r="AQ769" s="102"/>
      <c r="AR769" s="102"/>
      <c r="AS769" s="102"/>
      <c r="AT769" s="102"/>
      <c r="AU769" s="102"/>
      <c r="AV769" s="102"/>
    </row>
    <row r="770" ht="12.75" customHeight="1">
      <c r="C770" s="400"/>
      <c r="D770" s="102"/>
      <c r="I770" s="102"/>
      <c r="J770" s="102"/>
      <c r="K770" s="102"/>
      <c r="L770" s="102"/>
      <c r="M770" s="102"/>
      <c r="N770" s="102"/>
      <c r="O770" s="102"/>
      <c r="P770" s="102"/>
      <c r="Q770" s="102"/>
      <c r="R770" s="102"/>
      <c r="S770" s="102"/>
      <c r="T770" s="102"/>
      <c r="U770" s="102"/>
      <c r="V770" s="102"/>
      <c r="W770" s="102"/>
      <c r="X770" s="102"/>
      <c r="Y770" s="102"/>
      <c r="Z770" s="102"/>
      <c r="AA770" s="102"/>
      <c r="AB770" s="102"/>
      <c r="AC770" s="102"/>
      <c r="AD770" s="102"/>
      <c r="AE770" s="102"/>
      <c r="AF770" s="102"/>
      <c r="AG770" s="102"/>
      <c r="AH770" s="102"/>
      <c r="AI770" s="102"/>
      <c r="AJ770" s="102"/>
      <c r="AK770" s="102"/>
      <c r="AL770" s="102"/>
      <c r="AM770" s="102"/>
      <c r="AN770" s="102"/>
      <c r="AO770" s="102"/>
      <c r="AP770" s="102"/>
      <c r="AQ770" s="102"/>
      <c r="AR770" s="102"/>
      <c r="AS770" s="102"/>
      <c r="AT770" s="102"/>
      <c r="AU770" s="102"/>
      <c r="AV770" s="102"/>
    </row>
    <row r="771" ht="12.75" customHeight="1">
      <c r="C771" s="400"/>
      <c r="D771" s="102"/>
      <c r="I771" s="102"/>
      <c r="J771" s="102"/>
      <c r="K771" s="102"/>
      <c r="L771" s="102"/>
      <c r="M771" s="102"/>
      <c r="N771" s="102"/>
      <c r="O771" s="102"/>
      <c r="P771" s="102"/>
      <c r="Q771" s="102"/>
      <c r="R771" s="102"/>
      <c r="S771" s="102"/>
      <c r="T771" s="102"/>
      <c r="U771" s="102"/>
      <c r="V771" s="102"/>
      <c r="W771" s="102"/>
      <c r="X771" s="102"/>
      <c r="Y771" s="102"/>
      <c r="Z771" s="102"/>
      <c r="AA771" s="102"/>
      <c r="AB771" s="102"/>
      <c r="AC771" s="102"/>
      <c r="AD771" s="102"/>
      <c r="AE771" s="102"/>
      <c r="AF771" s="102"/>
      <c r="AG771" s="102"/>
      <c r="AH771" s="102"/>
      <c r="AI771" s="102"/>
      <c r="AJ771" s="102"/>
      <c r="AK771" s="102"/>
      <c r="AL771" s="102"/>
      <c r="AM771" s="102"/>
      <c r="AN771" s="102"/>
      <c r="AO771" s="102"/>
      <c r="AP771" s="102"/>
      <c r="AQ771" s="102"/>
      <c r="AR771" s="102"/>
      <c r="AS771" s="102"/>
      <c r="AT771" s="102"/>
      <c r="AU771" s="102"/>
      <c r="AV771" s="102"/>
    </row>
    <row r="772" ht="12.75" customHeight="1">
      <c r="C772" s="400"/>
      <c r="D772" s="102"/>
      <c r="I772" s="102"/>
      <c r="J772" s="102"/>
      <c r="K772" s="102"/>
      <c r="L772" s="102"/>
      <c r="M772" s="102"/>
      <c r="N772" s="102"/>
      <c r="O772" s="102"/>
      <c r="P772" s="102"/>
      <c r="Q772" s="102"/>
      <c r="R772" s="102"/>
      <c r="S772" s="102"/>
      <c r="T772" s="102"/>
      <c r="U772" s="102"/>
      <c r="V772" s="102"/>
      <c r="W772" s="102"/>
      <c r="X772" s="102"/>
      <c r="Y772" s="102"/>
      <c r="Z772" s="102"/>
      <c r="AA772" s="102"/>
      <c r="AB772" s="102"/>
      <c r="AC772" s="102"/>
      <c r="AD772" s="102"/>
      <c r="AE772" s="102"/>
      <c r="AF772" s="102"/>
      <c r="AG772" s="102"/>
      <c r="AH772" s="102"/>
      <c r="AI772" s="102"/>
      <c r="AJ772" s="102"/>
      <c r="AK772" s="102"/>
      <c r="AL772" s="102"/>
      <c r="AM772" s="102"/>
      <c r="AN772" s="102"/>
      <c r="AO772" s="102"/>
      <c r="AP772" s="102"/>
      <c r="AQ772" s="102"/>
      <c r="AR772" s="102"/>
      <c r="AS772" s="102"/>
      <c r="AT772" s="102"/>
      <c r="AU772" s="102"/>
      <c r="AV772" s="102"/>
    </row>
    <row r="773" ht="12.75" customHeight="1">
      <c r="C773" s="400"/>
      <c r="D773" s="102"/>
      <c r="I773" s="102"/>
      <c r="J773" s="102"/>
      <c r="K773" s="102"/>
      <c r="L773" s="102"/>
      <c r="M773" s="102"/>
      <c r="N773" s="102"/>
      <c r="O773" s="102"/>
      <c r="P773" s="102"/>
      <c r="Q773" s="102"/>
      <c r="R773" s="102"/>
      <c r="S773" s="102"/>
      <c r="T773" s="102"/>
      <c r="U773" s="102"/>
      <c r="V773" s="102"/>
      <c r="W773" s="102"/>
      <c r="X773" s="102"/>
      <c r="Y773" s="102"/>
      <c r="Z773" s="102"/>
      <c r="AA773" s="102"/>
      <c r="AB773" s="102"/>
      <c r="AC773" s="102"/>
      <c r="AD773" s="102"/>
      <c r="AE773" s="102"/>
      <c r="AF773" s="102"/>
      <c r="AG773" s="102"/>
      <c r="AH773" s="102"/>
      <c r="AI773" s="102"/>
      <c r="AJ773" s="102"/>
      <c r="AK773" s="102"/>
      <c r="AL773" s="102"/>
      <c r="AM773" s="102"/>
      <c r="AN773" s="102"/>
      <c r="AO773" s="102"/>
      <c r="AP773" s="102"/>
      <c r="AQ773" s="102"/>
      <c r="AR773" s="102"/>
      <c r="AS773" s="102"/>
      <c r="AT773" s="102"/>
      <c r="AU773" s="102"/>
      <c r="AV773" s="102"/>
    </row>
    <row r="774" ht="12.75" customHeight="1">
      <c r="C774" s="400"/>
      <c r="D774" s="102"/>
      <c r="I774" s="102"/>
      <c r="J774" s="102"/>
      <c r="K774" s="102"/>
      <c r="L774" s="102"/>
      <c r="M774" s="102"/>
      <c r="N774" s="102"/>
      <c r="O774" s="102"/>
      <c r="P774" s="102"/>
      <c r="Q774" s="102"/>
      <c r="R774" s="102"/>
      <c r="S774" s="102"/>
      <c r="T774" s="102"/>
      <c r="U774" s="102"/>
      <c r="V774" s="102"/>
      <c r="W774" s="102"/>
      <c r="X774" s="102"/>
      <c r="Y774" s="102"/>
      <c r="Z774" s="102"/>
      <c r="AA774" s="102"/>
      <c r="AB774" s="102"/>
      <c r="AC774" s="102"/>
      <c r="AD774" s="102"/>
      <c r="AE774" s="102"/>
      <c r="AF774" s="102"/>
      <c r="AG774" s="102"/>
      <c r="AH774" s="102"/>
      <c r="AI774" s="102"/>
      <c r="AJ774" s="102"/>
      <c r="AK774" s="102"/>
      <c r="AL774" s="102"/>
      <c r="AM774" s="102"/>
      <c r="AN774" s="102"/>
      <c r="AO774" s="102"/>
      <c r="AP774" s="102"/>
      <c r="AQ774" s="102"/>
      <c r="AR774" s="102"/>
      <c r="AS774" s="102"/>
      <c r="AT774" s="102"/>
      <c r="AU774" s="102"/>
      <c r="AV774" s="102"/>
    </row>
    <row r="775" ht="12.75" customHeight="1">
      <c r="C775" s="400"/>
      <c r="D775" s="102"/>
      <c r="I775" s="102"/>
      <c r="J775" s="102"/>
      <c r="K775" s="102"/>
      <c r="L775" s="102"/>
      <c r="M775" s="102"/>
      <c r="N775" s="102"/>
      <c r="O775" s="102"/>
      <c r="P775" s="102"/>
      <c r="Q775" s="102"/>
      <c r="R775" s="102"/>
      <c r="S775" s="102"/>
      <c r="T775" s="102"/>
      <c r="U775" s="102"/>
      <c r="V775" s="102"/>
      <c r="W775" s="102"/>
      <c r="X775" s="102"/>
      <c r="Y775" s="102"/>
      <c r="Z775" s="102"/>
      <c r="AA775" s="102"/>
      <c r="AB775" s="102"/>
      <c r="AC775" s="102"/>
      <c r="AD775" s="102"/>
      <c r="AE775" s="102"/>
      <c r="AF775" s="102"/>
      <c r="AG775" s="102"/>
      <c r="AH775" s="102"/>
      <c r="AI775" s="102"/>
      <c r="AJ775" s="102"/>
      <c r="AK775" s="102"/>
      <c r="AL775" s="102"/>
      <c r="AM775" s="102"/>
      <c r="AN775" s="102"/>
      <c r="AO775" s="102"/>
      <c r="AP775" s="102"/>
      <c r="AQ775" s="102"/>
      <c r="AR775" s="102"/>
      <c r="AS775" s="102"/>
      <c r="AT775" s="102"/>
      <c r="AU775" s="102"/>
      <c r="AV775" s="102"/>
    </row>
    <row r="776" ht="12.75" customHeight="1">
      <c r="C776" s="400"/>
      <c r="D776" s="102"/>
      <c r="I776" s="102"/>
      <c r="J776" s="102"/>
      <c r="K776" s="102"/>
      <c r="L776" s="102"/>
      <c r="M776" s="102"/>
      <c r="N776" s="102"/>
      <c r="O776" s="102"/>
      <c r="P776" s="102"/>
      <c r="Q776" s="102"/>
      <c r="R776" s="102"/>
      <c r="S776" s="102"/>
      <c r="T776" s="102"/>
      <c r="U776" s="102"/>
      <c r="V776" s="102"/>
      <c r="W776" s="102"/>
      <c r="X776" s="102"/>
      <c r="Y776" s="102"/>
      <c r="Z776" s="102"/>
      <c r="AA776" s="102"/>
      <c r="AB776" s="102"/>
      <c r="AC776" s="102"/>
      <c r="AD776" s="102"/>
      <c r="AE776" s="102"/>
      <c r="AF776" s="102"/>
      <c r="AG776" s="102"/>
      <c r="AH776" s="102"/>
      <c r="AI776" s="102"/>
      <c r="AJ776" s="102"/>
      <c r="AK776" s="102"/>
      <c r="AL776" s="102"/>
      <c r="AM776" s="102"/>
      <c r="AN776" s="102"/>
      <c r="AO776" s="102"/>
      <c r="AP776" s="102"/>
      <c r="AQ776" s="102"/>
      <c r="AR776" s="102"/>
      <c r="AS776" s="102"/>
      <c r="AT776" s="102"/>
      <c r="AU776" s="102"/>
      <c r="AV776" s="102"/>
    </row>
    <row r="777" ht="12.75" customHeight="1">
      <c r="C777" s="400"/>
      <c r="D777" s="102"/>
      <c r="I777" s="102"/>
      <c r="J777" s="102"/>
      <c r="K777" s="102"/>
      <c r="L777" s="102"/>
      <c r="M777" s="102"/>
      <c r="N777" s="102"/>
      <c r="O777" s="102"/>
      <c r="P777" s="102"/>
      <c r="Q777" s="102"/>
      <c r="R777" s="102"/>
      <c r="S777" s="102"/>
      <c r="T777" s="102"/>
      <c r="U777" s="102"/>
      <c r="V777" s="102"/>
      <c r="W777" s="102"/>
      <c r="X777" s="102"/>
      <c r="Y777" s="102"/>
      <c r="Z777" s="102"/>
      <c r="AA777" s="102"/>
      <c r="AB777" s="102"/>
      <c r="AC777" s="102"/>
      <c r="AD777" s="102"/>
      <c r="AE777" s="102"/>
      <c r="AF777" s="102"/>
      <c r="AG777" s="102"/>
      <c r="AH777" s="102"/>
      <c r="AI777" s="102"/>
      <c r="AJ777" s="102"/>
      <c r="AK777" s="102"/>
      <c r="AL777" s="102"/>
      <c r="AM777" s="102"/>
      <c r="AN777" s="102"/>
      <c r="AO777" s="102"/>
      <c r="AP777" s="102"/>
      <c r="AQ777" s="102"/>
      <c r="AR777" s="102"/>
      <c r="AS777" s="102"/>
      <c r="AT777" s="102"/>
      <c r="AU777" s="102"/>
      <c r="AV777" s="102"/>
    </row>
    <row r="778" ht="12.75" customHeight="1">
      <c r="C778" s="400"/>
      <c r="D778" s="102"/>
      <c r="I778" s="102"/>
      <c r="J778" s="102"/>
      <c r="K778" s="102"/>
      <c r="L778" s="102"/>
      <c r="M778" s="102"/>
      <c r="N778" s="102"/>
      <c r="O778" s="102"/>
      <c r="P778" s="102"/>
      <c r="Q778" s="102"/>
      <c r="R778" s="102"/>
      <c r="S778" s="102"/>
      <c r="T778" s="102"/>
      <c r="U778" s="102"/>
      <c r="V778" s="102"/>
      <c r="W778" s="102"/>
      <c r="X778" s="102"/>
      <c r="Y778" s="102"/>
      <c r="Z778" s="102"/>
      <c r="AA778" s="102"/>
      <c r="AB778" s="102"/>
      <c r="AC778" s="102"/>
      <c r="AD778" s="102"/>
      <c r="AE778" s="102"/>
      <c r="AF778" s="102"/>
      <c r="AG778" s="102"/>
      <c r="AH778" s="102"/>
      <c r="AI778" s="102"/>
      <c r="AJ778" s="102"/>
      <c r="AK778" s="102"/>
      <c r="AL778" s="102"/>
      <c r="AM778" s="102"/>
      <c r="AN778" s="102"/>
      <c r="AO778" s="102"/>
      <c r="AP778" s="102"/>
      <c r="AQ778" s="102"/>
      <c r="AR778" s="102"/>
      <c r="AS778" s="102"/>
      <c r="AT778" s="102"/>
      <c r="AU778" s="102"/>
      <c r="AV778" s="102"/>
    </row>
    <row r="779" ht="12.75" customHeight="1">
      <c r="C779" s="400"/>
      <c r="D779" s="102"/>
      <c r="I779" s="102"/>
      <c r="J779" s="102"/>
      <c r="K779" s="102"/>
      <c r="L779" s="102"/>
      <c r="M779" s="102"/>
      <c r="N779" s="102"/>
      <c r="O779" s="102"/>
      <c r="P779" s="102"/>
      <c r="Q779" s="102"/>
      <c r="R779" s="102"/>
      <c r="S779" s="102"/>
      <c r="T779" s="102"/>
      <c r="U779" s="102"/>
      <c r="V779" s="102"/>
      <c r="W779" s="102"/>
      <c r="X779" s="102"/>
      <c r="Y779" s="102"/>
      <c r="Z779" s="102"/>
      <c r="AA779" s="102"/>
      <c r="AB779" s="102"/>
      <c r="AC779" s="102"/>
      <c r="AD779" s="102"/>
      <c r="AE779" s="102"/>
      <c r="AF779" s="102"/>
      <c r="AG779" s="102"/>
      <c r="AH779" s="102"/>
      <c r="AI779" s="102"/>
      <c r="AJ779" s="102"/>
      <c r="AK779" s="102"/>
      <c r="AL779" s="102"/>
      <c r="AM779" s="102"/>
      <c r="AN779" s="102"/>
      <c r="AO779" s="102"/>
      <c r="AP779" s="102"/>
      <c r="AQ779" s="102"/>
      <c r="AR779" s="102"/>
      <c r="AS779" s="102"/>
      <c r="AT779" s="102"/>
      <c r="AU779" s="102"/>
      <c r="AV779" s="102"/>
    </row>
    <row r="780" ht="12.75" customHeight="1">
      <c r="C780" s="400"/>
      <c r="D780" s="102"/>
      <c r="I780" s="102"/>
      <c r="J780" s="102"/>
      <c r="K780" s="102"/>
      <c r="L780" s="102"/>
      <c r="M780" s="102"/>
      <c r="N780" s="102"/>
      <c r="O780" s="102"/>
      <c r="P780" s="102"/>
      <c r="Q780" s="102"/>
      <c r="R780" s="102"/>
      <c r="S780" s="102"/>
      <c r="T780" s="102"/>
      <c r="U780" s="102"/>
      <c r="V780" s="102"/>
      <c r="W780" s="102"/>
      <c r="X780" s="102"/>
      <c r="Y780" s="102"/>
      <c r="Z780" s="102"/>
      <c r="AA780" s="102"/>
      <c r="AB780" s="102"/>
      <c r="AC780" s="102"/>
      <c r="AD780" s="102"/>
      <c r="AE780" s="102"/>
      <c r="AF780" s="102"/>
      <c r="AG780" s="102"/>
      <c r="AH780" s="102"/>
      <c r="AI780" s="102"/>
      <c r="AJ780" s="102"/>
      <c r="AK780" s="102"/>
      <c r="AL780" s="102"/>
      <c r="AM780" s="102"/>
      <c r="AN780" s="102"/>
      <c r="AO780" s="102"/>
      <c r="AP780" s="102"/>
      <c r="AQ780" s="102"/>
      <c r="AR780" s="102"/>
      <c r="AS780" s="102"/>
      <c r="AT780" s="102"/>
      <c r="AU780" s="102"/>
      <c r="AV780" s="102"/>
    </row>
    <row r="781" ht="12.75" customHeight="1">
      <c r="C781" s="400"/>
      <c r="D781" s="102"/>
      <c r="I781" s="102"/>
      <c r="J781" s="102"/>
      <c r="K781" s="102"/>
      <c r="L781" s="102"/>
      <c r="M781" s="102"/>
      <c r="N781" s="102"/>
      <c r="O781" s="102"/>
      <c r="P781" s="102"/>
      <c r="Q781" s="102"/>
      <c r="R781" s="102"/>
      <c r="S781" s="102"/>
      <c r="T781" s="102"/>
      <c r="U781" s="102"/>
      <c r="V781" s="102"/>
      <c r="W781" s="102"/>
      <c r="X781" s="102"/>
      <c r="Y781" s="102"/>
      <c r="Z781" s="102"/>
      <c r="AA781" s="102"/>
      <c r="AB781" s="102"/>
      <c r="AC781" s="102"/>
      <c r="AD781" s="102"/>
      <c r="AE781" s="102"/>
      <c r="AF781" s="102"/>
      <c r="AG781" s="102"/>
      <c r="AH781" s="102"/>
      <c r="AI781" s="102"/>
      <c r="AJ781" s="102"/>
      <c r="AK781" s="102"/>
      <c r="AL781" s="102"/>
      <c r="AM781" s="102"/>
      <c r="AN781" s="102"/>
      <c r="AO781" s="102"/>
      <c r="AP781" s="102"/>
      <c r="AQ781" s="102"/>
      <c r="AR781" s="102"/>
      <c r="AS781" s="102"/>
      <c r="AT781" s="102"/>
      <c r="AU781" s="102"/>
      <c r="AV781" s="102"/>
    </row>
    <row r="782" ht="12.75" customHeight="1">
      <c r="C782" s="400"/>
      <c r="D782" s="102"/>
      <c r="I782" s="102"/>
      <c r="J782" s="102"/>
      <c r="K782" s="102"/>
      <c r="L782" s="102"/>
      <c r="M782" s="102"/>
      <c r="N782" s="102"/>
      <c r="O782" s="102"/>
      <c r="P782" s="102"/>
      <c r="Q782" s="102"/>
      <c r="R782" s="102"/>
      <c r="S782" s="102"/>
      <c r="T782" s="102"/>
      <c r="U782" s="102"/>
      <c r="V782" s="102"/>
      <c r="W782" s="102"/>
      <c r="X782" s="102"/>
      <c r="Y782" s="102"/>
      <c r="Z782" s="102"/>
      <c r="AA782" s="102"/>
      <c r="AB782" s="102"/>
      <c r="AC782" s="102"/>
      <c r="AD782" s="102"/>
      <c r="AE782" s="102"/>
      <c r="AF782" s="102"/>
      <c r="AG782" s="102"/>
      <c r="AH782" s="102"/>
      <c r="AI782" s="102"/>
      <c r="AJ782" s="102"/>
      <c r="AK782" s="102"/>
      <c r="AL782" s="102"/>
      <c r="AM782" s="102"/>
      <c r="AN782" s="102"/>
      <c r="AO782" s="102"/>
      <c r="AP782" s="102"/>
      <c r="AQ782" s="102"/>
      <c r="AR782" s="102"/>
      <c r="AS782" s="102"/>
      <c r="AT782" s="102"/>
      <c r="AU782" s="102"/>
      <c r="AV782" s="102"/>
    </row>
    <row r="783" ht="12.75" customHeight="1">
      <c r="C783" s="400"/>
      <c r="D783" s="102"/>
      <c r="I783" s="102"/>
      <c r="J783" s="102"/>
      <c r="K783" s="102"/>
      <c r="L783" s="102"/>
      <c r="M783" s="102"/>
      <c r="N783" s="102"/>
      <c r="O783" s="102"/>
      <c r="P783" s="102"/>
      <c r="Q783" s="102"/>
      <c r="R783" s="102"/>
      <c r="S783" s="102"/>
      <c r="T783" s="102"/>
      <c r="U783" s="102"/>
      <c r="V783" s="102"/>
      <c r="W783" s="102"/>
      <c r="X783" s="102"/>
      <c r="Y783" s="102"/>
      <c r="Z783" s="102"/>
      <c r="AA783" s="102"/>
      <c r="AB783" s="102"/>
      <c r="AC783" s="102"/>
      <c r="AD783" s="102"/>
      <c r="AE783" s="102"/>
      <c r="AF783" s="102"/>
      <c r="AG783" s="102"/>
      <c r="AH783" s="102"/>
      <c r="AI783" s="102"/>
      <c r="AJ783" s="102"/>
      <c r="AK783" s="102"/>
      <c r="AL783" s="102"/>
      <c r="AM783" s="102"/>
      <c r="AN783" s="102"/>
      <c r="AO783" s="102"/>
      <c r="AP783" s="102"/>
      <c r="AQ783" s="102"/>
      <c r="AR783" s="102"/>
      <c r="AS783" s="102"/>
      <c r="AT783" s="102"/>
      <c r="AU783" s="102"/>
      <c r="AV783" s="102"/>
    </row>
    <row r="784" ht="12.75" customHeight="1">
      <c r="C784" s="400"/>
      <c r="D784" s="102"/>
      <c r="I784" s="102"/>
      <c r="J784" s="102"/>
      <c r="K784" s="102"/>
      <c r="L784" s="102"/>
      <c r="M784" s="102"/>
      <c r="N784" s="102"/>
      <c r="O784" s="102"/>
      <c r="P784" s="102"/>
      <c r="Q784" s="102"/>
      <c r="R784" s="102"/>
      <c r="S784" s="102"/>
      <c r="T784" s="102"/>
      <c r="U784" s="102"/>
      <c r="V784" s="102"/>
      <c r="W784" s="102"/>
      <c r="X784" s="102"/>
      <c r="Y784" s="102"/>
      <c r="Z784" s="102"/>
      <c r="AA784" s="102"/>
      <c r="AB784" s="102"/>
      <c r="AC784" s="102"/>
      <c r="AD784" s="102"/>
      <c r="AE784" s="102"/>
      <c r="AF784" s="102"/>
      <c r="AG784" s="102"/>
      <c r="AH784" s="102"/>
      <c r="AI784" s="102"/>
      <c r="AJ784" s="102"/>
      <c r="AK784" s="102"/>
      <c r="AL784" s="102"/>
      <c r="AM784" s="102"/>
      <c r="AN784" s="102"/>
      <c r="AO784" s="102"/>
      <c r="AP784" s="102"/>
      <c r="AQ784" s="102"/>
      <c r="AR784" s="102"/>
      <c r="AS784" s="102"/>
      <c r="AT784" s="102"/>
      <c r="AU784" s="102"/>
      <c r="AV784" s="102"/>
    </row>
    <row r="785" ht="12.75" customHeight="1">
      <c r="C785" s="400"/>
      <c r="D785" s="102"/>
      <c r="I785" s="102"/>
      <c r="J785" s="102"/>
      <c r="K785" s="102"/>
      <c r="L785" s="102"/>
      <c r="M785" s="102"/>
      <c r="N785" s="102"/>
      <c r="O785" s="102"/>
      <c r="P785" s="102"/>
      <c r="Q785" s="102"/>
      <c r="R785" s="102"/>
      <c r="S785" s="102"/>
      <c r="T785" s="102"/>
      <c r="U785" s="102"/>
      <c r="V785" s="102"/>
      <c r="W785" s="102"/>
      <c r="X785" s="102"/>
      <c r="Y785" s="102"/>
      <c r="Z785" s="102"/>
      <c r="AA785" s="102"/>
      <c r="AB785" s="102"/>
      <c r="AC785" s="102"/>
      <c r="AD785" s="102"/>
      <c r="AE785" s="102"/>
      <c r="AF785" s="102"/>
      <c r="AG785" s="102"/>
      <c r="AH785" s="102"/>
      <c r="AI785" s="102"/>
      <c r="AJ785" s="102"/>
      <c r="AK785" s="102"/>
      <c r="AL785" s="102"/>
      <c r="AM785" s="102"/>
      <c r="AN785" s="102"/>
      <c r="AO785" s="102"/>
      <c r="AP785" s="102"/>
      <c r="AQ785" s="102"/>
      <c r="AR785" s="102"/>
      <c r="AS785" s="102"/>
      <c r="AT785" s="102"/>
      <c r="AU785" s="102"/>
      <c r="AV785" s="102"/>
    </row>
    <row r="786" ht="12.75" customHeight="1">
      <c r="C786" s="400"/>
      <c r="D786" s="102"/>
      <c r="I786" s="102"/>
      <c r="J786" s="102"/>
      <c r="K786" s="102"/>
      <c r="L786" s="102"/>
      <c r="M786" s="102"/>
      <c r="N786" s="102"/>
      <c r="O786" s="102"/>
      <c r="P786" s="102"/>
      <c r="Q786" s="102"/>
      <c r="R786" s="102"/>
      <c r="S786" s="102"/>
      <c r="T786" s="102"/>
      <c r="U786" s="102"/>
      <c r="V786" s="102"/>
      <c r="W786" s="102"/>
      <c r="X786" s="102"/>
      <c r="Y786" s="102"/>
      <c r="Z786" s="102"/>
      <c r="AA786" s="102"/>
      <c r="AB786" s="102"/>
      <c r="AC786" s="102"/>
      <c r="AD786" s="102"/>
      <c r="AE786" s="102"/>
      <c r="AF786" s="102"/>
      <c r="AG786" s="102"/>
      <c r="AH786" s="102"/>
      <c r="AI786" s="102"/>
      <c r="AJ786" s="102"/>
      <c r="AK786" s="102"/>
      <c r="AL786" s="102"/>
      <c r="AM786" s="102"/>
      <c r="AN786" s="102"/>
      <c r="AO786" s="102"/>
      <c r="AP786" s="102"/>
      <c r="AQ786" s="102"/>
      <c r="AR786" s="102"/>
      <c r="AS786" s="102"/>
      <c r="AT786" s="102"/>
      <c r="AU786" s="102"/>
      <c r="AV786" s="102"/>
    </row>
    <row r="787" ht="12.75" customHeight="1">
      <c r="C787" s="400"/>
      <c r="D787" s="102"/>
      <c r="I787" s="102"/>
      <c r="J787" s="102"/>
      <c r="K787" s="102"/>
      <c r="L787" s="102"/>
      <c r="M787" s="102"/>
      <c r="N787" s="102"/>
      <c r="O787" s="102"/>
      <c r="P787" s="102"/>
      <c r="Q787" s="102"/>
      <c r="R787" s="102"/>
      <c r="S787" s="102"/>
      <c r="T787" s="102"/>
      <c r="U787" s="102"/>
      <c r="V787" s="102"/>
      <c r="W787" s="102"/>
      <c r="X787" s="102"/>
      <c r="Y787" s="102"/>
      <c r="Z787" s="102"/>
      <c r="AA787" s="102"/>
      <c r="AB787" s="102"/>
      <c r="AC787" s="102"/>
      <c r="AD787" s="102"/>
      <c r="AE787" s="102"/>
      <c r="AF787" s="102"/>
      <c r="AG787" s="102"/>
      <c r="AH787" s="102"/>
      <c r="AI787" s="102"/>
      <c r="AJ787" s="102"/>
      <c r="AK787" s="102"/>
      <c r="AL787" s="102"/>
      <c r="AM787" s="102"/>
      <c r="AN787" s="102"/>
      <c r="AO787" s="102"/>
      <c r="AP787" s="102"/>
      <c r="AQ787" s="102"/>
      <c r="AR787" s="102"/>
      <c r="AS787" s="102"/>
      <c r="AT787" s="102"/>
      <c r="AU787" s="102"/>
      <c r="AV787" s="102"/>
    </row>
    <row r="788" ht="12.75" customHeight="1">
      <c r="C788" s="400"/>
      <c r="D788" s="102"/>
      <c r="I788" s="102"/>
      <c r="J788" s="102"/>
      <c r="K788" s="102"/>
      <c r="L788" s="102"/>
      <c r="M788" s="102"/>
      <c r="N788" s="102"/>
      <c r="O788" s="102"/>
      <c r="P788" s="102"/>
      <c r="Q788" s="102"/>
      <c r="R788" s="102"/>
      <c r="S788" s="102"/>
      <c r="T788" s="102"/>
      <c r="U788" s="102"/>
      <c r="V788" s="102"/>
      <c r="W788" s="102"/>
      <c r="X788" s="102"/>
      <c r="Y788" s="102"/>
      <c r="Z788" s="102"/>
      <c r="AA788" s="102"/>
      <c r="AB788" s="102"/>
      <c r="AC788" s="102"/>
      <c r="AD788" s="102"/>
      <c r="AE788" s="102"/>
      <c r="AF788" s="102"/>
      <c r="AG788" s="102"/>
      <c r="AH788" s="102"/>
      <c r="AI788" s="102"/>
      <c r="AJ788" s="102"/>
      <c r="AK788" s="102"/>
      <c r="AL788" s="102"/>
      <c r="AM788" s="102"/>
      <c r="AN788" s="102"/>
      <c r="AO788" s="102"/>
      <c r="AP788" s="102"/>
      <c r="AQ788" s="102"/>
      <c r="AR788" s="102"/>
      <c r="AS788" s="102"/>
      <c r="AT788" s="102"/>
      <c r="AU788" s="102"/>
      <c r="AV788" s="102"/>
    </row>
    <row r="789" ht="12.75" customHeight="1">
      <c r="C789" s="400"/>
      <c r="D789" s="102"/>
      <c r="I789" s="102"/>
      <c r="J789" s="102"/>
      <c r="K789" s="102"/>
      <c r="L789" s="102"/>
      <c r="M789" s="102"/>
      <c r="N789" s="102"/>
      <c r="O789" s="102"/>
      <c r="P789" s="102"/>
      <c r="Q789" s="102"/>
      <c r="R789" s="102"/>
      <c r="S789" s="102"/>
      <c r="T789" s="102"/>
      <c r="U789" s="102"/>
      <c r="V789" s="102"/>
      <c r="W789" s="102"/>
      <c r="X789" s="102"/>
      <c r="Y789" s="102"/>
      <c r="Z789" s="102"/>
      <c r="AA789" s="102"/>
      <c r="AB789" s="102"/>
      <c r="AC789" s="102"/>
      <c r="AD789" s="102"/>
      <c r="AE789" s="102"/>
      <c r="AF789" s="102"/>
      <c r="AG789" s="102"/>
      <c r="AH789" s="102"/>
      <c r="AI789" s="102"/>
      <c r="AJ789" s="102"/>
      <c r="AK789" s="102"/>
      <c r="AL789" s="102"/>
      <c r="AM789" s="102"/>
      <c r="AN789" s="102"/>
      <c r="AO789" s="102"/>
      <c r="AP789" s="102"/>
      <c r="AQ789" s="102"/>
      <c r="AR789" s="102"/>
      <c r="AS789" s="102"/>
      <c r="AT789" s="102"/>
      <c r="AU789" s="102"/>
      <c r="AV789" s="102"/>
    </row>
    <row r="790" ht="12.75" customHeight="1">
      <c r="C790" s="400"/>
      <c r="D790" s="102"/>
      <c r="I790" s="102"/>
      <c r="J790" s="102"/>
      <c r="K790" s="102"/>
      <c r="L790" s="102"/>
      <c r="M790" s="102"/>
      <c r="N790" s="102"/>
      <c r="O790" s="102"/>
      <c r="P790" s="102"/>
      <c r="Q790" s="102"/>
      <c r="R790" s="102"/>
      <c r="S790" s="102"/>
      <c r="T790" s="102"/>
      <c r="U790" s="102"/>
      <c r="V790" s="102"/>
      <c r="W790" s="102"/>
      <c r="X790" s="102"/>
      <c r="Y790" s="102"/>
      <c r="Z790" s="102"/>
      <c r="AA790" s="102"/>
      <c r="AB790" s="102"/>
      <c r="AC790" s="102"/>
      <c r="AD790" s="102"/>
      <c r="AE790" s="102"/>
      <c r="AF790" s="102"/>
      <c r="AG790" s="102"/>
      <c r="AH790" s="102"/>
      <c r="AI790" s="102"/>
      <c r="AJ790" s="102"/>
      <c r="AK790" s="102"/>
      <c r="AL790" s="102"/>
      <c r="AM790" s="102"/>
      <c r="AN790" s="102"/>
      <c r="AO790" s="102"/>
      <c r="AP790" s="102"/>
      <c r="AQ790" s="102"/>
      <c r="AR790" s="102"/>
      <c r="AS790" s="102"/>
      <c r="AT790" s="102"/>
      <c r="AU790" s="102"/>
      <c r="AV790" s="102"/>
    </row>
    <row r="791" ht="12.75" customHeight="1">
      <c r="C791" s="400"/>
      <c r="D791" s="102"/>
      <c r="I791" s="102"/>
      <c r="J791" s="102"/>
      <c r="K791" s="102"/>
      <c r="L791" s="102"/>
      <c r="M791" s="102"/>
      <c r="N791" s="102"/>
      <c r="O791" s="102"/>
      <c r="P791" s="102"/>
      <c r="Q791" s="102"/>
      <c r="R791" s="102"/>
      <c r="S791" s="102"/>
      <c r="T791" s="102"/>
      <c r="U791" s="102"/>
      <c r="V791" s="102"/>
      <c r="W791" s="102"/>
      <c r="X791" s="102"/>
      <c r="Y791" s="102"/>
      <c r="Z791" s="102"/>
      <c r="AA791" s="102"/>
      <c r="AB791" s="102"/>
      <c r="AC791" s="102"/>
      <c r="AD791" s="102"/>
      <c r="AE791" s="102"/>
      <c r="AF791" s="102"/>
      <c r="AG791" s="102"/>
      <c r="AH791" s="102"/>
      <c r="AI791" s="102"/>
      <c r="AJ791" s="102"/>
      <c r="AK791" s="102"/>
      <c r="AL791" s="102"/>
      <c r="AM791" s="102"/>
      <c r="AN791" s="102"/>
      <c r="AO791" s="102"/>
      <c r="AP791" s="102"/>
      <c r="AQ791" s="102"/>
      <c r="AR791" s="102"/>
      <c r="AS791" s="102"/>
      <c r="AT791" s="102"/>
      <c r="AU791" s="102"/>
      <c r="AV791" s="102"/>
    </row>
    <row r="792" ht="12.75" customHeight="1">
      <c r="C792" s="400"/>
      <c r="D792" s="102"/>
      <c r="I792" s="102"/>
      <c r="J792" s="102"/>
      <c r="K792" s="102"/>
      <c r="L792" s="102"/>
      <c r="M792" s="102"/>
      <c r="N792" s="102"/>
      <c r="O792" s="102"/>
      <c r="P792" s="102"/>
      <c r="Q792" s="102"/>
      <c r="R792" s="102"/>
      <c r="S792" s="102"/>
      <c r="T792" s="102"/>
      <c r="U792" s="102"/>
      <c r="V792" s="102"/>
      <c r="W792" s="102"/>
      <c r="X792" s="102"/>
      <c r="Y792" s="102"/>
      <c r="Z792" s="102"/>
      <c r="AA792" s="102"/>
      <c r="AB792" s="102"/>
      <c r="AC792" s="102"/>
      <c r="AD792" s="102"/>
      <c r="AE792" s="102"/>
      <c r="AF792" s="102"/>
      <c r="AG792" s="102"/>
      <c r="AH792" s="102"/>
      <c r="AI792" s="102"/>
      <c r="AJ792" s="102"/>
      <c r="AK792" s="102"/>
      <c r="AL792" s="102"/>
      <c r="AM792" s="102"/>
      <c r="AN792" s="102"/>
      <c r="AO792" s="102"/>
      <c r="AP792" s="102"/>
      <c r="AQ792" s="102"/>
      <c r="AR792" s="102"/>
      <c r="AS792" s="102"/>
      <c r="AT792" s="102"/>
      <c r="AU792" s="102"/>
      <c r="AV792" s="102"/>
    </row>
    <row r="793" ht="12.75" customHeight="1">
      <c r="C793" s="400"/>
      <c r="D793" s="102"/>
      <c r="I793" s="102"/>
      <c r="J793" s="102"/>
      <c r="K793" s="102"/>
      <c r="L793" s="102"/>
      <c r="M793" s="102"/>
      <c r="N793" s="102"/>
      <c r="O793" s="102"/>
      <c r="P793" s="102"/>
      <c r="Q793" s="102"/>
      <c r="R793" s="102"/>
      <c r="S793" s="102"/>
      <c r="T793" s="102"/>
      <c r="U793" s="102"/>
      <c r="V793" s="102"/>
      <c r="W793" s="102"/>
      <c r="X793" s="102"/>
      <c r="Y793" s="102"/>
      <c r="Z793" s="102"/>
      <c r="AA793" s="102"/>
      <c r="AB793" s="102"/>
      <c r="AC793" s="102"/>
      <c r="AD793" s="102"/>
      <c r="AE793" s="102"/>
      <c r="AF793" s="102"/>
      <c r="AG793" s="102"/>
      <c r="AH793" s="102"/>
      <c r="AI793" s="102"/>
      <c r="AJ793" s="102"/>
      <c r="AK793" s="102"/>
      <c r="AL793" s="102"/>
      <c r="AM793" s="102"/>
      <c r="AN793" s="102"/>
      <c r="AO793" s="102"/>
      <c r="AP793" s="102"/>
      <c r="AQ793" s="102"/>
      <c r="AR793" s="102"/>
      <c r="AS793" s="102"/>
      <c r="AT793" s="102"/>
      <c r="AU793" s="102"/>
      <c r="AV793" s="102"/>
    </row>
    <row r="794" ht="12.75" customHeight="1">
      <c r="C794" s="400"/>
      <c r="D794" s="102"/>
      <c r="I794" s="102"/>
      <c r="J794" s="102"/>
      <c r="K794" s="102"/>
      <c r="L794" s="102"/>
      <c r="M794" s="102"/>
      <c r="N794" s="102"/>
      <c r="O794" s="102"/>
      <c r="P794" s="102"/>
      <c r="Q794" s="102"/>
      <c r="R794" s="102"/>
      <c r="S794" s="102"/>
      <c r="T794" s="102"/>
      <c r="U794" s="102"/>
      <c r="V794" s="102"/>
      <c r="W794" s="102"/>
      <c r="X794" s="102"/>
      <c r="Y794" s="102"/>
      <c r="Z794" s="102"/>
      <c r="AA794" s="102"/>
      <c r="AB794" s="102"/>
      <c r="AC794" s="102"/>
      <c r="AD794" s="102"/>
      <c r="AE794" s="102"/>
      <c r="AF794" s="102"/>
      <c r="AG794" s="102"/>
      <c r="AH794" s="102"/>
      <c r="AI794" s="102"/>
      <c r="AJ794" s="102"/>
      <c r="AK794" s="102"/>
      <c r="AL794" s="102"/>
      <c r="AM794" s="102"/>
      <c r="AN794" s="102"/>
      <c r="AO794" s="102"/>
      <c r="AP794" s="102"/>
      <c r="AQ794" s="102"/>
      <c r="AR794" s="102"/>
      <c r="AS794" s="102"/>
      <c r="AT794" s="102"/>
      <c r="AU794" s="102"/>
      <c r="AV794" s="102"/>
    </row>
    <row r="795" ht="12.75" customHeight="1">
      <c r="C795" s="400"/>
      <c r="D795" s="102"/>
      <c r="I795" s="102"/>
      <c r="J795" s="102"/>
      <c r="K795" s="102"/>
      <c r="L795" s="102"/>
      <c r="M795" s="102"/>
      <c r="N795" s="102"/>
      <c r="O795" s="102"/>
      <c r="P795" s="102"/>
      <c r="Q795" s="102"/>
      <c r="R795" s="102"/>
      <c r="S795" s="102"/>
      <c r="T795" s="102"/>
      <c r="U795" s="102"/>
      <c r="V795" s="102"/>
      <c r="W795" s="102"/>
      <c r="X795" s="102"/>
      <c r="Y795" s="102"/>
      <c r="Z795" s="102"/>
      <c r="AA795" s="102"/>
      <c r="AB795" s="102"/>
      <c r="AC795" s="102"/>
      <c r="AD795" s="102"/>
      <c r="AE795" s="102"/>
      <c r="AF795" s="102"/>
      <c r="AG795" s="102"/>
      <c r="AH795" s="102"/>
      <c r="AI795" s="102"/>
      <c r="AJ795" s="102"/>
      <c r="AK795" s="102"/>
      <c r="AL795" s="102"/>
      <c r="AM795" s="102"/>
      <c r="AN795" s="102"/>
      <c r="AO795" s="102"/>
      <c r="AP795" s="102"/>
      <c r="AQ795" s="102"/>
      <c r="AR795" s="102"/>
      <c r="AS795" s="102"/>
      <c r="AT795" s="102"/>
      <c r="AU795" s="102"/>
      <c r="AV795" s="102"/>
    </row>
    <row r="796" ht="12.75" customHeight="1">
      <c r="C796" s="400"/>
      <c r="D796" s="102"/>
      <c r="I796" s="102"/>
      <c r="J796" s="102"/>
      <c r="K796" s="102"/>
      <c r="L796" s="102"/>
      <c r="M796" s="102"/>
      <c r="N796" s="102"/>
      <c r="O796" s="102"/>
      <c r="P796" s="102"/>
      <c r="Q796" s="102"/>
      <c r="R796" s="102"/>
      <c r="S796" s="102"/>
      <c r="T796" s="102"/>
      <c r="U796" s="102"/>
      <c r="V796" s="102"/>
      <c r="W796" s="102"/>
      <c r="X796" s="102"/>
      <c r="Y796" s="102"/>
      <c r="Z796" s="102"/>
      <c r="AA796" s="102"/>
      <c r="AB796" s="102"/>
      <c r="AC796" s="102"/>
      <c r="AD796" s="102"/>
      <c r="AE796" s="102"/>
      <c r="AF796" s="102"/>
      <c r="AG796" s="102"/>
      <c r="AH796" s="102"/>
      <c r="AI796" s="102"/>
      <c r="AJ796" s="102"/>
      <c r="AK796" s="102"/>
      <c r="AL796" s="102"/>
      <c r="AM796" s="102"/>
      <c r="AN796" s="102"/>
      <c r="AO796" s="102"/>
      <c r="AP796" s="102"/>
      <c r="AQ796" s="102"/>
      <c r="AR796" s="102"/>
      <c r="AS796" s="102"/>
      <c r="AT796" s="102"/>
      <c r="AU796" s="102"/>
      <c r="AV796" s="102"/>
    </row>
    <row r="797" ht="12.75" customHeight="1">
      <c r="C797" s="400"/>
      <c r="D797" s="102"/>
      <c r="I797" s="102"/>
      <c r="J797" s="102"/>
      <c r="K797" s="102"/>
      <c r="L797" s="102"/>
      <c r="M797" s="102"/>
      <c r="N797" s="102"/>
      <c r="O797" s="102"/>
      <c r="P797" s="102"/>
      <c r="Q797" s="102"/>
      <c r="R797" s="102"/>
      <c r="S797" s="102"/>
      <c r="T797" s="102"/>
      <c r="U797" s="102"/>
      <c r="V797" s="102"/>
      <c r="W797" s="102"/>
      <c r="X797" s="102"/>
      <c r="Y797" s="102"/>
      <c r="Z797" s="102"/>
      <c r="AA797" s="102"/>
      <c r="AB797" s="102"/>
      <c r="AC797" s="102"/>
      <c r="AD797" s="102"/>
      <c r="AE797" s="102"/>
      <c r="AF797" s="102"/>
      <c r="AG797" s="102"/>
      <c r="AH797" s="102"/>
      <c r="AI797" s="102"/>
      <c r="AJ797" s="102"/>
      <c r="AK797" s="102"/>
      <c r="AL797" s="102"/>
      <c r="AM797" s="102"/>
      <c r="AN797" s="102"/>
      <c r="AO797" s="102"/>
      <c r="AP797" s="102"/>
      <c r="AQ797" s="102"/>
      <c r="AR797" s="102"/>
      <c r="AS797" s="102"/>
      <c r="AT797" s="102"/>
      <c r="AU797" s="102"/>
      <c r="AV797" s="102"/>
    </row>
    <row r="798" ht="12.75" customHeight="1">
      <c r="C798" s="400"/>
      <c r="D798" s="102"/>
      <c r="I798" s="102"/>
      <c r="J798" s="102"/>
      <c r="K798" s="102"/>
      <c r="L798" s="102"/>
      <c r="M798" s="102"/>
      <c r="N798" s="102"/>
      <c r="O798" s="102"/>
      <c r="P798" s="102"/>
      <c r="Q798" s="102"/>
      <c r="R798" s="102"/>
      <c r="S798" s="102"/>
      <c r="T798" s="102"/>
      <c r="U798" s="102"/>
      <c r="V798" s="102"/>
      <c r="W798" s="102"/>
      <c r="X798" s="102"/>
      <c r="Y798" s="102"/>
      <c r="Z798" s="102"/>
      <c r="AA798" s="102"/>
      <c r="AB798" s="102"/>
      <c r="AC798" s="102"/>
      <c r="AD798" s="102"/>
      <c r="AE798" s="102"/>
      <c r="AF798" s="102"/>
      <c r="AG798" s="102"/>
      <c r="AH798" s="102"/>
      <c r="AI798" s="102"/>
      <c r="AJ798" s="102"/>
      <c r="AK798" s="102"/>
      <c r="AL798" s="102"/>
      <c r="AM798" s="102"/>
      <c r="AN798" s="102"/>
      <c r="AO798" s="102"/>
      <c r="AP798" s="102"/>
      <c r="AQ798" s="102"/>
      <c r="AR798" s="102"/>
      <c r="AS798" s="102"/>
      <c r="AT798" s="102"/>
      <c r="AU798" s="102"/>
      <c r="AV798" s="102"/>
    </row>
    <row r="799" ht="12.75" customHeight="1">
      <c r="C799" s="400"/>
      <c r="D799" s="102"/>
      <c r="I799" s="102"/>
      <c r="J799" s="102"/>
      <c r="K799" s="102"/>
      <c r="L799" s="102"/>
      <c r="M799" s="102"/>
      <c r="N799" s="102"/>
      <c r="O799" s="102"/>
      <c r="P799" s="102"/>
      <c r="Q799" s="102"/>
      <c r="R799" s="102"/>
      <c r="S799" s="102"/>
      <c r="T799" s="102"/>
      <c r="U799" s="102"/>
      <c r="V799" s="102"/>
      <c r="W799" s="102"/>
      <c r="X799" s="102"/>
      <c r="Y799" s="102"/>
      <c r="Z799" s="102"/>
      <c r="AA799" s="102"/>
      <c r="AB799" s="102"/>
      <c r="AC799" s="102"/>
      <c r="AD799" s="102"/>
      <c r="AE799" s="102"/>
      <c r="AF799" s="102"/>
      <c r="AG799" s="102"/>
      <c r="AH799" s="102"/>
      <c r="AI799" s="102"/>
      <c r="AJ799" s="102"/>
      <c r="AK799" s="102"/>
      <c r="AL799" s="102"/>
      <c r="AM799" s="102"/>
      <c r="AN799" s="102"/>
      <c r="AO799" s="102"/>
      <c r="AP799" s="102"/>
      <c r="AQ799" s="102"/>
      <c r="AR799" s="102"/>
      <c r="AS799" s="102"/>
      <c r="AT799" s="102"/>
      <c r="AU799" s="102"/>
      <c r="AV799" s="102"/>
    </row>
    <row r="800" ht="12.75" customHeight="1">
      <c r="C800" s="400"/>
      <c r="D800" s="102"/>
      <c r="I800" s="102"/>
      <c r="J800" s="102"/>
      <c r="K800" s="102"/>
      <c r="L800" s="102"/>
      <c r="M800" s="102"/>
      <c r="N800" s="102"/>
      <c r="O800" s="102"/>
      <c r="P800" s="102"/>
      <c r="Q800" s="102"/>
      <c r="R800" s="102"/>
      <c r="S800" s="102"/>
      <c r="T800" s="102"/>
      <c r="U800" s="102"/>
      <c r="V800" s="102"/>
      <c r="W800" s="102"/>
      <c r="X800" s="102"/>
      <c r="Y800" s="102"/>
      <c r="Z800" s="102"/>
      <c r="AA800" s="102"/>
      <c r="AB800" s="102"/>
      <c r="AC800" s="102"/>
      <c r="AD800" s="102"/>
      <c r="AE800" s="102"/>
      <c r="AF800" s="102"/>
      <c r="AG800" s="102"/>
      <c r="AH800" s="102"/>
      <c r="AI800" s="102"/>
      <c r="AJ800" s="102"/>
      <c r="AK800" s="102"/>
      <c r="AL800" s="102"/>
      <c r="AM800" s="102"/>
      <c r="AN800" s="102"/>
      <c r="AO800" s="102"/>
      <c r="AP800" s="102"/>
      <c r="AQ800" s="102"/>
      <c r="AR800" s="102"/>
      <c r="AS800" s="102"/>
      <c r="AT800" s="102"/>
      <c r="AU800" s="102"/>
      <c r="AV800" s="102"/>
    </row>
    <row r="801" ht="12.75" customHeight="1">
      <c r="C801" s="400"/>
      <c r="D801" s="102"/>
      <c r="I801" s="102"/>
      <c r="J801" s="102"/>
      <c r="K801" s="102"/>
      <c r="L801" s="102"/>
      <c r="M801" s="102"/>
      <c r="N801" s="102"/>
      <c r="O801" s="102"/>
      <c r="P801" s="102"/>
      <c r="Q801" s="102"/>
      <c r="R801" s="102"/>
      <c r="S801" s="102"/>
      <c r="T801" s="102"/>
      <c r="U801" s="102"/>
      <c r="V801" s="102"/>
      <c r="W801" s="102"/>
      <c r="X801" s="102"/>
      <c r="Y801" s="102"/>
      <c r="Z801" s="102"/>
      <c r="AA801" s="102"/>
      <c r="AB801" s="102"/>
      <c r="AC801" s="102"/>
      <c r="AD801" s="102"/>
      <c r="AE801" s="102"/>
      <c r="AF801" s="102"/>
      <c r="AG801" s="102"/>
      <c r="AH801" s="102"/>
      <c r="AI801" s="102"/>
      <c r="AJ801" s="102"/>
      <c r="AK801" s="102"/>
      <c r="AL801" s="102"/>
      <c r="AM801" s="102"/>
      <c r="AN801" s="102"/>
      <c r="AO801" s="102"/>
      <c r="AP801" s="102"/>
      <c r="AQ801" s="102"/>
      <c r="AR801" s="102"/>
      <c r="AS801" s="102"/>
      <c r="AT801" s="102"/>
      <c r="AU801" s="102"/>
      <c r="AV801" s="102"/>
    </row>
    <row r="802" ht="12.75" customHeight="1">
      <c r="C802" s="400"/>
      <c r="D802" s="102"/>
      <c r="I802" s="102"/>
      <c r="J802" s="102"/>
      <c r="K802" s="102"/>
      <c r="L802" s="102"/>
      <c r="M802" s="102"/>
      <c r="N802" s="102"/>
      <c r="O802" s="102"/>
      <c r="P802" s="102"/>
      <c r="Q802" s="102"/>
      <c r="R802" s="102"/>
      <c r="S802" s="102"/>
      <c r="T802" s="102"/>
      <c r="U802" s="102"/>
      <c r="V802" s="102"/>
      <c r="W802" s="102"/>
      <c r="X802" s="102"/>
      <c r="Y802" s="102"/>
      <c r="Z802" s="102"/>
      <c r="AA802" s="102"/>
      <c r="AB802" s="102"/>
      <c r="AC802" s="102"/>
      <c r="AD802" s="102"/>
      <c r="AE802" s="102"/>
      <c r="AF802" s="102"/>
      <c r="AG802" s="102"/>
      <c r="AH802" s="102"/>
      <c r="AI802" s="102"/>
      <c r="AJ802" s="102"/>
      <c r="AK802" s="102"/>
      <c r="AL802" s="102"/>
      <c r="AM802" s="102"/>
      <c r="AN802" s="102"/>
      <c r="AO802" s="102"/>
      <c r="AP802" s="102"/>
      <c r="AQ802" s="102"/>
      <c r="AR802" s="102"/>
      <c r="AS802" s="102"/>
      <c r="AT802" s="102"/>
      <c r="AU802" s="102"/>
      <c r="AV802" s="102"/>
    </row>
    <row r="803" ht="12.75" customHeight="1">
      <c r="C803" s="400"/>
      <c r="D803" s="102"/>
      <c r="I803" s="102"/>
      <c r="J803" s="102"/>
      <c r="K803" s="102"/>
      <c r="L803" s="102"/>
      <c r="M803" s="102"/>
      <c r="N803" s="102"/>
      <c r="O803" s="102"/>
      <c r="P803" s="102"/>
      <c r="Q803" s="102"/>
      <c r="R803" s="102"/>
      <c r="S803" s="102"/>
      <c r="T803" s="102"/>
      <c r="U803" s="102"/>
      <c r="V803" s="102"/>
      <c r="W803" s="102"/>
      <c r="X803" s="102"/>
      <c r="Y803" s="102"/>
      <c r="Z803" s="102"/>
      <c r="AA803" s="102"/>
      <c r="AB803" s="102"/>
      <c r="AC803" s="102"/>
      <c r="AD803" s="102"/>
      <c r="AE803" s="102"/>
      <c r="AF803" s="102"/>
      <c r="AG803" s="102"/>
      <c r="AH803" s="102"/>
      <c r="AI803" s="102"/>
      <c r="AJ803" s="102"/>
      <c r="AK803" s="102"/>
      <c r="AL803" s="102"/>
      <c r="AM803" s="102"/>
      <c r="AN803" s="102"/>
      <c r="AO803" s="102"/>
      <c r="AP803" s="102"/>
      <c r="AQ803" s="102"/>
      <c r="AR803" s="102"/>
      <c r="AS803" s="102"/>
      <c r="AT803" s="102"/>
      <c r="AU803" s="102"/>
      <c r="AV803" s="102"/>
    </row>
    <row r="804" ht="12.75" customHeight="1">
      <c r="C804" s="400"/>
      <c r="D804" s="102"/>
      <c r="I804" s="102"/>
      <c r="J804" s="102"/>
      <c r="K804" s="102"/>
      <c r="L804" s="102"/>
      <c r="M804" s="102"/>
      <c r="N804" s="102"/>
      <c r="O804" s="102"/>
      <c r="P804" s="102"/>
      <c r="Q804" s="102"/>
      <c r="R804" s="102"/>
      <c r="S804" s="102"/>
      <c r="T804" s="102"/>
      <c r="U804" s="102"/>
      <c r="V804" s="102"/>
      <c r="W804" s="102"/>
      <c r="X804" s="102"/>
      <c r="Y804" s="102"/>
      <c r="Z804" s="102"/>
      <c r="AA804" s="102"/>
      <c r="AB804" s="102"/>
      <c r="AC804" s="102"/>
      <c r="AD804" s="102"/>
      <c r="AE804" s="102"/>
      <c r="AF804" s="102"/>
      <c r="AG804" s="102"/>
      <c r="AH804" s="102"/>
      <c r="AI804" s="102"/>
      <c r="AJ804" s="102"/>
      <c r="AK804" s="102"/>
      <c r="AL804" s="102"/>
      <c r="AM804" s="102"/>
      <c r="AN804" s="102"/>
      <c r="AO804" s="102"/>
      <c r="AP804" s="102"/>
      <c r="AQ804" s="102"/>
      <c r="AR804" s="102"/>
      <c r="AS804" s="102"/>
      <c r="AT804" s="102"/>
      <c r="AU804" s="102"/>
      <c r="AV804" s="102"/>
    </row>
    <row r="805" ht="12.75" customHeight="1">
      <c r="C805" s="400"/>
      <c r="D805" s="102"/>
      <c r="I805" s="102"/>
      <c r="J805" s="102"/>
      <c r="K805" s="102"/>
      <c r="L805" s="102"/>
      <c r="M805" s="102"/>
      <c r="N805" s="102"/>
      <c r="O805" s="102"/>
      <c r="P805" s="102"/>
      <c r="Q805" s="102"/>
      <c r="R805" s="102"/>
      <c r="S805" s="102"/>
      <c r="T805" s="102"/>
      <c r="U805" s="102"/>
      <c r="V805" s="102"/>
      <c r="W805" s="102"/>
      <c r="X805" s="102"/>
      <c r="Y805" s="102"/>
      <c r="Z805" s="102"/>
      <c r="AA805" s="102"/>
      <c r="AB805" s="102"/>
      <c r="AC805" s="102"/>
      <c r="AD805" s="102"/>
      <c r="AE805" s="102"/>
      <c r="AF805" s="102"/>
      <c r="AG805" s="102"/>
      <c r="AH805" s="102"/>
      <c r="AI805" s="102"/>
      <c r="AJ805" s="102"/>
      <c r="AK805" s="102"/>
      <c r="AL805" s="102"/>
      <c r="AM805" s="102"/>
      <c r="AN805" s="102"/>
      <c r="AO805" s="102"/>
      <c r="AP805" s="102"/>
      <c r="AQ805" s="102"/>
      <c r="AR805" s="102"/>
      <c r="AS805" s="102"/>
      <c r="AT805" s="102"/>
      <c r="AU805" s="102"/>
      <c r="AV805" s="102"/>
    </row>
    <row r="806" ht="12.75" customHeight="1">
      <c r="C806" s="400"/>
      <c r="D806" s="102"/>
      <c r="I806" s="102"/>
      <c r="J806" s="102"/>
      <c r="K806" s="102"/>
      <c r="L806" s="102"/>
      <c r="M806" s="102"/>
      <c r="N806" s="102"/>
      <c r="O806" s="102"/>
      <c r="P806" s="102"/>
      <c r="Q806" s="102"/>
      <c r="R806" s="102"/>
      <c r="S806" s="102"/>
      <c r="T806" s="102"/>
      <c r="U806" s="102"/>
      <c r="V806" s="102"/>
      <c r="W806" s="102"/>
      <c r="X806" s="102"/>
      <c r="Y806" s="102"/>
      <c r="Z806" s="102"/>
      <c r="AA806" s="102"/>
      <c r="AB806" s="102"/>
      <c r="AC806" s="102"/>
      <c r="AD806" s="102"/>
      <c r="AE806" s="102"/>
      <c r="AF806" s="102"/>
      <c r="AG806" s="102"/>
      <c r="AH806" s="102"/>
      <c r="AI806" s="102"/>
      <c r="AJ806" s="102"/>
      <c r="AK806" s="102"/>
      <c r="AL806" s="102"/>
      <c r="AM806" s="102"/>
      <c r="AN806" s="102"/>
      <c r="AO806" s="102"/>
      <c r="AP806" s="102"/>
      <c r="AQ806" s="102"/>
      <c r="AR806" s="102"/>
      <c r="AS806" s="102"/>
      <c r="AT806" s="102"/>
      <c r="AU806" s="102"/>
      <c r="AV806" s="102"/>
    </row>
    <row r="807" ht="12.75" customHeight="1">
      <c r="C807" s="400"/>
      <c r="D807" s="102"/>
      <c r="I807" s="102"/>
      <c r="J807" s="102"/>
      <c r="K807" s="102"/>
      <c r="L807" s="102"/>
      <c r="M807" s="102"/>
      <c r="N807" s="102"/>
      <c r="O807" s="102"/>
      <c r="P807" s="102"/>
      <c r="Q807" s="102"/>
      <c r="R807" s="102"/>
      <c r="S807" s="102"/>
      <c r="T807" s="102"/>
      <c r="U807" s="102"/>
      <c r="V807" s="102"/>
      <c r="W807" s="102"/>
      <c r="X807" s="102"/>
      <c r="Y807" s="102"/>
      <c r="Z807" s="102"/>
      <c r="AA807" s="102"/>
      <c r="AB807" s="102"/>
      <c r="AC807" s="102"/>
      <c r="AD807" s="102"/>
      <c r="AE807" s="102"/>
      <c r="AF807" s="102"/>
      <c r="AG807" s="102"/>
      <c r="AH807" s="102"/>
      <c r="AI807" s="102"/>
      <c r="AJ807" s="102"/>
      <c r="AK807" s="102"/>
      <c r="AL807" s="102"/>
      <c r="AM807" s="102"/>
      <c r="AN807" s="102"/>
      <c r="AO807" s="102"/>
      <c r="AP807" s="102"/>
      <c r="AQ807" s="102"/>
      <c r="AR807" s="102"/>
      <c r="AS807" s="102"/>
      <c r="AT807" s="102"/>
      <c r="AU807" s="102"/>
      <c r="AV807" s="102"/>
    </row>
    <row r="808" ht="12.75" customHeight="1">
      <c r="C808" s="400"/>
      <c r="D808" s="102"/>
      <c r="I808" s="102"/>
      <c r="J808" s="102"/>
      <c r="K808" s="102"/>
      <c r="L808" s="102"/>
      <c r="M808" s="102"/>
      <c r="N808" s="102"/>
      <c r="O808" s="102"/>
      <c r="P808" s="102"/>
      <c r="Q808" s="102"/>
      <c r="R808" s="102"/>
      <c r="S808" s="102"/>
      <c r="T808" s="102"/>
      <c r="U808" s="102"/>
      <c r="V808" s="102"/>
      <c r="W808" s="102"/>
      <c r="X808" s="102"/>
      <c r="Y808" s="102"/>
      <c r="Z808" s="102"/>
      <c r="AA808" s="102"/>
      <c r="AB808" s="102"/>
      <c r="AC808" s="102"/>
      <c r="AD808" s="102"/>
      <c r="AE808" s="102"/>
      <c r="AF808" s="102"/>
      <c r="AG808" s="102"/>
      <c r="AH808" s="102"/>
      <c r="AI808" s="102"/>
      <c r="AJ808" s="102"/>
      <c r="AK808" s="102"/>
      <c r="AL808" s="102"/>
      <c r="AM808" s="102"/>
      <c r="AN808" s="102"/>
      <c r="AO808" s="102"/>
      <c r="AP808" s="102"/>
      <c r="AQ808" s="102"/>
      <c r="AR808" s="102"/>
      <c r="AS808" s="102"/>
      <c r="AT808" s="102"/>
      <c r="AU808" s="102"/>
      <c r="AV808" s="102"/>
    </row>
    <row r="809" ht="12.75" customHeight="1">
      <c r="C809" s="400"/>
      <c r="D809" s="102"/>
      <c r="I809" s="102"/>
      <c r="J809" s="102"/>
      <c r="K809" s="102"/>
      <c r="L809" s="102"/>
      <c r="M809" s="102"/>
      <c r="N809" s="102"/>
      <c r="O809" s="102"/>
      <c r="P809" s="102"/>
      <c r="Q809" s="102"/>
      <c r="R809" s="102"/>
      <c r="S809" s="102"/>
      <c r="T809" s="102"/>
      <c r="U809" s="102"/>
      <c r="V809" s="102"/>
      <c r="W809" s="102"/>
      <c r="X809" s="102"/>
      <c r="Y809" s="102"/>
      <c r="Z809" s="102"/>
      <c r="AA809" s="102"/>
      <c r="AB809" s="102"/>
      <c r="AC809" s="102"/>
      <c r="AD809" s="102"/>
      <c r="AE809" s="102"/>
      <c r="AF809" s="102"/>
      <c r="AG809" s="102"/>
      <c r="AH809" s="102"/>
      <c r="AI809" s="102"/>
      <c r="AJ809" s="102"/>
      <c r="AK809" s="102"/>
      <c r="AL809" s="102"/>
      <c r="AM809" s="102"/>
      <c r="AN809" s="102"/>
      <c r="AO809" s="102"/>
      <c r="AP809" s="102"/>
      <c r="AQ809" s="102"/>
      <c r="AR809" s="102"/>
      <c r="AS809" s="102"/>
      <c r="AT809" s="102"/>
      <c r="AU809" s="102"/>
      <c r="AV809" s="102"/>
    </row>
    <row r="810" ht="12.75" customHeight="1">
      <c r="C810" s="400"/>
      <c r="D810" s="102"/>
      <c r="I810" s="102"/>
      <c r="J810" s="102"/>
      <c r="K810" s="102"/>
      <c r="L810" s="102"/>
      <c r="M810" s="102"/>
      <c r="N810" s="102"/>
      <c r="O810" s="102"/>
      <c r="P810" s="102"/>
      <c r="Q810" s="102"/>
      <c r="R810" s="102"/>
      <c r="S810" s="102"/>
      <c r="T810" s="102"/>
      <c r="U810" s="102"/>
      <c r="V810" s="102"/>
      <c r="W810" s="102"/>
      <c r="X810" s="102"/>
      <c r="Y810" s="102"/>
      <c r="Z810" s="102"/>
      <c r="AA810" s="102"/>
      <c r="AB810" s="102"/>
      <c r="AC810" s="102"/>
      <c r="AD810" s="102"/>
      <c r="AE810" s="102"/>
      <c r="AF810" s="102"/>
      <c r="AG810" s="102"/>
      <c r="AH810" s="102"/>
      <c r="AI810" s="102"/>
      <c r="AJ810" s="102"/>
      <c r="AK810" s="102"/>
      <c r="AL810" s="102"/>
      <c r="AM810" s="102"/>
      <c r="AN810" s="102"/>
      <c r="AO810" s="102"/>
      <c r="AP810" s="102"/>
      <c r="AQ810" s="102"/>
      <c r="AR810" s="102"/>
      <c r="AS810" s="102"/>
      <c r="AT810" s="102"/>
      <c r="AU810" s="102"/>
      <c r="AV810" s="102"/>
    </row>
    <row r="811" ht="12.75" customHeight="1">
      <c r="C811" s="400"/>
      <c r="D811" s="102"/>
      <c r="I811" s="102"/>
      <c r="J811" s="102"/>
      <c r="K811" s="102"/>
      <c r="L811" s="102"/>
      <c r="M811" s="102"/>
      <c r="N811" s="102"/>
      <c r="O811" s="102"/>
      <c r="P811" s="102"/>
      <c r="Q811" s="102"/>
      <c r="R811" s="102"/>
      <c r="S811" s="102"/>
      <c r="T811" s="102"/>
      <c r="U811" s="102"/>
      <c r="V811" s="102"/>
      <c r="W811" s="102"/>
      <c r="X811" s="102"/>
      <c r="Y811" s="102"/>
      <c r="Z811" s="102"/>
      <c r="AA811" s="102"/>
      <c r="AB811" s="102"/>
      <c r="AC811" s="102"/>
      <c r="AD811" s="102"/>
      <c r="AE811" s="102"/>
      <c r="AF811" s="102"/>
      <c r="AG811" s="102"/>
      <c r="AH811" s="102"/>
      <c r="AI811" s="102"/>
      <c r="AJ811" s="102"/>
      <c r="AK811" s="102"/>
      <c r="AL811" s="102"/>
      <c r="AM811" s="102"/>
      <c r="AN811" s="102"/>
      <c r="AO811" s="102"/>
      <c r="AP811" s="102"/>
      <c r="AQ811" s="102"/>
      <c r="AR811" s="102"/>
      <c r="AS811" s="102"/>
      <c r="AT811" s="102"/>
      <c r="AU811" s="102"/>
      <c r="AV811" s="102"/>
    </row>
    <row r="812" ht="12.75" customHeight="1">
      <c r="C812" s="400"/>
      <c r="D812" s="102"/>
      <c r="I812" s="102"/>
      <c r="J812" s="102"/>
      <c r="K812" s="102"/>
      <c r="L812" s="102"/>
      <c r="M812" s="102"/>
      <c r="N812" s="102"/>
      <c r="O812" s="102"/>
      <c r="P812" s="102"/>
      <c r="Q812" s="102"/>
      <c r="R812" s="102"/>
      <c r="S812" s="102"/>
      <c r="T812" s="102"/>
      <c r="U812" s="102"/>
      <c r="V812" s="102"/>
      <c r="W812" s="102"/>
      <c r="X812" s="102"/>
      <c r="Y812" s="102"/>
      <c r="Z812" s="102"/>
      <c r="AA812" s="102"/>
      <c r="AB812" s="102"/>
      <c r="AC812" s="102"/>
      <c r="AD812" s="102"/>
      <c r="AE812" s="102"/>
      <c r="AF812" s="102"/>
      <c r="AG812" s="102"/>
      <c r="AH812" s="102"/>
      <c r="AI812" s="102"/>
      <c r="AJ812" s="102"/>
      <c r="AK812" s="102"/>
      <c r="AL812" s="102"/>
      <c r="AM812" s="102"/>
      <c r="AN812" s="102"/>
      <c r="AO812" s="102"/>
      <c r="AP812" s="102"/>
      <c r="AQ812" s="102"/>
      <c r="AR812" s="102"/>
      <c r="AS812" s="102"/>
      <c r="AT812" s="102"/>
      <c r="AU812" s="102"/>
      <c r="AV812" s="102"/>
    </row>
    <row r="813" ht="12.75" customHeight="1">
      <c r="C813" s="400"/>
      <c r="D813" s="102"/>
      <c r="I813" s="102"/>
      <c r="J813" s="102"/>
      <c r="K813" s="102"/>
      <c r="L813" s="102"/>
      <c r="M813" s="102"/>
      <c r="N813" s="102"/>
      <c r="O813" s="102"/>
      <c r="P813" s="102"/>
      <c r="Q813" s="102"/>
      <c r="R813" s="102"/>
      <c r="S813" s="102"/>
      <c r="T813" s="102"/>
      <c r="U813" s="102"/>
      <c r="V813" s="102"/>
      <c r="W813" s="102"/>
      <c r="X813" s="102"/>
      <c r="Y813" s="102"/>
      <c r="Z813" s="102"/>
      <c r="AA813" s="102"/>
      <c r="AB813" s="102"/>
      <c r="AC813" s="102"/>
      <c r="AD813" s="102"/>
      <c r="AE813" s="102"/>
      <c r="AF813" s="102"/>
      <c r="AG813" s="102"/>
      <c r="AH813" s="102"/>
      <c r="AI813" s="102"/>
      <c r="AJ813" s="102"/>
      <c r="AK813" s="102"/>
      <c r="AL813" s="102"/>
      <c r="AM813" s="102"/>
      <c r="AN813" s="102"/>
      <c r="AO813" s="102"/>
      <c r="AP813" s="102"/>
      <c r="AQ813" s="102"/>
      <c r="AR813" s="102"/>
      <c r="AS813" s="102"/>
      <c r="AT813" s="102"/>
      <c r="AU813" s="102"/>
      <c r="AV813" s="102"/>
    </row>
    <row r="814" ht="12.75" customHeight="1">
      <c r="C814" s="400"/>
      <c r="D814" s="102"/>
      <c r="I814" s="102"/>
      <c r="J814" s="102"/>
      <c r="K814" s="102"/>
      <c r="L814" s="102"/>
      <c r="M814" s="102"/>
      <c r="N814" s="102"/>
      <c r="O814" s="102"/>
      <c r="P814" s="102"/>
      <c r="Q814" s="102"/>
      <c r="R814" s="102"/>
      <c r="S814" s="102"/>
      <c r="T814" s="102"/>
      <c r="U814" s="102"/>
      <c r="V814" s="102"/>
      <c r="W814" s="102"/>
      <c r="X814" s="102"/>
      <c r="Y814" s="102"/>
      <c r="Z814" s="102"/>
      <c r="AA814" s="102"/>
      <c r="AB814" s="102"/>
      <c r="AC814" s="102"/>
      <c r="AD814" s="102"/>
      <c r="AE814" s="102"/>
      <c r="AF814" s="102"/>
      <c r="AG814" s="102"/>
      <c r="AH814" s="102"/>
      <c r="AI814" s="102"/>
      <c r="AJ814" s="102"/>
      <c r="AK814" s="102"/>
      <c r="AL814" s="102"/>
      <c r="AM814" s="102"/>
      <c r="AN814" s="102"/>
      <c r="AO814" s="102"/>
      <c r="AP814" s="102"/>
      <c r="AQ814" s="102"/>
      <c r="AR814" s="102"/>
      <c r="AS814" s="102"/>
      <c r="AT814" s="102"/>
      <c r="AU814" s="102"/>
      <c r="AV814" s="102"/>
    </row>
    <row r="815" ht="12.75" customHeight="1">
      <c r="C815" s="400"/>
      <c r="D815" s="102"/>
      <c r="I815" s="102"/>
      <c r="J815" s="102"/>
      <c r="K815" s="102"/>
      <c r="L815" s="102"/>
      <c r="M815" s="102"/>
      <c r="N815" s="102"/>
      <c r="O815" s="102"/>
      <c r="P815" s="102"/>
      <c r="Q815" s="102"/>
      <c r="R815" s="102"/>
      <c r="S815" s="102"/>
      <c r="T815" s="102"/>
      <c r="U815" s="102"/>
      <c r="V815" s="102"/>
      <c r="W815" s="102"/>
      <c r="X815" s="102"/>
      <c r="Y815" s="102"/>
      <c r="Z815" s="102"/>
      <c r="AA815" s="102"/>
      <c r="AB815" s="102"/>
      <c r="AC815" s="102"/>
      <c r="AD815" s="102"/>
      <c r="AE815" s="102"/>
      <c r="AF815" s="102"/>
      <c r="AG815" s="102"/>
      <c r="AH815" s="102"/>
      <c r="AI815" s="102"/>
      <c r="AJ815" s="102"/>
      <c r="AK815" s="102"/>
      <c r="AL815" s="102"/>
      <c r="AM815" s="102"/>
      <c r="AN815" s="102"/>
      <c r="AO815" s="102"/>
      <c r="AP815" s="102"/>
      <c r="AQ815" s="102"/>
      <c r="AR815" s="102"/>
      <c r="AS815" s="102"/>
      <c r="AT815" s="102"/>
      <c r="AU815" s="102"/>
      <c r="AV815" s="102"/>
    </row>
    <row r="816" ht="12.75" customHeight="1">
      <c r="C816" s="400"/>
      <c r="D816" s="102"/>
      <c r="I816" s="102"/>
      <c r="J816" s="102"/>
      <c r="K816" s="102"/>
      <c r="L816" s="102"/>
      <c r="M816" s="102"/>
      <c r="N816" s="102"/>
      <c r="O816" s="102"/>
      <c r="P816" s="102"/>
      <c r="Q816" s="102"/>
      <c r="R816" s="102"/>
      <c r="S816" s="102"/>
      <c r="T816" s="102"/>
      <c r="U816" s="102"/>
      <c r="V816" s="102"/>
      <c r="W816" s="102"/>
      <c r="X816" s="102"/>
      <c r="Y816" s="102"/>
      <c r="Z816" s="102"/>
      <c r="AA816" s="102"/>
      <c r="AB816" s="102"/>
      <c r="AC816" s="102"/>
      <c r="AD816" s="102"/>
      <c r="AE816" s="102"/>
      <c r="AF816" s="102"/>
      <c r="AG816" s="102"/>
      <c r="AH816" s="102"/>
      <c r="AI816" s="102"/>
      <c r="AJ816" s="102"/>
      <c r="AK816" s="102"/>
      <c r="AL816" s="102"/>
      <c r="AM816" s="102"/>
      <c r="AN816" s="102"/>
      <c r="AO816" s="102"/>
      <c r="AP816" s="102"/>
      <c r="AQ816" s="102"/>
      <c r="AR816" s="102"/>
      <c r="AS816" s="102"/>
      <c r="AT816" s="102"/>
      <c r="AU816" s="102"/>
      <c r="AV816" s="102"/>
    </row>
    <row r="817" ht="12.75" customHeight="1">
      <c r="C817" s="400"/>
      <c r="D817" s="102"/>
      <c r="I817" s="102"/>
      <c r="J817" s="102"/>
      <c r="K817" s="102"/>
      <c r="L817" s="102"/>
      <c r="M817" s="102"/>
      <c r="N817" s="102"/>
      <c r="O817" s="102"/>
      <c r="P817" s="102"/>
      <c r="Q817" s="102"/>
      <c r="R817" s="102"/>
      <c r="S817" s="102"/>
      <c r="T817" s="102"/>
      <c r="U817" s="102"/>
      <c r="V817" s="102"/>
      <c r="W817" s="102"/>
      <c r="X817" s="102"/>
      <c r="Y817" s="102"/>
      <c r="Z817" s="102"/>
      <c r="AA817" s="102"/>
      <c r="AB817" s="102"/>
      <c r="AC817" s="102"/>
      <c r="AD817" s="102"/>
      <c r="AE817" s="102"/>
      <c r="AF817" s="102"/>
      <c r="AG817" s="102"/>
      <c r="AH817" s="102"/>
      <c r="AI817" s="102"/>
      <c r="AJ817" s="102"/>
      <c r="AK817" s="102"/>
      <c r="AL817" s="102"/>
      <c r="AM817" s="102"/>
      <c r="AN817" s="102"/>
      <c r="AO817" s="102"/>
      <c r="AP817" s="102"/>
      <c r="AQ817" s="102"/>
      <c r="AR817" s="102"/>
      <c r="AS817" s="102"/>
      <c r="AT817" s="102"/>
      <c r="AU817" s="102"/>
      <c r="AV817" s="102"/>
    </row>
    <row r="818" ht="12.75" customHeight="1">
      <c r="C818" s="400"/>
      <c r="D818" s="102"/>
      <c r="I818" s="102"/>
      <c r="J818" s="102"/>
      <c r="K818" s="102"/>
      <c r="L818" s="102"/>
      <c r="M818" s="102"/>
      <c r="N818" s="102"/>
      <c r="O818" s="102"/>
      <c r="P818" s="102"/>
      <c r="Q818" s="102"/>
      <c r="R818" s="102"/>
      <c r="S818" s="102"/>
      <c r="T818" s="102"/>
      <c r="U818" s="102"/>
      <c r="V818" s="102"/>
      <c r="W818" s="102"/>
      <c r="X818" s="102"/>
      <c r="Y818" s="102"/>
      <c r="Z818" s="102"/>
      <c r="AA818" s="102"/>
      <c r="AB818" s="102"/>
      <c r="AC818" s="102"/>
      <c r="AD818" s="102"/>
      <c r="AE818" s="102"/>
      <c r="AF818" s="102"/>
      <c r="AG818" s="102"/>
      <c r="AH818" s="102"/>
      <c r="AI818" s="102"/>
      <c r="AJ818" s="102"/>
      <c r="AK818" s="102"/>
      <c r="AL818" s="102"/>
      <c r="AM818" s="102"/>
      <c r="AN818" s="102"/>
      <c r="AO818" s="102"/>
      <c r="AP818" s="102"/>
      <c r="AQ818" s="102"/>
      <c r="AR818" s="102"/>
      <c r="AS818" s="102"/>
      <c r="AT818" s="102"/>
      <c r="AU818" s="102"/>
      <c r="AV818" s="102"/>
    </row>
    <row r="819" ht="12.75" customHeight="1">
      <c r="C819" s="400"/>
      <c r="D819" s="102"/>
      <c r="I819" s="102"/>
      <c r="J819" s="102"/>
      <c r="K819" s="102"/>
      <c r="L819" s="102"/>
      <c r="M819" s="102"/>
      <c r="N819" s="102"/>
      <c r="O819" s="102"/>
      <c r="P819" s="102"/>
      <c r="Q819" s="102"/>
      <c r="R819" s="102"/>
      <c r="S819" s="102"/>
      <c r="T819" s="102"/>
      <c r="U819" s="102"/>
      <c r="V819" s="102"/>
      <c r="W819" s="102"/>
      <c r="X819" s="102"/>
      <c r="Y819" s="102"/>
      <c r="Z819" s="102"/>
      <c r="AA819" s="102"/>
      <c r="AB819" s="102"/>
      <c r="AC819" s="102"/>
      <c r="AD819" s="102"/>
      <c r="AE819" s="102"/>
      <c r="AF819" s="102"/>
      <c r="AG819" s="102"/>
      <c r="AH819" s="102"/>
      <c r="AI819" s="102"/>
      <c r="AJ819" s="102"/>
      <c r="AK819" s="102"/>
      <c r="AL819" s="102"/>
      <c r="AM819" s="102"/>
      <c r="AN819" s="102"/>
      <c r="AO819" s="102"/>
      <c r="AP819" s="102"/>
      <c r="AQ819" s="102"/>
      <c r="AR819" s="102"/>
      <c r="AS819" s="102"/>
      <c r="AT819" s="102"/>
      <c r="AU819" s="102"/>
      <c r="AV819" s="102"/>
    </row>
    <row r="820" ht="12.75" customHeight="1">
      <c r="C820" s="400"/>
      <c r="D820" s="102"/>
      <c r="I820" s="102"/>
      <c r="J820" s="102"/>
      <c r="K820" s="102"/>
      <c r="L820" s="102"/>
      <c r="M820" s="102"/>
      <c r="N820" s="102"/>
      <c r="O820" s="102"/>
      <c r="P820" s="102"/>
      <c r="Q820" s="102"/>
      <c r="R820" s="102"/>
      <c r="S820" s="102"/>
      <c r="T820" s="102"/>
      <c r="U820" s="102"/>
      <c r="V820" s="102"/>
      <c r="W820" s="102"/>
      <c r="X820" s="102"/>
      <c r="Y820" s="102"/>
      <c r="Z820" s="102"/>
      <c r="AA820" s="102"/>
      <c r="AB820" s="102"/>
      <c r="AC820" s="102"/>
      <c r="AD820" s="102"/>
      <c r="AE820" s="102"/>
      <c r="AF820" s="102"/>
      <c r="AG820" s="102"/>
      <c r="AH820" s="102"/>
      <c r="AI820" s="102"/>
      <c r="AJ820" s="102"/>
      <c r="AK820" s="102"/>
      <c r="AL820" s="102"/>
      <c r="AM820" s="102"/>
      <c r="AN820" s="102"/>
      <c r="AO820" s="102"/>
      <c r="AP820" s="102"/>
      <c r="AQ820" s="102"/>
      <c r="AR820" s="102"/>
      <c r="AS820" s="102"/>
      <c r="AT820" s="102"/>
      <c r="AU820" s="102"/>
      <c r="AV820" s="102"/>
    </row>
    <row r="821" ht="12.75" customHeight="1">
      <c r="C821" s="400"/>
      <c r="D821" s="102"/>
      <c r="I821" s="102"/>
      <c r="J821" s="102"/>
      <c r="K821" s="102"/>
      <c r="L821" s="102"/>
      <c r="M821" s="102"/>
      <c r="N821" s="102"/>
      <c r="O821" s="102"/>
      <c r="P821" s="102"/>
      <c r="Q821" s="102"/>
      <c r="R821" s="102"/>
      <c r="S821" s="102"/>
      <c r="T821" s="102"/>
      <c r="U821" s="102"/>
      <c r="V821" s="102"/>
      <c r="W821" s="102"/>
      <c r="X821" s="102"/>
      <c r="Y821" s="102"/>
      <c r="Z821" s="102"/>
      <c r="AA821" s="102"/>
      <c r="AB821" s="102"/>
      <c r="AC821" s="102"/>
      <c r="AD821" s="102"/>
      <c r="AE821" s="102"/>
      <c r="AF821" s="102"/>
      <c r="AG821" s="102"/>
      <c r="AH821" s="102"/>
      <c r="AI821" s="102"/>
      <c r="AJ821" s="102"/>
      <c r="AK821" s="102"/>
      <c r="AL821" s="102"/>
      <c r="AM821" s="102"/>
      <c r="AN821" s="102"/>
      <c r="AO821" s="102"/>
      <c r="AP821" s="102"/>
      <c r="AQ821" s="102"/>
      <c r="AR821" s="102"/>
      <c r="AS821" s="102"/>
      <c r="AT821" s="102"/>
      <c r="AU821" s="102"/>
      <c r="AV821" s="102"/>
    </row>
    <row r="822" ht="12.75" customHeight="1">
      <c r="C822" s="400"/>
      <c r="D822" s="102"/>
      <c r="I822" s="102"/>
      <c r="J822" s="102"/>
      <c r="K822" s="102"/>
      <c r="L822" s="102"/>
      <c r="M822" s="102"/>
      <c r="N822" s="102"/>
      <c r="O822" s="102"/>
      <c r="P822" s="102"/>
      <c r="Q822" s="102"/>
      <c r="R822" s="102"/>
      <c r="S822" s="102"/>
      <c r="T822" s="102"/>
      <c r="U822" s="102"/>
      <c r="V822" s="102"/>
      <c r="W822" s="102"/>
      <c r="X822" s="102"/>
      <c r="Y822" s="102"/>
      <c r="Z822" s="102"/>
      <c r="AA822" s="102"/>
      <c r="AB822" s="102"/>
      <c r="AC822" s="102"/>
      <c r="AD822" s="102"/>
      <c r="AE822" s="102"/>
      <c r="AF822" s="102"/>
      <c r="AG822" s="102"/>
      <c r="AH822" s="102"/>
      <c r="AI822" s="102"/>
      <c r="AJ822" s="102"/>
      <c r="AK822" s="102"/>
      <c r="AL822" s="102"/>
      <c r="AM822" s="102"/>
      <c r="AN822" s="102"/>
      <c r="AO822" s="102"/>
      <c r="AP822" s="102"/>
      <c r="AQ822" s="102"/>
      <c r="AR822" s="102"/>
      <c r="AS822" s="102"/>
      <c r="AT822" s="102"/>
      <c r="AU822" s="102"/>
      <c r="AV822" s="102"/>
    </row>
    <row r="823" ht="12.75" customHeight="1">
      <c r="C823" s="400"/>
      <c r="D823" s="102"/>
      <c r="I823" s="102"/>
      <c r="J823" s="102"/>
      <c r="K823" s="102"/>
      <c r="L823" s="102"/>
      <c r="M823" s="102"/>
      <c r="N823" s="102"/>
      <c r="O823" s="102"/>
      <c r="P823" s="102"/>
      <c r="Q823" s="102"/>
      <c r="R823" s="102"/>
      <c r="S823" s="102"/>
      <c r="T823" s="102"/>
      <c r="U823" s="102"/>
      <c r="V823" s="102"/>
      <c r="W823" s="102"/>
      <c r="X823" s="102"/>
      <c r="Y823" s="102"/>
      <c r="Z823" s="102"/>
      <c r="AA823" s="102"/>
      <c r="AB823" s="102"/>
      <c r="AC823" s="102"/>
      <c r="AD823" s="102"/>
      <c r="AE823" s="102"/>
      <c r="AF823" s="102"/>
      <c r="AG823" s="102"/>
      <c r="AH823" s="102"/>
      <c r="AI823" s="102"/>
      <c r="AJ823" s="102"/>
      <c r="AK823" s="102"/>
      <c r="AL823" s="102"/>
      <c r="AM823" s="102"/>
      <c r="AN823" s="102"/>
      <c r="AO823" s="102"/>
      <c r="AP823" s="102"/>
      <c r="AQ823" s="102"/>
      <c r="AR823" s="102"/>
      <c r="AS823" s="102"/>
      <c r="AT823" s="102"/>
      <c r="AU823" s="102"/>
      <c r="AV823" s="102"/>
    </row>
    <row r="824" ht="12.75" customHeight="1">
      <c r="C824" s="400"/>
      <c r="D824" s="102"/>
      <c r="I824" s="102"/>
      <c r="J824" s="102"/>
      <c r="K824" s="102"/>
      <c r="L824" s="102"/>
      <c r="M824" s="102"/>
      <c r="N824" s="102"/>
      <c r="O824" s="102"/>
      <c r="P824" s="102"/>
      <c r="Q824" s="102"/>
      <c r="R824" s="102"/>
      <c r="S824" s="102"/>
      <c r="T824" s="102"/>
      <c r="U824" s="102"/>
      <c r="V824" s="102"/>
      <c r="W824" s="102"/>
      <c r="X824" s="102"/>
      <c r="Y824" s="102"/>
      <c r="Z824" s="102"/>
      <c r="AA824" s="102"/>
      <c r="AB824" s="102"/>
      <c r="AC824" s="102"/>
      <c r="AD824" s="102"/>
      <c r="AE824" s="102"/>
      <c r="AF824" s="102"/>
      <c r="AG824" s="102"/>
      <c r="AH824" s="102"/>
      <c r="AI824" s="102"/>
      <c r="AJ824" s="102"/>
      <c r="AK824" s="102"/>
      <c r="AL824" s="102"/>
      <c r="AM824" s="102"/>
      <c r="AN824" s="102"/>
      <c r="AO824" s="102"/>
      <c r="AP824" s="102"/>
      <c r="AQ824" s="102"/>
      <c r="AR824" s="102"/>
      <c r="AS824" s="102"/>
      <c r="AT824" s="102"/>
      <c r="AU824" s="102"/>
      <c r="AV824" s="102"/>
    </row>
    <row r="825" ht="12.75" customHeight="1">
      <c r="C825" s="400"/>
      <c r="D825" s="102"/>
      <c r="I825" s="102"/>
      <c r="J825" s="102"/>
      <c r="K825" s="102"/>
      <c r="L825" s="102"/>
      <c r="M825" s="102"/>
      <c r="N825" s="102"/>
      <c r="O825" s="102"/>
      <c r="P825" s="102"/>
      <c r="Q825" s="102"/>
      <c r="R825" s="102"/>
      <c r="S825" s="102"/>
      <c r="T825" s="102"/>
      <c r="U825" s="102"/>
      <c r="V825" s="102"/>
      <c r="W825" s="102"/>
      <c r="X825" s="102"/>
      <c r="Y825" s="102"/>
      <c r="Z825" s="102"/>
      <c r="AA825" s="102"/>
      <c r="AB825" s="102"/>
      <c r="AC825" s="102"/>
      <c r="AD825" s="102"/>
      <c r="AE825" s="102"/>
      <c r="AF825" s="102"/>
      <c r="AG825" s="102"/>
      <c r="AH825" s="102"/>
      <c r="AI825" s="102"/>
      <c r="AJ825" s="102"/>
      <c r="AK825" s="102"/>
      <c r="AL825" s="102"/>
      <c r="AM825" s="102"/>
      <c r="AN825" s="102"/>
      <c r="AO825" s="102"/>
      <c r="AP825" s="102"/>
      <c r="AQ825" s="102"/>
      <c r="AR825" s="102"/>
      <c r="AS825" s="102"/>
      <c r="AT825" s="102"/>
      <c r="AU825" s="102"/>
      <c r="AV825" s="102"/>
    </row>
    <row r="826" ht="12.75" customHeight="1">
      <c r="C826" s="400"/>
      <c r="D826" s="102"/>
      <c r="I826" s="102"/>
      <c r="J826" s="102"/>
      <c r="K826" s="102"/>
      <c r="L826" s="102"/>
      <c r="M826" s="102"/>
      <c r="N826" s="102"/>
      <c r="O826" s="102"/>
      <c r="P826" s="102"/>
      <c r="Q826" s="102"/>
      <c r="R826" s="102"/>
      <c r="S826" s="102"/>
      <c r="T826" s="102"/>
      <c r="U826" s="102"/>
      <c r="V826" s="102"/>
      <c r="W826" s="102"/>
      <c r="X826" s="102"/>
      <c r="Y826" s="102"/>
      <c r="Z826" s="102"/>
      <c r="AA826" s="102"/>
      <c r="AB826" s="102"/>
      <c r="AC826" s="102"/>
      <c r="AD826" s="102"/>
      <c r="AE826" s="102"/>
      <c r="AF826" s="102"/>
      <c r="AG826" s="102"/>
      <c r="AH826" s="102"/>
      <c r="AI826" s="102"/>
      <c r="AJ826" s="102"/>
      <c r="AK826" s="102"/>
      <c r="AL826" s="102"/>
      <c r="AM826" s="102"/>
      <c r="AN826" s="102"/>
      <c r="AO826" s="102"/>
      <c r="AP826" s="102"/>
      <c r="AQ826" s="102"/>
      <c r="AR826" s="102"/>
      <c r="AS826" s="102"/>
      <c r="AT826" s="102"/>
      <c r="AU826" s="102"/>
      <c r="AV826" s="102"/>
    </row>
    <row r="827" ht="12.75" customHeight="1">
      <c r="C827" s="400"/>
      <c r="D827" s="102"/>
      <c r="I827" s="102"/>
      <c r="J827" s="102"/>
      <c r="K827" s="102"/>
      <c r="L827" s="102"/>
      <c r="M827" s="102"/>
      <c r="N827" s="102"/>
      <c r="O827" s="102"/>
      <c r="P827" s="102"/>
      <c r="Q827" s="102"/>
      <c r="R827" s="102"/>
      <c r="S827" s="102"/>
      <c r="T827" s="102"/>
      <c r="U827" s="102"/>
      <c r="V827" s="102"/>
      <c r="W827" s="102"/>
      <c r="X827" s="102"/>
      <c r="Y827" s="102"/>
      <c r="Z827" s="102"/>
      <c r="AA827" s="102"/>
      <c r="AB827" s="102"/>
      <c r="AC827" s="102"/>
      <c r="AD827" s="102"/>
      <c r="AE827" s="102"/>
      <c r="AF827" s="102"/>
      <c r="AG827" s="102"/>
      <c r="AH827" s="102"/>
      <c r="AI827" s="102"/>
      <c r="AJ827" s="102"/>
      <c r="AK827" s="102"/>
      <c r="AL827" s="102"/>
      <c r="AM827" s="102"/>
      <c r="AN827" s="102"/>
      <c r="AO827" s="102"/>
      <c r="AP827" s="102"/>
      <c r="AQ827" s="102"/>
      <c r="AR827" s="102"/>
      <c r="AS827" s="102"/>
      <c r="AT827" s="102"/>
      <c r="AU827" s="102"/>
      <c r="AV827" s="102"/>
    </row>
    <row r="828" ht="12.75" customHeight="1">
      <c r="C828" s="400"/>
      <c r="D828" s="102"/>
      <c r="I828" s="102"/>
      <c r="J828" s="102"/>
      <c r="K828" s="102"/>
      <c r="L828" s="102"/>
      <c r="M828" s="102"/>
      <c r="N828" s="102"/>
      <c r="O828" s="102"/>
      <c r="P828" s="102"/>
      <c r="Q828" s="102"/>
      <c r="R828" s="102"/>
      <c r="S828" s="102"/>
      <c r="T828" s="102"/>
      <c r="U828" s="102"/>
      <c r="V828" s="102"/>
      <c r="W828" s="102"/>
      <c r="X828" s="102"/>
      <c r="Y828" s="102"/>
      <c r="Z828" s="102"/>
      <c r="AA828" s="102"/>
      <c r="AB828" s="102"/>
      <c r="AC828" s="102"/>
      <c r="AD828" s="102"/>
      <c r="AE828" s="102"/>
      <c r="AF828" s="102"/>
      <c r="AG828" s="102"/>
      <c r="AH828" s="102"/>
      <c r="AI828" s="102"/>
      <c r="AJ828" s="102"/>
      <c r="AK828" s="102"/>
      <c r="AL828" s="102"/>
      <c r="AM828" s="102"/>
      <c r="AN828" s="102"/>
      <c r="AO828" s="102"/>
      <c r="AP828" s="102"/>
      <c r="AQ828" s="102"/>
      <c r="AR828" s="102"/>
      <c r="AS828" s="102"/>
      <c r="AT828" s="102"/>
      <c r="AU828" s="102"/>
      <c r="AV828" s="102"/>
    </row>
    <row r="829" ht="12.75" customHeight="1">
      <c r="C829" s="400"/>
      <c r="D829" s="102"/>
      <c r="I829" s="102"/>
      <c r="J829" s="102"/>
      <c r="K829" s="102"/>
      <c r="L829" s="102"/>
      <c r="M829" s="102"/>
      <c r="N829" s="102"/>
      <c r="O829" s="102"/>
      <c r="P829" s="102"/>
      <c r="Q829" s="102"/>
      <c r="R829" s="102"/>
      <c r="S829" s="102"/>
      <c r="T829" s="102"/>
      <c r="U829" s="102"/>
      <c r="V829" s="102"/>
      <c r="W829" s="102"/>
      <c r="X829" s="102"/>
      <c r="Y829" s="102"/>
      <c r="Z829" s="102"/>
      <c r="AA829" s="102"/>
      <c r="AB829" s="102"/>
      <c r="AC829" s="102"/>
      <c r="AD829" s="102"/>
      <c r="AE829" s="102"/>
      <c r="AF829" s="102"/>
      <c r="AG829" s="102"/>
      <c r="AH829" s="102"/>
      <c r="AI829" s="102"/>
      <c r="AJ829" s="102"/>
      <c r="AK829" s="102"/>
      <c r="AL829" s="102"/>
      <c r="AM829" s="102"/>
      <c r="AN829" s="102"/>
      <c r="AO829" s="102"/>
      <c r="AP829" s="102"/>
      <c r="AQ829" s="102"/>
      <c r="AR829" s="102"/>
      <c r="AS829" s="102"/>
      <c r="AT829" s="102"/>
      <c r="AU829" s="102"/>
      <c r="AV829" s="102"/>
    </row>
    <row r="830" ht="12.75" customHeight="1">
      <c r="C830" s="400"/>
      <c r="D830" s="102"/>
      <c r="I830" s="102"/>
      <c r="J830" s="102"/>
      <c r="K830" s="102"/>
      <c r="L830" s="102"/>
      <c r="M830" s="102"/>
      <c r="N830" s="102"/>
      <c r="O830" s="102"/>
      <c r="P830" s="102"/>
      <c r="Q830" s="102"/>
      <c r="R830" s="102"/>
      <c r="S830" s="102"/>
      <c r="T830" s="102"/>
      <c r="U830" s="102"/>
      <c r="V830" s="102"/>
      <c r="W830" s="102"/>
      <c r="X830" s="102"/>
      <c r="Y830" s="102"/>
      <c r="Z830" s="102"/>
      <c r="AA830" s="102"/>
      <c r="AB830" s="102"/>
      <c r="AC830" s="102"/>
      <c r="AD830" s="102"/>
      <c r="AE830" s="102"/>
      <c r="AF830" s="102"/>
      <c r="AG830" s="102"/>
      <c r="AH830" s="102"/>
      <c r="AI830" s="102"/>
      <c r="AJ830" s="102"/>
      <c r="AK830" s="102"/>
      <c r="AL830" s="102"/>
      <c r="AM830" s="102"/>
      <c r="AN830" s="102"/>
      <c r="AO830" s="102"/>
      <c r="AP830" s="102"/>
      <c r="AQ830" s="102"/>
      <c r="AR830" s="102"/>
      <c r="AS830" s="102"/>
      <c r="AT830" s="102"/>
      <c r="AU830" s="102"/>
      <c r="AV830" s="102"/>
    </row>
    <row r="831" ht="12.75" customHeight="1">
      <c r="C831" s="400"/>
      <c r="D831" s="102"/>
      <c r="I831" s="102"/>
      <c r="J831" s="102"/>
      <c r="K831" s="102"/>
      <c r="L831" s="102"/>
      <c r="M831" s="102"/>
      <c r="N831" s="102"/>
      <c r="O831" s="102"/>
      <c r="P831" s="102"/>
      <c r="Q831" s="102"/>
      <c r="R831" s="102"/>
      <c r="S831" s="102"/>
      <c r="T831" s="102"/>
      <c r="U831" s="102"/>
      <c r="V831" s="102"/>
      <c r="W831" s="102"/>
      <c r="X831" s="102"/>
      <c r="Y831" s="102"/>
      <c r="Z831" s="102"/>
      <c r="AA831" s="102"/>
      <c r="AB831" s="102"/>
      <c r="AC831" s="102"/>
      <c r="AD831" s="102"/>
      <c r="AE831" s="102"/>
      <c r="AF831" s="102"/>
      <c r="AG831" s="102"/>
      <c r="AH831" s="102"/>
      <c r="AI831" s="102"/>
      <c r="AJ831" s="102"/>
      <c r="AK831" s="102"/>
      <c r="AL831" s="102"/>
      <c r="AM831" s="102"/>
      <c r="AN831" s="102"/>
      <c r="AO831" s="102"/>
      <c r="AP831" s="102"/>
      <c r="AQ831" s="102"/>
      <c r="AR831" s="102"/>
      <c r="AS831" s="102"/>
      <c r="AT831" s="102"/>
      <c r="AU831" s="102"/>
      <c r="AV831" s="102"/>
    </row>
    <row r="832" ht="12.75" customHeight="1">
      <c r="C832" s="400"/>
      <c r="D832" s="102"/>
      <c r="I832" s="102"/>
      <c r="J832" s="102"/>
      <c r="K832" s="102"/>
      <c r="L832" s="102"/>
      <c r="M832" s="102"/>
      <c r="N832" s="102"/>
      <c r="O832" s="102"/>
      <c r="P832" s="102"/>
      <c r="Q832" s="102"/>
      <c r="R832" s="102"/>
      <c r="S832" s="102"/>
      <c r="T832" s="102"/>
      <c r="U832" s="102"/>
      <c r="V832" s="102"/>
      <c r="W832" s="102"/>
      <c r="X832" s="102"/>
      <c r="Y832" s="102"/>
      <c r="Z832" s="102"/>
      <c r="AA832" s="102"/>
      <c r="AB832" s="102"/>
      <c r="AC832" s="102"/>
      <c r="AD832" s="102"/>
      <c r="AE832" s="102"/>
      <c r="AF832" s="102"/>
      <c r="AG832" s="102"/>
      <c r="AH832" s="102"/>
      <c r="AI832" s="102"/>
      <c r="AJ832" s="102"/>
      <c r="AK832" s="102"/>
      <c r="AL832" s="102"/>
      <c r="AM832" s="102"/>
      <c r="AN832" s="102"/>
      <c r="AO832" s="102"/>
      <c r="AP832" s="102"/>
      <c r="AQ832" s="102"/>
      <c r="AR832" s="102"/>
      <c r="AS832" s="102"/>
      <c r="AT832" s="102"/>
      <c r="AU832" s="102"/>
      <c r="AV832" s="102"/>
    </row>
    <row r="833" ht="12.75" customHeight="1">
      <c r="C833" s="400"/>
      <c r="D833" s="102"/>
      <c r="I833" s="102"/>
      <c r="J833" s="102"/>
      <c r="K833" s="102"/>
      <c r="L833" s="102"/>
      <c r="M833" s="102"/>
      <c r="N833" s="102"/>
      <c r="O833" s="102"/>
      <c r="P833" s="102"/>
      <c r="Q833" s="102"/>
      <c r="R833" s="102"/>
      <c r="S833" s="102"/>
      <c r="T833" s="102"/>
      <c r="U833" s="102"/>
      <c r="V833" s="102"/>
      <c r="W833" s="102"/>
      <c r="X833" s="102"/>
      <c r="Y833" s="102"/>
      <c r="Z833" s="102"/>
      <c r="AA833" s="102"/>
      <c r="AB833" s="102"/>
      <c r="AC833" s="102"/>
      <c r="AD833" s="102"/>
      <c r="AE833" s="102"/>
      <c r="AF833" s="102"/>
      <c r="AG833" s="102"/>
      <c r="AH833" s="102"/>
      <c r="AI833" s="102"/>
      <c r="AJ833" s="102"/>
      <c r="AK833" s="102"/>
      <c r="AL833" s="102"/>
      <c r="AM833" s="102"/>
      <c r="AN833" s="102"/>
      <c r="AO833" s="102"/>
      <c r="AP833" s="102"/>
      <c r="AQ833" s="102"/>
      <c r="AR833" s="102"/>
      <c r="AS833" s="102"/>
      <c r="AT833" s="102"/>
      <c r="AU833" s="102"/>
      <c r="AV833" s="102"/>
    </row>
    <row r="834" ht="12.75" customHeight="1">
      <c r="C834" s="400"/>
      <c r="D834" s="102"/>
      <c r="I834" s="102"/>
      <c r="J834" s="102"/>
      <c r="K834" s="102"/>
      <c r="L834" s="102"/>
      <c r="M834" s="102"/>
      <c r="N834" s="102"/>
      <c r="O834" s="102"/>
      <c r="P834" s="102"/>
      <c r="Q834" s="102"/>
      <c r="R834" s="102"/>
      <c r="S834" s="102"/>
      <c r="T834" s="102"/>
      <c r="U834" s="102"/>
      <c r="V834" s="102"/>
      <c r="W834" s="102"/>
      <c r="X834" s="102"/>
      <c r="Y834" s="102"/>
      <c r="Z834" s="102"/>
      <c r="AA834" s="102"/>
      <c r="AB834" s="102"/>
      <c r="AC834" s="102"/>
      <c r="AD834" s="102"/>
      <c r="AE834" s="102"/>
      <c r="AF834" s="102"/>
      <c r="AG834" s="102"/>
      <c r="AH834" s="102"/>
      <c r="AI834" s="102"/>
      <c r="AJ834" s="102"/>
      <c r="AK834" s="102"/>
      <c r="AL834" s="102"/>
      <c r="AM834" s="102"/>
      <c r="AN834" s="102"/>
      <c r="AO834" s="102"/>
      <c r="AP834" s="102"/>
      <c r="AQ834" s="102"/>
      <c r="AR834" s="102"/>
      <c r="AS834" s="102"/>
      <c r="AT834" s="102"/>
      <c r="AU834" s="102"/>
      <c r="AV834" s="102"/>
    </row>
    <row r="835" ht="12.75" customHeight="1">
      <c r="C835" s="400"/>
      <c r="D835" s="102"/>
      <c r="I835" s="102"/>
      <c r="J835" s="102"/>
      <c r="K835" s="102"/>
      <c r="L835" s="102"/>
      <c r="M835" s="102"/>
      <c r="N835" s="102"/>
      <c r="O835" s="102"/>
      <c r="P835" s="102"/>
      <c r="Q835" s="102"/>
      <c r="R835" s="102"/>
      <c r="S835" s="102"/>
      <c r="T835" s="102"/>
      <c r="U835" s="102"/>
      <c r="V835" s="102"/>
      <c r="W835" s="102"/>
      <c r="X835" s="102"/>
      <c r="Y835" s="102"/>
      <c r="Z835" s="102"/>
      <c r="AA835" s="102"/>
      <c r="AB835" s="102"/>
      <c r="AC835" s="102"/>
      <c r="AD835" s="102"/>
      <c r="AE835" s="102"/>
      <c r="AF835" s="102"/>
      <c r="AG835" s="102"/>
      <c r="AH835" s="102"/>
      <c r="AI835" s="102"/>
      <c r="AJ835" s="102"/>
      <c r="AK835" s="102"/>
      <c r="AL835" s="102"/>
      <c r="AM835" s="102"/>
      <c r="AN835" s="102"/>
      <c r="AO835" s="102"/>
      <c r="AP835" s="102"/>
      <c r="AQ835" s="102"/>
      <c r="AR835" s="102"/>
      <c r="AS835" s="102"/>
      <c r="AT835" s="102"/>
      <c r="AU835" s="102"/>
      <c r="AV835" s="102"/>
    </row>
    <row r="836" ht="12.75" customHeight="1">
      <c r="C836" s="400"/>
      <c r="D836" s="102"/>
      <c r="I836" s="102"/>
      <c r="J836" s="102"/>
      <c r="K836" s="102"/>
      <c r="L836" s="102"/>
      <c r="M836" s="102"/>
      <c r="N836" s="102"/>
      <c r="O836" s="102"/>
      <c r="P836" s="102"/>
      <c r="Q836" s="102"/>
      <c r="R836" s="102"/>
      <c r="S836" s="102"/>
      <c r="T836" s="102"/>
      <c r="U836" s="102"/>
      <c r="V836" s="102"/>
      <c r="W836" s="102"/>
      <c r="X836" s="102"/>
      <c r="Y836" s="102"/>
      <c r="Z836" s="102"/>
      <c r="AA836" s="102"/>
      <c r="AB836" s="102"/>
      <c r="AC836" s="102"/>
      <c r="AD836" s="102"/>
      <c r="AE836" s="102"/>
      <c r="AF836" s="102"/>
      <c r="AG836" s="102"/>
      <c r="AH836" s="102"/>
      <c r="AI836" s="102"/>
      <c r="AJ836" s="102"/>
      <c r="AK836" s="102"/>
      <c r="AL836" s="102"/>
      <c r="AM836" s="102"/>
      <c r="AN836" s="102"/>
      <c r="AO836" s="102"/>
      <c r="AP836" s="102"/>
      <c r="AQ836" s="102"/>
      <c r="AR836" s="102"/>
      <c r="AS836" s="102"/>
      <c r="AT836" s="102"/>
      <c r="AU836" s="102"/>
      <c r="AV836" s="102"/>
    </row>
    <row r="837" ht="12.75" customHeight="1">
      <c r="C837" s="400"/>
      <c r="D837" s="102"/>
      <c r="I837" s="102"/>
      <c r="J837" s="102"/>
      <c r="K837" s="102"/>
      <c r="L837" s="102"/>
      <c r="M837" s="102"/>
      <c r="N837" s="102"/>
      <c r="O837" s="102"/>
      <c r="P837" s="102"/>
      <c r="Q837" s="102"/>
      <c r="R837" s="102"/>
      <c r="S837" s="102"/>
      <c r="T837" s="102"/>
      <c r="U837" s="102"/>
      <c r="V837" s="102"/>
      <c r="W837" s="102"/>
      <c r="X837" s="102"/>
      <c r="Y837" s="102"/>
      <c r="Z837" s="102"/>
      <c r="AA837" s="102"/>
      <c r="AB837" s="102"/>
      <c r="AC837" s="102"/>
      <c r="AD837" s="102"/>
      <c r="AE837" s="102"/>
      <c r="AF837" s="102"/>
      <c r="AG837" s="102"/>
      <c r="AH837" s="102"/>
      <c r="AI837" s="102"/>
      <c r="AJ837" s="102"/>
      <c r="AK837" s="102"/>
      <c r="AL837" s="102"/>
      <c r="AM837" s="102"/>
      <c r="AN837" s="102"/>
      <c r="AO837" s="102"/>
      <c r="AP837" s="102"/>
      <c r="AQ837" s="102"/>
      <c r="AR837" s="102"/>
      <c r="AS837" s="102"/>
      <c r="AT837" s="102"/>
      <c r="AU837" s="102"/>
      <c r="AV837" s="102"/>
    </row>
    <row r="838" ht="12.75" customHeight="1">
      <c r="C838" s="400"/>
      <c r="D838" s="102"/>
      <c r="I838" s="102"/>
      <c r="J838" s="102"/>
      <c r="K838" s="102"/>
      <c r="L838" s="102"/>
      <c r="M838" s="102"/>
      <c r="N838" s="102"/>
      <c r="O838" s="102"/>
      <c r="P838" s="102"/>
      <c r="Q838" s="102"/>
      <c r="R838" s="102"/>
      <c r="S838" s="102"/>
      <c r="T838" s="102"/>
      <c r="U838" s="102"/>
      <c r="V838" s="102"/>
      <c r="W838" s="102"/>
      <c r="X838" s="102"/>
      <c r="Y838" s="102"/>
      <c r="Z838" s="102"/>
      <c r="AA838" s="102"/>
      <c r="AB838" s="102"/>
      <c r="AC838" s="102"/>
      <c r="AD838" s="102"/>
      <c r="AE838" s="102"/>
      <c r="AF838" s="102"/>
      <c r="AG838" s="102"/>
      <c r="AH838" s="102"/>
      <c r="AI838" s="102"/>
      <c r="AJ838" s="102"/>
      <c r="AK838" s="102"/>
      <c r="AL838" s="102"/>
      <c r="AM838" s="102"/>
      <c r="AN838" s="102"/>
      <c r="AO838" s="102"/>
      <c r="AP838" s="102"/>
      <c r="AQ838" s="102"/>
      <c r="AR838" s="102"/>
      <c r="AS838" s="102"/>
      <c r="AT838" s="102"/>
      <c r="AU838" s="102"/>
      <c r="AV838" s="102"/>
    </row>
    <row r="839" ht="12.75" customHeight="1">
      <c r="C839" s="400"/>
      <c r="D839" s="102"/>
      <c r="I839" s="102"/>
      <c r="J839" s="102"/>
      <c r="K839" s="102"/>
      <c r="L839" s="102"/>
      <c r="M839" s="102"/>
      <c r="N839" s="102"/>
      <c r="O839" s="102"/>
      <c r="P839" s="102"/>
      <c r="Q839" s="102"/>
      <c r="R839" s="102"/>
      <c r="S839" s="102"/>
      <c r="T839" s="102"/>
      <c r="U839" s="102"/>
      <c r="V839" s="102"/>
      <c r="W839" s="102"/>
      <c r="X839" s="102"/>
      <c r="Y839" s="102"/>
      <c r="Z839" s="102"/>
      <c r="AA839" s="102"/>
      <c r="AB839" s="102"/>
      <c r="AC839" s="102"/>
      <c r="AD839" s="102"/>
      <c r="AE839" s="102"/>
      <c r="AF839" s="102"/>
      <c r="AG839" s="102"/>
      <c r="AH839" s="102"/>
      <c r="AI839" s="102"/>
      <c r="AJ839" s="102"/>
      <c r="AK839" s="102"/>
      <c r="AL839" s="102"/>
      <c r="AM839" s="102"/>
      <c r="AN839" s="102"/>
      <c r="AO839" s="102"/>
      <c r="AP839" s="102"/>
      <c r="AQ839" s="102"/>
      <c r="AR839" s="102"/>
      <c r="AS839" s="102"/>
      <c r="AT839" s="102"/>
      <c r="AU839" s="102"/>
      <c r="AV839" s="102"/>
    </row>
    <row r="840" ht="12.75" customHeight="1">
      <c r="C840" s="400"/>
      <c r="D840" s="102"/>
      <c r="I840" s="102"/>
      <c r="J840" s="102"/>
      <c r="K840" s="102"/>
      <c r="L840" s="102"/>
      <c r="M840" s="102"/>
      <c r="N840" s="102"/>
      <c r="O840" s="102"/>
      <c r="P840" s="102"/>
      <c r="Q840" s="102"/>
      <c r="R840" s="102"/>
      <c r="S840" s="102"/>
      <c r="T840" s="102"/>
      <c r="U840" s="102"/>
      <c r="V840" s="102"/>
      <c r="W840" s="102"/>
      <c r="X840" s="102"/>
      <c r="Y840" s="102"/>
      <c r="Z840" s="102"/>
      <c r="AA840" s="102"/>
      <c r="AB840" s="102"/>
      <c r="AC840" s="102"/>
      <c r="AD840" s="102"/>
      <c r="AE840" s="102"/>
      <c r="AF840" s="102"/>
      <c r="AG840" s="102"/>
      <c r="AH840" s="102"/>
      <c r="AI840" s="102"/>
      <c r="AJ840" s="102"/>
      <c r="AK840" s="102"/>
      <c r="AL840" s="102"/>
      <c r="AM840" s="102"/>
      <c r="AN840" s="102"/>
      <c r="AO840" s="102"/>
      <c r="AP840" s="102"/>
      <c r="AQ840" s="102"/>
      <c r="AR840" s="102"/>
      <c r="AS840" s="102"/>
      <c r="AT840" s="102"/>
      <c r="AU840" s="102"/>
      <c r="AV840" s="102"/>
    </row>
    <row r="841" ht="12.75" customHeight="1">
      <c r="C841" s="400"/>
      <c r="D841" s="102"/>
      <c r="I841" s="102"/>
      <c r="J841" s="102"/>
      <c r="K841" s="102"/>
      <c r="L841" s="102"/>
      <c r="M841" s="102"/>
      <c r="N841" s="102"/>
      <c r="O841" s="102"/>
      <c r="P841" s="102"/>
      <c r="Q841" s="102"/>
      <c r="R841" s="102"/>
      <c r="S841" s="102"/>
      <c r="T841" s="102"/>
      <c r="U841" s="102"/>
      <c r="V841" s="102"/>
      <c r="W841" s="102"/>
      <c r="X841" s="102"/>
      <c r="Y841" s="102"/>
      <c r="Z841" s="102"/>
      <c r="AA841" s="102"/>
      <c r="AB841" s="102"/>
      <c r="AC841" s="102"/>
      <c r="AD841" s="102"/>
      <c r="AE841" s="102"/>
      <c r="AF841" s="102"/>
      <c r="AG841" s="102"/>
      <c r="AH841" s="102"/>
      <c r="AI841" s="102"/>
      <c r="AJ841" s="102"/>
      <c r="AK841" s="102"/>
      <c r="AL841" s="102"/>
      <c r="AM841" s="102"/>
      <c r="AN841" s="102"/>
      <c r="AO841" s="102"/>
      <c r="AP841" s="102"/>
      <c r="AQ841" s="102"/>
      <c r="AR841" s="102"/>
      <c r="AS841" s="102"/>
      <c r="AT841" s="102"/>
      <c r="AU841" s="102"/>
      <c r="AV841" s="102"/>
    </row>
    <row r="842" ht="12.75" customHeight="1">
      <c r="C842" s="400"/>
      <c r="D842" s="102"/>
      <c r="I842" s="102"/>
      <c r="J842" s="102"/>
      <c r="K842" s="102"/>
      <c r="L842" s="102"/>
      <c r="M842" s="102"/>
      <c r="N842" s="102"/>
      <c r="O842" s="102"/>
      <c r="P842" s="102"/>
      <c r="Q842" s="102"/>
      <c r="R842" s="102"/>
      <c r="S842" s="102"/>
      <c r="T842" s="102"/>
      <c r="U842" s="102"/>
      <c r="V842" s="102"/>
      <c r="W842" s="102"/>
      <c r="X842" s="102"/>
      <c r="Y842" s="102"/>
      <c r="Z842" s="102"/>
      <c r="AA842" s="102"/>
      <c r="AB842" s="102"/>
      <c r="AC842" s="102"/>
      <c r="AD842" s="102"/>
      <c r="AE842" s="102"/>
      <c r="AF842" s="102"/>
      <c r="AG842" s="102"/>
      <c r="AH842" s="102"/>
      <c r="AI842" s="102"/>
      <c r="AJ842" s="102"/>
      <c r="AK842" s="102"/>
      <c r="AL842" s="102"/>
      <c r="AM842" s="102"/>
      <c r="AN842" s="102"/>
      <c r="AO842" s="102"/>
      <c r="AP842" s="102"/>
      <c r="AQ842" s="102"/>
      <c r="AR842" s="102"/>
      <c r="AS842" s="102"/>
      <c r="AT842" s="102"/>
      <c r="AU842" s="102"/>
      <c r="AV842" s="102"/>
    </row>
    <row r="843" ht="12.75" customHeight="1">
      <c r="C843" s="400"/>
      <c r="D843" s="102"/>
      <c r="I843" s="102"/>
      <c r="J843" s="102"/>
      <c r="K843" s="102"/>
      <c r="L843" s="102"/>
      <c r="M843" s="102"/>
      <c r="N843" s="102"/>
      <c r="O843" s="102"/>
      <c r="P843" s="102"/>
      <c r="Q843" s="102"/>
      <c r="R843" s="102"/>
      <c r="S843" s="102"/>
      <c r="T843" s="102"/>
      <c r="U843" s="102"/>
      <c r="V843" s="102"/>
      <c r="W843" s="102"/>
      <c r="X843" s="102"/>
      <c r="Y843" s="102"/>
      <c r="Z843" s="102"/>
      <c r="AA843" s="102"/>
      <c r="AB843" s="102"/>
      <c r="AC843" s="102"/>
      <c r="AD843" s="102"/>
      <c r="AE843" s="102"/>
      <c r="AF843" s="102"/>
      <c r="AG843" s="102"/>
      <c r="AH843" s="102"/>
      <c r="AI843" s="102"/>
      <c r="AJ843" s="102"/>
      <c r="AK843" s="102"/>
      <c r="AL843" s="102"/>
      <c r="AM843" s="102"/>
      <c r="AN843" s="102"/>
      <c r="AO843" s="102"/>
      <c r="AP843" s="102"/>
      <c r="AQ843" s="102"/>
      <c r="AR843" s="102"/>
      <c r="AS843" s="102"/>
      <c r="AT843" s="102"/>
      <c r="AU843" s="102"/>
      <c r="AV843" s="102"/>
    </row>
    <row r="844" ht="12.75" customHeight="1">
      <c r="C844" s="400"/>
      <c r="D844" s="102"/>
      <c r="I844" s="102"/>
      <c r="J844" s="102"/>
      <c r="K844" s="102"/>
      <c r="L844" s="102"/>
      <c r="M844" s="102"/>
      <c r="N844" s="102"/>
      <c r="O844" s="102"/>
      <c r="P844" s="102"/>
      <c r="Q844" s="102"/>
      <c r="R844" s="102"/>
      <c r="S844" s="102"/>
      <c r="T844" s="102"/>
      <c r="U844" s="102"/>
      <c r="V844" s="102"/>
      <c r="W844" s="102"/>
      <c r="X844" s="102"/>
      <c r="Y844" s="102"/>
      <c r="Z844" s="102"/>
      <c r="AA844" s="102"/>
      <c r="AB844" s="102"/>
      <c r="AC844" s="102"/>
      <c r="AD844" s="102"/>
      <c r="AE844" s="102"/>
      <c r="AF844" s="102"/>
      <c r="AG844" s="102"/>
      <c r="AH844" s="102"/>
      <c r="AI844" s="102"/>
      <c r="AJ844" s="102"/>
      <c r="AK844" s="102"/>
      <c r="AL844" s="102"/>
      <c r="AM844" s="102"/>
      <c r="AN844" s="102"/>
      <c r="AO844" s="102"/>
      <c r="AP844" s="102"/>
      <c r="AQ844" s="102"/>
      <c r="AR844" s="102"/>
      <c r="AS844" s="102"/>
      <c r="AT844" s="102"/>
      <c r="AU844" s="102"/>
      <c r="AV844" s="102"/>
    </row>
    <row r="845" ht="12.75" customHeight="1">
      <c r="C845" s="400"/>
      <c r="D845" s="102"/>
      <c r="I845" s="102"/>
      <c r="J845" s="102"/>
      <c r="K845" s="102"/>
      <c r="L845" s="102"/>
      <c r="M845" s="102"/>
      <c r="N845" s="102"/>
      <c r="O845" s="102"/>
      <c r="P845" s="102"/>
      <c r="Q845" s="102"/>
      <c r="R845" s="102"/>
      <c r="S845" s="102"/>
      <c r="T845" s="102"/>
      <c r="U845" s="102"/>
      <c r="V845" s="102"/>
      <c r="W845" s="102"/>
      <c r="X845" s="102"/>
      <c r="Y845" s="102"/>
      <c r="Z845" s="102"/>
      <c r="AA845" s="102"/>
      <c r="AB845" s="102"/>
      <c r="AC845" s="102"/>
      <c r="AD845" s="102"/>
      <c r="AE845" s="102"/>
      <c r="AF845" s="102"/>
      <c r="AG845" s="102"/>
      <c r="AH845" s="102"/>
      <c r="AI845" s="102"/>
      <c r="AJ845" s="102"/>
      <c r="AK845" s="102"/>
      <c r="AL845" s="102"/>
      <c r="AM845" s="102"/>
      <c r="AN845" s="102"/>
      <c r="AO845" s="102"/>
      <c r="AP845" s="102"/>
      <c r="AQ845" s="102"/>
      <c r="AR845" s="102"/>
      <c r="AS845" s="102"/>
      <c r="AT845" s="102"/>
      <c r="AU845" s="102"/>
      <c r="AV845" s="102"/>
    </row>
    <row r="846" ht="12.75" customHeight="1">
      <c r="C846" s="400"/>
      <c r="D846" s="102"/>
      <c r="I846" s="102"/>
      <c r="J846" s="102"/>
      <c r="K846" s="102"/>
      <c r="L846" s="102"/>
      <c r="M846" s="102"/>
      <c r="N846" s="102"/>
      <c r="O846" s="102"/>
      <c r="P846" s="102"/>
      <c r="Q846" s="102"/>
      <c r="R846" s="102"/>
      <c r="S846" s="102"/>
      <c r="T846" s="102"/>
      <c r="U846" s="102"/>
      <c r="V846" s="102"/>
      <c r="W846" s="102"/>
      <c r="X846" s="102"/>
      <c r="Y846" s="102"/>
      <c r="Z846" s="102"/>
      <c r="AA846" s="102"/>
      <c r="AB846" s="102"/>
      <c r="AC846" s="102"/>
      <c r="AD846" s="102"/>
      <c r="AE846" s="102"/>
      <c r="AF846" s="102"/>
      <c r="AG846" s="102"/>
      <c r="AH846" s="102"/>
      <c r="AI846" s="102"/>
      <c r="AJ846" s="102"/>
      <c r="AK846" s="102"/>
      <c r="AL846" s="102"/>
      <c r="AM846" s="102"/>
      <c r="AN846" s="102"/>
      <c r="AO846" s="102"/>
      <c r="AP846" s="102"/>
      <c r="AQ846" s="102"/>
      <c r="AR846" s="102"/>
      <c r="AS846" s="102"/>
      <c r="AT846" s="102"/>
      <c r="AU846" s="102"/>
      <c r="AV846" s="102"/>
    </row>
    <row r="847" ht="12.75" customHeight="1">
      <c r="C847" s="400"/>
      <c r="D847" s="102"/>
      <c r="I847" s="102"/>
      <c r="J847" s="102"/>
      <c r="K847" s="102"/>
      <c r="L847" s="102"/>
      <c r="M847" s="102"/>
      <c r="N847" s="102"/>
      <c r="O847" s="102"/>
      <c r="P847" s="102"/>
      <c r="Q847" s="102"/>
      <c r="R847" s="102"/>
      <c r="S847" s="102"/>
      <c r="T847" s="102"/>
      <c r="U847" s="102"/>
      <c r="V847" s="102"/>
      <c r="W847" s="102"/>
      <c r="X847" s="102"/>
      <c r="Y847" s="102"/>
      <c r="Z847" s="102"/>
      <c r="AA847" s="102"/>
      <c r="AB847" s="102"/>
      <c r="AC847" s="102"/>
      <c r="AD847" s="102"/>
      <c r="AE847" s="102"/>
      <c r="AF847" s="102"/>
      <c r="AG847" s="102"/>
      <c r="AH847" s="102"/>
      <c r="AI847" s="102"/>
      <c r="AJ847" s="102"/>
      <c r="AK847" s="102"/>
      <c r="AL847" s="102"/>
      <c r="AM847" s="102"/>
      <c r="AN847" s="102"/>
      <c r="AO847" s="102"/>
      <c r="AP847" s="102"/>
      <c r="AQ847" s="102"/>
      <c r="AR847" s="102"/>
      <c r="AS847" s="102"/>
      <c r="AT847" s="102"/>
      <c r="AU847" s="102"/>
      <c r="AV847" s="102"/>
    </row>
    <row r="848" ht="12.75" customHeight="1">
      <c r="C848" s="400"/>
      <c r="D848" s="102"/>
      <c r="I848" s="102"/>
      <c r="J848" s="102"/>
      <c r="K848" s="102"/>
      <c r="L848" s="102"/>
      <c r="M848" s="102"/>
      <c r="N848" s="102"/>
      <c r="O848" s="102"/>
      <c r="P848" s="102"/>
      <c r="Q848" s="102"/>
      <c r="R848" s="102"/>
      <c r="S848" s="102"/>
      <c r="T848" s="102"/>
      <c r="U848" s="102"/>
      <c r="V848" s="102"/>
      <c r="W848" s="102"/>
      <c r="X848" s="102"/>
      <c r="Y848" s="102"/>
      <c r="Z848" s="102"/>
      <c r="AA848" s="102"/>
      <c r="AB848" s="102"/>
      <c r="AC848" s="102"/>
      <c r="AD848" s="102"/>
      <c r="AE848" s="102"/>
      <c r="AF848" s="102"/>
      <c r="AG848" s="102"/>
      <c r="AH848" s="102"/>
      <c r="AI848" s="102"/>
      <c r="AJ848" s="102"/>
      <c r="AK848" s="102"/>
      <c r="AL848" s="102"/>
      <c r="AM848" s="102"/>
      <c r="AN848" s="102"/>
      <c r="AO848" s="102"/>
      <c r="AP848" s="102"/>
      <c r="AQ848" s="102"/>
      <c r="AR848" s="102"/>
      <c r="AS848" s="102"/>
      <c r="AT848" s="102"/>
      <c r="AU848" s="102"/>
      <c r="AV848" s="102"/>
    </row>
    <row r="849" ht="12.75" customHeight="1">
      <c r="C849" s="400"/>
      <c r="D849" s="102"/>
      <c r="I849" s="102"/>
      <c r="J849" s="102"/>
      <c r="K849" s="102"/>
      <c r="L849" s="102"/>
      <c r="M849" s="102"/>
      <c r="N849" s="102"/>
      <c r="O849" s="102"/>
      <c r="P849" s="102"/>
      <c r="Q849" s="102"/>
      <c r="R849" s="102"/>
      <c r="S849" s="102"/>
      <c r="T849" s="102"/>
      <c r="U849" s="102"/>
      <c r="V849" s="102"/>
      <c r="W849" s="102"/>
      <c r="X849" s="102"/>
      <c r="Y849" s="102"/>
      <c r="Z849" s="102"/>
      <c r="AA849" s="102"/>
      <c r="AB849" s="102"/>
      <c r="AC849" s="102"/>
      <c r="AD849" s="102"/>
      <c r="AE849" s="102"/>
      <c r="AF849" s="102"/>
      <c r="AG849" s="102"/>
      <c r="AH849" s="102"/>
      <c r="AI849" s="102"/>
      <c r="AJ849" s="102"/>
      <c r="AK849" s="102"/>
      <c r="AL849" s="102"/>
      <c r="AM849" s="102"/>
      <c r="AN849" s="102"/>
      <c r="AO849" s="102"/>
      <c r="AP849" s="102"/>
      <c r="AQ849" s="102"/>
      <c r="AR849" s="102"/>
      <c r="AS849" s="102"/>
      <c r="AT849" s="102"/>
      <c r="AU849" s="102"/>
      <c r="AV849" s="102"/>
    </row>
    <row r="850" ht="12.75" customHeight="1">
      <c r="C850" s="400"/>
      <c r="D850" s="102"/>
      <c r="I850" s="102"/>
      <c r="J850" s="102"/>
      <c r="K850" s="102"/>
      <c r="L850" s="102"/>
      <c r="M850" s="102"/>
      <c r="N850" s="102"/>
      <c r="O850" s="102"/>
      <c r="P850" s="102"/>
      <c r="Q850" s="102"/>
      <c r="R850" s="102"/>
      <c r="S850" s="102"/>
      <c r="T850" s="102"/>
      <c r="U850" s="102"/>
      <c r="V850" s="102"/>
      <c r="W850" s="102"/>
      <c r="X850" s="102"/>
      <c r="Y850" s="102"/>
      <c r="Z850" s="102"/>
      <c r="AA850" s="102"/>
      <c r="AB850" s="102"/>
      <c r="AC850" s="102"/>
      <c r="AD850" s="102"/>
      <c r="AE850" s="102"/>
      <c r="AF850" s="102"/>
      <c r="AG850" s="102"/>
      <c r="AH850" s="102"/>
      <c r="AI850" s="102"/>
      <c r="AJ850" s="102"/>
      <c r="AK850" s="102"/>
      <c r="AL850" s="102"/>
      <c r="AM850" s="102"/>
      <c r="AN850" s="102"/>
      <c r="AO850" s="102"/>
      <c r="AP850" s="102"/>
      <c r="AQ850" s="102"/>
      <c r="AR850" s="102"/>
      <c r="AS850" s="102"/>
      <c r="AT850" s="102"/>
      <c r="AU850" s="102"/>
      <c r="AV850" s="102"/>
    </row>
    <row r="851" ht="12.75" customHeight="1">
      <c r="C851" s="400"/>
      <c r="D851" s="102"/>
      <c r="I851" s="102"/>
      <c r="J851" s="102"/>
      <c r="K851" s="102"/>
      <c r="L851" s="102"/>
      <c r="M851" s="102"/>
      <c r="N851" s="102"/>
      <c r="O851" s="102"/>
      <c r="P851" s="102"/>
      <c r="Q851" s="102"/>
      <c r="R851" s="102"/>
      <c r="S851" s="102"/>
      <c r="T851" s="102"/>
      <c r="U851" s="102"/>
      <c r="V851" s="102"/>
      <c r="W851" s="102"/>
      <c r="X851" s="102"/>
      <c r="Y851" s="102"/>
      <c r="Z851" s="102"/>
      <c r="AA851" s="102"/>
      <c r="AB851" s="102"/>
      <c r="AC851" s="102"/>
      <c r="AD851" s="102"/>
      <c r="AE851" s="102"/>
      <c r="AF851" s="102"/>
      <c r="AG851" s="102"/>
      <c r="AH851" s="102"/>
      <c r="AI851" s="102"/>
      <c r="AJ851" s="102"/>
      <c r="AK851" s="102"/>
      <c r="AL851" s="102"/>
      <c r="AM851" s="102"/>
      <c r="AN851" s="102"/>
      <c r="AO851" s="102"/>
      <c r="AP851" s="102"/>
      <c r="AQ851" s="102"/>
      <c r="AR851" s="102"/>
      <c r="AS851" s="102"/>
      <c r="AT851" s="102"/>
      <c r="AU851" s="102"/>
      <c r="AV851" s="102"/>
    </row>
    <row r="852" ht="12.75" customHeight="1">
      <c r="C852" s="400"/>
      <c r="D852" s="102"/>
      <c r="I852" s="102"/>
      <c r="J852" s="102"/>
      <c r="K852" s="102"/>
      <c r="L852" s="102"/>
      <c r="M852" s="102"/>
      <c r="N852" s="102"/>
      <c r="O852" s="102"/>
      <c r="P852" s="102"/>
      <c r="Q852" s="102"/>
      <c r="R852" s="102"/>
      <c r="S852" s="102"/>
      <c r="T852" s="102"/>
      <c r="U852" s="102"/>
      <c r="V852" s="102"/>
      <c r="W852" s="102"/>
      <c r="X852" s="102"/>
      <c r="Y852" s="102"/>
      <c r="Z852" s="102"/>
      <c r="AA852" s="102"/>
      <c r="AB852" s="102"/>
      <c r="AC852" s="102"/>
      <c r="AD852" s="102"/>
      <c r="AE852" s="102"/>
      <c r="AF852" s="102"/>
      <c r="AG852" s="102"/>
      <c r="AH852" s="102"/>
      <c r="AI852" s="102"/>
      <c r="AJ852" s="102"/>
      <c r="AK852" s="102"/>
      <c r="AL852" s="102"/>
      <c r="AM852" s="102"/>
      <c r="AN852" s="102"/>
      <c r="AO852" s="102"/>
      <c r="AP852" s="102"/>
      <c r="AQ852" s="102"/>
      <c r="AR852" s="102"/>
      <c r="AS852" s="102"/>
      <c r="AT852" s="102"/>
      <c r="AU852" s="102"/>
      <c r="AV852" s="102"/>
    </row>
    <row r="853" ht="12.75" customHeight="1">
      <c r="C853" s="400"/>
      <c r="D853" s="102"/>
      <c r="I853" s="102"/>
      <c r="J853" s="102"/>
      <c r="K853" s="102"/>
      <c r="L853" s="102"/>
      <c r="M853" s="102"/>
      <c r="N853" s="102"/>
      <c r="O853" s="102"/>
      <c r="P853" s="102"/>
      <c r="Q853" s="102"/>
      <c r="R853" s="102"/>
      <c r="S853" s="102"/>
      <c r="T853" s="102"/>
      <c r="U853" s="102"/>
      <c r="V853" s="102"/>
      <c r="W853" s="102"/>
      <c r="X853" s="102"/>
      <c r="Y853" s="102"/>
      <c r="Z853" s="102"/>
      <c r="AA853" s="102"/>
      <c r="AB853" s="102"/>
      <c r="AC853" s="102"/>
      <c r="AD853" s="102"/>
      <c r="AE853" s="102"/>
      <c r="AF853" s="102"/>
      <c r="AG853" s="102"/>
      <c r="AH853" s="102"/>
      <c r="AI853" s="102"/>
      <c r="AJ853" s="102"/>
      <c r="AK853" s="102"/>
      <c r="AL853" s="102"/>
      <c r="AM853" s="102"/>
      <c r="AN853" s="102"/>
      <c r="AO853" s="102"/>
      <c r="AP853" s="102"/>
      <c r="AQ853" s="102"/>
      <c r="AR853" s="102"/>
      <c r="AS853" s="102"/>
      <c r="AT853" s="102"/>
      <c r="AU853" s="102"/>
      <c r="AV853" s="102"/>
    </row>
    <row r="854" ht="12.75" customHeight="1">
      <c r="C854" s="400"/>
      <c r="D854" s="102"/>
      <c r="I854" s="102"/>
      <c r="J854" s="102"/>
      <c r="K854" s="102"/>
      <c r="L854" s="102"/>
      <c r="M854" s="102"/>
      <c r="N854" s="102"/>
      <c r="O854" s="102"/>
      <c r="P854" s="102"/>
      <c r="Q854" s="102"/>
      <c r="R854" s="102"/>
      <c r="S854" s="102"/>
      <c r="T854" s="102"/>
      <c r="U854" s="102"/>
      <c r="V854" s="102"/>
      <c r="W854" s="102"/>
      <c r="X854" s="102"/>
      <c r="Y854" s="102"/>
      <c r="Z854" s="102"/>
      <c r="AA854" s="102"/>
      <c r="AB854" s="102"/>
      <c r="AC854" s="102"/>
      <c r="AD854" s="102"/>
      <c r="AE854" s="102"/>
      <c r="AF854" s="102"/>
      <c r="AG854" s="102"/>
      <c r="AH854" s="102"/>
      <c r="AI854" s="102"/>
      <c r="AJ854" s="102"/>
      <c r="AK854" s="102"/>
      <c r="AL854" s="102"/>
      <c r="AM854" s="102"/>
      <c r="AN854" s="102"/>
      <c r="AO854" s="102"/>
      <c r="AP854" s="102"/>
      <c r="AQ854" s="102"/>
      <c r="AR854" s="102"/>
      <c r="AS854" s="102"/>
      <c r="AT854" s="102"/>
      <c r="AU854" s="102"/>
      <c r="AV854" s="102"/>
    </row>
    <row r="855" ht="12.75" customHeight="1">
      <c r="C855" s="400"/>
      <c r="D855" s="102"/>
      <c r="I855" s="102"/>
      <c r="J855" s="102"/>
      <c r="K855" s="102"/>
      <c r="L855" s="102"/>
      <c r="M855" s="102"/>
      <c r="N855" s="102"/>
      <c r="O855" s="102"/>
      <c r="P855" s="102"/>
      <c r="Q855" s="102"/>
      <c r="R855" s="102"/>
      <c r="S855" s="102"/>
      <c r="T855" s="102"/>
      <c r="U855" s="102"/>
      <c r="V855" s="102"/>
      <c r="W855" s="102"/>
      <c r="X855" s="102"/>
      <c r="Y855" s="102"/>
      <c r="Z855" s="102"/>
      <c r="AA855" s="102"/>
      <c r="AB855" s="102"/>
      <c r="AC855" s="102"/>
      <c r="AD855" s="102"/>
      <c r="AE855" s="102"/>
      <c r="AF855" s="102"/>
      <c r="AG855" s="102"/>
      <c r="AH855" s="102"/>
      <c r="AI855" s="102"/>
      <c r="AJ855" s="102"/>
      <c r="AK855" s="102"/>
      <c r="AL855" s="102"/>
      <c r="AM855" s="102"/>
      <c r="AN855" s="102"/>
      <c r="AO855" s="102"/>
      <c r="AP855" s="102"/>
      <c r="AQ855" s="102"/>
      <c r="AR855" s="102"/>
      <c r="AS855" s="102"/>
      <c r="AT855" s="102"/>
      <c r="AU855" s="102"/>
      <c r="AV855" s="102"/>
    </row>
    <row r="856" ht="12.75" customHeight="1">
      <c r="C856" s="400"/>
      <c r="D856" s="102"/>
      <c r="I856" s="102"/>
      <c r="J856" s="102"/>
      <c r="K856" s="102"/>
      <c r="L856" s="102"/>
      <c r="M856" s="102"/>
      <c r="N856" s="102"/>
      <c r="O856" s="102"/>
      <c r="P856" s="102"/>
      <c r="Q856" s="102"/>
      <c r="R856" s="102"/>
      <c r="S856" s="102"/>
      <c r="T856" s="102"/>
      <c r="U856" s="102"/>
      <c r="V856" s="102"/>
      <c r="W856" s="102"/>
      <c r="X856" s="102"/>
      <c r="Y856" s="102"/>
      <c r="Z856" s="102"/>
      <c r="AA856" s="102"/>
      <c r="AB856" s="102"/>
      <c r="AC856" s="102"/>
      <c r="AD856" s="102"/>
      <c r="AE856" s="102"/>
      <c r="AF856" s="102"/>
      <c r="AG856" s="102"/>
      <c r="AH856" s="102"/>
      <c r="AI856" s="102"/>
      <c r="AJ856" s="102"/>
      <c r="AK856" s="102"/>
      <c r="AL856" s="102"/>
      <c r="AM856" s="102"/>
      <c r="AN856" s="102"/>
      <c r="AO856" s="102"/>
      <c r="AP856" s="102"/>
      <c r="AQ856" s="102"/>
      <c r="AR856" s="102"/>
      <c r="AS856" s="102"/>
      <c r="AT856" s="102"/>
      <c r="AU856" s="102"/>
      <c r="AV856" s="102"/>
    </row>
    <row r="857" ht="12.75" customHeight="1">
      <c r="C857" s="400"/>
      <c r="D857" s="102"/>
      <c r="I857" s="102"/>
      <c r="J857" s="102"/>
      <c r="K857" s="102"/>
      <c r="L857" s="102"/>
      <c r="M857" s="102"/>
      <c r="N857" s="102"/>
      <c r="O857" s="102"/>
      <c r="P857" s="102"/>
      <c r="Q857" s="102"/>
      <c r="R857" s="102"/>
      <c r="S857" s="102"/>
      <c r="T857" s="102"/>
      <c r="U857" s="102"/>
      <c r="V857" s="102"/>
      <c r="W857" s="102"/>
      <c r="X857" s="102"/>
      <c r="Y857" s="102"/>
      <c r="Z857" s="102"/>
      <c r="AA857" s="102"/>
      <c r="AB857" s="102"/>
      <c r="AC857" s="102"/>
      <c r="AD857" s="102"/>
      <c r="AE857" s="102"/>
      <c r="AF857" s="102"/>
      <c r="AG857" s="102"/>
      <c r="AH857" s="102"/>
      <c r="AI857" s="102"/>
      <c r="AJ857" s="102"/>
      <c r="AK857" s="102"/>
      <c r="AL857" s="102"/>
      <c r="AM857" s="102"/>
      <c r="AN857" s="102"/>
      <c r="AO857" s="102"/>
      <c r="AP857" s="102"/>
      <c r="AQ857" s="102"/>
      <c r="AR857" s="102"/>
      <c r="AS857" s="102"/>
      <c r="AT857" s="102"/>
      <c r="AU857" s="102"/>
      <c r="AV857" s="102"/>
    </row>
    <row r="858" ht="12.75" customHeight="1">
      <c r="C858" s="400"/>
      <c r="D858" s="102"/>
      <c r="I858" s="102"/>
      <c r="J858" s="102"/>
      <c r="K858" s="102"/>
      <c r="L858" s="102"/>
      <c r="M858" s="102"/>
      <c r="N858" s="102"/>
      <c r="O858" s="102"/>
      <c r="P858" s="102"/>
      <c r="Q858" s="102"/>
      <c r="R858" s="102"/>
      <c r="S858" s="102"/>
      <c r="T858" s="102"/>
      <c r="U858" s="102"/>
      <c r="V858" s="102"/>
      <c r="W858" s="102"/>
      <c r="X858" s="102"/>
      <c r="Y858" s="102"/>
      <c r="Z858" s="102"/>
      <c r="AA858" s="102"/>
      <c r="AB858" s="102"/>
      <c r="AC858" s="102"/>
      <c r="AD858" s="102"/>
      <c r="AE858" s="102"/>
      <c r="AF858" s="102"/>
      <c r="AG858" s="102"/>
      <c r="AH858" s="102"/>
      <c r="AI858" s="102"/>
      <c r="AJ858" s="102"/>
      <c r="AK858" s="102"/>
      <c r="AL858" s="102"/>
      <c r="AM858" s="102"/>
      <c r="AN858" s="102"/>
      <c r="AO858" s="102"/>
      <c r="AP858" s="102"/>
      <c r="AQ858" s="102"/>
      <c r="AR858" s="102"/>
      <c r="AS858" s="102"/>
      <c r="AT858" s="102"/>
      <c r="AU858" s="102"/>
      <c r="AV858" s="102"/>
    </row>
    <row r="859" ht="12.75" customHeight="1">
      <c r="C859" s="400"/>
      <c r="D859" s="102"/>
      <c r="I859" s="102"/>
      <c r="J859" s="102"/>
      <c r="K859" s="102"/>
      <c r="L859" s="102"/>
      <c r="M859" s="102"/>
      <c r="N859" s="102"/>
      <c r="O859" s="102"/>
      <c r="P859" s="102"/>
      <c r="Q859" s="102"/>
      <c r="R859" s="102"/>
      <c r="S859" s="102"/>
      <c r="T859" s="102"/>
      <c r="U859" s="102"/>
      <c r="V859" s="102"/>
      <c r="W859" s="102"/>
      <c r="X859" s="102"/>
      <c r="Y859" s="102"/>
      <c r="Z859" s="102"/>
      <c r="AA859" s="102"/>
      <c r="AB859" s="102"/>
      <c r="AC859" s="102"/>
      <c r="AD859" s="102"/>
      <c r="AE859" s="102"/>
      <c r="AF859" s="102"/>
      <c r="AG859" s="102"/>
      <c r="AH859" s="102"/>
      <c r="AI859" s="102"/>
      <c r="AJ859" s="102"/>
      <c r="AK859" s="102"/>
      <c r="AL859" s="102"/>
      <c r="AM859" s="102"/>
      <c r="AN859" s="102"/>
      <c r="AO859" s="102"/>
      <c r="AP859" s="102"/>
      <c r="AQ859" s="102"/>
      <c r="AR859" s="102"/>
      <c r="AS859" s="102"/>
      <c r="AT859" s="102"/>
      <c r="AU859" s="102"/>
      <c r="AV859" s="102"/>
    </row>
    <row r="860" ht="12.75" customHeight="1">
      <c r="C860" s="400"/>
      <c r="D860" s="102"/>
      <c r="I860" s="102"/>
      <c r="J860" s="102"/>
      <c r="K860" s="102"/>
      <c r="L860" s="102"/>
      <c r="M860" s="102"/>
      <c r="N860" s="102"/>
      <c r="O860" s="102"/>
      <c r="P860" s="102"/>
      <c r="Q860" s="102"/>
      <c r="R860" s="102"/>
      <c r="S860" s="102"/>
      <c r="T860" s="102"/>
      <c r="U860" s="102"/>
      <c r="V860" s="102"/>
      <c r="W860" s="102"/>
      <c r="X860" s="102"/>
      <c r="Y860" s="102"/>
      <c r="Z860" s="102"/>
      <c r="AA860" s="102"/>
      <c r="AB860" s="102"/>
      <c r="AC860" s="102"/>
      <c r="AD860" s="102"/>
      <c r="AE860" s="102"/>
      <c r="AF860" s="102"/>
      <c r="AG860" s="102"/>
      <c r="AH860" s="102"/>
      <c r="AI860" s="102"/>
      <c r="AJ860" s="102"/>
      <c r="AK860" s="102"/>
      <c r="AL860" s="102"/>
      <c r="AM860" s="102"/>
      <c r="AN860" s="102"/>
      <c r="AO860" s="102"/>
      <c r="AP860" s="102"/>
      <c r="AQ860" s="102"/>
      <c r="AR860" s="102"/>
      <c r="AS860" s="102"/>
      <c r="AT860" s="102"/>
      <c r="AU860" s="102"/>
      <c r="AV860" s="102"/>
    </row>
    <row r="861" ht="12.75" customHeight="1">
      <c r="C861" s="400"/>
      <c r="D861" s="102"/>
      <c r="I861" s="102"/>
      <c r="J861" s="102"/>
      <c r="K861" s="102"/>
      <c r="L861" s="102"/>
      <c r="M861" s="102"/>
      <c r="N861" s="102"/>
      <c r="O861" s="102"/>
      <c r="P861" s="102"/>
      <c r="Q861" s="102"/>
      <c r="R861" s="102"/>
      <c r="S861" s="102"/>
      <c r="T861" s="102"/>
      <c r="U861" s="102"/>
      <c r="V861" s="102"/>
      <c r="W861" s="102"/>
      <c r="X861" s="102"/>
      <c r="Y861" s="102"/>
      <c r="Z861" s="102"/>
      <c r="AA861" s="102"/>
      <c r="AB861" s="102"/>
      <c r="AC861" s="102"/>
      <c r="AD861" s="102"/>
      <c r="AE861" s="102"/>
      <c r="AF861" s="102"/>
      <c r="AG861" s="102"/>
      <c r="AH861" s="102"/>
      <c r="AI861" s="102"/>
      <c r="AJ861" s="102"/>
      <c r="AK861" s="102"/>
      <c r="AL861" s="102"/>
      <c r="AM861" s="102"/>
      <c r="AN861" s="102"/>
      <c r="AO861" s="102"/>
      <c r="AP861" s="102"/>
      <c r="AQ861" s="102"/>
      <c r="AR861" s="102"/>
      <c r="AS861" s="102"/>
      <c r="AT861" s="102"/>
      <c r="AU861" s="102"/>
      <c r="AV861" s="102"/>
    </row>
    <row r="862" ht="12.75" customHeight="1">
      <c r="C862" s="400"/>
      <c r="D862" s="102"/>
      <c r="I862" s="102"/>
      <c r="J862" s="102"/>
      <c r="K862" s="102"/>
      <c r="L862" s="102"/>
      <c r="M862" s="102"/>
      <c r="N862" s="102"/>
      <c r="O862" s="102"/>
      <c r="P862" s="102"/>
      <c r="Q862" s="102"/>
      <c r="R862" s="102"/>
      <c r="S862" s="102"/>
      <c r="T862" s="102"/>
      <c r="U862" s="102"/>
      <c r="V862" s="102"/>
      <c r="W862" s="102"/>
      <c r="X862" s="102"/>
      <c r="Y862" s="102"/>
      <c r="Z862" s="102"/>
      <c r="AA862" s="102"/>
      <c r="AB862" s="102"/>
      <c r="AC862" s="102"/>
      <c r="AD862" s="102"/>
      <c r="AE862" s="102"/>
      <c r="AF862" s="102"/>
      <c r="AG862" s="102"/>
      <c r="AH862" s="102"/>
      <c r="AI862" s="102"/>
      <c r="AJ862" s="102"/>
      <c r="AK862" s="102"/>
      <c r="AL862" s="102"/>
      <c r="AM862" s="102"/>
      <c r="AN862" s="102"/>
      <c r="AO862" s="102"/>
      <c r="AP862" s="102"/>
      <c r="AQ862" s="102"/>
      <c r="AR862" s="102"/>
      <c r="AS862" s="102"/>
      <c r="AT862" s="102"/>
      <c r="AU862" s="102"/>
      <c r="AV862" s="102"/>
    </row>
    <row r="863" ht="12.75" customHeight="1">
      <c r="C863" s="400"/>
      <c r="D863" s="102"/>
      <c r="I863" s="102"/>
      <c r="J863" s="102"/>
      <c r="K863" s="102"/>
      <c r="L863" s="102"/>
      <c r="M863" s="102"/>
      <c r="N863" s="102"/>
      <c r="O863" s="102"/>
      <c r="P863" s="102"/>
      <c r="Q863" s="102"/>
      <c r="R863" s="102"/>
      <c r="S863" s="102"/>
      <c r="T863" s="102"/>
      <c r="U863" s="102"/>
      <c r="V863" s="102"/>
      <c r="W863" s="102"/>
      <c r="X863" s="102"/>
      <c r="Y863" s="102"/>
      <c r="Z863" s="102"/>
      <c r="AA863" s="102"/>
      <c r="AB863" s="102"/>
      <c r="AC863" s="102"/>
      <c r="AD863" s="102"/>
      <c r="AE863" s="102"/>
      <c r="AF863" s="102"/>
      <c r="AG863" s="102"/>
      <c r="AH863" s="102"/>
      <c r="AI863" s="102"/>
      <c r="AJ863" s="102"/>
      <c r="AK863" s="102"/>
      <c r="AL863" s="102"/>
      <c r="AM863" s="102"/>
      <c r="AN863" s="102"/>
      <c r="AO863" s="102"/>
      <c r="AP863" s="102"/>
      <c r="AQ863" s="102"/>
      <c r="AR863" s="102"/>
      <c r="AS863" s="102"/>
      <c r="AT863" s="102"/>
      <c r="AU863" s="102"/>
      <c r="AV863" s="102"/>
    </row>
    <row r="864" ht="12.75" customHeight="1">
      <c r="C864" s="400"/>
      <c r="D864" s="102"/>
      <c r="I864" s="102"/>
      <c r="J864" s="102"/>
      <c r="K864" s="102"/>
      <c r="L864" s="102"/>
      <c r="M864" s="102"/>
      <c r="N864" s="102"/>
      <c r="O864" s="102"/>
      <c r="P864" s="102"/>
      <c r="Q864" s="102"/>
      <c r="R864" s="102"/>
      <c r="S864" s="102"/>
      <c r="T864" s="102"/>
      <c r="U864" s="102"/>
      <c r="V864" s="102"/>
      <c r="W864" s="102"/>
      <c r="X864" s="102"/>
      <c r="Y864" s="102"/>
      <c r="Z864" s="102"/>
      <c r="AA864" s="102"/>
      <c r="AB864" s="102"/>
      <c r="AC864" s="102"/>
      <c r="AD864" s="102"/>
      <c r="AE864" s="102"/>
      <c r="AF864" s="102"/>
      <c r="AG864" s="102"/>
      <c r="AH864" s="102"/>
      <c r="AI864" s="102"/>
      <c r="AJ864" s="102"/>
      <c r="AK864" s="102"/>
      <c r="AL864" s="102"/>
      <c r="AM864" s="102"/>
      <c r="AN864" s="102"/>
      <c r="AO864" s="102"/>
      <c r="AP864" s="102"/>
      <c r="AQ864" s="102"/>
      <c r="AR864" s="102"/>
      <c r="AS864" s="102"/>
      <c r="AT864" s="102"/>
      <c r="AU864" s="102"/>
      <c r="AV864" s="102"/>
    </row>
    <row r="865" ht="12.75" customHeight="1">
      <c r="C865" s="400"/>
      <c r="D865" s="102"/>
      <c r="I865" s="102"/>
      <c r="J865" s="102"/>
      <c r="K865" s="102"/>
      <c r="L865" s="102"/>
      <c r="M865" s="102"/>
      <c r="N865" s="102"/>
      <c r="O865" s="102"/>
      <c r="P865" s="102"/>
      <c r="Q865" s="102"/>
      <c r="R865" s="102"/>
      <c r="S865" s="102"/>
      <c r="T865" s="102"/>
      <c r="U865" s="102"/>
      <c r="V865" s="102"/>
      <c r="W865" s="102"/>
      <c r="X865" s="102"/>
      <c r="Y865" s="102"/>
      <c r="Z865" s="102"/>
      <c r="AA865" s="102"/>
      <c r="AB865" s="102"/>
      <c r="AC865" s="102"/>
      <c r="AD865" s="102"/>
      <c r="AE865" s="102"/>
      <c r="AF865" s="102"/>
      <c r="AG865" s="102"/>
      <c r="AH865" s="102"/>
      <c r="AI865" s="102"/>
      <c r="AJ865" s="102"/>
      <c r="AK865" s="102"/>
      <c r="AL865" s="102"/>
      <c r="AM865" s="102"/>
      <c r="AN865" s="102"/>
      <c r="AO865" s="102"/>
      <c r="AP865" s="102"/>
      <c r="AQ865" s="102"/>
      <c r="AR865" s="102"/>
      <c r="AS865" s="102"/>
      <c r="AT865" s="102"/>
      <c r="AU865" s="102"/>
      <c r="AV865" s="102"/>
    </row>
    <row r="866" ht="12.75" customHeight="1">
      <c r="C866" s="400"/>
      <c r="D866" s="102"/>
      <c r="I866" s="102"/>
      <c r="J866" s="102"/>
      <c r="K866" s="102"/>
      <c r="L866" s="102"/>
      <c r="M866" s="102"/>
      <c r="N866" s="102"/>
      <c r="O866" s="102"/>
      <c r="P866" s="102"/>
      <c r="Q866" s="102"/>
      <c r="R866" s="102"/>
      <c r="S866" s="102"/>
      <c r="T866" s="102"/>
      <c r="U866" s="102"/>
      <c r="V866" s="102"/>
      <c r="W866" s="102"/>
      <c r="X866" s="102"/>
      <c r="Y866" s="102"/>
      <c r="Z866" s="102"/>
      <c r="AA866" s="102"/>
      <c r="AB866" s="102"/>
      <c r="AC866" s="102"/>
      <c r="AD866" s="102"/>
      <c r="AE866" s="102"/>
      <c r="AF866" s="102"/>
      <c r="AG866" s="102"/>
      <c r="AH866" s="102"/>
      <c r="AI866" s="102"/>
      <c r="AJ866" s="102"/>
      <c r="AK866" s="102"/>
      <c r="AL866" s="102"/>
      <c r="AM866" s="102"/>
      <c r="AN866" s="102"/>
      <c r="AO866" s="102"/>
      <c r="AP866" s="102"/>
      <c r="AQ866" s="102"/>
      <c r="AR866" s="102"/>
      <c r="AS866" s="102"/>
      <c r="AT866" s="102"/>
      <c r="AU866" s="102"/>
      <c r="AV866" s="102"/>
    </row>
    <row r="867" ht="12.75" customHeight="1">
      <c r="C867" s="400"/>
      <c r="D867" s="102"/>
      <c r="I867" s="102"/>
      <c r="J867" s="102"/>
      <c r="K867" s="102"/>
      <c r="L867" s="102"/>
      <c r="M867" s="102"/>
      <c r="N867" s="102"/>
      <c r="O867" s="102"/>
      <c r="P867" s="102"/>
      <c r="Q867" s="102"/>
      <c r="R867" s="102"/>
      <c r="S867" s="102"/>
      <c r="T867" s="102"/>
      <c r="U867" s="102"/>
      <c r="V867" s="102"/>
      <c r="W867" s="102"/>
      <c r="X867" s="102"/>
      <c r="Y867" s="102"/>
      <c r="Z867" s="102"/>
      <c r="AA867" s="102"/>
      <c r="AB867" s="102"/>
      <c r="AC867" s="102"/>
      <c r="AD867" s="102"/>
      <c r="AE867" s="102"/>
      <c r="AF867" s="102"/>
      <c r="AG867" s="102"/>
      <c r="AH867" s="102"/>
      <c r="AI867" s="102"/>
      <c r="AJ867" s="102"/>
      <c r="AK867" s="102"/>
      <c r="AL867" s="102"/>
      <c r="AM867" s="102"/>
      <c r="AN867" s="102"/>
      <c r="AO867" s="102"/>
      <c r="AP867" s="102"/>
      <c r="AQ867" s="102"/>
      <c r="AR867" s="102"/>
      <c r="AS867" s="102"/>
      <c r="AT867" s="102"/>
      <c r="AU867" s="102"/>
      <c r="AV867" s="102"/>
    </row>
    <row r="868" ht="12.75" customHeight="1">
      <c r="C868" s="400"/>
      <c r="D868" s="102"/>
      <c r="I868" s="102"/>
      <c r="J868" s="102"/>
      <c r="K868" s="102"/>
      <c r="L868" s="102"/>
      <c r="M868" s="102"/>
      <c r="N868" s="102"/>
      <c r="O868" s="102"/>
      <c r="P868" s="102"/>
      <c r="Q868" s="102"/>
      <c r="R868" s="102"/>
      <c r="S868" s="102"/>
      <c r="T868" s="102"/>
      <c r="U868" s="102"/>
      <c r="V868" s="102"/>
      <c r="W868" s="102"/>
      <c r="X868" s="102"/>
      <c r="Y868" s="102"/>
      <c r="Z868" s="102"/>
      <c r="AA868" s="102"/>
      <c r="AB868" s="102"/>
      <c r="AC868" s="102"/>
      <c r="AD868" s="102"/>
      <c r="AE868" s="102"/>
      <c r="AF868" s="102"/>
      <c r="AG868" s="102"/>
      <c r="AH868" s="102"/>
      <c r="AI868" s="102"/>
      <c r="AJ868" s="102"/>
      <c r="AK868" s="102"/>
      <c r="AL868" s="102"/>
      <c r="AM868" s="102"/>
      <c r="AN868" s="102"/>
      <c r="AO868" s="102"/>
      <c r="AP868" s="102"/>
      <c r="AQ868" s="102"/>
      <c r="AR868" s="102"/>
      <c r="AS868" s="102"/>
      <c r="AT868" s="102"/>
      <c r="AU868" s="102"/>
      <c r="AV868" s="102"/>
    </row>
    <row r="869" ht="12.75" customHeight="1">
      <c r="C869" s="400"/>
      <c r="D869" s="102"/>
      <c r="I869" s="102"/>
      <c r="J869" s="102"/>
      <c r="K869" s="102"/>
      <c r="L869" s="102"/>
      <c r="M869" s="102"/>
      <c r="N869" s="102"/>
      <c r="O869" s="102"/>
      <c r="P869" s="102"/>
      <c r="Q869" s="102"/>
      <c r="R869" s="102"/>
      <c r="S869" s="102"/>
      <c r="T869" s="102"/>
      <c r="U869" s="102"/>
      <c r="V869" s="102"/>
      <c r="W869" s="102"/>
      <c r="X869" s="102"/>
      <c r="Y869" s="102"/>
      <c r="Z869" s="102"/>
      <c r="AA869" s="102"/>
      <c r="AB869" s="102"/>
      <c r="AC869" s="102"/>
      <c r="AD869" s="102"/>
      <c r="AE869" s="102"/>
      <c r="AF869" s="102"/>
      <c r="AG869" s="102"/>
      <c r="AH869" s="102"/>
      <c r="AI869" s="102"/>
      <c r="AJ869" s="102"/>
      <c r="AK869" s="102"/>
      <c r="AL869" s="102"/>
      <c r="AM869" s="102"/>
      <c r="AN869" s="102"/>
      <c r="AO869" s="102"/>
      <c r="AP869" s="102"/>
      <c r="AQ869" s="102"/>
      <c r="AR869" s="102"/>
      <c r="AS869" s="102"/>
      <c r="AT869" s="102"/>
      <c r="AU869" s="102"/>
      <c r="AV869" s="102"/>
    </row>
    <row r="870" ht="12.75" customHeight="1">
      <c r="C870" s="400"/>
      <c r="D870" s="102"/>
      <c r="I870" s="102"/>
      <c r="J870" s="102"/>
      <c r="K870" s="102"/>
      <c r="L870" s="102"/>
      <c r="M870" s="102"/>
      <c r="N870" s="102"/>
      <c r="O870" s="102"/>
      <c r="P870" s="102"/>
      <c r="Q870" s="102"/>
      <c r="R870" s="102"/>
      <c r="S870" s="102"/>
      <c r="T870" s="102"/>
      <c r="U870" s="102"/>
      <c r="V870" s="102"/>
      <c r="W870" s="102"/>
      <c r="X870" s="102"/>
      <c r="Y870" s="102"/>
      <c r="Z870" s="102"/>
      <c r="AA870" s="102"/>
      <c r="AB870" s="102"/>
      <c r="AC870" s="102"/>
      <c r="AD870" s="102"/>
      <c r="AE870" s="102"/>
      <c r="AF870" s="102"/>
      <c r="AG870" s="102"/>
      <c r="AH870" s="102"/>
      <c r="AI870" s="102"/>
      <c r="AJ870" s="102"/>
      <c r="AK870" s="102"/>
      <c r="AL870" s="102"/>
      <c r="AM870" s="102"/>
      <c r="AN870" s="102"/>
      <c r="AO870" s="102"/>
      <c r="AP870" s="102"/>
      <c r="AQ870" s="102"/>
      <c r="AR870" s="102"/>
      <c r="AS870" s="102"/>
      <c r="AT870" s="102"/>
      <c r="AU870" s="102"/>
      <c r="AV870" s="102"/>
    </row>
    <row r="871" ht="12.75" customHeight="1">
      <c r="C871" s="400"/>
      <c r="D871" s="102"/>
      <c r="I871" s="102"/>
      <c r="J871" s="102"/>
      <c r="K871" s="102"/>
      <c r="L871" s="102"/>
      <c r="M871" s="102"/>
      <c r="N871" s="102"/>
      <c r="O871" s="102"/>
      <c r="P871" s="102"/>
      <c r="Q871" s="102"/>
      <c r="R871" s="102"/>
      <c r="S871" s="102"/>
      <c r="T871" s="102"/>
      <c r="U871" s="102"/>
      <c r="V871" s="102"/>
      <c r="W871" s="102"/>
      <c r="X871" s="102"/>
      <c r="Y871" s="102"/>
      <c r="Z871" s="102"/>
      <c r="AA871" s="102"/>
      <c r="AB871" s="102"/>
      <c r="AC871" s="102"/>
      <c r="AD871" s="102"/>
      <c r="AE871" s="102"/>
      <c r="AF871" s="102"/>
      <c r="AG871" s="102"/>
      <c r="AH871" s="102"/>
      <c r="AI871" s="102"/>
      <c r="AJ871" s="102"/>
      <c r="AK871" s="102"/>
      <c r="AL871" s="102"/>
      <c r="AM871" s="102"/>
      <c r="AN871" s="102"/>
      <c r="AO871" s="102"/>
      <c r="AP871" s="102"/>
      <c r="AQ871" s="102"/>
      <c r="AR871" s="102"/>
      <c r="AS871" s="102"/>
      <c r="AT871" s="102"/>
      <c r="AU871" s="102"/>
      <c r="AV871" s="102"/>
    </row>
    <row r="872" ht="12.75" customHeight="1">
      <c r="C872" s="400"/>
      <c r="D872" s="102"/>
      <c r="I872" s="102"/>
      <c r="J872" s="102"/>
      <c r="K872" s="102"/>
      <c r="L872" s="102"/>
      <c r="M872" s="102"/>
      <c r="N872" s="102"/>
      <c r="O872" s="102"/>
      <c r="P872" s="102"/>
      <c r="Q872" s="102"/>
      <c r="R872" s="102"/>
      <c r="S872" s="102"/>
      <c r="T872" s="102"/>
      <c r="U872" s="102"/>
      <c r="V872" s="102"/>
      <c r="W872" s="102"/>
      <c r="X872" s="102"/>
      <c r="Y872" s="102"/>
      <c r="Z872" s="102"/>
      <c r="AA872" s="102"/>
      <c r="AB872" s="102"/>
      <c r="AC872" s="102"/>
      <c r="AD872" s="102"/>
      <c r="AE872" s="102"/>
      <c r="AF872" s="102"/>
      <c r="AG872" s="102"/>
      <c r="AH872" s="102"/>
      <c r="AI872" s="102"/>
      <c r="AJ872" s="102"/>
      <c r="AK872" s="102"/>
      <c r="AL872" s="102"/>
      <c r="AM872" s="102"/>
      <c r="AN872" s="102"/>
      <c r="AO872" s="102"/>
      <c r="AP872" s="102"/>
      <c r="AQ872" s="102"/>
      <c r="AR872" s="102"/>
      <c r="AS872" s="102"/>
      <c r="AT872" s="102"/>
      <c r="AU872" s="102"/>
      <c r="AV872" s="102"/>
    </row>
    <row r="873" ht="12.75" customHeight="1">
      <c r="C873" s="400"/>
      <c r="D873" s="102"/>
      <c r="I873" s="102"/>
      <c r="J873" s="102"/>
      <c r="K873" s="102"/>
      <c r="L873" s="102"/>
      <c r="M873" s="102"/>
      <c r="N873" s="102"/>
      <c r="O873" s="102"/>
      <c r="P873" s="102"/>
      <c r="Q873" s="102"/>
      <c r="R873" s="102"/>
      <c r="S873" s="102"/>
      <c r="T873" s="102"/>
      <c r="U873" s="102"/>
      <c r="V873" s="102"/>
      <c r="W873" s="102"/>
      <c r="X873" s="102"/>
      <c r="Y873" s="102"/>
      <c r="Z873" s="102"/>
      <c r="AA873" s="102"/>
      <c r="AB873" s="102"/>
      <c r="AC873" s="102"/>
      <c r="AD873" s="102"/>
      <c r="AE873" s="102"/>
      <c r="AF873" s="102"/>
      <c r="AG873" s="102"/>
      <c r="AH873" s="102"/>
      <c r="AI873" s="102"/>
      <c r="AJ873" s="102"/>
      <c r="AK873" s="102"/>
      <c r="AL873" s="102"/>
      <c r="AM873" s="102"/>
      <c r="AN873" s="102"/>
      <c r="AO873" s="102"/>
      <c r="AP873" s="102"/>
      <c r="AQ873" s="102"/>
      <c r="AR873" s="102"/>
      <c r="AS873" s="102"/>
      <c r="AT873" s="102"/>
      <c r="AU873" s="102"/>
      <c r="AV873" s="102"/>
    </row>
    <row r="874" ht="12.75" customHeight="1">
      <c r="C874" s="400"/>
      <c r="D874" s="102"/>
      <c r="I874" s="102"/>
      <c r="J874" s="102"/>
      <c r="K874" s="102"/>
      <c r="L874" s="102"/>
      <c r="M874" s="102"/>
      <c r="N874" s="102"/>
      <c r="O874" s="102"/>
      <c r="P874" s="102"/>
      <c r="Q874" s="102"/>
      <c r="R874" s="102"/>
      <c r="S874" s="102"/>
      <c r="T874" s="102"/>
      <c r="U874" s="102"/>
      <c r="V874" s="102"/>
      <c r="W874" s="102"/>
      <c r="X874" s="102"/>
      <c r="Y874" s="102"/>
      <c r="Z874" s="102"/>
      <c r="AA874" s="102"/>
      <c r="AB874" s="102"/>
      <c r="AC874" s="102"/>
      <c r="AD874" s="102"/>
      <c r="AE874" s="102"/>
      <c r="AF874" s="102"/>
      <c r="AG874" s="102"/>
      <c r="AH874" s="102"/>
      <c r="AI874" s="102"/>
      <c r="AJ874" s="102"/>
      <c r="AK874" s="102"/>
      <c r="AL874" s="102"/>
      <c r="AM874" s="102"/>
      <c r="AN874" s="102"/>
      <c r="AO874" s="102"/>
      <c r="AP874" s="102"/>
      <c r="AQ874" s="102"/>
      <c r="AR874" s="102"/>
      <c r="AS874" s="102"/>
      <c r="AT874" s="102"/>
      <c r="AU874" s="102"/>
      <c r="AV874" s="102"/>
    </row>
    <row r="875" ht="12.75" customHeight="1">
      <c r="C875" s="400"/>
      <c r="D875" s="102"/>
      <c r="I875" s="102"/>
      <c r="J875" s="102"/>
      <c r="K875" s="102"/>
      <c r="L875" s="102"/>
      <c r="M875" s="102"/>
      <c r="N875" s="102"/>
      <c r="O875" s="102"/>
      <c r="P875" s="102"/>
      <c r="Q875" s="102"/>
      <c r="R875" s="102"/>
      <c r="S875" s="102"/>
      <c r="T875" s="102"/>
      <c r="U875" s="102"/>
      <c r="V875" s="102"/>
      <c r="W875" s="102"/>
      <c r="X875" s="102"/>
      <c r="Y875" s="102"/>
      <c r="Z875" s="102"/>
      <c r="AA875" s="102"/>
      <c r="AB875" s="102"/>
      <c r="AC875" s="102"/>
      <c r="AD875" s="102"/>
      <c r="AE875" s="102"/>
      <c r="AF875" s="102"/>
      <c r="AG875" s="102"/>
      <c r="AH875" s="102"/>
      <c r="AI875" s="102"/>
      <c r="AJ875" s="102"/>
      <c r="AK875" s="102"/>
      <c r="AL875" s="102"/>
      <c r="AM875" s="102"/>
      <c r="AN875" s="102"/>
      <c r="AO875" s="102"/>
      <c r="AP875" s="102"/>
      <c r="AQ875" s="102"/>
      <c r="AR875" s="102"/>
      <c r="AS875" s="102"/>
      <c r="AT875" s="102"/>
      <c r="AU875" s="102"/>
      <c r="AV875" s="102"/>
    </row>
    <row r="876" ht="12.75" customHeight="1">
      <c r="C876" s="400"/>
      <c r="D876" s="102"/>
      <c r="I876" s="102"/>
      <c r="J876" s="102"/>
      <c r="K876" s="102"/>
      <c r="L876" s="102"/>
      <c r="M876" s="102"/>
      <c r="N876" s="102"/>
      <c r="O876" s="102"/>
      <c r="P876" s="102"/>
      <c r="Q876" s="102"/>
      <c r="R876" s="102"/>
      <c r="S876" s="102"/>
      <c r="T876" s="102"/>
      <c r="U876" s="102"/>
      <c r="V876" s="102"/>
      <c r="W876" s="102"/>
      <c r="X876" s="102"/>
      <c r="Y876" s="102"/>
      <c r="Z876" s="102"/>
      <c r="AA876" s="102"/>
      <c r="AB876" s="102"/>
      <c r="AC876" s="102"/>
      <c r="AD876" s="102"/>
      <c r="AE876" s="102"/>
      <c r="AF876" s="102"/>
      <c r="AG876" s="102"/>
      <c r="AH876" s="102"/>
      <c r="AI876" s="102"/>
      <c r="AJ876" s="102"/>
      <c r="AK876" s="102"/>
      <c r="AL876" s="102"/>
      <c r="AM876" s="102"/>
      <c r="AN876" s="102"/>
      <c r="AO876" s="102"/>
      <c r="AP876" s="102"/>
      <c r="AQ876" s="102"/>
      <c r="AR876" s="102"/>
      <c r="AS876" s="102"/>
      <c r="AT876" s="102"/>
      <c r="AU876" s="102"/>
      <c r="AV876" s="102"/>
    </row>
    <row r="877" ht="12.75" customHeight="1">
      <c r="C877" s="400"/>
      <c r="D877" s="102"/>
      <c r="I877" s="102"/>
      <c r="J877" s="102"/>
      <c r="K877" s="102"/>
      <c r="L877" s="102"/>
      <c r="M877" s="102"/>
      <c r="N877" s="102"/>
      <c r="O877" s="102"/>
      <c r="P877" s="102"/>
      <c r="Q877" s="102"/>
      <c r="R877" s="102"/>
      <c r="S877" s="102"/>
      <c r="T877" s="102"/>
      <c r="U877" s="102"/>
      <c r="V877" s="102"/>
      <c r="W877" s="102"/>
      <c r="X877" s="102"/>
      <c r="Y877" s="102"/>
      <c r="Z877" s="102"/>
      <c r="AA877" s="102"/>
      <c r="AB877" s="102"/>
      <c r="AC877" s="102"/>
      <c r="AD877" s="102"/>
      <c r="AE877" s="102"/>
      <c r="AF877" s="102"/>
      <c r="AG877" s="102"/>
      <c r="AH877" s="102"/>
      <c r="AI877" s="102"/>
      <c r="AJ877" s="102"/>
      <c r="AK877" s="102"/>
      <c r="AL877" s="102"/>
      <c r="AM877" s="102"/>
      <c r="AN877" s="102"/>
      <c r="AO877" s="102"/>
      <c r="AP877" s="102"/>
      <c r="AQ877" s="102"/>
      <c r="AR877" s="102"/>
      <c r="AS877" s="102"/>
      <c r="AT877" s="102"/>
      <c r="AU877" s="102"/>
      <c r="AV877" s="102"/>
    </row>
    <row r="878" ht="12.75" customHeight="1">
      <c r="C878" s="400"/>
      <c r="D878" s="102"/>
      <c r="I878" s="102"/>
      <c r="J878" s="102"/>
      <c r="K878" s="102"/>
      <c r="L878" s="102"/>
      <c r="M878" s="102"/>
      <c r="N878" s="102"/>
      <c r="O878" s="102"/>
      <c r="P878" s="102"/>
      <c r="Q878" s="102"/>
      <c r="R878" s="102"/>
      <c r="S878" s="102"/>
      <c r="T878" s="102"/>
      <c r="U878" s="102"/>
      <c r="V878" s="102"/>
      <c r="W878" s="102"/>
      <c r="X878" s="102"/>
      <c r="Y878" s="102"/>
      <c r="Z878" s="102"/>
      <c r="AA878" s="102"/>
      <c r="AB878" s="102"/>
      <c r="AC878" s="102"/>
      <c r="AD878" s="102"/>
      <c r="AE878" s="102"/>
      <c r="AF878" s="102"/>
      <c r="AG878" s="102"/>
      <c r="AH878" s="102"/>
      <c r="AI878" s="102"/>
      <c r="AJ878" s="102"/>
      <c r="AK878" s="102"/>
      <c r="AL878" s="102"/>
      <c r="AM878" s="102"/>
      <c r="AN878" s="102"/>
      <c r="AO878" s="102"/>
      <c r="AP878" s="102"/>
      <c r="AQ878" s="102"/>
      <c r="AR878" s="102"/>
      <c r="AS878" s="102"/>
      <c r="AT878" s="102"/>
      <c r="AU878" s="102"/>
      <c r="AV878" s="102"/>
    </row>
    <row r="879" ht="12.75" customHeight="1">
      <c r="C879" s="400"/>
      <c r="D879" s="102"/>
      <c r="I879" s="102"/>
      <c r="J879" s="102"/>
      <c r="K879" s="102"/>
      <c r="L879" s="102"/>
      <c r="M879" s="102"/>
      <c r="N879" s="102"/>
      <c r="O879" s="102"/>
      <c r="P879" s="102"/>
      <c r="Q879" s="102"/>
      <c r="R879" s="102"/>
      <c r="S879" s="102"/>
      <c r="T879" s="102"/>
      <c r="U879" s="102"/>
      <c r="V879" s="102"/>
      <c r="W879" s="102"/>
      <c r="X879" s="102"/>
      <c r="Y879" s="102"/>
      <c r="Z879" s="102"/>
      <c r="AA879" s="102"/>
      <c r="AB879" s="102"/>
      <c r="AC879" s="102"/>
      <c r="AD879" s="102"/>
      <c r="AE879" s="102"/>
      <c r="AF879" s="102"/>
      <c r="AG879" s="102"/>
      <c r="AH879" s="102"/>
      <c r="AI879" s="102"/>
      <c r="AJ879" s="102"/>
      <c r="AK879" s="102"/>
      <c r="AL879" s="102"/>
      <c r="AM879" s="102"/>
      <c r="AN879" s="102"/>
      <c r="AO879" s="102"/>
      <c r="AP879" s="102"/>
      <c r="AQ879" s="102"/>
      <c r="AR879" s="102"/>
      <c r="AS879" s="102"/>
      <c r="AT879" s="102"/>
      <c r="AU879" s="102"/>
      <c r="AV879" s="102"/>
    </row>
    <row r="880" ht="12.75" customHeight="1">
      <c r="C880" s="400"/>
      <c r="D880" s="102"/>
      <c r="I880" s="102"/>
      <c r="J880" s="102"/>
      <c r="K880" s="102"/>
      <c r="L880" s="102"/>
      <c r="M880" s="102"/>
      <c r="N880" s="102"/>
      <c r="O880" s="102"/>
      <c r="P880" s="102"/>
      <c r="Q880" s="102"/>
      <c r="R880" s="102"/>
      <c r="S880" s="102"/>
      <c r="T880" s="102"/>
      <c r="U880" s="102"/>
      <c r="V880" s="102"/>
      <c r="W880" s="102"/>
      <c r="X880" s="102"/>
      <c r="Y880" s="102"/>
      <c r="Z880" s="102"/>
      <c r="AA880" s="102"/>
      <c r="AB880" s="102"/>
      <c r="AC880" s="102"/>
      <c r="AD880" s="102"/>
      <c r="AE880" s="102"/>
      <c r="AF880" s="102"/>
      <c r="AG880" s="102"/>
      <c r="AH880" s="102"/>
      <c r="AI880" s="102"/>
      <c r="AJ880" s="102"/>
      <c r="AK880" s="102"/>
      <c r="AL880" s="102"/>
      <c r="AM880" s="102"/>
      <c r="AN880" s="102"/>
      <c r="AO880" s="102"/>
      <c r="AP880" s="102"/>
      <c r="AQ880" s="102"/>
      <c r="AR880" s="102"/>
      <c r="AS880" s="102"/>
      <c r="AT880" s="102"/>
      <c r="AU880" s="102"/>
      <c r="AV880" s="102"/>
    </row>
    <row r="881" ht="12.75" customHeight="1">
      <c r="C881" s="400"/>
      <c r="D881" s="102"/>
      <c r="I881" s="102"/>
      <c r="J881" s="102"/>
      <c r="K881" s="102"/>
      <c r="L881" s="102"/>
      <c r="M881" s="102"/>
      <c r="N881" s="102"/>
      <c r="O881" s="102"/>
      <c r="P881" s="102"/>
      <c r="Q881" s="102"/>
      <c r="R881" s="102"/>
      <c r="S881" s="102"/>
      <c r="T881" s="102"/>
      <c r="U881" s="102"/>
      <c r="V881" s="102"/>
      <c r="W881" s="102"/>
      <c r="X881" s="102"/>
      <c r="Y881" s="102"/>
      <c r="Z881" s="102"/>
      <c r="AA881" s="102"/>
      <c r="AB881" s="102"/>
      <c r="AC881" s="102"/>
      <c r="AD881" s="102"/>
      <c r="AE881" s="102"/>
      <c r="AF881" s="102"/>
      <c r="AG881" s="102"/>
      <c r="AH881" s="102"/>
      <c r="AI881" s="102"/>
      <c r="AJ881" s="102"/>
      <c r="AK881" s="102"/>
      <c r="AL881" s="102"/>
      <c r="AM881" s="102"/>
      <c r="AN881" s="102"/>
      <c r="AO881" s="102"/>
      <c r="AP881" s="102"/>
      <c r="AQ881" s="102"/>
      <c r="AR881" s="102"/>
      <c r="AS881" s="102"/>
      <c r="AT881" s="102"/>
      <c r="AU881" s="102"/>
      <c r="AV881" s="102"/>
    </row>
    <row r="882" ht="12.75" customHeight="1">
      <c r="C882" s="400"/>
      <c r="D882" s="102"/>
      <c r="I882" s="102"/>
      <c r="J882" s="102"/>
      <c r="K882" s="102"/>
      <c r="L882" s="102"/>
      <c r="M882" s="102"/>
      <c r="N882" s="102"/>
      <c r="O882" s="102"/>
      <c r="P882" s="102"/>
      <c r="Q882" s="102"/>
      <c r="R882" s="102"/>
      <c r="S882" s="102"/>
      <c r="T882" s="102"/>
      <c r="U882" s="102"/>
      <c r="V882" s="102"/>
      <c r="W882" s="102"/>
      <c r="X882" s="102"/>
      <c r="Y882" s="102"/>
      <c r="Z882" s="102"/>
      <c r="AA882" s="102"/>
      <c r="AB882" s="102"/>
      <c r="AC882" s="102"/>
      <c r="AD882" s="102"/>
      <c r="AE882" s="102"/>
      <c r="AF882" s="102"/>
      <c r="AG882" s="102"/>
      <c r="AH882" s="102"/>
      <c r="AI882" s="102"/>
      <c r="AJ882" s="102"/>
      <c r="AK882" s="102"/>
      <c r="AL882" s="102"/>
      <c r="AM882" s="102"/>
      <c r="AN882" s="102"/>
      <c r="AO882" s="102"/>
      <c r="AP882" s="102"/>
      <c r="AQ882" s="102"/>
      <c r="AR882" s="102"/>
      <c r="AS882" s="102"/>
      <c r="AT882" s="102"/>
      <c r="AU882" s="102"/>
      <c r="AV882" s="102"/>
    </row>
    <row r="883" ht="12.75" customHeight="1">
      <c r="C883" s="400"/>
      <c r="D883" s="102"/>
      <c r="I883" s="102"/>
      <c r="J883" s="102"/>
      <c r="K883" s="102"/>
      <c r="L883" s="102"/>
      <c r="M883" s="102"/>
      <c r="N883" s="102"/>
      <c r="O883" s="102"/>
      <c r="P883" s="102"/>
      <c r="Q883" s="102"/>
      <c r="R883" s="102"/>
      <c r="S883" s="102"/>
      <c r="T883" s="102"/>
      <c r="U883" s="102"/>
      <c r="V883" s="102"/>
      <c r="W883" s="102"/>
      <c r="X883" s="102"/>
      <c r="Y883" s="102"/>
      <c r="Z883" s="102"/>
      <c r="AA883" s="102"/>
      <c r="AB883" s="102"/>
      <c r="AC883" s="102"/>
      <c r="AD883" s="102"/>
      <c r="AE883" s="102"/>
      <c r="AF883" s="102"/>
      <c r="AG883" s="102"/>
      <c r="AH883" s="102"/>
      <c r="AI883" s="102"/>
      <c r="AJ883" s="102"/>
      <c r="AK883" s="102"/>
      <c r="AL883" s="102"/>
      <c r="AM883" s="102"/>
      <c r="AN883" s="102"/>
      <c r="AO883" s="102"/>
      <c r="AP883" s="102"/>
      <c r="AQ883" s="102"/>
      <c r="AR883" s="102"/>
      <c r="AS883" s="102"/>
      <c r="AT883" s="102"/>
      <c r="AU883" s="102"/>
      <c r="AV883" s="102"/>
    </row>
    <row r="884" ht="12.75" customHeight="1">
      <c r="C884" s="400"/>
      <c r="D884" s="102"/>
      <c r="I884" s="102"/>
      <c r="J884" s="102"/>
      <c r="K884" s="102"/>
      <c r="L884" s="102"/>
      <c r="M884" s="102"/>
      <c r="N884" s="102"/>
      <c r="O884" s="102"/>
      <c r="P884" s="102"/>
      <c r="Q884" s="102"/>
      <c r="R884" s="102"/>
      <c r="S884" s="102"/>
      <c r="T884" s="102"/>
      <c r="U884" s="102"/>
      <c r="V884" s="102"/>
      <c r="W884" s="102"/>
      <c r="X884" s="102"/>
      <c r="Y884" s="102"/>
      <c r="Z884" s="102"/>
      <c r="AA884" s="102"/>
      <c r="AB884" s="102"/>
      <c r="AC884" s="102"/>
      <c r="AD884" s="102"/>
      <c r="AE884" s="102"/>
      <c r="AF884" s="102"/>
      <c r="AG884" s="102"/>
      <c r="AH884" s="102"/>
      <c r="AI884" s="102"/>
      <c r="AJ884" s="102"/>
      <c r="AK884" s="102"/>
      <c r="AL884" s="102"/>
      <c r="AM884" s="102"/>
      <c r="AN884" s="102"/>
      <c r="AO884" s="102"/>
      <c r="AP884" s="102"/>
      <c r="AQ884" s="102"/>
      <c r="AR884" s="102"/>
      <c r="AS884" s="102"/>
      <c r="AT884" s="102"/>
      <c r="AU884" s="102"/>
      <c r="AV884" s="102"/>
    </row>
    <row r="885" ht="12.75" customHeight="1">
      <c r="C885" s="400"/>
      <c r="D885" s="102"/>
      <c r="I885" s="102"/>
      <c r="J885" s="102"/>
      <c r="K885" s="102"/>
      <c r="L885" s="102"/>
      <c r="M885" s="102"/>
      <c r="N885" s="102"/>
      <c r="O885" s="102"/>
      <c r="P885" s="102"/>
      <c r="Q885" s="102"/>
      <c r="R885" s="102"/>
      <c r="S885" s="102"/>
      <c r="T885" s="102"/>
      <c r="U885" s="102"/>
      <c r="V885" s="102"/>
      <c r="W885" s="102"/>
      <c r="X885" s="102"/>
      <c r="Y885" s="102"/>
      <c r="Z885" s="102"/>
      <c r="AA885" s="102"/>
      <c r="AB885" s="102"/>
      <c r="AC885" s="102"/>
      <c r="AD885" s="102"/>
      <c r="AE885" s="102"/>
      <c r="AF885" s="102"/>
      <c r="AG885" s="102"/>
      <c r="AH885" s="102"/>
      <c r="AI885" s="102"/>
      <c r="AJ885" s="102"/>
      <c r="AK885" s="102"/>
      <c r="AL885" s="102"/>
      <c r="AM885" s="102"/>
      <c r="AN885" s="102"/>
      <c r="AO885" s="102"/>
      <c r="AP885" s="102"/>
      <c r="AQ885" s="102"/>
      <c r="AR885" s="102"/>
      <c r="AS885" s="102"/>
      <c r="AT885" s="102"/>
      <c r="AU885" s="102"/>
      <c r="AV885" s="102"/>
    </row>
    <row r="886" ht="12.75" customHeight="1">
      <c r="C886" s="400"/>
      <c r="D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c r="AG886" s="102"/>
      <c r="AH886" s="102"/>
      <c r="AI886" s="102"/>
      <c r="AJ886" s="102"/>
      <c r="AK886" s="102"/>
      <c r="AL886" s="102"/>
      <c r="AM886" s="102"/>
      <c r="AN886" s="102"/>
      <c r="AO886" s="102"/>
      <c r="AP886" s="102"/>
      <c r="AQ886" s="102"/>
      <c r="AR886" s="102"/>
      <c r="AS886" s="102"/>
      <c r="AT886" s="102"/>
      <c r="AU886" s="102"/>
      <c r="AV886" s="102"/>
    </row>
    <row r="887" ht="12.75" customHeight="1">
      <c r="C887" s="400"/>
      <c r="D887" s="102"/>
      <c r="I887" s="102"/>
      <c r="J887" s="102"/>
      <c r="K887" s="102"/>
      <c r="L887" s="102"/>
      <c r="M887" s="102"/>
      <c r="N887" s="102"/>
      <c r="O887" s="102"/>
      <c r="P887" s="102"/>
      <c r="Q887" s="102"/>
      <c r="R887" s="102"/>
      <c r="S887" s="102"/>
      <c r="T887" s="102"/>
      <c r="U887" s="102"/>
      <c r="V887" s="102"/>
      <c r="W887" s="102"/>
      <c r="X887" s="102"/>
      <c r="Y887" s="102"/>
      <c r="Z887" s="102"/>
      <c r="AA887" s="102"/>
      <c r="AB887" s="102"/>
      <c r="AC887" s="102"/>
      <c r="AD887" s="102"/>
      <c r="AE887" s="102"/>
      <c r="AF887" s="102"/>
      <c r="AG887" s="102"/>
      <c r="AH887" s="102"/>
      <c r="AI887" s="102"/>
      <c r="AJ887" s="102"/>
      <c r="AK887" s="102"/>
      <c r="AL887" s="102"/>
      <c r="AM887" s="102"/>
      <c r="AN887" s="102"/>
      <c r="AO887" s="102"/>
      <c r="AP887" s="102"/>
      <c r="AQ887" s="102"/>
      <c r="AR887" s="102"/>
      <c r="AS887" s="102"/>
      <c r="AT887" s="102"/>
      <c r="AU887" s="102"/>
      <c r="AV887" s="102"/>
    </row>
    <row r="888" ht="12.75" customHeight="1">
      <c r="C888" s="400"/>
      <c r="D888" s="102"/>
      <c r="I888" s="102"/>
      <c r="J888" s="102"/>
      <c r="K888" s="102"/>
      <c r="L888" s="102"/>
      <c r="M888" s="102"/>
      <c r="N888" s="102"/>
      <c r="O888" s="102"/>
      <c r="P888" s="102"/>
      <c r="Q888" s="102"/>
      <c r="R888" s="102"/>
      <c r="S888" s="102"/>
      <c r="T888" s="102"/>
      <c r="U888" s="102"/>
      <c r="V888" s="102"/>
      <c r="W888" s="102"/>
      <c r="X888" s="102"/>
      <c r="Y888" s="102"/>
      <c r="Z888" s="102"/>
      <c r="AA888" s="102"/>
      <c r="AB888" s="102"/>
      <c r="AC888" s="102"/>
      <c r="AD888" s="102"/>
      <c r="AE888" s="102"/>
      <c r="AF888" s="102"/>
      <c r="AG888" s="102"/>
      <c r="AH888" s="102"/>
      <c r="AI888" s="102"/>
      <c r="AJ888" s="102"/>
      <c r="AK888" s="102"/>
      <c r="AL888" s="102"/>
      <c r="AM888" s="102"/>
      <c r="AN888" s="102"/>
      <c r="AO888" s="102"/>
      <c r="AP888" s="102"/>
      <c r="AQ888" s="102"/>
      <c r="AR888" s="102"/>
      <c r="AS888" s="102"/>
      <c r="AT888" s="102"/>
      <c r="AU888" s="102"/>
      <c r="AV888" s="102"/>
    </row>
    <row r="889" ht="12.75" customHeight="1">
      <c r="C889" s="400"/>
      <c r="D889" s="102"/>
      <c r="I889" s="102"/>
      <c r="J889" s="102"/>
      <c r="K889" s="102"/>
      <c r="L889" s="102"/>
      <c r="M889" s="102"/>
      <c r="N889" s="102"/>
      <c r="O889" s="102"/>
      <c r="P889" s="102"/>
      <c r="Q889" s="102"/>
      <c r="R889" s="102"/>
      <c r="S889" s="102"/>
      <c r="T889" s="102"/>
      <c r="U889" s="102"/>
      <c r="V889" s="102"/>
      <c r="W889" s="102"/>
      <c r="X889" s="102"/>
      <c r="Y889" s="102"/>
      <c r="Z889" s="102"/>
      <c r="AA889" s="102"/>
      <c r="AB889" s="102"/>
      <c r="AC889" s="102"/>
      <c r="AD889" s="102"/>
      <c r="AE889" s="102"/>
      <c r="AF889" s="102"/>
      <c r="AG889" s="102"/>
      <c r="AH889" s="102"/>
      <c r="AI889" s="102"/>
      <c r="AJ889" s="102"/>
      <c r="AK889" s="102"/>
      <c r="AL889" s="102"/>
      <c r="AM889" s="102"/>
      <c r="AN889" s="102"/>
      <c r="AO889" s="102"/>
      <c r="AP889" s="102"/>
      <c r="AQ889" s="102"/>
      <c r="AR889" s="102"/>
      <c r="AS889" s="102"/>
      <c r="AT889" s="102"/>
      <c r="AU889" s="102"/>
      <c r="AV889" s="102"/>
    </row>
    <row r="890" ht="12.75" customHeight="1">
      <c r="C890" s="400"/>
      <c r="D890" s="102"/>
      <c r="I890" s="102"/>
      <c r="J890" s="102"/>
      <c r="K890" s="102"/>
      <c r="L890" s="102"/>
      <c r="M890" s="102"/>
      <c r="N890" s="102"/>
      <c r="O890" s="102"/>
      <c r="P890" s="102"/>
      <c r="Q890" s="102"/>
      <c r="R890" s="102"/>
      <c r="S890" s="102"/>
      <c r="T890" s="102"/>
      <c r="U890" s="102"/>
      <c r="V890" s="102"/>
      <c r="W890" s="102"/>
      <c r="X890" s="102"/>
      <c r="Y890" s="102"/>
      <c r="Z890" s="102"/>
      <c r="AA890" s="102"/>
      <c r="AB890" s="102"/>
      <c r="AC890" s="102"/>
      <c r="AD890" s="102"/>
      <c r="AE890" s="102"/>
      <c r="AF890" s="102"/>
      <c r="AG890" s="102"/>
      <c r="AH890" s="102"/>
      <c r="AI890" s="102"/>
      <c r="AJ890" s="102"/>
      <c r="AK890" s="102"/>
      <c r="AL890" s="102"/>
      <c r="AM890" s="102"/>
      <c r="AN890" s="102"/>
      <c r="AO890" s="102"/>
      <c r="AP890" s="102"/>
      <c r="AQ890" s="102"/>
      <c r="AR890" s="102"/>
      <c r="AS890" s="102"/>
      <c r="AT890" s="102"/>
      <c r="AU890" s="102"/>
      <c r="AV890" s="102"/>
    </row>
    <row r="891" ht="12.75" customHeight="1">
      <c r="C891" s="400"/>
      <c r="D891" s="102"/>
      <c r="I891" s="102"/>
      <c r="J891" s="102"/>
      <c r="K891" s="102"/>
      <c r="L891" s="102"/>
      <c r="M891" s="102"/>
      <c r="N891" s="102"/>
      <c r="O891" s="102"/>
      <c r="P891" s="102"/>
      <c r="Q891" s="102"/>
      <c r="R891" s="102"/>
      <c r="S891" s="102"/>
      <c r="T891" s="102"/>
      <c r="U891" s="102"/>
      <c r="V891" s="102"/>
      <c r="W891" s="102"/>
      <c r="X891" s="102"/>
      <c r="Y891" s="102"/>
      <c r="Z891" s="102"/>
      <c r="AA891" s="102"/>
      <c r="AB891" s="102"/>
      <c r="AC891" s="102"/>
      <c r="AD891" s="102"/>
      <c r="AE891" s="102"/>
      <c r="AF891" s="102"/>
      <c r="AG891" s="102"/>
      <c r="AH891" s="102"/>
      <c r="AI891" s="102"/>
      <c r="AJ891" s="102"/>
      <c r="AK891" s="102"/>
      <c r="AL891" s="102"/>
      <c r="AM891" s="102"/>
      <c r="AN891" s="102"/>
      <c r="AO891" s="102"/>
      <c r="AP891" s="102"/>
      <c r="AQ891" s="102"/>
      <c r="AR891" s="102"/>
      <c r="AS891" s="102"/>
      <c r="AT891" s="102"/>
      <c r="AU891" s="102"/>
      <c r="AV891" s="102"/>
    </row>
    <row r="892" ht="12.75" customHeight="1">
      <c r="C892" s="400"/>
      <c r="D892" s="102"/>
      <c r="I892" s="102"/>
      <c r="J892" s="102"/>
      <c r="K892" s="102"/>
      <c r="L892" s="102"/>
      <c r="M892" s="102"/>
      <c r="N892" s="102"/>
      <c r="O892" s="102"/>
      <c r="P892" s="102"/>
      <c r="Q892" s="102"/>
      <c r="R892" s="102"/>
      <c r="S892" s="102"/>
      <c r="T892" s="102"/>
      <c r="U892" s="102"/>
      <c r="V892" s="102"/>
      <c r="W892" s="102"/>
      <c r="X892" s="102"/>
      <c r="Y892" s="102"/>
      <c r="Z892" s="102"/>
      <c r="AA892" s="102"/>
      <c r="AB892" s="102"/>
      <c r="AC892" s="102"/>
      <c r="AD892" s="102"/>
      <c r="AE892" s="102"/>
      <c r="AF892" s="102"/>
      <c r="AG892" s="102"/>
      <c r="AH892" s="102"/>
      <c r="AI892" s="102"/>
      <c r="AJ892" s="102"/>
      <c r="AK892" s="102"/>
      <c r="AL892" s="102"/>
      <c r="AM892" s="102"/>
      <c r="AN892" s="102"/>
      <c r="AO892" s="102"/>
      <c r="AP892" s="102"/>
      <c r="AQ892" s="102"/>
      <c r="AR892" s="102"/>
      <c r="AS892" s="102"/>
      <c r="AT892" s="102"/>
      <c r="AU892" s="102"/>
      <c r="AV892" s="102"/>
    </row>
    <row r="893" ht="12.75" customHeight="1">
      <c r="C893" s="400"/>
      <c r="D893" s="102"/>
      <c r="I893" s="102"/>
      <c r="J893" s="102"/>
      <c r="K893" s="102"/>
      <c r="L893" s="102"/>
      <c r="M893" s="102"/>
      <c r="N893" s="102"/>
      <c r="O893" s="102"/>
      <c r="P893" s="102"/>
      <c r="Q893" s="102"/>
      <c r="R893" s="102"/>
      <c r="S893" s="102"/>
      <c r="T893" s="102"/>
      <c r="U893" s="102"/>
      <c r="V893" s="102"/>
      <c r="W893" s="102"/>
      <c r="X893" s="102"/>
      <c r="Y893" s="102"/>
      <c r="Z893" s="102"/>
      <c r="AA893" s="102"/>
      <c r="AB893" s="102"/>
      <c r="AC893" s="102"/>
      <c r="AD893" s="102"/>
      <c r="AE893" s="102"/>
      <c r="AF893" s="102"/>
      <c r="AG893" s="102"/>
      <c r="AH893" s="102"/>
      <c r="AI893" s="102"/>
      <c r="AJ893" s="102"/>
      <c r="AK893" s="102"/>
      <c r="AL893" s="102"/>
      <c r="AM893" s="102"/>
      <c r="AN893" s="102"/>
      <c r="AO893" s="102"/>
      <c r="AP893" s="102"/>
      <c r="AQ893" s="102"/>
      <c r="AR893" s="102"/>
      <c r="AS893" s="102"/>
      <c r="AT893" s="102"/>
      <c r="AU893" s="102"/>
      <c r="AV893" s="102"/>
    </row>
    <row r="894" ht="12.75" customHeight="1">
      <c r="C894" s="400"/>
      <c r="D894" s="102"/>
      <c r="I894" s="102"/>
      <c r="J894" s="102"/>
      <c r="K894" s="102"/>
      <c r="L894" s="102"/>
      <c r="M894" s="102"/>
      <c r="N894" s="102"/>
      <c r="O894" s="102"/>
      <c r="P894" s="102"/>
      <c r="Q894" s="102"/>
      <c r="R894" s="102"/>
      <c r="S894" s="102"/>
      <c r="T894" s="102"/>
      <c r="U894" s="102"/>
      <c r="V894" s="102"/>
      <c r="W894" s="102"/>
      <c r="X894" s="102"/>
      <c r="Y894" s="102"/>
      <c r="Z894" s="102"/>
      <c r="AA894" s="102"/>
      <c r="AB894" s="102"/>
      <c r="AC894" s="102"/>
      <c r="AD894" s="102"/>
      <c r="AE894" s="102"/>
      <c r="AF894" s="102"/>
      <c r="AG894" s="102"/>
      <c r="AH894" s="102"/>
      <c r="AI894" s="102"/>
      <c r="AJ894" s="102"/>
      <c r="AK894" s="102"/>
      <c r="AL894" s="102"/>
      <c r="AM894" s="102"/>
      <c r="AN894" s="102"/>
      <c r="AO894" s="102"/>
      <c r="AP894" s="102"/>
      <c r="AQ894" s="102"/>
      <c r="AR894" s="102"/>
      <c r="AS894" s="102"/>
      <c r="AT894" s="102"/>
      <c r="AU894" s="102"/>
      <c r="AV894" s="102"/>
    </row>
    <row r="895" ht="12.75" customHeight="1">
      <c r="C895" s="400"/>
      <c r="D895" s="102"/>
      <c r="I895" s="102"/>
      <c r="J895" s="102"/>
      <c r="K895" s="102"/>
      <c r="L895" s="102"/>
      <c r="M895" s="102"/>
      <c r="N895" s="102"/>
      <c r="O895" s="102"/>
      <c r="P895" s="102"/>
      <c r="Q895" s="102"/>
      <c r="R895" s="102"/>
      <c r="S895" s="102"/>
      <c r="T895" s="102"/>
      <c r="U895" s="102"/>
      <c r="V895" s="102"/>
      <c r="W895" s="102"/>
      <c r="X895" s="102"/>
      <c r="Y895" s="102"/>
      <c r="Z895" s="102"/>
      <c r="AA895" s="102"/>
      <c r="AB895" s="102"/>
      <c r="AC895" s="102"/>
      <c r="AD895" s="102"/>
      <c r="AE895" s="102"/>
      <c r="AF895" s="102"/>
      <c r="AG895" s="102"/>
      <c r="AH895" s="102"/>
      <c r="AI895" s="102"/>
      <c r="AJ895" s="102"/>
      <c r="AK895" s="102"/>
      <c r="AL895" s="102"/>
      <c r="AM895" s="102"/>
      <c r="AN895" s="102"/>
      <c r="AO895" s="102"/>
      <c r="AP895" s="102"/>
      <c r="AQ895" s="102"/>
      <c r="AR895" s="102"/>
      <c r="AS895" s="102"/>
      <c r="AT895" s="102"/>
      <c r="AU895" s="102"/>
      <c r="AV895" s="102"/>
    </row>
    <row r="896" ht="12.75" customHeight="1">
      <c r="C896" s="400"/>
      <c r="D896" s="102"/>
      <c r="I896" s="102"/>
      <c r="J896" s="102"/>
      <c r="K896" s="102"/>
      <c r="L896" s="102"/>
      <c r="M896" s="102"/>
      <c r="N896" s="102"/>
      <c r="O896" s="102"/>
      <c r="P896" s="102"/>
      <c r="Q896" s="102"/>
      <c r="R896" s="102"/>
      <c r="S896" s="102"/>
      <c r="T896" s="102"/>
      <c r="U896" s="102"/>
      <c r="V896" s="102"/>
      <c r="W896" s="102"/>
      <c r="X896" s="102"/>
      <c r="Y896" s="102"/>
      <c r="Z896" s="102"/>
      <c r="AA896" s="102"/>
      <c r="AB896" s="102"/>
      <c r="AC896" s="102"/>
      <c r="AD896" s="102"/>
      <c r="AE896" s="102"/>
      <c r="AF896" s="102"/>
      <c r="AG896" s="102"/>
      <c r="AH896" s="102"/>
      <c r="AI896" s="102"/>
      <c r="AJ896" s="102"/>
      <c r="AK896" s="102"/>
      <c r="AL896" s="102"/>
      <c r="AM896" s="102"/>
      <c r="AN896" s="102"/>
      <c r="AO896" s="102"/>
      <c r="AP896" s="102"/>
      <c r="AQ896" s="102"/>
      <c r="AR896" s="102"/>
      <c r="AS896" s="102"/>
      <c r="AT896" s="102"/>
      <c r="AU896" s="102"/>
      <c r="AV896" s="102"/>
    </row>
    <row r="897" ht="12.75" customHeight="1">
      <c r="C897" s="400"/>
      <c r="D897" s="102"/>
      <c r="I897" s="102"/>
      <c r="J897" s="102"/>
      <c r="K897" s="102"/>
      <c r="L897" s="102"/>
      <c r="M897" s="102"/>
      <c r="N897" s="102"/>
      <c r="O897" s="102"/>
      <c r="P897" s="102"/>
      <c r="Q897" s="102"/>
      <c r="R897" s="102"/>
      <c r="S897" s="102"/>
      <c r="T897" s="102"/>
      <c r="U897" s="102"/>
      <c r="V897" s="102"/>
      <c r="W897" s="102"/>
      <c r="X897" s="102"/>
      <c r="Y897" s="102"/>
      <c r="Z897" s="102"/>
      <c r="AA897" s="102"/>
      <c r="AB897" s="102"/>
      <c r="AC897" s="102"/>
      <c r="AD897" s="102"/>
      <c r="AE897" s="102"/>
      <c r="AF897" s="102"/>
      <c r="AG897" s="102"/>
      <c r="AH897" s="102"/>
      <c r="AI897" s="102"/>
      <c r="AJ897" s="102"/>
      <c r="AK897" s="102"/>
      <c r="AL897" s="102"/>
      <c r="AM897" s="102"/>
      <c r="AN897" s="102"/>
      <c r="AO897" s="102"/>
      <c r="AP897" s="102"/>
      <c r="AQ897" s="102"/>
      <c r="AR897" s="102"/>
      <c r="AS897" s="102"/>
      <c r="AT897" s="102"/>
      <c r="AU897" s="102"/>
      <c r="AV897" s="102"/>
    </row>
    <row r="898" ht="12.75" customHeight="1">
      <c r="C898" s="400"/>
      <c r="D898" s="102"/>
      <c r="I898" s="102"/>
      <c r="J898" s="102"/>
      <c r="K898" s="102"/>
      <c r="L898" s="102"/>
      <c r="M898" s="102"/>
      <c r="N898" s="102"/>
      <c r="O898" s="102"/>
      <c r="P898" s="102"/>
      <c r="Q898" s="102"/>
      <c r="R898" s="102"/>
      <c r="S898" s="102"/>
      <c r="T898" s="102"/>
      <c r="U898" s="102"/>
      <c r="V898" s="102"/>
      <c r="W898" s="102"/>
      <c r="X898" s="102"/>
      <c r="Y898" s="102"/>
      <c r="Z898" s="102"/>
      <c r="AA898" s="102"/>
      <c r="AB898" s="102"/>
      <c r="AC898" s="102"/>
      <c r="AD898" s="102"/>
      <c r="AE898" s="102"/>
      <c r="AF898" s="102"/>
      <c r="AG898" s="102"/>
      <c r="AH898" s="102"/>
      <c r="AI898" s="102"/>
      <c r="AJ898" s="102"/>
      <c r="AK898" s="102"/>
      <c r="AL898" s="102"/>
      <c r="AM898" s="102"/>
      <c r="AN898" s="102"/>
      <c r="AO898" s="102"/>
      <c r="AP898" s="102"/>
      <c r="AQ898" s="102"/>
      <c r="AR898" s="102"/>
      <c r="AS898" s="102"/>
      <c r="AT898" s="102"/>
      <c r="AU898" s="102"/>
      <c r="AV898" s="102"/>
    </row>
    <row r="899" ht="12.75" customHeight="1">
      <c r="C899" s="400"/>
      <c r="D899" s="102"/>
      <c r="I899" s="102"/>
      <c r="J899" s="102"/>
      <c r="K899" s="102"/>
      <c r="L899" s="102"/>
      <c r="M899" s="102"/>
      <c r="N899" s="102"/>
      <c r="O899" s="102"/>
      <c r="P899" s="102"/>
      <c r="Q899" s="102"/>
      <c r="R899" s="102"/>
      <c r="S899" s="102"/>
      <c r="T899" s="102"/>
      <c r="U899" s="102"/>
      <c r="V899" s="102"/>
      <c r="W899" s="102"/>
      <c r="X899" s="102"/>
      <c r="Y899" s="102"/>
      <c r="Z899" s="102"/>
      <c r="AA899" s="102"/>
      <c r="AB899" s="102"/>
      <c r="AC899" s="102"/>
      <c r="AD899" s="102"/>
      <c r="AE899" s="102"/>
      <c r="AF899" s="102"/>
      <c r="AG899" s="102"/>
      <c r="AH899" s="102"/>
      <c r="AI899" s="102"/>
      <c r="AJ899" s="102"/>
      <c r="AK899" s="102"/>
      <c r="AL899" s="102"/>
      <c r="AM899" s="102"/>
      <c r="AN899" s="102"/>
      <c r="AO899" s="102"/>
      <c r="AP899" s="102"/>
      <c r="AQ899" s="102"/>
      <c r="AR899" s="102"/>
      <c r="AS899" s="102"/>
      <c r="AT899" s="102"/>
      <c r="AU899" s="102"/>
      <c r="AV899" s="102"/>
    </row>
    <row r="900" ht="12.75" customHeight="1">
      <c r="C900" s="400"/>
      <c r="D900" s="102"/>
      <c r="I900" s="102"/>
      <c r="J900" s="102"/>
      <c r="K900" s="102"/>
      <c r="L900" s="102"/>
      <c r="M900" s="102"/>
      <c r="N900" s="102"/>
      <c r="O900" s="102"/>
      <c r="P900" s="102"/>
      <c r="Q900" s="102"/>
      <c r="R900" s="102"/>
      <c r="S900" s="102"/>
      <c r="T900" s="102"/>
      <c r="U900" s="102"/>
      <c r="V900" s="102"/>
      <c r="W900" s="102"/>
      <c r="X900" s="102"/>
      <c r="Y900" s="102"/>
      <c r="Z900" s="102"/>
      <c r="AA900" s="102"/>
      <c r="AB900" s="102"/>
      <c r="AC900" s="102"/>
      <c r="AD900" s="102"/>
      <c r="AE900" s="102"/>
      <c r="AF900" s="102"/>
      <c r="AG900" s="102"/>
      <c r="AH900" s="102"/>
      <c r="AI900" s="102"/>
      <c r="AJ900" s="102"/>
      <c r="AK900" s="102"/>
      <c r="AL900" s="102"/>
      <c r="AM900" s="102"/>
      <c r="AN900" s="102"/>
      <c r="AO900" s="102"/>
      <c r="AP900" s="102"/>
      <c r="AQ900" s="102"/>
      <c r="AR900" s="102"/>
      <c r="AS900" s="102"/>
      <c r="AT900" s="102"/>
      <c r="AU900" s="102"/>
      <c r="AV900" s="102"/>
    </row>
    <row r="901" ht="12.75" customHeight="1">
      <c r="C901" s="400"/>
      <c r="D901" s="102"/>
      <c r="I901" s="102"/>
      <c r="J901" s="102"/>
      <c r="K901" s="102"/>
      <c r="L901" s="102"/>
      <c r="M901" s="102"/>
      <c r="N901" s="102"/>
      <c r="O901" s="102"/>
      <c r="P901" s="102"/>
      <c r="Q901" s="102"/>
      <c r="R901" s="102"/>
      <c r="S901" s="102"/>
      <c r="T901" s="102"/>
      <c r="U901" s="102"/>
      <c r="V901" s="102"/>
      <c r="W901" s="102"/>
      <c r="X901" s="102"/>
      <c r="Y901" s="102"/>
      <c r="Z901" s="102"/>
      <c r="AA901" s="102"/>
      <c r="AB901" s="102"/>
      <c r="AC901" s="102"/>
      <c r="AD901" s="102"/>
      <c r="AE901" s="102"/>
      <c r="AF901" s="102"/>
      <c r="AG901" s="102"/>
      <c r="AH901" s="102"/>
      <c r="AI901" s="102"/>
      <c r="AJ901" s="102"/>
      <c r="AK901" s="102"/>
      <c r="AL901" s="102"/>
      <c r="AM901" s="102"/>
      <c r="AN901" s="102"/>
      <c r="AO901" s="102"/>
      <c r="AP901" s="102"/>
      <c r="AQ901" s="102"/>
      <c r="AR901" s="102"/>
      <c r="AS901" s="102"/>
      <c r="AT901" s="102"/>
      <c r="AU901" s="102"/>
      <c r="AV901" s="102"/>
    </row>
    <row r="902" ht="12.75" customHeight="1">
      <c r="C902" s="400"/>
      <c r="D902" s="102"/>
      <c r="I902" s="102"/>
      <c r="J902" s="102"/>
      <c r="K902" s="102"/>
      <c r="L902" s="102"/>
      <c r="M902" s="102"/>
      <c r="N902" s="102"/>
      <c r="O902" s="102"/>
      <c r="P902" s="102"/>
      <c r="Q902" s="102"/>
      <c r="R902" s="102"/>
      <c r="S902" s="102"/>
      <c r="T902" s="102"/>
      <c r="U902" s="102"/>
      <c r="V902" s="102"/>
      <c r="W902" s="102"/>
      <c r="X902" s="102"/>
      <c r="Y902" s="102"/>
      <c r="Z902" s="102"/>
      <c r="AA902" s="102"/>
      <c r="AB902" s="102"/>
      <c r="AC902" s="102"/>
      <c r="AD902" s="102"/>
      <c r="AE902" s="102"/>
      <c r="AF902" s="102"/>
      <c r="AG902" s="102"/>
      <c r="AH902" s="102"/>
      <c r="AI902" s="102"/>
      <c r="AJ902" s="102"/>
      <c r="AK902" s="102"/>
      <c r="AL902" s="102"/>
      <c r="AM902" s="102"/>
      <c r="AN902" s="102"/>
      <c r="AO902" s="102"/>
      <c r="AP902" s="102"/>
      <c r="AQ902" s="102"/>
      <c r="AR902" s="102"/>
      <c r="AS902" s="102"/>
      <c r="AT902" s="102"/>
      <c r="AU902" s="102"/>
      <c r="AV902" s="102"/>
    </row>
    <row r="903" ht="12.75" customHeight="1">
      <c r="C903" s="400"/>
      <c r="D903" s="102"/>
      <c r="I903" s="102"/>
      <c r="J903" s="102"/>
      <c r="K903" s="102"/>
      <c r="L903" s="102"/>
      <c r="M903" s="102"/>
      <c r="N903" s="102"/>
      <c r="O903" s="102"/>
      <c r="P903" s="102"/>
      <c r="Q903" s="102"/>
      <c r="R903" s="102"/>
      <c r="S903" s="102"/>
      <c r="T903" s="102"/>
      <c r="U903" s="102"/>
      <c r="V903" s="102"/>
      <c r="W903" s="102"/>
      <c r="X903" s="102"/>
      <c r="Y903" s="102"/>
      <c r="Z903" s="102"/>
      <c r="AA903" s="102"/>
      <c r="AB903" s="102"/>
      <c r="AC903" s="102"/>
      <c r="AD903" s="102"/>
      <c r="AE903" s="102"/>
      <c r="AF903" s="102"/>
      <c r="AG903" s="102"/>
      <c r="AH903" s="102"/>
      <c r="AI903" s="102"/>
      <c r="AJ903" s="102"/>
      <c r="AK903" s="102"/>
      <c r="AL903" s="102"/>
      <c r="AM903" s="102"/>
      <c r="AN903" s="102"/>
      <c r="AO903" s="102"/>
      <c r="AP903" s="102"/>
      <c r="AQ903" s="102"/>
      <c r="AR903" s="102"/>
      <c r="AS903" s="102"/>
      <c r="AT903" s="102"/>
      <c r="AU903" s="102"/>
      <c r="AV903" s="102"/>
    </row>
    <row r="904" ht="12.75" customHeight="1">
      <c r="C904" s="400"/>
      <c r="D904" s="102"/>
      <c r="I904" s="102"/>
      <c r="J904" s="102"/>
      <c r="K904" s="102"/>
      <c r="L904" s="102"/>
      <c r="M904" s="102"/>
      <c r="N904" s="102"/>
      <c r="O904" s="102"/>
      <c r="P904" s="102"/>
      <c r="Q904" s="102"/>
      <c r="R904" s="102"/>
      <c r="S904" s="102"/>
      <c r="T904" s="102"/>
      <c r="U904" s="102"/>
      <c r="V904" s="102"/>
      <c r="W904" s="102"/>
      <c r="X904" s="102"/>
      <c r="Y904" s="102"/>
      <c r="Z904" s="102"/>
      <c r="AA904" s="102"/>
      <c r="AB904" s="102"/>
      <c r="AC904" s="102"/>
      <c r="AD904" s="102"/>
      <c r="AE904" s="102"/>
      <c r="AF904" s="102"/>
      <c r="AG904" s="102"/>
      <c r="AH904" s="102"/>
      <c r="AI904" s="102"/>
      <c r="AJ904" s="102"/>
      <c r="AK904" s="102"/>
      <c r="AL904" s="102"/>
      <c r="AM904" s="102"/>
      <c r="AN904" s="102"/>
      <c r="AO904" s="102"/>
      <c r="AP904" s="102"/>
      <c r="AQ904" s="102"/>
      <c r="AR904" s="102"/>
      <c r="AS904" s="102"/>
      <c r="AT904" s="102"/>
      <c r="AU904" s="102"/>
      <c r="AV904" s="102"/>
    </row>
    <row r="905" ht="12.75" customHeight="1">
      <c r="C905" s="400"/>
      <c r="D905" s="102"/>
      <c r="I905" s="102"/>
      <c r="J905" s="102"/>
      <c r="K905" s="102"/>
      <c r="L905" s="102"/>
      <c r="M905" s="102"/>
      <c r="N905" s="102"/>
      <c r="O905" s="102"/>
      <c r="P905" s="102"/>
      <c r="Q905" s="102"/>
      <c r="R905" s="102"/>
      <c r="S905" s="102"/>
      <c r="T905" s="102"/>
      <c r="U905" s="102"/>
      <c r="V905" s="102"/>
      <c r="W905" s="102"/>
      <c r="X905" s="102"/>
      <c r="Y905" s="102"/>
      <c r="Z905" s="102"/>
      <c r="AA905" s="102"/>
      <c r="AB905" s="102"/>
      <c r="AC905" s="102"/>
      <c r="AD905" s="102"/>
      <c r="AE905" s="102"/>
      <c r="AF905" s="102"/>
      <c r="AG905" s="102"/>
      <c r="AH905" s="102"/>
      <c r="AI905" s="102"/>
      <c r="AJ905" s="102"/>
      <c r="AK905" s="102"/>
      <c r="AL905" s="102"/>
      <c r="AM905" s="102"/>
      <c r="AN905" s="102"/>
      <c r="AO905" s="102"/>
      <c r="AP905" s="102"/>
      <c r="AQ905" s="102"/>
      <c r="AR905" s="102"/>
      <c r="AS905" s="102"/>
      <c r="AT905" s="102"/>
      <c r="AU905" s="102"/>
      <c r="AV905" s="102"/>
    </row>
    <row r="906" ht="12.75" customHeight="1">
      <c r="C906" s="400"/>
      <c r="D906" s="102"/>
      <c r="I906" s="102"/>
      <c r="J906" s="102"/>
      <c r="K906" s="102"/>
      <c r="L906" s="102"/>
      <c r="M906" s="102"/>
      <c r="N906" s="102"/>
      <c r="O906" s="102"/>
      <c r="P906" s="102"/>
      <c r="Q906" s="102"/>
      <c r="R906" s="102"/>
      <c r="S906" s="102"/>
      <c r="T906" s="102"/>
      <c r="U906" s="102"/>
      <c r="V906" s="102"/>
      <c r="W906" s="102"/>
      <c r="X906" s="102"/>
      <c r="Y906" s="102"/>
      <c r="Z906" s="102"/>
      <c r="AA906" s="102"/>
      <c r="AB906" s="102"/>
      <c r="AC906" s="102"/>
      <c r="AD906" s="102"/>
      <c r="AE906" s="102"/>
      <c r="AF906" s="102"/>
      <c r="AG906" s="102"/>
      <c r="AH906" s="102"/>
      <c r="AI906" s="102"/>
      <c r="AJ906" s="102"/>
      <c r="AK906" s="102"/>
      <c r="AL906" s="102"/>
      <c r="AM906" s="102"/>
      <c r="AN906" s="102"/>
      <c r="AO906" s="102"/>
      <c r="AP906" s="102"/>
      <c r="AQ906" s="102"/>
      <c r="AR906" s="102"/>
      <c r="AS906" s="102"/>
      <c r="AT906" s="102"/>
      <c r="AU906" s="102"/>
      <c r="AV906" s="102"/>
    </row>
    <row r="907" ht="12.75" customHeight="1">
      <c r="C907" s="400"/>
      <c r="D907" s="102"/>
      <c r="I907" s="102"/>
      <c r="J907" s="102"/>
      <c r="K907" s="102"/>
      <c r="L907" s="102"/>
      <c r="M907" s="102"/>
      <c r="N907" s="102"/>
      <c r="O907" s="102"/>
      <c r="P907" s="102"/>
      <c r="Q907" s="102"/>
      <c r="R907" s="102"/>
      <c r="S907" s="102"/>
      <c r="T907" s="102"/>
      <c r="U907" s="102"/>
      <c r="V907" s="102"/>
      <c r="W907" s="102"/>
      <c r="X907" s="102"/>
      <c r="Y907" s="102"/>
      <c r="Z907" s="102"/>
      <c r="AA907" s="102"/>
      <c r="AB907" s="102"/>
      <c r="AC907" s="102"/>
      <c r="AD907" s="102"/>
      <c r="AE907" s="102"/>
      <c r="AF907" s="102"/>
      <c r="AG907" s="102"/>
      <c r="AH907" s="102"/>
      <c r="AI907" s="102"/>
      <c r="AJ907" s="102"/>
      <c r="AK907" s="102"/>
      <c r="AL907" s="102"/>
      <c r="AM907" s="102"/>
      <c r="AN907" s="102"/>
      <c r="AO907" s="102"/>
      <c r="AP907" s="102"/>
      <c r="AQ907" s="102"/>
      <c r="AR907" s="102"/>
      <c r="AS907" s="102"/>
      <c r="AT907" s="102"/>
      <c r="AU907" s="102"/>
      <c r="AV907" s="102"/>
    </row>
    <row r="908" ht="12.75" customHeight="1">
      <c r="C908" s="400"/>
      <c r="D908" s="102"/>
      <c r="I908" s="102"/>
      <c r="J908" s="102"/>
      <c r="K908" s="102"/>
      <c r="L908" s="102"/>
      <c r="M908" s="102"/>
      <c r="N908" s="102"/>
      <c r="O908" s="102"/>
      <c r="P908" s="102"/>
      <c r="Q908" s="102"/>
      <c r="R908" s="102"/>
      <c r="S908" s="102"/>
      <c r="T908" s="102"/>
      <c r="U908" s="102"/>
      <c r="V908" s="102"/>
      <c r="W908" s="102"/>
      <c r="X908" s="102"/>
      <c r="Y908" s="102"/>
      <c r="Z908" s="102"/>
      <c r="AA908" s="102"/>
      <c r="AB908" s="102"/>
      <c r="AC908" s="102"/>
      <c r="AD908" s="102"/>
      <c r="AE908" s="102"/>
      <c r="AF908" s="102"/>
      <c r="AG908" s="102"/>
      <c r="AH908" s="102"/>
      <c r="AI908" s="102"/>
      <c r="AJ908" s="102"/>
      <c r="AK908" s="102"/>
      <c r="AL908" s="102"/>
      <c r="AM908" s="102"/>
      <c r="AN908" s="102"/>
      <c r="AO908" s="102"/>
      <c r="AP908" s="102"/>
      <c r="AQ908" s="102"/>
      <c r="AR908" s="102"/>
      <c r="AS908" s="102"/>
      <c r="AT908" s="102"/>
      <c r="AU908" s="102"/>
      <c r="AV908" s="102"/>
    </row>
    <row r="909" ht="12.75" customHeight="1">
      <c r="C909" s="400"/>
      <c r="D909" s="102"/>
      <c r="I909" s="102"/>
      <c r="J909" s="102"/>
      <c r="K909" s="102"/>
      <c r="L909" s="102"/>
      <c r="M909" s="102"/>
      <c r="N909" s="102"/>
      <c r="O909" s="102"/>
      <c r="P909" s="102"/>
      <c r="Q909" s="102"/>
      <c r="R909" s="102"/>
      <c r="S909" s="102"/>
      <c r="T909" s="102"/>
      <c r="U909" s="102"/>
      <c r="V909" s="102"/>
      <c r="W909" s="102"/>
      <c r="X909" s="102"/>
      <c r="Y909" s="102"/>
      <c r="Z909" s="102"/>
      <c r="AA909" s="102"/>
      <c r="AB909" s="102"/>
      <c r="AC909" s="102"/>
      <c r="AD909" s="102"/>
      <c r="AE909" s="102"/>
      <c r="AF909" s="102"/>
      <c r="AG909" s="102"/>
      <c r="AH909" s="102"/>
      <c r="AI909" s="102"/>
      <c r="AJ909" s="102"/>
      <c r="AK909" s="102"/>
      <c r="AL909" s="102"/>
      <c r="AM909" s="102"/>
      <c r="AN909" s="102"/>
      <c r="AO909" s="102"/>
      <c r="AP909" s="102"/>
      <c r="AQ909" s="102"/>
      <c r="AR909" s="102"/>
      <c r="AS909" s="102"/>
      <c r="AT909" s="102"/>
      <c r="AU909" s="102"/>
      <c r="AV909" s="102"/>
    </row>
    <row r="910" ht="12.75" customHeight="1">
      <c r="C910" s="400"/>
      <c r="D910" s="102"/>
      <c r="I910" s="102"/>
      <c r="J910" s="102"/>
      <c r="K910" s="102"/>
      <c r="L910" s="102"/>
      <c r="M910" s="102"/>
      <c r="N910" s="102"/>
      <c r="O910" s="102"/>
      <c r="P910" s="102"/>
      <c r="Q910" s="102"/>
      <c r="R910" s="102"/>
      <c r="S910" s="102"/>
      <c r="T910" s="102"/>
      <c r="U910" s="102"/>
      <c r="V910" s="102"/>
      <c r="W910" s="102"/>
      <c r="X910" s="102"/>
      <c r="Y910" s="102"/>
      <c r="Z910" s="102"/>
      <c r="AA910" s="102"/>
      <c r="AB910" s="102"/>
      <c r="AC910" s="102"/>
      <c r="AD910" s="102"/>
      <c r="AE910" s="102"/>
      <c r="AF910" s="102"/>
      <c r="AG910" s="102"/>
      <c r="AH910" s="102"/>
      <c r="AI910" s="102"/>
      <c r="AJ910" s="102"/>
      <c r="AK910" s="102"/>
      <c r="AL910" s="102"/>
      <c r="AM910" s="102"/>
      <c r="AN910" s="102"/>
      <c r="AO910" s="102"/>
      <c r="AP910" s="102"/>
      <c r="AQ910" s="102"/>
      <c r="AR910" s="102"/>
      <c r="AS910" s="102"/>
      <c r="AT910" s="102"/>
      <c r="AU910" s="102"/>
      <c r="AV910" s="102"/>
    </row>
    <row r="911" ht="12.75" customHeight="1">
      <c r="C911" s="400"/>
      <c r="D911" s="102"/>
      <c r="I911" s="102"/>
      <c r="J911" s="102"/>
      <c r="K911" s="102"/>
      <c r="L911" s="102"/>
      <c r="M911" s="102"/>
      <c r="N911" s="102"/>
      <c r="O911" s="102"/>
      <c r="P911" s="102"/>
      <c r="Q911" s="102"/>
      <c r="R911" s="102"/>
      <c r="S911" s="102"/>
      <c r="T911" s="102"/>
      <c r="U911" s="102"/>
      <c r="V911" s="102"/>
      <c r="W911" s="102"/>
      <c r="X911" s="102"/>
      <c r="Y911" s="102"/>
      <c r="Z911" s="102"/>
      <c r="AA911" s="102"/>
      <c r="AB911" s="102"/>
      <c r="AC911" s="102"/>
      <c r="AD911" s="102"/>
      <c r="AE911" s="102"/>
      <c r="AF911" s="102"/>
      <c r="AG911" s="102"/>
      <c r="AH911" s="102"/>
      <c r="AI911" s="102"/>
      <c r="AJ911" s="102"/>
      <c r="AK911" s="102"/>
      <c r="AL911" s="102"/>
      <c r="AM911" s="102"/>
      <c r="AN911" s="102"/>
      <c r="AO911" s="102"/>
      <c r="AP911" s="102"/>
      <c r="AQ911" s="102"/>
      <c r="AR911" s="102"/>
      <c r="AS911" s="102"/>
      <c r="AT911" s="102"/>
      <c r="AU911" s="102"/>
      <c r="AV911" s="102"/>
    </row>
    <row r="912" ht="12.75" customHeight="1">
      <c r="C912" s="400"/>
      <c r="D912" s="102"/>
      <c r="I912" s="102"/>
      <c r="J912" s="102"/>
      <c r="K912" s="102"/>
      <c r="L912" s="102"/>
      <c r="M912" s="102"/>
      <c r="N912" s="102"/>
      <c r="O912" s="102"/>
      <c r="P912" s="102"/>
      <c r="Q912" s="102"/>
      <c r="R912" s="102"/>
      <c r="S912" s="102"/>
      <c r="T912" s="102"/>
      <c r="U912" s="102"/>
      <c r="V912" s="102"/>
      <c r="W912" s="102"/>
      <c r="X912" s="102"/>
      <c r="Y912" s="102"/>
      <c r="Z912" s="102"/>
      <c r="AA912" s="102"/>
      <c r="AB912" s="102"/>
      <c r="AC912" s="102"/>
      <c r="AD912" s="102"/>
      <c r="AE912" s="102"/>
      <c r="AF912" s="102"/>
      <c r="AG912" s="102"/>
      <c r="AH912" s="102"/>
      <c r="AI912" s="102"/>
      <c r="AJ912" s="102"/>
      <c r="AK912" s="102"/>
      <c r="AL912" s="102"/>
      <c r="AM912" s="102"/>
      <c r="AN912" s="102"/>
      <c r="AO912" s="102"/>
      <c r="AP912" s="102"/>
      <c r="AQ912" s="102"/>
      <c r="AR912" s="102"/>
      <c r="AS912" s="102"/>
      <c r="AT912" s="102"/>
      <c r="AU912" s="102"/>
      <c r="AV912" s="102"/>
    </row>
    <row r="913" ht="12.75" customHeight="1">
      <c r="C913" s="400"/>
      <c r="D913" s="102"/>
      <c r="I913" s="102"/>
      <c r="J913" s="102"/>
      <c r="K913" s="102"/>
      <c r="L913" s="102"/>
      <c r="M913" s="102"/>
      <c r="N913" s="102"/>
      <c r="O913" s="102"/>
      <c r="P913" s="102"/>
      <c r="Q913" s="102"/>
      <c r="R913" s="102"/>
      <c r="S913" s="102"/>
      <c r="T913" s="102"/>
      <c r="U913" s="102"/>
      <c r="V913" s="102"/>
      <c r="W913" s="102"/>
      <c r="X913" s="102"/>
      <c r="Y913" s="102"/>
      <c r="Z913" s="102"/>
      <c r="AA913" s="102"/>
      <c r="AB913" s="102"/>
      <c r="AC913" s="102"/>
      <c r="AD913" s="102"/>
      <c r="AE913" s="102"/>
      <c r="AF913" s="102"/>
      <c r="AG913" s="102"/>
      <c r="AH913" s="102"/>
      <c r="AI913" s="102"/>
      <c r="AJ913" s="102"/>
      <c r="AK913" s="102"/>
      <c r="AL913" s="102"/>
      <c r="AM913" s="102"/>
      <c r="AN913" s="102"/>
      <c r="AO913" s="102"/>
      <c r="AP913" s="102"/>
      <c r="AQ913" s="102"/>
      <c r="AR913" s="102"/>
      <c r="AS913" s="102"/>
      <c r="AT913" s="102"/>
      <c r="AU913" s="102"/>
      <c r="AV913" s="102"/>
    </row>
    <row r="914" ht="12.75" customHeight="1">
      <c r="C914" s="400"/>
      <c r="D914" s="102"/>
      <c r="I914" s="102"/>
      <c r="J914" s="102"/>
      <c r="K914" s="102"/>
      <c r="L914" s="102"/>
      <c r="M914" s="102"/>
      <c r="N914" s="102"/>
      <c r="O914" s="102"/>
      <c r="P914" s="102"/>
      <c r="Q914" s="102"/>
      <c r="R914" s="102"/>
      <c r="S914" s="102"/>
      <c r="T914" s="102"/>
      <c r="U914" s="102"/>
      <c r="V914" s="102"/>
      <c r="W914" s="102"/>
      <c r="X914" s="102"/>
      <c r="Y914" s="102"/>
      <c r="Z914" s="102"/>
      <c r="AA914" s="102"/>
      <c r="AB914" s="102"/>
      <c r="AC914" s="102"/>
      <c r="AD914" s="102"/>
      <c r="AE914" s="102"/>
      <c r="AF914" s="102"/>
      <c r="AG914" s="102"/>
      <c r="AH914" s="102"/>
      <c r="AI914" s="102"/>
      <c r="AJ914" s="102"/>
      <c r="AK914" s="102"/>
      <c r="AL914" s="102"/>
      <c r="AM914" s="102"/>
      <c r="AN914" s="102"/>
      <c r="AO914" s="102"/>
      <c r="AP914" s="102"/>
      <c r="AQ914" s="102"/>
      <c r="AR914" s="102"/>
      <c r="AS914" s="102"/>
      <c r="AT914" s="102"/>
      <c r="AU914" s="102"/>
      <c r="AV914" s="102"/>
    </row>
    <row r="915" ht="12.75" customHeight="1">
      <c r="C915" s="400"/>
      <c r="D915" s="102"/>
      <c r="I915" s="102"/>
      <c r="J915" s="102"/>
      <c r="K915" s="102"/>
      <c r="L915" s="102"/>
      <c r="M915" s="102"/>
      <c r="N915" s="102"/>
      <c r="O915" s="102"/>
      <c r="P915" s="102"/>
      <c r="Q915" s="102"/>
      <c r="R915" s="102"/>
      <c r="S915" s="102"/>
      <c r="T915" s="102"/>
      <c r="U915" s="102"/>
      <c r="V915" s="102"/>
      <c r="W915" s="102"/>
      <c r="X915" s="102"/>
      <c r="Y915" s="102"/>
      <c r="Z915" s="102"/>
      <c r="AA915" s="102"/>
      <c r="AB915" s="102"/>
      <c r="AC915" s="102"/>
      <c r="AD915" s="102"/>
      <c r="AE915" s="102"/>
      <c r="AF915" s="102"/>
      <c r="AG915" s="102"/>
      <c r="AH915" s="102"/>
      <c r="AI915" s="102"/>
      <c r="AJ915" s="102"/>
      <c r="AK915" s="102"/>
      <c r="AL915" s="102"/>
      <c r="AM915" s="102"/>
      <c r="AN915" s="102"/>
      <c r="AO915" s="102"/>
      <c r="AP915" s="102"/>
      <c r="AQ915" s="102"/>
      <c r="AR915" s="102"/>
      <c r="AS915" s="102"/>
      <c r="AT915" s="102"/>
      <c r="AU915" s="102"/>
      <c r="AV915" s="102"/>
    </row>
    <row r="916" ht="12.75" customHeight="1">
      <c r="C916" s="400"/>
      <c r="D916" s="102"/>
      <c r="I916" s="102"/>
      <c r="J916" s="102"/>
      <c r="K916" s="102"/>
      <c r="L916" s="102"/>
      <c r="M916" s="102"/>
      <c r="N916" s="102"/>
      <c r="O916" s="102"/>
      <c r="P916" s="102"/>
      <c r="Q916" s="102"/>
      <c r="R916" s="102"/>
      <c r="S916" s="102"/>
      <c r="T916" s="102"/>
      <c r="U916" s="102"/>
      <c r="V916" s="102"/>
      <c r="W916" s="102"/>
      <c r="X916" s="102"/>
      <c r="Y916" s="102"/>
      <c r="Z916" s="102"/>
      <c r="AA916" s="102"/>
      <c r="AB916" s="102"/>
      <c r="AC916" s="102"/>
      <c r="AD916" s="102"/>
      <c r="AE916" s="102"/>
      <c r="AF916" s="102"/>
      <c r="AG916" s="102"/>
      <c r="AH916" s="102"/>
      <c r="AI916" s="102"/>
      <c r="AJ916" s="102"/>
      <c r="AK916" s="102"/>
      <c r="AL916" s="102"/>
      <c r="AM916" s="102"/>
      <c r="AN916" s="102"/>
      <c r="AO916" s="102"/>
      <c r="AP916" s="102"/>
      <c r="AQ916" s="102"/>
      <c r="AR916" s="102"/>
      <c r="AS916" s="102"/>
      <c r="AT916" s="102"/>
      <c r="AU916" s="102"/>
      <c r="AV916" s="102"/>
    </row>
    <row r="917" ht="12.75" customHeight="1">
      <c r="C917" s="400"/>
      <c r="D917" s="102"/>
      <c r="I917" s="102"/>
      <c r="J917" s="102"/>
      <c r="K917" s="102"/>
      <c r="L917" s="102"/>
      <c r="M917" s="102"/>
      <c r="N917" s="102"/>
      <c r="O917" s="102"/>
      <c r="P917" s="102"/>
      <c r="Q917" s="102"/>
      <c r="R917" s="102"/>
      <c r="S917" s="102"/>
      <c r="T917" s="102"/>
      <c r="U917" s="102"/>
      <c r="V917" s="102"/>
      <c r="W917" s="102"/>
      <c r="X917" s="102"/>
      <c r="Y917" s="102"/>
      <c r="Z917" s="102"/>
      <c r="AA917" s="102"/>
      <c r="AB917" s="102"/>
      <c r="AC917" s="102"/>
      <c r="AD917" s="102"/>
      <c r="AE917" s="102"/>
      <c r="AF917" s="102"/>
      <c r="AG917" s="102"/>
      <c r="AH917" s="102"/>
      <c r="AI917" s="102"/>
      <c r="AJ917" s="102"/>
      <c r="AK917" s="102"/>
      <c r="AL917" s="102"/>
      <c r="AM917" s="102"/>
      <c r="AN917" s="102"/>
      <c r="AO917" s="102"/>
      <c r="AP917" s="102"/>
      <c r="AQ917" s="102"/>
      <c r="AR917" s="102"/>
      <c r="AS917" s="102"/>
      <c r="AT917" s="102"/>
      <c r="AU917" s="102"/>
      <c r="AV917" s="102"/>
    </row>
    <row r="918" ht="12.75" customHeight="1">
      <c r="C918" s="400"/>
      <c r="D918" s="102"/>
      <c r="I918" s="102"/>
      <c r="J918" s="102"/>
      <c r="K918" s="102"/>
      <c r="L918" s="102"/>
      <c r="M918" s="102"/>
      <c r="N918" s="102"/>
      <c r="O918" s="102"/>
      <c r="P918" s="102"/>
      <c r="Q918" s="102"/>
      <c r="R918" s="102"/>
      <c r="S918" s="102"/>
      <c r="T918" s="102"/>
      <c r="U918" s="102"/>
      <c r="V918" s="102"/>
      <c r="W918" s="102"/>
      <c r="X918" s="102"/>
      <c r="Y918" s="102"/>
      <c r="Z918" s="102"/>
      <c r="AA918" s="102"/>
      <c r="AB918" s="102"/>
      <c r="AC918" s="102"/>
      <c r="AD918" s="102"/>
      <c r="AE918" s="102"/>
      <c r="AF918" s="102"/>
      <c r="AG918" s="102"/>
      <c r="AH918" s="102"/>
      <c r="AI918" s="102"/>
      <c r="AJ918" s="102"/>
      <c r="AK918" s="102"/>
      <c r="AL918" s="102"/>
      <c r="AM918" s="102"/>
      <c r="AN918" s="102"/>
      <c r="AO918" s="102"/>
      <c r="AP918" s="102"/>
      <c r="AQ918" s="102"/>
      <c r="AR918" s="102"/>
      <c r="AS918" s="102"/>
      <c r="AT918" s="102"/>
      <c r="AU918" s="102"/>
      <c r="AV918" s="102"/>
    </row>
    <row r="919" ht="12.75" customHeight="1">
      <c r="C919" s="400"/>
      <c r="D919" s="102"/>
      <c r="I919" s="102"/>
      <c r="J919" s="102"/>
      <c r="K919" s="102"/>
      <c r="L919" s="102"/>
      <c r="M919" s="102"/>
      <c r="N919" s="102"/>
      <c r="O919" s="102"/>
      <c r="P919" s="102"/>
      <c r="Q919" s="102"/>
      <c r="R919" s="102"/>
      <c r="S919" s="102"/>
      <c r="T919" s="102"/>
      <c r="U919" s="102"/>
      <c r="V919" s="102"/>
      <c r="W919" s="102"/>
      <c r="X919" s="102"/>
      <c r="Y919" s="102"/>
      <c r="Z919" s="102"/>
      <c r="AA919" s="102"/>
      <c r="AB919" s="102"/>
      <c r="AC919" s="102"/>
      <c r="AD919" s="102"/>
      <c r="AE919" s="102"/>
      <c r="AF919" s="102"/>
      <c r="AG919" s="102"/>
      <c r="AH919" s="102"/>
      <c r="AI919" s="102"/>
      <c r="AJ919" s="102"/>
      <c r="AK919" s="102"/>
      <c r="AL919" s="102"/>
      <c r="AM919" s="102"/>
      <c r="AN919" s="102"/>
      <c r="AO919" s="102"/>
      <c r="AP919" s="102"/>
      <c r="AQ919" s="102"/>
      <c r="AR919" s="102"/>
      <c r="AS919" s="102"/>
      <c r="AT919" s="102"/>
      <c r="AU919" s="102"/>
      <c r="AV919" s="102"/>
    </row>
    <row r="920" ht="12.75" customHeight="1">
      <c r="C920" s="400"/>
      <c r="D920" s="102"/>
      <c r="I920" s="102"/>
      <c r="J920" s="102"/>
      <c r="K920" s="102"/>
      <c r="L920" s="102"/>
      <c r="M920" s="102"/>
      <c r="N920" s="102"/>
      <c r="O920" s="102"/>
      <c r="P920" s="102"/>
      <c r="Q920" s="102"/>
      <c r="R920" s="102"/>
      <c r="S920" s="102"/>
      <c r="T920" s="102"/>
      <c r="U920" s="102"/>
      <c r="V920" s="102"/>
      <c r="W920" s="102"/>
      <c r="X920" s="102"/>
      <c r="Y920" s="102"/>
      <c r="Z920" s="102"/>
      <c r="AA920" s="102"/>
      <c r="AB920" s="102"/>
      <c r="AC920" s="102"/>
      <c r="AD920" s="102"/>
      <c r="AE920" s="102"/>
      <c r="AF920" s="102"/>
      <c r="AG920" s="102"/>
      <c r="AH920" s="102"/>
      <c r="AI920" s="102"/>
      <c r="AJ920" s="102"/>
      <c r="AK920" s="102"/>
      <c r="AL920" s="102"/>
      <c r="AM920" s="102"/>
      <c r="AN920" s="102"/>
      <c r="AO920" s="102"/>
      <c r="AP920" s="102"/>
      <c r="AQ920" s="102"/>
      <c r="AR920" s="102"/>
      <c r="AS920" s="102"/>
      <c r="AT920" s="102"/>
      <c r="AU920" s="102"/>
      <c r="AV920" s="102"/>
    </row>
    <row r="921" ht="12.75" customHeight="1">
      <c r="C921" s="400"/>
      <c r="D921" s="102"/>
      <c r="I921" s="102"/>
      <c r="J921" s="102"/>
      <c r="K921" s="102"/>
      <c r="L921" s="102"/>
      <c r="M921" s="102"/>
      <c r="N921" s="102"/>
      <c r="O921" s="102"/>
      <c r="P921" s="102"/>
      <c r="Q921" s="102"/>
      <c r="R921" s="102"/>
      <c r="S921" s="102"/>
      <c r="T921" s="102"/>
      <c r="U921" s="102"/>
      <c r="V921" s="102"/>
      <c r="W921" s="102"/>
      <c r="X921" s="102"/>
      <c r="Y921" s="102"/>
      <c r="Z921" s="102"/>
      <c r="AA921" s="102"/>
      <c r="AB921" s="102"/>
      <c r="AC921" s="102"/>
      <c r="AD921" s="102"/>
      <c r="AE921" s="102"/>
      <c r="AF921" s="102"/>
      <c r="AG921" s="102"/>
      <c r="AH921" s="102"/>
      <c r="AI921" s="102"/>
      <c r="AJ921" s="102"/>
      <c r="AK921" s="102"/>
      <c r="AL921" s="102"/>
      <c r="AM921" s="102"/>
      <c r="AN921" s="102"/>
      <c r="AO921" s="102"/>
      <c r="AP921" s="102"/>
      <c r="AQ921" s="102"/>
      <c r="AR921" s="102"/>
      <c r="AS921" s="102"/>
      <c r="AT921" s="102"/>
      <c r="AU921" s="102"/>
      <c r="AV921" s="102"/>
    </row>
    <row r="922" ht="12.75" customHeight="1">
      <c r="C922" s="400"/>
      <c r="D922" s="102"/>
      <c r="I922" s="102"/>
      <c r="J922" s="102"/>
      <c r="K922" s="102"/>
      <c r="L922" s="102"/>
      <c r="M922" s="102"/>
      <c r="N922" s="102"/>
      <c r="O922" s="102"/>
      <c r="P922" s="102"/>
      <c r="Q922" s="102"/>
      <c r="R922" s="102"/>
      <c r="S922" s="102"/>
      <c r="T922" s="102"/>
      <c r="U922" s="102"/>
      <c r="V922" s="102"/>
      <c r="W922" s="102"/>
      <c r="X922" s="102"/>
      <c r="Y922" s="102"/>
      <c r="Z922" s="102"/>
      <c r="AA922" s="102"/>
      <c r="AB922" s="102"/>
      <c r="AC922" s="102"/>
      <c r="AD922" s="102"/>
      <c r="AE922" s="102"/>
      <c r="AF922" s="102"/>
      <c r="AG922" s="102"/>
      <c r="AH922" s="102"/>
      <c r="AI922" s="102"/>
      <c r="AJ922" s="102"/>
      <c r="AK922" s="102"/>
      <c r="AL922" s="102"/>
      <c r="AM922" s="102"/>
      <c r="AN922" s="102"/>
      <c r="AO922" s="102"/>
      <c r="AP922" s="102"/>
      <c r="AQ922" s="102"/>
      <c r="AR922" s="102"/>
      <c r="AS922" s="102"/>
      <c r="AT922" s="102"/>
      <c r="AU922" s="102"/>
      <c r="AV922" s="102"/>
    </row>
    <row r="923" ht="12.75" customHeight="1">
      <c r="C923" s="400"/>
      <c r="D923" s="102"/>
      <c r="I923" s="102"/>
      <c r="J923" s="102"/>
      <c r="K923" s="102"/>
      <c r="L923" s="102"/>
      <c r="M923" s="102"/>
      <c r="N923" s="102"/>
      <c r="O923" s="102"/>
      <c r="P923" s="102"/>
      <c r="Q923" s="102"/>
      <c r="R923" s="102"/>
      <c r="S923" s="102"/>
      <c r="T923" s="102"/>
      <c r="U923" s="102"/>
      <c r="V923" s="102"/>
      <c r="W923" s="102"/>
      <c r="X923" s="102"/>
      <c r="Y923" s="102"/>
      <c r="Z923" s="102"/>
      <c r="AA923" s="102"/>
      <c r="AB923" s="102"/>
      <c r="AC923" s="102"/>
      <c r="AD923" s="102"/>
      <c r="AE923" s="102"/>
      <c r="AF923" s="102"/>
      <c r="AG923" s="102"/>
      <c r="AH923" s="102"/>
      <c r="AI923" s="102"/>
      <c r="AJ923" s="102"/>
      <c r="AK923" s="102"/>
      <c r="AL923" s="102"/>
      <c r="AM923" s="102"/>
      <c r="AN923" s="102"/>
      <c r="AO923" s="102"/>
      <c r="AP923" s="102"/>
      <c r="AQ923" s="102"/>
      <c r="AR923" s="102"/>
      <c r="AS923" s="102"/>
      <c r="AT923" s="102"/>
      <c r="AU923" s="102"/>
      <c r="AV923" s="102"/>
    </row>
    <row r="924" ht="12.75" customHeight="1">
      <c r="C924" s="400"/>
      <c r="D924" s="102"/>
      <c r="I924" s="102"/>
      <c r="J924" s="102"/>
      <c r="K924" s="102"/>
      <c r="L924" s="102"/>
      <c r="M924" s="102"/>
      <c r="N924" s="102"/>
      <c r="O924" s="102"/>
      <c r="P924" s="102"/>
      <c r="Q924" s="102"/>
      <c r="R924" s="102"/>
      <c r="S924" s="102"/>
      <c r="T924" s="102"/>
      <c r="U924" s="102"/>
      <c r="V924" s="102"/>
      <c r="W924" s="102"/>
      <c r="X924" s="102"/>
      <c r="Y924" s="102"/>
      <c r="Z924" s="102"/>
      <c r="AA924" s="102"/>
      <c r="AB924" s="102"/>
      <c r="AC924" s="102"/>
      <c r="AD924" s="102"/>
      <c r="AE924" s="102"/>
      <c r="AF924" s="102"/>
      <c r="AG924" s="102"/>
      <c r="AH924" s="102"/>
      <c r="AI924" s="102"/>
      <c r="AJ924" s="102"/>
      <c r="AK924" s="102"/>
      <c r="AL924" s="102"/>
      <c r="AM924" s="102"/>
      <c r="AN924" s="102"/>
      <c r="AO924" s="102"/>
      <c r="AP924" s="102"/>
      <c r="AQ924" s="102"/>
      <c r="AR924" s="102"/>
      <c r="AS924" s="102"/>
      <c r="AT924" s="102"/>
      <c r="AU924" s="102"/>
      <c r="AV924" s="102"/>
    </row>
    <row r="925" ht="12.75" customHeight="1">
      <c r="C925" s="400"/>
      <c r="D925" s="102"/>
      <c r="I925" s="102"/>
      <c r="J925" s="102"/>
      <c r="K925" s="102"/>
      <c r="L925" s="102"/>
      <c r="M925" s="102"/>
      <c r="N925" s="102"/>
      <c r="O925" s="102"/>
      <c r="P925" s="102"/>
      <c r="Q925" s="102"/>
      <c r="R925" s="102"/>
      <c r="S925" s="102"/>
      <c r="T925" s="102"/>
      <c r="U925" s="102"/>
      <c r="V925" s="102"/>
      <c r="W925" s="102"/>
      <c r="X925" s="102"/>
      <c r="Y925" s="102"/>
      <c r="Z925" s="102"/>
      <c r="AA925" s="102"/>
      <c r="AB925" s="102"/>
      <c r="AC925" s="102"/>
      <c r="AD925" s="102"/>
      <c r="AE925" s="102"/>
      <c r="AF925" s="102"/>
      <c r="AG925" s="102"/>
      <c r="AH925" s="102"/>
      <c r="AI925" s="102"/>
      <c r="AJ925" s="102"/>
      <c r="AK925" s="102"/>
      <c r="AL925" s="102"/>
      <c r="AM925" s="102"/>
      <c r="AN925" s="102"/>
      <c r="AO925" s="102"/>
      <c r="AP925" s="102"/>
      <c r="AQ925" s="102"/>
      <c r="AR925" s="102"/>
      <c r="AS925" s="102"/>
      <c r="AT925" s="102"/>
      <c r="AU925" s="102"/>
      <c r="AV925" s="102"/>
    </row>
    <row r="926" ht="12.75" customHeight="1">
      <c r="C926" s="400"/>
      <c r="D926" s="102"/>
      <c r="I926" s="102"/>
      <c r="J926" s="102"/>
      <c r="K926" s="102"/>
      <c r="L926" s="102"/>
      <c r="M926" s="102"/>
      <c r="N926" s="102"/>
      <c r="O926" s="102"/>
      <c r="P926" s="102"/>
      <c r="Q926" s="102"/>
      <c r="R926" s="102"/>
      <c r="S926" s="102"/>
      <c r="T926" s="102"/>
      <c r="U926" s="102"/>
      <c r="V926" s="102"/>
      <c r="W926" s="102"/>
      <c r="X926" s="102"/>
      <c r="Y926" s="102"/>
      <c r="Z926" s="102"/>
      <c r="AA926" s="102"/>
      <c r="AB926" s="102"/>
      <c r="AC926" s="102"/>
      <c r="AD926" s="102"/>
      <c r="AE926" s="102"/>
      <c r="AF926" s="102"/>
      <c r="AG926" s="102"/>
      <c r="AH926" s="102"/>
      <c r="AI926" s="102"/>
      <c r="AJ926" s="102"/>
      <c r="AK926" s="102"/>
      <c r="AL926" s="102"/>
      <c r="AM926" s="102"/>
      <c r="AN926" s="102"/>
      <c r="AO926" s="102"/>
      <c r="AP926" s="102"/>
      <c r="AQ926" s="102"/>
      <c r="AR926" s="102"/>
      <c r="AS926" s="102"/>
      <c r="AT926" s="102"/>
      <c r="AU926" s="102"/>
      <c r="AV926" s="102"/>
    </row>
    <row r="927" ht="12.75" customHeight="1">
      <c r="C927" s="400"/>
      <c r="D927" s="102"/>
      <c r="I927" s="102"/>
      <c r="J927" s="102"/>
      <c r="K927" s="102"/>
      <c r="L927" s="102"/>
      <c r="M927" s="102"/>
      <c r="N927" s="102"/>
      <c r="O927" s="102"/>
      <c r="P927" s="102"/>
      <c r="Q927" s="102"/>
      <c r="R927" s="102"/>
      <c r="S927" s="102"/>
      <c r="T927" s="102"/>
      <c r="U927" s="102"/>
      <c r="V927" s="102"/>
      <c r="W927" s="102"/>
      <c r="X927" s="102"/>
      <c r="Y927" s="102"/>
      <c r="Z927" s="102"/>
      <c r="AA927" s="102"/>
      <c r="AB927" s="102"/>
      <c r="AC927" s="102"/>
      <c r="AD927" s="102"/>
      <c r="AE927" s="102"/>
      <c r="AF927" s="102"/>
      <c r="AG927" s="102"/>
      <c r="AH927" s="102"/>
      <c r="AI927" s="102"/>
      <c r="AJ927" s="102"/>
      <c r="AK927" s="102"/>
      <c r="AL927" s="102"/>
      <c r="AM927" s="102"/>
      <c r="AN927" s="102"/>
      <c r="AO927" s="102"/>
      <c r="AP927" s="102"/>
      <c r="AQ927" s="102"/>
      <c r="AR927" s="102"/>
      <c r="AS927" s="102"/>
      <c r="AT927" s="102"/>
      <c r="AU927" s="102"/>
      <c r="AV927" s="102"/>
    </row>
    <row r="928" ht="12.75" customHeight="1">
      <c r="C928" s="400"/>
      <c r="D928" s="102"/>
      <c r="I928" s="102"/>
      <c r="J928" s="102"/>
      <c r="K928" s="102"/>
      <c r="L928" s="102"/>
      <c r="M928" s="102"/>
      <c r="N928" s="102"/>
      <c r="O928" s="102"/>
      <c r="P928" s="102"/>
      <c r="Q928" s="102"/>
      <c r="R928" s="102"/>
      <c r="S928" s="102"/>
      <c r="T928" s="102"/>
      <c r="U928" s="102"/>
      <c r="V928" s="102"/>
      <c r="W928" s="102"/>
      <c r="X928" s="102"/>
      <c r="Y928" s="102"/>
      <c r="Z928" s="102"/>
      <c r="AA928" s="102"/>
      <c r="AB928" s="102"/>
      <c r="AC928" s="102"/>
      <c r="AD928" s="102"/>
      <c r="AE928" s="102"/>
      <c r="AF928" s="102"/>
      <c r="AG928" s="102"/>
      <c r="AH928" s="102"/>
      <c r="AI928" s="102"/>
      <c r="AJ928" s="102"/>
      <c r="AK928" s="102"/>
      <c r="AL928" s="102"/>
      <c r="AM928" s="102"/>
      <c r="AN928" s="102"/>
      <c r="AO928" s="102"/>
      <c r="AP928" s="102"/>
      <c r="AQ928" s="102"/>
      <c r="AR928" s="102"/>
      <c r="AS928" s="102"/>
      <c r="AT928" s="102"/>
      <c r="AU928" s="102"/>
      <c r="AV928" s="102"/>
    </row>
    <row r="929" ht="12.75" customHeight="1">
      <c r="C929" s="400"/>
      <c r="D929" s="102"/>
      <c r="I929" s="102"/>
      <c r="J929" s="102"/>
      <c r="K929" s="102"/>
      <c r="L929" s="102"/>
      <c r="M929" s="102"/>
      <c r="N929" s="102"/>
      <c r="O929" s="102"/>
      <c r="P929" s="102"/>
      <c r="Q929" s="102"/>
      <c r="R929" s="102"/>
      <c r="S929" s="102"/>
      <c r="T929" s="102"/>
      <c r="U929" s="102"/>
      <c r="V929" s="102"/>
      <c r="W929" s="102"/>
      <c r="X929" s="102"/>
      <c r="Y929" s="102"/>
      <c r="Z929" s="102"/>
      <c r="AA929" s="102"/>
      <c r="AB929" s="102"/>
      <c r="AC929" s="102"/>
      <c r="AD929" s="102"/>
      <c r="AE929" s="102"/>
      <c r="AF929" s="102"/>
      <c r="AG929" s="102"/>
      <c r="AH929" s="102"/>
      <c r="AI929" s="102"/>
      <c r="AJ929" s="102"/>
      <c r="AK929" s="102"/>
      <c r="AL929" s="102"/>
      <c r="AM929" s="102"/>
      <c r="AN929" s="102"/>
      <c r="AO929" s="102"/>
      <c r="AP929" s="102"/>
      <c r="AQ929" s="102"/>
      <c r="AR929" s="102"/>
      <c r="AS929" s="102"/>
      <c r="AT929" s="102"/>
      <c r="AU929" s="102"/>
      <c r="AV929" s="102"/>
    </row>
    <row r="930" ht="12.75" customHeight="1">
      <c r="C930" s="400"/>
      <c r="D930" s="102"/>
      <c r="I930" s="102"/>
      <c r="J930" s="102"/>
      <c r="K930" s="102"/>
      <c r="L930" s="102"/>
      <c r="M930" s="102"/>
      <c r="N930" s="102"/>
      <c r="O930" s="102"/>
      <c r="P930" s="102"/>
      <c r="Q930" s="102"/>
      <c r="R930" s="102"/>
      <c r="S930" s="102"/>
      <c r="T930" s="102"/>
      <c r="U930" s="102"/>
      <c r="V930" s="102"/>
      <c r="W930" s="102"/>
      <c r="X930" s="102"/>
      <c r="Y930" s="102"/>
      <c r="Z930" s="102"/>
      <c r="AA930" s="102"/>
      <c r="AB930" s="102"/>
      <c r="AC930" s="102"/>
      <c r="AD930" s="102"/>
      <c r="AE930" s="102"/>
      <c r="AF930" s="102"/>
      <c r="AG930" s="102"/>
      <c r="AH930" s="102"/>
      <c r="AI930" s="102"/>
      <c r="AJ930" s="102"/>
      <c r="AK930" s="102"/>
      <c r="AL930" s="102"/>
      <c r="AM930" s="102"/>
      <c r="AN930" s="102"/>
      <c r="AO930" s="102"/>
      <c r="AP930" s="102"/>
      <c r="AQ930" s="102"/>
      <c r="AR930" s="102"/>
      <c r="AS930" s="102"/>
      <c r="AT930" s="102"/>
      <c r="AU930" s="102"/>
      <c r="AV930" s="102"/>
    </row>
    <row r="931" ht="12.75" customHeight="1">
      <c r="C931" s="400"/>
      <c r="D931" s="102"/>
      <c r="I931" s="102"/>
      <c r="J931" s="102"/>
      <c r="K931" s="102"/>
      <c r="L931" s="102"/>
      <c r="M931" s="102"/>
      <c r="N931" s="102"/>
      <c r="O931" s="102"/>
      <c r="P931" s="102"/>
      <c r="Q931" s="102"/>
      <c r="R931" s="102"/>
      <c r="S931" s="102"/>
      <c r="T931" s="102"/>
      <c r="U931" s="102"/>
      <c r="V931" s="102"/>
      <c r="W931" s="102"/>
      <c r="X931" s="102"/>
      <c r="Y931" s="102"/>
      <c r="Z931" s="102"/>
      <c r="AA931" s="102"/>
      <c r="AB931" s="102"/>
      <c r="AC931" s="102"/>
      <c r="AD931" s="102"/>
      <c r="AE931" s="102"/>
      <c r="AF931" s="102"/>
      <c r="AG931" s="102"/>
      <c r="AH931" s="102"/>
      <c r="AI931" s="102"/>
      <c r="AJ931" s="102"/>
      <c r="AK931" s="102"/>
      <c r="AL931" s="102"/>
      <c r="AM931" s="102"/>
      <c r="AN931" s="102"/>
      <c r="AO931" s="102"/>
      <c r="AP931" s="102"/>
      <c r="AQ931" s="102"/>
      <c r="AR931" s="102"/>
      <c r="AS931" s="102"/>
      <c r="AT931" s="102"/>
      <c r="AU931" s="102"/>
      <c r="AV931" s="102"/>
    </row>
    <row r="932" ht="12.75" customHeight="1">
      <c r="C932" s="400"/>
      <c r="D932" s="102"/>
      <c r="I932" s="102"/>
      <c r="J932" s="102"/>
      <c r="K932" s="102"/>
      <c r="L932" s="102"/>
      <c r="M932" s="102"/>
      <c r="N932" s="102"/>
      <c r="O932" s="102"/>
      <c r="P932" s="102"/>
      <c r="Q932" s="102"/>
      <c r="R932" s="102"/>
      <c r="S932" s="102"/>
      <c r="T932" s="102"/>
      <c r="U932" s="102"/>
      <c r="V932" s="102"/>
      <c r="W932" s="102"/>
      <c r="X932" s="102"/>
      <c r="Y932" s="102"/>
      <c r="Z932" s="102"/>
      <c r="AA932" s="102"/>
      <c r="AB932" s="102"/>
      <c r="AC932" s="102"/>
      <c r="AD932" s="102"/>
      <c r="AE932" s="102"/>
      <c r="AF932" s="102"/>
      <c r="AG932" s="102"/>
      <c r="AH932" s="102"/>
      <c r="AI932" s="102"/>
      <c r="AJ932" s="102"/>
      <c r="AK932" s="102"/>
      <c r="AL932" s="102"/>
      <c r="AM932" s="102"/>
      <c r="AN932" s="102"/>
      <c r="AO932" s="102"/>
      <c r="AP932" s="102"/>
      <c r="AQ932" s="102"/>
      <c r="AR932" s="102"/>
      <c r="AS932" s="102"/>
      <c r="AT932" s="102"/>
      <c r="AU932" s="102"/>
      <c r="AV932" s="102"/>
    </row>
    <row r="933" ht="12.75" customHeight="1">
      <c r="C933" s="400"/>
      <c r="D933" s="102"/>
      <c r="I933" s="102"/>
      <c r="J933" s="102"/>
      <c r="K933" s="102"/>
      <c r="L933" s="102"/>
      <c r="M933" s="102"/>
      <c r="N933" s="102"/>
      <c r="O933" s="102"/>
      <c r="P933" s="102"/>
      <c r="Q933" s="102"/>
      <c r="R933" s="102"/>
      <c r="S933" s="102"/>
      <c r="T933" s="102"/>
      <c r="U933" s="102"/>
      <c r="V933" s="102"/>
      <c r="W933" s="102"/>
      <c r="X933" s="102"/>
      <c r="Y933" s="102"/>
      <c r="Z933" s="102"/>
      <c r="AA933" s="102"/>
      <c r="AB933" s="102"/>
      <c r="AC933" s="102"/>
      <c r="AD933" s="102"/>
      <c r="AE933" s="102"/>
      <c r="AF933" s="102"/>
      <c r="AG933" s="102"/>
      <c r="AH933" s="102"/>
      <c r="AI933" s="102"/>
      <c r="AJ933" s="102"/>
      <c r="AK933" s="102"/>
      <c r="AL933" s="102"/>
      <c r="AM933" s="102"/>
      <c r="AN933" s="102"/>
      <c r="AO933" s="102"/>
      <c r="AP933" s="102"/>
      <c r="AQ933" s="102"/>
      <c r="AR933" s="102"/>
      <c r="AS933" s="102"/>
      <c r="AT933" s="102"/>
      <c r="AU933" s="102"/>
      <c r="AV933" s="102"/>
    </row>
    <row r="934" ht="12.75" customHeight="1">
      <c r="C934" s="400"/>
      <c r="D934" s="102"/>
      <c r="I934" s="102"/>
      <c r="J934" s="102"/>
      <c r="K934" s="102"/>
      <c r="L934" s="102"/>
      <c r="M934" s="102"/>
      <c r="N934" s="102"/>
      <c r="O934" s="102"/>
      <c r="P934" s="102"/>
      <c r="Q934" s="102"/>
      <c r="R934" s="102"/>
      <c r="S934" s="102"/>
      <c r="T934" s="102"/>
      <c r="U934" s="102"/>
      <c r="V934" s="102"/>
      <c r="W934" s="102"/>
      <c r="X934" s="102"/>
      <c r="Y934" s="102"/>
      <c r="Z934" s="102"/>
      <c r="AA934" s="102"/>
      <c r="AB934" s="102"/>
      <c r="AC934" s="102"/>
      <c r="AD934" s="102"/>
      <c r="AE934" s="102"/>
      <c r="AF934" s="102"/>
      <c r="AG934" s="102"/>
      <c r="AH934" s="102"/>
      <c r="AI934" s="102"/>
      <c r="AJ934" s="102"/>
      <c r="AK934" s="102"/>
      <c r="AL934" s="102"/>
      <c r="AM934" s="102"/>
      <c r="AN934" s="102"/>
      <c r="AO934" s="102"/>
      <c r="AP934" s="102"/>
      <c r="AQ934" s="102"/>
      <c r="AR934" s="102"/>
      <c r="AS934" s="102"/>
      <c r="AT934" s="102"/>
      <c r="AU934" s="102"/>
      <c r="AV934" s="102"/>
    </row>
    <row r="935" ht="12.75" customHeight="1">
      <c r="C935" s="400"/>
      <c r="D935" s="102"/>
      <c r="I935" s="102"/>
      <c r="J935" s="102"/>
      <c r="K935" s="102"/>
      <c r="L935" s="102"/>
      <c r="M935" s="102"/>
      <c r="N935" s="102"/>
      <c r="O935" s="102"/>
      <c r="P935" s="102"/>
      <c r="Q935" s="102"/>
      <c r="R935" s="102"/>
      <c r="S935" s="102"/>
      <c r="T935" s="102"/>
      <c r="U935" s="102"/>
      <c r="V935" s="102"/>
      <c r="W935" s="102"/>
      <c r="X935" s="102"/>
      <c r="Y935" s="102"/>
      <c r="Z935" s="102"/>
      <c r="AA935" s="102"/>
      <c r="AB935" s="102"/>
      <c r="AC935" s="102"/>
      <c r="AD935" s="102"/>
      <c r="AE935" s="102"/>
      <c r="AF935" s="102"/>
      <c r="AG935" s="102"/>
      <c r="AH935" s="102"/>
      <c r="AI935" s="102"/>
      <c r="AJ935" s="102"/>
      <c r="AK935" s="102"/>
      <c r="AL935" s="102"/>
      <c r="AM935" s="102"/>
      <c r="AN935" s="102"/>
      <c r="AO935" s="102"/>
      <c r="AP935" s="102"/>
      <c r="AQ935" s="102"/>
      <c r="AR935" s="102"/>
      <c r="AS935" s="102"/>
      <c r="AT935" s="102"/>
      <c r="AU935" s="102"/>
      <c r="AV935" s="102"/>
    </row>
    <row r="936" ht="12.75" customHeight="1">
      <c r="C936" s="400"/>
      <c r="D936" s="102"/>
      <c r="I936" s="102"/>
      <c r="J936" s="102"/>
      <c r="K936" s="102"/>
      <c r="L936" s="102"/>
      <c r="M936" s="102"/>
      <c r="N936" s="102"/>
      <c r="O936" s="102"/>
      <c r="P936" s="102"/>
      <c r="Q936" s="102"/>
      <c r="R936" s="102"/>
      <c r="S936" s="102"/>
      <c r="T936" s="102"/>
      <c r="U936" s="102"/>
      <c r="V936" s="102"/>
      <c r="W936" s="102"/>
      <c r="X936" s="102"/>
      <c r="Y936" s="102"/>
      <c r="Z936" s="102"/>
      <c r="AA936" s="102"/>
      <c r="AB936" s="102"/>
      <c r="AC936" s="102"/>
      <c r="AD936" s="102"/>
      <c r="AE936" s="102"/>
      <c r="AF936" s="102"/>
      <c r="AG936" s="102"/>
      <c r="AH936" s="102"/>
      <c r="AI936" s="102"/>
      <c r="AJ936" s="102"/>
      <c r="AK936" s="102"/>
      <c r="AL936" s="102"/>
      <c r="AM936" s="102"/>
      <c r="AN936" s="102"/>
      <c r="AO936" s="102"/>
      <c r="AP936" s="102"/>
      <c r="AQ936" s="102"/>
      <c r="AR936" s="102"/>
      <c r="AS936" s="102"/>
      <c r="AT936" s="102"/>
      <c r="AU936" s="102"/>
      <c r="AV936" s="102"/>
    </row>
    <row r="937" ht="12.75" customHeight="1">
      <c r="C937" s="400"/>
      <c r="D937" s="102"/>
      <c r="I937" s="102"/>
      <c r="J937" s="102"/>
      <c r="K937" s="102"/>
      <c r="L937" s="102"/>
      <c r="M937" s="102"/>
      <c r="N937" s="102"/>
      <c r="O937" s="102"/>
      <c r="P937" s="102"/>
      <c r="Q937" s="102"/>
      <c r="R937" s="102"/>
      <c r="S937" s="102"/>
      <c r="T937" s="102"/>
      <c r="U937" s="102"/>
      <c r="V937" s="102"/>
      <c r="W937" s="102"/>
      <c r="X937" s="102"/>
      <c r="Y937" s="102"/>
      <c r="Z937" s="102"/>
      <c r="AA937" s="102"/>
      <c r="AB937" s="102"/>
      <c r="AC937" s="102"/>
      <c r="AD937" s="102"/>
      <c r="AE937" s="102"/>
      <c r="AF937" s="102"/>
      <c r="AG937" s="102"/>
      <c r="AH937" s="102"/>
      <c r="AI937" s="102"/>
      <c r="AJ937" s="102"/>
      <c r="AK937" s="102"/>
      <c r="AL937" s="102"/>
      <c r="AM937" s="102"/>
      <c r="AN937" s="102"/>
      <c r="AO937" s="102"/>
      <c r="AP937" s="102"/>
      <c r="AQ937" s="102"/>
      <c r="AR937" s="102"/>
      <c r="AS937" s="102"/>
      <c r="AT937" s="102"/>
      <c r="AU937" s="102"/>
      <c r="AV937" s="102"/>
    </row>
    <row r="938" ht="12.75" customHeight="1">
      <c r="C938" s="400"/>
      <c r="D938" s="102"/>
      <c r="I938" s="102"/>
      <c r="J938" s="102"/>
      <c r="K938" s="102"/>
      <c r="L938" s="102"/>
      <c r="M938" s="102"/>
      <c r="N938" s="102"/>
      <c r="O938" s="102"/>
      <c r="P938" s="102"/>
      <c r="Q938" s="102"/>
      <c r="R938" s="102"/>
      <c r="S938" s="102"/>
      <c r="T938" s="102"/>
      <c r="U938" s="102"/>
      <c r="V938" s="102"/>
      <c r="W938" s="102"/>
      <c r="X938" s="102"/>
      <c r="Y938" s="102"/>
      <c r="Z938" s="102"/>
      <c r="AA938" s="102"/>
      <c r="AB938" s="102"/>
      <c r="AC938" s="102"/>
      <c r="AD938" s="102"/>
      <c r="AE938" s="102"/>
      <c r="AF938" s="102"/>
      <c r="AG938" s="102"/>
      <c r="AH938" s="102"/>
      <c r="AI938" s="102"/>
      <c r="AJ938" s="102"/>
      <c r="AK938" s="102"/>
      <c r="AL938" s="102"/>
      <c r="AM938" s="102"/>
      <c r="AN938" s="102"/>
      <c r="AO938" s="102"/>
      <c r="AP938" s="102"/>
      <c r="AQ938" s="102"/>
      <c r="AR938" s="102"/>
      <c r="AS938" s="102"/>
      <c r="AT938" s="102"/>
      <c r="AU938" s="102"/>
      <c r="AV938" s="102"/>
    </row>
    <row r="939" ht="12.75" customHeight="1">
      <c r="C939" s="400"/>
      <c r="D939" s="102"/>
      <c r="I939" s="102"/>
      <c r="J939" s="102"/>
      <c r="K939" s="102"/>
      <c r="L939" s="102"/>
      <c r="M939" s="102"/>
      <c r="N939" s="102"/>
      <c r="O939" s="102"/>
      <c r="P939" s="102"/>
      <c r="Q939" s="102"/>
      <c r="R939" s="102"/>
      <c r="S939" s="102"/>
      <c r="T939" s="102"/>
      <c r="U939" s="102"/>
      <c r="V939" s="102"/>
      <c r="W939" s="102"/>
      <c r="X939" s="102"/>
      <c r="Y939" s="102"/>
      <c r="Z939" s="102"/>
      <c r="AA939" s="102"/>
      <c r="AB939" s="102"/>
      <c r="AC939" s="102"/>
      <c r="AD939" s="102"/>
      <c r="AE939" s="102"/>
      <c r="AF939" s="102"/>
      <c r="AG939" s="102"/>
      <c r="AH939" s="102"/>
      <c r="AI939" s="102"/>
      <c r="AJ939" s="102"/>
      <c r="AK939" s="102"/>
      <c r="AL939" s="102"/>
      <c r="AM939" s="102"/>
      <c r="AN939" s="102"/>
      <c r="AO939" s="102"/>
      <c r="AP939" s="102"/>
      <c r="AQ939" s="102"/>
      <c r="AR939" s="102"/>
      <c r="AS939" s="102"/>
      <c r="AT939" s="102"/>
      <c r="AU939" s="102"/>
      <c r="AV939" s="102"/>
    </row>
    <row r="940" ht="12.75" customHeight="1">
      <c r="C940" s="400"/>
      <c r="D940" s="102"/>
      <c r="I940" s="102"/>
      <c r="J940" s="102"/>
      <c r="K940" s="102"/>
      <c r="L940" s="102"/>
      <c r="M940" s="102"/>
      <c r="N940" s="102"/>
      <c r="O940" s="102"/>
      <c r="P940" s="102"/>
      <c r="Q940" s="102"/>
      <c r="R940" s="102"/>
      <c r="S940" s="102"/>
      <c r="T940" s="102"/>
      <c r="U940" s="102"/>
      <c r="V940" s="102"/>
      <c r="W940" s="102"/>
      <c r="X940" s="102"/>
      <c r="Y940" s="102"/>
      <c r="Z940" s="102"/>
      <c r="AA940" s="102"/>
      <c r="AB940" s="102"/>
      <c r="AC940" s="102"/>
      <c r="AD940" s="102"/>
      <c r="AE940" s="102"/>
      <c r="AF940" s="102"/>
      <c r="AG940" s="102"/>
      <c r="AH940" s="102"/>
      <c r="AI940" s="102"/>
      <c r="AJ940" s="102"/>
      <c r="AK940" s="102"/>
      <c r="AL940" s="102"/>
      <c r="AM940" s="102"/>
      <c r="AN940" s="102"/>
      <c r="AO940" s="102"/>
      <c r="AP940" s="102"/>
      <c r="AQ940" s="102"/>
      <c r="AR940" s="102"/>
      <c r="AS940" s="102"/>
      <c r="AT940" s="102"/>
      <c r="AU940" s="102"/>
      <c r="AV940" s="102"/>
    </row>
    <row r="941" ht="12.75" customHeight="1">
      <c r="C941" s="400"/>
      <c r="D941" s="102"/>
      <c r="I941" s="102"/>
      <c r="J941" s="102"/>
      <c r="K941" s="102"/>
      <c r="L941" s="102"/>
      <c r="M941" s="102"/>
      <c r="N941" s="102"/>
      <c r="O941" s="102"/>
      <c r="P941" s="102"/>
      <c r="Q941" s="102"/>
      <c r="R941" s="102"/>
      <c r="S941" s="102"/>
      <c r="T941" s="102"/>
      <c r="U941" s="102"/>
      <c r="V941" s="102"/>
      <c r="W941" s="102"/>
      <c r="X941" s="102"/>
      <c r="Y941" s="102"/>
      <c r="Z941" s="102"/>
      <c r="AA941" s="102"/>
      <c r="AB941" s="102"/>
      <c r="AC941" s="102"/>
      <c r="AD941" s="102"/>
      <c r="AE941" s="102"/>
      <c r="AF941" s="102"/>
      <c r="AG941" s="102"/>
      <c r="AH941" s="102"/>
      <c r="AI941" s="102"/>
      <c r="AJ941" s="102"/>
      <c r="AK941" s="102"/>
      <c r="AL941" s="102"/>
      <c r="AM941" s="102"/>
      <c r="AN941" s="102"/>
      <c r="AO941" s="102"/>
      <c r="AP941" s="102"/>
      <c r="AQ941" s="102"/>
      <c r="AR941" s="102"/>
      <c r="AS941" s="102"/>
      <c r="AT941" s="102"/>
      <c r="AU941" s="102"/>
      <c r="AV941" s="102"/>
    </row>
    <row r="942" ht="12.75" customHeight="1">
      <c r="C942" s="400"/>
      <c r="D942" s="102"/>
      <c r="I942" s="102"/>
      <c r="J942" s="102"/>
      <c r="K942" s="102"/>
      <c r="L942" s="102"/>
      <c r="M942" s="102"/>
      <c r="N942" s="102"/>
      <c r="O942" s="102"/>
      <c r="P942" s="102"/>
      <c r="Q942" s="102"/>
      <c r="R942" s="102"/>
      <c r="S942" s="102"/>
      <c r="T942" s="102"/>
      <c r="U942" s="102"/>
      <c r="V942" s="102"/>
      <c r="W942" s="102"/>
      <c r="X942" s="102"/>
      <c r="Y942" s="102"/>
      <c r="Z942" s="102"/>
      <c r="AA942" s="102"/>
      <c r="AB942" s="102"/>
      <c r="AC942" s="102"/>
      <c r="AD942" s="102"/>
      <c r="AE942" s="102"/>
      <c r="AF942" s="102"/>
      <c r="AG942" s="102"/>
      <c r="AH942" s="102"/>
      <c r="AI942" s="102"/>
      <c r="AJ942" s="102"/>
      <c r="AK942" s="102"/>
      <c r="AL942" s="102"/>
      <c r="AM942" s="102"/>
      <c r="AN942" s="102"/>
      <c r="AO942" s="102"/>
      <c r="AP942" s="102"/>
      <c r="AQ942" s="102"/>
      <c r="AR942" s="102"/>
      <c r="AS942" s="102"/>
      <c r="AT942" s="102"/>
      <c r="AU942" s="102"/>
      <c r="AV942" s="102"/>
    </row>
    <row r="943" ht="12.75" customHeight="1">
      <c r="C943" s="400"/>
      <c r="D943" s="102"/>
      <c r="I943" s="102"/>
      <c r="J943" s="102"/>
      <c r="K943" s="102"/>
      <c r="L943" s="102"/>
      <c r="M943" s="102"/>
      <c r="N943" s="102"/>
      <c r="O943" s="102"/>
      <c r="P943" s="102"/>
      <c r="Q943" s="102"/>
      <c r="R943" s="102"/>
      <c r="S943" s="102"/>
      <c r="T943" s="102"/>
      <c r="U943" s="102"/>
      <c r="V943" s="102"/>
      <c r="W943" s="102"/>
      <c r="X943" s="102"/>
      <c r="Y943" s="102"/>
      <c r="Z943" s="102"/>
      <c r="AA943" s="102"/>
      <c r="AB943" s="102"/>
      <c r="AC943" s="102"/>
      <c r="AD943" s="102"/>
      <c r="AE943" s="102"/>
      <c r="AF943" s="102"/>
      <c r="AG943" s="102"/>
      <c r="AH943" s="102"/>
      <c r="AI943" s="102"/>
      <c r="AJ943" s="102"/>
      <c r="AK943" s="102"/>
      <c r="AL943" s="102"/>
      <c r="AM943" s="102"/>
      <c r="AN943" s="102"/>
      <c r="AO943" s="102"/>
      <c r="AP943" s="102"/>
      <c r="AQ943" s="102"/>
      <c r="AR943" s="102"/>
      <c r="AS943" s="102"/>
      <c r="AT943" s="102"/>
      <c r="AU943" s="102"/>
      <c r="AV943" s="102"/>
    </row>
    <row r="944" ht="12.75" customHeight="1">
      <c r="C944" s="400"/>
      <c r="D944" s="102"/>
      <c r="I944" s="102"/>
      <c r="J944" s="102"/>
      <c r="K944" s="102"/>
      <c r="L944" s="102"/>
      <c r="M944" s="102"/>
      <c r="N944" s="102"/>
      <c r="O944" s="102"/>
      <c r="P944" s="102"/>
      <c r="Q944" s="102"/>
      <c r="R944" s="102"/>
      <c r="S944" s="102"/>
      <c r="T944" s="102"/>
      <c r="U944" s="102"/>
      <c r="V944" s="102"/>
      <c r="W944" s="102"/>
      <c r="X944" s="102"/>
      <c r="Y944" s="102"/>
      <c r="Z944" s="102"/>
      <c r="AA944" s="102"/>
      <c r="AB944" s="102"/>
      <c r="AC944" s="102"/>
      <c r="AD944" s="102"/>
      <c r="AE944" s="102"/>
      <c r="AF944" s="102"/>
      <c r="AG944" s="102"/>
      <c r="AH944" s="102"/>
      <c r="AI944" s="102"/>
      <c r="AJ944" s="102"/>
      <c r="AK944" s="102"/>
      <c r="AL944" s="102"/>
      <c r="AM944" s="102"/>
      <c r="AN944" s="102"/>
      <c r="AO944" s="102"/>
      <c r="AP944" s="102"/>
      <c r="AQ944" s="102"/>
      <c r="AR944" s="102"/>
      <c r="AS944" s="102"/>
      <c r="AT944" s="102"/>
      <c r="AU944" s="102"/>
      <c r="AV944" s="102"/>
    </row>
    <row r="945" ht="12.75" customHeight="1">
      <c r="C945" s="400"/>
      <c r="D945" s="102"/>
      <c r="I945" s="102"/>
      <c r="J945" s="102"/>
      <c r="K945" s="102"/>
      <c r="L945" s="102"/>
      <c r="M945" s="102"/>
      <c r="N945" s="102"/>
      <c r="O945" s="102"/>
      <c r="P945" s="102"/>
      <c r="Q945" s="102"/>
      <c r="R945" s="102"/>
      <c r="S945" s="102"/>
      <c r="T945" s="102"/>
      <c r="U945" s="102"/>
      <c r="V945" s="102"/>
      <c r="W945" s="102"/>
      <c r="X945" s="102"/>
      <c r="Y945" s="102"/>
      <c r="Z945" s="102"/>
      <c r="AA945" s="102"/>
      <c r="AB945" s="102"/>
      <c r="AC945" s="102"/>
      <c r="AD945" s="102"/>
      <c r="AE945" s="102"/>
      <c r="AF945" s="102"/>
      <c r="AG945" s="102"/>
      <c r="AH945" s="102"/>
      <c r="AI945" s="102"/>
      <c r="AJ945" s="102"/>
      <c r="AK945" s="102"/>
      <c r="AL945" s="102"/>
      <c r="AM945" s="102"/>
      <c r="AN945" s="102"/>
      <c r="AO945" s="102"/>
      <c r="AP945" s="102"/>
      <c r="AQ945" s="102"/>
      <c r="AR945" s="102"/>
      <c r="AS945" s="102"/>
      <c r="AT945" s="102"/>
      <c r="AU945" s="102"/>
      <c r="AV945" s="102"/>
    </row>
    <row r="946" ht="12.75" customHeight="1">
      <c r="C946" s="400"/>
      <c r="D946" s="102"/>
      <c r="I946" s="102"/>
      <c r="J946" s="102"/>
      <c r="K946" s="102"/>
      <c r="L946" s="102"/>
      <c r="M946" s="102"/>
      <c r="N946" s="102"/>
      <c r="O946" s="102"/>
      <c r="P946" s="102"/>
      <c r="Q946" s="102"/>
      <c r="R946" s="102"/>
      <c r="S946" s="102"/>
      <c r="T946" s="102"/>
      <c r="U946" s="102"/>
      <c r="V946" s="102"/>
      <c r="W946" s="102"/>
      <c r="X946" s="102"/>
      <c r="Y946" s="102"/>
      <c r="Z946" s="102"/>
      <c r="AA946" s="102"/>
      <c r="AB946" s="102"/>
      <c r="AC946" s="102"/>
      <c r="AD946" s="102"/>
      <c r="AE946" s="102"/>
      <c r="AF946" s="102"/>
      <c r="AG946" s="102"/>
      <c r="AH946" s="102"/>
      <c r="AI946" s="102"/>
      <c r="AJ946" s="102"/>
      <c r="AK946" s="102"/>
      <c r="AL946" s="102"/>
      <c r="AM946" s="102"/>
      <c r="AN946" s="102"/>
      <c r="AO946" s="102"/>
      <c r="AP946" s="102"/>
      <c r="AQ946" s="102"/>
      <c r="AR946" s="102"/>
      <c r="AS946" s="102"/>
      <c r="AT946" s="102"/>
      <c r="AU946" s="102"/>
      <c r="AV946" s="102"/>
    </row>
    <row r="947" ht="12.75" customHeight="1">
      <c r="C947" s="400"/>
      <c r="D947" s="102"/>
      <c r="I947" s="102"/>
      <c r="J947" s="102"/>
      <c r="K947" s="102"/>
      <c r="L947" s="102"/>
      <c r="M947" s="102"/>
      <c r="N947" s="102"/>
      <c r="O947" s="102"/>
      <c r="P947" s="102"/>
      <c r="Q947" s="102"/>
      <c r="R947" s="102"/>
      <c r="S947" s="102"/>
      <c r="T947" s="102"/>
      <c r="U947" s="102"/>
      <c r="V947" s="102"/>
      <c r="W947" s="102"/>
      <c r="X947" s="102"/>
      <c r="Y947" s="102"/>
      <c r="Z947" s="102"/>
      <c r="AA947" s="102"/>
      <c r="AB947" s="102"/>
      <c r="AC947" s="102"/>
      <c r="AD947" s="102"/>
      <c r="AE947" s="102"/>
      <c r="AF947" s="102"/>
      <c r="AG947" s="102"/>
      <c r="AH947" s="102"/>
      <c r="AI947" s="102"/>
      <c r="AJ947" s="102"/>
      <c r="AK947" s="102"/>
      <c r="AL947" s="102"/>
      <c r="AM947" s="102"/>
      <c r="AN947" s="102"/>
      <c r="AO947" s="102"/>
      <c r="AP947" s="102"/>
      <c r="AQ947" s="102"/>
      <c r="AR947" s="102"/>
      <c r="AS947" s="102"/>
      <c r="AT947" s="102"/>
      <c r="AU947" s="102"/>
      <c r="AV947" s="102"/>
    </row>
    <row r="948" ht="12.75" customHeight="1">
      <c r="C948" s="400"/>
      <c r="D948" s="102"/>
      <c r="I948" s="102"/>
      <c r="J948" s="102"/>
      <c r="K948" s="102"/>
      <c r="L948" s="102"/>
      <c r="M948" s="102"/>
      <c r="N948" s="102"/>
      <c r="O948" s="102"/>
      <c r="P948" s="102"/>
      <c r="Q948" s="102"/>
      <c r="R948" s="102"/>
      <c r="S948" s="102"/>
      <c r="T948" s="102"/>
      <c r="U948" s="102"/>
      <c r="V948" s="102"/>
      <c r="W948" s="102"/>
      <c r="X948" s="102"/>
      <c r="Y948" s="102"/>
      <c r="Z948" s="102"/>
      <c r="AA948" s="102"/>
      <c r="AB948" s="102"/>
      <c r="AC948" s="102"/>
      <c r="AD948" s="102"/>
      <c r="AE948" s="102"/>
      <c r="AF948" s="102"/>
      <c r="AG948" s="102"/>
      <c r="AH948" s="102"/>
      <c r="AI948" s="102"/>
      <c r="AJ948" s="102"/>
      <c r="AK948" s="102"/>
      <c r="AL948" s="102"/>
      <c r="AM948" s="102"/>
      <c r="AN948" s="102"/>
      <c r="AO948" s="102"/>
      <c r="AP948" s="102"/>
      <c r="AQ948" s="102"/>
      <c r="AR948" s="102"/>
      <c r="AS948" s="102"/>
      <c r="AT948" s="102"/>
      <c r="AU948" s="102"/>
      <c r="AV948" s="102"/>
    </row>
    <row r="949" ht="12.75" customHeight="1">
      <c r="C949" s="400"/>
      <c r="D949" s="102"/>
      <c r="I949" s="102"/>
      <c r="J949" s="102"/>
      <c r="K949" s="102"/>
      <c r="L949" s="102"/>
      <c r="M949" s="102"/>
      <c r="N949" s="102"/>
      <c r="O949" s="102"/>
      <c r="P949" s="102"/>
      <c r="Q949" s="102"/>
      <c r="R949" s="102"/>
      <c r="S949" s="102"/>
      <c r="T949" s="102"/>
      <c r="U949" s="102"/>
      <c r="V949" s="102"/>
      <c r="W949" s="102"/>
      <c r="X949" s="102"/>
      <c r="Y949" s="102"/>
      <c r="Z949" s="102"/>
      <c r="AA949" s="102"/>
      <c r="AB949" s="102"/>
      <c r="AC949" s="102"/>
      <c r="AD949" s="102"/>
      <c r="AE949" s="102"/>
      <c r="AF949" s="102"/>
      <c r="AG949" s="102"/>
      <c r="AH949" s="102"/>
      <c r="AI949" s="102"/>
      <c r="AJ949" s="102"/>
      <c r="AK949" s="102"/>
      <c r="AL949" s="102"/>
      <c r="AM949" s="102"/>
      <c r="AN949" s="102"/>
      <c r="AO949" s="102"/>
      <c r="AP949" s="102"/>
      <c r="AQ949" s="102"/>
      <c r="AR949" s="102"/>
      <c r="AS949" s="102"/>
      <c r="AT949" s="102"/>
      <c r="AU949" s="102"/>
      <c r="AV949" s="102"/>
    </row>
    <row r="950" ht="12.75" customHeight="1">
      <c r="C950" s="400"/>
      <c r="D950" s="102"/>
      <c r="I950" s="102"/>
      <c r="J950" s="102"/>
      <c r="K950" s="102"/>
      <c r="L950" s="102"/>
      <c r="M950" s="102"/>
      <c r="N950" s="102"/>
      <c r="O950" s="102"/>
      <c r="P950" s="102"/>
      <c r="Q950" s="102"/>
      <c r="R950" s="102"/>
      <c r="S950" s="102"/>
      <c r="T950" s="102"/>
      <c r="U950" s="102"/>
      <c r="V950" s="102"/>
      <c r="W950" s="102"/>
      <c r="X950" s="102"/>
      <c r="Y950" s="102"/>
      <c r="Z950" s="102"/>
      <c r="AA950" s="102"/>
      <c r="AB950" s="102"/>
      <c r="AC950" s="102"/>
      <c r="AD950" s="102"/>
      <c r="AE950" s="102"/>
      <c r="AF950" s="102"/>
      <c r="AG950" s="102"/>
      <c r="AH950" s="102"/>
      <c r="AI950" s="102"/>
      <c r="AJ950" s="102"/>
      <c r="AK950" s="102"/>
      <c r="AL950" s="102"/>
      <c r="AM950" s="102"/>
      <c r="AN950" s="102"/>
      <c r="AO950" s="102"/>
      <c r="AP950" s="102"/>
      <c r="AQ950" s="102"/>
      <c r="AR950" s="102"/>
      <c r="AS950" s="102"/>
      <c r="AT950" s="102"/>
      <c r="AU950" s="102"/>
      <c r="AV950" s="102"/>
    </row>
    <row r="951" ht="12.75" customHeight="1">
      <c r="C951" s="400"/>
      <c r="D951" s="102"/>
      <c r="I951" s="102"/>
      <c r="J951" s="102"/>
      <c r="K951" s="102"/>
      <c r="L951" s="102"/>
      <c r="M951" s="102"/>
      <c r="N951" s="102"/>
      <c r="O951" s="102"/>
      <c r="P951" s="102"/>
      <c r="Q951" s="102"/>
      <c r="R951" s="102"/>
      <c r="S951" s="102"/>
      <c r="T951" s="102"/>
      <c r="U951" s="102"/>
      <c r="V951" s="102"/>
      <c r="W951" s="102"/>
      <c r="X951" s="102"/>
      <c r="Y951" s="102"/>
      <c r="Z951" s="102"/>
      <c r="AA951" s="102"/>
      <c r="AB951" s="102"/>
      <c r="AC951" s="102"/>
      <c r="AD951" s="102"/>
      <c r="AE951" s="102"/>
      <c r="AF951" s="102"/>
      <c r="AG951" s="102"/>
      <c r="AH951" s="102"/>
      <c r="AI951" s="102"/>
      <c r="AJ951" s="102"/>
      <c r="AK951" s="102"/>
      <c r="AL951" s="102"/>
      <c r="AM951" s="102"/>
      <c r="AN951" s="102"/>
      <c r="AO951" s="102"/>
      <c r="AP951" s="102"/>
      <c r="AQ951" s="102"/>
      <c r="AR951" s="102"/>
      <c r="AS951" s="102"/>
      <c r="AT951" s="102"/>
      <c r="AU951" s="102"/>
      <c r="AV951" s="102"/>
    </row>
    <row r="952" ht="12.75" customHeight="1">
      <c r="C952" s="400"/>
      <c r="D952" s="102"/>
      <c r="I952" s="102"/>
      <c r="J952" s="102"/>
      <c r="K952" s="102"/>
      <c r="L952" s="102"/>
      <c r="M952" s="102"/>
      <c r="N952" s="102"/>
      <c r="O952" s="102"/>
      <c r="P952" s="102"/>
      <c r="Q952" s="102"/>
      <c r="R952" s="102"/>
      <c r="S952" s="102"/>
      <c r="T952" s="102"/>
      <c r="U952" s="102"/>
      <c r="V952" s="102"/>
      <c r="W952" s="102"/>
      <c r="X952" s="102"/>
      <c r="Y952" s="102"/>
      <c r="Z952" s="102"/>
      <c r="AA952" s="102"/>
      <c r="AB952" s="102"/>
      <c r="AC952" s="102"/>
      <c r="AD952" s="102"/>
      <c r="AE952" s="102"/>
      <c r="AF952" s="102"/>
      <c r="AG952" s="102"/>
      <c r="AH952" s="102"/>
      <c r="AI952" s="102"/>
      <c r="AJ952" s="102"/>
      <c r="AK952" s="102"/>
      <c r="AL952" s="102"/>
      <c r="AM952" s="102"/>
      <c r="AN952" s="102"/>
      <c r="AO952" s="102"/>
      <c r="AP952" s="102"/>
      <c r="AQ952" s="102"/>
      <c r="AR952" s="102"/>
      <c r="AS952" s="102"/>
      <c r="AT952" s="102"/>
      <c r="AU952" s="102"/>
      <c r="AV952" s="102"/>
    </row>
    <row r="953" ht="12.75" customHeight="1">
      <c r="C953" s="400"/>
      <c r="D953" s="102"/>
      <c r="I953" s="102"/>
      <c r="J953" s="102"/>
      <c r="K953" s="102"/>
      <c r="L953" s="102"/>
      <c r="M953" s="102"/>
      <c r="N953" s="102"/>
      <c r="O953" s="102"/>
      <c r="P953" s="102"/>
      <c r="Q953" s="102"/>
      <c r="R953" s="102"/>
      <c r="S953" s="102"/>
      <c r="T953" s="102"/>
      <c r="U953" s="102"/>
      <c r="V953" s="102"/>
      <c r="W953" s="102"/>
      <c r="X953" s="102"/>
      <c r="Y953" s="102"/>
      <c r="Z953" s="102"/>
      <c r="AA953" s="102"/>
      <c r="AB953" s="102"/>
      <c r="AC953" s="102"/>
      <c r="AD953" s="102"/>
      <c r="AE953" s="102"/>
      <c r="AF953" s="102"/>
      <c r="AG953" s="102"/>
      <c r="AH953" s="102"/>
      <c r="AI953" s="102"/>
      <c r="AJ953" s="102"/>
      <c r="AK953" s="102"/>
      <c r="AL953" s="102"/>
      <c r="AM953" s="102"/>
      <c r="AN953" s="102"/>
      <c r="AO953" s="102"/>
      <c r="AP953" s="102"/>
      <c r="AQ953" s="102"/>
      <c r="AR953" s="102"/>
      <c r="AS953" s="102"/>
      <c r="AT953" s="102"/>
      <c r="AU953" s="102"/>
      <c r="AV953" s="102"/>
    </row>
    <row r="954" ht="12.75" customHeight="1">
      <c r="C954" s="400"/>
      <c r="D954" s="102"/>
      <c r="I954" s="102"/>
      <c r="J954" s="102"/>
      <c r="K954" s="102"/>
      <c r="L954" s="102"/>
      <c r="M954" s="102"/>
      <c r="N954" s="102"/>
      <c r="O954" s="102"/>
      <c r="P954" s="102"/>
      <c r="Q954" s="102"/>
      <c r="R954" s="102"/>
      <c r="S954" s="102"/>
      <c r="T954" s="102"/>
      <c r="U954" s="102"/>
      <c r="V954" s="102"/>
      <c r="W954" s="102"/>
      <c r="X954" s="102"/>
      <c r="Y954" s="102"/>
      <c r="Z954" s="102"/>
      <c r="AA954" s="102"/>
      <c r="AB954" s="102"/>
      <c r="AC954" s="102"/>
      <c r="AD954" s="102"/>
      <c r="AE954" s="102"/>
      <c r="AF954" s="102"/>
      <c r="AG954" s="102"/>
      <c r="AH954" s="102"/>
      <c r="AI954" s="102"/>
      <c r="AJ954" s="102"/>
      <c r="AK954" s="102"/>
      <c r="AL954" s="102"/>
      <c r="AM954" s="102"/>
      <c r="AN954" s="102"/>
      <c r="AO954" s="102"/>
      <c r="AP954" s="102"/>
      <c r="AQ954" s="102"/>
      <c r="AR954" s="102"/>
      <c r="AS954" s="102"/>
      <c r="AT954" s="102"/>
      <c r="AU954" s="102"/>
      <c r="AV954" s="102"/>
    </row>
    <row r="955" ht="12.75" customHeight="1">
      <c r="C955" s="400"/>
      <c r="D955" s="102"/>
      <c r="I955" s="102"/>
      <c r="J955" s="102"/>
      <c r="K955" s="102"/>
      <c r="L955" s="102"/>
      <c r="M955" s="102"/>
      <c r="N955" s="102"/>
      <c r="O955" s="102"/>
      <c r="P955" s="102"/>
      <c r="Q955" s="102"/>
      <c r="R955" s="102"/>
      <c r="S955" s="102"/>
      <c r="T955" s="102"/>
      <c r="U955" s="102"/>
      <c r="V955" s="102"/>
      <c r="W955" s="102"/>
      <c r="X955" s="102"/>
      <c r="Y955" s="102"/>
      <c r="Z955" s="102"/>
      <c r="AA955" s="102"/>
      <c r="AB955" s="102"/>
      <c r="AC955" s="102"/>
      <c r="AD955" s="102"/>
      <c r="AE955" s="102"/>
      <c r="AF955" s="102"/>
      <c r="AG955" s="102"/>
      <c r="AH955" s="102"/>
      <c r="AI955" s="102"/>
      <c r="AJ955" s="102"/>
      <c r="AK955" s="102"/>
      <c r="AL955" s="102"/>
      <c r="AM955" s="102"/>
      <c r="AN955" s="102"/>
      <c r="AO955" s="102"/>
      <c r="AP955" s="102"/>
      <c r="AQ955" s="102"/>
      <c r="AR955" s="102"/>
      <c r="AS955" s="102"/>
      <c r="AT955" s="102"/>
      <c r="AU955" s="102"/>
      <c r="AV955" s="102"/>
    </row>
    <row r="956" ht="12.75" customHeight="1">
      <c r="C956" s="400"/>
      <c r="D956" s="102"/>
      <c r="I956" s="102"/>
      <c r="J956" s="102"/>
      <c r="K956" s="102"/>
      <c r="L956" s="102"/>
      <c r="M956" s="102"/>
      <c r="N956" s="102"/>
      <c r="O956" s="102"/>
      <c r="P956" s="102"/>
      <c r="Q956" s="102"/>
      <c r="R956" s="102"/>
      <c r="S956" s="102"/>
      <c r="T956" s="102"/>
      <c r="U956" s="102"/>
      <c r="V956" s="102"/>
      <c r="W956" s="102"/>
      <c r="X956" s="102"/>
      <c r="Y956" s="102"/>
      <c r="Z956" s="102"/>
      <c r="AA956" s="102"/>
      <c r="AB956" s="102"/>
      <c r="AC956" s="102"/>
      <c r="AD956" s="102"/>
      <c r="AE956" s="102"/>
      <c r="AF956" s="102"/>
      <c r="AG956" s="102"/>
      <c r="AH956" s="102"/>
      <c r="AI956" s="102"/>
      <c r="AJ956" s="102"/>
      <c r="AK956" s="102"/>
      <c r="AL956" s="102"/>
      <c r="AM956" s="102"/>
      <c r="AN956" s="102"/>
      <c r="AO956" s="102"/>
      <c r="AP956" s="102"/>
      <c r="AQ956" s="102"/>
      <c r="AR956" s="102"/>
      <c r="AS956" s="102"/>
      <c r="AT956" s="102"/>
      <c r="AU956" s="102"/>
      <c r="AV956" s="102"/>
    </row>
    <row r="957" ht="12.75" customHeight="1">
      <c r="C957" s="400"/>
      <c r="D957" s="102"/>
      <c r="I957" s="102"/>
      <c r="J957" s="102"/>
      <c r="K957" s="102"/>
      <c r="L957" s="102"/>
      <c r="M957" s="102"/>
      <c r="N957" s="102"/>
      <c r="O957" s="102"/>
      <c r="P957" s="102"/>
      <c r="Q957" s="102"/>
      <c r="R957" s="102"/>
      <c r="S957" s="102"/>
      <c r="T957" s="102"/>
      <c r="U957" s="102"/>
      <c r="V957" s="102"/>
      <c r="W957" s="102"/>
      <c r="X957" s="102"/>
      <c r="Y957" s="102"/>
      <c r="Z957" s="102"/>
      <c r="AA957" s="102"/>
      <c r="AB957" s="102"/>
      <c r="AC957" s="102"/>
      <c r="AD957" s="102"/>
      <c r="AE957" s="102"/>
      <c r="AF957" s="102"/>
      <c r="AG957" s="102"/>
      <c r="AH957" s="102"/>
      <c r="AI957" s="102"/>
      <c r="AJ957" s="102"/>
      <c r="AK957" s="102"/>
      <c r="AL957" s="102"/>
      <c r="AM957" s="102"/>
      <c r="AN957" s="102"/>
      <c r="AO957" s="102"/>
      <c r="AP957" s="102"/>
      <c r="AQ957" s="102"/>
      <c r="AR957" s="102"/>
      <c r="AS957" s="102"/>
      <c r="AT957" s="102"/>
      <c r="AU957" s="102"/>
      <c r="AV957" s="102"/>
    </row>
    <row r="958" ht="12.75" customHeight="1">
      <c r="C958" s="400"/>
      <c r="D958" s="102"/>
      <c r="I958" s="102"/>
      <c r="J958" s="102"/>
      <c r="K958" s="102"/>
      <c r="L958" s="102"/>
      <c r="M958" s="102"/>
      <c r="N958" s="102"/>
      <c r="O958" s="102"/>
      <c r="P958" s="102"/>
      <c r="Q958" s="102"/>
      <c r="R958" s="102"/>
      <c r="S958" s="102"/>
      <c r="T958" s="102"/>
      <c r="U958" s="102"/>
      <c r="V958" s="102"/>
      <c r="W958" s="102"/>
      <c r="X958" s="102"/>
      <c r="Y958" s="102"/>
      <c r="Z958" s="102"/>
      <c r="AA958" s="102"/>
      <c r="AB958" s="102"/>
      <c r="AC958" s="102"/>
      <c r="AD958" s="102"/>
      <c r="AE958" s="102"/>
      <c r="AF958" s="102"/>
      <c r="AG958" s="102"/>
      <c r="AH958" s="102"/>
      <c r="AI958" s="102"/>
      <c r="AJ958" s="102"/>
      <c r="AK958" s="102"/>
      <c r="AL958" s="102"/>
      <c r="AM958" s="102"/>
      <c r="AN958" s="102"/>
      <c r="AO958" s="102"/>
      <c r="AP958" s="102"/>
      <c r="AQ958" s="102"/>
      <c r="AR958" s="102"/>
      <c r="AS958" s="102"/>
      <c r="AT958" s="102"/>
      <c r="AU958" s="102"/>
      <c r="AV958" s="102"/>
    </row>
    <row r="959" ht="12.75" customHeight="1">
      <c r="C959" s="400"/>
      <c r="D959" s="102"/>
      <c r="I959" s="102"/>
      <c r="J959" s="102"/>
      <c r="K959" s="102"/>
      <c r="L959" s="102"/>
      <c r="M959" s="102"/>
      <c r="N959" s="102"/>
      <c r="O959" s="102"/>
      <c r="P959" s="102"/>
      <c r="Q959" s="102"/>
      <c r="R959" s="102"/>
      <c r="S959" s="102"/>
      <c r="T959" s="102"/>
      <c r="U959" s="102"/>
      <c r="V959" s="102"/>
      <c r="W959" s="102"/>
      <c r="X959" s="102"/>
      <c r="Y959" s="102"/>
      <c r="Z959" s="102"/>
      <c r="AA959" s="102"/>
      <c r="AB959" s="102"/>
      <c r="AC959" s="102"/>
      <c r="AD959" s="102"/>
      <c r="AE959" s="102"/>
      <c r="AF959" s="102"/>
      <c r="AG959" s="102"/>
      <c r="AH959" s="102"/>
      <c r="AI959" s="102"/>
      <c r="AJ959" s="102"/>
      <c r="AK959" s="102"/>
      <c r="AL959" s="102"/>
      <c r="AM959" s="102"/>
      <c r="AN959" s="102"/>
      <c r="AO959" s="102"/>
      <c r="AP959" s="102"/>
      <c r="AQ959" s="102"/>
      <c r="AR959" s="102"/>
      <c r="AS959" s="102"/>
      <c r="AT959" s="102"/>
      <c r="AU959" s="102"/>
      <c r="AV959" s="102"/>
    </row>
    <row r="960" ht="12.75" customHeight="1">
      <c r="C960" s="400"/>
      <c r="D960" s="102"/>
      <c r="I960" s="102"/>
      <c r="J960" s="102"/>
      <c r="K960" s="102"/>
      <c r="L960" s="102"/>
      <c r="M960" s="102"/>
      <c r="N960" s="102"/>
      <c r="O960" s="102"/>
      <c r="P960" s="102"/>
      <c r="Q960" s="102"/>
      <c r="R960" s="102"/>
      <c r="S960" s="102"/>
      <c r="T960" s="102"/>
      <c r="U960" s="102"/>
      <c r="V960" s="102"/>
      <c r="W960" s="102"/>
      <c r="X960" s="102"/>
      <c r="Y960" s="102"/>
      <c r="Z960" s="102"/>
      <c r="AA960" s="102"/>
      <c r="AB960" s="102"/>
      <c r="AC960" s="102"/>
      <c r="AD960" s="102"/>
      <c r="AE960" s="102"/>
      <c r="AF960" s="102"/>
      <c r="AG960" s="102"/>
      <c r="AH960" s="102"/>
      <c r="AI960" s="102"/>
      <c r="AJ960" s="102"/>
      <c r="AK960" s="102"/>
      <c r="AL960" s="102"/>
      <c r="AM960" s="102"/>
      <c r="AN960" s="102"/>
      <c r="AO960" s="102"/>
      <c r="AP960" s="102"/>
      <c r="AQ960" s="102"/>
      <c r="AR960" s="102"/>
      <c r="AS960" s="102"/>
      <c r="AT960" s="102"/>
      <c r="AU960" s="102"/>
      <c r="AV960" s="102"/>
    </row>
    <row r="961" ht="12.75" customHeight="1">
      <c r="C961" s="400"/>
      <c r="D961" s="102"/>
      <c r="I961" s="102"/>
      <c r="J961" s="102"/>
      <c r="K961" s="102"/>
      <c r="L961" s="102"/>
      <c r="M961" s="102"/>
      <c r="N961" s="102"/>
      <c r="O961" s="102"/>
      <c r="P961" s="102"/>
      <c r="Q961" s="102"/>
      <c r="R961" s="102"/>
      <c r="S961" s="102"/>
      <c r="T961" s="102"/>
      <c r="U961" s="102"/>
      <c r="V961" s="102"/>
      <c r="W961" s="102"/>
      <c r="X961" s="102"/>
      <c r="Y961" s="102"/>
      <c r="Z961" s="102"/>
      <c r="AA961" s="102"/>
      <c r="AB961" s="102"/>
      <c r="AC961" s="102"/>
      <c r="AD961" s="102"/>
      <c r="AE961" s="102"/>
      <c r="AF961" s="102"/>
      <c r="AG961" s="102"/>
      <c r="AH961" s="102"/>
      <c r="AI961" s="102"/>
      <c r="AJ961" s="102"/>
      <c r="AK961" s="102"/>
      <c r="AL961" s="102"/>
      <c r="AM961" s="102"/>
      <c r="AN961" s="102"/>
      <c r="AO961" s="102"/>
      <c r="AP961" s="102"/>
      <c r="AQ961" s="102"/>
      <c r="AR961" s="102"/>
      <c r="AS961" s="102"/>
      <c r="AT961" s="102"/>
      <c r="AU961" s="102"/>
      <c r="AV961" s="102"/>
    </row>
    <row r="962" ht="12.75" customHeight="1">
      <c r="C962" s="400"/>
      <c r="D962" s="102"/>
      <c r="I962" s="102"/>
      <c r="J962" s="102"/>
      <c r="K962" s="102"/>
      <c r="L962" s="102"/>
      <c r="M962" s="102"/>
      <c r="N962" s="102"/>
      <c r="O962" s="102"/>
      <c r="P962" s="102"/>
      <c r="Q962" s="102"/>
      <c r="R962" s="102"/>
      <c r="S962" s="102"/>
      <c r="T962" s="102"/>
      <c r="U962" s="102"/>
      <c r="V962" s="102"/>
      <c r="W962" s="102"/>
      <c r="X962" s="102"/>
      <c r="Y962" s="102"/>
      <c r="Z962" s="102"/>
      <c r="AA962" s="102"/>
      <c r="AB962" s="102"/>
      <c r="AC962" s="102"/>
      <c r="AD962" s="102"/>
      <c r="AE962" s="102"/>
      <c r="AF962" s="102"/>
      <c r="AG962" s="102"/>
      <c r="AH962" s="102"/>
      <c r="AI962" s="102"/>
      <c r="AJ962" s="102"/>
      <c r="AK962" s="102"/>
      <c r="AL962" s="102"/>
      <c r="AM962" s="102"/>
      <c r="AN962" s="102"/>
      <c r="AO962" s="102"/>
      <c r="AP962" s="102"/>
      <c r="AQ962" s="102"/>
      <c r="AR962" s="102"/>
      <c r="AS962" s="102"/>
      <c r="AT962" s="102"/>
      <c r="AU962" s="102"/>
      <c r="AV962" s="102"/>
    </row>
    <row r="963" ht="12.75" customHeight="1">
      <c r="C963" s="400"/>
      <c r="D963" s="102"/>
      <c r="I963" s="102"/>
      <c r="J963" s="102"/>
      <c r="K963" s="102"/>
      <c r="L963" s="102"/>
      <c r="M963" s="102"/>
      <c r="N963" s="102"/>
      <c r="O963" s="102"/>
      <c r="P963" s="102"/>
      <c r="Q963" s="102"/>
      <c r="R963" s="102"/>
      <c r="S963" s="102"/>
      <c r="T963" s="102"/>
      <c r="U963" s="102"/>
      <c r="V963" s="102"/>
      <c r="W963" s="102"/>
      <c r="X963" s="102"/>
      <c r="Y963" s="102"/>
      <c r="Z963" s="102"/>
      <c r="AA963" s="102"/>
      <c r="AB963" s="102"/>
      <c r="AC963" s="102"/>
      <c r="AD963" s="102"/>
      <c r="AE963" s="102"/>
      <c r="AF963" s="102"/>
      <c r="AG963" s="102"/>
      <c r="AH963" s="102"/>
      <c r="AI963" s="102"/>
      <c r="AJ963" s="102"/>
      <c r="AK963" s="102"/>
      <c r="AL963" s="102"/>
      <c r="AM963" s="102"/>
      <c r="AN963" s="102"/>
      <c r="AO963" s="102"/>
      <c r="AP963" s="102"/>
      <c r="AQ963" s="102"/>
      <c r="AR963" s="102"/>
      <c r="AS963" s="102"/>
      <c r="AT963" s="102"/>
      <c r="AU963" s="102"/>
      <c r="AV963" s="102"/>
    </row>
    <row r="964" ht="12.75" customHeight="1">
      <c r="C964" s="400"/>
      <c r="D964" s="102"/>
      <c r="I964" s="102"/>
      <c r="J964" s="102"/>
      <c r="K964" s="102"/>
      <c r="L964" s="102"/>
      <c r="M964" s="102"/>
      <c r="N964" s="102"/>
      <c r="O964" s="102"/>
      <c r="P964" s="102"/>
      <c r="Q964" s="102"/>
      <c r="R964" s="102"/>
      <c r="S964" s="102"/>
      <c r="T964" s="102"/>
      <c r="U964" s="102"/>
      <c r="V964" s="102"/>
      <c r="W964" s="102"/>
      <c r="X964" s="102"/>
      <c r="Y964" s="102"/>
      <c r="Z964" s="102"/>
      <c r="AA964" s="102"/>
      <c r="AB964" s="102"/>
      <c r="AC964" s="102"/>
      <c r="AD964" s="102"/>
      <c r="AE964" s="102"/>
      <c r="AF964" s="102"/>
      <c r="AG964" s="102"/>
      <c r="AH964" s="102"/>
      <c r="AI964" s="102"/>
      <c r="AJ964" s="102"/>
      <c r="AK964" s="102"/>
      <c r="AL964" s="102"/>
      <c r="AM964" s="102"/>
      <c r="AN964" s="102"/>
      <c r="AO964" s="102"/>
      <c r="AP964" s="102"/>
      <c r="AQ964" s="102"/>
      <c r="AR964" s="102"/>
      <c r="AS964" s="102"/>
      <c r="AT964" s="102"/>
      <c r="AU964" s="102"/>
      <c r="AV964" s="102"/>
    </row>
    <row r="965" ht="12.75" customHeight="1">
      <c r="C965" s="400"/>
      <c r="D965" s="102"/>
      <c r="I965" s="102"/>
      <c r="J965" s="102"/>
      <c r="K965" s="102"/>
      <c r="L965" s="102"/>
      <c r="M965" s="102"/>
      <c r="N965" s="102"/>
      <c r="O965" s="102"/>
      <c r="P965" s="102"/>
      <c r="Q965" s="102"/>
      <c r="R965" s="102"/>
      <c r="S965" s="102"/>
      <c r="T965" s="102"/>
      <c r="U965" s="102"/>
      <c r="V965" s="102"/>
      <c r="W965" s="102"/>
      <c r="X965" s="102"/>
      <c r="Y965" s="102"/>
      <c r="Z965" s="102"/>
      <c r="AA965" s="102"/>
      <c r="AB965" s="102"/>
      <c r="AC965" s="102"/>
      <c r="AD965" s="102"/>
      <c r="AE965" s="102"/>
      <c r="AF965" s="102"/>
      <c r="AG965" s="102"/>
      <c r="AH965" s="102"/>
      <c r="AI965" s="102"/>
      <c r="AJ965" s="102"/>
      <c r="AK965" s="102"/>
      <c r="AL965" s="102"/>
      <c r="AM965" s="102"/>
      <c r="AN965" s="102"/>
      <c r="AO965" s="102"/>
      <c r="AP965" s="102"/>
      <c r="AQ965" s="102"/>
      <c r="AR965" s="102"/>
      <c r="AS965" s="102"/>
      <c r="AT965" s="102"/>
      <c r="AU965" s="102"/>
      <c r="AV965" s="102"/>
    </row>
    <row r="966" ht="12.75" customHeight="1">
      <c r="C966" s="400"/>
      <c r="D966" s="102"/>
      <c r="I966" s="102"/>
      <c r="J966" s="102"/>
      <c r="K966" s="102"/>
      <c r="L966" s="102"/>
      <c r="M966" s="102"/>
      <c r="N966" s="102"/>
      <c r="O966" s="102"/>
      <c r="P966" s="102"/>
      <c r="Q966" s="102"/>
      <c r="R966" s="102"/>
      <c r="S966" s="102"/>
      <c r="T966" s="102"/>
      <c r="U966" s="102"/>
      <c r="V966" s="102"/>
      <c r="W966" s="102"/>
      <c r="X966" s="102"/>
      <c r="Y966" s="102"/>
      <c r="Z966" s="102"/>
      <c r="AA966" s="102"/>
      <c r="AB966" s="102"/>
      <c r="AC966" s="102"/>
      <c r="AD966" s="102"/>
      <c r="AE966" s="102"/>
      <c r="AF966" s="102"/>
      <c r="AG966" s="102"/>
      <c r="AH966" s="102"/>
      <c r="AI966" s="102"/>
      <c r="AJ966" s="102"/>
      <c r="AK966" s="102"/>
      <c r="AL966" s="102"/>
      <c r="AM966" s="102"/>
      <c r="AN966" s="102"/>
      <c r="AO966" s="102"/>
      <c r="AP966" s="102"/>
      <c r="AQ966" s="102"/>
      <c r="AR966" s="102"/>
      <c r="AS966" s="102"/>
      <c r="AT966" s="102"/>
      <c r="AU966" s="102"/>
      <c r="AV966" s="102"/>
    </row>
    <row r="967" ht="12.75" customHeight="1">
      <c r="C967" s="400"/>
      <c r="D967" s="102"/>
      <c r="I967" s="102"/>
      <c r="J967" s="102"/>
      <c r="K967" s="102"/>
      <c r="L967" s="102"/>
      <c r="M967" s="102"/>
      <c r="N967" s="102"/>
      <c r="O967" s="102"/>
      <c r="P967" s="102"/>
      <c r="Q967" s="102"/>
      <c r="R967" s="102"/>
      <c r="S967" s="102"/>
      <c r="T967" s="102"/>
      <c r="U967" s="102"/>
      <c r="V967" s="102"/>
      <c r="W967" s="102"/>
      <c r="X967" s="102"/>
      <c r="Y967" s="102"/>
      <c r="Z967" s="102"/>
      <c r="AA967" s="102"/>
      <c r="AB967" s="102"/>
      <c r="AC967" s="102"/>
      <c r="AD967" s="102"/>
      <c r="AE967" s="102"/>
      <c r="AF967" s="102"/>
      <c r="AG967" s="102"/>
      <c r="AH967" s="102"/>
      <c r="AI967" s="102"/>
      <c r="AJ967" s="102"/>
      <c r="AK967" s="102"/>
      <c r="AL967" s="102"/>
      <c r="AM967" s="102"/>
      <c r="AN967" s="102"/>
      <c r="AO967" s="102"/>
      <c r="AP967" s="102"/>
      <c r="AQ967" s="102"/>
      <c r="AR967" s="102"/>
      <c r="AS967" s="102"/>
      <c r="AT967" s="102"/>
      <c r="AU967" s="102"/>
      <c r="AV967" s="102"/>
    </row>
    <row r="968" ht="12.75" customHeight="1">
      <c r="C968" s="400"/>
      <c r="D968" s="102"/>
      <c r="I968" s="102"/>
      <c r="J968" s="102"/>
      <c r="K968" s="102"/>
      <c r="L968" s="102"/>
      <c r="M968" s="102"/>
      <c r="N968" s="102"/>
      <c r="O968" s="102"/>
      <c r="P968" s="102"/>
      <c r="Q968" s="102"/>
      <c r="R968" s="102"/>
      <c r="S968" s="102"/>
      <c r="T968" s="102"/>
      <c r="U968" s="102"/>
      <c r="V968" s="102"/>
      <c r="W968" s="102"/>
      <c r="X968" s="102"/>
      <c r="Y968" s="102"/>
      <c r="Z968" s="102"/>
      <c r="AA968" s="102"/>
      <c r="AB968" s="102"/>
      <c r="AC968" s="102"/>
      <c r="AD968" s="102"/>
      <c r="AE968" s="102"/>
      <c r="AF968" s="102"/>
      <c r="AG968" s="102"/>
      <c r="AH968" s="102"/>
      <c r="AI968" s="102"/>
      <c r="AJ968" s="102"/>
      <c r="AK968" s="102"/>
      <c r="AL968" s="102"/>
      <c r="AM968" s="102"/>
      <c r="AN968" s="102"/>
      <c r="AO968" s="102"/>
      <c r="AP968" s="102"/>
      <c r="AQ968" s="102"/>
      <c r="AR968" s="102"/>
      <c r="AS968" s="102"/>
      <c r="AT968" s="102"/>
      <c r="AU968" s="102"/>
      <c r="AV968" s="102"/>
    </row>
    <row r="969" ht="12.75" customHeight="1">
      <c r="C969" s="400"/>
      <c r="D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c r="AG969" s="102"/>
      <c r="AH969" s="102"/>
      <c r="AI969" s="102"/>
      <c r="AJ969" s="102"/>
      <c r="AK969" s="102"/>
      <c r="AL969" s="102"/>
      <c r="AM969" s="102"/>
      <c r="AN969" s="102"/>
      <c r="AO969" s="102"/>
      <c r="AP969" s="102"/>
      <c r="AQ969" s="102"/>
      <c r="AR969" s="102"/>
      <c r="AS969" s="102"/>
      <c r="AT969" s="102"/>
      <c r="AU969" s="102"/>
      <c r="AV969" s="102"/>
    </row>
    <row r="970" ht="12.75" customHeight="1">
      <c r="C970" s="400"/>
      <c r="D970" s="102"/>
      <c r="I970" s="102"/>
      <c r="J970" s="102"/>
      <c r="K970" s="102"/>
      <c r="L970" s="102"/>
      <c r="M970" s="102"/>
      <c r="N970" s="102"/>
      <c r="O970" s="102"/>
      <c r="P970" s="102"/>
      <c r="Q970" s="102"/>
      <c r="R970" s="102"/>
      <c r="S970" s="102"/>
      <c r="T970" s="102"/>
      <c r="U970" s="102"/>
      <c r="V970" s="102"/>
      <c r="W970" s="102"/>
      <c r="X970" s="102"/>
      <c r="Y970" s="102"/>
      <c r="Z970" s="102"/>
      <c r="AA970" s="102"/>
      <c r="AB970" s="102"/>
      <c r="AC970" s="102"/>
      <c r="AD970" s="102"/>
      <c r="AE970" s="102"/>
      <c r="AF970" s="102"/>
      <c r="AG970" s="102"/>
      <c r="AH970" s="102"/>
      <c r="AI970" s="102"/>
      <c r="AJ970" s="102"/>
      <c r="AK970" s="102"/>
      <c r="AL970" s="102"/>
      <c r="AM970" s="102"/>
      <c r="AN970" s="102"/>
      <c r="AO970" s="102"/>
      <c r="AP970" s="102"/>
      <c r="AQ970" s="102"/>
      <c r="AR970" s="102"/>
      <c r="AS970" s="102"/>
      <c r="AT970" s="102"/>
      <c r="AU970" s="102"/>
      <c r="AV970" s="102"/>
    </row>
    <row r="971" ht="12.75" customHeight="1">
      <c r="C971" s="400"/>
      <c r="D971" s="102"/>
      <c r="I971" s="102"/>
      <c r="J971" s="102"/>
      <c r="K971" s="102"/>
      <c r="L971" s="102"/>
      <c r="M971" s="102"/>
      <c r="N971" s="102"/>
      <c r="O971" s="102"/>
      <c r="P971" s="102"/>
      <c r="Q971" s="102"/>
      <c r="R971" s="102"/>
      <c r="S971" s="102"/>
      <c r="T971" s="102"/>
      <c r="U971" s="102"/>
      <c r="V971" s="102"/>
      <c r="W971" s="102"/>
      <c r="X971" s="102"/>
      <c r="Y971" s="102"/>
      <c r="Z971" s="102"/>
      <c r="AA971" s="102"/>
      <c r="AB971" s="102"/>
      <c r="AC971" s="102"/>
      <c r="AD971" s="102"/>
      <c r="AE971" s="102"/>
      <c r="AF971" s="102"/>
      <c r="AG971" s="102"/>
      <c r="AH971" s="102"/>
      <c r="AI971" s="102"/>
      <c r="AJ971" s="102"/>
      <c r="AK971" s="102"/>
      <c r="AL971" s="102"/>
      <c r="AM971" s="102"/>
      <c r="AN971" s="102"/>
      <c r="AO971" s="102"/>
      <c r="AP971" s="102"/>
      <c r="AQ971" s="102"/>
      <c r="AR971" s="102"/>
      <c r="AS971" s="102"/>
      <c r="AT971" s="102"/>
      <c r="AU971" s="102"/>
      <c r="AV971" s="102"/>
    </row>
    <row r="972" ht="12.75" customHeight="1">
      <c r="C972" s="400"/>
      <c r="D972" s="102"/>
      <c r="I972" s="102"/>
      <c r="J972" s="102"/>
      <c r="K972" s="102"/>
      <c r="L972" s="102"/>
      <c r="M972" s="102"/>
      <c r="N972" s="102"/>
      <c r="O972" s="102"/>
      <c r="P972" s="102"/>
      <c r="Q972" s="102"/>
      <c r="R972" s="102"/>
      <c r="S972" s="102"/>
      <c r="T972" s="102"/>
      <c r="U972" s="102"/>
      <c r="V972" s="102"/>
      <c r="W972" s="102"/>
      <c r="X972" s="102"/>
      <c r="Y972" s="102"/>
      <c r="Z972" s="102"/>
      <c r="AA972" s="102"/>
      <c r="AB972" s="102"/>
      <c r="AC972" s="102"/>
      <c r="AD972" s="102"/>
      <c r="AE972" s="102"/>
      <c r="AF972" s="102"/>
      <c r="AG972" s="102"/>
      <c r="AH972" s="102"/>
      <c r="AI972" s="102"/>
      <c r="AJ972" s="102"/>
      <c r="AK972" s="102"/>
      <c r="AL972" s="102"/>
      <c r="AM972" s="102"/>
      <c r="AN972" s="102"/>
      <c r="AO972" s="102"/>
      <c r="AP972" s="102"/>
      <c r="AQ972" s="102"/>
      <c r="AR972" s="102"/>
      <c r="AS972" s="102"/>
      <c r="AT972" s="102"/>
      <c r="AU972" s="102"/>
      <c r="AV972" s="102"/>
    </row>
    <row r="973" ht="12.75" customHeight="1">
      <c r="C973" s="400"/>
      <c r="D973" s="102"/>
      <c r="I973" s="102"/>
      <c r="J973" s="102"/>
      <c r="K973" s="102"/>
      <c r="L973" s="102"/>
      <c r="M973" s="102"/>
      <c r="N973" s="102"/>
      <c r="O973" s="102"/>
      <c r="P973" s="102"/>
      <c r="Q973" s="102"/>
      <c r="R973" s="102"/>
      <c r="S973" s="102"/>
      <c r="T973" s="102"/>
      <c r="U973" s="102"/>
      <c r="V973" s="102"/>
      <c r="W973" s="102"/>
      <c r="X973" s="102"/>
      <c r="Y973" s="102"/>
      <c r="Z973" s="102"/>
      <c r="AA973" s="102"/>
      <c r="AB973" s="102"/>
      <c r="AC973" s="102"/>
      <c r="AD973" s="102"/>
      <c r="AE973" s="102"/>
      <c r="AF973" s="102"/>
      <c r="AG973" s="102"/>
      <c r="AH973" s="102"/>
      <c r="AI973" s="102"/>
      <c r="AJ973" s="102"/>
      <c r="AK973" s="102"/>
      <c r="AL973" s="102"/>
      <c r="AM973" s="102"/>
      <c r="AN973" s="102"/>
      <c r="AO973" s="102"/>
      <c r="AP973" s="102"/>
      <c r="AQ973" s="102"/>
      <c r="AR973" s="102"/>
      <c r="AS973" s="102"/>
      <c r="AT973" s="102"/>
      <c r="AU973" s="102"/>
      <c r="AV973" s="102"/>
    </row>
    <row r="974" ht="12.75" customHeight="1">
      <c r="C974" s="400"/>
      <c r="D974" s="102"/>
      <c r="I974" s="102"/>
      <c r="J974" s="102"/>
      <c r="K974" s="102"/>
      <c r="L974" s="102"/>
      <c r="M974" s="102"/>
      <c r="N974" s="102"/>
      <c r="O974" s="102"/>
      <c r="P974" s="102"/>
      <c r="Q974" s="102"/>
      <c r="R974" s="102"/>
      <c r="S974" s="102"/>
      <c r="T974" s="102"/>
      <c r="U974" s="102"/>
      <c r="V974" s="102"/>
      <c r="W974" s="102"/>
      <c r="X974" s="102"/>
      <c r="Y974" s="102"/>
      <c r="Z974" s="102"/>
      <c r="AA974" s="102"/>
      <c r="AB974" s="102"/>
      <c r="AC974" s="102"/>
      <c r="AD974" s="102"/>
      <c r="AE974" s="102"/>
      <c r="AF974" s="102"/>
      <c r="AG974" s="102"/>
      <c r="AH974" s="102"/>
      <c r="AI974" s="102"/>
      <c r="AJ974" s="102"/>
      <c r="AK974" s="102"/>
      <c r="AL974" s="102"/>
      <c r="AM974" s="102"/>
      <c r="AN974" s="102"/>
      <c r="AO974" s="102"/>
      <c r="AP974" s="102"/>
      <c r="AQ974" s="102"/>
      <c r="AR974" s="102"/>
      <c r="AS974" s="102"/>
      <c r="AT974" s="102"/>
      <c r="AU974" s="102"/>
      <c r="AV974" s="102"/>
    </row>
    <row r="975" ht="12.75" customHeight="1">
      <c r="C975" s="400"/>
      <c r="D975" s="102"/>
      <c r="I975" s="102"/>
      <c r="J975" s="102"/>
      <c r="K975" s="102"/>
      <c r="L975" s="102"/>
      <c r="M975" s="102"/>
      <c r="N975" s="102"/>
      <c r="O975" s="102"/>
      <c r="P975" s="102"/>
      <c r="Q975" s="102"/>
      <c r="R975" s="102"/>
      <c r="S975" s="102"/>
      <c r="T975" s="102"/>
      <c r="U975" s="102"/>
      <c r="V975" s="102"/>
      <c r="W975" s="102"/>
      <c r="X975" s="102"/>
      <c r="Y975" s="102"/>
      <c r="Z975" s="102"/>
      <c r="AA975" s="102"/>
      <c r="AB975" s="102"/>
      <c r="AC975" s="102"/>
      <c r="AD975" s="102"/>
      <c r="AE975" s="102"/>
      <c r="AF975" s="102"/>
      <c r="AG975" s="102"/>
      <c r="AH975" s="102"/>
      <c r="AI975" s="102"/>
      <c r="AJ975" s="102"/>
      <c r="AK975" s="102"/>
      <c r="AL975" s="102"/>
      <c r="AM975" s="102"/>
      <c r="AN975" s="102"/>
      <c r="AO975" s="102"/>
      <c r="AP975" s="102"/>
      <c r="AQ975" s="102"/>
      <c r="AR975" s="102"/>
      <c r="AS975" s="102"/>
      <c r="AT975" s="102"/>
      <c r="AU975" s="102"/>
      <c r="AV975" s="102"/>
    </row>
    <row r="976" ht="12.75" customHeight="1">
      <c r="C976" s="400"/>
      <c r="D976" s="102"/>
      <c r="I976" s="102"/>
      <c r="J976" s="102"/>
      <c r="K976" s="102"/>
      <c r="L976" s="102"/>
      <c r="M976" s="102"/>
      <c r="N976" s="102"/>
      <c r="O976" s="102"/>
      <c r="P976" s="102"/>
      <c r="Q976" s="102"/>
      <c r="R976" s="102"/>
      <c r="S976" s="102"/>
      <c r="T976" s="102"/>
      <c r="U976" s="102"/>
      <c r="V976" s="102"/>
      <c r="W976" s="102"/>
      <c r="X976" s="102"/>
      <c r="Y976" s="102"/>
      <c r="Z976" s="102"/>
      <c r="AA976" s="102"/>
      <c r="AB976" s="102"/>
      <c r="AC976" s="102"/>
      <c r="AD976" s="102"/>
      <c r="AE976" s="102"/>
      <c r="AF976" s="102"/>
      <c r="AG976" s="102"/>
      <c r="AH976" s="102"/>
      <c r="AI976" s="102"/>
      <c r="AJ976" s="102"/>
      <c r="AK976" s="102"/>
      <c r="AL976" s="102"/>
      <c r="AM976" s="102"/>
      <c r="AN976" s="102"/>
      <c r="AO976" s="102"/>
      <c r="AP976" s="102"/>
      <c r="AQ976" s="102"/>
      <c r="AR976" s="102"/>
      <c r="AS976" s="102"/>
      <c r="AT976" s="102"/>
      <c r="AU976" s="102"/>
      <c r="AV976" s="102"/>
    </row>
    <row r="977" ht="12.75" customHeight="1">
      <c r="C977" s="400"/>
      <c r="D977" s="102"/>
      <c r="I977" s="102"/>
      <c r="J977" s="102"/>
      <c r="K977" s="102"/>
      <c r="L977" s="102"/>
      <c r="M977" s="102"/>
      <c r="N977" s="102"/>
      <c r="O977" s="102"/>
      <c r="P977" s="102"/>
      <c r="Q977" s="102"/>
      <c r="R977" s="102"/>
      <c r="S977" s="102"/>
      <c r="T977" s="102"/>
      <c r="U977" s="102"/>
      <c r="V977" s="102"/>
      <c r="W977" s="102"/>
      <c r="X977" s="102"/>
      <c r="Y977" s="102"/>
      <c r="Z977" s="102"/>
      <c r="AA977" s="102"/>
      <c r="AB977" s="102"/>
      <c r="AC977" s="102"/>
      <c r="AD977" s="102"/>
      <c r="AE977" s="102"/>
      <c r="AF977" s="102"/>
      <c r="AG977" s="102"/>
      <c r="AH977" s="102"/>
      <c r="AI977" s="102"/>
      <c r="AJ977" s="102"/>
      <c r="AK977" s="102"/>
      <c r="AL977" s="102"/>
      <c r="AM977" s="102"/>
      <c r="AN977" s="102"/>
      <c r="AO977" s="102"/>
      <c r="AP977" s="102"/>
      <c r="AQ977" s="102"/>
      <c r="AR977" s="102"/>
      <c r="AS977" s="102"/>
      <c r="AT977" s="102"/>
      <c r="AU977" s="102"/>
      <c r="AV977" s="102"/>
    </row>
    <row r="978" ht="12.75" customHeight="1">
      <c r="C978" s="400"/>
      <c r="D978" s="102"/>
      <c r="I978" s="102"/>
      <c r="J978" s="102"/>
      <c r="K978" s="102"/>
      <c r="L978" s="102"/>
      <c r="M978" s="102"/>
      <c r="N978" s="102"/>
      <c r="O978" s="102"/>
      <c r="P978" s="102"/>
      <c r="Q978" s="102"/>
      <c r="R978" s="102"/>
      <c r="S978" s="102"/>
      <c r="T978" s="102"/>
      <c r="U978" s="102"/>
      <c r="V978" s="102"/>
      <c r="W978" s="102"/>
      <c r="X978" s="102"/>
      <c r="Y978" s="102"/>
      <c r="Z978" s="102"/>
      <c r="AA978" s="102"/>
      <c r="AB978" s="102"/>
      <c r="AC978" s="102"/>
      <c r="AD978" s="102"/>
      <c r="AE978" s="102"/>
      <c r="AF978" s="102"/>
      <c r="AG978" s="102"/>
      <c r="AH978" s="102"/>
      <c r="AI978" s="102"/>
      <c r="AJ978" s="102"/>
      <c r="AK978" s="102"/>
      <c r="AL978" s="102"/>
      <c r="AM978" s="102"/>
      <c r="AN978" s="102"/>
      <c r="AO978" s="102"/>
      <c r="AP978" s="102"/>
      <c r="AQ978" s="102"/>
      <c r="AR978" s="102"/>
      <c r="AS978" s="102"/>
      <c r="AT978" s="102"/>
      <c r="AU978" s="102"/>
      <c r="AV978" s="102"/>
    </row>
    <row r="979" ht="12.75" customHeight="1">
      <c r="C979" s="400"/>
      <c r="D979" s="102"/>
      <c r="I979" s="102"/>
      <c r="J979" s="102"/>
      <c r="K979" s="102"/>
      <c r="L979" s="102"/>
      <c r="M979" s="102"/>
      <c r="N979" s="102"/>
      <c r="O979" s="102"/>
      <c r="P979" s="102"/>
      <c r="Q979" s="102"/>
      <c r="R979" s="102"/>
      <c r="S979" s="102"/>
      <c r="T979" s="102"/>
      <c r="U979" s="102"/>
      <c r="V979" s="102"/>
      <c r="W979" s="102"/>
      <c r="X979" s="102"/>
      <c r="Y979" s="102"/>
      <c r="Z979" s="102"/>
      <c r="AA979" s="102"/>
      <c r="AB979" s="102"/>
      <c r="AC979" s="102"/>
      <c r="AD979" s="102"/>
      <c r="AE979" s="102"/>
      <c r="AF979" s="102"/>
      <c r="AG979" s="102"/>
      <c r="AH979" s="102"/>
      <c r="AI979" s="102"/>
      <c r="AJ979" s="102"/>
      <c r="AK979" s="102"/>
      <c r="AL979" s="102"/>
      <c r="AM979" s="102"/>
      <c r="AN979" s="102"/>
      <c r="AO979" s="102"/>
      <c r="AP979" s="102"/>
      <c r="AQ979" s="102"/>
      <c r="AR979" s="102"/>
      <c r="AS979" s="102"/>
      <c r="AT979" s="102"/>
      <c r="AU979" s="102"/>
      <c r="AV979" s="102"/>
    </row>
    <row r="980" ht="12.75" customHeight="1">
      <c r="C980" s="400"/>
      <c r="D980" s="102"/>
      <c r="I980" s="102"/>
      <c r="J980" s="102"/>
      <c r="K980" s="102"/>
      <c r="L980" s="102"/>
      <c r="M980" s="102"/>
      <c r="N980" s="102"/>
      <c r="O980" s="102"/>
      <c r="P980" s="102"/>
      <c r="Q980" s="102"/>
      <c r="R980" s="102"/>
      <c r="S980" s="102"/>
      <c r="T980" s="102"/>
      <c r="U980" s="102"/>
      <c r="V980" s="102"/>
      <c r="W980" s="102"/>
      <c r="X980" s="102"/>
      <c r="Y980" s="102"/>
      <c r="Z980" s="102"/>
      <c r="AA980" s="102"/>
      <c r="AB980" s="102"/>
      <c r="AC980" s="102"/>
      <c r="AD980" s="102"/>
      <c r="AE980" s="102"/>
      <c r="AF980" s="102"/>
      <c r="AG980" s="102"/>
      <c r="AH980" s="102"/>
      <c r="AI980" s="102"/>
      <c r="AJ980" s="102"/>
      <c r="AK980" s="102"/>
      <c r="AL980" s="102"/>
      <c r="AM980" s="102"/>
      <c r="AN980" s="102"/>
      <c r="AO980" s="102"/>
      <c r="AP980" s="102"/>
      <c r="AQ980" s="102"/>
      <c r="AR980" s="102"/>
      <c r="AS980" s="102"/>
      <c r="AT980" s="102"/>
      <c r="AU980" s="102"/>
      <c r="AV980" s="102"/>
    </row>
    <row r="981" ht="12.75" customHeight="1">
      <c r="C981" s="400"/>
      <c r="D981" s="102"/>
      <c r="I981" s="102"/>
      <c r="J981" s="102"/>
      <c r="K981" s="102"/>
      <c r="L981" s="102"/>
      <c r="M981" s="102"/>
      <c r="N981" s="102"/>
      <c r="O981" s="102"/>
      <c r="P981" s="102"/>
      <c r="Q981" s="102"/>
      <c r="R981" s="102"/>
      <c r="S981" s="102"/>
      <c r="T981" s="102"/>
      <c r="U981" s="102"/>
      <c r="V981" s="102"/>
      <c r="W981" s="102"/>
      <c r="X981" s="102"/>
      <c r="Y981" s="102"/>
      <c r="Z981" s="102"/>
      <c r="AA981" s="102"/>
      <c r="AB981" s="102"/>
      <c r="AC981" s="102"/>
      <c r="AD981" s="102"/>
      <c r="AE981" s="102"/>
      <c r="AF981" s="102"/>
      <c r="AG981" s="102"/>
      <c r="AH981" s="102"/>
      <c r="AI981" s="102"/>
      <c r="AJ981" s="102"/>
      <c r="AK981" s="102"/>
      <c r="AL981" s="102"/>
      <c r="AM981" s="102"/>
      <c r="AN981" s="102"/>
      <c r="AO981" s="102"/>
      <c r="AP981" s="102"/>
      <c r="AQ981" s="102"/>
      <c r="AR981" s="102"/>
      <c r="AS981" s="102"/>
      <c r="AT981" s="102"/>
      <c r="AU981" s="102"/>
      <c r="AV981" s="102"/>
    </row>
    <row r="982" ht="12.75" customHeight="1">
      <c r="C982" s="400"/>
      <c r="D982" s="102"/>
      <c r="I982" s="102"/>
      <c r="J982" s="102"/>
      <c r="K982" s="102"/>
      <c r="L982" s="102"/>
      <c r="M982" s="102"/>
      <c r="N982" s="102"/>
      <c r="O982" s="102"/>
      <c r="P982" s="102"/>
      <c r="Q982" s="102"/>
      <c r="R982" s="102"/>
      <c r="S982" s="102"/>
      <c r="T982" s="102"/>
      <c r="U982" s="102"/>
      <c r="V982" s="102"/>
      <c r="W982" s="102"/>
      <c r="X982" s="102"/>
      <c r="Y982" s="102"/>
      <c r="Z982" s="102"/>
      <c r="AA982" s="102"/>
      <c r="AB982" s="102"/>
      <c r="AC982" s="102"/>
      <c r="AD982" s="102"/>
      <c r="AE982" s="102"/>
      <c r="AF982" s="102"/>
      <c r="AG982" s="102"/>
      <c r="AH982" s="102"/>
      <c r="AI982" s="102"/>
      <c r="AJ982" s="102"/>
      <c r="AK982" s="102"/>
      <c r="AL982" s="102"/>
      <c r="AM982" s="102"/>
      <c r="AN982" s="102"/>
      <c r="AO982" s="102"/>
      <c r="AP982" s="102"/>
      <c r="AQ982" s="102"/>
      <c r="AR982" s="102"/>
      <c r="AS982" s="102"/>
      <c r="AT982" s="102"/>
      <c r="AU982" s="102"/>
      <c r="AV982" s="102"/>
    </row>
    <row r="983" ht="12.75" customHeight="1">
      <c r="C983" s="400"/>
      <c r="D983" s="102"/>
      <c r="I983" s="102"/>
      <c r="J983" s="102"/>
      <c r="K983" s="102"/>
      <c r="L983" s="102"/>
      <c r="M983" s="102"/>
      <c r="N983" s="102"/>
      <c r="O983" s="102"/>
      <c r="P983" s="102"/>
      <c r="Q983" s="102"/>
      <c r="R983" s="102"/>
      <c r="S983" s="102"/>
      <c r="T983" s="102"/>
      <c r="U983" s="102"/>
      <c r="V983" s="102"/>
      <c r="W983" s="102"/>
      <c r="X983" s="102"/>
      <c r="Y983" s="102"/>
      <c r="Z983" s="102"/>
      <c r="AA983" s="102"/>
      <c r="AB983" s="102"/>
      <c r="AC983" s="102"/>
      <c r="AD983" s="102"/>
      <c r="AE983" s="102"/>
      <c r="AF983" s="102"/>
      <c r="AG983" s="102"/>
      <c r="AH983" s="102"/>
      <c r="AI983" s="102"/>
      <c r="AJ983" s="102"/>
      <c r="AK983" s="102"/>
      <c r="AL983" s="102"/>
      <c r="AM983" s="102"/>
      <c r="AN983" s="102"/>
      <c r="AO983" s="102"/>
      <c r="AP983" s="102"/>
      <c r="AQ983" s="102"/>
      <c r="AR983" s="102"/>
      <c r="AS983" s="102"/>
      <c r="AT983" s="102"/>
      <c r="AU983" s="102"/>
      <c r="AV983" s="102"/>
    </row>
    <row r="984" ht="12.75" customHeight="1">
      <c r="C984" s="400"/>
      <c r="D984" s="102"/>
      <c r="I984" s="102"/>
      <c r="J984" s="102"/>
      <c r="K984" s="102"/>
      <c r="L984" s="102"/>
      <c r="M984" s="102"/>
      <c r="N984" s="102"/>
      <c r="O984" s="102"/>
      <c r="P984" s="102"/>
      <c r="Q984" s="102"/>
      <c r="R984" s="102"/>
      <c r="S984" s="102"/>
      <c r="T984" s="102"/>
      <c r="U984" s="102"/>
      <c r="V984" s="102"/>
      <c r="W984" s="102"/>
      <c r="X984" s="102"/>
      <c r="Y984" s="102"/>
      <c r="Z984" s="102"/>
      <c r="AA984" s="102"/>
      <c r="AB984" s="102"/>
      <c r="AC984" s="102"/>
      <c r="AD984" s="102"/>
      <c r="AE984" s="102"/>
      <c r="AF984" s="102"/>
      <c r="AG984" s="102"/>
      <c r="AH984" s="102"/>
      <c r="AI984" s="102"/>
      <c r="AJ984" s="102"/>
      <c r="AK984" s="102"/>
      <c r="AL984" s="102"/>
      <c r="AM984" s="102"/>
      <c r="AN984" s="102"/>
      <c r="AO984" s="102"/>
      <c r="AP984" s="102"/>
      <c r="AQ984" s="102"/>
      <c r="AR984" s="102"/>
      <c r="AS984" s="102"/>
      <c r="AT984" s="102"/>
      <c r="AU984" s="102"/>
      <c r="AV984" s="102"/>
    </row>
    <row r="985" ht="12.75" customHeight="1">
      <c r="C985" s="400"/>
      <c r="D985" s="102"/>
      <c r="I985" s="102"/>
      <c r="J985" s="102"/>
      <c r="K985" s="102"/>
      <c r="L985" s="102"/>
      <c r="M985" s="102"/>
      <c r="N985" s="102"/>
      <c r="O985" s="102"/>
      <c r="P985" s="102"/>
      <c r="Q985" s="102"/>
      <c r="R985" s="102"/>
      <c r="S985" s="102"/>
      <c r="T985" s="102"/>
      <c r="U985" s="102"/>
      <c r="V985" s="102"/>
      <c r="W985" s="102"/>
      <c r="X985" s="102"/>
      <c r="Y985" s="102"/>
      <c r="Z985" s="102"/>
      <c r="AA985" s="102"/>
      <c r="AB985" s="102"/>
      <c r="AC985" s="102"/>
      <c r="AD985" s="102"/>
      <c r="AE985" s="102"/>
      <c r="AF985" s="102"/>
      <c r="AG985" s="102"/>
      <c r="AH985" s="102"/>
      <c r="AI985" s="102"/>
      <c r="AJ985" s="102"/>
      <c r="AK985" s="102"/>
      <c r="AL985" s="102"/>
      <c r="AM985" s="102"/>
      <c r="AN985" s="102"/>
      <c r="AO985" s="102"/>
      <c r="AP985" s="102"/>
      <c r="AQ985" s="102"/>
      <c r="AR985" s="102"/>
      <c r="AS985" s="102"/>
      <c r="AT985" s="102"/>
      <c r="AU985" s="102"/>
      <c r="AV985" s="102"/>
    </row>
    <row r="986" ht="12.75" customHeight="1">
      <c r="C986" s="400"/>
      <c r="D986" s="102"/>
      <c r="I986" s="102"/>
      <c r="J986" s="102"/>
      <c r="K986" s="102"/>
      <c r="L986" s="102"/>
      <c r="M986" s="102"/>
      <c r="N986" s="102"/>
      <c r="O986" s="102"/>
      <c r="P986" s="102"/>
      <c r="Q986" s="102"/>
      <c r="R986" s="102"/>
      <c r="S986" s="102"/>
      <c r="T986" s="102"/>
      <c r="U986" s="102"/>
      <c r="V986" s="102"/>
      <c r="W986" s="102"/>
      <c r="X986" s="102"/>
      <c r="Y986" s="102"/>
      <c r="Z986" s="102"/>
      <c r="AA986" s="102"/>
      <c r="AB986" s="102"/>
      <c r="AC986" s="102"/>
      <c r="AD986" s="102"/>
      <c r="AE986" s="102"/>
      <c r="AF986" s="102"/>
      <c r="AG986" s="102"/>
      <c r="AH986" s="102"/>
      <c r="AI986" s="102"/>
      <c r="AJ986" s="102"/>
      <c r="AK986" s="102"/>
      <c r="AL986" s="102"/>
      <c r="AM986" s="102"/>
      <c r="AN986" s="102"/>
      <c r="AO986" s="102"/>
      <c r="AP986" s="102"/>
      <c r="AQ986" s="102"/>
      <c r="AR986" s="102"/>
      <c r="AS986" s="102"/>
      <c r="AT986" s="102"/>
      <c r="AU986" s="102"/>
      <c r="AV986" s="102"/>
    </row>
    <row r="987" ht="12.75" customHeight="1">
      <c r="C987" s="400"/>
      <c r="D987" s="102"/>
      <c r="I987" s="102"/>
      <c r="J987" s="102"/>
      <c r="K987" s="102"/>
      <c r="L987" s="102"/>
      <c r="M987" s="102"/>
      <c r="N987" s="102"/>
      <c r="O987" s="102"/>
      <c r="P987" s="102"/>
      <c r="Q987" s="102"/>
      <c r="R987" s="102"/>
      <c r="S987" s="102"/>
      <c r="T987" s="102"/>
      <c r="U987" s="102"/>
      <c r="V987" s="102"/>
      <c r="W987" s="102"/>
      <c r="X987" s="102"/>
      <c r="Y987" s="102"/>
      <c r="Z987" s="102"/>
      <c r="AA987" s="102"/>
      <c r="AB987" s="102"/>
      <c r="AC987" s="102"/>
      <c r="AD987" s="102"/>
      <c r="AE987" s="102"/>
      <c r="AF987" s="102"/>
      <c r="AG987" s="102"/>
      <c r="AH987" s="102"/>
      <c r="AI987" s="102"/>
      <c r="AJ987" s="102"/>
      <c r="AK987" s="102"/>
      <c r="AL987" s="102"/>
      <c r="AM987" s="102"/>
      <c r="AN987" s="102"/>
      <c r="AO987" s="102"/>
      <c r="AP987" s="102"/>
      <c r="AQ987" s="102"/>
      <c r="AR987" s="102"/>
      <c r="AS987" s="102"/>
      <c r="AT987" s="102"/>
      <c r="AU987" s="102"/>
      <c r="AV987" s="102"/>
    </row>
    <row r="988" ht="12.75" customHeight="1">
      <c r="C988" s="400"/>
      <c r="D988" s="102"/>
      <c r="I988" s="102"/>
      <c r="J988" s="102"/>
      <c r="K988" s="102"/>
      <c r="L988" s="102"/>
      <c r="M988" s="102"/>
      <c r="N988" s="102"/>
      <c r="O988" s="102"/>
      <c r="P988" s="102"/>
      <c r="Q988" s="102"/>
      <c r="R988" s="102"/>
      <c r="S988" s="102"/>
      <c r="T988" s="102"/>
      <c r="U988" s="102"/>
      <c r="V988" s="102"/>
      <c r="W988" s="102"/>
      <c r="X988" s="102"/>
      <c r="Y988" s="102"/>
      <c r="Z988" s="102"/>
      <c r="AA988" s="102"/>
      <c r="AB988" s="102"/>
      <c r="AC988" s="102"/>
      <c r="AD988" s="102"/>
      <c r="AE988" s="102"/>
      <c r="AF988" s="102"/>
      <c r="AG988" s="102"/>
      <c r="AH988" s="102"/>
      <c r="AI988" s="102"/>
      <c r="AJ988" s="102"/>
      <c r="AK988" s="102"/>
      <c r="AL988" s="102"/>
      <c r="AM988" s="102"/>
      <c r="AN988" s="102"/>
      <c r="AO988" s="102"/>
      <c r="AP988" s="102"/>
      <c r="AQ988" s="102"/>
      <c r="AR988" s="102"/>
      <c r="AS988" s="102"/>
      <c r="AT988" s="102"/>
      <c r="AU988" s="102"/>
      <c r="AV988" s="102"/>
    </row>
    <row r="989" ht="12.75" customHeight="1">
      <c r="C989" s="400"/>
      <c r="D989" s="102"/>
      <c r="I989" s="102"/>
      <c r="J989" s="102"/>
      <c r="K989" s="102"/>
      <c r="L989" s="102"/>
      <c r="M989" s="102"/>
      <c r="N989" s="102"/>
      <c r="O989" s="102"/>
      <c r="P989" s="102"/>
      <c r="Q989" s="102"/>
      <c r="R989" s="102"/>
      <c r="S989" s="102"/>
      <c r="T989" s="102"/>
      <c r="U989" s="102"/>
      <c r="V989" s="102"/>
      <c r="W989" s="102"/>
      <c r="X989" s="102"/>
      <c r="Y989" s="102"/>
      <c r="Z989" s="102"/>
      <c r="AA989" s="102"/>
      <c r="AB989" s="102"/>
      <c r="AC989" s="102"/>
      <c r="AD989" s="102"/>
      <c r="AE989" s="102"/>
      <c r="AF989" s="102"/>
      <c r="AG989" s="102"/>
      <c r="AH989" s="102"/>
      <c r="AI989" s="102"/>
      <c r="AJ989" s="102"/>
      <c r="AK989" s="102"/>
      <c r="AL989" s="102"/>
      <c r="AM989" s="102"/>
      <c r="AN989" s="102"/>
      <c r="AO989" s="102"/>
      <c r="AP989" s="102"/>
      <c r="AQ989" s="102"/>
      <c r="AR989" s="102"/>
      <c r="AS989" s="102"/>
      <c r="AT989" s="102"/>
      <c r="AU989" s="102"/>
      <c r="AV989" s="102"/>
    </row>
    <row r="990" ht="12.75" customHeight="1">
      <c r="C990" s="400"/>
      <c r="D990" s="102"/>
      <c r="I990" s="102"/>
      <c r="J990" s="102"/>
      <c r="K990" s="102"/>
      <c r="L990" s="102"/>
      <c r="M990" s="102"/>
      <c r="N990" s="102"/>
      <c r="O990" s="102"/>
      <c r="P990" s="102"/>
      <c r="Q990" s="102"/>
      <c r="R990" s="102"/>
      <c r="S990" s="102"/>
      <c r="T990" s="102"/>
      <c r="U990" s="102"/>
      <c r="V990" s="102"/>
      <c r="W990" s="102"/>
      <c r="X990" s="102"/>
      <c r="Y990" s="102"/>
      <c r="Z990" s="102"/>
      <c r="AA990" s="102"/>
      <c r="AB990" s="102"/>
      <c r="AC990" s="102"/>
      <c r="AD990" s="102"/>
      <c r="AE990" s="102"/>
      <c r="AF990" s="102"/>
      <c r="AG990" s="102"/>
      <c r="AH990" s="102"/>
      <c r="AI990" s="102"/>
      <c r="AJ990" s="102"/>
      <c r="AK990" s="102"/>
      <c r="AL990" s="102"/>
      <c r="AM990" s="102"/>
      <c r="AN990" s="102"/>
      <c r="AO990" s="102"/>
      <c r="AP990" s="102"/>
      <c r="AQ990" s="102"/>
      <c r="AR990" s="102"/>
      <c r="AS990" s="102"/>
      <c r="AT990" s="102"/>
      <c r="AU990" s="102"/>
      <c r="AV990" s="102"/>
    </row>
    <row r="991" ht="12.75" customHeight="1">
      <c r="C991" s="400"/>
      <c r="D991" s="102"/>
      <c r="I991" s="102"/>
      <c r="J991" s="102"/>
      <c r="K991" s="102"/>
      <c r="L991" s="102"/>
      <c r="M991" s="102"/>
      <c r="N991" s="102"/>
      <c r="O991" s="102"/>
      <c r="P991" s="102"/>
      <c r="Q991" s="102"/>
      <c r="R991" s="102"/>
      <c r="S991" s="102"/>
      <c r="T991" s="102"/>
      <c r="U991" s="102"/>
      <c r="V991" s="102"/>
      <c r="W991" s="102"/>
      <c r="X991" s="102"/>
      <c r="Y991" s="102"/>
      <c r="Z991" s="102"/>
      <c r="AA991" s="102"/>
      <c r="AB991" s="102"/>
      <c r="AC991" s="102"/>
      <c r="AD991" s="102"/>
      <c r="AE991" s="102"/>
      <c r="AF991" s="102"/>
      <c r="AG991" s="102"/>
      <c r="AH991" s="102"/>
      <c r="AI991" s="102"/>
      <c r="AJ991" s="102"/>
      <c r="AK991" s="102"/>
      <c r="AL991" s="102"/>
      <c r="AM991" s="102"/>
      <c r="AN991" s="102"/>
      <c r="AO991" s="102"/>
      <c r="AP991" s="102"/>
      <c r="AQ991" s="102"/>
      <c r="AR991" s="102"/>
      <c r="AS991" s="102"/>
      <c r="AT991" s="102"/>
      <c r="AU991" s="102"/>
      <c r="AV991" s="102"/>
    </row>
    <row r="992" ht="12.75" customHeight="1">
      <c r="C992" s="400"/>
      <c r="D992" s="102"/>
      <c r="I992" s="102"/>
      <c r="J992" s="102"/>
      <c r="K992" s="102"/>
      <c r="L992" s="102"/>
      <c r="M992" s="102"/>
      <c r="N992" s="102"/>
      <c r="O992" s="102"/>
      <c r="P992" s="102"/>
      <c r="Q992" s="102"/>
      <c r="R992" s="102"/>
      <c r="S992" s="102"/>
      <c r="T992" s="102"/>
      <c r="U992" s="102"/>
      <c r="V992" s="102"/>
      <c r="W992" s="102"/>
      <c r="X992" s="102"/>
      <c r="Y992" s="102"/>
      <c r="Z992" s="102"/>
      <c r="AA992" s="102"/>
      <c r="AB992" s="102"/>
      <c r="AC992" s="102"/>
      <c r="AD992" s="102"/>
      <c r="AE992" s="102"/>
      <c r="AF992" s="102"/>
      <c r="AG992" s="102"/>
      <c r="AH992" s="102"/>
      <c r="AI992" s="102"/>
      <c r="AJ992" s="102"/>
      <c r="AK992" s="102"/>
      <c r="AL992" s="102"/>
      <c r="AM992" s="102"/>
      <c r="AN992" s="102"/>
      <c r="AO992" s="102"/>
      <c r="AP992" s="102"/>
      <c r="AQ992" s="102"/>
      <c r="AR992" s="102"/>
      <c r="AS992" s="102"/>
      <c r="AT992" s="102"/>
      <c r="AU992" s="102"/>
      <c r="AV992" s="102"/>
    </row>
    <row r="993" ht="12.75" customHeight="1">
      <c r="C993" s="400"/>
      <c r="D993" s="102"/>
      <c r="I993" s="102"/>
      <c r="J993" s="102"/>
      <c r="K993" s="102"/>
      <c r="L993" s="102"/>
      <c r="M993" s="102"/>
      <c r="N993" s="102"/>
      <c r="O993" s="102"/>
      <c r="P993" s="102"/>
      <c r="Q993" s="102"/>
      <c r="R993" s="102"/>
      <c r="S993" s="102"/>
      <c r="T993" s="102"/>
      <c r="U993" s="102"/>
      <c r="V993" s="102"/>
      <c r="W993" s="102"/>
      <c r="X993" s="102"/>
      <c r="Y993" s="102"/>
      <c r="Z993" s="102"/>
      <c r="AA993" s="102"/>
      <c r="AB993" s="102"/>
      <c r="AC993" s="102"/>
      <c r="AD993" s="102"/>
      <c r="AE993" s="102"/>
      <c r="AF993" s="102"/>
      <c r="AG993" s="102"/>
      <c r="AH993" s="102"/>
      <c r="AI993" s="102"/>
      <c r="AJ993" s="102"/>
      <c r="AK993" s="102"/>
      <c r="AL993" s="102"/>
      <c r="AM993" s="102"/>
      <c r="AN993" s="102"/>
      <c r="AO993" s="102"/>
      <c r="AP993" s="102"/>
      <c r="AQ993" s="102"/>
      <c r="AR993" s="102"/>
      <c r="AS993" s="102"/>
      <c r="AT993" s="102"/>
      <c r="AU993" s="102"/>
      <c r="AV993" s="102"/>
    </row>
    <row r="994" ht="12.75" customHeight="1">
      <c r="C994" s="400"/>
      <c r="D994" s="102"/>
      <c r="I994" s="102"/>
      <c r="J994" s="102"/>
      <c r="K994" s="102"/>
      <c r="L994" s="102"/>
      <c r="M994" s="102"/>
      <c r="N994" s="102"/>
      <c r="O994" s="102"/>
      <c r="P994" s="102"/>
      <c r="Q994" s="102"/>
      <c r="R994" s="102"/>
      <c r="S994" s="102"/>
      <c r="T994" s="102"/>
      <c r="U994" s="102"/>
      <c r="V994" s="102"/>
      <c r="W994" s="102"/>
      <c r="X994" s="102"/>
      <c r="Y994" s="102"/>
      <c r="Z994" s="102"/>
      <c r="AA994" s="102"/>
      <c r="AB994" s="102"/>
      <c r="AC994" s="102"/>
      <c r="AD994" s="102"/>
      <c r="AE994" s="102"/>
      <c r="AF994" s="102"/>
      <c r="AG994" s="102"/>
      <c r="AH994" s="102"/>
      <c r="AI994" s="102"/>
      <c r="AJ994" s="102"/>
      <c r="AK994" s="102"/>
      <c r="AL994" s="102"/>
      <c r="AM994" s="102"/>
      <c r="AN994" s="102"/>
      <c r="AO994" s="102"/>
      <c r="AP994" s="102"/>
      <c r="AQ994" s="102"/>
      <c r="AR994" s="102"/>
      <c r="AS994" s="102"/>
      <c r="AT994" s="102"/>
      <c r="AU994" s="102"/>
      <c r="AV994" s="102"/>
    </row>
    <row r="995" ht="12.75" customHeight="1">
      <c r="C995" s="400"/>
      <c r="D995" s="102"/>
      <c r="I995" s="102"/>
      <c r="J995" s="102"/>
      <c r="K995" s="102"/>
      <c r="L995" s="102"/>
      <c r="M995" s="102"/>
      <c r="N995" s="102"/>
      <c r="O995" s="102"/>
      <c r="P995" s="102"/>
      <c r="Q995" s="102"/>
      <c r="R995" s="102"/>
      <c r="S995" s="102"/>
      <c r="T995" s="102"/>
      <c r="U995" s="102"/>
      <c r="V995" s="102"/>
      <c r="W995" s="102"/>
      <c r="X995" s="102"/>
      <c r="Y995" s="102"/>
      <c r="Z995" s="102"/>
      <c r="AA995" s="102"/>
      <c r="AB995" s="102"/>
      <c r="AC995" s="102"/>
      <c r="AD995" s="102"/>
      <c r="AE995" s="102"/>
      <c r="AF995" s="102"/>
      <c r="AG995" s="102"/>
      <c r="AH995" s="102"/>
      <c r="AI995" s="102"/>
      <c r="AJ995" s="102"/>
      <c r="AK995" s="102"/>
      <c r="AL995" s="102"/>
      <c r="AM995" s="102"/>
      <c r="AN995" s="102"/>
      <c r="AO995" s="102"/>
      <c r="AP995" s="102"/>
      <c r="AQ995" s="102"/>
      <c r="AR995" s="102"/>
      <c r="AS995" s="102"/>
      <c r="AT995" s="102"/>
      <c r="AU995" s="102"/>
      <c r="AV995" s="102"/>
    </row>
    <row r="996" ht="12.75" customHeight="1">
      <c r="C996" s="400"/>
      <c r="D996" s="102"/>
      <c r="I996" s="102"/>
      <c r="J996" s="102"/>
      <c r="K996" s="102"/>
      <c r="L996" s="102"/>
      <c r="M996" s="102"/>
      <c r="N996" s="102"/>
      <c r="O996" s="102"/>
      <c r="P996" s="102"/>
      <c r="Q996" s="102"/>
      <c r="R996" s="102"/>
      <c r="S996" s="102"/>
      <c r="T996" s="102"/>
      <c r="U996" s="102"/>
      <c r="V996" s="102"/>
      <c r="W996" s="102"/>
      <c r="X996" s="102"/>
      <c r="Y996" s="102"/>
      <c r="Z996" s="102"/>
      <c r="AA996" s="102"/>
      <c r="AB996" s="102"/>
      <c r="AC996" s="102"/>
      <c r="AD996" s="102"/>
      <c r="AE996" s="102"/>
      <c r="AF996" s="102"/>
      <c r="AG996" s="102"/>
      <c r="AH996" s="102"/>
      <c r="AI996" s="102"/>
      <c r="AJ996" s="102"/>
      <c r="AK996" s="102"/>
      <c r="AL996" s="102"/>
      <c r="AM996" s="102"/>
      <c r="AN996" s="102"/>
      <c r="AO996" s="102"/>
      <c r="AP996" s="102"/>
      <c r="AQ996" s="102"/>
      <c r="AR996" s="102"/>
      <c r="AS996" s="102"/>
      <c r="AT996" s="102"/>
      <c r="AU996" s="102"/>
      <c r="AV996" s="102"/>
    </row>
    <row r="997" ht="12.75" customHeight="1">
      <c r="C997" s="400"/>
      <c r="D997" s="102"/>
      <c r="I997" s="102"/>
      <c r="J997" s="102"/>
      <c r="K997" s="102"/>
      <c r="L997" s="102"/>
      <c r="M997" s="102"/>
      <c r="N997" s="102"/>
      <c r="O997" s="102"/>
      <c r="P997" s="102"/>
      <c r="Q997" s="102"/>
      <c r="R997" s="102"/>
      <c r="S997" s="102"/>
      <c r="T997" s="102"/>
      <c r="U997" s="102"/>
      <c r="V997" s="102"/>
      <c r="W997" s="102"/>
      <c r="X997" s="102"/>
      <c r="Y997" s="102"/>
      <c r="Z997" s="102"/>
      <c r="AA997" s="102"/>
      <c r="AB997" s="102"/>
      <c r="AC997" s="102"/>
      <c r="AD997" s="102"/>
      <c r="AE997" s="102"/>
      <c r="AF997" s="102"/>
      <c r="AG997" s="102"/>
      <c r="AH997" s="102"/>
      <c r="AI997" s="102"/>
      <c r="AJ997" s="102"/>
      <c r="AK997" s="102"/>
      <c r="AL997" s="102"/>
      <c r="AM997" s="102"/>
      <c r="AN997" s="102"/>
      <c r="AO997" s="102"/>
      <c r="AP997" s="102"/>
      <c r="AQ997" s="102"/>
      <c r="AR997" s="102"/>
      <c r="AS997" s="102"/>
      <c r="AT997" s="102"/>
      <c r="AU997" s="102"/>
      <c r="AV997" s="102"/>
    </row>
    <row r="998" ht="12.75" customHeight="1">
      <c r="C998" s="400"/>
      <c r="D998" s="102"/>
      <c r="I998" s="102"/>
      <c r="J998" s="102"/>
      <c r="K998" s="102"/>
      <c r="L998" s="102"/>
      <c r="M998" s="102"/>
      <c r="N998" s="102"/>
      <c r="O998" s="102"/>
      <c r="P998" s="102"/>
      <c r="Q998" s="102"/>
      <c r="R998" s="102"/>
      <c r="S998" s="102"/>
      <c r="T998" s="102"/>
      <c r="U998" s="102"/>
      <c r="V998" s="102"/>
      <c r="W998" s="102"/>
      <c r="X998" s="102"/>
      <c r="Y998" s="102"/>
      <c r="Z998" s="102"/>
      <c r="AA998" s="102"/>
      <c r="AB998" s="102"/>
      <c r="AC998" s="102"/>
      <c r="AD998" s="102"/>
      <c r="AE998" s="102"/>
      <c r="AF998" s="102"/>
      <c r="AG998" s="102"/>
      <c r="AH998" s="102"/>
      <c r="AI998" s="102"/>
      <c r="AJ998" s="102"/>
      <c r="AK998" s="102"/>
      <c r="AL998" s="102"/>
      <c r="AM998" s="102"/>
      <c r="AN998" s="102"/>
      <c r="AO998" s="102"/>
      <c r="AP998" s="102"/>
      <c r="AQ998" s="102"/>
      <c r="AR998" s="102"/>
      <c r="AS998" s="102"/>
      <c r="AT998" s="102"/>
      <c r="AU998" s="102"/>
      <c r="AV998" s="102"/>
    </row>
    <row r="999" ht="12.75" customHeight="1">
      <c r="C999" s="400"/>
      <c r="D999" s="102"/>
      <c r="I999" s="102"/>
      <c r="J999" s="102"/>
      <c r="K999" s="102"/>
      <c r="L999" s="102"/>
      <c r="M999" s="102"/>
      <c r="N999" s="102"/>
      <c r="O999" s="102"/>
      <c r="P999" s="102"/>
      <c r="Q999" s="102"/>
      <c r="R999" s="102"/>
      <c r="S999" s="102"/>
      <c r="T999" s="102"/>
      <c r="U999" s="102"/>
      <c r="V999" s="102"/>
      <c r="W999" s="102"/>
      <c r="X999" s="102"/>
      <c r="Y999" s="102"/>
      <c r="Z999" s="102"/>
      <c r="AA999" s="102"/>
      <c r="AB999" s="102"/>
      <c r="AC999" s="102"/>
      <c r="AD999" s="102"/>
      <c r="AE999" s="102"/>
      <c r="AF999" s="102"/>
      <c r="AG999" s="102"/>
      <c r="AH999" s="102"/>
      <c r="AI999" s="102"/>
      <c r="AJ999" s="102"/>
      <c r="AK999" s="102"/>
      <c r="AL999" s="102"/>
      <c r="AM999" s="102"/>
      <c r="AN999" s="102"/>
      <c r="AO999" s="102"/>
      <c r="AP999" s="102"/>
      <c r="AQ999" s="102"/>
      <c r="AR999" s="102"/>
      <c r="AS999" s="102"/>
      <c r="AT999" s="102"/>
      <c r="AU999" s="102"/>
      <c r="AV999" s="102"/>
    </row>
    <row r="1000" ht="12.75" customHeight="1">
      <c r="C1000" s="400"/>
      <c r="D1000" s="102"/>
      <c r="I1000" s="102"/>
      <c r="J1000" s="102"/>
      <c r="K1000" s="102"/>
      <c r="L1000" s="102"/>
      <c r="M1000" s="102"/>
      <c r="N1000" s="102"/>
      <c r="O1000" s="102"/>
      <c r="P1000" s="102"/>
      <c r="Q1000" s="102"/>
      <c r="R1000" s="102"/>
      <c r="S1000" s="102"/>
      <c r="T1000" s="102"/>
      <c r="U1000" s="102"/>
      <c r="V1000" s="102"/>
      <c r="W1000" s="102"/>
      <c r="X1000" s="102"/>
      <c r="Y1000" s="102"/>
      <c r="Z1000" s="102"/>
      <c r="AA1000" s="102"/>
      <c r="AB1000" s="102"/>
      <c r="AC1000" s="102"/>
      <c r="AD1000" s="102"/>
      <c r="AE1000" s="102"/>
      <c r="AF1000" s="102"/>
      <c r="AG1000" s="102"/>
      <c r="AH1000" s="102"/>
      <c r="AI1000" s="102"/>
      <c r="AJ1000" s="102"/>
      <c r="AK1000" s="102"/>
      <c r="AL1000" s="102"/>
      <c r="AM1000" s="102"/>
      <c r="AN1000" s="102"/>
      <c r="AO1000" s="102"/>
      <c r="AP1000" s="102"/>
      <c r="AQ1000" s="102"/>
      <c r="AR1000" s="102"/>
      <c r="AS1000" s="102"/>
      <c r="AT1000" s="102"/>
      <c r="AU1000" s="102"/>
      <c r="AV1000" s="102"/>
    </row>
  </sheetData>
  <mergeCells count="1">
    <mergeCell ref="G9:H9"/>
  </mergeCells>
  <printOptions/>
  <pageMargins bottom="0.35" footer="0.0" header="0.0" left="0.629861111111111" right="0.390277777777778" top="1.04027777777778"/>
  <pageSetup paperSize="5" orientation="landscape"/>
  <headerFooter>
    <oddHeader>&amp;CGeneric Regional Office Staffing</oddHeader>
    <oddFooter>&amp;C&amp;A&amp;R&amp;P</oddFooter>
  </headerFooter>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CC00"/>
    <pageSetUpPr/>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2.63" defaultRowHeight="15.0" outlineLevelRow="1"/>
  <cols>
    <col customWidth="1" min="1" max="2" width="1.38"/>
    <col customWidth="1" min="3" max="3" width="3.38"/>
    <col customWidth="1" min="4" max="4" width="33.25"/>
    <col customWidth="1" min="5" max="6" width="0.75"/>
    <col customWidth="1" min="7" max="7" width="7.75"/>
    <col customWidth="1" min="8" max="8" width="10.75"/>
    <col customWidth="1" min="9" max="18" width="11.5"/>
    <col customWidth="1" min="19" max="45" width="13.0"/>
    <col customWidth="1" min="46" max="59" width="10.88"/>
  </cols>
  <sheetData>
    <row r="1" ht="12.75" customHeight="1">
      <c r="A1" s="158"/>
      <c r="B1" s="95"/>
      <c r="C1" s="95"/>
      <c r="D1" s="95"/>
      <c r="E1" s="95"/>
      <c r="F1" s="95"/>
      <c r="G1" s="317" t="s">
        <v>624</v>
      </c>
      <c r="H1" s="317"/>
      <c r="I1" s="317"/>
      <c r="J1" s="317"/>
      <c r="K1" s="317"/>
      <c r="L1" s="317"/>
      <c r="M1" s="317"/>
      <c r="N1" s="317"/>
      <c r="O1" s="317"/>
      <c r="P1" s="317"/>
      <c r="Q1" s="317"/>
      <c r="R1" s="317"/>
      <c r="AT1" s="318"/>
      <c r="AU1" s="318"/>
      <c r="AV1" s="318"/>
      <c r="AW1" s="318"/>
      <c r="AX1" s="318"/>
      <c r="AY1" s="318"/>
      <c r="AZ1" s="318"/>
      <c r="BA1" s="318"/>
      <c r="BB1" s="318"/>
      <c r="BC1" s="318"/>
      <c r="BD1" s="318"/>
      <c r="BE1" s="318"/>
      <c r="BF1" s="318"/>
      <c r="BG1" s="318"/>
    </row>
    <row r="2" ht="12.75" customHeight="1">
      <c r="A2" s="96"/>
      <c r="B2" s="97"/>
      <c r="C2" s="97"/>
      <c r="D2" s="97"/>
      <c r="E2" s="97"/>
      <c r="F2" s="97"/>
      <c r="G2" s="280">
        <v>-1.0</v>
      </c>
      <c r="H2" s="280">
        <v>0.0</v>
      </c>
      <c r="I2" s="165">
        <f t="shared" ref="I2:R2" si="1">H2+1</f>
        <v>1</v>
      </c>
      <c r="J2" s="165">
        <f t="shared" si="1"/>
        <v>2</v>
      </c>
      <c r="K2" s="165">
        <f t="shared" si="1"/>
        <v>3</v>
      </c>
      <c r="L2" s="165">
        <f t="shared" si="1"/>
        <v>4</v>
      </c>
      <c r="M2" s="165">
        <f t="shared" si="1"/>
        <v>5</v>
      </c>
      <c r="N2" s="165">
        <f t="shared" si="1"/>
        <v>6</v>
      </c>
      <c r="O2" s="165">
        <f t="shared" si="1"/>
        <v>7</v>
      </c>
      <c r="P2" s="165">
        <f t="shared" si="1"/>
        <v>8</v>
      </c>
      <c r="Q2" s="319">
        <f t="shared" si="1"/>
        <v>9</v>
      </c>
      <c r="R2" s="319">
        <f t="shared" si="1"/>
        <v>10</v>
      </c>
      <c r="AT2" s="320">
        <f t="shared" ref="AT2:BG2" si="2">AS2+1</f>
        <v>1</v>
      </c>
      <c r="AU2" s="320">
        <f t="shared" si="2"/>
        <v>2</v>
      </c>
      <c r="AV2" s="320">
        <f t="shared" si="2"/>
        <v>3</v>
      </c>
      <c r="AW2" s="320">
        <f t="shared" si="2"/>
        <v>4</v>
      </c>
      <c r="AX2" s="320">
        <f t="shared" si="2"/>
        <v>5</v>
      </c>
      <c r="AY2" s="320">
        <f t="shared" si="2"/>
        <v>6</v>
      </c>
      <c r="AZ2" s="320">
        <f t="shared" si="2"/>
        <v>7</v>
      </c>
      <c r="BA2" s="320">
        <f t="shared" si="2"/>
        <v>8</v>
      </c>
      <c r="BB2" s="320">
        <f t="shared" si="2"/>
        <v>9</v>
      </c>
      <c r="BC2" s="320">
        <f t="shared" si="2"/>
        <v>10</v>
      </c>
      <c r="BD2" s="320">
        <f t="shared" si="2"/>
        <v>11</v>
      </c>
      <c r="BE2" s="320">
        <f t="shared" si="2"/>
        <v>12</v>
      </c>
      <c r="BF2" s="320">
        <f t="shared" si="2"/>
        <v>13</v>
      </c>
      <c r="BG2" s="320">
        <f t="shared" si="2"/>
        <v>14</v>
      </c>
    </row>
    <row r="3" ht="12.75" customHeight="1">
      <c r="A3" s="321" t="s">
        <v>191</v>
      </c>
      <c r="B3" s="322"/>
      <c r="C3" s="322"/>
      <c r="D3" s="322"/>
      <c r="E3" s="322"/>
      <c r="F3" s="322"/>
      <c r="G3" s="323"/>
      <c r="H3" s="324"/>
      <c r="I3" s="325"/>
      <c r="J3" s="325"/>
      <c r="K3" s="325"/>
      <c r="L3" s="325"/>
      <c r="M3" s="325"/>
      <c r="N3" s="325"/>
      <c r="O3" s="325"/>
      <c r="P3" s="325"/>
      <c r="Q3" s="325"/>
      <c r="R3" s="326"/>
      <c r="AT3" s="327"/>
      <c r="AU3" s="327"/>
      <c r="AV3" s="327"/>
      <c r="AW3" s="327"/>
      <c r="AX3" s="327"/>
      <c r="AY3" s="327"/>
      <c r="AZ3" s="327"/>
      <c r="BA3" s="327"/>
      <c r="BB3" s="327"/>
      <c r="BC3" s="327"/>
      <c r="BD3" s="327"/>
      <c r="BE3" s="327"/>
      <c r="BF3" s="327"/>
      <c r="BG3" s="327"/>
    </row>
    <row r="4" ht="12.75" customHeight="1">
      <c r="A4" s="328"/>
      <c r="B4" s="329"/>
      <c r="C4" s="329"/>
      <c r="D4" s="329" t="s">
        <v>165</v>
      </c>
      <c r="E4" s="329"/>
      <c r="F4" s="329"/>
      <c r="G4" s="330">
        <f t="shared" ref="G4:R4" si="3">G47</f>
        <v>0</v>
      </c>
      <c r="H4" s="330">
        <f t="shared" si="3"/>
        <v>0</v>
      </c>
      <c r="I4" s="330">
        <f t="shared" si="3"/>
        <v>392</v>
      </c>
      <c r="J4" s="330">
        <f t="shared" si="3"/>
        <v>464</v>
      </c>
      <c r="K4" s="330">
        <f t="shared" si="3"/>
        <v>500</v>
      </c>
      <c r="L4" s="330">
        <f t="shared" si="3"/>
        <v>500</v>
      </c>
      <c r="M4" s="330">
        <f t="shared" si="3"/>
        <v>500</v>
      </c>
      <c r="N4" s="330">
        <f t="shared" si="3"/>
        <v>500</v>
      </c>
      <c r="O4" s="330">
        <f t="shared" si="3"/>
        <v>500</v>
      </c>
      <c r="P4" s="330">
        <f t="shared" si="3"/>
        <v>500</v>
      </c>
      <c r="Q4" s="330">
        <f t="shared" si="3"/>
        <v>500</v>
      </c>
      <c r="R4" s="331">
        <f t="shared" si="3"/>
        <v>500</v>
      </c>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327"/>
      <c r="AU4" s="327"/>
      <c r="AV4" s="327"/>
      <c r="AW4" s="327"/>
      <c r="AX4" s="327"/>
      <c r="AY4" s="327"/>
      <c r="AZ4" s="327"/>
      <c r="BA4" s="327"/>
      <c r="BB4" s="327"/>
      <c r="BC4" s="327"/>
      <c r="BD4" s="327"/>
      <c r="BE4" s="327"/>
      <c r="BF4" s="327"/>
      <c r="BG4" s="327"/>
    </row>
    <row r="5" ht="12.75" customHeight="1">
      <c r="A5" s="328"/>
      <c r="B5" s="323"/>
      <c r="C5" s="323"/>
      <c r="D5" s="323"/>
      <c r="E5" s="323"/>
      <c r="F5" s="323"/>
      <c r="G5" s="323"/>
      <c r="H5" s="324"/>
      <c r="I5" s="324"/>
      <c r="J5" s="324"/>
      <c r="K5" s="324"/>
      <c r="L5" s="324"/>
      <c r="M5" s="324"/>
      <c r="N5" s="324"/>
      <c r="O5" s="324"/>
      <c r="P5" s="324"/>
      <c r="Q5" s="324"/>
      <c r="R5" s="332"/>
      <c r="AT5" s="327"/>
      <c r="AU5" s="327"/>
      <c r="AV5" s="327"/>
      <c r="AW5" s="327"/>
      <c r="AX5" s="327"/>
      <c r="AY5" s="327"/>
      <c r="AZ5" s="327"/>
      <c r="BA5" s="327"/>
      <c r="BB5" s="327"/>
      <c r="BC5" s="327"/>
      <c r="BD5" s="327"/>
      <c r="BE5" s="327"/>
      <c r="BF5" s="327"/>
      <c r="BG5" s="327"/>
    </row>
    <row r="6" ht="12.75" customHeight="1">
      <c r="A6" s="328"/>
      <c r="B6" s="323"/>
      <c r="C6" s="329" t="s">
        <v>226</v>
      </c>
      <c r="D6" s="323"/>
      <c r="E6" s="323"/>
      <c r="F6" s="323"/>
      <c r="G6" s="323"/>
      <c r="H6" s="324"/>
      <c r="I6" s="324"/>
      <c r="J6" s="324"/>
      <c r="K6" s="324"/>
      <c r="L6" s="324"/>
      <c r="M6" s="324"/>
      <c r="N6" s="324"/>
      <c r="O6" s="324"/>
      <c r="P6" s="324"/>
      <c r="Q6" s="324"/>
      <c r="R6" s="332"/>
      <c r="AT6" s="327"/>
      <c r="AU6" s="327"/>
      <c r="AV6" s="327"/>
      <c r="AW6" s="327"/>
      <c r="AX6" s="327"/>
      <c r="AY6" s="327"/>
      <c r="AZ6" s="327"/>
      <c r="BA6" s="327"/>
      <c r="BB6" s="327"/>
      <c r="BC6" s="327"/>
      <c r="BD6" s="327"/>
      <c r="BE6" s="327"/>
      <c r="BF6" s="327"/>
      <c r="BG6" s="327"/>
    </row>
    <row r="7" ht="12.75" customHeight="1">
      <c r="A7" s="328"/>
      <c r="B7" s="323"/>
      <c r="C7" s="323"/>
      <c r="D7" s="333" t="s">
        <v>544</v>
      </c>
      <c r="E7" s="323"/>
      <c r="F7" s="323"/>
      <c r="G7" s="334">
        <f t="shared" ref="G7:R7" si="4">G273</f>
        <v>0</v>
      </c>
      <c r="H7" s="334">
        <f t="shared" si="4"/>
        <v>0</v>
      </c>
      <c r="I7" s="334">
        <f t="shared" si="4"/>
        <v>2414555.856</v>
      </c>
      <c r="J7" s="334">
        <f t="shared" si="4"/>
        <v>2827914.192</v>
      </c>
      <c r="K7" s="334">
        <f t="shared" si="4"/>
        <v>3064891.2</v>
      </c>
      <c r="L7" s="334">
        <f t="shared" si="4"/>
        <v>3073795.2</v>
      </c>
      <c r="M7" s="334">
        <f t="shared" si="4"/>
        <v>3066163.2</v>
      </c>
      <c r="N7" s="334">
        <f t="shared" si="4"/>
        <v>3059167.2</v>
      </c>
      <c r="O7" s="334">
        <f t="shared" si="4"/>
        <v>3052489.2</v>
      </c>
      <c r="P7" s="334">
        <f t="shared" si="4"/>
        <v>3045811.2</v>
      </c>
      <c r="Q7" s="334">
        <f t="shared" si="4"/>
        <v>3042313.2</v>
      </c>
      <c r="R7" s="335">
        <f t="shared" si="4"/>
        <v>3042313.2</v>
      </c>
      <c r="AT7" s="327"/>
      <c r="AU7" s="327"/>
      <c r="AV7" s="327"/>
      <c r="AW7" s="327"/>
      <c r="AX7" s="327"/>
      <c r="AY7" s="327"/>
      <c r="AZ7" s="327"/>
      <c r="BA7" s="327"/>
      <c r="BB7" s="327"/>
      <c r="BC7" s="327"/>
      <c r="BD7" s="327"/>
      <c r="BE7" s="327"/>
      <c r="BF7" s="327"/>
      <c r="BG7" s="327"/>
    </row>
    <row r="8" ht="12.75" customHeight="1">
      <c r="A8" s="328"/>
      <c r="B8" s="323"/>
      <c r="C8" s="323"/>
      <c r="D8" s="333" t="s">
        <v>545</v>
      </c>
      <c r="E8" s="323"/>
      <c r="F8" s="323"/>
      <c r="G8" s="334">
        <f t="shared" ref="G8:R8" si="5">G282</f>
        <v>0</v>
      </c>
      <c r="H8" s="334">
        <f t="shared" si="5"/>
        <v>200000</v>
      </c>
      <c r="I8" s="334">
        <f t="shared" si="5"/>
        <v>487401.6</v>
      </c>
      <c r="J8" s="334">
        <f t="shared" si="5"/>
        <v>429795.2</v>
      </c>
      <c r="K8" s="334">
        <f t="shared" si="5"/>
        <v>313631.8584</v>
      </c>
      <c r="L8" s="334">
        <f t="shared" si="5"/>
        <v>313631.8584</v>
      </c>
      <c r="M8" s="334">
        <f t="shared" si="5"/>
        <v>313631.8584</v>
      </c>
      <c r="N8" s="334">
        <f t="shared" si="5"/>
        <v>313631.8584</v>
      </c>
      <c r="O8" s="334">
        <f t="shared" si="5"/>
        <v>313631.8584</v>
      </c>
      <c r="P8" s="334">
        <f t="shared" si="5"/>
        <v>313631.8584</v>
      </c>
      <c r="Q8" s="334">
        <f t="shared" si="5"/>
        <v>313631.8584</v>
      </c>
      <c r="R8" s="335">
        <f t="shared" si="5"/>
        <v>313631.8584</v>
      </c>
      <c r="AT8" s="327"/>
      <c r="AU8" s="327"/>
      <c r="AV8" s="327"/>
      <c r="AW8" s="327"/>
      <c r="AX8" s="327"/>
      <c r="AY8" s="327"/>
      <c r="AZ8" s="327"/>
      <c r="BA8" s="327"/>
      <c r="BB8" s="327"/>
      <c r="BC8" s="327"/>
      <c r="BD8" s="327"/>
      <c r="BE8" s="327"/>
      <c r="BF8" s="327"/>
      <c r="BG8" s="327"/>
    </row>
    <row r="9" ht="12.75" customHeight="1">
      <c r="A9" s="328"/>
      <c r="B9" s="323"/>
      <c r="C9" s="323"/>
      <c r="D9" s="333" t="s">
        <v>625</v>
      </c>
      <c r="E9" s="323"/>
      <c r="F9" s="323"/>
      <c r="G9" s="334">
        <f t="shared" ref="G9:R9" si="6">G289</f>
        <v>0</v>
      </c>
      <c r="H9" s="334">
        <f t="shared" si="6"/>
        <v>0</v>
      </c>
      <c r="I9" s="334">
        <f t="shared" si="6"/>
        <v>0</v>
      </c>
      <c r="J9" s="334">
        <f t="shared" si="6"/>
        <v>0</v>
      </c>
      <c r="K9" s="334">
        <f t="shared" si="6"/>
        <v>0</v>
      </c>
      <c r="L9" s="334">
        <f t="shared" si="6"/>
        <v>0</v>
      </c>
      <c r="M9" s="334">
        <f t="shared" si="6"/>
        <v>0</v>
      </c>
      <c r="N9" s="334">
        <f t="shared" si="6"/>
        <v>0</v>
      </c>
      <c r="O9" s="334">
        <f t="shared" si="6"/>
        <v>0</v>
      </c>
      <c r="P9" s="334">
        <f t="shared" si="6"/>
        <v>0</v>
      </c>
      <c r="Q9" s="334">
        <f t="shared" si="6"/>
        <v>0</v>
      </c>
      <c r="R9" s="335">
        <f t="shared" si="6"/>
        <v>0</v>
      </c>
      <c r="AT9" s="327"/>
      <c r="AU9" s="327"/>
      <c r="AV9" s="327"/>
      <c r="AW9" s="327"/>
      <c r="AX9" s="327"/>
      <c r="AY9" s="327"/>
      <c r="AZ9" s="327"/>
      <c r="BA9" s="327"/>
      <c r="BB9" s="327"/>
      <c r="BC9" s="327"/>
      <c r="BD9" s="327"/>
      <c r="BE9" s="327"/>
      <c r="BF9" s="327"/>
      <c r="BG9" s="327"/>
    </row>
    <row r="10" ht="12.75" customHeight="1">
      <c r="A10" s="328"/>
      <c r="B10" s="323"/>
      <c r="C10" s="323"/>
      <c r="D10" s="336" t="s">
        <v>509</v>
      </c>
      <c r="E10" s="337"/>
      <c r="F10" s="337"/>
      <c r="G10" s="338">
        <f t="shared" ref="G10:R10" si="7">G294</f>
        <v>0</v>
      </c>
      <c r="H10" s="338">
        <f t="shared" si="7"/>
        <v>0</v>
      </c>
      <c r="I10" s="338">
        <f t="shared" si="7"/>
        <v>58835.2</v>
      </c>
      <c r="J10" s="338">
        <f t="shared" si="7"/>
        <v>71478.4</v>
      </c>
      <c r="K10" s="338">
        <f t="shared" si="7"/>
        <v>82800</v>
      </c>
      <c r="L10" s="338">
        <f t="shared" si="7"/>
        <v>82800</v>
      </c>
      <c r="M10" s="338">
        <f t="shared" si="7"/>
        <v>82800</v>
      </c>
      <c r="N10" s="338">
        <f t="shared" si="7"/>
        <v>82800</v>
      </c>
      <c r="O10" s="338">
        <f t="shared" si="7"/>
        <v>82800</v>
      </c>
      <c r="P10" s="338">
        <f t="shared" si="7"/>
        <v>82800</v>
      </c>
      <c r="Q10" s="338">
        <f t="shared" si="7"/>
        <v>82800</v>
      </c>
      <c r="R10" s="339">
        <f t="shared" si="7"/>
        <v>82800</v>
      </c>
      <c r="AT10" s="327"/>
      <c r="AU10" s="327"/>
      <c r="AV10" s="327"/>
      <c r="AW10" s="327"/>
      <c r="AX10" s="327"/>
      <c r="AY10" s="327"/>
      <c r="AZ10" s="327"/>
      <c r="BA10" s="327"/>
      <c r="BB10" s="327"/>
      <c r="BC10" s="327"/>
      <c r="BD10" s="327"/>
      <c r="BE10" s="327"/>
      <c r="BF10" s="327"/>
      <c r="BG10" s="327"/>
    </row>
    <row r="11" ht="12.75" customHeight="1">
      <c r="A11" s="328"/>
      <c r="B11" s="323"/>
      <c r="C11" s="329" t="s">
        <v>209</v>
      </c>
      <c r="D11" s="323"/>
      <c r="E11" s="323"/>
      <c r="F11" s="323"/>
      <c r="G11" s="340">
        <f t="shared" ref="G11:R11" si="8">SUM(G7:G10)</f>
        <v>0</v>
      </c>
      <c r="H11" s="340">
        <f t="shared" si="8"/>
        <v>200000</v>
      </c>
      <c r="I11" s="340">
        <f t="shared" si="8"/>
        <v>2960792.656</v>
      </c>
      <c r="J11" s="340">
        <f t="shared" si="8"/>
        <v>3329187.792</v>
      </c>
      <c r="K11" s="340">
        <f t="shared" si="8"/>
        <v>3461323.058</v>
      </c>
      <c r="L11" s="340">
        <f t="shared" si="8"/>
        <v>3470227.058</v>
      </c>
      <c r="M11" s="340">
        <f t="shared" si="8"/>
        <v>3462595.058</v>
      </c>
      <c r="N11" s="340">
        <f t="shared" si="8"/>
        <v>3455599.058</v>
      </c>
      <c r="O11" s="340">
        <f t="shared" si="8"/>
        <v>3448921.058</v>
      </c>
      <c r="P11" s="340">
        <f t="shared" si="8"/>
        <v>3442243.058</v>
      </c>
      <c r="Q11" s="340">
        <f t="shared" si="8"/>
        <v>3438745.058</v>
      </c>
      <c r="R11" s="341">
        <f t="shared" si="8"/>
        <v>3438745.058</v>
      </c>
      <c r="AT11" s="327"/>
      <c r="AU11" s="327"/>
      <c r="AV11" s="327"/>
      <c r="AW11" s="327"/>
      <c r="AX11" s="327"/>
      <c r="AY11" s="327"/>
      <c r="AZ11" s="327"/>
      <c r="BA11" s="327"/>
      <c r="BB11" s="327"/>
      <c r="BC11" s="327"/>
      <c r="BD11" s="327"/>
      <c r="BE11" s="327"/>
      <c r="BF11" s="327"/>
      <c r="BG11" s="327"/>
    </row>
    <row r="12" ht="12.75" customHeight="1">
      <c r="A12" s="328"/>
      <c r="B12" s="323"/>
      <c r="C12" s="323"/>
      <c r="D12" s="323"/>
      <c r="E12" s="323"/>
      <c r="F12" s="323"/>
      <c r="G12" s="334"/>
      <c r="H12" s="340"/>
      <c r="I12" s="340"/>
      <c r="J12" s="340"/>
      <c r="K12" s="340"/>
      <c r="L12" s="340"/>
      <c r="M12" s="340"/>
      <c r="N12" s="340"/>
      <c r="O12" s="340"/>
      <c r="P12" s="340"/>
      <c r="Q12" s="340"/>
      <c r="R12" s="341"/>
      <c r="AT12" s="327"/>
      <c r="AU12" s="327"/>
      <c r="AV12" s="327"/>
      <c r="AW12" s="327"/>
      <c r="AX12" s="327"/>
      <c r="AY12" s="327"/>
      <c r="AZ12" s="327"/>
      <c r="BA12" s="327"/>
      <c r="BB12" s="327"/>
      <c r="BC12" s="327"/>
      <c r="BD12" s="327"/>
      <c r="BE12" s="327"/>
      <c r="BF12" s="327"/>
      <c r="BG12" s="327"/>
    </row>
    <row r="13" ht="12.75" customHeight="1">
      <c r="A13" s="328"/>
      <c r="B13" s="323"/>
      <c r="C13" s="342" t="s">
        <v>178</v>
      </c>
      <c r="D13" s="323"/>
      <c r="E13" s="323"/>
      <c r="F13" s="323"/>
      <c r="G13" s="334"/>
      <c r="H13" s="340"/>
      <c r="I13" s="340"/>
      <c r="J13" s="340"/>
      <c r="K13" s="340"/>
      <c r="L13" s="340"/>
      <c r="M13" s="340"/>
      <c r="N13" s="340"/>
      <c r="O13" s="340"/>
      <c r="P13" s="340"/>
      <c r="Q13" s="340"/>
      <c r="R13" s="341"/>
      <c r="AT13" s="327"/>
      <c r="AU13" s="327"/>
      <c r="AV13" s="327"/>
      <c r="AW13" s="327"/>
      <c r="AX13" s="327"/>
      <c r="AY13" s="327"/>
      <c r="AZ13" s="327"/>
      <c r="BA13" s="327"/>
      <c r="BB13" s="327"/>
      <c r="BC13" s="327"/>
      <c r="BD13" s="327"/>
      <c r="BE13" s="327"/>
      <c r="BF13" s="327"/>
      <c r="BG13" s="327"/>
    </row>
    <row r="14" ht="12.75" customHeight="1">
      <c r="A14" s="328"/>
      <c r="B14" s="323"/>
      <c r="C14" s="323"/>
      <c r="D14" s="342" t="s">
        <v>278</v>
      </c>
      <c r="E14" s="323"/>
      <c r="F14" s="323"/>
      <c r="G14" s="334">
        <f t="shared" ref="G14:R14" si="9">G319</f>
        <v>0</v>
      </c>
      <c r="H14" s="334">
        <f t="shared" si="9"/>
        <v>111400</v>
      </c>
      <c r="I14" s="334">
        <f t="shared" si="9"/>
        <v>894400</v>
      </c>
      <c r="J14" s="334">
        <f t="shared" si="9"/>
        <v>915300</v>
      </c>
      <c r="K14" s="334">
        <f t="shared" si="9"/>
        <v>968375</v>
      </c>
      <c r="L14" s="334">
        <f t="shared" si="9"/>
        <v>968375</v>
      </c>
      <c r="M14" s="334">
        <f t="shared" si="9"/>
        <v>968375</v>
      </c>
      <c r="N14" s="334">
        <f t="shared" si="9"/>
        <v>968375</v>
      </c>
      <c r="O14" s="334">
        <f t="shared" si="9"/>
        <v>968375</v>
      </c>
      <c r="P14" s="334">
        <f t="shared" si="9"/>
        <v>968375</v>
      </c>
      <c r="Q14" s="334">
        <f t="shared" si="9"/>
        <v>968375</v>
      </c>
      <c r="R14" s="335">
        <f t="shared" si="9"/>
        <v>968375</v>
      </c>
      <c r="AT14" s="327"/>
      <c r="AU14" s="327"/>
      <c r="AV14" s="327"/>
      <c r="AW14" s="327"/>
      <c r="AX14" s="327"/>
      <c r="AY14" s="327"/>
      <c r="AZ14" s="327"/>
      <c r="BA14" s="327"/>
      <c r="BB14" s="327"/>
      <c r="BC14" s="327"/>
      <c r="BD14" s="327"/>
      <c r="BE14" s="327"/>
      <c r="BF14" s="327"/>
      <c r="BG14" s="327"/>
    </row>
    <row r="15" ht="12.75" customHeight="1">
      <c r="A15" s="328"/>
      <c r="B15" s="323"/>
      <c r="C15" s="323"/>
      <c r="D15" s="342" t="s">
        <v>133</v>
      </c>
      <c r="E15" s="323"/>
      <c r="F15" s="323"/>
      <c r="G15" s="334">
        <f t="shared" ref="G15:R15" si="10">G330</f>
        <v>0</v>
      </c>
      <c r="H15" s="334">
        <f t="shared" si="10"/>
        <v>23970.60044</v>
      </c>
      <c r="I15" s="334">
        <f t="shared" si="10"/>
        <v>208837.1833</v>
      </c>
      <c r="J15" s="334">
        <f t="shared" si="10"/>
        <v>211121.0229</v>
      </c>
      <c r="K15" s="334">
        <f t="shared" si="10"/>
        <v>224603.6508</v>
      </c>
      <c r="L15" s="334">
        <f t="shared" si="10"/>
        <v>224603.6508</v>
      </c>
      <c r="M15" s="334">
        <f t="shared" si="10"/>
        <v>224603.6508</v>
      </c>
      <c r="N15" s="334">
        <f t="shared" si="10"/>
        <v>224603.6508</v>
      </c>
      <c r="O15" s="334">
        <f t="shared" si="10"/>
        <v>224603.6508</v>
      </c>
      <c r="P15" s="334">
        <f t="shared" si="10"/>
        <v>224603.6508</v>
      </c>
      <c r="Q15" s="334">
        <f t="shared" si="10"/>
        <v>224603.6508</v>
      </c>
      <c r="R15" s="335">
        <f t="shared" si="10"/>
        <v>224603.6508</v>
      </c>
      <c r="AT15" s="327"/>
      <c r="AU15" s="327"/>
      <c r="AV15" s="327"/>
      <c r="AW15" s="327"/>
      <c r="AX15" s="327"/>
      <c r="AY15" s="327"/>
      <c r="AZ15" s="327"/>
      <c r="BA15" s="327"/>
      <c r="BB15" s="327"/>
      <c r="BC15" s="327"/>
      <c r="BD15" s="327"/>
      <c r="BE15" s="327"/>
      <c r="BF15" s="327"/>
      <c r="BG15" s="327"/>
    </row>
    <row r="16" ht="12.75" customHeight="1">
      <c r="A16" s="328"/>
      <c r="B16" s="323"/>
      <c r="C16" s="323"/>
      <c r="D16" s="342" t="s">
        <v>451</v>
      </c>
      <c r="E16" s="323"/>
      <c r="F16" s="323"/>
      <c r="G16" s="334">
        <f t="shared" ref="G16:R16" si="11">G339</f>
        <v>0</v>
      </c>
      <c r="H16" s="334">
        <f t="shared" si="11"/>
        <v>3950</v>
      </c>
      <c r="I16" s="334">
        <f t="shared" si="11"/>
        <v>505423.3</v>
      </c>
      <c r="J16" s="334">
        <f t="shared" si="11"/>
        <v>334153.6</v>
      </c>
      <c r="K16" s="334">
        <f t="shared" si="11"/>
        <v>350750</v>
      </c>
      <c r="L16" s="334">
        <f t="shared" si="11"/>
        <v>338700</v>
      </c>
      <c r="M16" s="334">
        <f t="shared" si="11"/>
        <v>338700</v>
      </c>
      <c r="N16" s="334">
        <f t="shared" si="11"/>
        <v>338700</v>
      </c>
      <c r="O16" s="334">
        <f t="shared" si="11"/>
        <v>338700</v>
      </c>
      <c r="P16" s="334">
        <f t="shared" si="11"/>
        <v>338700</v>
      </c>
      <c r="Q16" s="334">
        <f t="shared" si="11"/>
        <v>338700</v>
      </c>
      <c r="R16" s="335">
        <f t="shared" si="11"/>
        <v>338700</v>
      </c>
      <c r="AT16" s="327"/>
      <c r="AU16" s="327"/>
      <c r="AV16" s="327"/>
      <c r="AW16" s="327"/>
      <c r="AX16" s="327"/>
      <c r="AY16" s="327"/>
      <c r="AZ16" s="327"/>
      <c r="BA16" s="327"/>
      <c r="BB16" s="327"/>
      <c r="BC16" s="327"/>
      <c r="BD16" s="327"/>
      <c r="BE16" s="327"/>
      <c r="BF16" s="327"/>
      <c r="BG16" s="327"/>
    </row>
    <row r="17" ht="12.75" customHeight="1">
      <c r="A17" s="328"/>
      <c r="B17" s="323"/>
      <c r="C17" s="323"/>
      <c r="D17" s="342" t="s">
        <v>626</v>
      </c>
      <c r="E17" s="323"/>
      <c r="F17" s="323"/>
      <c r="G17" s="334"/>
      <c r="H17" s="334"/>
      <c r="I17" s="334"/>
      <c r="J17" s="334"/>
      <c r="K17" s="334"/>
      <c r="L17" s="334"/>
      <c r="M17" s="334"/>
      <c r="N17" s="334"/>
      <c r="O17" s="334"/>
      <c r="P17" s="334"/>
      <c r="Q17" s="334"/>
      <c r="R17" s="335"/>
      <c r="AT17" s="327"/>
      <c r="AU17" s="327"/>
      <c r="AV17" s="327"/>
      <c r="AW17" s="327"/>
      <c r="AX17" s="327"/>
      <c r="AY17" s="327"/>
      <c r="AZ17" s="327"/>
      <c r="BA17" s="327"/>
      <c r="BB17" s="327"/>
      <c r="BC17" s="327"/>
      <c r="BD17" s="327"/>
      <c r="BE17" s="327"/>
      <c r="BF17" s="327"/>
      <c r="BG17" s="327"/>
    </row>
    <row r="18" ht="12.75" customHeight="1">
      <c r="A18" s="328"/>
      <c r="B18" s="323"/>
      <c r="C18" s="323"/>
      <c r="D18" s="342" t="s">
        <v>627</v>
      </c>
      <c r="E18" s="323"/>
      <c r="F18" s="323"/>
      <c r="G18" s="334">
        <f t="shared" ref="G18:R18" si="12">G378</f>
        <v>0</v>
      </c>
      <c r="H18" s="334">
        <f t="shared" si="12"/>
        <v>0</v>
      </c>
      <c r="I18" s="334">
        <f t="shared" si="12"/>
        <v>156666.3114</v>
      </c>
      <c r="J18" s="334">
        <f t="shared" si="12"/>
        <v>342178.5611</v>
      </c>
      <c r="K18" s="334">
        <f t="shared" si="12"/>
        <v>354213.5364</v>
      </c>
      <c r="L18" s="334">
        <f t="shared" si="12"/>
        <v>387483.247</v>
      </c>
      <c r="M18" s="334">
        <f t="shared" si="12"/>
        <v>386567.407</v>
      </c>
      <c r="N18" s="334">
        <f t="shared" si="12"/>
        <v>385727.887</v>
      </c>
      <c r="O18" s="334">
        <f t="shared" si="12"/>
        <v>384926.527</v>
      </c>
      <c r="P18" s="334">
        <f t="shared" si="12"/>
        <v>384125.167</v>
      </c>
      <c r="Q18" s="334">
        <f t="shared" si="12"/>
        <v>383705.407</v>
      </c>
      <c r="R18" s="335">
        <f t="shared" si="12"/>
        <v>383705.407</v>
      </c>
      <c r="AT18" s="327"/>
      <c r="AU18" s="327"/>
      <c r="AV18" s="327"/>
      <c r="AW18" s="327"/>
      <c r="AX18" s="327"/>
      <c r="AY18" s="327"/>
      <c r="AZ18" s="327"/>
      <c r="BA18" s="327"/>
      <c r="BB18" s="327"/>
      <c r="BC18" s="327"/>
      <c r="BD18" s="327"/>
      <c r="BE18" s="327"/>
      <c r="BF18" s="327"/>
      <c r="BG18" s="327"/>
    </row>
    <row r="19" ht="12.75" customHeight="1">
      <c r="A19" s="328"/>
      <c r="B19" s="323"/>
      <c r="C19" s="323"/>
      <c r="D19" s="342" t="s">
        <v>628</v>
      </c>
      <c r="E19" s="323"/>
      <c r="F19" s="323"/>
      <c r="G19" s="334">
        <f t="shared" ref="G19:R19" si="13">G380</f>
        <v>0</v>
      </c>
      <c r="H19" s="334">
        <f t="shared" si="13"/>
        <v>6000</v>
      </c>
      <c r="I19" s="334">
        <f t="shared" si="13"/>
        <v>121110.8742</v>
      </c>
      <c r="J19" s="334">
        <f t="shared" si="13"/>
        <v>124428.5677</v>
      </c>
      <c r="K19" s="334">
        <f t="shared" si="13"/>
        <v>128804.9223</v>
      </c>
      <c r="L19" s="334">
        <f t="shared" si="13"/>
        <v>96870.81175</v>
      </c>
      <c r="M19" s="334">
        <f t="shared" si="13"/>
        <v>96641.85175</v>
      </c>
      <c r="N19" s="334">
        <f t="shared" si="13"/>
        <v>96431.97175</v>
      </c>
      <c r="O19" s="334">
        <f t="shared" si="13"/>
        <v>96231.63175</v>
      </c>
      <c r="P19" s="334">
        <f t="shared" si="13"/>
        <v>96031.29175</v>
      </c>
      <c r="Q19" s="334">
        <f t="shared" si="13"/>
        <v>95926.35175</v>
      </c>
      <c r="R19" s="335">
        <f t="shared" si="13"/>
        <v>95926.35175</v>
      </c>
      <c r="AT19" s="327"/>
      <c r="AU19" s="327"/>
      <c r="AV19" s="327"/>
      <c r="AW19" s="327"/>
      <c r="AX19" s="327"/>
      <c r="AY19" s="327"/>
      <c r="AZ19" s="327"/>
      <c r="BA19" s="327"/>
      <c r="BB19" s="327"/>
      <c r="BC19" s="327"/>
      <c r="BD19" s="327"/>
      <c r="BE19" s="327"/>
      <c r="BF19" s="327"/>
      <c r="BG19" s="327"/>
    </row>
    <row r="20" ht="12.75" customHeight="1">
      <c r="A20" s="328"/>
      <c r="B20" s="323"/>
      <c r="C20" s="323"/>
      <c r="D20" s="342" t="s">
        <v>629</v>
      </c>
      <c r="E20" s="323"/>
      <c r="F20" s="323"/>
      <c r="G20" s="334">
        <f t="shared" ref="G20:R20" si="14">G379</f>
        <v>0</v>
      </c>
      <c r="H20" s="334">
        <f t="shared" si="14"/>
        <v>0</v>
      </c>
      <c r="I20" s="334">
        <f t="shared" si="14"/>
        <v>555554.3712</v>
      </c>
      <c r="J20" s="334">
        <f t="shared" si="14"/>
        <v>622142.8384</v>
      </c>
      <c r="K20" s="334">
        <f t="shared" si="14"/>
        <v>644024.6117</v>
      </c>
      <c r="L20" s="334">
        <f t="shared" si="14"/>
        <v>645805.4117</v>
      </c>
      <c r="M20" s="334">
        <f t="shared" si="14"/>
        <v>644279.0117</v>
      </c>
      <c r="N20" s="334">
        <f t="shared" si="14"/>
        <v>642879.8117</v>
      </c>
      <c r="O20" s="334">
        <f t="shared" si="14"/>
        <v>641544.2117</v>
      </c>
      <c r="P20" s="334">
        <f t="shared" si="14"/>
        <v>640208.6117</v>
      </c>
      <c r="Q20" s="334">
        <f t="shared" si="14"/>
        <v>639509.0117</v>
      </c>
      <c r="R20" s="335">
        <f t="shared" si="14"/>
        <v>639509.0117</v>
      </c>
      <c r="S20" s="113"/>
      <c r="AT20" s="327"/>
      <c r="AU20" s="327"/>
      <c r="AV20" s="327"/>
      <c r="AW20" s="327"/>
      <c r="AX20" s="327"/>
      <c r="AY20" s="327"/>
      <c r="AZ20" s="327"/>
      <c r="BA20" s="327"/>
      <c r="BB20" s="327"/>
      <c r="BC20" s="327"/>
      <c r="BD20" s="327"/>
      <c r="BE20" s="327"/>
      <c r="BF20" s="327"/>
      <c r="BG20" s="327"/>
    </row>
    <row r="21" ht="12.75" customHeight="1">
      <c r="A21" s="328"/>
      <c r="B21" s="323"/>
      <c r="C21" s="323"/>
      <c r="D21" s="342" t="s">
        <v>314</v>
      </c>
      <c r="E21" s="323"/>
      <c r="F21" s="323"/>
      <c r="G21" s="334">
        <f t="shared" ref="G21:R21" si="15">G383-SUM(G18:G20)</f>
        <v>0</v>
      </c>
      <c r="H21" s="334">
        <f t="shared" si="15"/>
        <v>7780</v>
      </c>
      <c r="I21" s="334">
        <f t="shared" si="15"/>
        <v>434173.8943</v>
      </c>
      <c r="J21" s="334">
        <f t="shared" si="15"/>
        <v>696633.6098</v>
      </c>
      <c r="K21" s="334">
        <f t="shared" si="15"/>
        <v>711730.6497</v>
      </c>
      <c r="L21" s="334">
        <f t="shared" si="15"/>
        <v>711730.6497</v>
      </c>
      <c r="M21" s="334">
        <f t="shared" si="15"/>
        <v>711730.6497</v>
      </c>
      <c r="N21" s="334">
        <f t="shared" si="15"/>
        <v>711730.6497</v>
      </c>
      <c r="O21" s="334">
        <f t="shared" si="15"/>
        <v>711730.6497</v>
      </c>
      <c r="P21" s="334">
        <f t="shared" si="15"/>
        <v>711730.6497</v>
      </c>
      <c r="Q21" s="334">
        <f t="shared" si="15"/>
        <v>711730.6497</v>
      </c>
      <c r="R21" s="335">
        <f t="shared" si="15"/>
        <v>711730.6497</v>
      </c>
      <c r="AT21" s="327"/>
      <c r="AU21" s="327"/>
      <c r="AV21" s="327"/>
      <c r="AW21" s="327"/>
      <c r="AX21" s="327"/>
      <c r="AY21" s="327"/>
      <c r="AZ21" s="327"/>
      <c r="BA21" s="327"/>
      <c r="BB21" s="327"/>
      <c r="BC21" s="327"/>
      <c r="BD21" s="327"/>
      <c r="BE21" s="327"/>
      <c r="BF21" s="327"/>
      <c r="BG21" s="327"/>
    </row>
    <row r="22" ht="12.75" customHeight="1">
      <c r="A22" s="328"/>
      <c r="B22" s="323"/>
      <c r="C22" s="323"/>
      <c r="D22" s="343" t="s">
        <v>555</v>
      </c>
      <c r="E22" s="337"/>
      <c r="F22" s="337"/>
      <c r="G22" s="338">
        <f t="shared" ref="G22:R22" si="16">G393</f>
        <v>0</v>
      </c>
      <c r="H22" s="338">
        <f t="shared" si="16"/>
        <v>1531.006004</v>
      </c>
      <c r="I22" s="338">
        <f t="shared" si="16"/>
        <v>60495.73087</v>
      </c>
      <c r="J22" s="338">
        <f t="shared" si="16"/>
        <v>77390.02156</v>
      </c>
      <c r="K22" s="338">
        <f t="shared" si="16"/>
        <v>80312.85082</v>
      </c>
      <c r="L22" s="338">
        <f t="shared" si="16"/>
        <v>78808.77276</v>
      </c>
      <c r="M22" s="338">
        <f t="shared" si="16"/>
        <v>76719.70316</v>
      </c>
      <c r="N22" s="338">
        <f t="shared" si="16"/>
        <v>74574.79276</v>
      </c>
      <c r="O22" s="338">
        <f t="shared" si="16"/>
        <v>74456.68756</v>
      </c>
      <c r="P22" s="338">
        <f t="shared" si="16"/>
        <v>74339.82256</v>
      </c>
      <c r="Q22" s="338">
        <f t="shared" si="16"/>
        <v>74266.20556</v>
      </c>
      <c r="R22" s="339">
        <f t="shared" si="16"/>
        <v>74252.56336</v>
      </c>
      <c r="AT22" s="327"/>
      <c r="AU22" s="327"/>
      <c r="AV22" s="327"/>
      <c r="AW22" s="327"/>
      <c r="AX22" s="327"/>
      <c r="AY22" s="327"/>
      <c r="AZ22" s="327"/>
      <c r="BA22" s="327"/>
      <c r="BB22" s="327"/>
      <c r="BC22" s="327"/>
      <c r="BD22" s="327"/>
      <c r="BE22" s="327"/>
      <c r="BF22" s="327"/>
      <c r="BG22" s="327"/>
    </row>
    <row r="23" ht="12.75" customHeight="1">
      <c r="A23" s="328"/>
      <c r="B23" s="329"/>
      <c r="C23" s="329" t="s">
        <v>231</v>
      </c>
      <c r="D23" s="329"/>
      <c r="E23" s="329"/>
      <c r="F23" s="329"/>
      <c r="G23" s="340">
        <f t="shared" ref="G23:R23" si="17">SUM(G14:G22)</f>
        <v>0</v>
      </c>
      <c r="H23" s="340">
        <f t="shared" si="17"/>
        <v>154631.6064</v>
      </c>
      <c r="I23" s="340">
        <f t="shared" si="17"/>
        <v>2936661.665</v>
      </c>
      <c r="J23" s="340">
        <f t="shared" si="17"/>
        <v>3323348.221</v>
      </c>
      <c r="K23" s="340">
        <f t="shared" si="17"/>
        <v>3462815.222</v>
      </c>
      <c r="L23" s="340">
        <f t="shared" si="17"/>
        <v>3452377.544</v>
      </c>
      <c r="M23" s="340">
        <f t="shared" si="17"/>
        <v>3447617.274</v>
      </c>
      <c r="N23" s="340">
        <f t="shared" si="17"/>
        <v>3443023.764</v>
      </c>
      <c r="O23" s="340">
        <f t="shared" si="17"/>
        <v>3440568.359</v>
      </c>
      <c r="P23" s="340">
        <f t="shared" si="17"/>
        <v>3438114.194</v>
      </c>
      <c r="Q23" s="340">
        <f t="shared" si="17"/>
        <v>3436816.277</v>
      </c>
      <c r="R23" s="341">
        <f t="shared" si="17"/>
        <v>3436802.634</v>
      </c>
      <c r="AT23" s="327"/>
      <c r="AU23" s="327"/>
      <c r="AV23" s="327"/>
      <c r="AW23" s="327"/>
      <c r="AX23" s="327"/>
      <c r="AY23" s="327"/>
      <c r="AZ23" s="327"/>
      <c r="BA23" s="327"/>
      <c r="BB23" s="327"/>
      <c r="BC23" s="327"/>
      <c r="BD23" s="327"/>
      <c r="BE23" s="327"/>
      <c r="BF23" s="327"/>
      <c r="BG23" s="327"/>
    </row>
    <row r="24" ht="12.75" customHeight="1">
      <c r="A24" s="328"/>
      <c r="B24" s="323"/>
      <c r="C24" s="323"/>
      <c r="D24" s="323"/>
      <c r="E24" s="323"/>
      <c r="F24" s="323"/>
      <c r="G24" s="334"/>
      <c r="H24" s="340"/>
      <c r="I24" s="340"/>
      <c r="J24" s="340"/>
      <c r="K24" s="340"/>
      <c r="L24" s="340"/>
      <c r="M24" s="340"/>
      <c r="N24" s="340"/>
      <c r="O24" s="340"/>
      <c r="P24" s="340"/>
      <c r="Q24" s="340"/>
      <c r="R24" s="341"/>
      <c r="AT24" s="327"/>
      <c r="AU24" s="327"/>
      <c r="AV24" s="327"/>
      <c r="AW24" s="327"/>
      <c r="AX24" s="327"/>
      <c r="AY24" s="327"/>
      <c r="AZ24" s="327"/>
      <c r="BA24" s="327"/>
      <c r="BB24" s="327"/>
      <c r="BC24" s="327"/>
      <c r="BD24" s="327"/>
      <c r="BE24" s="327"/>
      <c r="BF24" s="327"/>
      <c r="BG24" s="327"/>
    </row>
    <row r="25" ht="12.75" customHeight="1">
      <c r="A25" s="328"/>
      <c r="B25" s="323"/>
      <c r="C25" s="329" t="s">
        <v>194</v>
      </c>
      <c r="D25" s="323"/>
      <c r="E25" s="323"/>
      <c r="F25" s="323"/>
      <c r="G25" s="340">
        <f t="shared" ref="G25:R25" si="18">G11-G23</f>
        <v>0</v>
      </c>
      <c r="H25" s="340">
        <f t="shared" si="18"/>
        <v>45368.39356</v>
      </c>
      <c r="I25" s="340">
        <f t="shared" si="18"/>
        <v>24130.99082</v>
      </c>
      <c r="J25" s="340">
        <f t="shared" si="18"/>
        <v>5839.570572</v>
      </c>
      <c r="K25" s="340">
        <f t="shared" si="18"/>
        <v>-1492.163391</v>
      </c>
      <c r="L25" s="340">
        <f t="shared" si="18"/>
        <v>17849.51467</v>
      </c>
      <c r="M25" s="340">
        <f t="shared" si="18"/>
        <v>14977.78427</v>
      </c>
      <c r="N25" s="340">
        <f t="shared" si="18"/>
        <v>12575.29467</v>
      </c>
      <c r="O25" s="340">
        <f t="shared" si="18"/>
        <v>8352.69987</v>
      </c>
      <c r="P25" s="340">
        <f t="shared" si="18"/>
        <v>4128.86487</v>
      </c>
      <c r="Q25" s="340">
        <f t="shared" si="18"/>
        <v>1928.78187</v>
      </c>
      <c r="R25" s="341">
        <f t="shared" si="18"/>
        <v>1942.42407</v>
      </c>
      <c r="T25" s="113"/>
      <c r="AT25" s="327"/>
      <c r="AU25" s="327"/>
      <c r="AV25" s="327"/>
      <c r="AW25" s="327"/>
      <c r="AX25" s="327"/>
      <c r="AY25" s="327"/>
      <c r="AZ25" s="327"/>
      <c r="BA25" s="327"/>
      <c r="BB25" s="327"/>
      <c r="BC25" s="327"/>
      <c r="BD25" s="327"/>
      <c r="BE25" s="327"/>
      <c r="BF25" s="327"/>
      <c r="BG25" s="327"/>
    </row>
    <row r="26" ht="12.75" customHeight="1">
      <c r="A26" s="328"/>
      <c r="B26" s="323"/>
      <c r="C26" s="329" t="s">
        <v>195</v>
      </c>
      <c r="D26" s="323"/>
      <c r="E26" s="323"/>
      <c r="F26" s="323"/>
      <c r="G26" s="340">
        <f>G25</f>
        <v>0</v>
      </c>
      <c r="H26" s="340">
        <f t="shared" ref="H26:R26" si="19">H25+G26</f>
        <v>45368.39356</v>
      </c>
      <c r="I26" s="340">
        <f t="shared" si="19"/>
        <v>69499.38438</v>
      </c>
      <c r="J26" s="340">
        <f t="shared" si="19"/>
        <v>75338.95495</v>
      </c>
      <c r="K26" s="340">
        <f t="shared" si="19"/>
        <v>73846.79156</v>
      </c>
      <c r="L26" s="340">
        <f t="shared" si="19"/>
        <v>91696.30623</v>
      </c>
      <c r="M26" s="340">
        <f t="shared" si="19"/>
        <v>106674.0905</v>
      </c>
      <c r="N26" s="340">
        <f t="shared" si="19"/>
        <v>119249.3852</v>
      </c>
      <c r="O26" s="340">
        <f t="shared" si="19"/>
        <v>127602.085</v>
      </c>
      <c r="P26" s="340">
        <f t="shared" si="19"/>
        <v>131730.9499</v>
      </c>
      <c r="Q26" s="340">
        <f t="shared" si="19"/>
        <v>133659.7318</v>
      </c>
      <c r="R26" s="341">
        <f t="shared" si="19"/>
        <v>135602.1559</v>
      </c>
      <c r="AT26" s="327"/>
      <c r="AU26" s="327"/>
      <c r="AV26" s="327"/>
      <c r="AW26" s="327"/>
      <c r="AX26" s="327"/>
      <c r="AY26" s="327"/>
      <c r="AZ26" s="327"/>
      <c r="BA26" s="327"/>
      <c r="BB26" s="327"/>
      <c r="BC26" s="327"/>
      <c r="BD26" s="327"/>
      <c r="BE26" s="327"/>
      <c r="BF26" s="327"/>
      <c r="BG26" s="327"/>
    </row>
    <row r="27" ht="12.75" customHeight="1">
      <c r="A27" s="328"/>
      <c r="B27" s="323"/>
      <c r="C27" s="329" t="s">
        <v>630</v>
      </c>
      <c r="D27" s="323"/>
      <c r="E27" s="323"/>
      <c r="F27" s="323"/>
      <c r="G27" s="340"/>
      <c r="H27" s="344">
        <f t="shared" ref="H27:R27" si="20">H26/H23</f>
        <v>0.2933966386</v>
      </c>
      <c r="I27" s="344">
        <f t="shared" si="20"/>
        <v>0.02366611898</v>
      </c>
      <c r="J27" s="344">
        <f t="shared" si="20"/>
        <v>0.02266959401</v>
      </c>
      <c r="K27" s="344">
        <f t="shared" si="20"/>
        <v>0.02132565177</v>
      </c>
      <c r="L27" s="344">
        <f t="shared" si="20"/>
        <v>0.02656033561</v>
      </c>
      <c r="M27" s="344">
        <f t="shared" si="20"/>
        <v>0.03094139576</v>
      </c>
      <c r="N27" s="344">
        <f t="shared" si="20"/>
        <v>0.03463507468</v>
      </c>
      <c r="O27" s="344">
        <f t="shared" si="20"/>
        <v>0.03708750176</v>
      </c>
      <c r="P27" s="344">
        <f t="shared" si="20"/>
        <v>0.03831488499</v>
      </c>
      <c r="Q27" s="344">
        <f t="shared" si="20"/>
        <v>0.03889056645</v>
      </c>
      <c r="R27" s="345">
        <f t="shared" si="20"/>
        <v>0.0394559043</v>
      </c>
      <c r="AT27" s="327"/>
      <c r="AU27" s="327"/>
      <c r="AV27" s="327"/>
      <c r="AW27" s="327"/>
      <c r="AX27" s="327"/>
      <c r="AY27" s="327"/>
      <c r="AZ27" s="327"/>
      <c r="BA27" s="327"/>
      <c r="BB27" s="327"/>
      <c r="BC27" s="327"/>
      <c r="BD27" s="327"/>
      <c r="BE27" s="327"/>
      <c r="BF27" s="327"/>
      <c r="BG27" s="327"/>
    </row>
    <row r="28" ht="12.75" customHeight="1">
      <c r="A28" s="328"/>
      <c r="B28" s="323"/>
      <c r="C28" s="329"/>
      <c r="D28" s="323"/>
      <c r="E28" s="323"/>
      <c r="F28" s="323"/>
      <c r="G28" s="340"/>
      <c r="H28" s="340"/>
      <c r="I28" s="340"/>
      <c r="J28" s="340"/>
      <c r="K28" s="340"/>
      <c r="L28" s="340"/>
      <c r="M28" s="340"/>
      <c r="N28" s="340"/>
      <c r="O28" s="340"/>
      <c r="P28" s="340"/>
      <c r="Q28" s="340"/>
      <c r="R28" s="341"/>
      <c r="AT28" s="327"/>
      <c r="AU28" s="327"/>
      <c r="AV28" s="327"/>
      <c r="AW28" s="327"/>
      <c r="AX28" s="327"/>
      <c r="AY28" s="327"/>
      <c r="AZ28" s="327"/>
      <c r="BA28" s="327"/>
      <c r="BB28" s="327"/>
      <c r="BC28" s="327"/>
      <c r="BD28" s="327"/>
      <c r="BE28" s="327"/>
      <c r="BF28" s="327"/>
      <c r="BG28" s="327"/>
    </row>
    <row r="29" ht="12.75" customHeight="1">
      <c r="A29" s="328"/>
      <c r="B29" s="323"/>
      <c r="C29" s="329" t="s">
        <v>631</v>
      </c>
      <c r="D29" s="323"/>
      <c r="E29" s="323"/>
      <c r="F29" s="323"/>
      <c r="G29" s="340">
        <f>G391</f>
        <v>0</v>
      </c>
      <c r="H29" s="340">
        <f t="shared" ref="H29:R29" si="21">H392+G29</f>
        <v>1531.006004</v>
      </c>
      <c r="I29" s="340">
        <f t="shared" si="21"/>
        <v>30606.86408</v>
      </c>
      <c r="J29" s="340">
        <f t="shared" si="21"/>
        <v>63396.97427</v>
      </c>
      <c r="K29" s="340">
        <f t="shared" si="21"/>
        <v>97553.7207</v>
      </c>
      <c r="L29" s="340">
        <f t="shared" si="21"/>
        <v>131602.0215</v>
      </c>
      <c r="M29" s="340">
        <f t="shared" si="21"/>
        <v>165602.8472</v>
      </c>
      <c r="N29" s="340">
        <f t="shared" si="21"/>
        <v>199558.4872</v>
      </c>
      <c r="O29" s="340">
        <f t="shared" si="21"/>
        <v>233490.0864</v>
      </c>
      <c r="P29" s="340">
        <f t="shared" si="21"/>
        <v>267397.6449</v>
      </c>
      <c r="Q29" s="340">
        <f t="shared" si="21"/>
        <v>301292.6105</v>
      </c>
      <c r="R29" s="341">
        <f t="shared" si="21"/>
        <v>335187.5761</v>
      </c>
      <c r="AT29" s="327"/>
      <c r="AU29" s="327"/>
      <c r="AV29" s="327"/>
      <c r="AW29" s="327"/>
      <c r="AX29" s="327"/>
      <c r="AY29" s="327"/>
      <c r="AZ29" s="327"/>
      <c r="BA29" s="327"/>
      <c r="BB29" s="327"/>
      <c r="BC29" s="327"/>
      <c r="BD29" s="327"/>
      <c r="BE29" s="327"/>
      <c r="BF29" s="327"/>
      <c r="BG29" s="327"/>
    </row>
    <row r="30" ht="12.75" customHeight="1">
      <c r="A30" s="328"/>
      <c r="B30" s="323"/>
      <c r="C30" s="329"/>
      <c r="D30" s="329" t="s">
        <v>632</v>
      </c>
      <c r="E30" s="323"/>
      <c r="F30" s="323"/>
      <c r="G30" s="340"/>
      <c r="H30" s="344">
        <f t="shared" ref="H30:R30" si="22">(H26+H29)/H23</f>
        <v>0.3032976287</v>
      </c>
      <c r="I30" s="344">
        <f t="shared" si="22"/>
        <v>0.0340884514</v>
      </c>
      <c r="J30" s="344">
        <f t="shared" si="22"/>
        <v>0.0417458298</v>
      </c>
      <c r="K30" s="344">
        <f t="shared" si="22"/>
        <v>0.04949744681</v>
      </c>
      <c r="L30" s="344">
        <f t="shared" si="22"/>
        <v>0.06467957949</v>
      </c>
      <c r="M30" s="344">
        <f t="shared" si="22"/>
        <v>0.07897539547</v>
      </c>
      <c r="N30" s="344">
        <f t="shared" si="22"/>
        <v>0.0925953157</v>
      </c>
      <c r="O30" s="344">
        <f t="shared" si="22"/>
        <v>0.1049513144</v>
      </c>
      <c r="P30" s="344">
        <f t="shared" si="22"/>
        <v>0.1160893944</v>
      </c>
      <c r="Q30" s="344">
        <f t="shared" si="22"/>
        <v>0.1265567628</v>
      </c>
      <c r="R30" s="345">
        <f t="shared" si="22"/>
        <v>0.136984803</v>
      </c>
      <c r="AT30" s="327"/>
      <c r="AU30" s="327"/>
      <c r="AV30" s="327"/>
      <c r="AW30" s="327"/>
      <c r="AX30" s="327"/>
      <c r="AY30" s="327"/>
      <c r="AZ30" s="327"/>
      <c r="BA30" s="327"/>
      <c r="BB30" s="327"/>
      <c r="BC30" s="327"/>
      <c r="BD30" s="327"/>
      <c r="BE30" s="327"/>
      <c r="BF30" s="327"/>
      <c r="BG30" s="327"/>
    </row>
    <row r="31" ht="12.75" customHeight="1">
      <c r="A31" s="328"/>
      <c r="B31" s="323"/>
      <c r="C31" s="329"/>
      <c r="D31" s="323"/>
      <c r="E31" s="323"/>
      <c r="F31" s="323"/>
      <c r="G31" s="340"/>
      <c r="H31" s="340"/>
      <c r="I31" s="340"/>
      <c r="J31" s="340"/>
      <c r="K31" s="340"/>
      <c r="L31" s="340"/>
      <c r="M31" s="340"/>
      <c r="N31" s="340"/>
      <c r="O31" s="340"/>
      <c r="P31" s="340"/>
      <c r="Q31" s="340"/>
      <c r="R31" s="341"/>
      <c r="AT31" s="327"/>
      <c r="AU31" s="327"/>
      <c r="AV31" s="327"/>
      <c r="AW31" s="327"/>
      <c r="AX31" s="327"/>
      <c r="AY31" s="327"/>
      <c r="AZ31" s="327"/>
      <c r="BA31" s="327"/>
      <c r="BB31" s="327"/>
      <c r="BC31" s="327"/>
      <c r="BD31" s="327"/>
      <c r="BE31" s="327"/>
      <c r="BF31" s="327"/>
      <c r="BG31" s="327"/>
    </row>
    <row r="32" ht="12.75" customHeight="1">
      <c r="A32" s="328"/>
      <c r="B32" s="323"/>
      <c r="C32" s="329" t="s">
        <v>196</v>
      </c>
      <c r="D32" s="323"/>
      <c r="E32" s="323"/>
      <c r="F32" s="323"/>
      <c r="G32" s="340">
        <f t="shared" ref="G32:R32" si="23">G428</f>
        <v>0</v>
      </c>
      <c r="H32" s="340">
        <f t="shared" si="23"/>
        <v>73099.97388</v>
      </c>
      <c r="I32" s="340">
        <f t="shared" si="23"/>
        <v>60890.8532</v>
      </c>
      <c r="J32" s="340">
        <f t="shared" si="23"/>
        <v>16724.00694</v>
      </c>
      <c r="K32" s="340">
        <f t="shared" si="23"/>
        <v>142319.7768</v>
      </c>
      <c r="L32" s="340">
        <f t="shared" si="23"/>
        <v>109179.9476</v>
      </c>
      <c r="M32" s="340">
        <f t="shared" si="23"/>
        <v>74320.39835</v>
      </c>
      <c r="N32" s="340">
        <f t="shared" si="23"/>
        <v>87033.3075</v>
      </c>
      <c r="O32" s="340">
        <f t="shared" si="23"/>
        <v>141381.6635</v>
      </c>
      <c r="P32" s="340">
        <f t="shared" si="23"/>
        <v>141281.4935</v>
      </c>
      <c r="Q32" s="340">
        <f t="shared" si="23"/>
        <v>141229.0235</v>
      </c>
      <c r="R32" s="341">
        <f t="shared" si="23"/>
        <v>141229.0235</v>
      </c>
      <c r="AT32" s="327"/>
      <c r="AU32" s="327"/>
      <c r="AV32" s="327"/>
      <c r="AW32" s="327"/>
      <c r="AX32" s="327"/>
      <c r="AY32" s="327"/>
      <c r="AZ32" s="327"/>
      <c r="BA32" s="327"/>
      <c r="BB32" s="327"/>
      <c r="BC32" s="327"/>
      <c r="BD32" s="327"/>
      <c r="BE32" s="327"/>
      <c r="BF32" s="327"/>
      <c r="BG32" s="327"/>
    </row>
    <row r="33" ht="12.75" customHeight="1">
      <c r="A33" s="346"/>
      <c r="B33" s="347"/>
      <c r="C33" s="348"/>
      <c r="D33" s="348" t="s">
        <v>633</v>
      </c>
      <c r="E33" s="347"/>
      <c r="F33" s="347"/>
      <c r="G33" s="349">
        <f>G467</f>
        <v>0</v>
      </c>
      <c r="H33" s="349">
        <f t="shared" ref="H33:R33" si="24">H451</f>
        <v>0</v>
      </c>
      <c r="I33" s="349">
        <f t="shared" si="24"/>
        <v>288677.284</v>
      </c>
      <c r="J33" s="349">
        <f t="shared" si="24"/>
        <v>324595.8097</v>
      </c>
      <c r="K33" s="349">
        <f t="shared" si="24"/>
        <v>337478.9982</v>
      </c>
      <c r="L33" s="349">
        <f t="shared" si="24"/>
        <v>338347.1382</v>
      </c>
      <c r="M33" s="349">
        <f t="shared" si="24"/>
        <v>337603.0182</v>
      </c>
      <c r="N33" s="349">
        <f t="shared" si="24"/>
        <v>336920.9082</v>
      </c>
      <c r="O33" s="349">
        <f t="shared" si="24"/>
        <v>336269.8032</v>
      </c>
      <c r="P33" s="349">
        <f t="shared" si="24"/>
        <v>335618.6982</v>
      </c>
      <c r="Q33" s="349">
        <f t="shared" si="24"/>
        <v>335277.6432</v>
      </c>
      <c r="R33" s="350">
        <f t="shared" si="24"/>
        <v>335277.6432</v>
      </c>
      <c r="AT33" s="327"/>
      <c r="AU33" s="327"/>
      <c r="AV33" s="327"/>
      <c r="AW33" s="327"/>
      <c r="AX33" s="327"/>
      <c r="AY33" s="327"/>
      <c r="AZ33" s="327"/>
      <c r="BA33" s="327"/>
      <c r="BB33" s="327"/>
      <c r="BC33" s="327"/>
      <c r="BD33" s="327"/>
      <c r="BE33" s="327"/>
      <c r="BF33" s="327"/>
      <c r="BG33" s="327"/>
    </row>
    <row r="34" ht="12.75" customHeight="1">
      <c r="A34" s="316"/>
      <c r="B34" s="90"/>
      <c r="C34" s="90"/>
      <c r="D34" s="90"/>
      <c r="E34" s="90"/>
      <c r="F34" s="90"/>
      <c r="G34" s="90"/>
      <c r="H34" s="90"/>
      <c r="I34" s="90"/>
      <c r="J34" s="90"/>
      <c r="K34" s="90"/>
      <c r="L34" s="90"/>
      <c r="M34" s="90"/>
      <c r="N34" s="90"/>
      <c r="O34" s="90"/>
      <c r="P34" s="90"/>
      <c r="Q34" s="90"/>
      <c r="R34" s="90"/>
      <c r="AT34" s="313"/>
      <c r="AU34" s="313"/>
      <c r="AV34" s="313"/>
      <c r="AW34" s="313"/>
      <c r="AX34" s="313"/>
      <c r="AY34" s="313"/>
      <c r="AZ34" s="313"/>
      <c r="BA34" s="313"/>
      <c r="BB34" s="313"/>
      <c r="BC34" s="313"/>
      <c r="BD34" s="313"/>
      <c r="BE34" s="313"/>
      <c r="BF34" s="313"/>
      <c r="BG34" s="313"/>
    </row>
    <row r="35" ht="12.75" customHeight="1">
      <c r="A35" s="106" t="s">
        <v>634</v>
      </c>
      <c r="B35" s="253"/>
      <c r="C35" s="253"/>
      <c r="D35" s="253"/>
      <c r="E35" s="253"/>
      <c r="F35" s="253"/>
      <c r="G35" s="253"/>
      <c r="H35" s="253"/>
      <c r="I35" s="253"/>
      <c r="J35" s="253"/>
      <c r="K35" s="253"/>
      <c r="L35" s="253"/>
      <c r="M35" s="253"/>
      <c r="N35" s="253"/>
      <c r="O35" s="253"/>
      <c r="P35" s="253"/>
      <c r="Q35" s="253"/>
      <c r="R35" s="253"/>
      <c r="AT35" s="314"/>
      <c r="AU35" s="314"/>
      <c r="AV35" s="314"/>
      <c r="AW35" s="314"/>
      <c r="AX35" s="314"/>
      <c r="AY35" s="314"/>
      <c r="AZ35" s="314"/>
      <c r="BA35" s="314"/>
      <c r="BB35" s="314"/>
      <c r="BC35" s="314"/>
      <c r="BD35" s="314"/>
      <c r="BE35" s="314"/>
      <c r="BF35" s="314"/>
      <c r="BG35" s="314"/>
    </row>
    <row r="36" ht="12.75" customHeight="1" outlineLevel="1">
      <c r="A36" s="67"/>
      <c r="B36" s="90"/>
      <c r="C36" s="90"/>
      <c r="D36" s="90"/>
      <c r="E36" s="90"/>
      <c r="F36" s="90"/>
      <c r="G36" s="90"/>
      <c r="H36" s="90"/>
      <c r="I36" s="90"/>
      <c r="J36" s="90"/>
      <c r="K36" s="90"/>
      <c r="L36" s="90"/>
      <c r="M36" s="90"/>
      <c r="N36" s="90"/>
      <c r="O36" s="90"/>
      <c r="P36" s="90"/>
      <c r="Q36" s="90"/>
      <c r="R36" s="90"/>
      <c r="AT36" s="313"/>
      <c r="AU36" s="313"/>
      <c r="AV36" s="313"/>
      <c r="AW36" s="313"/>
      <c r="AX36" s="313"/>
      <c r="AY36" s="313"/>
      <c r="AZ36" s="313"/>
      <c r="BA36" s="313"/>
      <c r="BB36" s="313"/>
      <c r="BC36" s="313"/>
      <c r="BD36" s="313"/>
      <c r="BE36" s="313"/>
      <c r="BF36" s="313"/>
      <c r="BG36" s="313"/>
    </row>
    <row r="37" ht="12.75" customHeight="1" outlineLevel="1">
      <c r="A37" s="67"/>
      <c r="B37" s="90" t="s">
        <v>635</v>
      </c>
      <c r="C37" s="90"/>
      <c r="D37" s="90"/>
      <c r="E37" s="90"/>
      <c r="F37" s="90"/>
      <c r="G37" s="102" t="str">
        <f>'RS3'!J36</f>
        <v/>
      </c>
      <c r="H37" s="102">
        <f>'RS3'!K36</f>
        <v>0</v>
      </c>
      <c r="I37" s="102">
        <f>'RS3'!L36</f>
        <v>180</v>
      </c>
      <c r="J37" s="102">
        <f>'RS3'!M36</f>
        <v>180</v>
      </c>
      <c r="K37" s="102">
        <f>'RS3'!N36</f>
        <v>180</v>
      </c>
      <c r="L37" s="102">
        <f>'RS3'!O36</f>
        <v>180</v>
      </c>
      <c r="M37" s="102">
        <f>'RS3'!P36</f>
        <v>180</v>
      </c>
      <c r="N37" s="102">
        <f>'RS3'!Q36</f>
        <v>180</v>
      </c>
      <c r="O37" s="102">
        <f>'RS3'!R36</f>
        <v>180</v>
      </c>
      <c r="P37" s="102">
        <f>'RS3'!S36</f>
        <v>180</v>
      </c>
      <c r="Q37" s="102">
        <f>'RS3'!T36</f>
        <v>180</v>
      </c>
      <c r="R37" s="102">
        <f>'RS3'!U36</f>
        <v>180</v>
      </c>
      <c r="AT37" s="306" t="str">
        <f t="shared" ref="AT37:BG37" si="25">AS37</f>
        <v/>
      </c>
      <c r="AU37" s="306" t="str">
        <f t="shared" si="25"/>
        <v/>
      </c>
      <c r="AV37" s="306" t="str">
        <f t="shared" si="25"/>
        <v/>
      </c>
      <c r="AW37" s="306" t="str">
        <f t="shared" si="25"/>
        <v/>
      </c>
      <c r="AX37" s="306" t="str">
        <f t="shared" si="25"/>
        <v/>
      </c>
      <c r="AY37" s="306" t="str">
        <f t="shared" si="25"/>
        <v/>
      </c>
      <c r="AZ37" s="306" t="str">
        <f t="shared" si="25"/>
        <v/>
      </c>
      <c r="BA37" s="306" t="str">
        <f t="shared" si="25"/>
        <v/>
      </c>
      <c r="BB37" s="306" t="str">
        <f t="shared" si="25"/>
        <v/>
      </c>
      <c r="BC37" s="306" t="str">
        <f t="shared" si="25"/>
        <v/>
      </c>
      <c r="BD37" s="306" t="str">
        <f t="shared" si="25"/>
        <v/>
      </c>
      <c r="BE37" s="306" t="str">
        <f t="shared" si="25"/>
        <v/>
      </c>
      <c r="BF37" s="306" t="str">
        <f t="shared" si="25"/>
        <v/>
      </c>
      <c r="BG37" s="306" t="str">
        <f t="shared" si="25"/>
        <v/>
      </c>
    </row>
    <row r="38" ht="12.75" customHeight="1" outlineLevel="1">
      <c r="A38" s="67"/>
      <c r="B38" s="90" t="s">
        <v>636</v>
      </c>
      <c r="C38" s="90"/>
      <c r="D38" s="90"/>
      <c r="E38" s="90"/>
      <c r="F38" s="90"/>
      <c r="G38" s="102" t="str">
        <f>'RS3'!J37</f>
        <v/>
      </c>
      <c r="H38" s="102">
        <f>'RS3'!K37</f>
        <v>0</v>
      </c>
      <c r="I38" s="102">
        <f>'RS3'!L37</f>
        <v>2</v>
      </c>
      <c r="J38" s="102">
        <f>'RS3'!M37</f>
        <v>2</v>
      </c>
      <c r="K38" s="102">
        <f>'RS3'!N37</f>
        <v>2</v>
      </c>
      <c r="L38" s="102">
        <f>'RS3'!O37</f>
        <v>2</v>
      </c>
      <c r="M38" s="102">
        <f>'RS3'!P37</f>
        <v>2</v>
      </c>
      <c r="N38" s="102">
        <f>'RS3'!Q37</f>
        <v>2</v>
      </c>
      <c r="O38" s="102">
        <f>'RS3'!R37</f>
        <v>2</v>
      </c>
      <c r="P38" s="102">
        <f>'RS3'!S37</f>
        <v>2</v>
      </c>
      <c r="Q38" s="102">
        <f>'RS3'!T37</f>
        <v>2</v>
      </c>
      <c r="R38" s="102">
        <f>'RS3'!U37</f>
        <v>2</v>
      </c>
      <c r="AT38" s="306" t="str">
        <f t="shared" ref="AT38:BG38" si="26">AS38</f>
        <v/>
      </c>
      <c r="AU38" s="306" t="str">
        <f t="shared" si="26"/>
        <v/>
      </c>
      <c r="AV38" s="306" t="str">
        <f t="shared" si="26"/>
        <v/>
      </c>
      <c r="AW38" s="306" t="str">
        <f t="shared" si="26"/>
        <v/>
      </c>
      <c r="AX38" s="306" t="str">
        <f t="shared" si="26"/>
        <v/>
      </c>
      <c r="AY38" s="306" t="str">
        <f t="shared" si="26"/>
        <v/>
      </c>
      <c r="AZ38" s="306" t="str">
        <f t="shared" si="26"/>
        <v/>
      </c>
      <c r="BA38" s="306" t="str">
        <f t="shared" si="26"/>
        <v/>
      </c>
      <c r="BB38" s="306" t="str">
        <f t="shared" si="26"/>
        <v/>
      </c>
      <c r="BC38" s="306" t="str">
        <f t="shared" si="26"/>
        <v/>
      </c>
      <c r="BD38" s="306" t="str">
        <f t="shared" si="26"/>
        <v/>
      </c>
      <c r="BE38" s="306" t="str">
        <f t="shared" si="26"/>
        <v/>
      </c>
      <c r="BF38" s="306" t="str">
        <f t="shared" si="26"/>
        <v/>
      </c>
      <c r="BG38" s="306" t="str">
        <f t="shared" si="26"/>
        <v/>
      </c>
    </row>
    <row r="39" ht="12.75" customHeight="1" outlineLevel="1">
      <c r="A39" s="67"/>
      <c r="B39" s="90"/>
      <c r="C39" s="90"/>
      <c r="D39" s="90"/>
      <c r="E39" s="90"/>
      <c r="F39" s="90"/>
      <c r="G39" s="90"/>
      <c r="H39" s="90"/>
      <c r="I39" s="90"/>
      <c r="J39" s="90"/>
      <c r="K39" s="90"/>
      <c r="L39" s="90"/>
      <c r="M39" s="90"/>
      <c r="N39" s="90"/>
      <c r="O39" s="90"/>
      <c r="P39" s="90"/>
      <c r="Q39" s="90"/>
      <c r="R39" s="90"/>
      <c r="AT39" s="313"/>
      <c r="AU39" s="313"/>
      <c r="AV39" s="313"/>
      <c r="AW39" s="313"/>
      <c r="AX39" s="313"/>
      <c r="AY39" s="313"/>
      <c r="AZ39" s="313"/>
      <c r="BA39" s="313"/>
      <c r="BB39" s="313"/>
      <c r="BC39" s="313"/>
      <c r="BD39" s="313"/>
      <c r="BE39" s="313"/>
      <c r="BF39" s="313"/>
      <c r="BG39" s="313"/>
    </row>
    <row r="40" ht="12.75" customHeight="1" outlineLevel="1">
      <c r="A40" s="67"/>
      <c r="B40" s="90" t="s">
        <v>165</v>
      </c>
      <c r="C40" s="90"/>
      <c r="D40" s="90"/>
      <c r="E40" s="90"/>
      <c r="F40" s="90"/>
      <c r="G40" s="90"/>
      <c r="H40" s="90"/>
      <c r="I40" s="90"/>
      <c r="J40" s="90"/>
      <c r="K40" s="90"/>
      <c r="L40" s="90"/>
      <c r="M40" s="90"/>
      <c r="N40" s="90"/>
      <c r="O40" s="90"/>
      <c r="P40" s="90"/>
      <c r="Q40" s="90"/>
      <c r="R40" s="90"/>
      <c r="AT40" s="313"/>
      <c r="AU40" s="313"/>
      <c r="AV40" s="313"/>
      <c r="AW40" s="313"/>
      <c r="AX40" s="313"/>
      <c r="AY40" s="313"/>
      <c r="AZ40" s="313"/>
      <c r="BA40" s="313"/>
      <c r="BB40" s="313"/>
      <c r="BC40" s="313"/>
      <c r="BD40" s="313"/>
      <c r="BE40" s="313"/>
      <c r="BF40" s="313"/>
      <c r="BG40" s="313"/>
    </row>
    <row r="41" ht="12.75" customHeight="1" outlineLevel="1">
      <c r="A41" s="67"/>
      <c r="B41" s="90"/>
      <c r="C41" s="90" t="s">
        <v>166</v>
      </c>
      <c r="D41" s="90"/>
      <c r="E41" s="90"/>
      <c r="F41" s="90"/>
      <c r="G41" s="102" t="str">
        <f>'RS3'!J40</f>
        <v/>
      </c>
      <c r="H41" s="102">
        <f>'RS3'!K40</f>
        <v>0</v>
      </c>
      <c r="I41" s="102">
        <f>Assumptions!E39</f>
        <v>120</v>
      </c>
      <c r="J41" s="102">
        <f>Assumptions!F39</f>
        <v>120</v>
      </c>
      <c r="K41" s="102">
        <f>Assumptions!G39</f>
        <v>105</v>
      </c>
      <c r="L41" s="102">
        <f>Assumptions!H39</f>
        <v>105</v>
      </c>
      <c r="M41" s="102">
        <f>Assumptions!I39</f>
        <v>105</v>
      </c>
      <c r="N41" s="102">
        <f>Assumptions!J39</f>
        <v>105</v>
      </c>
      <c r="O41" s="102">
        <f>Assumptions!K39</f>
        <v>105</v>
      </c>
      <c r="P41" s="102">
        <f>Assumptions!L39</f>
        <v>105</v>
      </c>
      <c r="Q41" s="102">
        <f t="shared" ref="Q41:R41" si="27">P41</f>
        <v>105</v>
      </c>
      <c r="R41" s="102">
        <f t="shared" si="27"/>
        <v>105</v>
      </c>
      <c r="AT41" s="306" t="str">
        <f t="shared" ref="AT41:BG41" si="28">AS41</f>
        <v/>
      </c>
      <c r="AU41" s="306" t="str">
        <f t="shared" si="28"/>
        <v/>
      </c>
      <c r="AV41" s="306" t="str">
        <f t="shared" si="28"/>
        <v/>
      </c>
      <c r="AW41" s="306" t="str">
        <f t="shared" si="28"/>
        <v/>
      </c>
      <c r="AX41" s="306" t="str">
        <f t="shared" si="28"/>
        <v/>
      </c>
      <c r="AY41" s="306" t="str">
        <f t="shared" si="28"/>
        <v/>
      </c>
      <c r="AZ41" s="306" t="str">
        <f t="shared" si="28"/>
        <v/>
      </c>
      <c r="BA41" s="306" t="str">
        <f t="shared" si="28"/>
        <v/>
      </c>
      <c r="BB41" s="306" t="str">
        <f t="shared" si="28"/>
        <v/>
      </c>
      <c r="BC41" s="306" t="str">
        <f t="shared" si="28"/>
        <v/>
      </c>
      <c r="BD41" s="306" t="str">
        <f t="shared" si="28"/>
        <v/>
      </c>
      <c r="BE41" s="306" t="str">
        <f t="shared" si="28"/>
        <v/>
      </c>
      <c r="BF41" s="306" t="str">
        <f t="shared" si="28"/>
        <v/>
      </c>
      <c r="BG41" s="306" t="str">
        <f t="shared" si="28"/>
        <v/>
      </c>
    </row>
    <row r="42" ht="12.75" customHeight="1" outlineLevel="1">
      <c r="A42" s="67"/>
      <c r="B42" s="90"/>
      <c r="C42" s="90" t="s">
        <v>167</v>
      </c>
      <c r="D42" s="90"/>
      <c r="E42" s="90"/>
      <c r="F42" s="90"/>
      <c r="G42" s="102" t="str">
        <f>'RS3'!J41</f>
        <v/>
      </c>
      <c r="H42" s="102">
        <f>'RS3'!K41</f>
        <v>0</v>
      </c>
      <c r="I42" s="102">
        <f>Assumptions!E40</f>
        <v>112</v>
      </c>
      <c r="J42" s="102">
        <f>Assumptions!F40</f>
        <v>112</v>
      </c>
      <c r="K42" s="102">
        <f>Assumptions!G40</f>
        <v>100</v>
      </c>
      <c r="L42" s="102">
        <f>Assumptions!H40</f>
        <v>100</v>
      </c>
      <c r="M42" s="102">
        <f>Assumptions!I40</f>
        <v>100</v>
      </c>
      <c r="N42" s="102">
        <f>Assumptions!J40</f>
        <v>100</v>
      </c>
      <c r="O42" s="102">
        <f>Assumptions!K40</f>
        <v>100</v>
      </c>
      <c r="P42" s="102">
        <f>Assumptions!L40</f>
        <v>100</v>
      </c>
      <c r="Q42" s="102">
        <f t="shared" ref="Q42:R42" si="29">P42</f>
        <v>100</v>
      </c>
      <c r="R42" s="102">
        <f t="shared" si="29"/>
        <v>100</v>
      </c>
      <c r="AT42" s="306" t="str">
        <f t="shared" ref="AT42:BG42" si="30">AS42</f>
        <v/>
      </c>
      <c r="AU42" s="306" t="str">
        <f t="shared" si="30"/>
        <v/>
      </c>
      <c r="AV42" s="306" t="str">
        <f t="shared" si="30"/>
        <v/>
      </c>
      <c r="AW42" s="306" t="str">
        <f t="shared" si="30"/>
        <v/>
      </c>
      <c r="AX42" s="306" t="str">
        <f t="shared" si="30"/>
        <v/>
      </c>
      <c r="AY42" s="306" t="str">
        <f t="shared" si="30"/>
        <v/>
      </c>
      <c r="AZ42" s="306" t="str">
        <f t="shared" si="30"/>
        <v/>
      </c>
      <c r="BA42" s="306" t="str">
        <f t="shared" si="30"/>
        <v/>
      </c>
      <c r="BB42" s="306" t="str">
        <f t="shared" si="30"/>
        <v/>
      </c>
      <c r="BC42" s="306" t="str">
        <f t="shared" si="30"/>
        <v/>
      </c>
      <c r="BD42" s="306" t="str">
        <f t="shared" si="30"/>
        <v/>
      </c>
      <c r="BE42" s="306" t="str">
        <f t="shared" si="30"/>
        <v/>
      </c>
      <c r="BF42" s="306" t="str">
        <f t="shared" si="30"/>
        <v/>
      </c>
      <c r="BG42" s="306" t="str">
        <f t="shared" si="30"/>
        <v/>
      </c>
    </row>
    <row r="43" ht="12.75" customHeight="1" outlineLevel="1">
      <c r="A43" s="67"/>
      <c r="B43" s="90"/>
      <c r="C43" s="90" t="s">
        <v>168</v>
      </c>
      <c r="D43" s="90"/>
      <c r="E43" s="90"/>
      <c r="F43" s="90"/>
      <c r="G43" s="102" t="str">
        <f>'RS3'!J42</f>
        <v/>
      </c>
      <c r="H43" s="102">
        <f>'RS3'!K42</f>
        <v>0</v>
      </c>
      <c r="I43" s="102">
        <f>Assumptions!E41</f>
        <v>80</v>
      </c>
      <c r="J43" s="102">
        <f>Assumptions!F41</f>
        <v>80</v>
      </c>
      <c r="K43" s="102">
        <f>Assumptions!G41</f>
        <v>80</v>
      </c>
      <c r="L43" s="102">
        <f>Assumptions!H41</f>
        <v>80</v>
      </c>
      <c r="M43" s="102">
        <f>Assumptions!I41</f>
        <v>80</v>
      </c>
      <c r="N43" s="102">
        <f>Assumptions!J41</f>
        <v>80</v>
      </c>
      <c r="O43" s="102">
        <f>Assumptions!K41</f>
        <v>80</v>
      </c>
      <c r="P43" s="102">
        <f>Assumptions!L41</f>
        <v>80</v>
      </c>
      <c r="Q43" s="102">
        <f t="shared" ref="Q43:R43" si="31">P43</f>
        <v>80</v>
      </c>
      <c r="R43" s="102">
        <f t="shared" si="31"/>
        <v>80</v>
      </c>
      <c r="AT43" s="306" t="str">
        <f t="shared" ref="AT43:BG43" si="32">AS43</f>
        <v/>
      </c>
      <c r="AU43" s="306" t="str">
        <f t="shared" si="32"/>
        <v/>
      </c>
      <c r="AV43" s="306" t="str">
        <f t="shared" si="32"/>
        <v/>
      </c>
      <c r="AW43" s="306" t="str">
        <f t="shared" si="32"/>
        <v/>
      </c>
      <c r="AX43" s="306" t="str">
        <f t="shared" si="32"/>
        <v/>
      </c>
      <c r="AY43" s="306" t="str">
        <f t="shared" si="32"/>
        <v/>
      </c>
      <c r="AZ43" s="306" t="str">
        <f t="shared" si="32"/>
        <v/>
      </c>
      <c r="BA43" s="306" t="str">
        <f t="shared" si="32"/>
        <v/>
      </c>
      <c r="BB43" s="306" t="str">
        <f t="shared" si="32"/>
        <v/>
      </c>
      <c r="BC43" s="306" t="str">
        <f t="shared" si="32"/>
        <v/>
      </c>
      <c r="BD43" s="306" t="str">
        <f t="shared" si="32"/>
        <v/>
      </c>
      <c r="BE43" s="306" t="str">
        <f t="shared" si="32"/>
        <v/>
      </c>
      <c r="BF43" s="306" t="str">
        <f t="shared" si="32"/>
        <v/>
      </c>
      <c r="BG43" s="306" t="str">
        <f t="shared" si="32"/>
        <v/>
      </c>
    </row>
    <row r="44" ht="12.75" customHeight="1" outlineLevel="1">
      <c r="A44" s="67"/>
      <c r="B44" s="90"/>
      <c r="C44" s="90" t="s">
        <v>169</v>
      </c>
      <c r="D44" s="90"/>
      <c r="E44" s="90"/>
      <c r="F44" s="90"/>
      <c r="G44" s="102" t="str">
        <f>'RS3'!J43</f>
        <v/>
      </c>
      <c r="H44" s="102">
        <f>'RS3'!K43</f>
        <v>0</v>
      </c>
      <c r="I44" s="102">
        <f>Assumptions!E42</f>
        <v>80</v>
      </c>
      <c r="J44" s="102">
        <f>Assumptions!F42</f>
        <v>80</v>
      </c>
      <c r="K44" s="102">
        <f>Assumptions!G42</f>
        <v>80</v>
      </c>
      <c r="L44" s="102">
        <f>Assumptions!H42</f>
        <v>80</v>
      </c>
      <c r="M44" s="102">
        <f>Assumptions!I42</f>
        <v>80</v>
      </c>
      <c r="N44" s="102">
        <f>Assumptions!J42</f>
        <v>80</v>
      </c>
      <c r="O44" s="102">
        <f>Assumptions!K42</f>
        <v>80</v>
      </c>
      <c r="P44" s="102">
        <f>Assumptions!L42</f>
        <v>80</v>
      </c>
      <c r="Q44" s="102">
        <f t="shared" ref="Q44:R44" si="33">P44</f>
        <v>80</v>
      </c>
      <c r="R44" s="102">
        <f t="shared" si="33"/>
        <v>80</v>
      </c>
      <c r="AT44" s="306" t="str">
        <f t="shared" ref="AT44:BG44" si="34">AS44</f>
        <v/>
      </c>
      <c r="AU44" s="306" t="str">
        <f t="shared" si="34"/>
        <v/>
      </c>
      <c r="AV44" s="306" t="str">
        <f t="shared" si="34"/>
        <v/>
      </c>
      <c r="AW44" s="306" t="str">
        <f t="shared" si="34"/>
        <v/>
      </c>
      <c r="AX44" s="306" t="str">
        <f t="shared" si="34"/>
        <v/>
      </c>
      <c r="AY44" s="306" t="str">
        <f t="shared" si="34"/>
        <v/>
      </c>
      <c r="AZ44" s="306" t="str">
        <f t="shared" si="34"/>
        <v/>
      </c>
      <c r="BA44" s="306" t="str">
        <f t="shared" si="34"/>
        <v/>
      </c>
      <c r="BB44" s="306" t="str">
        <f t="shared" si="34"/>
        <v/>
      </c>
      <c r="BC44" s="306" t="str">
        <f t="shared" si="34"/>
        <v/>
      </c>
      <c r="BD44" s="306" t="str">
        <f t="shared" si="34"/>
        <v/>
      </c>
      <c r="BE44" s="306" t="str">
        <f t="shared" si="34"/>
        <v/>
      </c>
      <c r="BF44" s="306" t="str">
        <f t="shared" si="34"/>
        <v/>
      </c>
      <c r="BG44" s="306" t="str">
        <f t="shared" si="34"/>
        <v/>
      </c>
    </row>
    <row r="45" ht="12.75" customHeight="1" outlineLevel="1">
      <c r="A45" s="67"/>
      <c r="B45" s="90"/>
      <c r="C45" s="90" t="s">
        <v>170</v>
      </c>
      <c r="D45" s="90"/>
      <c r="E45" s="90"/>
      <c r="F45" s="90"/>
      <c r="G45" s="102" t="str">
        <f>'RS3'!J44</f>
        <v/>
      </c>
      <c r="H45" s="102">
        <f>'RS3'!K44</f>
        <v>0</v>
      </c>
      <c r="I45" s="102">
        <f>Assumptions!E43</f>
        <v>0</v>
      </c>
      <c r="J45" s="102">
        <f>Assumptions!F43</f>
        <v>72</v>
      </c>
      <c r="K45" s="102">
        <f>Assumptions!G43</f>
        <v>75</v>
      </c>
      <c r="L45" s="102">
        <f>Assumptions!H43</f>
        <v>75</v>
      </c>
      <c r="M45" s="102">
        <f>Assumptions!I43</f>
        <v>75</v>
      </c>
      <c r="N45" s="102">
        <f>Assumptions!J43</f>
        <v>75</v>
      </c>
      <c r="O45" s="102">
        <f>Assumptions!K43</f>
        <v>75</v>
      </c>
      <c r="P45" s="102">
        <f>Assumptions!L43</f>
        <v>75</v>
      </c>
      <c r="Q45" s="102">
        <f t="shared" ref="Q45:R45" si="35">P45</f>
        <v>75</v>
      </c>
      <c r="R45" s="102">
        <f t="shared" si="35"/>
        <v>75</v>
      </c>
      <c r="AT45" s="306" t="str">
        <f t="shared" ref="AT45:BG45" si="36">AS45</f>
        <v/>
      </c>
      <c r="AU45" s="306" t="str">
        <f t="shared" si="36"/>
        <v/>
      </c>
      <c r="AV45" s="306" t="str">
        <f t="shared" si="36"/>
        <v/>
      </c>
      <c r="AW45" s="306" t="str">
        <f t="shared" si="36"/>
        <v/>
      </c>
      <c r="AX45" s="306" t="str">
        <f t="shared" si="36"/>
        <v/>
      </c>
      <c r="AY45" s="306" t="str">
        <f t="shared" si="36"/>
        <v/>
      </c>
      <c r="AZ45" s="306" t="str">
        <f t="shared" si="36"/>
        <v/>
      </c>
      <c r="BA45" s="306" t="str">
        <f t="shared" si="36"/>
        <v/>
      </c>
      <c r="BB45" s="306" t="str">
        <f t="shared" si="36"/>
        <v/>
      </c>
      <c r="BC45" s="306" t="str">
        <f t="shared" si="36"/>
        <v/>
      </c>
      <c r="BD45" s="306" t="str">
        <f t="shared" si="36"/>
        <v/>
      </c>
      <c r="BE45" s="306" t="str">
        <f t="shared" si="36"/>
        <v/>
      </c>
      <c r="BF45" s="306" t="str">
        <f t="shared" si="36"/>
        <v/>
      </c>
      <c r="BG45" s="306" t="str">
        <f t="shared" si="36"/>
        <v/>
      </c>
    </row>
    <row r="46" ht="12.75" customHeight="1" outlineLevel="1">
      <c r="A46" s="67"/>
      <c r="B46" s="87"/>
      <c r="C46" s="87" t="s">
        <v>171</v>
      </c>
      <c r="D46" s="87"/>
      <c r="E46" s="87"/>
      <c r="F46" s="87"/>
      <c r="G46" s="102" t="str">
        <f>'RS3'!J45</f>
        <v/>
      </c>
      <c r="H46" s="102">
        <f>'RS3'!K45</f>
        <v>0</v>
      </c>
      <c r="I46" s="102">
        <f>Assumptions!E44</f>
        <v>0</v>
      </c>
      <c r="J46" s="102">
        <f>Assumptions!F44</f>
        <v>0</v>
      </c>
      <c r="K46" s="102">
        <f>Assumptions!G44</f>
        <v>60</v>
      </c>
      <c r="L46" s="102">
        <f>Assumptions!H44</f>
        <v>60</v>
      </c>
      <c r="M46" s="102">
        <f>Assumptions!I44</f>
        <v>60</v>
      </c>
      <c r="N46" s="102">
        <f>Assumptions!J44</f>
        <v>60</v>
      </c>
      <c r="O46" s="102">
        <f>Assumptions!K44</f>
        <v>60</v>
      </c>
      <c r="P46" s="102">
        <f>Assumptions!L44</f>
        <v>60</v>
      </c>
      <c r="Q46" s="102">
        <f t="shared" ref="Q46:R46" si="37">P46</f>
        <v>60</v>
      </c>
      <c r="R46" s="102">
        <f t="shared" si="37"/>
        <v>60</v>
      </c>
      <c r="AT46" s="306" t="str">
        <f t="shared" ref="AT46:BG46" si="38">AS46</f>
        <v/>
      </c>
      <c r="AU46" s="306" t="str">
        <f t="shared" si="38"/>
        <v/>
      </c>
      <c r="AV46" s="306" t="str">
        <f t="shared" si="38"/>
        <v/>
      </c>
      <c r="AW46" s="306" t="str">
        <f t="shared" si="38"/>
        <v/>
      </c>
      <c r="AX46" s="306" t="str">
        <f t="shared" si="38"/>
        <v/>
      </c>
      <c r="AY46" s="306" t="str">
        <f t="shared" si="38"/>
        <v/>
      </c>
      <c r="AZ46" s="306" t="str">
        <f t="shared" si="38"/>
        <v/>
      </c>
      <c r="BA46" s="306" t="str">
        <f t="shared" si="38"/>
        <v/>
      </c>
      <c r="BB46" s="306" t="str">
        <f t="shared" si="38"/>
        <v/>
      </c>
      <c r="BC46" s="306" t="str">
        <f t="shared" si="38"/>
        <v/>
      </c>
      <c r="BD46" s="306" t="str">
        <f t="shared" si="38"/>
        <v/>
      </c>
      <c r="BE46" s="306" t="str">
        <f t="shared" si="38"/>
        <v/>
      </c>
      <c r="BF46" s="306" t="str">
        <f t="shared" si="38"/>
        <v/>
      </c>
      <c r="BG46" s="306" t="str">
        <f t="shared" si="38"/>
        <v/>
      </c>
    </row>
    <row r="47" ht="12.75" customHeight="1" outlineLevel="1">
      <c r="A47" s="67"/>
      <c r="B47" s="90" t="s">
        <v>619</v>
      </c>
      <c r="C47" s="90"/>
      <c r="D47" s="90"/>
      <c r="E47" s="90"/>
      <c r="F47" s="90"/>
      <c r="G47" s="285">
        <f t="shared" ref="G47:P47" si="39">SUM(G41:G46)</f>
        <v>0</v>
      </c>
      <c r="H47" s="285">
        <f t="shared" si="39"/>
        <v>0</v>
      </c>
      <c r="I47" s="285">
        <f t="shared" si="39"/>
        <v>392</v>
      </c>
      <c r="J47" s="285">
        <f t="shared" si="39"/>
        <v>464</v>
      </c>
      <c r="K47" s="285">
        <f t="shared" si="39"/>
        <v>500</v>
      </c>
      <c r="L47" s="285">
        <f t="shared" si="39"/>
        <v>500</v>
      </c>
      <c r="M47" s="285">
        <f t="shared" si="39"/>
        <v>500</v>
      </c>
      <c r="N47" s="285">
        <f t="shared" si="39"/>
        <v>500</v>
      </c>
      <c r="O47" s="285">
        <f t="shared" si="39"/>
        <v>500</v>
      </c>
      <c r="P47" s="285">
        <f t="shared" si="39"/>
        <v>500</v>
      </c>
      <c r="Q47" s="285">
        <f t="shared" ref="Q47:R47" si="40">P47</f>
        <v>500</v>
      </c>
      <c r="R47" s="285">
        <f t="shared" si="40"/>
        <v>500</v>
      </c>
      <c r="AT47" s="351">
        <f t="shared" ref="AT47:BG47" si="41">SUM(AT41:AT46)</f>
        <v>0</v>
      </c>
      <c r="AU47" s="351">
        <f t="shared" si="41"/>
        <v>0</v>
      </c>
      <c r="AV47" s="351">
        <f t="shared" si="41"/>
        <v>0</v>
      </c>
      <c r="AW47" s="351">
        <f t="shared" si="41"/>
        <v>0</v>
      </c>
      <c r="AX47" s="351">
        <f t="shared" si="41"/>
        <v>0</v>
      </c>
      <c r="AY47" s="351">
        <f t="shared" si="41"/>
        <v>0</v>
      </c>
      <c r="AZ47" s="351">
        <f t="shared" si="41"/>
        <v>0</v>
      </c>
      <c r="BA47" s="351">
        <f t="shared" si="41"/>
        <v>0</v>
      </c>
      <c r="BB47" s="351">
        <f t="shared" si="41"/>
        <v>0</v>
      </c>
      <c r="BC47" s="351">
        <f t="shared" si="41"/>
        <v>0</v>
      </c>
      <c r="BD47" s="351">
        <f t="shared" si="41"/>
        <v>0</v>
      </c>
      <c r="BE47" s="351">
        <f t="shared" si="41"/>
        <v>0</v>
      </c>
      <c r="BF47" s="351">
        <f t="shared" si="41"/>
        <v>0</v>
      </c>
      <c r="BG47" s="351">
        <f t="shared" si="41"/>
        <v>0</v>
      </c>
    </row>
    <row r="48" ht="12.75" customHeight="1" outlineLevel="1">
      <c r="A48" s="67"/>
      <c r="B48" s="90"/>
      <c r="C48" s="90"/>
      <c r="D48" s="90"/>
      <c r="E48" s="90"/>
      <c r="F48" s="90"/>
      <c r="G48" s="90"/>
      <c r="H48" s="90"/>
      <c r="I48" s="90"/>
      <c r="J48" s="90"/>
      <c r="K48" s="90"/>
      <c r="L48" s="90"/>
      <c r="M48" s="90"/>
      <c r="N48" s="90"/>
      <c r="O48" s="90"/>
      <c r="P48" s="90"/>
      <c r="Q48" s="90"/>
      <c r="R48" s="90"/>
      <c r="AT48" s="313"/>
      <c r="AU48" s="313"/>
      <c r="AV48" s="313"/>
      <c r="AW48" s="313"/>
      <c r="AX48" s="313"/>
      <c r="AY48" s="313"/>
      <c r="AZ48" s="313"/>
      <c r="BA48" s="313"/>
      <c r="BB48" s="313"/>
      <c r="BC48" s="313"/>
      <c r="BD48" s="313"/>
      <c r="BE48" s="313"/>
      <c r="BF48" s="313"/>
      <c r="BG48" s="313"/>
    </row>
    <row r="49" ht="12.75" customHeight="1" outlineLevel="1">
      <c r="A49" s="67"/>
      <c r="B49" s="90" t="s">
        <v>637</v>
      </c>
      <c r="C49" s="90"/>
      <c r="D49" s="90"/>
      <c r="E49" s="90"/>
      <c r="F49" s="90"/>
      <c r="G49" s="102">
        <v>0.0</v>
      </c>
      <c r="H49" s="102">
        <v>0.0</v>
      </c>
      <c r="I49" s="102">
        <f>I47</f>
        <v>392</v>
      </c>
      <c r="J49" s="102">
        <f t="shared" ref="J49:R49" si="42">J47-I47</f>
        <v>72</v>
      </c>
      <c r="K49" s="102">
        <f t="shared" si="42"/>
        <v>36</v>
      </c>
      <c r="L49" s="102">
        <f t="shared" si="42"/>
        <v>0</v>
      </c>
      <c r="M49" s="102">
        <f t="shared" si="42"/>
        <v>0</v>
      </c>
      <c r="N49" s="102">
        <f t="shared" si="42"/>
        <v>0</v>
      </c>
      <c r="O49" s="102">
        <f t="shared" si="42"/>
        <v>0</v>
      </c>
      <c r="P49" s="102">
        <f t="shared" si="42"/>
        <v>0</v>
      </c>
      <c r="Q49" s="102">
        <f t="shared" si="42"/>
        <v>0</v>
      </c>
      <c r="R49" s="102">
        <f t="shared" si="42"/>
        <v>0</v>
      </c>
      <c r="AT49" s="306" t="str">
        <f t="shared" ref="AT49:BG49" si="43">AS49</f>
        <v/>
      </c>
      <c r="AU49" s="306" t="str">
        <f t="shared" si="43"/>
        <v/>
      </c>
      <c r="AV49" s="306" t="str">
        <f t="shared" si="43"/>
        <v/>
      </c>
      <c r="AW49" s="306" t="str">
        <f t="shared" si="43"/>
        <v/>
      </c>
      <c r="AX49" s="306" t="str">
        <f t="shared" si="43"/>
        <v/>
      </c>
      <c r="AY49" s="306" t="str">
        <f t="shared" si="43"/>
        <v/>
      </c>
      <c r="AZ49" s="306" t="str">
        <f t="shared" si="43"/>
        <v/>
      </c>
      <c r="BA49" s="306" t="str">
        <f t="shared" si="43"/>
        <v/>
      </c>
      <c r="BB49" s="306" t="str">
        <f t="shared" si="43"/>
        <v/>
      </c>
      <c r="BC49" s="306" t="str">
        <f t="shared" si="43"/>
        <v/>
      </c>
      <c r="BD49" s="306" t="str">
        <f t="shared" si="43"/>
        <v/>
      </c>
      <c r="BE49" s="306" t="str">
        <f t="shared" si="43"/>
        <v/>
      </c>
      <c r="BF49" s="306" t="str">
        <f t="shared" si="43"/>
        <v/>
      </c>
      <c r="BG49" s="306" t="str">
        <f t="shared" si="43"/>
        <v/>
      </c>
    </row>
    <row r="50" ht="12.75" customHeight="1" outlineLevel="1">
      <c r="A50" s="67"/>
      <c r="B50" s="90"/>
      <c r="C50" s="90"/>
      <c r="D50" s="90"/>
      <c r="E50" s="90"/>
      <c r="F50" s="90"/>
      <c r="G50" s="90"/>
      <c r="H50" s="90"/>
      <c r="I50" s="90"/>
      <c r="J50" s="90"/>
      <c r="K50" s="90"/>
      <c r="L50" s="90"/>
      <c r="M50" s="90"/>
      <c r="N50" s="90"/>
      <c r="O50" s="90"/>
      <c r="P50" s="90"/>
      <c r="Q50" s="90"/>
      <c r="R50" s="90"/>
      <c r="AT50" s="313"/>
      <c r="AU50" s="313"/>
      <c r="AV50" s="313"/>
      <c r="AW50" s="313"/>
      <c r="AX50" s="313"/>
      <c r="AY50" s="313"/>
      <c r="AZ50" s="313"/>
      <c r="BA50" s="313"/>
      <c r="BB50" s="313"/>
      <c r="BC50" s="313"/>
      <c r="BD50" s="313"/>
      <c r="BE50" s="313"/>
      <c r="BF50" s="313"/>
      <c r="BG50" s="313"/>
    </row>
    <row r="51" ht="12.75" customHeight="1" outlineLevel="1">
      <c r="A51" s="67"/>
      <c r="B51" s="90" t="s">
        <v>638</v>
      </c>
      <c r="C51" s="90"/>
      <c r="D51" s="90"/>
      <c r="E51" s="90"/>
      <c r="F51" s="90"/>
      <c r="G51" s="152" t="str">
        <f>'RS3'!J50</f>
        <v/>
      </c>
      <c r="H51" s="152">
        <f>'RS3'!K50</f>
        <v>0</v>
      </c>
      <c r="I51" s="152">
        <f>1-Assumptions!$H$35</f>
        <v>1</v>
      </c>
      <c r="J51" s="152">
        <f>1-Assumptions!$H$35</f>
        <v>1</v>
      </c>
      <c r="K51" s="152">
        <f>1-Assumptions!$H$35</f>
        <v>1</v>
      </c>
      <c r="L51" s="152">
        <f>1-Assumptions!$H$35</f>
        <v>1</v>
      </c>
      <c r="M51" s="152">
        <f>1-Assumptions!$H$35</f>
        <v>1</v>
      </c>
      <c r="N51" s="152">
        <f>1-Assumptions!$H$35</f>
        <v>1</v>
      </c>
      <c r="O51" s="152">
        <f>1-Assumptions!$H$35</f>
        <v>1</v>
      </c>
      <c r="P51" s="152">
        <f>1-Assumptions!$H$35</f>
        <v>1</v>
      </c>
      <c r="Q51" s="152">
        <f>1-Assumptions!$H$35</f>
        <v>1</v>
      </c>
      <c r="R51" s="152">
        <f>1-Assumptions!$H$35</f>
        <v>1</v>
      </c>
      <c r="AT51" s="352" t="str">
        <f t="shared" ref="AT51:BG51" si="44">AS51</f>
        <v/>
      </c>
      <c r="AU51" s="352" t="str">
        <f t="shared" si="44"/>
        <v/>
      </c>
      <c r="AV51" s="352" t="str">
        <f t="shared" si="44"/>
        <v/>
      </c>
      <c r="AW51" s="352" t="str">
        <f t="shared" si="44"/>
        <v/>
      </c>
      <c r="AX51" s="352" t="str">
        <f t="shared" si="44"/>
        <v/>
      </c>
      <c r="AY51" s="352" t="str">
        <f t="shared" si="44"/>
        <v/>
      </c>
      <c r="AZ51" s="352" t="str">
        <f t="shared" si="44"/>
        <v/>
      </c>
      <c r="BA51" s="352" t="str">
        <f t="shared" si="44"/>
        <v/>
      </c>
      <c r="BB51" s="352" t="str">
        <f t="shared" si="44"/>
        <v/>
      </c>
      <c r="BC51" s="352" t="str">
        <f t="shared" si="44"/>
        <v/>
      </c>
      <c r="BD51" s="352" t="str">
        <f t="shared" si="44"/>
        <v/>
      </c>
      <c r="BE51" s="352" t="str">
        <f t="shared" si="44"/>
        <v/>
      </c>
      <c r="BF51" s="352" t="str">
        <f t="shared" si="44"/>
        <v/>
      </c>
      <c r="BG51" s="352" t="str">
        <f t="shared" si="44"/>
        <v/>
      </c>
    </row>
    <row r="52" ht="12.75" customHeight="1" outlineLevel="1">
      <c r="A52" s="67"/>
      <c r="B52" s="90"/>
      <c r="C52" s="90"/>
      <c r="D52" s="90"/>
      <c r="E52" s="90"/>
      <c r="F52" s="90"/>
      <c r="G52" s="90"/>
      <c r="H52" s="90"/>
      <c r="I52" s="90"/>
      <c r="J52" s="90"/>
      <c r="K52" s="90"/>
      <c r="L52" s="90"/>
      <c r="M52" s="90"/>
      <c r="N52" s="90"/>
      <c r="O52" s="90"/>
      <c r="P52" s="90"/>
      <c r="Q52" s="90"/>
      <c r="R52" s="90"/>
      <c r="AT52" s="313"/>
      <c r="AU52" s="313"/>
      <c r="AV52" s="313"/>
      <c r="AW52" s="313"/>
      <c r="AX52" s="313"/>
      <c r="AY52" s="313"/>
      <c r="AZ52" s="313"/>
      <c r="BA52" s="313"/>
      <c r="BB52" s="313"/>
      <c r="BC52" s="313"/>
      <c r="BD52" s="313"/>
      <c r="BE52" s="313"/>
      <c r="BF52" s="313"/>
      <c r="BG52" s="313"/>
    </row>
    <row r="53" ht="12.75" customHeight="1" outlineLevel="1">
      <c r="A53" s="67"/>
      <c r="B53" s="90" t="s">
        <v>639</v>
      </c>
      <c r="C53" s="90"/>
      <c r="D53" s="90"/>
      <c r="E53" s="90"/>
      <c r="F53" s="90"/>
      <c r="G53" s="152" t="str">
        <f>'RS3'!J52</f>
        <v/>
      </c>
      <c r="H53" s="152">
        <f>'RS3'!K52</f>
        <v>0</v>
      </c>
      <c r="I53" s="152">
        <f>'RS3'!L52</f>
        <v>0.96</v>
      </c>
      <c r="J53" s="152">
        <f>'RS3'!M52</f>
        <v>0.96</v>
      </c>
      <c r="K53" s="152">
        <f>'RS3'!N52</f>
        <v>0.96</v>
      </c>
      <c r="L53" s="152">
        <f>'RS3'!O52</f>
        <v>0.96</v>
      </c>
      <c r="M53" s="152">
        <f>'RS3'!P52</f>
        <v>0.96</v>
      </c>
      <c r="N53" s="152">
        <f>'RS3'!Q52</f>
        <v>0.96</v>
      </c>
      <c r="O53" s="152">
        <f>'RS3'!R52</f>
        <v>0.96</v>
      </c>
      <c r="P53" s="152">
        <f>'RS3'!S52</f>
        <v>0.96</v>
      </c>
      <c r="Q53" s="152">
        <f>'RS3'!T52</f>
        <v>0.96</v>
      </c>
      <c r="R53" s="152">
        <f>'RS3'!U52</f>
        <v>0.96</v>
      </c>
      <c r="AT53" s="352" t="str">
        <f t="shared" ref="AT53:BG53" si="45">AS53</f>
        <v/>
      </c>
      <c r="AU53" s="352" t="str">
        <f t="shared" si="45"/>
        <v/>
      </c>
      <c r="AV53" s="352" t="str">
        <f t="shared" si="45"/>
        <v/>
      </c>
      <c r="AW53" s="352" t="str">
        <f t="shared" si="45"/>
        <v/>
      </c>
      <c r="AX53" s="352" t="str">
        <f t="shared" si="45"/>
        <v/>
      </c>
      <c r="AY53" s="352" t="str">
        <f t="shared" si="45"/>
        <v/>
      </c>
      <c r="AZ53" s="352" t="str">
        <f t="shared" si="45"/>
        <v/>
      </c>
      <c r="BA53" s="352" t="str">
        <f t="shared" si="45"/>
        <v/>
      </c>
      <c r="BB53" s="352" t="str">
        <f t="shared" si="45"/>
        <v/>
      </c>
      <c r="BC53" s="352" t="str">
        <f t="shared" si="45"/>
        <v/>
      </c>
      <c r="BD53" s="352" t="str">
        <f t="shared" si="45"/>
        <v/>
      </c>
      <c r="BE53" s="352" t="str">
        <f t="shared" si="45"/>
        <v/>
      </c>
      <c r="BF53" s="352" t="str">
        <f t="shared" si="45"/>
        <v/>
      </c>
      <c r="BG53" s="352" t="str">
        <f t="shared" si="45"/>
        <v/>
      </c>
    </row>
    <row r="54" ht="12.75" customHeight="1" outlineLevel="1">
      <c r="A54" s="67"/>
      <c r="B54" s="90"/>
      <c r="C54" s="90" t="s">
        <v>640</v>
      </c>
      <c r="D54" s="90"/>
      <c r="E54" s="90"/>
      <c r="F54" s="90"/>
      <c r="G54" s="102">
        <f t="shared" ref="G54:R54" si="46">G51*G53*SUM(G41:G44)</f>
        <v>0</v>
      </c>
      <c r="H54" s="102">
        <f t="shared" si="46"/>
        <v>0</v>
      </c>
      <c r="I54" s="102">
        <f t="shared" si="46"/>
        <v>376.32</v>
      </c>
      <c r="J54" s="102">
        <f t="shared" si="46"/>
        <v>376.32</v>
      </c>
      <c r="K54" s="102">
        <f t="shared" si="46"/>
        <v>350.4</v>
      </c>
      <c r="L54" s="102">
        <f t="shared" si="46"/>
        <v>350.4</v>
      </c>
      <c r="M54" s="102">
        <f t="shared" si="46"/>
        <v>350.4</v>
      </c>
      <c r="N54" s="102">
        <f t="shared" si="46"/>
        <v>350.4</v>
      </c>
      <c r="O54" s="102">
        <f t="shared" si="46"/>
        <v>350.4</v>
      </c>
      <c r="P54" s="102">
        <f t="shared" si="46"/>
        <v>350.4</v>
      </c>
      <c r="Q54" s="102">
        <f t="shared" si="46"/>
        <v>350.4</v>
      </c>
      <c r="R54" s="102">
        <f t="shared" si="46"/>
        <v>350.4</v>
      </c>
      <c r="AT54" s="306">
        <f t="shared" ref="AT54:BG54" si="47">AT51*AT53*SUM(AT41:AT44)</f>
        <v>0</v>
      </c>
      <c r="AU54" s="306">
        <f t="shared" si="47"/>
        <v>0</v>
      </c>
      <c r="AV54" s="306">
        <f t="shared" si="47"/>
        <v>0</v>
      </c>
      <c r="AW54" s="306">
        <f t="shared" si="47"/>
        <v>0</v>
      </c>
      <c r="AX54" s="306">
        <f t="shared" si="47"/>
        <v>0</v>
      </c>
      <c r="AY54" s="306">
        <f t="shared" si="47"/>
        <v>0</v>
      </c>
      <c r="AZ54" s="306">
        <f t="shared" si="47"/>
        <v>0</v>
      </c>
      <c r="BA54" s="306">
        <f t="shared" si="47"/>
        <v>0</v>
      </c>
      <c r="BB54" s="306">
        <f t="shared" si="47"/>
        <v>0</v>
      </c>
      <c r="BC54" s="306">
        <f t="shared" si="47"/>
        <v>0</v>
      </c>
      <c r="BD54" s="306">
        <f t="shared" si="47"/>
        <v>0</v>
      </c>
      <c r="BE54" s="306">
        <f t="shared" si="47"/>
        <v>0</v>
      </c>
      <c r="BF54" s="306">
        <f t="shared" si="47"/>
        <v>0</v>
      </c>
      <c r="BG54" s="306">
        <f t="shared" si="47"/>
        <v>0</v>
      </c>
    </row>
    <row r="55" ht="12.75" customHeight="1" outlineLevel="1">
      <c r="A55" s="67"/>
      <c r="B55" s="90"/>
      <c r="C55" s="90" t="s">
        <v>641</v>
      </c>
      <c r="D55" s="90"/>
      <c r="E55" s="90"/>
      <c r="F55" s="90"/>
      <c r="G55" s="102">
        <f t="shared" ref="G55:R55" si="48">G51*G53*(G45+G46)</f>
        <v>0</v>
      </c>
      <c r="H55" s="102">
        <f t="shared" si="48"/>
        <v>0</v>
      </c>
      <c r="I55" s="102">
        <f t="shared" si="48"/>
        <v>0</v>
      </c>
      <c r="J55" s="102">
        <f t="shared" si="48"/>
        <v>69.12</v>
      </c>
      <c r="K55" s="102">
        <f t="shared" si="48"/>
        <v>129.6</v>
      </c>
      <c r="L55" s="102">
        <f t="shared" si="48"/>
        <v>129.6</v>
      </c>
      <c r="M55" s="102">
        <f t="shared" si="48"/>
        <v>129.6</v>
      </c>
      <c r="N55" s="102">
        <f t="shared" si="48"/>
        <v>129.6</v>
      </c>
      <c r="O55" s="102">
        <f t="shared" si="48"/>
        <v>129.6</v>
      </c>
      <c r="P55" s="102">
        <f t="shared" si="48"/>
        <v>129.6</v>
      </c>
      <c r="Q55" s="102">
        <f t="shared" si="48"/>
        <v>129.6</v>
      </c>
      <c r="R55" s="102">
        <f t="shared" si="48"/>
        <v>129.6</v>
      </c>
      <c r="AT55" s="306">
        <f t="shared" ref="AT55:BG55" si="49">AT51*AT53*(AT45+AT46)</f>
        <v>0</v>
      </c>
      <c r="AU55" s="306">
        <f t="shared" si="49"/>
        <v>0</v>
      </c>
      <c r="AV55" s="306">
        <f t="shared" si="49"/>
        <v>0</v>
      </c>
      <c r="AW55" s="306">
        <f t="shared" si="49"/>
        <v>0</v>
      </c>
      <c r="AX55" s="306">
        <f t="shared" si="49"/>
        <v>0</v>
      </c>
      <c r="AY55" s="306">
        <f t="shared" si="49"/>
        <v>0</v>
      </c>
      <c r="AZ55" s="306">
        <f t="shared" si="49"/>
        <v>0</v>
      </c>
      <c r="BA55" s="306">
        <f t="shared" si="49"/>
        <v>0</v>
      </c>
      <c r="BB55" s="306">
        <f t="shared" si="49"/>
        <v>0</v>
      </c>
      <c r="BC55" s="306">
        <f t="shared" si="49"/>
        <v>0</v>
      </c>
      <c r="BD55" s="306">
        <f t="shared" si="49"/>
        <v>0</v>
      </c>
      <c r="BE55" s="306">
        <f t="shared" si="49"/>
        <v>0</v>
      </c>
      <c r="BF55" s="306">
        <f t="shared" si="49"/>
        <v>0</v>
      </c>
      <c r="BG55" s="306">
        <f t="shared" si="49"/>
        <v>0</v>
      </c>
    </row>
    <row r="56" ht="12.75" customHeight="1" outlineLevel="1">
      <c r="A56" s="67"/>
      <c r="B56" s="148" t="s">
        <v>538</v>
      </c>
      <c r="C56" s="148"/>
      <c r="D56" s="148"/>
      <c r="E56" s="148"/>
      <c r="F56" s="148"/>
      <c r="G56" s="285">
        <f t="shared" ref="G56:R56" si="50">G51*G53*G47</f>
        <v>0</v>
      </c>
      <c r="H56" s="285">
        <f t="shared" si="50"/>
        <v>0</v>
      </c>
      <c r="I56" s="285">
        <f t="shared" si="50"/>
        <v>376.32</v>
      </c>
      <c r="J56" s="285">
        <f t="shared" si="50"/>
        <v>445.44</v>
      </c>
      <c r="K56" s="285">
        <f t="shared" si="50"/>
        <v>480</v>
      </c>
      <c r="L56" s="285">
        <f t="shared" si="50"/>
        <v>480</v>
      </c>
      <c r="M56" s="285">
        <f t="shared" si="50"/>
        <v>480</v>
      </c>
      <c r="N56" s="285">
        <f t="shared" si="50"/>
        <v>480</v>
      </c>
      <c r="O56" s="285">
        <f t="shared" si="50"/>
        <v>480</v>
      </c>
      <c r="P56" s="285">
        <f t="shared" si="50"/>
        <v>480</v>
      </c>
      <c r="Q56" s="285">
        <f t="shared" si="50"/>
        <v>480</v>
      </c>
      <c r="R56" s="285">
        <f t="shared" si="50"/>
        <v>480</v>
      </c>
      <c r="AT56" s="351">
        <f t="shared" ref="AT56:BG56" si="51">AT51*AT53*AT47</f>
        <v>0</v>
      </c>
      <c r="AU56" s="351">
        <f t="shared" si="51"/>
        <v>0</v>
      </c>
      <c r="AV56" s="351">
        <f t="shared" si="51"/>
        <v>0</v>
      </c>
      <c r="AW56" s="351">
        <f t="shared" si="51"/>
        <v>0</v>
      </c>
      <c r="AX56" s="351">
        <f t="shared" si="51"/>
        <v>0</v>
      </c>
      <c r="AY56" s="351">
        <f t="shared" si="51"/>
        <v>0</v>
      </c>
      <c r="AZ56" s="351">
        <f t="shared" si="51"/>
        <v>0</v>
      </c>
      <c r="BA56" s="351">
        <f t="shared" si="51"/>
        <v>0</v>
      </c>
      <c r="BB56" s="351">
        <f t="shared" si="51"/>
        <v>0</v>
      </c>
      <c r="BC56" s="351">
        <f t="shared" si="51"/>
        <v>0</v>
      </c>
      <c r="BD56" s="351">
        <f t="shared" si="51"/>
        <v>0</v>
      </c>
      <c r="BE56" s="351">
        <f t="shared" si="51"/>
        <v>0</v>
      </c>
      <c r="BF56" s="351">
        <f t="shared" si="51"/>
        <v>0</v>
      </c>
      <c r="BG56" s="351">
        <f t="shared" si="51"/>
        <v>0</v>
      </c>
    </row>
    <row r="57" ht="12.75" customHeight="1" outlineLevel="1">
      <c r="A57" s="67"/>
      <c r="B57" s="195"/>
      <c r="C57" s="90"/>
      <c r="D57" s="90"/>
      <c r="E57" s="90"/>
      <c r="F57" s="90"/>
      <c r="G57" s="90"/>
      <c r="H57" s="90"/>
      <c r="I57" s="90"/>
      <c r="J57" s="90"/>
      <c r="K57" s="90"/>
      <c r="L57" s="90"/>
      <c r="M57" s="90"/>
      <c r="N57" s="90"/>
      <c r="O57" s="90"/>
      <c r="P57" s="90"/>
      <c r="Q57" s="90"/>
      <c r="R57" s="90"/>
      <c r="AT57" s="313"/>
      <c r="AU57" s="313"/>
      <c r="AV57" s="313"/>
      <c r="AW57" s="313"/>
      <c r="AX57" s="313"/>
      <c r="AY57" s="313"/>
      <c r="AZ57" s="313"/>
      <c r="BA57" s="313"/>
      <c r="BB57" s="313"/>
      <c r="BC57" s="313"/>
      <c r="BD57" s="313"/>
      <c r="BE57" s="313"/>
      <c r="BF57" s="313"/>
      <c r="BG57" s="313"/>
    </row>
    <row r="58" ht="12.75" customHeight="1" outlineLevel="1">
      <c r="A58" s="67"/>
      <c r="B58" s="90" t="s">
        <v>642</v>
      </c>
      <c r="C58" s="90"/>
      <c r="D58" s="90"/>
      <c r="E58" s="90"/>
      <c r="F58" s="90"/>
      <c r="G58" s="152" t="str">
        <f>'RSGen 1-7'!G58</f>
        <v/>
      </c>
      <c r="H58" s="152">
        <f>'RSGen 1-7'!H58</f>
        <v>0</v>
      </c>
      <c r="I58" s="152">
        <f>'RSGen 1-7'!I58</f>
        <v>0.7</v>
      </c>
      <c r="J58" s="152">
        <f>'RSGen 1-7'!J58</f>
        <v>0.7</v>
      </c>
      <c r="K58" s="152">
        <f>'RSGen 1-7'!K58</f>
        <v>0.7</v>
      </c>
      <c r="L58" s="152">
        <f>'RSGen 1-7'!L58</f>
        <v>0.7</v>
      </c>
      <c r="M58" s="152">
        <f>'RSGen 1-7'!M58</f>
        <v>0.7</v>
      </c>
      <c r="N58" s="152">
        <f>'RSGen 1-7'!N58</f>
        <v>0.7</v>
      </c>
      <c r="O58" s="152">
        <f>'RSGen 1-7'!O58</f>
        <v>0.7</v>
      </c>
      <c r="P58" s="152">
        <f>'RSGen 1-7'!P58</f>
        <v>0.7</v>
      </c>
      <c r="Q58" s="152">
        <f>'RSGen 1-7'!Q58</f>
        <v>0.7</v>
      </c>
      <c r="R58" s="152">
        <f>'RSGen 1-7'!R58</f>
        <v>0.7</v>
      </c>
      <c r="AT58" s="352" t="str">
        <f t="shared" ref="AT58:BG58" si="52">AS58</f>
        <v/>
      </c>
      <c r="AU58" s="352" t="str">
        <f t="shared" si="52"/>
        <v/>
      </c>
      <c r="AV58" s="352" t="str">
        <f t="shared" si="52"/>
        <v/>
      </c>
      <c r="AW58" s="352" t="str">
        <f t="shared" si="52"/>
        <v/>
      </c>
      <c r="AX58" s="352" t="str">
        <f t="shared" si="52"/>
        <v/>
      </c>
      <c r="AY58" s="352" t="str">
        <f t="shared" si="52"/>
        <v/>
      </c>
      <c r="AZ58" s="352" t="str">
        <f t="shared" si="52"/>
        <v/>
      </c>
      <c r="BA58" s="352" t="str">
        <f t="shared" si="52"/>
        <v/>
      </c>
      <c r="BB58" s="352" t="str">
        <f t="shared" si="52"/>
        <v/>
      </c>
      <c r="BC58" s="352" t="str">
        <f t="shared" si="52"/>
        <v/>
      </c>
      <c r="BD58" s="352" t="str">
        <f t="shared" si="52"/>
        <v/>
      </c>
      <c r="BE58" s="352" t="str">
        <f t="shared" si="52"/>
        <v/>
      </c>
      <c r="BF58" s="352" t="str">
        <f t="shared" si="52"/>
        <v/>
      </c>
      <c r="BG58" s="352" t="str">
        <f t="shared" si="52"/>
        <v/>
      </c>
    </row>
    <row r="59" ht="12.75" customHeight="1" outlineLevel="1">
      <c r="A59" s="67"/>
      <c r="B59" s="90" t="s">
        <v>643</v>
      </c>
      <c r="C59" s="90"/>
      <c r="D59" s="90"/>
      <c r="E59" s="90"/>
      <c r="F59" s="90"/>
      <c r="G59" s="102">
        <f>'RSGen 1-7'!G59</f>
        <v>0</v>
      </c>
      <c r="H59" s="102">
        <f>'RSGen 1-7'!H59</f>
        <v>0</v>
      </c>
      <c r="I59" s="102">
        <f>'RSGen 1-7'!I59</f>
        <v>274</v>
      </c>
      <c r="J59" s="102">
        <f>'RSGen 1-7'!J59</f>
        <v>325</v>
      </c>
      <c r="K59" s="102">
        <f>'RSGen 1-7'!K59</f>
        <v>350</v>
      </c>
      <c r="L59" s="102">
        <f>'RSGen 1-7'!L59</f>
        <v>350</v>
      </c>
      <c r="M59" s="102">
        <f>'RSGen 1-7'!M59</f>
        <v>350</v>
      </c>
      <c r="N59" s="102">
        <f>'RSGen 1-7'!N59</f>
        <v>350</v>
      </c>
      <c r="O59" s="102">
        <f>'RSGen 1-7'!O59</f>
        <v>350</v>
      </c>
      <c r="P59" s="102">
        <f>'RSGen 1-7'!P59</f>
        <v>350</v>
      </c>
      <c r="Q59" s="102">
        <f>'RSGen 1-7'!Q59</f>
        <v>350</v>
      </c>
      <c r="R59" s="102">
        <f>'RSGen 1-7'!R59</f>
        <v>350</v>
      </c>
      <c r="AT59" s="306">
        <f t="shared" ref="AT59:BG59" si="53">ROUND(AT51*AT58*AT47,0)</f>
        <v>0</v>
      </c>
      <c r="AU59" s="306">
        <f t="shared" si="53"/>
        <v>0</v>
      </c>
      <c r="AV59" s="306">
        <f t="shared" si="53"/>
        <v>0</v>
      </c>
      <c r="AW59" s="306">
        <f t="shared" si="53"/>
        <v>0</v>
      </c>
      <c r="AX59" s="306">
        <f t="shared" si="53"/>
        <v>0</v>
      </c>
      <c r="AY59" s="306">
        <f t="shared" si="53"/>
        <v>0</v>
      </c>
      <c r="AZ59" s="306">
        <f t="shared" si="53"/>
        <v>0</v>
      </c>
      <c r="BA59" s="306">
        <f t="shared" si="53"/>
        <v>0</v>
      </c>
      <c r="BB59" s="306">
        <f t="shared" si="53"/>
        <v>0</v>
      </c>
      <c r="BC59" s="306">
        <f t="shared" si="53"/>
        <v>0</v>
      </c>
      <c r="BD59" s="306">
        <f t="shared" si="53"/>
        <v>0</v>
      </c>
      <c r="BE59" s="306">
        <f t="shared" si="53"/>
        <v>0</v>
      </c>
      <c r="BF59" s="306">
        <f t="shared" si="53"/>
        <v>0</v>
      </c>
      <c r="BG59" s="306">
        <f t="shared" si="53"/>
        <v>0</v>
      </c>
    </row>
    <row r="60" ht="12.75" customHeight="1" outlineLevel="1">
      <c r="A60" s="67"/>
      <c r="B60" s="90" t="s">
        <v>644</v>
      </c>
      <c r="C60" s="90"/>
      <c r="D60" s="90"/>
      <c r="E60" s="90"/>
      <c r="F60" s="90"/>
      <c r="G60" s="152">
        <f>'RSGen 1-7'!G60</f>
        <v>0</v>
      </c>
      <c r="H60" s="152">
        <f>'RSGen 1-7'!H60</f>
        <v>0</v>
      </c>
      <c r="I60" s="152">
        <f>'RSGen 1-7'!I60</f>
        <v>0.06</v>
      </c>
      <c r="J60" s="152">
        <f>'RSGen 1-7'!J60</f>
        <v>0.06</v>
      </c>
      <c r="K60" s="152">
        <f>'RSGen 1-7'!K60</f>
        <v>0.06</v>
      </c>
      <c r="L60" s="152">
        <f>'RSGen 1-7'!L60</f>
        <v>0.06</v>
      </c>
      <c r="M60" s="152">
        <f>'RSGen 1-7'!M60</f>
        <v>0.06</v>
      </c>
      <c r="N60" s="152">
        <f>'RSGen 1-7'!N60</f>
        <v>0.06</v>
      </c>
      <c r="O60" s="152">
        <f>'RSGen 1-7'!O60</f>
        <v>0.06</v>
      </c>
      <c r="P60" s="152">
        <f>'RSGen 1-7'!P60</f>
        <v>0.06</v>
      </c>
      <c r="Q60" s="152">
        <f>'RSGen 1-7'!Q60</f>
        <v>0.06</v>
      </c>
      <c r="R60" s="152">
        <f>'RSGen 1-7'!R60</f>
        <v>0.06</v>
      </c>
      <c r="AT60" s="352" t="str">
        <f t="shared" ref="AT60:BG60" si="54">AS60</f>
        <v/>
      </c>
      <c r="AU60" s="352" t="str">
        <f t="shared" si="54"/>
        <v/>
      </c>
      <c r="AV60" s="352" t="str">
        <f t="shared" si="54"/>
        <v/>
      </c>
      <c r="AW60" s="352" t="str">
        <f t="shared" si="54"/>
        <v/>
      </c>
      <c r="AX60" s="352" t="str">
        <f t="shared" si="54"/>
        <v/>
      </c>
      <c r="AY60" s="352" t="str">
        <f t="shared" si="54"/>
        <v/>
      </c>
      <c r="AZ60" s="352" t="str">
        <f t="shared" si="54"/>
        <v/>
      </c>
      <c r="BA60" s="352" t="str">
        <f t="shared" si="54"/>
        <v/>
      </c>
      <c r="BB60" s="352" t="str">
        <f t="shared" si="54"/>
        <v/>
      </c>
      <c r="BC60" s="352" t="str">
        <f t="shared" si="54"/>
        <v/>
      </c>
      <c r="BD60" s="352" t="str">
        <f t="shared" si="54"/>
        <v/>
      </c>
      <c r="BE60" s="352" t="str">
        <f t="shared" si="54"/>
        <v/>
      </c>
      <c r="BF60" s="352" t="str">
        <f t="shared" si="54"/>
        <v/>
      </c>
      <c r="BG60" s="352" t="str">
        <f t="shared" si="54"/>
        <v/>
      </c>
    </row>
    <row r="61" ht="12.75" customHeight="1" outlineLevel="1">
      <c r="A61" s="67"/>
      <c r="B61" s="90" t="s">
        <v>645</v>
      </c>
      <c r="C61" s="90"/>
      <c r="D61" s="90"/>
      <c r="E61" s="90"/>
      <c r="F61" s="90"/>
      <c r="G61" s="152">
        <f>'RSGen 1-7'!G61</f>
        <v>0</v>
      </c>
      <c r="H61" s="152">
        <f>'RSGen 1-7'!H61</f>
        <v>0</v>
      </c>
      <c r="I61" s="152">
        <f>'RSGen 1-7'!I61</f>
        <v>0.8</v>
      </c>
      <c r="J61" s="152">
        <f>'RSGen 1-7'!J61</f>
        <v>0.8</v>
      </c>
      <c r="K61" s="152">
        <f>'RSGen 1-7'!K61</f>
        <v>0.8</v>
      </c>
      <c r="L61" s="152">
        <f>'RSGen 1-7'!L61</f>
        <v>0.8</v>
      </c>
      <c r="M61" s="152">
        <f>'RSGen 1-7'!M61</f>
        <v>0.8</v>
      </c>
      <c r="N61" s="152">
        <f>'RSGen 1-7'!N61</f>
        <v>0.8</v>
      </c>
      <c r="O61" s="152">
        <f>'RSGen 1-7'!O61</f>
        <v>0.8</v>
      </c>
      <c r="P61" s="152">
        <f>'RSGen 1-7'!P61</f>
        <v>0.8</v>
      </c>
      <c r="Q61" s="152">
        <f>'RSGen 1-7'!Q61</f>
        <v>0.8</v>
      </c>
      <c r="R61" s="152">
        <f>'RSGen 1-7'!R61</f>
        <v>0.8</v>
      </c>
      <c r="AT61" s="352" t="str">
        <f t="shared" ref="AT61:BG61" si="55">AS61</f>
        <v/>
      </c>
      <c r="AU61" s="352" t="str">
        <f t="shared" si="55"/>
        <v/>
      </c>
      <c r="AV61" s="352" t="str">
        <f t="shared" si="55"/>
        <v/>
      </c>
      <c r="AW61" s="352" t="str">
        <f t="shared" si="55"/>
        <v/>
      </c>
      <c r="AX61" s="352" t="str">
        <f t="shared" si="55"/>
        <v/>
      </c>
      <c r="AY61" s="352" t="str">
        <f t="shared" si="55"/>
        <v/>
      </c>
      <c r="AZ61" s="352" t="str">
        <f t="shared" si="55"/>
        <v/>
      </c>
      <c r="BA61" s="352" t="str">
        <f t="shared" si="55"/>
        <v/>
      </c>
      <c r="BB61" s="352" t="str">
        <f t="shared" si="55"/>
        <v/>
      </c>
      <c r="BC61" s="352" t="str">
        <f t="shared" si="55"/>
        <v/>
      </c>
      <c r="BD61" s="352" t="str">
        <f t="shared" si="55"/>
        <v/>
      </c>
      <c r="BE61" s="352" t="str">
        <f t="shared" si="55"/>
        <v/>
      </c>
      <c r="BF61" s="352" t="str">
        <f t="shared" si="55"/>
        <v/>
      </c>
      <c r="BG61" s="352" t="str">
        <f t="shared" si="55"/>
        <v/>
      </c>
    </row>
    <row r="62" ht="12.75" customHeight="1" outlineLevel="1">
      <c r="A62" s="67"/>
      <c r="B62" s="90" t="s">
        <v>646</v>
      </c>
      <c r="C62" s="90"/>
      <c r="D62" s="90"/>
      <c r="E62" s="90"/>
      <c r="F62" s="90"/>
      <c r="G62" s="102">
        <f>'RSGen 1-7'!G62</f>
        <v>0</v>
      </c>
      <c r="H62" s="102">
        <f>'RSGen 1-7'!H62</f>
        <v>0</v>
      </c>
      <c r="I62" s="102">
        <f>'RSGen 1-7'!I62</f>
        <v>16.44</v>
      </c>
      <c r="J62" s="102">
        <f>'RSGen 1-7'!J62</f>
        <v>19.5</v>
      </c>
      <c r="K62" s="102">
        <f>'RSGen 1-7'!K62</f>
        <v>21</v>
      </c>
      <c r="L62" s="102">
        <f>'RSGen 1-7'!L62</f>
        <v>21</v>
      </c>
      <c r="M62" s="102">
        <f>'RSGen 1-7'!M62</f>
        <v>21</v>
      </c>
      <c r="N62" s="102">
        <f>'RSGen 1-7'!N62</f>
        <v>21</v>
      </c>
      <c r="O62" s="102">
        <f>'RSGen 1-7'!O62</f>
        <v>21</v>
      </c>
      <c r="P62" s="102">
        <f>'RSGen 1-7'!P62</f>
        <v>21</v>
      </c>
      <c r="Q62" s="102">
        <f>'RSGen 1-7'!Q62</f>
        <v>21</v>
      </c>
      <c r="R62" s="102">
        <f>'RSGen 1-7'!R62</f>
        <v>21</v>
      </c>
      <c r="AT62" s="306">
        <f t="shared" ref="AT62:BG62" si="56">AT59*AT60</f>
        <v>0</v>
      </c>
      <c r="AU62" s="306">
        <f t="shared" si="56"/>
        <v>0</v>
      </c>
      <c r="AV62" s="306">
        <f t="shared" si="56"/>
        <v>0</v>
      </c>
      <c r="AW62" s="306">
        <f t="shared" si="56"/>
        <v>0</v>
      </c>
      <c r="AX62" s="306">
        <f t="shared" si="56"/>
        <v>0</v>
      </c>
      <c r="AY62" s="306">
        <f t="shared" si="56"/>
        <v>0</v>
      </c>
      <c r="AZ62" s="306">
        <f t="shared" si="56"/>
        <v>0</v>
      </c>
      <c r="BA62" s="306">
        <f t="shared" si="56"/>
        <v>0</v>
      </c>
      <c r="BB62" s="306">
        <f t="shared" si="56"/>
        <v>0</v>
      </c>
      <c r="BC62" s="306">
        <f t="shared" si="56"/>
        <v>0</v>
      </c>
      <c r="BD62" s="306">
        <f t="shared" si="56"/>
        <v>0</v>
      </c>
      <c r="BE62" s="306">
        <f t="shared" si="56"/>
        <v>0</v>
      </c>
      <c r="BF62" s="306">
        <f t="shared" si="56"/>
        <v>0</v>
      </c>
      <c r="BG62" s="306">
        <f t="shared" si="56"/>
        <v>0</v>
      </c>
    </row>
    <row r="63" ht="12.75" customHeight="1" outlineLevel="1">
      <c r="A63" s="90"/>
      <c r="B63" s="90" t="s">
        <v>647</v>
      </c>
      <c r="C63" s="90"/>
      <c r="D63" s="90"/>
      <c r="E63" s="90"/>
      <c r="F63" s="90"/>
      <c r="G63" s="102">
        <f>'RSGen 1-7'!G63</f>
        <v>0</v>
      </c>
      <c r="H63" s="102">
        <f>'RSGen 1-7'!H63</f>
        <v>0</v>
      </c>
      <c r="I63" s="102">
        <f>'RSGen 1-7'!I63</f>
        <v>15.7824</v>
      </c>
      <c r="J63" s="102">
        <f>'RSGen 1-7'!J63</f>
        <v>18.72</v>
      </c>
      <c r="K63" s="102">
        <f>'RSGen 1-7'!K63</f>
        <v>20.16</v>
      </c>
      <c r="L63" s="102">
        <f>'RSGen 1-7'!L63</f>
        <v>20.16</v>
      </c>
      <c r="M63" s="102">
        <f>'RSGen 1-7'!M63</f>
        <v>20.16</v>
      </c>
      <c r="N63" s="102">
        <f>'RSGen 1-7'!N63</f>
        <v>20.16</v>
      </c>
      <c r="O63" s="102">
        <f>'RSGen 1-7'!O63</f>
        <v>20.16</v>
      </c>
      <c r="P63" s="102">
        <f>'RSGen 1-7'!P63</f>
        <v>20.16</v>
      </c>
      <c r="Q63" s="102">
        <f>'RSGen 1-7'!Q63</f>
        <v>20.16</v>
      </c>
      <c r="R63" s="102">
        <f>'RSGen 1-7'!R63</f>
        <v>20.16</v>
      </c>
      <c r="AT63" s="306">
        <f t="shared" ref="AT63:BG63" si="57">AT62*AT53</f>
        <v>0</v>
      </c>
      <c r="AU63" s="306">
        <f t="shared" si="57"/>
        <v>0</v>
      </c>
      <c r="AV63" s="306">
        <f t="shared" si="57"/>
        <v>0</v>
      </c>
      <c r="AW63" s="306">
        <f t="shared" si="57"/>
        <v>0</v>
      </c>
      <c r="AX63" s="306">
        <f t="shared" si="57"/>
        <v>0</v>
      </c>
      <c r="AY63" s="306">
        <f t="shared" si="57"/>
        <v>0</v>
      </c>
      <c r="AZ63" s="306">
        <f t="shared" si="57"/>
        <v>0</v>
      </c>
      <c r="BA63" s="306">
        <f t="shared" si="57"/>
        <v>0</v>
      </c>
      <c r="BB63" s="306">
        <f t="shared" si="57"/>
        <v>0</v>
      </c>
      <c r="BC63" s="306">
        <f t="shared" si="57"/>
        <v>0</v>
      </c>
      <c r="BD63" s="306">
        <f t="shared" si="57"/>
        <v>0</v>
      </c>
      <c r="BE63" s="306">
        <f t="shared" si="57"/>
        <v>0</v>
      </c>
      <c r="BF63" s="306">
        <f t="shared" si="57"/>
        <v>0</v>
      </c>
      <c r="BG63" s="306">
        <f t="shared" si="57"/>
        <v>0</v>
      </c>
    </row>
    <row r="64" ht="12.75" customHeight="1" outlineLevel="1">
      <c r="A64" s="67"/>
      <c r="B64" s="90" t="s">
        <v>648</v>
      </c>
      <c r="C64" s="90"/>
      <c r="D64" s="90"/>
      <c r="E64" s="90"/>
      <c r="F64" s="90"/>
      <c r="G64" s="102">
        <f>'RSGen 1-7'!G64</f>
        <v>0</v>
      </c>
      <c r="H64" s="102">
        <f>'RSGen 1-7'!H64</f>
        <v>0</v>
      </c>
      <c r="I64" s="102">
        <f>'RSGen 1-7'!I64</f>
        <v>263.04</v>
      </c>
      <c r="J64" s="102">
        <f>'RSGen 1-7'!J64</f>
        <v>312</v>
      </c>
      <c r="K64" s="102">
        <f>'RSGen 1-7'!K64</f>
        <v>336</v>
      </c>
      <c r="L64" s="102">
        <f>'RSGen 1-7'!L64</f>
        <v>336</v>
      </c>
      <c r="M64" s="102">
        <f>'RSGen 1-7'!M64</f>
        <v>336</v>
      </c>
      <c r="N64" s="102">
        <f>'RSGen 1-7'!N64</f>
        <v>336</v>
      </c>
      <c r="O64" s="102">
        <f>'RSGen 1-7'!O64</f>
        <v>336</v>
      </c>
      <c r="P64" s="102">
        <f>'RSGen 1-7'!P64</f>
        <v>336</v>
      </c>
      <c r="Q64" s="102">
        <f>'RSGen 1-7'!Q64</f>
        <v>336</v>
      </c>
      <c r="R64" s="102">
        <f>'RSGen 1-7'!R64</f>
        <v>336</v>
      </c>
      <c r="AT64" s="306">
        <f t="shared" ref="AT64:BG64" si="58">AT59*AT53</f>
        <v>0</v>
      </c>
      <c r="AU64" s="306">
        <f t="shared" si="58"/>
        <v>0</v>
      </c>
      <c r="AV64" s="306">
        <f t="shared" si="58"/>
        <v>0</v>
      </c>
      <c r="AW64" s="306">
        <f t="shared" si="58"/>
        <v>0</v>
      </c>
      <c r="AX64" s="306">
        <f t="shared" si="58"/>
        <v>0</v>
      </c>
      <c r="AY64" s="306">
        <f t="shared" si="58"/>
        <v>0</v>
      </c>
      <c r="AZ64" s="306">
        <f t="shared" si="58"/>
        <v>0</v>
      </c>
      <c r="BA64" s="306">
        <f t="shared" si="58"/>
        <v>0</v>
      </c>
      <c r="BB64" s="306">
        <f t="shared" si="58"/>
        <v>0</v>
      </c>
      <c r="BC64" s="306">
        <f t="shared" si="58"/>
        <v>0</v>
      </c>
      <c r="BD64" s="306">
        <f t="shared" si="58"/>
        <v>0</v>
      </c>
      <c r="BE64" s="306">
        <f t="shared" si="58"/>
        <v>0</v>
      </c>
      <c r="BF64" s="306">
        <f t="shared" si="58"/>
        <v>0</v>
      </c>
      <c r="BG64" s="306">
        <f t="shared" si="58"/>
        <v>0</v>
      </c>
    </row>
    <row r="65" ht="12.75" customHeight="1" outlineLevel="1">
      <c r="A65" s="67"/>
      <c r="B65" s="90" t="s">
        <v>649</v>
      </c>
      <c r="C65" s="90"/>
      <c r="D65" s="90"/>
      <c r="E65" s="90"/>
      <c r="F65" s="90"/>
      <c r="G65" s="102">
        <f>'RSGen 1-7'!G65</f>
        <v>0</v>
      </c>
      <c r="H65" s="102">
        <f>'RSGen 1-7'!H65</f>
        <v>0</v>
      </c>
      <c r="I65" s="102">
        <f>'RSGen 1-7'!I65</f>
        <v>219.2</v>
      </c>
      <c r="J65" s="102">
        <f>'RSGen 1-7'!J65</f>
        <v>260</v>
      </c>
      <c r="K65" s="102">
        <f>'RSGen 1-7'!K65</f>
        <v>280</v>
      </c>
      <c r="L65" s="102">
        <f>'RSGen 1-7'!L65</f>
        <v>280</v>
      </c>
      <c r="M65" s="102">
        <f>'RSGen 1-7'!M65</f>
        <v>280</v>
      </c>
      <c r="N65" s="102">
        <f>'RSGen 1-7'!N65</f>
        <v>280</v>
      </c>
      <c r="O65" s="102">
        <f>'RSGen 1-7'!O65</f>
        <v>280</v>
      </c>
      <c r="P65" s="102">
        <f>'RSGen 1-7'!P65</f>
        <v>280</v>
      </c>
      <c r="Q65" s="102">
        <f>'RSGen 1-7'!Q65</f>
        <v>280</v>
      </c>
      <c r="R65" s="102">
        <f>'RSGen 1-7'!R65</f>
        <v>280</v>
      </c>
      <c r="AT65" s="306">
        <f t="shared" ref="AT65:BG65" si="59">AT59*AT61</f>
        <v>0</v>
      </c>
      <c r="AU65" s="306">
        <f t="shared" si="59"/>
        <v>0</v>
      </c>
      <c r="AV65" s="306">
        <f t="shared" si="59"/>
        <v>0</v>
      </c>
      <c r="AW65" s="306">
        <f t="shared" si="59"/>
        <v>0</v>
      </c>
      <c r="AX65" s="306">
        <f t="shared" si="59"/>
        <v>0</v>
      </c>
      <c r="AY65" s="306">
        <f t="shared" si="59"/>
        <v>0</v>
      </c>
      <c r="AZ65" s="306">
        <f t="shared" si="59"/>
        <v>0</v>
      </c>
      <c r="BA65" s="306">
        <f t="shared" si="59"/>
        <v>0</v>
      </c>
      <c r="BB65" s="306">
        <f t="shared" si="59"/>
        <v>0</v>
      </c>
      <c r="BC65" s="306">
        <f t="shared" si="59"/>
        <v>0</v>
      </c>
      <c r="BD65" s="306">
        <f t="shared" si="59"/>
        <v>0</v>
      </c>
      <c r="BE65" s="306">
        <f t="shared" si="59"/>
        <v>0</v>
      </c>
      <c r="BF65" s="306">
        <f t="shared" si="59"/>
        <v>0</v>
      </c>
      <c r="BG65" s="306">
        <f t="shared" si="59"/>
        <v>0</v>
      </c>
    </row>
    <row r="66" ht="12.75" customHeight="1" outlineLevel="1">
      <c r="A66" s="90"/>
      <c r="B66" s="90" t="s">
        <v>650</v>
      </c>
      <c r="C66" s="90"/>
      <c r="D66" s="90"/>
      <c r="E66" s="90"/>
      <c r="F66" s="90"/>
      <c r="G66" s="102">
        <f>'RSGen 1-7'!G66</f>
        <v>0</v>
      </c>
      <c r="H66" s="102">
        <f>'RSGen 1-7'!H66</f>
        <v>0</v>
      </c>
      <c r="I66" s="102">
        <f>'RSGen 1-7'!I66</f>
        <v>210.432</v>
      </c>
      <c r="J66" s="102">
        <f>'RSGen 1-7'!J66</f>
        <v>249.6</v>
      </c>
      <c r="K66" s="102">
        <f>'RSGen 1-7'!K66</f>
        <v>268.8</v>
      </c>
      <c r="L66" s="102">
        <f>'RSGen 1-7'!L66</f>
        <v>268.8</v>
      </c>
      <c r="M66" s="102">
        <f>'RSGen 1-7'!M66</f>
        <v>268.8</v>
      </c>
      <c r="N66" s="102">
        <f>'RSGen 1-7'!N66</f>
        <v>268.8</v>
      </c>
      <c r="O66" s="102">
        <f>'RSGen 1-7'!O66</f>
        <v>268.8</v>
      </c>
      <c r="P66" s="102">
        <f>'RSGen 1-7'!P66</f>
        <v>268.8</v>
      </c>
      <c r="Q66" s="102">
        <f>'RSGen 1-7'!Q66</f>
        <v>268.8</v>
      </c>
      <c r="R66" s="102">
        <f>'RSGen 1-7'!R66</f>
        <v>268.8</v>
      </c>
      <c r="AT66" s="306">
        <f t="shared" ref="AT66:BG66" si="60">AT53*AT65</f>
        <v>0</v>
      </c>
      <c r="AU66" s="306">
        <f t="shared" si="60"/>
        <v>0</v>
      </c>
      <c r="AV66" s="306">
        <f t="shared" si="60"/>
        <v>0</v>
      </c>
      <c r="AW66" s="306">
        <f t="shared" si="60"/>
        <v>0</v>
      </c>
      <c r="AX66" s="306">
        <f t="shared" si="60"/>
        <v>0</v>
      </c>
      <c r="AY66" s="306">
        <f t="shared" si="60"/>
        <v>0</v>
      </c>
      <c r="AZ66" s="306">
        <f t="shared" si="60"/>
        <v>0</v>
      </c>
      <c r="BA66" s="306">
        <f t="shared" si="60"/>
        <v>0</v>
      </c>
      <c r="BB66" s="306">
        <f t="shared" si="60"/>
        <v>0</v>
      </c>
      <c r="BC66" s="306">
        <f t="shared" si="60"/>
        <v>0</v>
      </c>
      <c r="BD66" s="306">
        <f t="shared" si="60"/>
        <v>0</v>
      </c>
      <c r="BE66" s="306">
        <f t="shared" si="60"/>
        <v>0</v>
      </c>
      <c r="BF66" s="306">
        <f t="shared" si="60"/>
        <v>0</v>
      </c>
      <c r="BG66" s="306">
        <f t="shared" si="60"/>
        <v>0</v>
      </c>
    </row>
    <row r="67" ht="12.75" customHeight="1" outlineLevel="1">
      <c r="A67" s="67"/>
      <c r="B67" s="90" t="s">
        <v>651</v>
      </c>
      <c r="C67" s="90"/>
      <c r="D67" s="90"/>
      <c r="E67" s="90"/>
      <c r="F67" s="90"/>
      <c r="G67" s="102">
        <f>'RSGen 1-7'!G67</f>
        <v>0</v>
      </c>
      <c r="H67" s="102">
        <f>'RSGen 1-7'!H67</f>
        <v>0</v>
      </c>
      <c r="I67" s="102">
        <f>'RSGen 1-7'!I67</f>
        <v>263.04</v>
      </c>
      <c r="J67" s="102">
        <f>'RSGen 1-7'!J67</f>
        <v>312</v>
      </c>
      <c r="K67" s="102">
        <f>'RSGen 1-7'!K67</f>
        <v>336</v>
      </c>
      <c r="L67" s="102">
        <f>'RSGen 1-7'!L67</f>
        <v>336</v>
      </c>
      <c r="M67" s="102">
        <f>'RSGen 1-7'!M67</f>
        <v>336</v>
      </c>
      <c r="N67" s="102">
        <f>'RSGen 1-7'!N67</f>
        <v>336</v>
      </c>
      <c r="O67" s="102">
        <f>'RSGen 1-7'!O67</f>
        <v>336</v>
      </c>
      <c r="P67" s="102">
        <f>'RSGen 1-7'!P67</f>
        <v>336</v>
      </c>
      <c r="Q67" s="102">
        <f>'RSGen 1-7'!Q67</f>
        <v>336</v>
      </c>
      <c r="R67" s="102">
        <f>'RSGen 1-7'!R67</f>
        <v>336</v>
      </c>
      <c r="AT67" s="306">
        <f t="shared" ref="AT67:BG67" si="61">AT53*AT59</f>
        <v>0</v>
      </c>
      <c r="AU67" s="306">
        <f t="shared" si="61"/>
        <v>0</v>
      </c>
      <c r="AV67" s="306">
        <f t="shared" si="61"/>
        <v>0</v>
      </c>
      <c r="AW67" s="306">
        <f t="shared" si="61"/>
        <v>0</v>
      </c>
      <c r="AX67" s="306">
        <f t="shared" si="61"/>
        <v>0</v>
      </c>
      <c r="AY67" s="306">
        <f t="shared" si="61"/>
        <v>0</v>
      </c>
      <c r="AZ67" s="306">
        <f t="shared" si="61"/>
        <v>0</v>
      </c>
      <c r="BA67" s="306">
        <f t="shared" si="61"/>
        <v>0</v>
      </c>
      <c r="BB67" s="306">
        <f t="shared" si="61"/>
        <v>0</v>
      </c>
      <c r="BC67" s="306">
        <f t="shared" si="61"/>
        <v>0</v>
      </c>
      <c r="BD67" s="306">
        <f t="shared" si="61"/>
        <v>0</v>
      </c>
      <c r="BE67" s="306">
        <f t="shared" si="61"/>
        <v>0</v>
      </c>
      <c r="BF67" s="306">
        <f t="shared" si="61"/>
        <v>0</v>
      </c>
      <c r="BG67" s="306">
        <f t="shared" si="61"/>
        <v>0</v>
      </c>
    </row>
    <row r="68" ht="12.75" customHeight="1" outlineLevel="1">
      <c r="A68" s="67"/>
      <c r="B68" s="90"/>
      <c r="C68" s="90"/>
      <c r="D68" s="90"/>
      <c r="E68" s="90"/>
      <c r="F68" s="90"/>
      <c r="G68" s="353"/>
      <c r="H68" s="353"/>
      <c r="I68" s="353"/>
      <c r="J68" s="353"/>
      <c r="K68" s="353"/>
      <c r="L68" s="353"/>
      <c r="M68" s="353"/>
      <c r="N68" s="353"/>
      <c r="O68" s="353"/>
      <c r="P68" s="353"/>
      <c r="Q68" s="353"/>
      <c r="R68" s="353"/>
      <c r="AT68" s="354"/>
      <c r="AU68" s="354"/>
      <c r="AV68" s="354"/>
      <c r="AW68" s="354"/>
      <c r="AX68" s="354"/>
      <c r="AY68" s="354"/>
      <c r="AZ68" s="354"/>
      <c r="BA68" s="354"/>
      <c r="BB68" s="354"/>
      <c r="BC68" s="354"/>
      <c r="BD68" s="354"/>
      <c r="BE68" s="354"/>
      <c r="BF68" s="354"/>
      <c r="BG68" s="354"/>
    </row>
    <row r="69" ht="12.75" customHeight="1" outlineLevel="1">
      <c r="A69" s="67"/>
      <c r="B69" s="90" t="s">
        <v>652</v>
      </c>
      <c r="C69" s="90"/>
      <c r="D69" s="90"/>
      <c r="E69" s="90"/>
      <c r="F69" s="90"/>
      <c r="G69" s="152" t="str">
        <f>'RSGen 1-7'!G69</f>
        <v/>
      </c>
      <c r="H69" s="152">
        <f>'RSGen 1-7'!H69</f>
        <v>0</v>
      </c>
      <c r="I69" s="152">
        <f>'RSGen 1-7'!I69</f>
        <v>0.5</v>
      </c>
      <c r="J69" s="152">
        <f>'RSGen 1-7'!J69</f>
        <v>0.5</v>
      </c>
      <c r="K69" s="152">
        <f>'RSGen 1-7'!K69</f>
        <v>0.5</v>
      </c>
      <c r="L69" s="152">
        <f>'RSGen 1-7'!L69</f>
        <v>0.5</v>
      </c>
      <c r="M69" s="152">
        <f>'RSGen 1-7'!M69</f>
        <v>0.5</v>
      </c>
      <c r="N69" s="152">
        <f>'RSGen 1-7'!N69</f>
        <v>0.5</v>
      </c>
      <c r="O69" s="152">
        <f>'RSGen 1-7'!O69</f>
        <v>0.5</v>
      </c>
      <c r="P69" s="152">
        <f>'RSGen 1-7'!P69</f>
        <v>0.5</v>
      </c>
      <c r="Q69" s="152">
        <f>'RSGen 1-7'!Q69</f>
        <v>0.5</v>
      </c>
      <c r="R69" s="152">
        <f>'RSGen 1-7'!R69</f>
        <v>0.5</v>
      </c>
      <c r="AT69" s="352" t="str">
        <f t="shared" ref="AT69:BG69" si="62">AS69</f>
        <v/>
      </c>
      <c r="AU69" s="352" t="str">
        <f t="shared" si="62"/>
        <v/>
      </c>
      <c r="AV69" s="352" t="str">
        <f t="shared" si="62"/>
        <v/>
      </c>
      <c r="AW69" s="352" t="str">
        <f t="shared" si="62"/>
        <v/>
      </c>
      <c r="AX69" s="352" t="str">
        <f t="shared" si="62"/>
        <v/>
      </c>
      <c r="AY69" s="352" t="str">
        <f t="shared" si="62"/>
        <v/>
      </c>
      <c r="AZ69" s="352" t="str">
        <f t="shared" si="62"/>
        <v/>
      </c>
      <c r="BA69" s="352" t="str">
        <f t="shared" si="62"/>
        <v/>
      </c>
      <c r="BB69" s="352" t="str">
        <f t="shared" si="62"/>
        <v/>
      </c>
      <c r="BC69" s="352" t="str">
        <f t="shared" si="62"/>
        <v/>
      </c>
      <c r="BD69" s="352" t="str">
        <f t="shared" si="62"/>
        <v/>
      </c>
      <c r="BE69" s="352" t="str">
        <f t="shared" si="62"/>
        <v/>
      </c>
      <c r="BF69" s="352" t="str">
        <f t="shared" si="62"/>
        <v/>
      </c>
      <c r="BG69" s="352" t="str">
        <f t="shared" si="62"/>
        <v/>
      </c>
    </row>
    <row r="70" ht="12.75" customHeight="1" outlineLevel="1">
      <c r="A70" s="67"/>
      <c r="B70" s="90" t="s">
        <v>653</v>
      </c>
      <c r="C70" s="90"/>
      <c r="D70" s="90"/>
      <c r="E70" s="90"/>
      <c r="F70" s="90"/>
      <c r="G70" s="102">
        <f>'RSGen 1-7'!G70</f>
        <v>0</v>
      </c>
      <c r="H70" s="102">
        <f>'RSGen 1-7'!H70</f>
        <v>0</v>
      </c>
      <c r="I70" s="102">
        <f>'RSGen 1-7'!I70</f>
        <v>196</v>
      </c>
      <c r="J70" s="102">
        <f>'RSGen 1-7'!J70</f>
        <v>232</v>
      </c>
      <c r="K70" s="102">
        <f>'RSGen 1-7'!K70</f>
        <v>250</v>
      </c>
      <c r="L70" s="102">
        <f>'RSGen 1-7'!L70</f>
        <v>250</v>
      </c>
      <c r="M70" s="102">
        <f>'RSGen 1-7'!M70</f>
        <v>250</v>
      </c>
      <c r="N70" s="102">
        <f>'RSGen 1-7'!N70</f>
        <v>250</v>
      </c>
      <c r="O70" s="102">
        <f>'RSGen 1-7'!O70</f>
        <v>250</v>
      </c>
      <c r="P70" s="102">
        <f>'RSGen 1-7'!P70</f>
        <v>250</v>
      </c>
      <c r="Q70" s="102">
        <f>'RSGen 1-7'!Q70</f>
        <v>250</v>
      </c>
      <c r="R70" s="102">
        <f>'RSGen 1-7'!R70</f>
        <v>250</v>
      </c>
      <c r="AT70" s="306">
        <f t="shared" ref="AT70:BG70" si="63">ROUND(AT51*AT69*AT47,0)</f>
        <v>0</v>
      </c>
      <c r="AU70" s="306">
        <f t="shared" si="63"/>
        <v>0</v>
      </c>
      <c r="AV70" s="306">
        <f t="shared" si="63"/>
        <v>0</v>
      </c>
      <c r="AW70" s="306">
        <f t="shared" si="63"/>
        <v>0</v>
      </c>
      <c r="AX70" s="306">
        <f t="shared" si="63"/>
        <v>0</v>
      </c>
      <c r="AY70" s="306">
        <f t="shared" si="63"/>
        <v>0</v>
      </c>
      <c r="AZ70" s="306">
        <f t="shared" si="63"/>
        <v>0</v>
      </c>
      <c r="BA70" s="306">
        <f t="shared" si="63"/>
        <v>0</v>
      </c>
      <c r="BB70" s="306">
        <f t="shared" si="63"/>
        <v>0</v>
      </c>
      <c r="BC70" s="306">
        <f t="shared" si="63"/>
        <v>0</v>
      </c>
      <c r="BD70" s="306">
        <f t="shared" si="63"/>
        <v>0</v>
      </c>
      <c r="BE70" s="306">
        <f t="shared" si="63"/>
        <v>0</v>
      </c>
      <c r="BF70" s="306">
        <f t="shared" si="63"/>
        <v>0</v>
      </c>
      <c r="BG70" s="306">
        <f t="shared" si="63"/>
        <v>0</v>
      </c>
    </row>
    <row r="71" ht="12.75" customHeight="1" outlineLevel="1">
      <c r="A71" s="67"/>
      <c r="B71" s="90" t="s">
        <v>654</v>
      </c>
      <c r="C71" s="90"/>
      <c r="D71" s="90"/>
      <c r="E71" s="90"/>
      <c r="F71" s="90"/>
      <c r="G71" s="102">
        <f>'RSGen 1-7'!G71</f>
        <v>0</v>
      </c>
      <c r="H71" s="102">
        <f>'RSGen 1-7'!H71</f>
        <v>0</v>
      </c>
      <c r="I71" s="102">
        <f>'RSGen 1-7'!I71</f>
        <v>188.16</v>
      </c>
      <c r="J71" s="102">
        <f>'RSGen 1-7'!J71</f>
        <v>222.72</v>
      </c>
      <c r="K71" s="102">
        <f>'RSGen 1-7'!K71</f>
        <v>240</v>
      </c>
      <c r="L71" s="102">
        <f>'RSGen 1-7'!L71</f>
        <v>240</v>
      </c>
      <c r="M71" s="102">
        <f>'RSGen 1-7'!M71</f>
        <v>240</v>
      </c>
      <c r="N71" s="102">
        <f>'RSGen 1-7'!N71</f>
        <v>240</v>
      </c>
      <c r="O71" s="102">
        <f>'RSGen 1-7'!O71</f>
        <v>240</v>
      </c>
      <c r="P71" s="102">
        <f>'RSGen 1-7'!P71</f>
        <v>240</v>
      </c>
      <c r="Q71" s="102">
        <f>'RSGen 1-7'!Q71</f>
        <v>240</v>
      </c>
      <c r="R71" s="102">
        <f>'RSGen 1-7'!R71</f>
        <v>240</v>
      </c>
      <c r="AT71" s="306">
        <f t="shared" ref="AT71:BG71" si="64">AT70*AT53</f>
        <v>0</v>
      </c>
      <c r="AU71" s="306">
        <f t="shared" si="64"/>
        <v>0</v>
      </c>
      <c r="AV71" s="306">
        <f t="shared" si="64"/>
        <v>0</v>
      </c>
      <c r="AW71" s="306">
        <f t="shared" si="64"/>
        <v>0</v>
      </c>
      <c r="AX71" s="306">
        <f t="shared" si="64"/>
        <v>0</v>
      </c>
      <c r="AY71" s="306">
        <f t="shared" si="64"/>
        <v>0</v>
      </c>
      <c r="AZ71" s="306">
        <f t="shared" si="64"/>
        <v>0</v>
      </c>
      <c r="BA71" s="306">
        <f t="shared" si="64"/>
        <v>0</v>
      </c>
      <c r="BB71" s="306">
        <f t="shared" si="64"/>
        <v>0</v>
      </c>
      <c r="BC71" s="306">
        <f t="shared" si="64"/>
        <v>0</v>
      </c>
      <c r="BD71" s="306">
        <f t="shared" si="64"/>
        <v>0</v>
      </c>
      <c r="BE71" s="306">
        <f t="shared" si="64"/>
        <v>0</v>
      </c>
      <c r="BF71" s="306">
        <f t="shared" si="64"/>
        <v>0</v>
      </c>
      <c r="BG71" s="306">
        <f t="shared" si="64"/>
        <v>0</v>
      </c>
    </row>
    <row r="72" ht="12.75" customHeight="1" outlineLevel="1">
      <c r="A72" s="67"/>
      <c r="B72" s="90"/>
      <c r="C72" s="90"/>
      <c r="D72" s="90"/>
      <c r="E72" s="90"/>
      <c r="F72" s="90"/>
      <c r="G72" s="90"/>
      <c r="H72" s="90"/>
      <c r="I72" s="90"/>
      <c r="J72" s="90"/>
      <c r="K72" s="90"/>
      <c r="L72" s="90"/>
      <c r="M72" s="90"/>
      <c r="N72" s="90"/>
      <c r="O72" s="90"/>
      <c r="P72" s="90"/>
      <c r="Q72" s="90"/>
      <c r="R72" s="90"/>
      <c r="AT72" s="313"/>
      <c r="AU72" s="313"/>
      <c r="AV72" s="313"/>
      <c r="AW72" s="313"/>
      <c r="AX72" s="313"/>
      <c r="AY72" s="313"/>
      <c r="AZ72" s="313"/>
      <c r="BA72" s="313"/>
      <c r="BB72" s="313"/>
      <c r="BC72" s="313"/>
      <c r="BD72" s="313"/>
      <c r="BE72" s="313"/>
      <c r="BF72" s="313"/>
      <c r="BG72" s="313"/>
    </row>
    <row r="73" ht="12.75" customHeight="1" outlineLevel="1">
      <c r="A73" s="67"/>
      <c r="B73" s="90" t="s">
        <v>655</v>
      </c>
      <c r="C73" s="90"/>
      <c r="D73" s="90"/>
      <c r="E73" s="90"/>
      <c r="F73" s="90"/>
      <c r="G73" s="152" t="str">
        <f>'RSGen 1-7'!G73</f>
        <v/>
      </c>
      <c r="H73" s="152">
        <f>'RSGen 1-7'!H73</f>
        <v>0</v>
      </c>
      <c r="I73" s="152">
        <f>'RSGen 1-7'!I73</f>
        <v>0.7</v>
      </c>
      <c r="J73" s="152">
        <f>'RSGen 1-7'!J73</f>
        <v>0.665</v>
      </c>
      <c r="K73" s="152">
        <f>'RSGen 1-7'!K73</f>
        <v>0.63175</v>
      </c>
      <c r="L73" s="152">
        <f>'RSGen 1-7'!L73</f>
        <v>0.6001625</v>
      </c>
      <c r="M73" s="152">
        <f>'RSGen 1-7'!M73</f>
        <v>0.570154375</v>
      </c>
      <c r="N73" s="152">
        <f>'RSGen 1-7'!N73</f>
        <v>0.5416466563</v>
      </c>
      <c r="O73" s="152">
        <f>'RSGen 1-7'!O73</f>
        <v>0.5145643234</v>
      </c>
      <c r="P73" s="152">
        <f>'RSGen 1-7'!P73</f>
        <v>0.5</v>
      </c>
      <c r="Q73" s="152">
        <f>'RSGen 1-7'!Q73</f>
        <v>0.5</v>
      </c>
      <c r="R73" s="152">
        <f>'RSGen 1-7'!R73</f>
        <v>0.5</v>
      </c>
      <c r="AT73" s="352" t="str">
        <f t="shared" ref="AT73:BG73" si="65">AS73</f>
        <v/>
      </c>
      <c r="AU73" s="352" t="str">
        <f t="shared" si="65"/>
        <v/>
      </c>
      <c r="AV73" s="352" t="str">
        <f t="shared" si="65"/>
        <v/>
      </c>
      <c r="AW73" s="352" t="str">
        <f t="shared" si="65"/>
        <v/>
      </c>
      <c r="AX73" s="352" t="str">
        <f t="shared" si="65"/>
        <v/>
      </c>
      <c r="AY73" s="352" t="str">
        <f t="shared" si="65"/>
        <v/>
      </c>
      <c r="AZ73" s="352" t="str">
        <f t="shared" si="65"/>
        <v/>
      </c>
      <c r="BA73" s="352" t="str">
        <f t="shared" si="65"/>
        <v/>
      </c>
      <c r="BB73" s="352" t="str">
        <f t="shared" si="65"/>
        <v/>
      </c>
      <c r="BC73" s="352" t="str">
        <f t="shared" si="65"/>
        <v/>
      </c>
      <c r="BD73" s="352" t="str">
        <f t="shared" si="65"/>
        <v/>
      </c>
      <c r="BE73" s="352" t="str">
        <f t="shared" si="65"/>
        <v/>
      </c>
      <c r="BF73" s="352" t="str">
        <f t="shared" si="65"/>
        <v/>
      </c>
      <c r="BG73" s="352" t="str">
        <f t="shared" si="65"/>
        <v/>
      </c>
    </row>
    <row r="74" ht="12.75" customHeight="1" outlineLevel="1">
      <c r="A74" s="67"/>
      <c r="B74" s="90" t="s">
        <v>656</v>
      </c>
      <c r="C74" s="90"/>
      <c r="D74" s="90"/>
      <c r="E74" s="90"/>
      <c r="F74" s="90"/>
      <c r="G74" s="102">
        <f>'RSGen 1-7'!G74</f>
        <v>0</v>
      </c>
      <c r="H74" s="102">
        <f>'RSGen 1-7'!H74</f>
        <v>0</v>
      </c>
      <c r="I74" s="102">
        <f>'RSGen 1-7'!I74</f>
        <v>274</v>
      </c>
      <c r="J74" s="102">
        <f>'RSGen 1-7'!J74</f>
        <v>309</v>
      </c>
      <c r="K74" s="102">
        <f>'RSGen 1-7'!K74</f>
        <v>316</v>
      </c>
      <c r="L74" s="102">
        <f>'RSGen 1-7'!L74</f>
        <v>300</v>
      </c>
      <c r="M74" s="102">
        <f>'RSGen 1-7'!M74</f>
        <v>285</v>
      </c>
      <c r="N74" s="102">
        <f>'RSGen 1-7'!N74</f>
        <v>271</v>
      </c>
      <c r="O74" s="102">
        <f>'RSGen 1-7'!O74</f>
        <v>257</v>
      </c>
      <c r="P74" s="102">
        <f>'RSGen 1-7'!P74</f>
        <v>250</v>
      </c>
      <c r="Q74" s="102">
        <f>'RSGen 1-7'!Q74</f>
        <v>250</v>
      </c>
      <c r="R74" s="102">
        <f>'RSGen 1-7'!R74</f>
        <v>250</v>
      </c>
      <c r="AT74" s="306">
        <f t="shared" ref="AT74:BG74" si="66">ROUND(AT51*AT73*AT$47,0)</f>
        <v>0</v>
      </c>
      <c r="AU74" s="306">
        <f t="shared" si="66"/>
        <v>0</v>
      </c>
      <c r="AV74" s="306">
        <f t="shared" si="66"/>
        <v>0</v>
      </c>
      <c r="AW74" s="306">
        <f t="shared" si="66"/>
        <v>0</v>
      </c>
      <c r="AX74" s="306">
        <f t="shared" si="66"/>
        <v>0</v>
      </c>
      <c r="AY74" s="306">
        <f t="shared" si="66"/>
        <v>0</v>
      </c>
      <c r="AZ74" s="306">
        <f t="shared" si="66"/>
        <v>0</v>
      </c>
      <c r="BA74" s="306">
        <f t="shared" si="66"/>
        <v>0</v>
      </c>
      <c r="BB74" s="306">
        <f t="shared" si="66"/>
        <v>0</v>
      </c>
      <c r="BC74" s="306">
        <f t="shared" si="66"/>
        <v>0</v>
      </c>
      <c r="BD74" s="306">
        <f t="shared" si="66"/>
        <v>0</v>
      </c>
      <c r="BE74" s="306">
        <f t="shared" si="66"/>
        <v>0</v>
      </c>
      <c r="BF74" s="306">
        <f t="shared" si="66"/>
        <v>0</v>
      </c>
      <c r="BG74" s="306">
        <f t="shared" si="66"/>
        <v>0</v>
      </c>
    </row>
    <row r="75" ht="12.75" customHeight="1" outlineLevel="1">
      <c r="A75" s="67"/>
      <c r="B75" s="90" t="s">
        <v>657</v>
      </c>
      <c r="C75" s="90"/>
      <c r="D75" s="90"/>
      <c r="E75" s="90"/>
      <c r="F75" s="90"/>
      <c r="G75" s="102">
        <f>'RSGen 1-7'!G75</f>
        <v>0</v>
      </c>
      <c r="H75" s="102">
        <f>'RSGen 1-7'!H75</f>
        <v>0</v>
      </c>
      <c r="I75" s="102">
        <f>'RSGen 1-7'!I75</f>
        <v>263.04</v>
      </c>
      <c r="J75" s="102">
        <f>'RSGen 1-7'!J75</f>
        <v>296.64</v>
      </c>
      <c r="K75" s="102">
        <f>'RSGen 1-7'!K75</f>
        <v>303.36</v>
      </c>
      <c r="L75" s="102">
        <f>'RSGen 1-7'!L75</f>
        <v>288</v>
      </c>
      <c r="M75" s="102">
        <f>'RSGen 1-7'!M75</f>
        <v>273.6</v>
      </c>
      <c r="N75" s="102">
        <f>'RSGen 1-7'!N75</f>
        <v>260.16</v>
      </c>
      <c r="O75" s="102">
        <f>'RSGen 1-7'!O75</f>
        <v>246.72</v>
      </c>
      <c r="P75" s="102">
        <f>'RSGen 1-7'!P75</f>
        <v>240</v>
      </c>
      <c r="Q75" s="102">
        <f>'RSGen 1-7'!Q75</f>
        <v>240</v>
      </c>
      <c r="R75" s="102">
        <f>'RSGen 1-7'!R75</f>
        <v>240</v>
      </c>
      <c r="AT75" s="306">
        <f t="shared" ref="AT75:BG75" si="67">AT74*AT$53</f>
        <v>0</v>
      </c>
      <c r="AU75" s="306">
        <f t="shared" si="67"/>
        <v>0</v>
      </c>
      <c r="AV75" s="306">
        <f t="shared" si="67"/>
        <v>0</v>
      </c>
      <c r="AW75" s="306">
        <f t="shared" si="67"/>
        <v>0</v>
      </c>
      <c r="AX75" s="306">
        <f t="shared" si="67"/>
        <v>0</v>
      </c>
      <c r="AY75" s="306">
        <f t="shared" si="67"/>
        <v>0</v>
      </c>
      <c r="AZ75" s="306">
        <f t="shared" si="67"/>
        <v>0</v>
      </c>
      <c r="BA75" s="306">
        <f t="shared" si="67"/>
        <v>0</v>
      </c>
      <c r="BB75" s="306">
        <f t="shared" si="67"/>
        <v>0</v>
      </c>
      <c r="BC75" s="306">
        <f t="shared" si="67"/>
        <v>0</v>
      </c>
      <c r="BD75" s="306">
        <f t="shared" si="67"/>
        <v>0</v>
      </c>
      <c r="BE75" s="306">
        <f t="shared" si="67"/>
        <v>0</v>
      </c>
      <c r="BF75" s="306">
        <f t="shared" si="67"/>
        <v>0</v>
      </c>
      <c r="BG75" s="306">
        <f t="shared" si="67"/>
        <v>0</v>
      </c>
    </row>
    <row r="76" ht="12.75" customHeight="1" outlineLevel="1">
      <c r="A76" s="67"/>
      <c r="B76" s="90"/>
      <c r="C76" s="90"/>
      <c r="D76" s="90"/>
      <c r="E76" s="90"/>
      <c r="F76" s="90"/>
      <c r="G76" s="90"/>
      <c r="H76" s="90"/>
      <c r="I76" s="90"/>
      <c r="J76" s="90"/>
      <c r="K76" s="90"/>
      <c r="L76" s="90"/>
      <c r="M76" s="90"/>
      <c r="N76" s="90"/>
      <c r="O76" s="90"/>
      <c r="P76" s="90"/>
      <c r="Q76" s="90"/>
      <c r="R76" s="90"/>
      <c r="AT76" s="313"/>
      <c r="AU76" s="313"/>
      <c r="AV76" s="313"/>
      <c r="AW76" s="313"/>
      <c r="AX76" s="313"/>
      <c r="AY76" s="313"/>
      <c r="AZ76" s="313"/>
      <c r="BA76" s="313"/>
      <c r="BB76" s="313"/>
      <c r="BC76" s="313"/>
      <c r="BD76" s="313"/>
      <c r="BE76" s="313"/>
      <c r="BF76" s="313"/>
      <c r="BG76" s="313"/>
    </row>
    <row r="77" ht="12.75" customHeight="1" outlineLevel="1">
      <c r="A77" s="67"/>
      <c r="B77" s="90" t="s">
        <v>658</v>
      </c>
      <c r="C77" s="90"/>
      <c r="D77" s="90"/>
      <c r="E77" s="90"/>
      <c r="F77" s="90"/>
      <c r="G77" s="102">
        <f t="shared" ref="G77:H77" si="68">ROUND(G70+E74+IF(G70+E74-E47/2&gt;0,0.5*(G70+E74-E47/2),0),0)</f>
        <v>0</v>
      </c>
      <c r="H77" s="102">
        <f t="shared" si="68"/>
        <v>0</v>
      </c>
      <c r="I77" s="102">
        <f>ROUND(I70+I74+IF(I70+I74-I47/2&gt;0,0.5*(I70+I74-I47/2),0),0)</f>
        <v>607</v>
      </c>
      <c r="J77" s="102">
        <f t="shared" ref="J77:R77" si="69">ROUND(I70+I74+IF(I70+I74-I47/2&gt;0,0.5*(I70+I74-I47/2),0),0)</f>
        <v>607</v>
      </c>
      <c r="K77" s="102">
        <f t="shared" si="69"/>
        <v>696</v>
      </c>
      <c r="L77" s="102">
        <f t="shared" si="69"/>
        <v>724</v>
      </c>
      <c r="M77" s="102">
        <f t="shared" si="69"/>
        <v>700</v>
      </c>
      <c r="N77" s="102">
        <f t="shared" si="69"/>
        <v>678</v>
      </c>
      <c r="O77" s="102">
        <f t="shared" si="69"/>
        <v>657</v>
      </c>
      <c r="P77" s="102">
        <f t="shared" si="69"/>
        <v>636</v>
      </c>
      <c r="Q77" s="102">
        <f t="shared" si="69"/>
        <v>625</v>
      </c>
      <c r="R77" s="102">
        <f t="shared" si="69"/>
        <v>625</v>
      </c>
      <c r="AT77" s="306">
        <f t="shared" ref="AT77:BG77" si="70">ROUND(AS70+AS74+IF(AS70+AS74-AS47/2&gt;0,0.5*(AS70+AS74-AS47/2),0),0)</f>
        <v>0</v>
      </c>
      <c r="AU77" s="306">
        <f t="shared" si="70"/>
        <v>0</v>
      </c>
      <c r="AV77" s="306">
        <f t="shared" si="70"/>
        <v>0</v>
      </c>
      <c r="AW77" s="306">
        <f t="shared" si="70"/>
        <v>0</v>
      </c>
      <c r="AX77" s="306">
        <f t="shared" si="70"/>
        <v>0</v>
      </c>
      <c r="AY77" s="306">
        <f t="shared" si="70"/>
        <v>0</v>
      </c>
      <c r="AZ77" s="306">
        <f t="shared" si="70"/>
        <v>0</v>
      </c>
      <c r="BA77" s="306">
        <f t="shared" si="70"/>
        <v>0</v>
      </c>
      <c r="BB77" s="306">
        <f t="shared" si="70"/>
        <v>0</v>
      </c>
      <c r="BC77" s="306">
        <f t="shared" si="70"/>
        <v>0</v>
      </c>
      <c r="BD77" s="306">
        <f t="shared" si="70"/>
        <v>0</v>
      </c>
      <c r="BE77" s="306">
        <f t="shared" si="70"/>
        <v>0</v>
      </c>
      <c r="BF77" s="306">
        <f t="shared" si="70"/>
        <v>0</v>
      </c>
      <c r="BG77" s="306">
        <f t="shared" si="70"/>
        <v>0</v>
      </c>
    </row>
    <row r="78" ht="12.75" customHeight="1" outlineLevel="1">
      <c r="A78" s="67"/>
      <c r="B78" s="90"/>
      <c r="C78" s="90"/>
      <c r="D78" s="90"/>
      <c r="E78" s="90"/>
      <c r="F78" s="90"/>
      <c r="G78" s="90"/>
      <c r="H78" s="90"/>
      <c r="I78" s="90"/>
      <c r="J78" s="90"/>
      <c r="K78" s="90"/>
      <c r="L78" s="90"/>
      <c r="M78" s="90"/>
      <c r="N78" s="90"/>
      <c r="O78" s="90"/>
      <c r="P78" s="90"/>
      <c r="Q78" s="90"/>
      <c r="R78" s="90"/>
      <c r="AT78" s="313"/>
      <c r="AU78" s="313"/>
      <c r="AV78" s="313"/>
      <c r="AW78" s="313"/>
      <c r="AX78" s="313"/>
      <c r="AY78" s="313"/>
      <c r="AZ78" s="313"/>
      <c r="BA78" s="313"/>
      <c r="BB78" s="313"/>
      <c r="BC78" s="313"/>
      <c r="BD78" s="313"/>
      <c r="BE78" s="313"/>
      <c r="BF78" s="313"/>
      <c r="BG78" s="313"/>
    </row>
    <row r="79" ht="12.75" customHeight="1" outlineLevel="1">
      <c r="A79" s="67"/>
      <c r="B79" s="90" t="s">
        <v>659</v>
      </c>
      <c r="C79" s="90"/>
      <c r="D79" s="90"/>
      <c r="E79" s="90"/>
      <c r="F79" s="90"/>
      <c r="G79" s="152" t="str">
        <f>'RS3'!J78</f>
        <v/>
      </c>
      <c r="H79" s="152">
        <f>'RS3'!K78</f>
        <v>0</v>
      </c>
      <c r="I79" s="152">
        <f>'RS3'!L78</f>
        <v>0.08</v>
      </c>
      <c r="J79" s="152">
        <f>'RS3'!M78</f>
        <v>0.08</v>
      </c>
      <c r="K79" s="152">
        <f>'RS3'!N78</f>
        <v>0.08</v>
      </c>
      <c r="L79" s="152">
        <f>'RS3'!O78</f>
        <v>0.08</v>
      </c>
      <c r="M79" s="152">
        <f>'RS3'!P78</f>
        <v>0.08</v>
      </c>
      <c r="N79" s="152">
        <f>'RS3'!Q78</f>
        <v>0.08</v>
      </c>
      <c r="O79" s="152">
        <f>'RS3'!R78</f>
        <v>0.08</v>
      </c>
      <c r="P79" s="152">
        <f>'RS3'!S78</f>
        <v>0.08</v>
      </c>
      <c r="Q79" s="152">
        <f>'RS3'!T78</f>
        <v>0.08</v>
      </c>
      <c r="R79" s="152">
        <f>'RS3'!U78</f>
        <v>0.08</v>
      </c>
      <c r="AT79" s="352" t="str">
        <f t="shared" ref="AT79:BG79" si="71">AS79</f>
        <v/>
      </c>
      <c r="AU79" s="352" t="str">
        <f t="shared" si="71"/>
        <v/>
      </c>
      <c r="AV79" s="352" t="str">
        <f t="shared" si="71"/>
        <v/>
      </c>
      <c r="AW79" s="352" t="str">
        <f t="shared" si="71"/>
        <v/>
      </c>
      <c r="AX79" s="352" t="str">
        <f t="shared" si="71"/>
        <v/>
      </c>
      <c r="AY79" s="352" t="str">
        <f t="shared" si="71"/>
        <v/>
      </c>
      <c r="AZ79" s="352" t="str">
        <f t="shared" si="71"/>
        <v/>
      </c>
      <c r="BA79" s="352" t="str">
        <f t="shared" si="71"/>
        <v/>
      </c>
      <c r="BB79" s="352" t="str">
        <f t="shared" si="71"/>
        <v/>
      </c>
      <c r="BC79" s="352" t="str">
        <f t="shared" si="71"/>
        <v/>
      </c>
      <c r="BD79" s="352" t="str">
        <f t="shared" si="71"/>
        <v/>
      </c>
      <c r="BE79" s="352" t="str">
        <f t="shared" si="71"/>
        <v/>
      </c>
      <c r="BF79" s="352" t="str">
        <f t="shared" si="71"/>
        <v/>
      </c>
      <c r="BG79" s="352" t="str">
        <f t="shared" si="71"/>
        <v/>
      </c>
    </row>
    <row r="80" ht="12.75" customHeight="1" outlineLevel="1">
      <c r="A80" s="67"/>
      <c r="B80" s="90" t="s">
        <v>660</v>
      </c>
      <c r="C80" s="90"/>
      <c r="D80" s="90"/>
      <c r="E80" s="90"/>
      <c r="F80" s="90"/>
      <c r="G80" s="102">
        <f t="shared" ref="G80:R80" si="72">ROUND(G51*G79*G$47,0)</f>
        <v>0</v>
      </c>
      <c r="H80" s="102">
        <f t="shared" si="72"/>
        <v>0</v>
      </c>
      <c r="I80" s="102">
        <f t="shared" si="72"/>
        <v>31</v>
      </c>
      <c r="J80" s="102">
        <f t="shared" si="72"/>
        <v>37</v>
      </c>
      <c r="K80" s="102">
        <f t="shared" si="72"/>
        <v>40</v>
      </c>
      <c r="L80" s="102">
        <f t="shared" si="72"/>
        <v>40</v>
      </c>
      <c r="M80" s="102">
        <f t="shared" si="72"/>
        <v>40</v>
      </c>
      <c r="N80" s="102">
        <f t="shared" si="72"/>
        <v>40</v>
      </c>
      <c r="O80" s="102">
        <f t="shared" si="72"/>
        <v>40</v>
      </c>
      <c r="P80" s="102">
        <f t="shared" si="72"/>
        <v>40</v>
      </c>
      <c r="Q80" s="102">
        <f t="shared" si="72"/>
        <v>40</v>
      </c>
      <c r="R80" s="102">
        <f t="shared" si="72"/>
        <v>40</v>
      </c>
      <c r="AT80" s="306">
        <f t="shared" ref="AT80:BG80" si="73">ROUND(AT51*AT79*AT$47,0)</f>
        <v>0</v>
      </c>
      <c r="AU80" s="306">
        <f t="shared" si="73"/>
        <v>0</v>
      </c>
      <c r="AV80" s="306">
        <f t="shared" si="73"/>
        <v>0</v>
      </c>
      <c r="AW80" s="306">
        <f t="shared" si="73"/>
        <v>0</v>
      </c>
      <c r="AX80" s="306">
        <f t="shared" si="73"/>
        <v>0</v>
      </c>
      <c r="AY80" s="306">
        <f t="shared" si="73"/>
        <v>0</v>
      </c>
      <c r="AZ80" s="306">
        <f t="shared" si="73"/>
        <v>0</v>
      </c>
      <c r="BA80" s="306">
        <f t="shared" si="73"/>
        <v>0</v>
      </c>
      <c r="BB80" s="306">
        <f t="shared" si="73"/>
        <v>0</v>
      </c>
      <c r="BC80" s="306">
        <f t="shared" si="73"/>
        <v>0</v>
      </c>
      <c r="BD80" s="306">
        <f t="shared" si="73"/>
        <v>0</v>
      </c>
      <c r="BE80" s="306">
        <f t="shared" si="73"/>
        <v>0</v>
      </c>
      <c r="BF80" s="306">
        <f t="shared" si="73"/>
        <v>0</v>
      </c>
      <c r="BG80" s="306">
        <f t="shared" si="73"/>
        <v>0</v>
      </c>
    </row>
    <row r="81" ht="12.75" customHeight="1" outlineLevel="1">
      <c r="A81" s="67"/>
      <c r="B81" s="90" t="s">
        <v>661</v>
      </c>
      <c r="C81" s="90"/>
      <c r="D81" s="90"/>
      <c r="E81" s="90"/>
      <c r="F81" s="90"/>
      <c r="G81" s="102">
        <f t="shared" ref="G81:R81" si="74">G80*G$53</f>
        <v>0</v>
      </c>
      <c r="H81" s="102">
        <f t="shared" si="74"/>
        <v>0</v>
      </c>
      <c r="I81" s="102">
        <f t="shared" si="74"/>
        <v>29.76</v>
      </c>
      <c r="J81" s="102">
        <f t="shared" si="74"/>
        <v>35.52</v>
      </c>
      <c r="K81" s="102">
        <f t="shared" si="74"/>
        <v>38.4</v>
      </c>
      <c r="L81" s="102">
        <f t="shared" si="74"/>
        <v>38.4</v>
      </c>
      <c r="M81" s="102">
        <f t="shared" si="74"/>
        <v>38.4</v>
      </c>
      <c r="N81" s="102">
        <f t="shared" si="74"/>
        <v>38.4</v>
      </c>
      <c r="O81" s="102">
        <f t="shared" si="74"/>
        <v>38.4</v>
      </c>
      <c r="P81" s="102">
        <f t="shared" si="74"/>
        <v>38.4</v>
      </c>
      <c r="Q81" s="102">
        <f t="shared" si="74"/>
        <v>38.4</v>
      </c>
      <c r="R81" s="102">
        <f t="shared" si="74"/>
        <v>38.4</v>
      </c>
      <c r="AT81" s="306">
        <f t="shared" ref="AT81:BG81" si="75">AT80*AT$53</f>
        <v>0</v>
      </c>
      <c r="AU81" s="306">
        <f t="shared" si="75"/>
        <v>0</v>
      </c>
      <c r="AV81" s="306">
        <f t="shared" si="75"/>
        <v>0</v>
      </c>
      <c r="AW81" s="306">
        <f t="shared" si="75"/>
        <v>0</v>
      </c>
      <c r="AX81" s="306">
        <f t="shared" si="75"/>
        <v>0</v>
      </c>
      <c r="AY81" s="306">
        <f t="shared" si="75"/>
        <v>0</v>
      </c>
      <c r="AZ81" s="306">
        <f t="shared" si="75"/>
        <v>0</v>
      </c>
      <c r="BA81" s="306">
        <f t="shared" si="75"/>
        <v>0</v>
      </c>
      <c r="BB81" s="306">
        <f t="shared" si="75"/>
        <v>0</v>
      </c>
      <c r="BC81" s="306">
        <f t="shared" si="75"/>
        <v>0</v>
      </c>
      <c r="BD81" s="306">
        <f t="shared" si="75"/>
        <v>0</v>
      </c>
      <c r="BE81" s="306">
        <f t="shared" si="75"/>
        <v>0</v>
      </c>
      <c r="BF81" s="306">
        <f t="shared" si="75"/>
        <v>0</v>
      </c>
      <c r="BG81" s="306">
        <f t="shared" si="75"/>
        <v>0</v>
      </c>
    </row>
    <row r="82" ht="12.75" customHeight="1" outlineLevel="1">
      <c r="A82" s="67"/>
      <c r="B82" s="90"/>
      <c r="C82" s="90"/>
      <c r="D82" s="90"/>
      <c r="E82" s="90"/>
      <c r="F82" s="90"/>
      <c r="G82" s="102"/>
      <c r="H82" s="102"/>
      <c r="I82" s="102"/>
      <c r="J82" s="102"/>
      <c r="K82" s="102"/>
      <c r="L82" s="102"/>
      <c r="M82" s="102"/>
      <c r="N82" s="102"/>
      <c r="O82" s="102"/>
      <c r="P82" s="102"/>
      <c r="Q82" s="102"/>
      <c r="R82" s="102"/>
      <c r="AT82" s="306"/>
      <c r="AU82" s="306"/>
      <c r="AV82" s="306"/>
      <c r="AW82" s="306"/>
      <c r="AX82" s="306"/>
      <c r="AY82" s="306"/>
      <c r="AZ82" s="306"/>
      <c r="BA82" s="306"/>
      <c r="BB82" s="306"/>
      <c r="BC82" s="306"/>
      <c r="BD82" s="306"/>
      <c r="BE82" s="306"/>
      <c r="BF82" s="306"/>
      <c r="BG82" s="306"/>
    </row>
    <row r="83" ht="12.75" customHeight="1" outlineLevel="1">
      <c r="A83" s="67"/>
      <c r="B83" s="90" t="s">
        <v>662</v>
      </c>
      <c r="C83" s="90"/>
      <c r="D83" s="90"/>
      <c r="E83" s="90"/>
      <c r="F83" s="90"/>
      <c r="G83" s="102">
        <f t="shared" ref="G83:R83" si="76">0.25*G56</f>
        <v>0</v>
      </c>
      <c r="H83" s="102">
        <f t="shared" si="76"/>
        <v>0</v>
      </c>
      <c r="I83" s="102">
        <f t="shared" si="76"/>
        <v>94.08</v>
      </c>
      <c r="J83" s="102">
        <f t="shared" si="76"/>
        <v>111.36</v>
      </c>
      <c r="K83" s="102">
        <f t="shared" si="76"/>
        <v>120</v>
      </c>
      <c r="L83" s="102">
        <f t="shared" si="76"/>
        <v>120</v>
      </c>
      <c r="M83" s="102">
        <f t="shared" si="76"/>
        <v>120</v>
      </c>
      <c r="N83" s="102">
        <f t="shared" si="76"/>
        <v>120</v>
      </c>
      <c r="O83" s="102">
        <f t="shared" si="76"/>
        <v>120</v>
      </c>
      <c r="P83" s="102">
        <f t="shared" si="76"/>
        <v>120</v>
      </c>
      <c r="Q83" s="102">
        <f t="shared" si="76"/>
        <v>120</v>
      </c>
      <c r="R83" s="102">
        <f t="shared" si="76"/>
        <v>120</v>
      </c>
      <c r="AT83" s="306" t="str">
        <f t="shared" ref="AT83:BG83" si="77">AS83</f>
        <v/>
      </c>
      <c r="AU83" s="306" t="str">
        <f t="shared" si="77"/>
        <v/>
      </c>
      <c r="AV83" s="306" t="str">
        <f t="shared" si="77"/>
        <v/>
      </c>
      <c r="AW83" s="306" t="str">
        <f t="shared" si="77"/>
        <v/>
      </c>
      <c r="AX83" s="306" t="str">
        <f t="shared" si="77"/>
        <v/>
      </c>
      <c r="AY83" s="306" t="str">
        <f t="shared" si="77"/>
        <v/>
      </c>
      <c r="AZ83" s="306" t="str">
        <f t="shared" si="77"/>
        <v/>
      </c>
      <c r="BA83" s="306" t="str">
        <f t="shared" si="77"/>
        <v/>
      </c>
      <c r="BB83" s="306" t="str">
        <f t="shared" si="77"/>
        <v/>
      </c>
      <c r="BC83" s="306" t="str">
        <f t="shared" si="77"/>
        <v/>
      </c>
      <c r="BD83" s="306" t="str">
        <f t="shared" si="77"/>
        <v/>
      </c>
      <c r="BE83" s="306" t="str">
        <f t="shared" si="77"/>
        <v/>
      </c>
      <c r="BF83" s="306" t="str">
        <f t="shared" si="77"/>
        <v/>
      </c>
      <c r="BG83" s="306" t="str">
        <f t="shared" si="77"/>
        <v/>
      </c>
    </row>
    <row r="84" ht="12.75" customHeight="1" outlineLevel="1">
      <c r="A84" s="67"/>
      <c r="B84" s="90" t="s">
        <v>663</v>
      </c>
      <c r="C84" s="90"/>
      <c r="D84" s="90"/>
      <c r="E84" s="90"/>
      <c r="F84" s="90"/>
      <c r="G84" s="102" t="str">
        <f>'RS3'!J83</f>
        <v/>
      </c>
      <c r="H84" s="102">
        <f>'RS3'!K83</f>
        <v>0</v>
      </c>
      <c r="I84" s="102">
        <f>'RS3'!L83</f>
        <v>360</v>
      </c>
      <c r="J84" s="102">
        <f>'RS3'!M83</f>
        <v>360</v>
      </c>
      <c r="K84" s="102">
        <f>'RS3'!N83</f>
        <v>360</v>
      </c>
      <c r="L84" s="102">
        <f>'RS3'!O83</f>
        <v>360</v>
      </c>
      <c r="M84" s="102">
        <f>'RS3'!P83</f>
        <v>360</v>
      </c>
      <c r="N84" s="102">
        <f>'RS3'!Q83</f>
        <v>360</v>
      </c>
      <c r="O84" s="102">
        <f>'RS3'!R83</f>
        <v>360</v>
      </c>
      <c r="P84" s="102">
        <f>'RS3'!S83</f>
        <v>360</v>
      </c>
      <c r="Q84" s="102">
        <f>'RS3'!T83</f>
        <v>360</v>
      </c>
      <c r="R84" s="102">
        <f>'RS3'!U83</f>
        <v>360</v>
      </c>
      <c r="AT84" s="306" t="str">
        <f t="shared" ref="AT84:BG84" si="78">AS84</f>
        <v/>
      </c>
      <c r="AU84" s="306" t="str">
        <f t="shared" si="78"/>
        <v/>
      </c>
      <c r="AV84" s="306" t="str">
        <f t="shared" si="78"/>
        <v/>
      </c>
      <c r="AW84" s="306" t="str">
        <f t="shared" si="78"/>
        <v/>
      </c>
      <c r="AX84" s="306" t="str">
        <f t="shared" si="78"/>
        <v/>
      </c>
      <c r="AY84" s="306" t="str">
        <f t="shared" si="78"/>
        <v/>
      </c>
      <c r="AZ84" s="306" t="str">
        <f t="shared" si="78"/>
        <v/>
      </c>
      <c r="BA84" s="306" t="str">
        <f t="shared" si="78"/>
        <v/>
      </c>
      <c r="BB84" s="306" t="str">
        <f t="shared" si="78"/>
        <v/>
      </c>
      <c r="BC84" s="306" t="str">
        <f t="shared" si="78"/>
        <v/>
      </c>
      <c r="BD84" s="306" t="str">
        <f t="shared" si="78"/>
        <v/>
      </c>
      <c r="BE84" s="306" t="str">
        <f t="shared" si="78"/>
        <v/>
      </c>
      <c r="BF84" s="306" t="str">
        <f t="shared" si="78"/>
        <v/>
      </c>
      <c r="BG84" s="306" t="str">
        <f t="shared" si="78"/>
        <v/>
      </c>
    </row>
    <row r="85" ht="12.75" customHeight="1" outlineLevel="1">
      <c r="A85" s="67"/>
      <c r="B85" s="90" t="s">
        <v>664</v>
      </c>
      <c r="C85" s="90"/>
      <c r="D85" s="90"/>
      <c r="E85" s="90"/>
      <c r="F85" s="90"/>
      <c r="G85" s="102">
        <f t="shared" ref="G85:R85" si="79">G84*G83</f>
        <v>0</v>
      </c>
      <c r="H85" s="102">
        <f t="shared" si="79"/>
        <v>0</v>
      </c>
      <c r="I85" s="102">
        <f t="shared" si="79"/>
        <v>33868.8</v>
      </c>
      <c r="J85" s="102">
        <f t="shared" si="79"/>
        <v>40089.6</v>
      </c>
      <c r="K85" s="102">
        <f t="shared" si="79"/>
        <v>43200</v>
      </c>
      <c r="L85" s="102">
        <f t="shared" si="79"/>
        <v>43200</v>
      </c>
      <c r="M85" s="102">
        <f t="shared" si="79"/>
        <v>43200</v>
      </c>
      <c r="N85" s="102">
        <f t="shared" si="79"/>
        <v>43200</v>
      </c>
      <c r="O85" s="102">
        <f t="shared" si="79"/>
        <v>43200</v>
      </c>
      <c r="P85" s="102">
        <f t="shared" si="79"/>
        <v>43200</v>
      </c>
      <c r="Q85" s="102">
        <f t="shared" si="79"/>
        <v>43200</v>
      </c>
      <c r="R85" s="102">
        <f t="shared" si="79"/>
        <v>43200</v>
      </c>
      <c r="AT85" s="306">
        <f t="shared" ref="AT85:BG85" si="80">AT84*AT83</f>
        <v>0</v>
      </c>
      <c r="AU85" s="306">
        <f t="shared" si="80"/>
        <v>0</v>
      </c>
      <c r="AV85" s="306">
        <f t="shared" si="80"/>
        <v>0</v>
      </c>
      <c r="AW85" s="306">
        <f t="shared" si="80"/>
        <v>0</v>
      </c>
      <c r="AX85" s="306">
        <f t="shared" si="80"/>
        <v>0</v>
      </c>
      <c r="AY85" s="306">
        <f t="shared" si="80"/>
        <v>0</v>
      </c>
      <c r="AZ85" s="306">
        <f t="shared" si="80"/>
        <v>0</v>
      </c>
      <c r="BA85" s="306">
        <f t="shared" si="80"/>
        <v>0</v>
      </c>
      <c r="BB85" s="306">
        <f t="shared" si="80"/>
        <v>0</v>
      </c>
      <c r="BC85" s="306">
        <f t="shared" si="80"/>
        <v>0</v>
      </c>
      <c r="BD85" s="306">
        <f t="shared" si="80"/>
        <v>0</v>
      </c>
      <c r="BE85" s="306">
        <f t="shared" si="80"/>
        <v>0</v>
      </c>
      <c r="BF85" s="306">
        <f t="shared" si="80"/>
        <v>0</v>
      </c>
      <c r="BG85" s="306">
        <f t="shared" si="80"/>
        <v>0</v>
      </c>
    </row>
    <row r="86" ht="12.75" customHeight="1">
      <c r="A86" s="67"/>
      <c r="B86" s="90"/>
      <c r="C86" s="90"/>
      <c r="D86" s="90"/>
      <c r="E86" s="90"/>
      <c r="F86" s="90"/>
      <c r="G86" s="102"/>
      <c r="H86" s="102"/>
      <c r="I86" s="102"/>
      <c r="J86" s="102"/>
      <c r="K86" s="102"/>
      <c r="L86" s="102"/>
      <c r="M86" s="102"/>
      <c r="N86" s="102"/>
      <c r="O86" s="102"/>
      <c r="P86" s="102"/>
      <c r="Q86" s="102"/>
      <c r="R86" s="102"/>
      <c r="AT86" s="306"/>
      <c r="AU86" s="306"/>
      <c r="AV86" s="306"/>
      <c r="AW86" s="306"/>
      <c r="AX86" s="306"/>
      <c r="AY86" s="306"/>
      <c r="AZ86" s="306"/>
      <c r="BA86" s="306"/>
      <c r="BB86" s="306"/>
      <c r="BC86" s="306"/>
      <c r="BD86" s="306"/>
      <c r="BE86" s="306"/>
      <c r="BF86" s="306"/>
      <c r="BG86" s="306"/>
    </row>
    <row r="87" ht="12.75" customHeight="1">
      <c r="A87" s="106" t="s">
        <v>665</v>
      </c>
      <c r="B87" s="253"/>
      <c r="C87" s="253"/>
      <c r="D87" s="253"/>
      <c r="E87" s="253"/>
      <c r="F87" s="253"/>
      <c r="G87" s="253"/>
      <c r="H87" s="253"/>
      <c r="I87" s="253"/>
      <c r="J87" s="253"/>
      <c r="K87" s="253"/>
      <c r="L87" s="253"/>
      <c r="M87" s="253"/>
      <c r="N87" s="253"/>
      <c r="O87" s="253"/>
      <c r="P87" s="253"/>
      <c r="Q87" s="253"/>
      <c r="R87" s="253"/>
      <c r="AT87" s="314"/>
      <c r="AU87" s="314"/>
      <c r="AV87" s="314"/>
      <c r="AW87" s="314"/>
      <c r="AX87" s="314"/>
      <c r="AY87" s="314"/>
      <c r="AZ87" s="314"/>
      <c r="BA87" s="314"/>
      <c r="BB87" s="314"/>
      <c r="BC87" s="314"/>
      <c r="BD87" s="314"/>
      <c r="BE87" s="314"/>
      <c r="BF87" s="314"/>
      <c r="BG87" s="314"/>
    </row>
    <row r="88" ht="12.75" customHeight="1" outlineLevel="1">
      <c r="A88" s="67"/>
      <c r="B88" s="90"/>
      <c r="C88" s="90"/>
      <c r="D88" s="90"/>
      <c r="E88" s="90"/>
      <c r="F88" s="90"/>
      <c r="G88" s="90"/>
      <c r="H88" s="90"/>
      <c r="I88" s="90"/>
      <c r="J88" s="90"/>
      <c r="K88" s="90"/>
      <c r="L88" s="90"/>
      <c r="M88" s="90"/>
      <c r="N88" s="90"/>
      <c r="O88" s="90"/>
      <c r="P88" s="90"/>
      <c r="Q88" s="90"/>
      <c r="R88" s="90"/>
      <c r="AT88" s="313"/>
      <c r="AU88" s="313"/>
      <c r="AV88" s="313"/>
      <c r="AW88" s="313"/>
      <c r="AX88" s="313"/>
      <c r="AY88" s="313"/>
      <c r="AZ88" s="313"/>
      <c r="BA88" s="313"/>
      <c r="BB88" s="313"/>
      <c r="BC88" s="313"/>
      <c r="BD88" s="313"/>
      <c r="BE88" s="313"/>
      <c r="BF88" s="313"/>
      <c r="BG88" s="313"/>
    </row>
    <row r="89" ht="12.75" customHeight="1" outlineLevel="1">
      <c r="A89" s="90"/>
      <c r="B89" s="67" t="s">
        <v>666</v>
      </c>
      <c r="C89" s="90"/>
      <c r="D89" s="90"/>
      <c r="E89" s="90"/>
      <c r="F89" s="90"/>
      <c r="G89" s="90"/>
      <c r="H89" s="90"/>
      <c r="I89" s="90"/>
      <c r="J89" s="90"/>
      <c r="K89" s="90"/>
      <c r="L89" s="90"/>
      <c r="M89" s="90"/>
      <c r="N89" s="90"/>
      <c r="O89" s="90"/>
      <c r="P89" s="90"/>
      <c r="Q89" s="90"/>
      <c r="R89" s="90"/>
      <c r="AT89" s="313"/>
      <c r="AU89" s="313"/>
      <c r="AV89" s="313"/>
      <c r="AW89" s="313"/>
      <c r="AX89" s="313"/>
      <c r="AY89" s="313"/>
      <c r="AZ89" s="313"/>
      <c r="BA89" s="313"/>
      <c r="BB89" s="313"/>
      <c r="BC89" s="313"/>
      <c r="BD89" s="313"/>
      <c r="BE89" s="313"/>
      <c r="BF89" s="313"/>
      <c r="BG89" s="313"/>
    </row>
    <row r="90" ht="12.75" customHeight="1" outlineLevel="1">
      <c r="A90" s="90"/>
      <c r="B90" s="90"/>
      <c r="C90" s="90" t="s">
        <v>573</v>
      </c>
      <c r="D90" s="90"/>
      <c r="E90" s="90"/>
      <c r="F90" s="90"/>
      <c r="G90" s="178"/>
      <c r="H90" s="178"/>
      <c r="I90" s="178"/>
      <c r="J90" s="178"/>
      <c r="K90" s="178"/>
      <c r="L90" s="178"/>
      <c r="M90" s="178"/>
      <c r="N90" s="178"/>
      <c r="O90" s="178"/>
      <c r="P90" s="178"/>
      <c r="Q90" s="178"/>
      <c r="R90" s="178"/>
      <c r="AT90" s="355">
        <v>0.01</v>
      </c>
      <c r="AU90" s="355">
        <v>0.01</v>
      </c>
      <c r="AV90" s="355">
        <v>0.01</v>
      </c>
      <c r="AW90" s="355">
        <v>0.01</v>
      </c>
      <c r="AX90" s="355">
        <v>0.01</v>
      </c>
      <c r="AY90" s="355">
        <v>0.01</v>
      </c>
      <c r="AZ90" s="355">
        <v>0.01</v>
      </c>
      <c r="BA90" s="355">
        <v>0.01</v>
      </c>
      <c r="BB90" s="355">
        <v>0.01</v>
      </c>
      <c r="BC90" s="355">
        <v>0.01</v>
      </c>
      <c r="BD90" s="355">
        <v>0.01</v>
      </c>
      <c r="BE90" s="355">
        <v>0.01</v>
      </c>
      <c r="BF90" s="355">
        <v>0.01</v>
      </c>
      <c r="BG90" s="355">
        <v>0.01</v>
      </c>
    </row>
    <row r="91" ht="12.75" customHeight="1" outlineLevel="1">
      <c r="A91" s="90"/>
      <c r="B91" s="90"/>
      <c r="C91" s="90" t="s">
        <v>667</v>
      </c>
      <c r="D91" s="90"/>
      <c r="E91" s="90"/>
      <c r="F91" s="90"/>
      <c r="G91" s="99"/>
      <c r="H91" s="99"/>
      <c r="I91" s="99">
        <f>'RS2'!K90</f>
        <v>4778</v>
      </c>
      <c r="J91" s="99">
        <f t="shared" ref="J91:R91" si="81">I91*(1+J$90)</f>
        <v>4778</v>
      </c>
      <c r="K91" s="99">
        <f t="shared" si="81"/>
        <v>4778</v>
      </c>
      <c r="L91" s="99">
        <f t="shared" si="81"/>
        <v>4778</v>
      </c>
      <c r="M91" s="99">
        <f t="shared" si="81"/>
        <v>4778</v>
      </c>
      <c r="N91" s="99">
        <f t="shared" si="81"/>
        <v>4778</v>
      </c>
      <c r="O91" s="99">
        <f t="shared" si="81"/>
        <v>4778</v>
      </c>
      <c r="P91" s="99">
        <f t="shared" si="81"/>
        <v>4778</v>
      </c>
      <c r="Q91" s="99">
        <f t="shared" si="81"/>
        <v>4778</v>
      </c>
      <c r="R91" s="99">
        <f t="shared" si="81"/>
        <v>4778</v>
      </c>
      <c r="AT91" s="308">
        <f t="shared" ref="AT91:BG91" si="82">AS91*(1+AT$90)</f>
        <v>0</v>
      </c>
      <c r="AU91" s="308">
        <f t="shared" si="82"/>
        <v>0</v>
      </c>
      <c r="AV91" s="308">
        <f t="shared" si="82"/>
        <v>0</v>
      </c>
      <c r="AW91" s="308">
        <f t="shared" si="82"/>
        <v>0</v>
      </c>
      <c r="AX91" s="308">
        <f t="shared" si="82"/>
        <v>0</v>
      </c>
      <c r="AY91" s="308">
        <f t="shared" si="82"/>
        <v>0</v>
      </c>
      <c r="AZ91" s="308">
        <f t="shared" si="82"/>
        <v>0</v>
      </c>
      <c r="BA91" s="308">
        <f t="shared" si="82"/>
        <v>0</v>
      </c>
      <c r="BB91" s="308">
        <f t="shared" si="82"/>
        <v>0</v>
      </c>
      <c r="BC91" s="308">
        <f t="shared" si="82"/>
        <v>0</v>
      </c>
      <c r="BD91" s="308">
        <f t="shared" si="82"/>
        <v>0</v>
      </c>
      <c r="BE91" s="308">
        <f t="shared" si="82"/>
        <v>0</v>
      </c>
      <c r="BF91" s="308">
        <f t="shared" si="82"/>
        <v>0</v>
      </c>
      <c r="BG91" s="308">
        <f t="shared" si="82"/>
        <v>0</v>
      </c>
    </row>
    <row r="92" ht="12.75" customHeight="1" outlineLevel="1">
      <c r="A92" s="90"/>
      <c r="B92" s="90"/>
      <c r="C92" s="90" t="s">
        <v>668</v>
      </c>
      <c r="D92" s="90"/>
      <c r="E92" s="90"/>
      <c r="F92" s="90"/>
      <c r="G92" s="99"/>
      <c r="H92" s="99"/>
      <c r="I92" s="99">
        <f>'RS2'!K91</f>
        <v>4855</v>
      </c>
      <c r="J92" s="99">
        <f t="shared" ref="J92:R92" si="83">I92*(1+J$90)</f>
        <v>4855</v>
      </c>
      <c r="K92" s="99">
        <f t="shared" si="83"/>
        <v>4855</v>
      </c>
      <c r="L92" s="99">
        <f t="shared" si="83"/>
        <v>4855</v>
      </c>
      <c r="M92" s="99">
        <f t="shared" si="83"/>
        <v>4855</v>
      </c>
      <c r="N92" s="99">
        <f t="shared" si="83"/>
        <v>4855</v>
      </c>
      <c r="O92" s="99">
        <f t="shared" si="83"/>
        <v>4855</v>
      </c>
      <c r="P92" s="99">
        <f t="shared" si="83"/>
        <v>4855</v>
      </c>
      <c r="Q92" s="99">
        <f t="shared" si="83"/>
        <v>4855</v>
      </c>
      <c r="R92" s="99">
        <f t="shared" si="83"/>
        <v>4855</v>
      </c>
      <c r="AT92" s="308">
        <f t="shared" ref="AT92:BG92" si="84">AS92*(1+AT$90)</f>
        <v>0</v>
      </c>
      <c r="AU92" s="308">
        <f t="shared" si="84"/>
        <v>0</v>
      </c>
      <c r="AV92" s="308">
        <f t="shared" si="84"/>
        <v>0</v>
      </c>
      <c r="AW92" s="308">
        <f t="shared" si="84"/>
        <v>0</v>
      </c>
      <c r="AX92" s="308">
        <f t="shared" si="84"/>
        <v>0</v>
      </c>
      <c r="AY92" s="308">
        <f t="shared" si="84"/>
        <v>0</v>
      </c>
      <c r="AZ92" s="308">
        <f t="shared" si="84"/>
        <v>0</v>
      </c>
      <c r="BA92" s="308">
        <f t="shared" si="84"/>
        <v>0</v>
      </c>
      <c r="BB92" s="308">
        <f t="shared" si="84"/>
        <v>0</v>
      </c>
      <c r="BC92" s="308">
        <f t="shared" si="84"/>
        <v>0</v>
      </c>
      <c r="BD92" s="308">
        <f t="shared" si="84"/>
        <v>0</v>
      </c>
      <c r="BE92" s="308">
        <f t="shared" si="84"/>
        <v>0</v>
      </c>
      <c r="BF92" s="308">
        <f t="shared" si="84"/>
        <v>0</v>
      </c>
      <c r="BG92" s="308">
        <f t="shared" si="84"/>
        <v>0</v>
      </c>
    </row>
    <row r="93" ht="12.75" customHeight="1" outlineLevel="1">
      <c r="A93" s="90"/>
      <c r="B93" s="90"/>
      <c r="C93" s="90" t="s">
        <v>669</v>
      </c>
      <c r="D93" s="90"/>
      <c r="E93" s="90"/>
      <c r="F93" s="90"/>
      <c r="G93" s="99"/>
      <c r="H93" s="99"/>
      <c r="I93" s="99">
        <f>'RS2'!K92</f>
        <v>401</v>
      </c>
      <c r="J93" s="99">
        <f t="shared" ref="J93:R93" si="85">I93*(1+J$90)</f>
        <v>401</v>
      </c>
      <c r="K93" s="99">
        <f t="shared" si="85"/>
        <v>401</v>
      </c>
      <c r="L93" s="99">
        <f t="shared" si="85"/>
        <v>401</v>
      </c>
      <c r="M93" s="99">
        <f t="shared" si="85"/>
        <v>401</v>
      </c>
      <c r="N93" s="99">
        <f t="shared" si="85"/>
        <v>401</v>
      </c>
      <c r="O93" s="99">
        <f t="shared" si="85"/>
        <v>401</v>
      </c>
      <c r="P93" s="99">
        <f t="shared" si="85"/>
        <v>401</v>
      </c>
      <c r="Q93" s="99">
        <f t="shared" si="85"/>
        <v>401</v>
      </c>
      <c r="R93" s="99">
        <f t="shared" si="85"/>
        <v>401</v>
      </c>
      <c r="AT93" s="308">
        <f t="shared" ref="AT93:BG93" si="86">AS93*(1+AT$90)</f>
        <v>0</v>
      </c>
      <c r="AU93" s="308">
        <f t="shared" si="86"/>
        <v>0</v>
      </c>
      <c r="AV93" s="308">
        <f t="shared" si="86"/>
        <v>0</v>
      </c>
      <c r="AW93" s="308">
        <f t="shared" si="86"/>
        <v>0</v>
      </c>
      <c r="AX93" s="308">
        <f t="shared" si="86"/>
        <v>0</v>
      </c>
      <c r="AY93" s="308">
        <f t="shared" si="86"/>
        <v>0</v>
      </c>
      <c r="AZ93" s="308">
        <f t="shared" si="86"/>
        <v>0</v>
      </c>
      <c r="BA93" s="308">
        <f t="shared" si="86"/>
        <v>0</v>
      </c>
      <c r="BB93" s="308">
        <f t="shared" si="86"/>
        <v>0</v>
      </c>
      <c r="BC93" s="308">
        <f t="shared" si="86"/>
        <v>0</v>
      </c>
      <c r="BD93" s="308">
        <f t="shared" si="86"/>
        <v>0</v>
      </c>
      <c r="BE93" s="308">
        <f t="shared" si="86"/>
        <v>0</v>
      </c>
      <c r="BF93" s="308">
        <f t="shared" si="86"/>
        <v>0</v>
      </c>
      <c r="BG93" s="308">
        <f t="shared" si="86"/>
        <v>0</v>
      </c>
    </row>
    <row r="94" ht="12.75" customHeight="1" outlineLevel="1">
      <c r="A94" s="90"/>
      <c r="B94" s="90"/>
      <c r="C94" s="90" t="s">
        <v>670</v>
      </c>
      <c r="D94" s="90"/>
      <c r="E94" s="90"/>
      <c r="F94" s="90"/>
      <c r="G94" s="99"/>
      <c r="H94" s="99"/>
      <c r="I94" s="99">
        <f>'RSGen 1-7'!I94</f>
        <v>318</v>
      </c>
      <c r="J94" s="99">
        <f>'RSGen 1-7'!J94</f>
        <v>318</v>
      </c>
      <c r="K94" s="99">
        <f>'RSGen 1-7'!K94</f>
        <v>318</v>
      </c>
      <c r="L94" s="99">
        <f>'RSGen 1-7'!L94</f>
        <v>318</v>
      </c>
      <c r="M94" s="99">
        <f>'RSGen 1-7'!M94</f>
        <v>318</v>
      </c>
      <c r="N94" s="99">
        <f>'RSGen 1-7'!N94</f>
        <v>318</v>
      </c>
      <c r="O94" s="99">
        <f>'RSGen 1-7'!O94</f>
        <v>318</v>
      </c>
      <c r="P94" s="99">
        <f>'RSGen 1-7'!P94</f>
        <v>318</v>
      </c>
      <c r="Q94" s="99">
        <f>'RSGen 1-7'!Q94</f>
        <v>318</v>
      </c>
      <c r="R94" s="99">
        <f>'RSGen 1-7'!R94</f>
        <v>318</v>
      </c>
      <c r="AT94" s="308">
        <f t="shared" ref="AT94:BG94" si="87">AS94*(1+AT$90)</f>
        <v>0</v>
      </c>
      <c r="AU94" s="308">
        <f t="shared" si="87"/>
        <v>0</v>
      </c>
      <c r="AV94" s="308">
        <f t="shared" si="87"/>
        <v>0</v>
      </c>
      <c r="AW94" s="308">
        <f t="shared" si="87"/>
        <v>0</v>
      </c>
      <c r="AX94" s="308">
        <f t="shared" si="87"/>
        <v>0</v>
      </c>
      <c r="AY94" s="308">
        <f t="shared" si="87"/>
        <v>0</v>
      </c>
      <c r="AZ94" s="308">
        <f t="shared" si="87"/>
        <v>0</v>
      </c>
      <c r="BA94" s="308">
        <f t="shared" si="87"/>
        <v>0</v>
      </c>
      <c r="BB94" s="308">
        <f t="shared" si="87"/>
        <v>0</v>
      </c>
      <c r="BC94" s="308">
        <f t="shared" si="87"/>
        <v>0</v>
      </c>
      <c r="BD94" s="308">
        <f t="shared" si="87"/>
        <v>0</v>
      </c>
      <c r="BE94" s="308">
        <f t="shared" si="87"/>
        <v>0</v>
      </c>
      <c r="BF94" s="308">
        <f t="shared" si="87"/>
        <v>0</v>
      </c>
      <c r="BG94" s="308">
        <f t="shared" si="87"/>
        <v>0</v>
      </c>
    </row>
    <row r="95" ht="12.75" customHeight="1" outlineLevel="1">
      <c r="A95" s="237"/>
      <c r="B95" s="237"/>
      <c r="C95" s="237" t="s">
        <v>671</v>
      </c>
      <c r="D95" s="237"/>
      <c r="E95" s="237"/>
      <c r="F95" s="237"/>
      <c r="G95" s="356"/>
      <c r="H95" s="356"/>
      <c r="I95" s="357">
        <v>0.0</v>
      </c>
      <c r="J95" s="356">
        <f t="shared" ref="J95:R95" si="88">I95</f>
        <v>0</v>
      </c>
      <c r="K95" s="356">
        <f t="shared" si="88"/>
        <v>0</v>
      </c>
      <c r="L95" s="356">
        <f t="shared" si="88"/>
        <v>0</v>
      </c>
      <c r="M95" s="356">
        <f t="shared" si="88"/>
        <v>0</v>
      </c>
      <c r="N95" s="356">
        <f t="shared" si="88"/>
        <v>0</v>
      </c>
      <c r="O95" s="356">
        <f t="shared" si="88"/>
        <v>0</v>
      </c>
      <c r="P95" s="356">
        <f t="shared" si="88"/>
        <v>0</v>
      </c>
      <c r="Q95" s="356">
        <f t="shared" si="88"/>
        <v>0</v>
      </c>
      <c r="R95" s="356">
        <f t="shared" si="88"/>
        <v>0</v>
      </c>
      <c r="AT95" s="308" t="str">
        <f t="shared" ref="AT95:BG95" si="89">AS95</f>
        <v/>
      </c>
      <c r="AU95" s="308" t="str">
        <f t="shared" si="89"/>
        <v/>
      </c>
      <c r="AV95" s="308" t="str">
        <f t="shared" si="89"/>
        <v/>
      </c>
      <c r="AW95" s="308" t="str">
        <f t="shared" si="89"/>
        <v/>
      </c>
      <c r="AX95" s="308" t="str">
        <f t="shared" si="89"/>
        <v/>
      </c>
      <c r="AY95" s="308" t="str">
        <f t="shared" si="89"/>
        <v/>
      </c>
      <c r="AZ95" s="308" t="str">
        <f t="shared" si="89"/>
        <v/>
      </c>
      <c r="BA95" s="308" t="str">
        <f t="shared" si="89"/>
        <v/>
      </c>
      <c r="BB95" s="308" t="str">
        <f t="shared" si="89"/>
        <v/>
      </c>
      <c r="BC95" s="308" t="str">
        <f t="shared" si="89"/>
        <v/>
      </c>
      <c r="BD95" s="308" t="str">
        <f t="shared" si="89"/>
        <v/>
      </c>
      <c r="BE95" s="308" t="str">
        <f t="shared" si="89"/>
        <v/>
      </c>
      <c r="BF95" s="308" t="str">
        <f t="shared" si="89"/>
        <v/>
      </c>
      <c r="BG95" s="308" t="str">
        <f t="shared" si="89"/>
        <v/>
      </c>
    </row>
    <row r="96" ht="12.75" customHeight="1" outlineLevel="1">
      <c r="A96" s="237"/>
      <c r="B96" s="237"/>
      <c r="C96" s="237"/>
      <c r="D96" s="237" t="s">
        <v>672</v>
      </c>
      <c r="E96" s="237"/>
      <c r="F96" s="237"/>
      <c r="G96" s="356"/>
      <c r="H96" s="356"/>
      <c r="I96" s="356">
        <f t="shared" ref="I96:R96" si="90">I95</f>
        <v>0</v>
      </c>
      <c r="J96" s="356">
        <f t="shared" si="90"/>
        <v>0</v>
      </c>
      <c r="K96" s="356">
        <f t="shared" si="90"/>
        <v>0</v>
      </c>
      <c r="L96" s="356">
        <f t="shared" si="90"/>
        <v>0</v>
      </c>
      <c r="M96" s="356">
        <f t="shared" si="90"/>
        <v>0</v>
      </c>
      <c r="N96" s="356">
        <f t="shared" si="90"/>
        <v>0</v>
      </c>
      <c r="O96" s="356">
        <f t="shared" si="90"/>
        <v>0</v>
      </c>
      <c r="P96" s="356">
        <f t="shared" si="90"/>
        <v>0</v>
      </c>
      <c r="Q96" s="356">
        <f t="shared" si="90"/>
        <v>0</v>
      </c>
      <c r="R96" s="356">
        <f t="shared" si="90"/>
        <v>0</v>
      </c>
      <c r="AT96" s="308" t="str">
        <f t="shared" ref="AT96:BG96" si="91">AT95</f>
        <v/>
      </c>
      <c r="AU96" s="308" t="str">
        <f t="shared" si="91"/>
        <v/>
      </c>
      <c r="AV96" s="308" t="str">
        <f t="shared" si="91"/>
        <v/>
      </c>
      <c r="AW96" s="308" t="str">
        <f t="shared" si="91"/>
        <v/>
      </c>
      <c r="AX96" s="308" t="str">
        <f t="shared" si="91"/>
        <v/>
      </c>
      <c r="AY96" s="308" t="str">
        <f t="shared" si="91"/>
        <v/>
      </c>
      <c r="AZ96" s="308" t="str">
        <f t="shared" si="91"/>
        <v/>
      </c>
      <c r="BA96" s="308" t="str">
        <f t="shared" si="91"/>
        <v/>
      </c>
      <c r="BB96" s="308" t="str">
        <f t="shared" si="91"/>
        <v/>
      </c>
      <c r="BC96" s="308" t="str">
        <f t="shared" si="91"/>
        <v/>
      </c>
      <c r="BD96" s="308" t="str">
        <f t="shared" si="91"/>
        <v/>
      </c>
      <c r="BE96" s="308" t="str">
        <f t="shared" si="91"/>
        <v/>
      </c>
      <c r="BF96" s="308" t="str">
        <f t="shared" si="91"/>
        <v/>
      </c>
      <c r="BG96" s="308" t="str">
        <f t="shared" si="91"/>
        <v/>
      </c>
    </row>
    <row r="97" ht="12.75" customHeight="1" outlineLevel="1">
      <c r="A97" s="237"/>
      <c r="B97" s="237"/>
      <c r="C97" s="237"/>
      <c r="D97" s="237" t="s">
        <v>673</v>
      </c>
      <c r="E97" s="237"/>
      <c r="F97" s="237"/>
      <c r="G97" s="356"/>
      <c r="H97" s="356"/>
      <c r="I97" s="356">
        <f t="shared" ref="I97:R97" si="92">I96</f>
        <v>0</v>
      </c>
      <c r="J97" s="356">
        <f t="shared" si="92"/>
        <v>0</v>
      </c>
      <c r="K97" s="356">
        <f t="shared" si="92"/>
        <v>0</v>
      </c>
      <c r="L97" s="356">
        <f t="shared" si="92"/>
        <v>0</v>
      </c>
      <c r="M97" s="356">
        <f t="shared" si="92"/>
        <v>0</v>
      </c>
      <c r="N97" s="356">
        <f t="shared" si="92"/>
        <v>0</v>
      </c>
      <c r="O97" s="356">
        <f t="shared" si="92"/>
        <v>0</v>
      </c>
      <c r="P97" s="356">
        <f t="shared" si="92"/>
        <v>0</v>
      </c>
      <c r="Q97" s="356">
        <f t="shared" si="92"/>
        <v>0</v>
      </c>
      <c r="R97" s="356">
        <f t="shared" si="92"/>
        <v>0</v>
      </c>
      <c r="AT97" s="308" t="str">
        <f t="shared" ref="AT97:BG97" si="93">AT96</f>
        <v/>
      </c>
      <c r="AU97" s="308" t="str">
        <f t="shared" si="93"/>
        <v/>
      </c>
      <c r="AV97" s="308" t="str">
        <f t="shared" si="93"/>
        <v/>
      </c>
      <c r="AW97" s="308" t="str">
        <f t="shared" si="93"/>
        <v/>
      </c>
      <c r="AX97" s="308" t="str">
        <f t="shared" si="93"/>
        <v/>
      </c>
      <c r="AY97" s="308" t="str">
        <f t="shared" si="93"/>
        <v/>
      </c>
      <c r="AZ97" s="308" t="str">
        <f t="shared" si="93"/>
        <v/>
      </c>
      <c r="BA97" s="308" t="str">
        <f t="shared" si="93"/>
        <v/>
      </c>
      <c r="BB97" s="308" t="str">
        <f t="shared" si="93"/>
        <v/>
      </c>
      <c r="BC97" s="308" t="str">
        <f t="shared" si="93"/>
        <v/>
      </c>
      <c r="BD97" s="308" t="str">
        <f t="shared" si="93"/>
        <v/>
      </c>
      <c r="BE97" s="308" t="str">
        <f t="shared" si="93"/>
        <v/>
      </c>
      <c r="BF97" s="308" t="str">
        <f t="shared" si="93"/>
        <v/>
      </c>
      <c r="BG97" s="308" t="str">
        <f t="shared" si="93"/>
        <v/>
      </c>
    </row>
    <row r="98" ht="12.75" customHeight="1" outlineLevel="1">
      <c r="A98" s="237"/>
      <c r="B98" s="237"/>
      <c r="C98" s="237"/>
      <c r="D98" s="237" t="s">
        <v>674</v>
      </c>
      <c r="E98" s="237"/>
      <c r="F98" s="237"/>
      <c r="G98" s="356"/>
      <c r="H98" s="356"/>
      <c r="I98" s="356">
        <f t="shared" ref="I98:R98" si="94">I97</f>
        <v>0</v>
      </c>
      <c r="J98" s="356">
        <f t="shared" si="94"/>
        <v>0</v>
      </c>
      <c r="K98" s="356">
        <f t="shared" si="94"/>
        <v>0</v>
      </c>
      <c r="L98" s="356">
        <f t="shared" si="94"/>
        <v>0</v>
      </c>
      <c r="M98" s="356">
        <f t="shared" si="94"/>
        <v>0</v>
      </c>
      <c r="N98" s="356">
        <f t="shared" si="94"/>
        <v>0</v>
      </c>
      <c r="O98" s="356">
        <f t="shared" si="94"/>
        <v>0</v>
      </c>
      <c r="P98" s="356">
        <f t="shared" si="94"/>
        <v>0</v>
      </c>
      <c r="Q98" s="356">
        <f t="shared" si="94"/>
        <v>0</v>
      </c>
      <c r="R98" s="356">
        <f t="shared" si="94"/>
        <v>0</v>
      </c>
      <c r="AT98" s="308" t="str">
        <f t="shared" ref="AT98:BG98" si="95">AT97</f>
        <v/>
      </c>
      <c r="AU98" s="308" t="str">
        <f t="shared" si="95"/>
        <v/>
      </c>
      <c r="AV98" s="308" t="str">
        <f t="shared" si="95"/>
        <v/>
      </c>
      <c r="AW98" s="308" t="str">
        <f t="shared" si="95"/>
        <v/>
      </c>
      <c r="AX98" s="308" t="str">
        <f t="shared" si="95"/>
        <v/>
      </c>
      <c r="AY98" s="308" t="str">
        <f t="shared" si="95"/>
        <v/>
      </c>
      <c r="AZ98" s="308" t="str">
        <f t="shared" si="95"/>
        <v/>
      </c>
      <c r="BA98" s="308" t="str">
        <f t="shared" si="95"/>
        <v/>
      </c>
      <c r="BB98" s="308" t="str">
        <f t="shared" si="95"/>
        <v/>
      </c>
      <c r="BC98" s="308" t="str">
        <f t="shared" si="95"/>
        <v/>
      </c>
      <c r="BD98" s="308" t="str">
        <f t="shared" si="95"/>
        <v/>
      </c>
      <c r="BE98" s="308" t="str">
        <f t="shared" si="95"/>
        <v/>
      </c>
      <c r="BF98" s="308" t="str">
        <f t="shared" si="95"/>
        <v/>
      </c>
      <c r="BG98" s="308" t="str">
        <f t="shared" si="95"/>
        <v/>
      </c>
    </row>
    <row r="99" ht="12.75" customHeight="1" outlineLevel="1">
      <c r="A99" s="237"/>
      <c r="B99" s="237"/>
      <c r="C99" s="237"/>
      <c r="D99" s="237" t="s">
        <v>675</v>
      </c>
      <c r="E99" s="237"/>
      <c r="F99" s="237"/>
      <c r="G99" s="356"/>
      <c r="H99" s="356"/>
      <c r="I99" s="356">
        <f t="shared" ref="I99:R99" si="96">I98</f>
        <v>0</v>
      </c>
      <c r="J99" s="356">
        <f t="shared" si="96"/>
        <v>0</v>
      </c>
      <c r="K99" s="356">
        <f t="shared" si="96"/>
        <v>0</v>
      </c>
      <c r="L99" s="356">
        <f t="shared" si="96"/>
        <v>0</v>
      </c>
      <c r="M99" s="356">
        <f t="shared" si="96"/>
        <v>0</v>
      </c>
      <c r="N99" s="356">
        <f t="shared" si="96"/>
        <v>0</v>
      </c>
      <c r="O99" s="356">
        <f t="shared" si="96"/>
        <v>0</v>
      </c>
      <c r="P99" s="356">
        <f t="shared" si="96"/>
        <v>0</v>
      </c>
      <c r="Q99" s="356">
        <f t="shared" si="96"/>
        <v>0</v>
      </c>
      <c r="R99" s="356">
        <f t="shared" si="96"/>
        <v>0</v>
      </c>
      <c r="AT99" s="308" t="str">
        <f t="shared" ref="AT99:BG99" si="97">AT98</f>
        <v/>
      </c>
      <c r="AU99" s="308" t="str">
        <f t="shared" si="97"/>
        <v/>
      </c>
      <c r="AV99" s="308" t="str">
        <f t="shared" si="97"/>
        <v/>
      </c>
      <c r="AW99" s="308" t="str">
        <f t="shared" si="97"/>
        <v/>
      </c>
      <c r="AX99" s="308" t="str">
        <f t="shared" si="97"/>
        <v/>
      </c>
      <c r="AY99" s="308" t="str">
        <f t="shared" si="97"/>
        <v/>
      </c>
      <c r="AZ99" s="308" t="str">
        <f t="shared" si="97"/>
        <v/>
      </c>
      <c r="BA99" s="308" t="str">
        <f t="shared" si="97"/>
        <v/>
      </c>
      <c r="BB99" s="308" t="str">
        <f t="shared" si="97"/>
        <v/>
      </c>
      <c r="BC99" s="308" t="str">
        <f t="shared" si="97"/>
        <v/>
      </c>
      <c r="BD99" s="308" t="str">
        <f t="shared" si="97"/>
        <v/>
      </c>
      <c r="BE99" s="308" t="str">
        <f t="shared" si="97"/>
        <v/>
      </c>
      <c r="BF99" s="308" t="str">
        <f t="shared" si="97"/>
        <v/>
      </c>
      <c r="BG99" s="308" t="str">
        <f t="shared" si="97"/>
        <v/>
      </c>
    </row>
    <row r="100" ht="12.75" customHeight="1" outlineLevel="1">
      <c r="A100" s="90"/>
      <c r="B100" s="90"/>
      <c r="C100" s="90" t="s">
        <v>676</v>
      </c>
      <c r="D100" s="90"/>
      <c r="E100" s="90"/>
      <c r="F100" s="90"/>
      <c r="G100" s="301"/>
      <c r="H100" s="301"/>
      <c r="I100" s="358">
        <v>0.0</v>
      </c>
      <c r="J100" s="301">
        <f t="shared" ref="J100:R100" si="98">I100*(1+J$90)</f>
        <v>0</v>
      </c>
      <c r="K100" s="301">
        <f t="shared" si="98"/>
        <v>0</v>
      </c>
      <c r="L100" s="301">
        <f t="shared" si="98"/>
        <v>0</v>
      </c>
      <c r="M100" s="301">
        <f t="shared" si="98"/>
        <v>0</v>
      </c>
      <c r="N100" s="301">
        <f t="shared" si="98"/>
        <v>0</v>
      </c>
      <c r="O100" s="301">
        <f t="shared" si="98"/>
        <v>0</v>
      </c>
      <c r="P100" s="301">
        <f t="shared" si="98"/>
        <v>0</v>
      </c>
      <c r="Q100" s="301">
        <f t="shared" si="98"/>
        <v>0</v>
      </c>
      <c r="R100" s="301">
        <f t="shared" si="98"/>
        <v>0</v>
      </c>
      <c r="AT100" s="359">
        <f t="shared" ref="AT100:BG100" si="99">AS100*(1+AT$90)</f>
        <v>0</v>
      </c>
      <c r="AU100" s="359">
        <f t="shared" si="99"/>
        <v>0</v>
      </c>
      <c r="AV100" s="359">
        <f t="shared" si="99"/>
        <v>0</v>
      </c>
      <c r="AW100" s="359">
        <f t="shared" si="99"/>
        <v>0</v>
      </c>
      <c r="AX100" s="359">
        <f t="shared" si="99"/>
        <v>0</v>
      </c>
      <c r="AY100" s="359">
        <f t="shared" si="99"/>
        <v>0</v>
      </c>
      <c r="AZ100" s="359">
        <f t="shared" si="99"/>
        <v>0</v>
      </c>
      <c r="BA100" s="359">
        <f t="shared" si="99"/>
        <v>0</v>
      </c>
      <c r="BB100" s="359">
        <f t="shared" si="99"/>
        <v>0</v>
      </c>
      <c r="BC100" s="359">
        <f t="shared" si="99"/>
        <v>0</v>
      </c>
      <c r="BD100" s="359">
        <f t="shared" si="99"/>
        <v>0</v>
      </c>
      <c r="BE100" s="359">
        <f t="shared" si="99"/>
        <v>0</v>
      </c>
      <c r="BF100" s="359">
        <f t="shared" si="99"/>
        <v>0</v>
      </c>
      <c r="BG100" s="359">
        <f t="shared" si="99"/>
        <v>0</v>
      </c>
    </row>
    <row r="101" ht="12.75" customHeight="1" outlineLevel="1">
      <c r="A101" s="90"/>
      <c r="B101" s="90"/>
      <c r="C101" s="90" t="s">
        <v>677</v>
      </c>
      <c r="D101" s="90"/>
      <c r="E101" s="90"/>
      <c r="F101" s="90"/>
      <c r="G101" s="99"/>
      <c r="H101" s="99"/>
      <c r="I101" s="99">
        <f>'RS2'!K100</f>
        <v>111</v>
      </c>
      <c r="J101" s="99">
        <f t="shared" ref="J101:R101" si="100">I101*(1+J$90)</f>
        <v>111</v>
      </c>
      <c r="K101" s="99">
        <f t="shared" si="100"/>
        <v>111</v>
      </c>
      <c r="L101" s="99">
        <f t="shared" si="100"/>
        <v>111</v>
      </c>
      <c r="M101" s="99">
        <f t="shared" si="100"/>
        <v>111</v>
      </c>
      <c r="N101" s="99">
        <f t="shared" si="100"/>
        <v>111</v>
      </c>
      <c r="O101" s="99">
        <f t="shared" si="100"/>
        <v>111</v>
      </c>
      <c r="P101" s="99">
        <f t="shared" si="100"/>
        <v>111</v>
      </c>
      <c r="Q101" s="99">
        <f t="shared" si="100"/>
        <v>111</v>
      </c>
      <c r="R101" s="99">
        <f t="shared" si="100"/>
        <v>111</v>
      </c>
      <c r="AT101" s="308">
        <f t="shared" ref="AT101:BG101" si="101">AS101*(1+AT$90)</f>
        <v>0</v>
      </c>
      <c r="AU101" s="308">
        <f t="shared" si="101"/>
        <v>0</v>
      </c>
      <c r="AV101" s="308">
        <f t="shared" si="101"/>
        <v>0</v>
      </c>
      <c r="AW101" s="308">
        <f t="shared" si="101"/>
        <v>0</v>
      </c>
      <c r="AX101" s="308">
        <f t="shared" si="101"/>
        <v>0</v>
      </c>
      <c r="AY101" s="308">
        <f t="shared" si="101"/>
        <v>0</v>
      </c>
      <c r="AZ101" s="308">
        <f t="shared" si="101"/>
        <v>0</v>
      </c>
      <c r="BA101" s="308">
        <f t="shared" si="101"/>
        <v>0</v>
      </c>
      <c r="BB101" s="308">
        <f t="shared" si="101"/>
        <v>0</v>
      </c>
      <c r="BC101" s="308">
        <f t="shared" si="101"/>
        <v>0</v>
      </c>
      <c r="BD101" s="308">
        <f t="shared" si="101"/>
        <v>0</v>
      </c>
      <c r="BE101" s="308">
        <f t="shared" si="101"/>
        <v>0</v>
      </c>
      <c r="BF101" s="308">
        <f t="shared" si="101"/>
        <v>0</v>
      </c>
      <c r="BG101" s="308">
        <f t="shared" si="101"/>
        <v>0</v>
      </c>
    </row>
    <row r="102" ht="12.75" customHeight="1" outlineLevel="1">
      <c r="A102" s="90"/>
      <c r="B102" s="90"/>
      <c r="C102" s="90" t="s">
        <v>678</v>
      </c>
      <c r="D102" s="90"/>
      <c r="E102" s="90"/>
      <c r="F102" s="90"/>
      <c r="G102" s="99"/>
      <c r="H102" s="99"/>
      <c r="I102" s="99">
        <f>'RS2'!K101</f>
        <v>13.3</v>
      </c>
      <c r="J102" s="99">
        <f t="shared" ref="J102:R102" si="102">I102*(1+J$90)</f>
        <v>13.3</v>
      </c>
      <c r="K102" s="99">
        <f t="shared" si="102"/>
        <v>13.3</v>
      </c>
      <c r="L102" s="99">
        <f t="shared" si="102"/>
        <v>13.3</v>
      </c>
      <c r="M102" s="99">
        <f t="shared" si="102"/>
        <v>13.3</v>
      </c>
      <c r="N102" s="99">
        <f t="shared" si="102"/>
        <v>13.3</v>
      </c>
      <c r="O102" s="99">
        <f t="shared" si="102"/>
        <v>13.3</v>
      </c>
      <c r="P102" s="99">
        <f t="shared" si="102"/>
        <v>13.3</v>
      </c>
      <c r="Q102" s="99">
        <f t="shared" si="102"/>
        <v>13.3</v>
      </c>
      <c r="R102" s="99">
        <f t="shared" si="102"/>
        <v>13.3</v>
      </c>
      <c r="AT102" s="308">
        <f t="shared" ref="AT102:BG102" si="103">AS102*(1+AT$90)</f>
        <v>0</v>
      </c>
      <c r="AU102" s="308">
        <f t="shared" si="103"/>
        <v>0</v>
      </c>
      <c r="AV102" s="308">
        <f t="shared" si="103"/>
        <v>0</v>
      </c>
      <c r="AW102" s="308">
        <f t="shared" si="103"/>
        <v>0</v>
      </c>
      <c r="AX102" s="308">
        <f t="shared" si="103"/>
        <v>0</v>
      </c>
      <c r="AY102" s="308">
        <f t="shared" si="103"/>
        <v>0</v>
      </c>
      <c r="AZ102" s="308">
        <f t="shared" si="103"/>
        <v>0</v>
      </c>
      <c r="BA102" s="308">
        <f t="shared" si="103"/>
        <v>0</v>
      </c>
      <c r="BB102" s="308">
        <f t="shared" si="103"/>
        <v>0</v>
      </c>
      <c r="BC102" s="308">
        <f t="shared" si="103"/>
        <v>0</v>
      </c>
      <c r="BD102" s="308">
        <f t="shared" si="103"/>
        <v>0</v>
      </c>
      <c r="BE102" s="308">
        <f t="shared" si="103"/>
        <v>0</v>
      </c>
      <c r="BF102" s="308">
        <f t="shared" si="103"/>
        <v>0</v>
      </c>
      <c r="BG102" s="308">
        <f t="shared" si="103"/>
        <v>0</v>
      </c>
    </row>
    <row r="103" ht="12.75" customHeight="1" outlineLevel="1">
      <c r="A103" s="90"/>
      <c r="B103" s="90"/>
      <c r="C103" s="90" t="s">
        <v>679</v>
      </c>
      <c r="D103" s="90"/>
      <c r="E103" s="90"/>
      <c r="F103" s="90"/>
      <c r="G103" s="99"/>
      <c r="H103" s="99"/>
      <c r="I103" s="99"/>
      <c r="J103" s="99"/>
      <c r="K103" s="99"/>
      <c r="L103" s="99"/>
      <c r="M103" s="99"/>
      <c r="N103" s="99"/>
      <c r="O103" s="99"/>
      <c r="P103" s="99"/>
      <c r="Q103" s="99"/>
      <c r="R103" s="99"/>
      <c r="AT103" s="308"/>
      <c r="AU103" s="308"/>
      <c r="AV103" s="308"/>
      <c r="AW103" s="308"/>
      <c r="AX103" s="308"/>
      <c r="AY103" s="308"/>
      <c r="AZ103" s="308"/>
      <c r="BA103" s="308"/>
      <c r="BB103" s="308"/>
      <c r="BC103" s="308"/>
      <c r="BD103" s="308"/>
      <c r="BE103" s="308"/>
      <c r="BF103" s="308"/>
      <c r="BG103" s="308"/>
    </row>
    <row r="104" ht="12.75" customHeight="1" outlineLevel="1">
      <c r="A104" s="237"/>
      <c r="B104" s="237"/>
      <c r="C104" s="237" t="s">
        <v>680</v>
      </c>
      <c r="D104" s="237"/>
      <c r="E104" s="237"/>
      <c r="F104" s="237"/>
      <c r="G104" s="356"/>
      <c r="H104" s="356"/>
      <c r="I104" s="356">
        <f>'RSGen 1-7'!I104</f>
        <v>600</v>
      </c>
      <c r="J104" s="356">
        <f t="shared" ref="J104:R104" si="104">I104*(1+J$90)</f>
        <v>600</v>
      </c>
      <c r="K104" s="356">
        <f t="shared" si="104"/>
        <v>600</v>
      </c>
      <c r="L104" s="356">
        <f t="shared" si="104"/>
        <v>600</v>
      </c>
      <c r="M104" s="356">
        <f t="shared" si="104"/>
        <v>600</v>
      </c>
      <c r="N104" s="356">
        <f t="shared" si="104"/>
        <v>600</v>
      </c>
      <c r="O104" s="356">
        <f t="shared" si="104"/>
        <v>600</v>
      </c>
      <c r="P104" s="356">
        <f t="shared" si="104"/>
        <v>600</v>
      </c>
      <c r="Q104" s="356">
        <f t="shared" si="104"/>
        <v>600</v>
      </c>
      <c r="R104" s="356">
        <f t="shared" si="104"/>
        <v>600</v>
      </c>
      <c r="AT104" s="308">
        <f t="shared" ref="AT104:BG104" si="105">AS104*(1+AT$90)</f>
        <v>0</v>
      </c>
      <c r="AU104" s="308">
        <f t="shared" si="105"/>
        <v>0</v>
      </c>
      <c r="AV104" s="308">
        <f t="shared" si="105"/>
        <v>0</v>
      </c>
      <c r="AW104" s="308">
        <f t="shared" si="105"/>
        <v>0</v>
      </c>
      <c r="AX104" s="308">
        <f t="shared" si="105"/>
        <v>0</v>
      </c>
      <c r="AY104" s="308">
        <f t="shared" si="105"/>
        <v>0</v>
      </c>
      <c r="AZ104" s="308">
        <f t="shared" si="105"/>
        <v>0</v>
      </c>
      <c r="BA104" s="308">
        <f t="shared" si="105"/>
        <v>0</v>
      </c>
      <c r="BB104" s="308">
        <f t="shared" si="105"/>
        <v>0</v>
      </c>
      <c r="BC104" s="308">
        <f t="shared" si="105"/>
        <v>0</v>
      </c>
      <c r="BD104" s="308">
        <f t="shared" si="105"/>
        <v>0</v>
      </c>
      <c r="BE104" s="308">
        <f t="shared" si="105"/>
        <v>0</v>
      </c>
      <c r="BF104" s="308">
        <f t="shared" si="105"/>
        <v>0</v>
      </c>
      <c r="BG104" s="308">
        <f t="shared" si="105"/>
        <v>0</v>
      </c>
    </row>
    <row r="105" ht="12.75" customHeight="1" outlineLevel="1">
      <c r="A105" s="90"/>
      <c r="B105" s="90"/>
      <c r="C105" s="90" t="s">
        <v>681</v>
      </c>
      <c r="D105" s="90"/>
      <c r="E105" s="90"/>
      <c r="F105" s="90"/>
      <c r="G105" s="99"/>
      <c r="H105" s="99"/>
      <c r="I105" s="99">
        <f>'RS2'!K104</f>
        <v>0</v>
      </c>
      <c r="J105" s="99">
        <f t="shared" ref="J105:R105" si="106">I105*(1+J$90)</f>
        <v>0</v>
      </c>
      <c r="K105" s="99">
        <f t="shared" si="106"/>
        <v>0</v>
      </c>
      <c r="L105" s="99">
        <f t="shared" si="106"/>
        <v>0</v>
      </c>
      <c r="M105" s="99">
        <f t="shared" si="106"/>
        <v>0</v>
      </c>
      <c r="N105" s="99">
        <f t="shared" si="106"/>
        <v>0</v>
      </c>
      <c r="O105" s="99">
        <f t="shared" si="106"/>
        <v>0</v>
      </c>
      <c r="P105" s="99">
        <f t="shared" si="106"/>
        <v>0</v>
      </c>
      <c r="Q105" s="99">
        <f t="shared" si="106"/>
        <v>0</v>
      </c>
      <c r="R105" s="99">
        <f t="shared" si="106"/>
        <v>0</v>
      </c>
      <c r="AT105" s="308">
        <f t="shared" ref="AT105:BG105" si="107">AS105*(1+AT$90)</f>
        <v>0</v>
      </c>
      <c r="AU105" s="308">
        <f t="shared" si="107"/>
        <v>0</v>
      </c>
      <c r="AV105" s="308">
        <f t="shared" si="107"/>
        <v>0</v>
      </c>
      <c r="AW105" s="308">
        <f t="shared" si="107"/>
        <v>0</v>
      </c>
      <c r="AX105" s="308">
        <f t="shared" si="107"/>
        <v>0</v>
      </c>
      <c r="AY105" s="308">
        <f t="shared" si="107"/>
        <v>0</v>
      </c>
      <c r="AZ105" s="308">
        <f t="shared" si="107"/>
        <v>0</v>
      </c>
      <c r="BA105" s="308">
        <f t="shared" si="107"/>
        <v>0</v>
      </c>
      <c r="BB105" s="308">
        <f t="shared" si="107"/>
        <v>0</v>
      </c>
      <c r="BC105" s="308">
        <f t="shared" si="107"/>
        <v>0</v>
      </c>
      <c r="BD105" s="308">
        <f t="shared" si="107"/>
        <v>0</v>
      </c>
      <c r="BE105" s="308">
        <f t="shared" si="107"/>
        <v>0</v>
      </c>
      <c r="BF105" s="308">
        <f t="shared" si="107"/>
        <v>0</v>
      </c>
      <c r="BG105" s="308">
        <f t="shared" si="107"/>
        <v>0</v>
      </c>
    </row>
    <row r="106" ht="12.75" customHeight="1" outlineLevel="1">
      <c r="A106" s="90"/>
      <c r="B106" s="90"/>
      <c r="C106" s="90" t="s">
        <v>682</v>
      </c>
      <c r="D106" s="90"/>
      <c r="E106" s="90"/>
      <c r="F106" s="90"/>
      <c r="G106" s="99"/>
      <c r="H106" s="99"/>
      <c r="I106" s="99">
        <f>'RS2'!K105</f>
        <v>0</v>
      </c>
      <c r="J106" s="99">
        <f t="shared" ref="J106:R106" si="108">I106*(1+J$90)</f>
        <v>0</v>
      </c>
      <c r="K106" s="99">
        <f t="shared" si="108"/>
        <v>0</v>
      </c>
      <c r="L106" s="99">
        <f t="shared" si="108"/>
        <v>0</v>
      </c>
      <c r="M106" s="99">
        <f t="shared" si="108"/>
        <v>0</v>
      </c>
      <c r="N106" s="99">
        <f t="shared" si="108"/>
        <v>0</v>
      </c>
      <c r="O106" s="99">
        <f t="shared" si="108"/>
        <v>0</v>
      </c>
      <c r="P106" s="99">
        <f t="shared" si="108"/>
        <v>0</v>
      </c>
      <c r="Q106" s="99">
        <f t="shared" si="108"/>
        <v>0</v>
      </c>
      <c r="R106" s="99">
        <f t="shared" si="108"/>
        <v>0</v>
      </c>
      <c r="AT106" s="308">
        <f t="shared" ref="AT106:BG106" si="109">AS106*(1+AT$90)</f>
        <v>0</v>
      </c>
      <c r="AU106" s="308">
        <f t="shared" si="109"/>
        <v>0</v>
      </c>
      <c r="AV106" s="308">
        <f t="shared" si="109"/>
        <v>0</v>
      </c>
      <c r="AW106" s="308">
        <f t="shared" si="109"/>
        <v>0</v>
      </c>
      <c r="AX106" s="308">
        <f t="shared" si="109"/>
        <v>0</v>
      </c>
      <c r="AY106" s="308">
        <f t="shared" si="109"/>
        <v>0</v>
      </c>
      <c r="AZ106" s="308">
        <f t="shared" si="109"/>
        <v>0</v>
      </c>
      <c r="BA106" s="308">
        <f t="shared" si="109"/>
        <v>0</v>
      </c>
      <c r="BB106" s="308">
        <f t="shared" si="109"/>
        <v>0</v>
      </c>
      <c r="BC106" s="308">
        <f t="shared" si="109"/>
        <v>0</v>
      </c>
      <c r="BD106" s="308">
        <f t="shared" si="109"/>
        <v>0</v>
      </c>
      <c r="BE106" s="308">
        <f t="shared" si="109"/>
        <v>0</v>
      </c>
      <c r="BF106" s="308">
        <f t="shared" si="109"/>
        <v>0</v>
      </c>
      <c r="BG106" s="308">
        <f t="shared" si="109"/>
        <v>0</v>
      </c>
    </row>
    <row r="107" ht="12.75" customHeight="1" outlineLevel="1">
      <c r="A107" s="90"/>
      <c r="B107" s="90"/>
      <c r="C107" s="90" t="s">
        <v>683</v>
      </c>
      <c r="D107" s="90"/>
      <c r="E107" s="90"/>
      <c r="F107" s="90"/>
      <c r="G107" s="99"/>
      <c r="H107" s="99"/>
      <c r="I107" s="99">
        <f>'RS2'!K106</f>
        <v>0</v>
      </c>
      <c r="J107" s="99">
        <f t="shared" ref="J107:R107" si="110">I107*(1+J$90)</f>
        <v>0</v>
      </c>
      <c r="K107" s="99">
        <f t="shared" si="110"/>
        <v>0</v>
      </c>
      <c r="L107" s="99">
        <f t="shared" si="110"/>
        <v>0</v>
      </c>
      <c r="M107" s="99">
        <f t="shared" si="110"/>
        <v>0</v>
      </c>
      <c r="N107" s="99">
        <f t="shared" si="110"/>
        <v>0</v>
      </c>
      <c r="O107" s="99">
        <f t="shared" si="110"/>
        <v>0</v>
      </c>
      <c r="P107" s="99">
        <f t="shared" si="110"/>
        <v>0</v>
      </c>
      <c r="Q107" s="99">
        <f t="shared" si="110"/>
        <v>0</v>
      </c>
      <c r="R107" s="99">
        <f t="shared" si="110"/>
        <v>0</v>
      </c>
      <c r="AT107" s="308">
        <f t="shared" ref="AT107:BG107" si="111">AS107*(1+AT$90)</f>
        <v>0</v>
      </c>
      <c r="AU107" s="308">
        <f t="shared" si="111"/>
        <v>0</v>
      </c>
      <c r="AV107" s="308">
        <f t="shared" si="111"/>
        <v>0</v>
      </c>
      <c r="AW107" s="308">
        <f t="shared" si="111"/>
        <v>0</v>
      </c>
      <c r="AX107" s="308">
        <f t="shared" si="111"/>
        <v>0</v>
      </c>
      <c r="AY107" s="308">
        <f t="shared" si="111"/>
        <v>0</v>
      </c>
      <c r="AZ107" s="308">
        <f t="shared" si="111"/>
        <v>0</v>
      </c>
      <c r="BA107" s="308">
        <f t="shared" si="111"/>
        <v>0</v>
      </c>
      <c r="BB107" s="308">
        <f t="shared" si="111"/>
        <v>0</v>
      </c>
      <c r="BC107" s="308">
        <f t="shared" si="111"/>
        <v>0</v>
      </c>
      <c r="BD107" s="308">
        <f t="shared" si="111"/>
        <v>0</v>
      </c>
      <c r="BE107" s="308">
        <f t="shared" si="111"/>
        <v>0</v>
      </c>
      <c r="BF107" s="308">
        <f t="shared" si="111"/>
        <v>0</v>
      </c>
      <c r="BG107" s="308">
        <f t="shared" si="111"/>
        <v>0</v>
      </c>
    </row>
    <row r="108" ht="12.75" customHeight="1" outlineLevel="1">
      <c r="A108" s="90"/>
      <c r="B108" s="90"/>
      <c r="C108" s="90" t="s">
        <v>684</v>
      </c>
      <c r="D108" s="90"/>
      <c r="E108" s="90"/>
      <c r="F108" s="90"/>
      <c r="G108" s="99"/>
      <c r="H108" s="99"/>
      <c r="I108" s="99">
        <f>'RS2'!K107</f>
        <v>0</v>
      </c>
      <c r="J108" s="99">
        <f t="shared" ref="J108:R108" si="112">I108*(1+J$90)</f>
        <v>0</v>
      </c>
      <c r="K108" s="99">
        <f t="shared" si="112"/>
        <v>0</v>
      </c>
      <c r="L108" s="99">
        <f t="shared" si="112"/>
        <v>0</v>
      </c>
      <c r="M108" s="99">
        <f t="shared" si="112"/>
        <v>0</v>
      </c>
      <c r="N108" s="99">
        <f t="shared" si="112"/>
        <v>0</v>
      </c>
      <c r="O108" s="99">
        <f t="shared" si="112"/>
        <v>0</v>
      </c>
      <c r="P108" s="99">
        <f t="shared" si="112"/>
        <v>0</v>
      </c>
      <c r="Q108" s="99">
        <f t="shared" si="112"/>
        <v>0</v>
      </c>
      <c r="R108" s="99">
        <f t="shared" si="112"/>
        <v>0</v>
      </c>
      <c r="AT108" s="308">
        <f t="shared" ref="AT108:BG108" si="113">AS108*(1+AT$90)</f>
        <v>0</v>
      </c>
      <c r="AU108" s="308">
        <f t="shared" si="113"/>
        <v>0</v>
      </c>
      <c r="AV108" s="308">
        <f t="shared" si="113"/>
        <v>0</v>
      </c>
      <c r="AW108" s="308">
        <f t="shared" si="113"/>
        <v>0</v>
      </c>
      <c r="AX108" s="308">
        <f t="shared" si="113"/>
        <v>0</v>
      </c>
      <c r="AY108" s="308">
        <f t="shared" si="113"/>
        <v>0</v>
      </c>
      <c r="AZ108" s="308">
        <f t="shared" si="113"/>
        <v>0</v>
      </c>
      <c r="BA108" s="308">
        <f t="shared" si="113"/>
        <v>0</v>
      </c>
      <c r="BB108" s="308">
        <f t="shared" si="113"/>
        <v>0</v>
      </c>
      <c r="BC108" s="308">
        <f t="shared" si="113"/>
        <v>0</v>
      </c>
      <c r="BD108" s="308">
        <f t="shared" si="113"/>
        <v>0</v>
      </c>
      <c r="BE108" s="308">
        <f t="shared" si="113"/>
        <v>0</v>
      </c>
      <c r="BF108" s="308">
        <f t="shared" si="113"/>
        <v>0</v>
      </c>
      <c r="BG108" s="308">
        <f t="shared" si="113"/>
        <v>0</v>
      </c>
    </row>
    <row r="109" ht="12.75" customHeight="1" outlineLevel="1">
      <c r="A109" s="90"/>
      <c r="B109" s="90"/>
      <c r="C109" s="90"/>
      <c r="D109" s="90"/>
      <c r="E109" s="90"/>
      <c r="F109" s="90"/>
      <c r="G109" s="99"/>
      <c r="H109" s="99"/>
      <c r="I109" s="99"/>
      <c r="J109" s="99"/>
      <c r="K109" s="99"/>
      <c r="L109" s="99"/>
      <c r="M109" s="99"/>
      <c r="N109" s="99"/>
      <c r="O109" s="99"/>
      <c r="P109" s="99"/>
      <c r="Q109" s="99"/>
      <c r="R109" s="99"/>
      <c r="AT109" s="308"/>
      <c r="AU109" s="308"/>
      <c r="AV109" s="308"/>
      <c r="AW109" s="308"/>
      <c r="AX109" s="308"/>
      <c r="AY109" s="308"/>
      <c r="AZ109" s="308"/>
      <c r="BA109" s="308"/>
      <c r="BB109" s="308"/>
      <c r="BC109" s="308"/>
      <c r="BD109" s="308"/>
      <c r="BE109" s="308"/>
      <c r="BF109" s="308"/>
      <c r="BG109" s="308"/>
    </row>
    <row r="110" ht="12.75" customHeight="1" outlineLevel="1">
      <c r="A110" s="90"/>
      <c r="B110" s="67" t="s">
        <v>685</v>
      </c>
      <c r="C110" s="90"/>
      <c r="D110" s="90"/>
      <c r="E110" s="90"/>
      <c r="F110" s="90"/>
      <c r="G110" s="99"/>
      <c r="H110" s="99"/>
      <c r="I110" s="90"/>
      <c r="J110" s="90"/>
      <c r="K110" s="90"/>
      <c r="L110" s="90"/>
      <c r="M110" s="90"/>
      <c r="N110" s="90"/>
      <c r="O110" s="90"/>
      <c r="P110" s="90"/>
      <c r="Q110" s="90"/>
      <c r="R110" s="90"/>
      <c r="AT110" s="313"/>
      <c r="AU110" s="313"/>
      <c r="AV110" s="313"/>
      <c r="AW110" s="313"/>
      <c r="AX110" s="313"/>
      <c r="AY110" s="313"/>
      <c r="AZ110" s="313"/>
      <c r="BA110" s="313"/>
      <c r="BB110" s="313"/>
      <c r="BC110" s="313"/>
      <c r="BD110" s="313"/>
      <c r="BE110" s="313"/>
      <c r="BF110" s="313"/>
      <c r="BG110" s="313"/>
    </row>
    <row r="111" ht="12.75" customHeight="1" outlineLevel="1">
      <c r="A111" s="90"/>
      <c r="B111" s="90"/>
      <c r="C111" s="90" t="s">
        <v>574</v>
      </c>
      <c r="D111" s="90"/>
      <c r="E111" s="90"/>
      <c r="F111" s="90"/>
      <c r="G111" s="178"/>
      <c r="H111" s="178"/>
      <c r="I111" s="178"/>
      <c r="J111" s="178"/>
      <c r="K111" s="178"/>
      <c r="L111" s="178"/>
      <c r="M111" s="178"/>
      <c r="N111" s="178"/>
      <c r="O111" s="178"/>
      <c r="P111" s="178"/>
      <c r="Q111" s="178"/>
      <c r="R111" s="178"/>
      <c r="AT111" s="355">
        <v>0.01</v>
      </c>
      <c r="AU111" s="355">
        <v>0.01</v>
      </c>
      <c r="AV111" s="355">
        <v>0.01</v>
      </c>
      <c r="AW111" s="355">
        <v>0.01</v>
      </c>
      <c r="AX111" s="355">
        <v>0.01</v>
      </c>
      <c r="AY111" s="355">
        <v>0.01</v>
      </c>
      <c r="AZ111" s="355">
        <v>0.01</v>
      </c>
      <c r="BA111" s="355">
        <v>0.01</v>
      </c>
      <c r="BB111" s="355">
        <v>0.01</v>
      </c>
      <c r="BC111" s="355">
        <v>0.01</v>
      </c>
      <c r="BD111" s="355">
        <v>0.01</v>
      </c>
      <c r="BE111" s="355">
        <v>0.01</v>
      </c>
      <c r="BF111" s="355">
        <v>0.01</v>
      </c>
      <c r="BG111" s="355">
        <v>0.01</v>
      </c>
    </row>
    <row r="112" ht="12.75" customHeight="1" outlineLevel="1">
      <c r="A112" s="90"/>
      <c r="B112" s="90"/>
      <c r="C112" s="90" t="s">
        <v>686</v>
      </c>
      <c r="D112" s="90"/>
      <c r="E112" s="90"/>
      <c r="F112" s="90"/>
      <c r="G112" s="99"/>
      <c r="H112" s="99"/>
      <c r="I112" s="99">
        <f>'RS2'!K111</f>
        <v>400</v>
      </c>
      <c r="J112" s="99">
        <f t="shared" ref="J112:R112" si="114">I112*(1+J$111)</f>
        <v>400</v>
      </c>
      <c r="K112" s="99">
        <f t="shared" si="114"/>
        <v>400</v>
      </c>
      <c r="L112" s="99">
        <f t="shared" si="114"/>
        <v>400</v>
      </c>
      <c r="M112" s="99">
        <f t="shared" si="114"/>
        <v>400</v>
      </c>
      <c r="N112" s="99">
        <f t="shared" si="114"/>
        <v>400</v>
      </c>
      <c r="O112" s="99">
        <f t="shared" si="114"/>
        <v>400</v>
      </c>
      <c r="P112" s="99">
        <f t="shared" si="114"/>
        <v>400</v>
      </c>
      <c r="Q112" s="99">
        <f t="shared" si="114"/>
        <v>400</v>
      </c>
      <c r="R112" s="99">
        <f t="shared" si="114"/>
        <v>400</v>
      </c>
      <c r="AT112" s="308">
        <f t="shared" ref="AT112:BG112" si="115">AS112*(1+AT$111)</f>
        <v>0</v>
      </c>
      <c r="AU112" s="308">
        <f t="shared" si="115"/>
        <v>0</v>
      </c>
      <c r="AV112" s="308">
        <f t="shared" si="115"/>
        <v>0</v>
      </c>
      <c r="AW112" s="308">
        <f t="shared" si="115"/>
        <v>0</v>
      </c>
      <c r="AX112" s="308">
        <f t="shared" si="115"/>
        <v>0</v>
      </c>
      <c r="AY112" s="308">
        <f t="shared" si="115"/>
        <v>0</v>
      </c>
      <c r="AZ112" s="308">
        <f t="shared" si="115"/>
        <v>0</v>
      </c>
      <c r="BA112" s="308">
        <f t="shared" si="115"/>
        <v>0</v>
      </c>
      <c r="BB112" s="308">
        <f t="shared" si="115"/>
        <v>0</v>
      </c>
      <c r="BC112" s="308">
        <f t="shared" si="115"/>
        <v>0</v>
      </c>
      <c r="BD112" s="308">
        <f t="shared" si="115"/>
        <v>0</v>
      </c>
      <c r="BE112" s="308">
        <f t="shared" si="115"/>
        <v>0</v>
      </c>
      <c r="BF112" s="308">
        <f t="shared" si="115"/>
        <v>0</v>
      </c>
      <c r="BG112" s="308">
        <f t="shared" si="115"/>
        <v>0</v>
      </c>
    </row>
    <row r="113" ht="12.75" customHeight="1" outlineLevel="1">
      <c r="A113" s="90"/>
      <c r="B113" s="90"/>
      <c r="C113" s="90" t="s">
        <v>687</v>
      </c>
      <c r="D113" s="90"/>
      <c r="E113" s="90"/>
      <c r="F113" s="90"/>
      <c r="G113" s="99"/>
      <c r="H113" s="99"/>
      <c r="I113" s="152">
        <f>'RSGen 1-7'!I113</f>
        <v>0.75</v>
      </c>
      <c r="J113" s="152">
        <f>'RSGen 1-7'!J113</f>
        <v>0.75</v>
      </c>
      <c r="K113" s="152">
        <f>'RSGen 1-7'!K113</f>
        <v>0.75</v>
      </c>
      <c r="L113" s="152">
        <f>'RSGen 1-7'!L113</f>
        <v>0.75</v>
      </c>
      <c r="M113" s="152">
        <f>'RSGen 1-7'!M113</f>
        <v>0.75</v>
      </c>
      <c r="N113" s="152">
        <f>'RSGen 1-7'!N113</f>
        <v>0.75</v>
      </c>
      <c r="O113" s="152">
        <f>'RSGen 1-7'!O113</f>
        <v>0.75</v>
      </c>
      <c r="P113" s="152">
        <f>'RSGen 1-7'!P113</f>
        <v>0.75</v>
      </c>
      <c r="Q113" s="152">
        <f>'RSGen 1-7'!Q113</f>
        <v>0.75</v>
      </c>
      <c r="R113" s="152">
        <f>'RSGen 1-7'!R113</f>
        <v>0.75</v>
      </c>
      <c r="AT113" s="308">
        <f t="shared" ref="AT113:BG113" si="116">AS113*(1+AT$111)</f>
        <v>0</v>
      </c>
      <c r="AU113" s="308">
        <f t="shared" si="116"/>
        <v>0</v>
      </c>
      <c r="AV113" s="308">
        <f t="shared" si="116"/>
        <v>0</v>
      </c>
      <c r="AW113" s="308">
        <f t="shared" si="116"/>
        <v>0</v>
      </c>
      <c r="AX113" s="308">
        <f t="shared" si="116"/>
        <v>0</v>
      </c>
      <c r="AY113" s="308">
        <f t="shared" si="116"/>
        <v>0</v>
      </c>
      <c r="AZ113" s="308">
        <f t="shared" si="116"/>
        <v>0</v>
      </c>
      <c r="BA113" s="308">
        <f t="shared" si="116"/>
        <v>0</v>
      </c>
      <c r="BB113" s="308">
        <f t="shared" si="116"/>
        <v>0</v>
      </c>
      <c r="BC113" s="308">
        <f t="shared" si="116"/>
        <v>0</v>
      </c>
      <c r="BD113" s="308">
        <f t="shared" si="116"/>
        <v>0</v>
      </c>
      <c r="BE113" s="308">
        <f t="shared" si="116"/>
        <v>0</v>
      </c>
      <c r="BF113" s="308">
        <f t="shared" si="116"/>
        <v>0</v>
      </c>
      <c r="BG113" s="308">
        <f t="shared" si="116"/>
        <v>0</v>
      </c>
    </row>
    <row r="114" ht="12.75" customHeight="1" outlineLevel="1">
      <c r="A114" s="90"/>
      <c r="B114" s="90"/>
      <c r="C114" s="90" t="s">
        <v>688</v>
      </c>
      <c r="D114" s="90"/>
      <c r="E114" s="90"/>
      <c r="F114" s="90"/>
      <c r="G114" s="99"/>
      <c r="H114" s="99"/>
      <c r="I114" s="99"/>
      <c r="J114" s="99"/>
      <c r="K114" s="99"/>
      <c r="L114" s="99"/>
      <c r="M114" s="99"/>
      <c r="N114" s="99"/>
      <c r="O114" s="99"/>
      <c r="P114" s="99"/>
      <c r="Q114" s="99"/>
      <c r="R114" s="99"/>
      <c r="AT114" s="308">
        <f t="shared" ref="AT114:AX114" si="117">AS114*(1+AT$111)</f>
        <v>0</v>
      </c>
      <c r="AU114" s="308">
        <f t="shared" si="117"/>
        <v>0</v>
      </c>
      <c r="AV114" s="308">
        <f t="shared" si="117"/>
        <v>0</v>
      </c>
      <c r="AW114" s="308">
        <f t="shared" si="117"/>
        <v>0</v>
      </c>
      <c r="AX114" s="308">
        <f t="shared" si="117"/>
        <v>0</v>
      </c>
      <c r="AY114" s="237" t="s">
        <v>21</v>
      </c>
      <c r="AZ114" s="308" t="str">
        <f t="shared" ref="AZ114:BG114" si="118">AY114*(1+AZ$111)</f>
        <v>#VALUE!</v>
      </c>
      <c r="BA114" s="308" t="str">
        <f t="shared" si="118"/>
        <v>#VALUE!</v>
      </c>
      <c r="BB114" s="308" t="str">
        <f t="shared" si="118"/>
        <v>#VALUE!</v>
      </c>
      <c r="BC114" s="308" t="str">
        <f t="shared" si="118"/>
        <v>#VALUE!</v>
      </c>
      <c r="BD114" s="308" t="str">
        <f t="shared" si="118"/>
        <v>#VALUE!</v>
      </c>
      <c r="BE114" s="308" t="str">
        <f t="shared" si="118"/>
        <v>#VALUE!</v>
      </c>
      <c r="BF114" s="308" t="str">
        <f t="shared" si="118"/>
        <v>#VALUE!</v>
      </c>
      <c r="BG114" s="308" t="str">
        <f t="shared" si="118"/>
        <v>#VALUE!</v>
      </c>
    </row>
    <row r="115" ht="12.75" customHeight="1" outlineLevel="1">
      <c r="A115" s="90"/>
      <c r="B115" s="90"/>
      <c r="C115" s="90" t="s">
        <v>689</v>
      </c>
      <c r="D115" s="90"/>
      <c r="E115" s="90"/>
      <c r="F115" s="90"/>
      <c r="G115" s="99"/>
      <c r="H115" s="99"/>
      <c r="I115" s="99">
        <f>'RSGen 1-7'!I115</f>
        <v>0</v>
      </c>
      <c r="J115" s="99">
        <f>'RSGen 1-7'!J115</f>
        <v>0</v>
      </c>
      <c r="K115" s="99">
        <f>'RSGen 1-7'!K115</f>
        <v>26.73303835</v>
      </c>
      <c r="L115" s="99">
        <f>'RSGen 1-7'!L115</f>
        <v>26.73303835</v>
      </c>
      <c r="M115" s="99">
        <f>'RSGen 1-7'!M115</f>
        <v>26.73303835</v>
      </c>
      <c r="N115" s="99">
        <f>'RSGen 1-7'!N115</f>
        <v>26.73303835</v>
      </c>
      <c r="O115" s="99">
        <f>'RSGen 1-7'!O115</f>
        <v>26.73303835</v>
      </c>
      <c r="P115" s="99">
        <f>'RSGen 1-7'!P115</f>
        <v>26.73303835</v>
      </c>
      <c r="Q115" s="99">
        <f>'RSGen 1-7'!Q115</f>
        <v>26.73303835</v>
      </c>
      <c r="R115" s="99">
        <f>'RSGen 1-7'!R115</f>
        <v>26.73303835</v>
      </c>
      <c r="AT115" s="308">
        <f t="shared" ref="AT115:AX115" si="119">AS115*(1+AT$111)</f>
        <v>0</v>
      </c>
      <c r="AU115" s="308">
        <f t="shared" si="119"/>
        <v>0</v>
      </c>
      <c r="AV115" s="308">
        <f t="shared" si="119"/>
        <v>0</v>
      </c>
      <c r="AW115" s="308">
        <f t="shared" si="119"/>
        <v>0</v>
      </c>
      <c r="AX115" s="308">
        <f t="shared" si="119"/>
        <v>0</v>
      </c>
      <c r="AY115" s="237">
        <v>80.0</v>
      </c>
      <c r="AZ115" s="308">
        <f t="shared" ref="AZ115:BG115" si="120">AY115*(1+AZ$111)</f>
        <v>80.8</v>
      </c>
      <c r="BA115" s="308">
        <f t="shared" si="120"/>
        <v>81.608</v>
      </c>
      <c r="BB115" s="308">
        <f t="shared" si="120"/>
        <v>82.42408</v>
      </c>
      <c r="BC115" s="308">
        <f t="shared" si="120"/>
        <v>83.2483208</v>
      </c>
      <c r="BD115" s="308">
        <f t="shared" si="120"/>
        <v>84.08080401</v>
      </c>
      <c r="BE115" s="308">
        <f t="shared" si="120"/>
        <v>84.92161205</v>
      </c>
      <c r="BF115" s="308">
        <f t="shared" si="120"/>
        <v>85.77082817</v>
      </c>
      <c r="BG115" s="308">
        <f t="shared" si="120"/>
        <v>86.62853645</v>
      </c>
    </row>
    <row r="116" ht="12.75" customHeight="1" outlineLevel="1">
      <c r="A116" s="90"/>
      <c r="B116" s="90"/>
      <c r="C116" s="90" t="s">
        <v>690</v>
      </c>
      <c r="D116" s="90"/>
      <c r="E116" s="90"/>
      <c r="F116" s="90"/>
      <c r="G116" s="99"/>
      <c r="H116" s="99"/>
      <c r="I116" s="99">
        <f>'RS2'!K115</f>
        <v>0</v>
      </c>
      <c r="J116" s="99">
        <f t="shared" ref="J116:R116" si="121">I116*(1+J$111)</f>
        <v>0</v>
      </c>
      <c r="K116" s="99">
        <f t="shared" si="121"/>
        <v>0</v>
      </c>
      <c r="L116" s="99">
        <f t="shared" si="121"/>
        <v>0</v>
      </c>
      <c r="M116" s="99">
        <f t="shared" si="121"/>
        <v>0</v>
      </c>
      <c r="N116" s="99">
        <f t="shared" si="121"/>
        <v>0</v>
      </c>
      <c r="O116" s="99">
        <f t="shared" si="121"/>
        <v>0</v>
      </c>
      <c r="P116" s="99">
        <f t="shared" si="121"/>
        <v>0</v>
      </c>
      <c r="Q116" s="99">
        <f t="shared" si="121"/>
        <v>0</v>
      </c>
      <c r="R116" s="99">
        <f t="shared" si="121"/>
        <v>0</v>
      </c>
      <c r="AT116" s="308">
        <f t="shared" ref="AT116:AX116" si="122">AS116*(1+AT$111)</f>
        <v>0</v>
      </c>
      <c r="AU116" s="308">
        <f t="shared" si="122"/>
        <v>0</v>
      </c>
      <c r="AV116" s="308">
        <f t="shared" si="122"/>
        <v>0</v>
      </c>
      <c r="AW116" s="308">
        <f t="shared" si="122"/>
        <v>0</v>
      </c>
      <c r="AX116" s="308">
        <f t="shared" si="122"/>
        <v>0</v>
      </c>
      <c r="AY116" s="237">
        <v>80.0</v>
      </c>
      <c r="AZ116" s="308">
        <f t="shared" ref="AZ116:BG116" si="123">AY116*(1+AZ$111)</f>
        <v>80.8</v>
      </c>
      <c r="BA116" s="308">
        <f t="shared" si="123"/>
        <v>81.608</v>
      </c>
      <c r="BB116" s="308">
        <f t="shared" si="123"/>
        <v>82.42408</v>
      </c>
      <c r="BC116" s="308">
        <f t="shared" si="123"/>
        <v>83.2483208</v>
      </c>
      <c r="BD116" s="308">
        <f t="shared" si="123"/>
        <v>84.08080401</v>
      </c>
      <c r="BE116" s="308">
        <f t="shared" si="123"/>
        <v>84.92161205</v>
      </c>
      <c r="BF116" s="308">
        <f t="shared" si="123"/>
        <v>85.77082817</v>
      </c>
      <c r="BG116" s="308">
        <f t="shared" si="123"/>
        <v>86.62853645</v>
      </c>
    </row>
    <row r="117" ht="12.75" customHeight="1" outlineLevel="1">
      <c r="A117" s="90"/>
      <c r="B117" s="90"/>
      <c r="C117" s="90" t="s">
        <v>691</v>
      </c>
      <c r="D117" s="90"/>
      <c r="E117" s="90"/>
      <c r="F117" s="90"/>
      <c r="G117" s="99"/>
      <c r="H117" s="99"/>
      <c r="I117" s="99">
        <f>'RS2'!K116</f>
        <v>0</v>
      </c>
      <c r="J117" s="99">
        <f t="shared" ref="J117:R117" si="124">I117*(1+J$111)</f>
        <v>0</v>
      </c>
      <c r="K117" s="99">
        <f t="shared" si="124"/>
        <v>0</v>
      </c>
      <c r="L117" s="99">
        <f t="shared" si="124"/>
        <v>0</v>
      </c>
      <c r="M117" s="99">
        <f t="shared" si="124"/>
        <v>0</v>
      </c>
      <c r="N117" s="99">
        <f t="shared" si="124"/>
        <v>0</v>
      </c>
      <c r="O117" s="99">
        <f t="shared" si="124"/>
        <v>0</v>
      </c>
      <c r="P117" s="99">
        <f t="shared" si="124"/>
        <v>0</v>
      </c>
      <c r="Q117" s="99">
        <f t="shared" si="124"/>
        <v>0</v>
      </c>
      <c r="R117" s="99">
        <f t="shared" si="124"/>
        <v>0</v>
      </c>
      <c r="AT117" s="308">
        <f t="shared" ref="AT117:AX117" si="125">AS117*(1+AT$111)</f>
        <v>0</v>
      </c>
      <c r="AU117" s="308">
        <f t="shared" si="125"/>
        <v>0</v>
      </c>
      <c r="AV117" s="308">
        <f t="shared" si="125"/>
        <v>0</v>
      </c>
      <c r="AW117" s="308">
        <f t="shared" si="125"/>
        <v>0</v>
      </c>
      <c r="AX117" s="308">
        <f t="shared" si="125"/>
        <v>0</v>
      </c>
      <c r="AY117" s="237">
        <v>80.0</v>
      </c>
      <c r="AZ117" s="308">
        <f t="shared" ref="AZ117:BG117" si="126">AY117*(1+AZ$111)</f>
        <v>80.8</v>
      </c>
      <c r="BA117" s="308">
        <f t="shared" si="126"/>
        <v>81.608</v>
      </c>
      <c r="BB117" s="308">
        <f t="shared" si="126"/>
        <v>82.42408</v>
      </c>
      <c r="BC117" s="308">
        <f t="shared" si="126"/>
        <v>83.2483208</v>
      </c>
      <c r="BD117" s="308">
        <f t="shared" si="126"/>
        <v>84.08080401</v>
      </c>
      <c r="BE117" s="308">
        <f t="shared" si="126"/>
        <v>84.92161205</v>
      </c>
      <c r="BF117" s="308">
        <f t="shared" si="126"/>
        <v>85.77082817</v>
      </c>
      <c r="BG117" s="308">
        <f t="shared" si="126"/>
        <v>86.62853645</v>
      </c>
    </row>
    <row r="118" ht="12.75" customHeight="1" outlineLevel="1">
      <c r="A118" s="90"/>
      <c r="B118" s="90"/>
      <c r="C118" s="90"/>
      <c r="D118" s="90"/>
      <c r="E118" s="90"/>
      <c r="F118" s="90"/>
      <c r="G118" s="99"/>
      <c r="H118" s="99"/>
      <c r="I118" s="90"/>
      <c r="J118" s="90"/>
      <c r="K118" s="90"/>
      <c r="L118" s="90"/>
      <c r="M118" s="90"/>
      <c r="N118" s="90"/>
      <c r="O118" s="90"/>
      <c r="P118" s="90"/>
      <c r="Q118" s="90"/>
      <c r="R118" s="90"/>
      <c r="AT118" s="313"/>
      <c r="AU118" s="313"/>
      <c r="AV118" s="313"/>
      <c r="AW118" s="313"/>
      <c r="AX118" s="313"/>
      <c r="AY118" s="237">
        <v>40.0</v>
      </c>
      <c r="AZ118" s="313"/>
      <c r="BA118" s="313"/>
      <c r="BB118" s="313"/>
      <c r="BC118" s="313"/>
      <c r="BD118" s="313"/>
      <c r="BE118" s="313"/>
      <c r="BF118" s="313"/>
      <c r="BG118" s="313"/>
    </row>
    <row r="119" ht="12.75" customHeight="1" outlineLevel="1">
      <c r="A119" s="90"/>
      <c r="B119" s="67" t="s">
        <v>692</v>
      </c>
      <c r="C119" s="90"/>
      <c r="D119" s="90"/>
      <c r="E119" s="90"/>
      <c r="F119" s="90"/>
      <c r="G119" s="99"/>
      <c r="H119" s="99"/>
      <c r="I119" s="90"/>
      <c r="J119" s="90"/>
      <c r="K119" s="90"/>
      <c r="L119" s="90"/>
      <c r="M119" s="90"/>
      <c r="N119" s="90"/>
      <c r="O119" s="90"/>
      <c r="P119" s="90"/>
      <c r="Q119" s="90"/>
      <c r="R119" s="90"/>
      <c r="AT119" s="313"/>
      <c r="AU119" s="313"/>
      <c r="AV119" s="313"/>
      <c r="AW119" s="313"/>
      <c r="AX119" s="313"/>
      <c r="AY119" s="313"/>
      <c r="AZ119" s="313"/>
      <c r="BA119" s="313"/>
      <c r="BB119" s="313"/>
      <c r="BC119" s="313"/>
      <c r="BD119" s="313"/>
      <c r="BE119" s="313"/>
      <c r="BF119" s="313"/>
      <c r="BG119" s="313"/>
    </row>
    <row r="120" ht="12.75" customHeight="1" outlineLevel="1">
      <c r="A120" s="90"/>
      <c r="B120" s="90"/>
      <c r="C120" s="90" t="s">
        <v>693</v>
      </c>
      <c r="D120" s="90"/>
      <c r="E120" s="90"/>
      <c r="F120" s="90"/>
      <c r="G120" s="99"/>
      <c r="H120" s="99"/>
      <c r="I120" s="99">
        <f>'RSGen 1-7'!I120</f>
        <v>10000</v>
      </c>
      <c r="J120" s="99">
        <f>'RSGen 1-7'!J120</f>
        <v>10000</v>
      </c>
      <c r="K120" s="99">
        <f>'RSGen 1-7'!K120</f>
        <v>5000</v>
      </c>
      <c r="L120" s="99">
        <f>'RSGen 1-7'!L120</f>
        <v>5000</v>
      </c>
      <c r="M120" s="99">
        <f>'RSGen 1-7'!M120</f>
        <v>5000</v>
      </c>
      <c r="N120" s="99">
        <f>'RSGen 1-7'!N120</f>
        <v>5000</v>
      </c>
      <c r="O120" s="99">
        <f>'RSGen 1-7'!O120</f>
        <v>5000</v>
      </c>
      <c r="P120" s="99">
        <f>'RSGen 1-7'!P120</f>
        <v>5000</v>
      </c>
      <c r="Q120" s="99">
        <f>'RSGen 1-7'!Q120</f>
        <v>5000</v>
      </c>
      <c r="R120" s="99">
        <f>'RSGen 1-7'!R120</f>
        <v>5000</v>
      </c>
      <c r="AT120" s="308" t="str">
        <f t="shared" ref="AT120:BG120" si="127">AS120</f>
        <v/>
      </c>
      <c r="AU120" s="308" t="str">
        <f t="shared" si="127"/>
        <v/>
      </c>
      <c r="AV120" s="308" t="str">
        <f t="shared" si="127"/>
        <v/>
      </c>
      <c r="AW120" s="308" t="str">
        <f t="shared" si="127"/>
        <v/>
      </c>
      <c r="AX120" s="308" t="str">
        <f t="shared" si="127"/>
        <v/>
      </c>
      <c r="AY120" s="308" t="str">
        <f t="shared" si="127"/>
        <v/>
      </c>
      <c r="AZ120" s="308" t="str">
        <f t="shared" si="127"/>
        <v/>
      </c>
      <c r="BA120" s="308" t="str">
        <f t="shared" si="127"/>
        <v/>
      </c>
      <c r="BB120" s="308" t="str">
        <f t="shared" si="127"/>
        <v/>
      </c>
      <c r="BC120" s="308" t="str">
        <f t="shared" si="127"/>
        <v/>
      </c>
      <c r="BD120" s="308" t="str">
        <f t="shared" si="127"/>
        <v/>
      </c>
      <c r="BE120" s="308" t="str">
        <f t="shared" si="127"/>
        <v/>
      </c>
      <c r="BF120" s="308" t="str">
        <f t="shared" si="127"/>
        <v/>
      </c>
      <c r="BG120" s="308" t="str">
        <f t="shared" si="127"/>
        <v/>
      </c>
    </row>
    <row r="121" ht="12.75" customHeight="1" outlineLevel="1">
      <c r="A121" s="90"/>
      <c r="B121" s="90"/>
      <c r="C121" s="90" t="s">
        <v>694</v>
      </c>
      <c r="D121" s="90"/>
      <c r="E121" s="90"/>
      <c r="F121" s="90"/>
      <c r="G121" s="99"/>
      <c r="H121" s="99"/>
      <c r="I121" s="99">
        <f>'RS2'!K120</f>
        <v>10000</v>
      </c>
      <c r="J121" s="99">
        <f t="shared" ref="J121:R121" si="128">I121</f>
        <v>10000</v>
      </c>
      <c r="K121" s="99">
        <f t="shared" si="128"/>
        <v>10000</v>
      </c>
      <c r="L121" s="99">
        <f t="shared" si="128"/>
        <v>10000</v>
      </c>
      <c r="M121" s="99">
        <f t="shared" si="128"/>
        <v>10000</v>
      </c>
      <c r="N121" s="99">
        <f t="shared" si="128"/>
        <v>10000</v>
      </c>
      <c r="O121" s="99">
        <f t="shared" si="128"/>
        <v>10000</v>
      </c>
      <c r="P121" s="99">
        <f t="shared" si="128"/>
        <v>10000</v>
      </c>
      <c r="Q121" s="99">
        <f t="shared" si="128"/>
        <v>10000</v>
      </c>
      <c r="R121" s="99">
        <f t="shared" si="128"/>
        <v>10000</v>
      </c>
      <c r="AT121" s="308" t="str">
        <f t="shared" ref="AT121:BG121" si="129">AS121</f>
        <v/>
      </c>
      <c r="AU121" s="308" t="str">
        <f t="shared" si="129"/>
        <v/>
      </c>
      <c r="AV121" s="308" t="str">
        <f t="shared" si="129"/>
        <v/>
      </c>
      <c r="AW121" s="308" t="str">
        <f t="shared" si="129"/>
        <v/>
      </c>
      <c r="AX121" s="308" t="str">
        <f t="shared" si="129"/>
        <v/>
      </c>
      <c r="AY121" s="308" t="str">
        <f t="shared" si="129"/>
        <v/>
      </c>
      <c r="AZ121" s="308" t="str">
        <f t="shared" si="129"/>
        <v/>
      </c>
      <c r="BA121" s="308" t="str">
        <f t="shared" si="129"/>
        <v/>
      </c>
      <c r="BB121" s="308" t="str">
        <f t="shared" si="129"/>
        <v/>
      </c>
      <c r="BC121" s="308" t="str">
        <f t="shared" si="129"/>
        <v/>
      </c>
      <c r="BD121" s="308" t="str">
        <f t="shared" si="129"/>
        <v/>
      </c>
      <c r="BE121" s="308" t="str">
        <f t="shared" si="129"/>
        <v/>
      </c>
      <c r="BF121" s="308" t="str">
        <f t="shared" si="129"/>
        <v/>
      </c>
      <c r="BG121" s="308" t="str">
        <f t="shared" si="129"/>
        <v/>
      </c>
    </row>
    <row r="122" ht="12.75" customHeight="1" outlineLevel="1">
      <c r="A122" s="90"/>
      <c r="B122" s="90"/>
      <c r="C122" s="90" t="s">
        <v>695</v>
      </c>
      <c r="D122" s="90"/>
      <c r="E122" s="90"/>
      <c r="F122" s="90"/>
      <c r="G122" s="99"/>
      <c r="H122" s="99"/>
      <c r="I122" s="99">
        <f>'RSGen 1-7'!I122</f>
        <v>70</v>
      </c>
      <c r="J122" s="99">
        <f>'RSGen 1-7'!J122</f>
        <v>70</v>
      </c>
      <c r="K122" s="99">
        <f>'RSGen 1-7'!K122</f>
        <v>70</v>
      </c>
      <c r="L122" s="99">
        <f>'RSGen 1-7'!L122</f>
        <v>70</v>
      </c>
      <c r="M122" s="99">
        <f>'RSGen 1-7'!M122</f>
        <v>70</v>
      </c>
      <c r="N122" s="99">
        <f>'RSGen 1-7'!N122</f>
        <v>70</v>
      </c>
      <c r="O122" s="99">
        <f>'RSGen 1-7'!O122</f>
        <v>70</v>
      </c>
      <c r="P122" s="99">
        <f>'RSGen 1-7'!P122</f>
        <v>70</v>
      </c>
      <c r="Q122" s="99">
        <f>'RSGen 1-7'!Q122</f>
        <v>70</v>
      </c>
      <c r="R122" s="99">
        <f>'RSGen 1-7'!R122</f>
        <v>70</v>
      </c>
      <c r="AT122" s="308"/>
      <c r="AU122" s="308"/>
      <c r="AV122" s="308"/>
      <c r="AW122" s="308"/>
      <c r="AX122" s="308"/>
      <c r="AY122" s="308"/>
      <c r="AZ122" s="308"/>
      <c r="BA122" s="308"/>
      <c r="BB122" s="308"/>
      <c r="BC122" s="308"/>
      <c r="BD122" s="308"/>
      <c r="BE122" s="308"/>
      <c r="BF122" s="308"/>
      <c r="BG122" s="308"/>
    </row>
    <row r="123" ht="12.75" customHeight="1" outlineLevel="1">
      <c r="A123" s="90"/>
      <c r="B123" s="90"/>
      <c r="C123" s="90" t="s">
        <v>696</v>
      </c>
      <c r="D123" s="90"/>
      <c r="E123" s="90"/>
      <c r="F123" s="90"/>
      <c r="G123" s="178" t="str">
        <f>'RS2'!I122</f>
        <v/>
      </c>
      <c r="H123" s="178" t="str">
        <f>'RS2'!J122</f>
        <v/>
      </c>
      <c r="I123" s="178">
        <f>'RS2'!K122</f>
        <v>0.041</v>
      </c>
      <c r="J123" s="178">
        <f t="shared" ref="J123:R123" si="130">I123</f>
        <v>0.041</v>
      </c>
      <c r="K123" s="178">
        <f t="shared" si="130"/>
        <v>0.041</v>
      </c>
      <c r="L123" s="178">
        <f t="shared" si="130"/>
        <v>0.041</v>
      </c>
      <c r="M123" s="178">
        <f t="shared" si="130"/>
        <v>0.041</v>
      </c>
      <c r="N123" s="178">
        <f t="shared" si="130"/>
        <v>0.041</v>
      </c>
      <c r="O123" s="178">
        <f t="shared" si="130"/>
        <v>0.041</v>
      </c>
      <c r="P123" s="178">
        <f t="shared" si="130"/>
        <v>0.041</v>
      </c>
      <c r="Q123" s="178">
        <f t="shared" si="130"/>
        <v>0.041</v>
      </c>
      <c r="R123" s="178">
        <f t="shared" si="130"/>
        <v>0.041</v>
      </c>
      <c r="AT123" s="355" t="str">
        <f t="shared" ref="AT123:BG123" si="131">AS123</f>
        <v/>
      </c>
      <c r="AU123" s="355" t="str">
        <f t="shared" si="131"/>
        <v/>
      </c>
      <c r="AV123" s="355" t="str">
        <f t="shared" si="131"/>
        <v/>
      </c>
      <c r="AW123" s="355" t="str">
        <f t="shared" si="131"/>
        <v/>
      </c>
      <c r="AX123" s="355" t="str">
        <f t="shared" si="131"/>
        <v/>
      </c>
      <c r="AY123" s="355" t="str">
        <f t="shared" si="131"/>
        <v/>
      </c>
      <c r="AZ123" s="355" t="str">
        <f t="shared" si="131"/>
        <v/>
      </c>
      <c r="BA123" s="355" t="str">
        <f t="shared" si="131"/>
        <v/>
      </c>
      <c r="BB123" s="355" t="str">
        <f t="shared" si="131"/>
        <v/>
      </c>
      <c r="BC123" s="355" t="str">
        <f t="shared" si="131"/>
        <v/>
      </c>
      <c r="BD123" s="355" t="str">
        <f t="shared" si="131"/>
        <v/>
      </c>
      <c r="BE123" s="355" t="str">
        <f t="shared" si="131"/>
        <v/>
      </c>
      <c r="BF123" s="355" t="str">
        <f t="shared" si="131"/>
        <v/>
      </c>
      <c r="BG123" s="355" t="str">
        <f t="shared" si="131"/>
        <v/>
      </c>
    </row>
    <row r="124" ht="12.75" customHeight="1">
      <c r="A124" s="90"/>
      <c r="B124" s="90"/>
      <c r="C124" s="90"/>
      <c r="D124" s="90"/>
      <c r="E124" s="90"/>
      <c r="F124" s="90"/>
      <c r="G124" s="90"/>
      <c r="H124" s="90"/>
      <c r="I124" s="90"/>
      <c r="J124" s="90"/>
      <c r="K124" s="90"/>
      <c r="L124" s="90"/>
      <c r="M124" s="90"/>
      <c r="N124" s="90"/>
      <c r="O124" s="90"/>
      <c r="P124" s="90"/>
      <c r="Q124" s="90"/>
      <c r="R124" s="90"/>
      <c r="AT124" s="313"/>
      <c r="AU124" s="313"/>
      <c r="AV124" s="313"/>
      <c r="AW124" s="313"/>
      <c r="AX124" s="313"/>
      <c r="AY124" s="313"/>
      <c r="AZ124" s="313"/>
      <c r="BA124" s="313"/>
      <c r="BB124" s="313"/>
      <c r="BC124" s="313"/>
      <c r="BD124" s="313"/>
      <c r="BE124" s="313"/>
      <c r="BF124" s="313"/>
      <c r="BG124" s="313"/>
    </row>
    <row r="125" ht="12.75" customHeight="1">
      <c r="A125" s="106" t="s">
        <v>697</v>
      </c>
      <c r="B125" s="253"/>
      <c r="C125" s="253"/>
      <c r="D125" s="253"/>
      <c r="E125" s="253"/>
      <c r="F125" s="253"/>
      <c r="G125" s="253"/>
      <c r="H125" s="253"/>
      <c r="I125" s="253"/>
      <c r="J125" s="253"/>
      <c r="K125" s="253"/>
      <c r="L125" s="253"/>
      <c r="M125" s="253"/>
      <c r="N125" s="253"/>
      <c r="O125" s="253"/>
      <c r="P125" s="253"/>
      <c r="Q125" s="253"/>
      <c r="R125" s="253"/>
      <c r="AT125" s="314"/>
      <c r="AU125" s="314"/>
      <c r="AV125" s="314"/>
      <c r="AW125" s="314"/>
      <c r="AX125" s="314"/>
      <c r="AY125" s="314"/>
      <c r="AZ125" s="314"/>
      <c r="BA125" s="314"/>
      <c r="BB125" s="314"/>
      <c r="BC125" s="314"/>
      <c r="BD125" s="314"/>
      <c r="BE125" s="314"/>
      <c r="BF125" s="314"/>
      <c r="BG125" s="314"/>
    </row>
    <row r="126" ht="12.75" customHeight="1" outlineLevel="1">
      <c r="A126" s="90"/>
      <c r="B126" s="90"/>
      <c r="C126" s="90"/>
      <c r="D126" s="90"/>
      <c r="E126" s="90"/>
      <c r="F126" s="90"/>
      <c r="G126" s="90"/>
      <c r="H126" s="90"/>
      <c r="I126" s="90"/>
      <c r="J126" s="90"/>
      <c r="K126" s="90"/>
      <c r="L126" s="90"/>
      <c r="M126" s="90"/>
      <c r="N126" s="90"/>
      <c r="O126" s="90"/>
      <c r="P126" s="90"/>
      <c r="Q126" s="90"/>
      <c r="R126" s="90"/>
      <c r="AT126" s="313"/>
      <c r="AU126" s="313"/>
      <c r="AV126" s="313"/>
      <c r="AW126" s="313"/>
      <c r="AX126" s="313"/>
      <c r="AY126" s="313"/>
      <c r="AZ126" s="313"/>
      <c r="BA126" s="313"/>
      <c r="BB126" s="313"/>
      <c r="BC126" s="313"/>
      <c r="BD126" s="313"/>
      <c r="BE126" s="313"/>
      <c r="BF126" s="313"/>
      <c r="BG126" s="313"/>
    </row>
    <row r="127" ht="12.75" customHeight="1" outlineLevel="1">
      <c r="A127" s="90"/>
      <c r="B127" s="67" t="s">
        <v>698</v>
      </c>
      <c r="C127" s="90"/>
      <c r="D127" s="90"/>
      <c r="E127" s="90"/>
      <c r="F127" s="90"/>
      <c r="G127" s="223"/>
      <c r="H127" s="223"/>
      <c r="I127" s="223"/>
      <c r="J127" s="223"/>
      <c r="K127" s="223"/>
      <c r="L127" s="223"/>
      <c r="M127" s="223"/>
      <c r="N127" s="223"/>
      <c r="O127" s="223"/>
      <c r="P127" s="223"/>
      <c r="Q127" s="223"/>
      <c r="R127" s="223"/>
      <c r="AT127" s="360"/>
      <c r="AU127" s="360"/>
      <c r="AV127" s="360"/>
      <c r="AW127" s="360"/>
      <c r="AX127" s="360"/>
      <c r="AY127" s="360"/>
      <c r="AZ127" s="360"/>
      <c r="BA127" s="360"/>
      <c r="BB127" s="360"/>
      <c r="BC127" s="360"/>
      <c r="BD127" s="360"/>
      <c r="BE127" s="360"/>
      <c r="BF127" s="360"/>
      <c r="BG127" s="360"/>
    </row>
    <row r="128" ht="12.75" customHeight="1" outlineLevel="1">
      <c r="A128" s="90"/>
      <c r="B128" s="90"/>
      <c r="C128" s="90"/>
      <c r="D128" s="90"/>
      <c r="E128" s="90"/>
      <c r="F128" s="90"/>
      <c r="G128" s="223"/>
      <c r="H128" s="223"/>
      <c r="I128" s="223"/>
      <c r="J128" s="223"/>
      <c r="K128" s="223"/>
      <c r="L128" s="223"/>
      <c r="M128" s="223"/>
      <c r="N128" s="223"/>
      <c r="O128" s="223"/>
      <c r="P128" s="223"/>
      <c r="Q128" s="223"/>
      <c r="R128" s="223"/>
      <c r="AT128" s="360"/>
      <c r="AU128" s="360"/>
      <c r="AV128" s="360"/>
      <c r="AW128" s="360"/>
      <c r="AX128" s="360"/>
      <c r="AY128" s="360"/>
      <c r="AZ128" s="360"/>
      <c r="BA128" s="360"/>
      <c r="BB128" s="360"/>
      <c r="BC128" s="360"/>
      <c r="BD128" s="360"/>
      <c r="BE128" s="360"/>
      <c r="BF128" s="360"/>
      <c r="BG128" s="360"/>
    </row>
    <row r="129" ht="12.75" customHeight="1" outlineLevel="1">
      <c r="A129" s="90"/>
      <c r="B129" s="90"/>
      <c r="C129" s="90" t="s">
        <v>173</v>
      </c>
      <c r="D129" s="90"/>
      <c r="E129" s="90"/>
      <c r="F129" s="90"/>
      <c r="G129" s="223"/>
      <c r="H129" s="223"/>
      <c r="I129" s="223"/>
      <c r="J129" s="223"/>
      <c r="K129" s="223"/>
      <c r="L129" s="223"/>
      <c r="M129" s="223"/>
      <c r="N129" s="223"/>
      <c r="O129" s="223"/>
      <c r="P129" s="223"/>
      <c r="Q129" s="223"/>
      <c r="R129" s="223"/>
      <c r="AT129" s="360"/>
      <c r="AU129" s="360"/>
      <c r="AV129" s="360"/>
      <c r="AW129" s="360"/>
      <c r="AX129" s="360"/>
      <c r="AY129" s="360"/>
      <c r="AZ129" s="360"/>
      <c r="BA129" s="360"/>
      <c r="BB129" s="360"/>
      <c r="BC129" s="360"/>
      <c r="BD129" s="360"/>
      <c r="BE129" s="360"/>
      <c r="BF129" s="360"/>
      <c r="BG129" s="360"/>
    </row>
    <row r="130" ht="12.75" customHeight="1" outlineLevel="1">
      <c r="A130" s="90"/>
      <c r="B130" s="90"/>
      <c r="C130" s="90"/>
      <c r="D130" s="90" t="s">
        <v>699</v>
      </c>
      <c r="E130" s="90"/>
      <c r="F130" s="90"/>
      <c r="G130" s="361"/>
      <c r="H130" s="361"/>
      <c r="I130" s="223">
        <f>Assumptions!E48</f>
        <v>3</v>
      </c>
      <c r="J130" s="223">
        <f>Assumptions!F48</f>
        <v>3</v>
      </c>
      <c r="K130" s="223">
        <f>Assumptions!G48</f>
        <v>3</v>
      </c>
      <c r="L130" s="223">
        <f>Assumptions!H48</f>
        <v>3</v>
      </c>
      <c r="M130" s="223">
        <f>Assumptions!I48</f>
        <v>3</v>
      </c>
      <c r="N130" s="223">
        <f>Assumptions!J48</f>
        <v>3</v>
      </c>
      <c r="O130" s="223">
        <f>Assumptions!K48</f>
        <v>3</v>
      </c>
      <c r="P130" s="223">
        <f>Assumptions!L48</f>
        <v>3</v>
      </c>
      <c r="Q130" s="223">
        <f t="shared" ref="Q130:R130" si="132">P130</f>
        <v>3</v>
      </c>
      <c r="R130" s="223">
        <f t="shared" si="132"/>
        <v>3</v>
      </c>
      <c r="AT130" s="360" t="str">
        <f t="shared" ref="AT130:BG130" si="133">AS130</f>
        <v/>
      </c>
      <c r="AU130" s="360" t="str">
        <f t="shared" si="133"/>
        <v/>
      </c>
      <c r="AV130" s="360" t="str">
        <f t="shared" si="133"/>
        <v/>
      </c>
      <c r="AW130" s="360" t="str">
        <f t="shared" si="133"/>
        <v/>
      </c>
      <c r="AX130" s="360" t="str">
        <f t="shared" si="133"/>
        <v/>
      </c>
      <c r="AY130" s="360" t="str">
        <f t="shared" si="133"/>
        <v/>
      </c>
      <c r="AZ130" s="360" t="str">
        <f t="shared" si="133"/>
        <v/>
      </c>
      <c r="BA130" s="360" t="str">
        <f t="shared" si="133"/>
        <v/>
      </c>
      <c r="BB130" s="360" t="str">
        <f t="shared" si="133"/>
        <v/>
      </c>
      <c r="BC130" s="360" t="str">
        <f t="shared" si="133"/>
        <v/>
      </c>
      <c r="BD130" s="360" t="str">
        <f t="shared" si="133"/>
        <v/>
      </c>
      <c r="BE130" s="360" t="str">
        <f t="shared" si="133"/>
        <v/>
      </c>
      <c r="BF130" s="360" t="str">
        <f t="shared" si="133"/>
        <v/>
      </c>
      <c r="BG130" s="360" t="str">
        <f t="shared" si="133"/>
        <v/>
      </c>
    </row>
    <row r="131" ht="12.75" customHeight="1" outlineLevel="1">
      <c r="A131" s="90"/>
      <c r="B131" s="90"/>
      <c r="C131" s="90"/>
      <c r="D131" s="64">
        <v>1.0</v>
      </c>
      <c r="E131" s="90"/>
      <c r="F131" s="90"/>
      <c r="G131" s="361"/>
      <c r="H131" s="361"/>
      <c r="I131" s="223">
        <f>Assumptions!E49</f>
        <v>3</v>
      </c>
      <c r="J131" s="223">
        <f>Assumptions!F49</f>
        <v>3</v>
      </c>
      <c r="K131" s="223">
        <f>Assumptions!G49</f>
        <v>3</v>
      </c>
      <c r="L131" s="223">
        <f>Assumptions!H49</f>
        <v>3</v>
      </c>
      <c r="M131" s="223">
        <f>Assumptions!I49</f>
        <v>3</v>
      </c>
      <c r="N131" s="223">
        <f>Assumptions!J49</f>
        <v>3</v>
      </c>
      <c r="O131" s="223">
        <f>Assumptions!K49</f>
        <v>3</v>
      </c>
      <c r="P131" s="223">
        <f>Assumptions!L49</f>
        <v>3</v>
      </c>
      <c r="Q131" s="223">
        <f t="shared" ref="Q131:R131" si="134">P131</f>
        <v>3</v>
      </c>
      <c r="R131" s="223">
        <f t="shared" si="134"/>
        <v>3</v>
      </c>
      <c r="AT131" s="360" t="str">
        <f t="shared" ref="AT131:BG131" si="135">AS131</f>
        <v/>
      </c>
      <c r="AU131" s="360" t="str">
        <f t="shared" si="135"/>
        <v/>
      </c>
      <c r="AV131" s="360" t="str">
        <f t="shared" si="135"/>
        <v/>
      </c>
      <c r="AW131" s="360" t="str">
        <f t="shared" si="135"/>
        <v/>
      </c>
      <c r="AX131" s="360" t="str">
        <f t="shared" si="135"/>
        <v/>
      </c>
      <c r="AY131" s="360" t="str">
        <f t="shared" si="135"/>
        <v/>
      </c>
      <c r="AZ131" s="360" t="str">
        <f t="shared" si="135"/>
        <v/>
      </c>
      <c r="BA131" s="360" t="str">
        <f t="shared" si="135"/>
        <v/>
      </c>
      <c r="BB131" s="360" t="str">
        <f t="shared" si="135"/>
        <v/>
      </c>
      <c r="BC131" s="360" t="str">
        <f t="shared" si="135"/>
        <v/>
      </c>
      <c r="BD131" s="360" t="str">
        <f t="shared" si="135"/>
        <v/>
      </c>
      <c r="BE131" s="360" t="str">
        <f t="shared" si="135"/>
        <v/>
      </c>
      <c r="BF131" s="360" t="str">
        <f t="shared" si="135"/>
        <v/>
      </c>
      <c r="BG131" s="360" t="str">
        <f t="shared" si="135"/>
        <v/>
      </c>
    </row>
    <row r="132" ht="12.75" customHeight="1" outlineLevel="1">
      <c r="A132" s="90"/>
      <c r="B132" s="90"/>
      <c r="C132" s="90"/>
      <c r="D132" s="64">
        <v>2.0</v>
      </c>
      <c r="E132" s="90"/>
      <c r="F132" s="90"/>
      <c r="G132" s="361"/>
      <c r="H132" s="361"/>
      <c r="I132" s="223">
        <f>Assumptions!E50</f>
        <v>3</v>
      </c>
      <c r="J132" s="223">
        <f>Assumptions!F50</f>
        <v>3</v>
      </c>
      <c r="K132" s="223">
        <f>Assumptions!G50</f>
        <v>3</v>
      </c>
      <c r="L132" s="223">
        <f>Assumptions!H50</f>
        <v>3</v>
      </c>
      <c r="M132" s="223">
        <f>Assumptions!I50</f>
        <v>3</v>
      </c>
      <c r="N132" s="223">
        <f>Assumptions!J50</f>
        <v>3</v>
      </c>
      <c r="O132" s="223">
        <f>Assumptions!K50</f>
        <v>3</v>
      </c>
      <c r="P132" s="223">
        <f>Assumptions!L50</f>
        <v>3</v>
      </c>
      <c r="Q132" s="223">
        <f t="shared" ref="Q132:R132" si="136">P132</f>
        <v>3</v>
      </c>
      <c r="R132" s="223">
        <f t="shared" si="136"/>
        <v>3</v>
      </c>
      <c r="AT132" s="360" t="str">
        <f t="shared" ref="AT132:BG132" si="137">AS132</f>
        <v/>
      </c>
      <c r="AU132" s="360" t="str">
        <f t="shared" si="137"/>
        <v/>
      </c>
      <c r="AV132" s="360" t="str">
        <f t="shared" si="137"/>
        <v/>
      </c>
      <c r="AW132" s="360" t="str">
        <f t="shared" si="137"/>
        <v/>
      </c>
      <c r="AX132" s="360" t="str">
        <f t="shared" si="137"/>
        <v/>
      </c>
      <c r="AY132" s="360" t="str">
        <f t="shared" si="137"/>
        <v/>
      </c>
      <c r="AZ132" s="360" t="str">
        <f t="shared" si="137"/>
        <v/>
      </c>
      <c r="BA132" s="360" t="str">
        <f t="shared" si="137"/>
        <v/>
      </c>
      <c r="BB132" s="360" t="str">
        <f t="shared" si="137"/>
        <v/>
      </c>
      <c r="BC132" s="360" t="str">
        <f t="shared" si="137"/>
        <v/>
      </c>
      <c r="BD132" s="360" t="str">
        <f t="shared" si="137"/>
        <v/>
      </c>
      <c r="BE132" s="360" t="str">
        <f t="shared" si="137"/>
        <v/>
      </c>
      <c r="BF132" s="360" t="str">
        <f t="shared" si="137"/>
        <v/>
      </c>
      <c r="BG132" s="360" t="str">
        <f t="shared" si="137"/>
        <v/>
      </c>
    </row>
    <row r="133" ht="12.75" customHeight="1" outlineLevel="1">
      <c r="A133" s="90"/>
      <c r="B133" s="90"/>
      <c r="C133" s="90"/>
      <c r="D133" s="64">
        <v>3.0</v>
      </c>
      <c r="E133" s="90"/>
      <c r="F133" s="90"/>
      <c r="G133" s="361"/>
      <c r="H133" s="361"/>
      <c r="I133" s="223">
        <f>Assumptions!E51</f>
        <v>3</v>
      </c>
      <c r="J133" s="223">
        <f>Assumptions!F51</f>
        <v>3</v>
      </c>
      <c r="K133" s="223">
        <f>Assumptions!G51</f>
        <v>3</v>
      </c>
      <c r="L133" s="223">
        <f>Assumptions!H51</f>
        <v>3</v>
      </c>
      <c r="M133" s="223">
        <f>Assumptions!I51</f>
        <v>3</v>
      </c>
      <c r="N133" s="223">
        <f>Assumptions!J51</f>
        <v>3</v>
      </c>
      <c r="O133" s="223">
        <f>Assumptions!K51</f>
        <v>3</v>
      </c>
      <c r="P133" s="223">
        <f>Assumptions!L51</f>
        <v>3</v>
      </c>
      <c r="Q133" s="223">
        <f t="shared" ref="Q133:R133" si="138">P133</f>
        <v>3</v>
      </c>
      <c r="R133" s="223">
        <f t="shared" si="138"/>
        <v>3</v>
      </c>
      <c r="AT133" s="360" t="str">
        <f t="shared" ref="AT133:BG133" si="139">AS133</f>
        <v/>
      </c>
      <c r="AU133" s="360" t="str">
        <f t="shared" si="139"/>
        <v/>
      </c>
      <c r="AV133" s="360" t="str">
        <f t="shared" si="139"/>
        <v/>
      </c>
      <c r="AW133" s="360" t="str">
        <f t="shared" si="139"/>
        <v/>
      </c>
      <c r="AX133" s="360" t="str">
        <f t="shared" si="139"/>
        <v/>
      </c>
      <c r="AY133" s="360" t="str">
        <f t="shared" si="139"/>
        <v/>
      </c>
      <c r="AZ133" s="360" t="str">
        <f t="shared" si="139"/>
        <v/>
      </c>
      <c r="BA133" s="360" t="str">
        <f t="shared" si="139"/>
        <v/>
      </c>
      <c r="BB133" s="360" t="str">
        <f t="shared" si="139"/>
        <v/>
      </c>
      <c r="BC133" s="360" t="str">
        <f t="shared" si="139"/>
        <v/>
      </c>
      <c r="BD133" s="360" t="str">
        <f t="shared" si="139"/>
        <v/>
      </c>
      <c r="BE133" s="360" t="str">
        <f t="shared" si="139"/>
        <v/>
      </c>
      <c r="BF133" s="360" t="str">
        <f t="shared" si="139"/>
        <v/>
      </c>
      <c r="BG133" s="360" t="str">
        <f t="shared" si="139"/>
        <v/>
      </c>
    </row>
    <row r="134" ht="12.75" customHeight="1" outlineLevel="1">
      <c r="A134" s="90"/>
      <c r="B134" s="90"/>
      <c r="C134" s="90"/>
      <c r="D134" s="64">
        <v>4.0</v>
      </c>
      <c r="E134" s="90"/>
      <c r="F134" s="90"/>
      <c r="G134" s="361"/>
      <c r="H134" s="361"/>
      <c r="I134" s="223">
        <f>Assumptions!E52</f>
        <v>0</v>
      </c>
      <c r="J134" s="223">
        <f>Assumptions!F52</f>
        <v>3</v>
      </c>
      <c r="K134" s="223">
        <f>Assumptions!G52</f>
        <v>3</v>
      </c>
      <c r="L134" s="223">
        <f>Assumptions!H52</f>
        <v>3</v>
      </c>
      <c r="M134" s="223">
        <f>Assumptions!I52</f>
        <v>3</v>
      </c>
      <c r="N134" s="223">
        <f>Assumptions!J52</f>
        <v>3</v>
      </c>
      <c r="O134" s="223">
        <f>Assumptions!K52</f>
        <v>3</v>
      </c>
      <c r="P134" s="223">
        <f>Assumptions!L52</f>
        <v>3</v>
      </c>
      <c r="Q134" s="223">
        <f t="shared" ref="Q134:R134" si="140">P134</f>
        <v>3</v>
      </c>
      <c r="R134" s="223">
        <f t="shared" si="140"/>
        <v>3</v>
      </c>
      <c r="AT134" s="360" t="str">
        <f t="shared" ref="AT134:BG134" si="141">AS134</f>
        <v/>
      </c>
      <c r="AU134" s="360" t="str">
        <f t="shared" si="141"/>
        <v/>
      </c>
      <c r="AV134" s="360" t="str">
        <f t="shared" si="141"/>
        <v/>
      </c>
      <c r="AW134" s="360" t="str">
        <f t="shared" si="141"/>
        <v/>
      </c>
      <c r="AX134" s="360" t="str">
        <f t="shared" si="141"/>
        <v/>
      </c>
      <c r="AY134" s="360" t="str">
        <f t="shared" si="141"/>
        <v/>
      </c>
      <c r="AZ134" s="360" t="str">
        <f t="shared" si="141"/>
        <v/>
      </c>
      <c r="BA134" s="360" t="str">
        <f t="shared" si="141"/>
        <v/>
      </c>
      <c r="BB134" s="360" t="str">
        <f t="shared" si="141"/>
        <v/>
      </c>
      <c r="BC134" s="360" t="str">
        <f t="shared" si="141"/>
        <v/>
      </c>
      <c r="BD134" s="360" t="str">
        <f t="shared" si="141"/>
        <v/>
      </c>
      <c r="BE134" s="360" t="str">
        <f t="shared" si="141"/>
        <v/>
      </c>
      <c r="BF134" s="360" t="str">
        <f t="shared" si="141"/>
        <v/>
      </c>
      <c r="BG134" s="360" t="str">
        <f t="shared" si="141"/>
        <v/>
      </c>
    </row>
    <row r="135" ht="12.75" customHeight="1" outlineLevel="1">
      <c r="A135" s="90"/>
      <c r="B135" s="90"/>
      <c r="C135" s="90"/>
      <c r="D135" s="64">
        <v>5.0</v>
      </c>
      <c r="E135" s="90"/>
      <c r="F135" s="90"/>
      <c r="G135" s="361"/>
      <c r="H135" s="361"/>
      <c r="I135" s="223">
        <f>Assumptions!E53</f>
        <v>0</v>
      </c>
      <c r="J135" s="223">
        <f>Assumptions!F53</f>
        <v>0</v>
      </c>
      <c r="K135" s="223">
        <f>Assumptions!G53</f>
        <v>1</v>
      </c>
      <c r="L135" s="223">
        <f>Assumptions!H53</f>
        <v>1</v>
      </c>
      <c r="M135" s="223">
        <f>Assumptions!I53</f>
        <v>1</v>
      </c>
      <c r="N135" s="223">
        <f>Assumptions!J53</f>
        <v>1</v>
      </c>
      <c r="O135" s="223">
        <f>Assumptions!K53</f>
        <v>1</v>
      </c>
      <c r="P135" s="223">
        <f>Assumptions!L53</f>
        <v>1</v>
      </c>
      <c r="Q135" s="223">
        <f t="shared" ref="Q135:R135" si="142">P135</f>
        <v>1</v>
      </c>
      <c r="R135" s="223">
        <f t="shared" si="142"/>
        <v>1</v>
      </c>
      <c r="AT135" s="360" t="str">
        <f t="shared" ref="AT135:BG135" si="143">AS135</f>
        <v/>
      </c>
      <c r="AU135" s="360" t="str">
        <f t="shared" si="143"/>
        <v/>
      </c>
      <c r="AV135" s="360" t="str">
        <f t="shared" si="143"/>
        <v/>
      </c>
      <c r="AW135" s="360" t="str">
        <f t="shared" si="143"/>
        <v/>
      </c>
      <c r="AX135" s="360" t="str">
        <f t="shared" si="143"/>
        <v/>
      </c>
      <c r="AY135" s="360" t="str">
        <f t="shared" si="143"/>
        <v/>
      </c>
      <c r="AZ135" s="360" t="str">
        <f t="shared" si="143"/>
        <v/>
      </c>
      <c r="BA135" s="360" t="str">
        <f t="shared" si="143"/>
        <v/>
      </c>
      <c r="BB135" s="360" t="str">
        <f t="shared" si="143"/>
        <v/>
      </c>
      <c r="BC135" s="360" t="str">
        <f t="shared" si="143"/>
        <v/>
      </c>
      <c r="BD135" s="360" t="str">
        <f t="shared" si="143"/>
        <v/>
      </c>
      <c r="BE135" s="360" t="str">
        <f t="shared" si="143"/>
        <v/>
      </c>
      <c r="BF135" s="360" t="str">
        <f t="shared" si="143"/>
        <v/>
      </c>
      <c r="BG135" s="360" t="str">
        <f t="shared" si="143"/>
        <v/>
      </c>
    </row>
    <row r="136" ht="12.75" customHeight="1" outlineLevel="1">
      <c r="A136" s="90"/>
      <c r="B136" s="90"/>
      <c r="C136" s="148" t="s">
        <v>173</v>
      </c>
      <c r="D136" s="362"/>
      <c r="E136" s="148"/>
      <c r="F136" s="148"/>
      <c r="G136" s="363"/>
      <c r="H136" s="363"/>
      <c r="I136" s="364">
        <f t="shared" ref="I136:R136" si="144">SUM(I130:I135)</f>
        <v>12</v>
      </c>
      <c r="J136" s="364">
        <f t="shared" si="144"/>
        <v>15</v>
      </c>
      <c r="K136" s="364">
        <f t="shared" si="144"/>
        <v>16</v>
      </c>
      <c r="L136" s="364">
        <f t="shared" si="144"/>
        <v>16</v>
      </c>
      <c r="M136" s="364">
        <f t="shared" si="144"/>
        <v>16</v>
      </c>
      <c r="N136" s="364">
        <f t="shared" si="144"/>
        <v>16</v>
      </c>
      <c r="O136" s="364">
        <f t="shared" si="144"/>
        <v>16</v>
      </c>
      <c r="P136" s="364">
        <f t="shared" si="144"/>
        <v>16</v>
      </c>
      <c r="Q136" s="364">
        <f t="shared" si="144"/>
        <v>16</v>
      </c>
      <c r="R136" s="364">
        <f t="shared" si="144"/>
        <v>16</v>
      </c>
      <c r="AT136" s="365" t="str">
        <f t="shared" ref="AT136:BG136" si="145">AS136</f>
        <v/>
      </c>
      <c r="AU136" s="365" t="str">
        <f t="shared" si="145"/>
        <v/>
      </c>
      <c r="AV136" s="365" t="str">
        <f t="shared" si="145"/>
        <v/>
      </c>
      <c r="AW136" s="365" t="str">
        <f t="shared" si="145"/>
        <v/>
      </c>
      <c r="AX136" s="365" t="str">
        <f t="shared" si="145"/>
        <v/>
      </c>
      <c r="AY136" s="365" t="str">
        <f t="shared" si="145"/>
        <v/>
      </c>
      <c r="AZ136" s="365" t="str">
        <f t="shared" si="145"/>
        <v/>
      </c>
      <c r="BA136" s="365" t="str">
        <f t="shared" si="145"/>
        <v/>
      </c>
      <c r="BB136" s="365" t="str">
        <f t="shared" si="145"/>
        <v/>
      </c>
      <c r="BC136" s="365" t="str">
        <f t="shared" si="145"/>
        <v/>
      </c>
      <c r="BD136" s="365" t="str">
        <f t="shared" si="145"/>
        <v/>
      </c>
      <c r="BE136" s="365" t="str">
        <f t="shared" si="145"/>
        <v/>
      </c>
      <c r="BF136" s="365" t="str">
        <f t="shared" si="145"/>
        <v/>
      </c>
      <c r="BG136" s="365" t="str">
        <f t="shared" si="145"/>
        <v/>
      </c>
    </row>
    <row r="137" ht="12.75" customHeight="1" outlineLevel="1">
      <c r="A137" s="90"/>
      <c r="B137" s="90"/>
      <c r="C137" s="90"/>
      <c r="D137" s="90"/>
      <c r="E137" s="90"/>
      <c r="F137" s="90"/>
      <c r="G137" s="223"/>
      <c r="H137" s="223"/>
      <c r="I137" s="223"/>
      <c r="J137" s="223"/>
      <c r="K137" s="223"/>
      <c r="L137" s="223"/>
      <c r="M137" s="223"/>
      <c r="N137" s="223"/>
      <c r="O137" s="223"/>
      <c r="P137" s="223"/>
      <c r="Q137" s="223"/>
      <c r="R137" s="223"/>
      <c r="AT137" s="360"/>
      <c r="AU137" s="360"/>
      <c r="AV137" s="360"/>
      <c r="AW137" s="360"/>
      <c r="AX137" s="360"/>
      <c r="AY137" s="360"/>
      <c r="AZ137" s="360"/>
      <c r="BA137" s="360"/>
      <c r="BB137" s="360"/>
      <c r="BC137" s="360"/>
      <c r="BD137" s="360"/>
      <c r="BE137" s="360"/>
      <c r="BF137" s="360"/>
      <c r="BG137" s="360"/>
    </row>
    <row r="138" ht="12.75" customHeight="1" outlineLevel="1">
      <c r="A138" s="90"/>
      <c r="B138" s="195"/>
      <c r="C138" s="90" t="s">
        <v>700</v>
      </c>
      <c r="D138" s="90"/>
      <c r="E138" s="90"/>
      <c r="F138" s="90"/>
      <c r="G138" s="223"/>
      <c r="H138" s="223"/>
      <c r="I138" s="223"/>
      <c r="J138" s="223"/>
      <c r="K138" s="223"/>
      <c r="L138" s="223"/>
      <c r="M138" s="223"/>
      <c r="N138" s="223"/>
      <c r="O138" s="223"/>
      <c r="P138" s="223"/>
      <c r="Q138" s="223"/>
      <c r="R138" s="223"/>
      <c r="AT138" s="360"/>
      <c r="AU138" s="360"/>
      <c r="AV138" s="360"/>
      <c r="AW138" s="360"/>
      <c r="AX138" s="360"/>
      <c r="AY138" s="360"/>
      <c r="AZ138" s="360"/>
      <c r="BA138" s="360"/>
      <c r="BB138" s="360"/>
      <c r="BC138" s="360"/>
      <c r="BD138" s="360"/>
      <c r="BE138" s="360"/>
      <c r="BF138" s="360"/>
      <c r="BG138" s="360"/>
    </row>
    <row r="139" ht="12.75" customHeight="1" outlineLevel="1">
      <c r="A139" s="90"/>
      <c r="B139" s="195"/>
      <c r="C139" s="90"/>
      <c r="D139" s="90" t="s">
        <v>701</v>
      </c>
      <c r="E139" s="90"/>
      <c r="F139" s="90"/>
      <c r="G139" s="223" t="str">
        <f>'RS3'!J138</f>
        <v/>
      </c>
      <c r="H139" s="223">
        <f>'RS3'!K138</f>
        <v>1</v>
      </c>
      <c r="I139" s="223">
        <f>'RSGen 1-7'!I139</f>
        <v>1</v>
      </c>
      <c r="J139" s="223">
        <f>'RSGen 1-7'!J139</f>
        <v>1</v>
      </c>
      <c r="K139" s="223">
        <f>'RSGen 1-7'!K139</f>
        <v>1</v>
      </c>
      <c r="L139" s="223">
        <f>'RSGen 1-7'!L139</f>
        <v>1</v>
      </c>
      <c r="M139" s="223">
        <f>'RSGen 1-7'!M139</f>
        <v>1</v>
      </c>
      <c r="N139" s="223">
        <f>'RSGen 1-7'!N139</f>
        <v>1</v>
      </c>
      <c r="O139" s="223">
        <f>'RSGen 1-7'!O139</f>
        <v>1</v>
      </c>
      <c r="P139" s="223">
        <f>'RSGen 1-7'!P139</f>
        <v>1</v>
      </c>
      <c r="Q139" s="223">
        <f>'RSGen 1-7'!Q139</f>
        <v>1</v>
      </c>
      <c r="R139" s="223">
        <f>'RSGen 1-7'!R139</f>
        <v>1</v>
      </c>
      <c r="AT139" s="360" t="str">
        <f t="shared" ref="AT139:BG139" si="146">AS139</f>
        <v/>
      </c>
      <c r="AU139" s="360" t="str">
        <f t="shared" si="146"/>
        <v/>
      </c>
      <c r="AV139" s="360" t="str">
        <f t="shared" si="146"/>
        <v/>
      </c>
      <c r="AW139" s="360" t="str">
        <f t="shared" si="146"/>
        <v/>
      </c>
      <c r="AX139" s="360" t="str">
        <f t="shared" si="146"/>
        <v/>
      </c>
      <c r="AY139" s="360" t="str">
        <f t="shared" si="146"/>
        <v/>
      </c>
      <c r="AZ139" s="360" t="str">
        <f t="shared" si="146"/>
        <v/>
      </c>
      <c r="BA139" s="360" t="str">
        <f t="shared" si="146"/>
        <v/>
      </c>
      <c r="BB139" s="360" t="str">
        <f t="shared" si="146"/>
        <v/>
      </c>
      <c r="BC139" s="360" t="str">
        <f t="shared" si="146"/>
        <v/>
      </c>
      <c r="BD139" s="360" t="str">
        <f t="shared" si="146"/>
        <v/>
      </c>
      <c r="BE139" s="360" t="str">
        <f t="shared" si="146"/>
        <v/>
      </c>
      <c r="BF139" s="360" t="str">
        <f t="shared" si="146"/>
        <v/>
      </c>
      <c r="BG139" s="360" t="str">
        <f t="shared" si="146"/>
        <v/>
      </c>
    </row>
    <row r="140" ht="12.75" customHeight="1" outlineLevel="1">
      <c r="A140" s="90"/>
      <c r="B140" s="195"/>
      <c r="C140" s="90"/>
      <c r="D140" s="90" t="s">
        <v>702</v>
      </c>
      <c r="E140" s="90"/>
      <c r="F140" s="90"/>
      <c r="G140" s="223" t="str">
        <f>'RS3'!J139</f>
        <v/>
      </c>
      <c r="H140" s="223">
        <f>'RS3'!K139</f>
        <v>0</v>
      </c>
      <c r="I140" s="223">
        <f>'RSGen 1-7'!I140</f>
        <v>1</v>
      </c>
      <c r="J140" s="223">
        <f>'RSGen 1-7'!J140</f>
        <v>1</v>
      </c>
      <c r="K140" s="223">
        <f>'RSGen 1-7'!K140</f>
        <v>1</v>
      </c>
      <c r="L140" s="223">
        <f>'RSGen 1-7'!L140</f>
        <v>1</v>
      </c>
      <c r="M140" s="223">
        <f>'RSGen 1-7'!M140</f>
        <v>1</v>
      </c>
      <c r="N140" s="223">
        <f>'RSGen 1-7'!N140</f>
        <v>1</v>
      </c>
      <c r="O140" s="223">
        <f>'RSGen 1-7'!O140</f>
        <v>1</v>
      </c>
      <c r="P140" s="223">
        <f>'RSGen 1-7'!P140</f>
        <v>1</v>
      </c>
      <c r="Q140" s="223">
        <f>'RSGen 1-7'!Q140</f>
        <v>1</v>
      </c>
      <c r="R140" s="223">
        <f>'RSGen 1-7'!R140</f>
        <v>1</v>
      </c>
      <c r="AT140" s="360" t="str">
        <f t="shared" ref="AT140:BG140" si="147">AS140</f>
        <v/>
      </c>
      <c r="AU140" s="360" t="str">
        <f t="shared" si="147"/>
        <v/>
      </c>
      <c r="AV140" s="360" t="str">
        <f t="shared" si="147"/>
        <v/>
      </c>
      <c r="AW140" s="360" t="str">
        <f t="shared" si="147"/>
        <v/>
      </c>
      <c r="AX140" s="360" t="str">
        <f t="shared" si="147"/>
        <v/>
      </c>
      <c r="AY140" s="360" t="str">
        <f t="shared" si="147"/>
        <v/>
      </c>
      <c r="AZ140" s="360" t="str">
        <f t="shared" si="147"/>
        <v/>
      </c>
      <c r="BA140" s="360" t="str">
        <f t="shared" si="147"/>
        <v/>
      </c>
      <c r="BB140" s="360" t="str">
        <f t="shared" si="147"/>
        <v/>
      </c>
      <c r="BC140" s="360" t="str">
        <f t="shared" si="147"/>
        <v/>
      </c>
      <c r="BD140" s="360" t="str">
        <f t="shared" si="147"/>
        <v/>
      </c>
      <c r="BE140" s="360" t="str">
        <f t="shared" si="147"/>
        <v/>
      </c>
      <c r="BF140" s="360" t="str">
        <f t="shared" si="147"/>
        <v/>
      </c>
      <c r="BG140" s="360" t="str">
        <f t="shared" si="147"/>
        <v/>
      </c>
    </row>
    <row r="141" ht="12.75" customHeight="1" outlineLevel="1">
      <c r="A141" s="90"/>
      <c r="B141" s="195"/>
      <c r="C141" s="87"/>
      <c r="D141" s="87" t="s">
        <v>703</v>
      </c>
      <c r="E141" s="87"/>
      <c r="F141" s="87"/>
      <c r="G141" s="223" t="str">
        <f>'RS3'!J140</f>
        <v/>
      </c>
      <c r="H141" s="223">
        <f>'RS3'!K140</f>
        <v>0</v>
      </c>
      <c r="I141" s="223">
        <f>'RSGen 1-7'!I141</f>
        <v>0</v>
      </c>
      <c r="J141" s="223">
        <f>'RSGen 1-7'!J141</f>
        <v>0</v>
      </c>
      <c r="K141" s="223">
        <f>'RSGen 1-7'!K141</f>
        <v>0</v>
      </c>
      <c r="L141" s="223">
        <f>'RSGen 1-7'!L141</f>
        <v>0</v>
      </c>
      <c r="M141" s="223">
        <f>'RSGen 1-7'!M141</f>
        <v>0</v>
      </c>
      <c r="N141" s="223">
        <f>'RSGen 1-7'!N141</f>
        <v>0</v>
      </c>
      <c r="O141" s="223">
        <f>'RSGen 1-7'!O141</f>
        <v>0</v>
      </c>
      <c r="P141" s="223">
        <f>'RSGen 1-7'!P141</f>
        <v>0</v>
      </c>
      <c r="Q141" s="223">
        <f>'RSGen 1-7'!Q141</f>
        <v>0</v>
      </c>
      <c r="R141" s="223">
        <f>'RSGen 1-7'!R141</f>
        <v>0</v>
      </c>
      <c r="AT141" s="360" t="str">
        <f t="shared" ref="AT141:BG141" si="148">AS141</f>
        <v/>
      </c>
      <c r="AU141" s="360" t="str">
        <f t="shared" si="148"/>
        <v/>
      </c>
      <c r="AV141" s="360" t="str">
        <f t="shared" si="148"/>
        <v/>
      </c>
      <c r="AW141" s="360" t="str">
        <f t="shared" si="148"/>
        <v/>
      </c>
      <c r="AX141" s="360" t="str">
        <f t="shared" si="148"/>
        <v/>
      </c>
      <c r="AY141" s="360" t="str">
        <f t="shared" si="148"/>
        <v/>
      </c>
      <c r="AZ141" s="360" t="str">
        <f t="shared" si="148"/>
        <v/>
      </c>
      <c r="BA141" s="360" t="str">
        <f t="shared" si="148"/>
        <v/>
      </c>
      <c r="BB141" s="360" t="str">
        <f t="shared" si="148"/>
        <v/>
      </c>
      <c r="BC141" s="360" t="str">
        <f t="shared" si="148"/>
        <v/>
      </c>
      <c r="BD141" s="360" t="str">
        <f t="shared" si="148"/>
        <v/>
      </c>
      <c r="BE141" s="360" t="str">
        <f t="shared" si="148"/>
        <v/>
      </c>
      <c r="BF141" s="360" t="str">
        <f t="shared" si="148"/>
        <v/>
      </c>
      <c r="BG141" s="360" t="str">
        <f t="shared" si="148"/>
        <v/>
      </c>
    </row>
    <row r="142" ht="12.75" customHeight="1" outlineLevel="1">
      <c r="A142" s="90"/>
      <c r="B142" s="195"/>
      <c r="C142" s="90" t="s">
        <v>704</v>
      </c>
      <c r="D142" s="90"/>
      <c r="E142" s="90"/>
      <c r="F142" s="90"/>
      <c r="G142" s="364">
        <f t="shared" ref="G142:R142" si="149">SUM(G139:G141)</f>
        <v>0</v>
      </c>
      <c r="H142" s="364">
        <f t="shared" si="149"/>
        <v>1</v>
      </c>
      <c r="I142" s="364">
        <f t="shared" si="149"/>
        <v>2</v>
      </c>
      <c r="J142" s="364">
        <f t="shared" si="149"/>
        <v>2</v>
      </c>
      <c r="K142" s="364">
        <f t="shared" si="149"/>
        <v>2</v>
      </c>
      <c r="L142" s="364">
        <f t="shared" si="149"/>
        <v>2</v>
      </c>
      <c r="M142" s="364">
        <f t="shared" si="149"/>
        <v>2</v>
      </c>
      <c r="N142" s="364">
        <f t="shared" si="149"/>
        <v>2</v>
      </c>
      <c r="O142" s="364">
        <f t="shared" si="149"/>
        <v>2</v>
      </c>
      <c r="P142" s="364">
        <f t="shared" si="149"/>
        <v>2</v>
      </c>
      <c r="Q142" s="364">
        <f t="shared" si="149"/>
        <v>2</v>
      </c>
      <c r="R142" s="364">
        <f t="shared" si="149"/>
        <v>2</v>
      </c>
      <c r="AT142" s="365">
        <f t="shared" ref="AT142:BG142" si="150">SUM(AT139:AT141)</f>
        <v>0</v>
      </c>
      <c r="AU142" s="365">
        <f t="shared" si="150"/>
        <v>0</v>
      </c>
      <c r="AV142" s="365">
        <f t="shared" si="150"/>
        <v>0</v>
      </c>
      <c r="AW142" s="365">
        <f t="shared" si="150"/>
        <v>0</v>
      </c>
      <c r="AX142" s="365">
        <f t="shared" si="150"/>
        <v>0</v>
      </c>
      <c r="AY142" s="365">
        <f t="shared" si="150"/>
        <v>0</v>
      </c>
      <c r="AZ142" s="365">
        <f t="shared" si="150"/>
        <v>0</v>
      </c>
      <c r="BA142" s="365">
        <f t="shared" si="150"/>
        <v>0</v>
      </c>
      <c r="BB142" s="365">
        <f t="shared" si="150"/>
        <v>0</v>
      </c>
      <c r="BC142" s="365">
        <f t="shared" si="150"/>
        <v>0</v>
      </c>
      <c r="BD142" s="365">
        <f t="shared" si="150"/>
        <v>0</v>
      </c>
      <c r="BE142" s="365">
        <f t="shared" si="150"/>
        <v>0</v>
      </c>
      <c r="BF142" s="365">
        <f t="shared" si="150"/>
        <v>0</v>
      </c>
      <c r="BG142" s="365">
        <f t="shared" si="150"/>
        <v>0</v>
      </c>
    </row>
    <row r="143" ht="12.75" customHeight="1" outlineLevel="1">
      <c r="A143" s="90"/>
      <c r="B143" s="195"/>
      <c r="C143" s="90"/>
      <c r="D143" s="90"/>
      <c r="E143" s="90"/>
      <c r="F143" s="90"/>
      <c r="G143" s="223"/>
      <c r="H143" s="223"/>
      <c r="I143" s="223"/>
      <c r="J143" s="223"/>
      <c r="K143" s="223"/>
      <c r="L143" s="223"/>
      <c r="M143" s="223"/>
      <c r="N143" s="223"/>
      <c r="O143" s="223"/>
      <c r="P143" s="223"/>
      <c r="Q143" s="223"/>
      <c r="R143" s="223"/>
      <c r="AT143" s="360"/>
      <c r="AU143" s="360"/>
      <c r="AV143" s="360"/>
      <c r="AW143" s="360"/>
      <c r="AX143" s="360"/>
      <c r="AY143" s="360"/>
      <c r="AZ143" s="360"/>
      <c r="BA143" s="360"/>
      <c r="BB143" s="360"/>
      <c r="BC143" s="360"/>
      <c r="BD143" s="360"/>
      <c r="BE143" s="360"/>
      <c r="BF143" s="360"/>
      <c r="BG143" s="360"/>
    </row>
    <row r="144" ht="12.75" customHeight="1" outlineLevel="1">
      <c r="A144" s="90"/>
      <c r="B144" s="195"/>
      <c r="C144" s="90" t="s">
        <v>705</v>
      </c>
      <c r="D144" s="90"/>
      <c r="E144" s="90"/>
      <c r="F144" s="90"/>
      <c r="G144" s="223"/>
      <c r="H144" s="223"/>
      <c r="I144" s="223"/>
      <c r="J144" s="223"/>
      <c r="K144" s="223"/>
      <c r="L144" s="223"/>
      <c r="M144" s="223"/>
      <c r="N144" s="223"/>
      <c r="O144" s="223"/>
      <c r="P144" s="223"/>
      <c r="Q144" s="223"/>
      <c r="R144" s="223"/>
      <c r="AT144" s="360"/>
      <c r="AU144" s="360"/>
      <c r="AV144" s="360"/>
      <c r="AW144" s="360"/>
      <c r="AX144" s="360"/>
      <c r="AY144" s="360"/>
      <c r="AZ144" s="360"/>
      <c r="BA144" s="360"/>
      <c r="BB144" s="360"/>
      <c r="BC144" s="360"/>
      <c r="BD144" s="360"/>
      <c r="BE144" s="360"/>
      <c r="BF144" s="360"/>
      <c r="BG144" s="360"/>
    </row>
    <row r="145" ht="12.75" customHeight="1" outlineLevel="1">
      <c r="A145" s="90"/>
      <c r="B145" s="195"/>
      <c r="C145" s="90"/>
      <c r="D145" s="90" t="s">
        <v>706</v>
      </c>
      <c r="E145" s="90"/>
      <c r="F145" s="90"/>
      <c r="G145" s="223" t="str">
        <f>'RS3'!J144</f>
        <v/>
      </c>
      <c r="H145" s="223">
        <f>'RS3'!K144</f>
        <v>0</v>
      </c>
      <c r="I145" s="223">
        <v>2.0</v>
      </c>
      <c r="J145" s="223">
        <v>4.0</v>
      </c>
      <c r="K145" s="223">
        <v>5.0</v>
      </c>
      <c r="L145" s="223">
        <v>5.0</v>
      </c>
      <c r="M145" s="223">
        <v>5.0</v>
      </c>
      <c r="N145" s="223">
        <v>5.0</v>
      </c>
      <c r="O145" s="223">
        <v>5.0</v>
      </c>
      <c r="P145" s="223">
        <v>5.0</v>
      </c>
      <c r="Q145" s="223">
        <v>5.0</v>
      </c>
      <c r="R145" s="223">
        <v>5.0</v>
      </c>
      <c r="AT145" s="360" t="str">
        <f t="shared" ref="AT145:BG145" si="151">AS145</f>
        <v/>
      </c>
      <c r="AU145" s="360" t="str">
        <f t="shared" si="151"/>
        <v/>
      </c>
      <c r="AV145" s="360" t="str">
        <f t="shared" si="151"/>
        <v/>
      </c>
      <c r="AW145" s="360" t="str">
        <f t="shared" si="151"/>
        <v/>
      </c>
      <c r="AX145" s="360" t="str">
        <f t="shared" si="151"/>
        <v/>
      </c>
      <c r="AY145" s="360" t="str">
        <f t="shared" si="151"/>
        <v/>
      </c>
      <c r="AZ145" s="360" t="str">
        <f t="shared" si="151"/>
        <v/>
      </c>
      <c r="BA145" s="360" t="str">
        <f t="shared" si="151"/>
        <v/>
      </c>
      <c r="BB145" s="360" t="str">
        <f t="shared" si="151"/>
        <v/>
      </c>
      <c r="BC145" s="360" t="str">
        <f t="shared" si="151"/>
        <v/>
      </c>
      <c r="BD145" s="360" t="str">
        <f t="shared" si="151"/>
        <v/>
      </c>
      <c r="BE145" s="360" t="str">
        <f t="shared" si="151"/>
        <v/>
      </c>
      <c r="BF145" s="360" t="str">
        <f t="shared" si="151"/>
        <v/>
      </c>
      <c r="BG145" s="360" t="str">
        <f t="shared" si="151"/>
        <v/>
      </c>
    </row>
    <row r="146" ht="12.75" customHeight="1" outlineLevel="1">
      <c r="A146" s="90"/>
      <c r="B146" s="195"/>
      <c r="C146" s="90"/>
      <c r="D146" s="90" t="s">
        <v>707</v>
      </c>
      <c r="E146" s="90"/>
      <c r="F146" s="90"/>
      <c r="G146" s="223" t="str">
        <f>'RS3'!J145</f>
        <v/>
      </c>
      <c r="H146" s="223">
        <f>'RS3'!K145</f>
        <v>0</v>
      </c>
      <c r="I146" s="366">
        <v>7.0</v>
      </c>
      <c r="J146" s="223">
        <v>5.0</v>
      </c>
      <c r="K146" s="223">
        <v>5.0</v>
      </c>
      <c r="L146" s="223">
        <v>5.0</v>
      </c>
      <c r="M146" s="223">
        <v>5.0</v>
      </c>
      <c r="N146" s="223">
        <v>5.0</v>
      </c>
      <c r="O146" s="223">
        <v>5.0</v>
      </c>
      <c r="P146" s="223">
        <v>5.0</v>
      </c>
      <c r="Q146" s="223">
        <v>5.0</v>
      </c>
      <c r="R146" s="223">
        <v>5.0</v>
      </c>
      <c r="AT146" s="360" t="str">
        <f t="shared" ref="AT146:BG146" si="152">AS146</f>
        <v/>
      </c>
      <c r="AU146" s="360" t="str">
        <f t="shared" si="152"/>
        <v/>
      </c>
      <c r="AV146" s="360" t="str">
        <f t="shared" si="152"/>
        <v/>
      </c>
      <c r="AW146" s="360" t="str">
        <f t="shared" si="152"/>
        <v/>
      </c>
      <c r="AX146" s="360" t="str">
        <f t="shared" si="152"/>
        <v/>
      </c>
      <c r="AY146" s="360" t="str">
        <f t="shared" si="152"/>
        <v/>
      </c>
      <c r="AZ146" s="360" t="str">
        <f t="shared" si="152"/>
        <v/>
      </c>
      <c r="BA146" s="360" t="str">
        <f t="shared" si="152"/>
        <v/>
      </c>
      <c r="BB146" s="360" t="str">
        <f t="shared" si="152"/>
        <v/>
      </c>
      <c r="BC146" s="360" t="str">
        <f t="shared" si="152"/>
        <v/>
      </c>
      <c r="BD146" s="360" t="str">
        <f t="shared" si="152"/>
        <v/>
      </c>
      <c r="BE146" s="360" t="str">
        <f t="shared" si="152"/>
        <v/>
      </c>
      <c r="BF146" s="360" t="str">
        <f t="shared" si="152"/>
        <v/>
      </c>
      <c r="BG146" s="360" t="str">
        <f t="shared" si="152"/>
        <v/>
      </c>
    </row>
    <row r="147" ht="12.75" customHeight="1" outlineLevel="1">
      <c r="A147" s="90"/>
      <c r="B147" s="195"/>
      <c r="C147" s="90"/>
      <c r="D147" s="90" t="s">
        <v>708</v>
      </c>
      <c r="E147" s="90"/>
      <c r="F147" s="90"/>
      <c r="G147" s="223" t="str">
        <f>'RS3'!J146</f>
        <v/>
      </c>
      <c r="H147" s="223">
        <f>'RS3'!K146</f>
        <v>0</v>
      </c>
      <c r="I147" s="223">
        <f>'RSGen 1-7'!I147</f>
        <v>0</v>
      </c>
      <c r="J147" s="223">
        <f>'RSGen 1-7'!J147</f>
        <v>0</v>
      </c>
      <c r="K147" s="223">
        <f>'RSGen 1-7'!K147</f>
        <v>0</v>
      </c>
      <c r="L147" s="223">
        <f>'RSGen 1-7'!L147</f>
        <v>0</v>
      </c>
      <c r="M147" s="223">
        <f>'RSGen 1-7'!M147</f>
        <v>0</v>
      </c>
      <c r="N147" s="223">
        <f>'RSGen 1-7'!N147</f>
        <v>0</v>
      </c>
      <c r="O147" s="223">
        <f>'RSGen 1-7'!O147</f>
        <v>0</v>
      </c>
      <c r="P147" s="223">
        <f>'RSGen 1-7'!P147</f>
        <v>0</v>
      </c>
      <c r="Q147" s="223">
        <f>'RSGen 1-7'!Q147</f>
        <v>0</v>
      </c>
      <c r="R147" s="223">
        <f>'RSGen 1-7'!R147</f>
        <v>0</v>
      </c>
      <c r="AT147" s="360" t="str">
        <f t="shared" ref="AT147:BG147" si="153">AS147</f>
        <v/>
      </c>
      <c r="AU147" s="360" t="str">
        <f t="shared" si="153"/>
        <v/>
      </c>
      <c r="AV147" s="360" t="str">
        <f t="shared" si="153"/>
        <v/>
      </c>
      <c r="AW147" s="360" t="str">
        <f t="shared" si="153"/>
        <v/>
      </c>
      <c r="AX147" s="360" t="str">
        <f t="shared" si="153"/>
        <v/>
      </c>
      <c r="AY147" s="360" t="str">
        <f t="shared" si="153"/>
        <v/>
      </c>
      <c r="AZ147" s="360" t="str">
        <f t="shared" si="153"/>
        <v/>
      </c>
      <c r="BA147" s="360" t="str">
        <f t="shared" si="153"/>
        <v/>
      </c>
      <c r="BB147" s="360" t="str">
        <f t="shared" si="153"/>
        <v/>
      </c>
      <c r="BC147" s="360" t="str">
        <f t="shared" si="153"/>
        <v/>
      </c>
      <c r="BD147" s="360" t="str">
        <f t="shared" si="153"/>
        <v/>
      </c>
      <c r="BE147" s="360" t="str">
        <f t="shared" si="153"/>
        <v/>
      </c>
      <c r="BF147" s="360" t="str">
        <f t="shared" si="153"/>
        <v/>
      </c>
      <c r="BG147" s="360" t="str">
        <f t="shared" si="153"/>
        <v/>
      </c>
    </row>
    <row r="148" ht="12.75" customHeight="1" outlineLevel="1">
      <c r="A148" s="90"/>
      <c r="B148" s="195"/>
      <c r="C148" s="148" t="s">
        <v>709</v>
      </c>
      <c r="D148" s="148"/>
      <c r="E148" s="148"/>
      <c r="F148" s="148"/>
      <c r="G148" s="364">
        <f t="shared" ref="G148:R148" si="154">SUM(G145:G147)</f>
        <v>0</v>
      </c>
      <c r="H148" s="364">
        <f t="shared" si="154"/>
        <v>0</v>
      </c>
      <c r="I148" s="364">
        <f t="shared" si="154"/>
        <v>9</v>
      </c>
      <c r="J148" s="364">
        <f t="shared" si="154"/>
        <v>9</v>
      </c>
      <c r="K148" s="364">
        <f t="shared" si="154"/>
        <v>10</v>
      </c>
      <c r="L148" s="364">
        <f t="shared" si="154"/>
        <v>10</v>
      </c>
      <c r="M148" s="364">
        <f t="shared" si="154"/>
        <v>10</v>
      </c>
      <c r="N148" s="364">
        <f t="shared" si="154"/>
        <v>10</v>
      </c>
      <c r="O148" s="364">
        <f t="shared" si="154"/>
        <v>10</v>
      </c>
      <c r="P148" s="364">
        <f t="shared" si="154"/>
        <v>10</v>
      </c>
      <c r="Q148" s="364">
        <f t="shared" si="154"/>
        <v>10</v>
      </c>
      <c r="R148" s="364">
        <f t="shared" si="154"/>
        <v>10</v>
      </c>
      <c r="AT148" s="365">
        <f t="shared" ref="AT148:BG148" si="155">SUM(AT145:AT147)</f>
        <v>0</v>
      </c>
      <c r="AU148" s="365">
        <f t="shared" si="155"/>
        <v>0</v>
      </c>
      <c r="AV148" s="365">
        <f t="shared" si="155"/>
        <v>0</v>
      </c>
      <c r="AW148" s="365">
        <f t="shared" si="155"/>
        <v>0</v>
      </c>
      <c r="AX148" s="365">
        <f t="shared" si="155"/>
        <v>0</v>
      </c>
      <c r="AY148" s="365">
        <f t="shared" si="155"/>
        <v>0</v>
      </c>
      <c r="AZ148" s="365">
        <f t="shared" si="155"/>
        <v>0</v>
      </c>
      <c r="BA148" s="365">
        <f t="shared" si="155"/>
        <v>0</v>
      </c>
      <c r="BB148" s="365">
        <f t="shared" si="155"/>
        <v>0</v>
      </c>
      <c r="BC148" s="365">
        <f t="shared" si="155"/>
        <v>0</v>
      </c>
      <c r="BD148" s="365">
        <f t="shared" si="155"/>
        <v>0</v>
      </c>
      <c r="BE148" s="365">
        <f t="shared" si="155"/>
        <v>0</v>
      </c>
      <c r="BF148" s="365">
        <f t="shared" si="155"/>
        <v>0</v>
      </c>
      <c r="BG148" s="365">
        <f t="shared" si="155"/>
        <v>0</v>
      </c>
    </row>
    <row r="149" ht="12.75" customHeight="1" outlineLevel="1">
      <c r="A149" s="90"/>
      <c r="B149" s="195"/>
      <c r="C149" s="90"/>
      <c r="D149" s="90"/>
      <c r="E149" s="90"/>
      <c r="F149" s="90"/>
      <c r="G149" s="223"/>
      <c r="H149" s="223"/>
      <c r="I149" s="223"/>
      <c r="J149" s="223"/>
      <c r="K149" s="223"/>
      <c r="L149" s="223"/>
      <c r="M149" s="223"/>
      <c r="N149" s="223"/>
      <c r="O149" s="223"/>
      <c r="P149" s="223"/>
      <c r="Q149" s="223"/>
      <c r="R149" s="223"/>
      <c r="AT149" s="360"/>
      <c r="AU149" s="360"/>
      <c r="AV149" s="360"/>
      <c r="AW149" s="360"/>
      <c r="AX149" s="360"/>
      <c r="AY149" s="360"/>
      <c r="AZ149" s="360"/>
      <c r="BA149" s="360"/>
      <c r="BB149" s="360"/>
      <c r="BC149" s="360"/>
      <c r="BD149" s="360"/>
      <c r="BE149" s="360"/>
      <c r="BF149" s="360"/>
      <c r="BG149" s="360"/>
    </row>
    <row r="150" ht="12.75" customHeight="1" outlineLevel="1">
      <c r="A150" s="90"/>
      <c r="B150" s="195"/>
      <c r="C150" s="90" t="s">
        <v>710</v>
      </c>
      <c r="D150" s="90"/>
      <c r="E150" s="90"/>
      <c r="F150" s="90"/>
      <c r="G150" s="223"/>
      <c r="H150" s="223"/>
      <c r="I150" s="223"/>
      <c r="J150" s="223"/>
      <c r="K150" s="223"/>
      <c r="L150" s="223"/>
      <c r="M150" s="223"/>
      <c r="N150" s="223"/>
      <c r="O150" s="223"/>
      <c r="P150" s="223"/>
      <c r="Q150" s="223"/>
      <c r="R150" s="223"/>
      <c r="AT150" s="360"/>
      <c r="AU150" s="360"/>
      <c r="AV150" s="360"/>
      <c r="AW150" s="360"/>
      <c r="AX150" s="360"/>
      <c r="AY150" s="360"/>
      <c r="AZ150" s="360"/>
      <c r="BA150" s="360"/>
      <c r="BB150" s="360"/>
      <c r="BC150" s="360"/>
      <c r="BD150" s="360"/>
      <c r="BE150" s="360"/>
      <c r="BF150" s="360"/>
      <c r="BG150" s="360"/>
    </row>
    <row r="151" ht="12.75" customHeight="1" outlineLevel="1">
      <c r="A151" s="90"/>
      <c r="B151" s="195"/>
      <c r="C151" s="90"/>
      <c r="D151" s="90" t="s">
        <v>711</v>
      </c>
      <c r="E151" s="90"/>
      <c r="F151" s="90"/>
      <c r="G151" s="223" t="str">
        <f>'RS3'!J150</f>
        <v/>
      </c>
      <c r="H151" s="223">
        <f>'RSGen 1-7'!H151</f>
        <v>0.5</v>
      </c>
      <c r="I151" s="223">
        <f>'RSGen 1-7'!I151</f>
        <v>1</v>
      </c>
      <c r="J151" s="223">
        <f>'RSGen 1-7'!J151</f>
        <v>1</v>
      </c>
      <c r="K151" s="223">
        <f>'RSGen 1-7'!K151</f>
        <v>1</v>
      </c>
      <c r="L151" s="223">
        <f>'RSGen 1-7'!L151</f>
        <v>1</v>
      </c>
      <c r="M151" s="223">
        <f>'RSGen 1-7'!M151</f>
        <v>1</v>
      </c>
      <c r="N151" s="223">
        <f>'RSGen 1-7'!N151</f>
        <v>1</v>
      </c>
      <c r="O151" s="223">
        <f>'RSGen 1-7'!O151</f>
        <v>1</v>
      </c>
      <c r="P151" s="223">
        <f>'RSGen 1-7'!P151</f>
        <v>1</v>
      </c>
      <c r="Q151" s="223">
        <f>'RSGen 1-7'!Q151</f>
        <v>1</v>
      </c>
      <c r="R151" s="223">
        <f>'RSGen 1-7'!R151</f>
        <v>1</v>
      </c>
      <c r="AT151" s="360" t="str">
        <f t="shared" ref="AT151:BG151" si="156">AS151</f>
        <v/>
      </c>
      <c r="AU151" s="360" t="str">
        <f t="shared" si="156"/>
        <v/>
      </c>
      <c r="AV151" s="360" t="str">
        <f t="shared" si="156"/>
        <v/>
      </c>
      <c r="AW151" s="360" t="str">
        <f t="shared" si="156"/>
        <v/>
      </c>
      <c r="AX151" s="360" t="str">
        <f t="shared" si="156"/>
        <v/>
      </c>
      <c r="AY151" s="360" t="str">
        <f t="shared" si="156"/>
        <v/>
      </c>
      <c r="AZ151" s="360" t="str">
        <f t="shared" si="156"/>
        <v/>
      </c>
      <c r="BA151" s="360" t="str">
        <f t="shared" si="156"/>
        <v/>
      </c>
      <c r="BB151" s="360" t="str">
        <f t="shared" si="156"/>
        <v/>
      </c>
      <c r="BC151" s="360" t="str">
        <f t="shared" si="156"/>
        <v/>
      </c>
      <c r="BD151" s="360" t="str">
        <f t="shared" si="156"/>
        <v/>
      </c>
      <c r="BE151" s="360" t="str">
        <f t="shared" si="156"/>
        <v/>
      </c>
      <c r="BF151" s="360" t="str">
        <f t="shared" si="156"/>
        <v/>
      </c>
      <c r="BG151" s="360" t="str">
        <f t="shared" si="156"/>
        <v/>
      </c>
    </row>
    <row r="152" ht="12.75" customHeight="1" outlineLevel="1">
      <c r="A152" s="90"/>
      <c r="B152" s="195"/>
      <c r="C152" s="90"/>
      <c r="D152" s="90" t="s">
        <v>712</v>
      </c>
      <c r="E152" s="90"/>
      <c r="F152" s="90"/>
      <c r="G152" s="223" t="str">
        <f>'RS3'!J151</f>
        <v/>
      </c>
      <c r="H152" s="223">
        <f>'RSGen 1-7'!H152</f>
        <v>0</v>
      </c>
      <c r="I152" s="223">
        <f>'RSGen 1-7'!I152</f>
        <v>2</v>
      </c>
      <c r="J152" s="223">
        <f>'RSGen 1-7'!J152</f>
        <v>2</v>
      </c>
      <c r="K152" s="223">
        <f>'RSGen 1-7'!K152</f>
        <v>2</v>
      </c>
      <c r="L152" s="223">
        <f>'RSGen 1-7'!L152</f>
        <v>2</v>
      </c>
      <c r="M152" s="223">
        <f>'RSGen 1-7'!M152</f>
        <v>2</v>
      </c>
      <c r="N152" s="223">
        <f>'RSGen 1-7'!N152</f>
        <v>2</v>
      </c>
      <c r="O152" s="223">
        <f>'RSGen 1-7'!O152</f>
        <v>2</v>
      </c>
      <c r="P152" s="223">
        <f>'RSGen 1-7'!P152</f>
        <v>2</v>
      </c>
      <c r="Q152" s="223">
        <f>'RSGen 1-7'!Q152</f>
        <v>2</v>
      </c>
      <c r="R152" s="223">
        <f>'RSGen 1-7'!R152</f>
        <v>2</v>
      </c>
      <c r="AT152" s="360" t="str">
        <f t="shared" ref="AT152:BG152" si="157">AS152</f>
        <v/>
      </c>
      <c r="AU152" s="360" t="str">
        <f t="shared" si="157"/>
        <v/>
      </c>
      <c r="AV152" s="360" t="str">
        <f t="shared" si="157"/>
        <v/>
      </c>
      <c r="AW152" s="360" t="str">
        <f t="shared" si="157"/>
        <v/>
      </c>
      <c r="AX152" s="360" t="str">
        <f t="shared" si="157"/>
        <v/>
      </c>
      <c r="AY152" s="360" t="str">
        <f t="shared" si="157"/>
        <v/>
      </c>
      <c r="AZ152" s="360" t="str">
        <f t="shared" si="157"/>
        <v/>
      </c>
      <c r="BA152" s="360" t="str">
        <f t="shared" si="157"/>
        <v/>
      </c>
      <c r="BB152" s="360" t="str">
        <f t="shared" si="157"/>
        <v/>
      </c>
      <c r="BC152" s="360" t="str">
        <f t="shared" si="157"/>
        <v/>
      </c>
      <c r="BD152" s="360" t="str">
        <f t="shared" si="157"/>
        <v/>
      </c>
      <c r="BE152" s="360" t="str">
        <f t="shared" si="157"/>
        <v/>
      </c>
      <c r="BF152" s="360" t="str">
        <f t="shared" si="157"/>
        <v/>
      </c>
      <c r="BG152" s="360" t="str">
        <f t="shared" si="157"/>
        <v/>
      </c>
    </row>
    <row r="153" ht="12.75" customHeight="1" outlineLevel="1">
      <c r="A153" s="90"/>
      <c r="B153" s="195"/>
      <c r="C153" s="90"/>
      <c r="D153" s="90" t="s">
        <v>713</v>
      </c>
      <c r="E153" s="90"/>
      <c r="F153" s="90"/>
      <c r="G153" s="223" t="str">
        <f>'RS3'!J152</f>
        <v/>
      </c>
      <c r="H153" s="223" t="str">
        <f>'RSGen 1-7'!H153</f>
        <v/>
      </c>
      <c r="I153" s="223">
        <f>'RSGen 1-7'!I153</f>
        <v>1.5</v>
      </c>
      <c r="J153" s="223">
        <f>'RSGen 1-7'!J153</f>
        <v>1.5</v>
      </c>
      <c r="K153" s="223">
        <f>'RSGen 1-7'!K153</f>
        <v>1.5</v>
      </c>
      <c r="L153" s="223">
        <f>'RSGen 1-7'!L153</f>
        <v>1.5</v>
      </c>
      <c r="M153" s="223">
        <f>'RSGen 1-7'!M153</f>
        <v>1.5</v>
      </c>
      <c r="N153" s="223">
        <f>'RSGen 1-7'!N153</f>
        <v>1.5</v>
      </c>
      <c r="O153" s="223">
        <f>'RSGen 1-7'!O153</f>
        <v>1.5</v>
      </c>
      <c r="P153" s="223">
        <f>'RSGen 1-7'!P153</f>
        <v>1.5</v>
      </c>
      <c r="Q153" s="223">
        <f>'RSGen 1-7'!Q153</f>
        <v>1.5</v>
      </c>
      <c r="R153" s="223">
        <f>'RSGen 1-7'!R153</f>
        <v>1.5</v>
      </c>
      <c r="AT153" s="360" t="str">
        <f t="shared" ref="AT153:BG153" si="158">AS153</f>
        <v/>
      </c>
      <c r="AU153" s="360" t="str">
        <f t="shared" si="158"/>
        <v/>
      </c>
      <c r="AV153" s="360" t="str">
        <f t="shared" si="158"/>
        <v/>
      </c>
      <c r="AW153" s="360" t="str">
        <f t="shared" si="158"/>
        <v/>
      </c>
      <c r="AX153" s="360" t="str">
        <f t="shared" si="158"/>
        <v/>
      </c>
      <c r="AY153" s="360" t="str">
        <f t="shared" si="158"/>
        <v/>
      </c>
      <c r="AZ153" s="360" t="str">
        <f t="shared" si="158"/>
        <v/>
      </c>
      <c r="BA153" s="360" t="str">
        <f t="shared" si="158"/>
        <v/>
      </c>
      <c r="BB153" s="360" t="str">
        <f t="shared" si="158"/>
        <v/>
      </c>
      <c r="BC153" s="360" t="str">
        <f t="shared" si="158"/>
        <v/>
      </c>
      <c r="BD153" s="360" t="str">
        <f t="shared" si="158"/>
        <v/>
      </c>
      <c r="BE153" s="360" t="str">
        <f t="shared" si="158"/>
        <v/>
      </c>
      <c r="BF153" s="360" t="str">
        <f t="shared" si="158"/>
        <v/>
      </c>
      <c r="BG153" s="360" t="str">
        <f t="shared" si="158"/>
        <v/>
      </c>
    </row>
    <row r="154" ht="12.75" customHeight="1" outlineLevel="1">
      <c r="A154" s="90"/>
      <c r="B154" s="195"/>
      <c r="C154" s="87"/>
      <c r="D154" s="87" t="s">
        <v>714</v>
      </c>
      <c r="E154" s="87"/>
      <c r="F154" s="87"/>
      <c r="G154" s="223" t="str">
        <f>'RS3'!J153</f>
        <v/>
      </c>
      <c r="H154" s="223" t="str">
        <f>'RSGen 1-7'!H154</f>
        <v/>
      </c>
      <c r="I154" s="223">
        <f>'RSGen 1-7'!I154</f>
        <v>2.75</v>
      </c>
      <c r="J154" s="223">
        <f>'RSGen 1-7'!J154</f>
        <v>2.75</v>
      </c>
      <c r="K154" s="223">
        <f>'RSGen 1-7'!K154</f>
        <v>2.75</v>
      </c>
      <c r="L154" s="223">
        <f>'RSGen 1-7'!L154</f>
        <v>2.75</v>
      </c>
      <c r="M154" s="223">
        <f>'RSGen 1-7'!M154</f>
        <v>2.75</v>
      </c>
      <c r="N154" s="223">
        <f>'RSGen 1-7'!N154</f>
        <v>2.75</v>
      </c>
      <c r="O154" s="223">
        <f>'RSGen 1-7'!O154</f>
        <v>2.75</v>
      </c>
      <c r="P154" s="223">
        <f>'RSGen 1-7'!P154</f>
        <v>2.75</v>
      </c>
      <c r="Q154" s="223">
        <f>'RSGen 1-7'!Q154</f>
        <v>2.75</v>
      </c>
      <c r="R154" s="223">
        <f>'RSGen 1-7'!R154</f>
        <v>2.75</v>
      </c>
      <c r="AT154" s="360" t="str">
        <f t="shared" ref="AT154:BG154" si="159">AS154</f>
        <v/>
      </c>
      <c r="AU154" s="360" t="str">
        <f t="shared" si="159"/>
        <v/>
      </c>
      <c r="AV154" s="360" t="str">
        <f t="shared" si="159"/>
        <v/>
      </c>
      <c r="AW154" s="360" t="str">
        <f t="shared" si="159"/>
        <v/>
      </c>
      <c r="AX154" s="360" t="str">
        <f t="shared" si="159"/>
        <v/>
      </c>
      <c r="AY154" s="360" t="str">
        <f t="shared" si="159"/>
        <v/>
      </c>
      <c r="AZ154" s="360" t="str">
        <f t="shared" si="159"/>
        <v/>
      </c>
      <c r="BA154" s="360" t="str">
        <f t="shared" si="159"/>
        <v/>
      </c>
      <c r="BB154" s="360" t="str">
        <f t="shared" si="159"/>
        <v/>
      </c>
      <c r="BC154" s="360" t="str">
        <f t="shared" si="159"/>
        <v/>
      </c>
      <c r="BD154" s="360" t="str">
        <f t="shared" si="159"/>
        <v/>
      </c>
      <c r="BE154" s="360" t="str">
        <f t="shared" si="159"/>
        <v/>
      </c>
      <c r="BF154" s="360" t="str">
        <f t="shared" si="159"/>
        <v/>
      </c>
      <c r="BG154" s="360" t="str">
        <f t="shared" si="159"/>
        <v/>
      </c>
    </row>
    <row r="155" ht="12.75" customHeight="1" outlineLevel="1">
      <c r="A155" s="90"/>
      <c r="B155" s="195"/>
      <c r="C155" s="90" t="s">
        <v>715</v>
      </c>
      <c r="D155" s="90"/>
      <c r="E155" s="90"/>
      <c r="F155" s="90"/>
      <c r="G155" s="364">
        <f t="shared" ref="G155:R155" si="160">SUM(G150:G154)</f>
        <v>0</v>
      </c>
      <c r="H155" s="364">
        <f t="shared" si="160"/>
        <v>0.5</v>
      </c>
      <c r="I155" s="364">
        <f t="shared" si="160"/>
        <v>7.25</v>
      </c>
      <c r="J155" s="364">
        <f t="shared" si="160"/>
        <v>7.25</v>
      </c>
      <c r="K155" s="364">
        <f t="shared" si="160"/>
        <v>7.25</v>
      </c>
      <c r="L155" s="364">
        <f t="shared" si="160"/>
        <v>7.25</v>
      </c>
      <c r="M155" s="364">
        <f t="shared" si="160"/>
        <v>7.25</v>
      </c>
      <c r="N155" s="364">
        <f t="shared" si="160"/>
        <v>7.25</v>
      </c>
      <c r="O155" s="364">
        <f t="shared" si="160"/>
        <v>7.25</v>
      </c>
      <c r="P155" s="364">
        <f t="shared" si="160"/>
        <v>7.25</v>
      </c>
      <c r="Q155" s="364">
        <f t="shared" si="160"/>
        <v>7.25</v>
      </c>
      <c r="R155" s="364">
        <f t="shared" si="160"/>
        <v>7.25</v>
      </c>
      <c r="AT155" s="365">
        <f t="shared" ref="AT155:BG155" si="161">SUM(AT150:AT154)</f>
        <v>0</v>
      </c>
      <c r="AU155" s="365">
        <f t="shared" si="161"/>
        <v>0</v>
      </c>
      <c r="AV155" s="365">
        <f t="shared" si="161"/>
        <v>0</v>
      </c>
      <c r="AW155" s="365">
        <f t="shared" si="161"/>
        <v>0</v>
      </c>
      <c r="AX155" s="365">
        <f t="shared" si="161"/>
        <v>0</v>
      </c>
      <c r="AY155" s="365">
        <f t="shared" si="161"/>
        <v>0</v>
      </c>
      <c r="AZ155" s="365">
        <f t="shared" si="161"/>
        <v>0</v>
      </c>
      <c r="BA155" s="365">
        <f t="shared" si="161"/>
        <v>0</v>
      </c>
      <c r="BB155" s="365">
        <f t="shared" si="161"/>
        <v>0</v>
      </c>
      <c r="BC155" s="365">
        <f t="shared" si="161"/>
        <v>0</v>
      </c>
      <c r="BD155" s="365">
        <f t="shared" si="161"/>
        <v>0</v>
      </c>
      <c r="BE155" s="365">
        <f t="shared" si="161"/>
        <v>0</v>
      </c>
      <c r="BF155" s="365">
        <f t="shared" si="161"/>
        <v>0</v>
      </c>
      <c r="BG155" s="365">
        <f t="shared" si="161"/>
        <v>0</v>
      </c>
    </row>
    <row r="156" ht="12.75" customHeight="1" outlineLevel="1">
      <c r="A156" s="90"/>
      <c r="B156" s="195"/>
      <c r="C156" s="90"/>
      <c r="D156" s="90"/>
      <c r="E156" s="90"/>
      <c r="F156" s="90"/>
      <c r="G156" s="223"/>
      <c r="H156" s="223"/>
      <c r="I156" s="223"/>
      <c r="J156" s="223"/>
      <c r="K156" s="223"/>
      <c r="L156" s="223"/>
      <c r="M156" s="223"/>
      <c r="N156" s="223"/>
      <c r="O156" s="223"/>
      <c r="P156" s="223"/>
      <c r="Q156" s="223"/>
      <c r="R156" s="223"/>
      <c r="AT156" s="360"/>
      <c r="AU156" s="360"/>
      <c r="AV156" s="360"/>
      <c r="AW156" s="360"/>
      <c r="AX156" s="360"/>
      <c r="AY156" s="360"/>
      <c r="AZ156" s="360"/>
      <c r="BA156" s="360"/>
      <c r="BB156" s="360"/>
      <c r="BC156" s="360"/>
      <c r="BD156" s="360"/>
      <c r="BE156" s="360"/>
      <c r="BF156" s="360"/>
      <c r="BG156" s="360"/>
    </row>
    <row r="157" ht="12.75" customHeight="1" outlineLevel="1">
      <c r="A157" s="90"/>
      <c r="B157" s="195"/>
      <c r="C157" s="90" t="s">
        <v>716</v>
      </c>
      <c r="D157" s="90"/>
      <c r="E157" s="90"/>
      <c r="F157" s="90"/>
      <c r="G157" s="223">
        <f t="shared" ref="G157:R157" si="162">G142+G148</f>
        <v>0</v>
      </c>
      <c r="H157" s="223">
        <f t="shared" si="162"/>
        <v>1</v>
      </c>
      <c r="I157" s="223">
        <f t="shared" si="162"/>
        <v>11</v>
      </c>
      <c r="J157" s="223">
        <f t="shared" si="162"/>
        <v>11</v>
      </c>
      <c r="K157" s="223">
        <f t="shared" si="162"/>
        <v>12</v>
      </c>
      <c r="L157" s="223">
        <f t="shared" si="162"/>
        <v>12</v>
      </c>
      <c r="M157" s="223">
        <f t="shared" si="162"/>
        <v>12</v>
      </c>
      <c r="N157" s="223">
        <f t="shared" si="162"/>
        <v>12</v>
      </c>
      <c r="O157" s="223">
        <f t="shared" si="162"/>
        <v>12</v>
      </c>
      <c r="P157" s="223">
        <f t="shared" si="162"/>
        <v>12</v>
      </c>
      <c r="Q157" s="223">
        <f t="shared" si="162"/>
        <v>12</v>
      </c>
      <c r="R157" s="223">
        <f t="shared" si="162"/>
        <v>12</v>
      </c>
      <c r="AT157" s="360">
        <f t="shared" ref="AT157:BG157" si="163">AT142+AT148</f>
        <v>0</v>
      </c>
      <c r="AU157" s="360">
        <f t="shared" si="163"/>
        <v>0</v>
      </c>
      <c r="AV157" s="360">
        <f t="shared" si="163"/>
        <v>0</v>
      </c>
      <c r="AW157" s="360">
        <f t="shared" si="163"/>
        <v>0</v>
      </c>
      <c r="AX157" s="360">
        <f t="shared" si="163"/>
        <v>0</v>
      </c>
      <c r="AY157" s="360">
        <f t="shared" si="163"/>
        <v>0</v>
      </c>
      <c r="AZ157" s="360">
        <f t="shared" si="163"/>
        <v>0</v>
      </c>
      <c r="BA157" s="360">
        <f t="shared" si="163"/>
        <v>0</v>
      </c>
      <c r="BB157" s="360">
        <f t="shared" si="163"/>
        <v>0</v>
      </c>
      <c r="BC157" s="360">
        <f t="shared" si="163"/>
        <v>0</v>
      </c>
      <c r="BD157" s="360">
        <f t="shared" si="163"/>
        <v>0</v>
      </c>
      <c r="BE157" s="360">
        <f t="shared" si="163"/>
        <v>0</v>
      </c>
      <c r="BF157" s="360">
        <f t="shared" si="163"/>
        <v>0</v>
      </c>
      <c r="BG157" s="360">
        <f t="shared" si="163"/>
        <v>0</v>
      </c>
    </row>
    <row r="158" ht="12.75" customHeight="1" outlineLevel="1">
      <c r="A158" s="90"/>
      <c r="B158" s="195"/>
      <c r="C158" s="87" t="s">
        <v>717</v>
      </c>
      <c r="D158" s="87"/>
      <c r="E158" s="87"/>
      <c r="F158" s="87"/>
      <c r="G158" s="367">
        <f t="shared" ref="G158:R158" si="164">G155</f>
        <v>0</v>
      </c>
      <c r="H158" s="367">
        <f t="shared" si="164"/>
        <v>0.5</v>
      </c>
      <c r="I158" s="367">
        <f t="shared" si="164"/>
        <v>7.25</v>
      </c>
      <c r="J158" s="367">
        <f t="shared" si="164"/>
        <v>7.25</v>
      </c>
      <c r="K158" s="367">
        <f t="shared" si="164"/>
        <v>7.25</v>
      </c>
      <c r="L158" s="367">
        <f t="shared" si="164"/>
        <v>7.25</v>
      </c>
      <c r="M158" s="367">
        <f t="shared" si="164"/>
        <v>7.25</v>
      </c>
      <c r="N158" s="367">
        <f t="shared" si="164"/>
        <v>7.25</v>
      </c>
      <c r="O158" s="367">
        <f t="shared" si="164"/>
        <v>7.25</v>
      </c>
      <c r="P158" s="367">
        <f t="shared" si="164"/>
        <v>7.25</v>
      </c>
      <c r="Q158" s="367">
        <f t="shared" si="164"/>
        <v>7.25</v>
      </c>
      <c r="R158" s="367">
        <f t="shared" si="164"/>
        <v>7.25</v>
      </c>
      <c r="AT158" s="368">
        <f t="shared" ref="AT158:BG158" si="165">AT155</f>
        <v>0</v>
      </c>
      <c r="AU158" s="368">
        <f t="shared" si="165"/>
        <v>0</v>
      </c>
      <c r="AV158" s="368">
        <f t="shared" si="165"/>
        <v>0</v>
      </c>
      <c r="AW158" s="368">
        <f t="shared" si="165"/>
        <v>0</v>
      </c>
      <c r="AX158" s="368">
        <f t="shared" si="165"/>
        <v>0</v>
      </c>
      <c r="AY158" s="368">
        <f t="shared" si="165"/>
        <v>0</v>
      </c>
      <c r="AZ158" s="368">
        <f t="shared" si="165"/>
        <v>0</v>
      </c>
      <c r="BA158" s="368">
        <f t="shared" si="165"/>
        <v>0</v>
      </c>
      <c r="BB158" s="368">
        <f t="shared" si="165"/>
        <v>0</v>
      </c>
      <c r="BC158" s="368">
        <f t="shared" si="165"/>
        <v>0</v>
      </c>
      <c r="BD158" s="368">
        <f t="shared" si="165"/>
        <v>0</v>
      </c>
      <c r="BE158" s="368">
        <f t="shared" si="165"/>
        <v>0</v>
      </c>
      <c r="BF158" s="368">
        <f t="shared" si="165"/>
        <v>0</v>
      </c>
      <c r="BG158" s="368">
        <f t="shared" si="165"/>
        <v>0</v>
      </c>
    </row>
    <row r="159" ht="12.75" customHeight="1" outlineLevel="1">
      <c r="A159" s="90"/>
      <c r="B159" s="195"/>
      <c r="C159" s="90" t="s">
        <v>718</v>
      </c>
      <c r="D159" s="67"/>
      <c r="E159" s="67"/>
      <c r="F159" s="67"/>
      <c r="G159" s="223">
        <f t="shared" ref="G159:R159" si="166">G157+G158</f>
        <v>0</v>
      </c>
      <c r="H159" s="223">
        <f t="shared" si="166"/>
        <v>1.5</v>
      </c>
      <c r="I159" s="223">
        <f t="shared" si="166"/>
        <v>18.25</v>
      </c>
      <c r="J159" s="223">
        <f t="shared" si="166"/>
        <v>18.25</v>
      </c>
      <c r="K159" s="223">
        <f t="shared" si="166"/>
        <v>19.25</v>
      </c>
      <c r="L159" s="223">
        <f t="shared" si="166"/>
        <v>19.25</v>
      </c>
      <c r="M159" s="223">
        <f t="shared" si="166"/>
        <v>19.25</v>
      </c>
      <c r="N159" s="223">
        <f t="shared" si="166"/>
        <v>19.25</v>
      </c>
      <c r="O159" s="223">
        <f t="shared" si="166"/>
        <v>19.25</v>
      </c>
      <c r="P159" s="223">
        <f t="shared" si="166"/>
        <v>19.25</v>
      </c>
      <c r="Q159" s="223">
        <f t="shared" si="166"/>
        <v>19.25</v>
      </c>
      <c r="R159" s="223">
        <f t="shared" si="166"/>
        <v>19.25</v>
      </c>
      <c r="AT159" s="360">
        <f t="shared" ref="AT159:BG159" si="167">AT157+AT158</f>
        <v>0</v>
      </c>
      <c r="AU159" s="360">
        <f t="shared" si="167"/>
        <v>0</v>
      </c>
      <c r="AV159" s="360">
        <f t="shared" si="167"/>
        <v>0</v>
      </c>
      <c r="AW159" s="360">
        <f t="shared" si="167"/>
        <v>0</v>
      </c>
      <c r="AX159" s="360">
        <f t="shared" si="167"/>
        <v>0</v>
      </c>
      <c r="AY159" s="360">
        <f t="shared" si="167"/>
        <v>0</v>
      </c>
      <c r="AZ159" s="360">
        <f t="shared" si="167"/>
        <v>0</v>
      </c>
      <c r="BA159" s="360">
        <f t="shared" si="167"/>
        <v>0</v>
      </c>
      <c r="BB159" s="360">
        <f t="shared" si="167"/>
        <v>0</v>
      </c>
      <c r="BC159" s="360">
        <f t="shared" si="167"/>
        <v>0</v>
      </c>
      <c r="BD159" s="360">
        <f t="shared" si="167"/>
        <v>0</v>
      </c>
      <c r="BE159" s="360">
        <f t="shared" si="167"/>
        <v>0</v>
      </c>
      <c r="BF159" s="360">
        <f t="shared" si="167"/>
        <v>0</v>
      </c>
      <c r="BG159" s="360">
        <f t="shared" si="167"/>
        <v>0</v>
      </c>
    </row>
    <row r="160" ht="12.75" customHeight="1" outlineLevel="1">
      <c r="A160" s="90"/>
      <c r="B160" s="195"/>
      <c r="C160" s="90" t="s">
        <v>719</v>
      </c>
      <c r="D160" s="67"/>
      <c r="E160" s="67"/>
      <c r="F160" s="67"/>
      <c r="G160" s="223">
        <f t="shared" ref="G160:H160" si="168">G159-E159</f>
        <v>0</v>
      </c>
      <c r="H160" s="223">
        <f t="shared" si="168"/>
        <v>1.5</v>
      </c>
      <c r="I160" s="223">
        <f t="shared" ref="I160:R160" si="169">I159-H159</f>
        <v>16.75</v>
      </c>
      <c r="J160" s="223">
        <f t="shared" si="169"/>
        <v>0</v>
      </c>
      <c r="K160" s="223">
        <f t="shared" si="169"/>
        <v>1</v>
      </c>
      <c r="L160" s="223">
        <f t="shared" si="169"/>
        <v>0</v>
      </c>
      <c r="M160" s="223">
        <f t="shared" si="169"/>
        <v>0</v>
      </c>
      <c r="N160" s="223">
        <f t="shared" si="169"/>
        <v>0</v>
      </c>
      <c r="O160" s="223">
        <f t="shared" si="169"/>
        <v>0</v>
      </c>
      <c r="P160" s="223">
        <f t="shared" si="169"/>
        <v>0</v>
      </c>
      <c r="Q160" s="223">
        <f t="shared" si="169"/>
        <v>0</v>
      </c>
      <c r="R160" s="223">
        <f t="shared" si="169"/>
        <v>0</v>
      </c>
      <c r="AT160" s="360">
        <f t="shared" ref="AT160:BG160" si="170">AT159-AS159</f>
        <v>0</v>
      </c>
      <c r="AU160" s="360">
        <f t="shared" si="170"/>
        <v>0</v>
      </c>
      <c r="AV160" s="360">
        <f t="shared" si="170"/>
        <v>0</v>
      </c>
      <c r="AW160" s="360">
        <f t="shared" si="170"/>
        <v>0</v>
      </c>
      <c r="AX160" s="360">
        <f t="shared" si="170"/>
        <v>0</v>
      </c>
      <c r="AY160" s="360">
        <f t="shared" si="170"/>
        <v>0</v>
      </c>
      <c r="AZ160" s="360">
        <f t="shared" si="170"/>
        <v>0</v>
      </c>
      <c r="BA160" s="360">
        <f t="shared" si="170"/>
        <v>0</v>
      </c>
      <c r="BB160" s="360">
        <f t="shared" si="170"/>
        <v>0</v>
      </c>
      <c r="BC160" s="360">
        <f t="shared" si="170"/>
        <v>0</v>
      </c>
      <c r="BD160" s="360">
        <f t="shared" si="170"/>
        <v>0</v>
      </c>
      <c r="BE160" s="360">
        <f t="shared" si="170"/>
        <v>0</v>
      </c>
      <c r="BF160" s="360">
        <f t="shared" si="170"/>
        <v>0</v>
      </c>
      <c r="BG160" s="360">
        <f t="shared" si="170"/>
        <v>0</v>
      </c>
    </row>
    <row r="161" ht="12.75" customHeight="1" outlineLevel="1">
      <c r="A161" s="90"/>
      <c r="B161" s="195"/>
      <c r="C161" s="90"/>
      <c r="D161" s="67"/>
      <c r="E161" s="67"/>
      <c r="F161" s="67"/>
      <c r="G161" s="369"/>
      <c r="H161" s="369"/>
      <c r="I161" s="369"/>
      <c r="J161" s="369"/>
      <c r="K161" s="369"/>
      <c r="L161" s="369"/>
      <c r="M161" s="369"/>
      <c r="N161" s="369"/>
      <c r="O161" s="369"/>
      <c r="P161" s="369"/>
      <c r="Q161" s="369"/>
      <c r="R161" s="369"/>
      <c r="AT161" s="370"/>
      <c r="AU161" s="370"/>
      <c r="AV161" s="370"/>
      <c r="AW161" s="370"/>
      <c r="AX161" s="370"/>
      <c r="AY161" s="370"/>
      <c r="AZ161" s="370"/>
      <c r="BA161" s="370"/>
      <c r="BB161" s="370"/>
      <c r="BC161" s="370"/>
      <c r="BD161" s="370"/>
      <c r="BE161" s="370"/>
      <c r="BF161" s="370"/>
      <c r="BG161" s="370"/>
    </row>
    <row r="162" ht="12.75" customHeight="1" outlineLevel="1">
      <c r="A162" s="90"/>
      <c r="B162" s="67" t="s">
        <v>278</v>
      </c>
      <c r="C162" s="90"/>
      <c r="D162" s="90"/>
      <c r="E162" s="90"/>
      <c r="F162" s="90"/>
      <c r="G162" s="90"/>
      <c r="H162" s="90"/>
      <c r="I162" s="90"/>
      <c r="J162" s="90"/>
      <c r="K162" s="90"/>
      <c r="L162" s="90"/>
      <c r="M162" s="90"/>
      <c r="N162" s="90"/>
      <c r="O162" s="90"/>
      <c r="P162" s="90"/>
      <c r="Q162" s="90"/>
      <c r="R162" s="90"/>
      <c r="AT162" s="313"/>
      <c r="AU162" s="313"/>
      <c r="AV162" s="313"/>
      <c r="AW162" s="313"/>
      <c r="AX162" s="313"/>
      <c r="AY162" s="313"/>
      <c r="AZ162" s="313"/>
      <c r="BA162" s="313"/>
      <c r="BB162" s="313"/>
      <c r="BC162" s="313"/>
      <c r="BD162" s="313"/>
      <c r="BE162" s="313"/>
      <c r="BF162" s="313"/>
      <c r="BG162" s="313"/>
    </row>
    <row r="163" ht="12.75" customHeight="1" outlineLevel="1">
      <c r="A163" s="90"/>
      <c r="B163" s="90"/>
      <c r="C163" s="90" t="s">
        <v>720</v>
      </c>
      <c r="D163" s="90"/>
      <c r="E163" s="90"/>
      <c r="F163" s="90"/>
      <c r="G163" s="178">
        <v>0.0</v>
      </c>
      <c r="H163" s="178"/>
      <c r="I163" s="178"/>
      <c r="J163" s="178"/>
      <c r="K163" s="178"/>
      <c r="L163" s="178"/>
      <c r="M163" s="178"/>
      <c r="N163" s="178"/>
      <c r="O163" s="178"/>
      <c r="P163" s="178"/>
      <c r="Q163" s="178"/>
      <c r="R163" s="178"/>
      <c r="AT163" s="355" t="str">
        <f t="shared" ref="AT163:BG163" si="171">AS163</f>
        <v/>
      </c>
      <c r="AU163" s="355" t="str">
        <f t="shared" si="171"/>
        <v/>
      </c>
      <c r="AV163" s="355" t="str">
        <f t="shared" si="171"/>
        <v/>
      </c>
      <c r="AW163" s="355" t="str">
        <f t="shared" si="171"/>
        <v/>
      </c>
      <c r="AX163" s="355" t="str">
        <f t="shared" si="171"/>
        <v/>
      </c>
      <c r="AY163" s="355" t="str">
        <f t="shared" si="171"/>
        <v/>
      </c>
      <c r="AZ163" s="355" t="str">
        <f t="shared" si="171"/>
        <v/>
      </c>
      <c r="BA163" s="355" t="str">
        <f t="shared" si="171"/>
        <v/>
      </c>
      <c r="BB163" s="355" t="str">
        <f t="shared" si="171"/>
        <v/>
      </c>
      <c r="BC163" s="355" t="str">
        <f t="shared" si="171"/>
        <v/>
      </c>
      <c r="BD163" s="355" t="str">
        <f t="shared" si="171"/>
        <v/>
      </c>
      <c r="BE163" s="355" t="str">
        <f t="shared" si="171"/>
        <v/>
      </c>
      <c r="BF163" s="355" t="str">
        <f t="shared" si="171"/>
        <v/>
      </c>
      <c r="BG163" s="355" t="str">
        <f t="shared" si="171"/>
        <v/>
      </c>
    </row>
    <row r="164" ht="12.75" customHeight="1" outlineLevel="1">
      <c r="A164" s="90"/>
      <c r="B164" s="90"/>
      <c r="C164" s="90"/>
      <c r="D164" s="90"/>
      <c r="E164" s="90"/>
      <c r="F164" s="90"/>
      <c r="G164" s="90"/>
      <c r="H164" s="90"/>
      <c r="I164" s="99"/>
      <c r="J164" s="99"/>
      <c r="K164" s="99"/>
      <c r="L164" s="99"/>
      <c r="M164" s="99"/>
      <c r="N164" s="90"/>
      <c r="O164" s="90"/>
      <c r="P164" s="90"/>
      <c r="Q164" s="90"/>
      <c r="R164" s="90"/>
      <c r="AT164" s="313"/>
      <c r="AU164" s="313"/>
      <c r="AV164" s="313"/>
      <c r="AW164" s="313"/>
      <c r="AX164" s="313"/>
      <c r="AY164" s="313"/>
      <c r="AZ164" s="313"/>
      <c r="BA164" s="313"/>
      <c r="BB164" s="313"/>
      <c r="BC164" s="313"/>
      <c r="BD164" s="313"/>
      <c r="BE164" s="313"/>
      <c r="BF164" s="313"/>
      <c r="BG164" s="313"/>
    </row>
    <row r="165" ht="12.75" customHeight="1" outlineLevel="1">
      <c r="A165" s="90"/>
      <c r="B165" s="371"/>
      <c r="C165" s="90" t="s">
        <v>701</v>
      </c>
      <c r="D165" s="90"/>
      <c r="E165" s="90"/>
      <c r="F165" s="90"/>
      <c r="G165" s="99">
        <f>'RSGen 1-7'!G165</f>
        <v>0</v>
      </c>
      <c r="H165" s="99">
        <f>'RSGen 1-7'!H165</f>
        <v>70833.33333</v>
      </c>
      <c r="I165" s="99">
        <f>'RSGen 1-7'!I165</f>
        <v>83333.33333</v>
      </c>
      <c r="J165" s="99">
        <f>'RSGen 1-7'!J165</f>
        <v>100000</v>
      </c>
      <c r="K165" s="99">
        <f>'RSGen 1-7'!K165</f>
        <v>100000</v>
      </c>
      <c r="L165" s="99">
        <f>'RSGen 1-7'!L165</f>
        <v>100000</v>
      </c>
      <c r="M165" s="99">
        <f>'RSGen 1-7'!M165</f>
        <v>100000</v>
      </c>
      <c r="N165" s="99">
        <f>'RSGen 1-7'!N165</f>
        <v>100000</v>
      </c>
      <c r="O165" s="99">
        <f>'RSGen 1-7'!O165</f>
        <v>100000</v>
      </c>
      <c r="P165" s="99">
        <f>'RSGen 1-7'!P165</f>
        <v>100000</v>
      </c>
      <c r="Q165" s="99">
        <f>'RSGen 1-7'!Q165</f>
        <v>100000</v>
      </c>
      <c r="R165" s="99">
        <f>'RSGen 1-7'!R165</f>
        <v>100000</v>
      </c>
      <c r="AT165" s="308">
        <f t="shared" ref="AT165:BG165" si="172">AS165*(1+AT$163)</f>
        <v>0</v>
      </c>
      <c r="AU165" s="308">
        <f t="shared" si="172"/>
        <v>0</v>
      </c>
      <c r="AV165" s="308">
        <f t="shared" si="172"/>
        <v>0</v>
      </c>
      <c r="AW165" s="308">
        <f t="shared" si="172"/>
        <v>0</v>
      </c>
      <c r="AX165" s="308">
        <f t="shared" si="172"/>
        <v>0</v>
      </c>
      <c r="AY165" s="308">
        <f t="shared" si="172"/>
        <v>0</v>
      </c>
      <c r="AZ165" s="308">
        <f t="shared" si="172"/>
        <v>0</v>
      </c>
      <c r="BA165" s="308">
        <f t="shared" si="172"/>
        <v>0</v>
      </c>
      <c r="BB165" s="308">
        <f t="shared" si="172"/>
        <v>0</v>
      </c>
      <c r="BC165" s="308">
        <f t="shared" si="172"/>
        <v>0</v>
      </c>
      <c r="BD165" s="308">
        <f t="shared" si="172"/>
        <v>0</v>
      </c>
      <c r="BE165" s="308">
        <f t="shared" si="172"/>
        <v>0</v>
      </c>
      <c r="BF165" s="308">
        <f t="shared" si="172"/>
        <v>0</v>
      </c>
      <c r="BG165" s="308">
        <f t="shared" si="172"/>
        <v>0</v>
      </c>
    </row>
    <row r="166" ht="12.75" customHeight="1" outlineLevel="1">
      <c r="A166" s="90"/>
      <c r="B166" s="195"/>
      <c r="C166" s="90" t="s">
        <v>721</v>
      </c>
      <c r="D166" s="90"/>
      <c r="E166" s="90"/>
      <c r="F166" s="90"/>
      <c r="G166" s="99">
        <f>'RSGen 1-7'!G166</f>
        <v>0</v>
      </c>
      <c r="H166" s="99">
        <f>'RSGen 1-7'!H166</f>
        <v>0</v>
      </c>
      <c r="I166" s="99">
        <f>'RSGen 1-7'!I166</f>
        <v>0</v>
      </c>
      <c r="J166" s="99">
        <f>'RSGen 1-7'!J166</f>
        <v>0</v>
      </c>
      <c r="K166" s="99">
        <f>'RSGen 1-7'!K166</f>
        <v>0</v>
      </c>
      <c r="L166" s="99">
        <f>'RSGen 1-7'!L166</f>
        <v>0</v>
      </c>
      <c r="M166" s="99">
        <f>'RSGen 1-7'!M166</f>
        <v>0</v>
      </c>
      <c r="N166" s="99">
        <f>'RSGen 1-7'!N166</f>
        <v>0</v>
      </c>
      <c r="O166" s="99">
        <f>'RSGen 1-7'!O166</f>
        <v>0</v>
      </c>
      <c r="P166" s="99">
        <f>'RSGen 1-7'!P166</f>
        <v>0</v>
      </c>
      <c r="Q166" s="99">
        <f>'RSGen 1-7'!Q166</f>
        <v>0</v>
      </c>
      <c r="R166" s="99">
        <f>'RSGen 1-7'!R166</f>
        <v>0</v>
      </c>
      <c r="AT166" s="308">
        <f t="shared" ref="AT166:BG166" si="173">AS166*(1+AT$163)</f>
        <v>0</v>
      </c>
      <c r="AU166" s="308">
        <f t="shared" si="173"/>
        <v>0</v>
      </c>
      <c r="AV166" s="308">
        <f t="shared" si="173"/>
        <v>0</v>
      </c>
      <c r="AW166" s="308">
        <f t="shared" si="173"/>
        <v>0</v>
      </c>
      <c r="AX166" s="308">
        <f t="shared" si="173"/>
        <v>0</v>
      </c>
      <c r="AY166" s="308">
        <f t="shared" si="173"/>
        <v>0</v>
      </c>
      <c r="AZ166" s="308">
        <f t="shared" si="173"/>
        <v>0</v>
      </c>
      <c r="BA166" s="308">
        <f t="shared" si="173"/>
        <v>0</v>
      </c>
      <c r="BB166" s="308">
        <f t="shared" si="173"/>
        <v>0</v>
      </c>
      <c r="BC166" s="308">
        <f t="shared" si="173"/>
        <v>0</v>
      </c>
      <c r="BD166" s="308">
        <f t="shared" si="173"/>
        <v>0</v>
      </c>
      <c r="BE166" s="308">
        <f t="shared" si="173"/>
        <v>0</v>
      </c>
      <c r="BF166" s="308">
        <f t="shared" si="173"/>
        <v>0</v>
      </c>
      <c r="BG166" s="308">
        <f t="shared" si="173"/>
        <v>0</v>
      </c>
    </row>
    <row r="167" ht="12.75" customHeight="1" outlineLevel="1">
      <c r="A167" s="90"/>
      <c r="B167" s="195"/>
      <c r="C167" s="90" t="s">
        <v>703</v>
      </c>
      <c r="D167" s="90"/>
      <c r="E167" s="90"/>
      <c r="F167" s="90"/>
      <c r="G167" s="99">
        <f>'RSGen 1-7'!G167</f>
        <v>0</v>
      </c>
      <c r="H167" s="99">
        <f>'RSGen 1-7'!H167</f>
        <v>0</v>
      </c>
      <c r="I167" s="99">
        <f>'RSGen 1-7'!I167</f>
        <v>0</v>
      </c>
      <c r="J167" s="99">
        <f>'RSGen 1-7'!J167</f>
        <v>0</v>
      </c>
      <c r="K167" s="99">
        <f>'RSGen 1-7'!K167</f>
        <v>0</v>
      </c>
      <c r="L167" s="99">
        <f>'RSGen 1-7'!L167</f>
        <v>0</v>
      </c>
      <c r="M167" s="99">
        <f>'RSGen 1-7'!M167</f>
        <v>0</v>
      </c>
      <c r="N167" s="99">
        <f>'RSGen 1-7'!N167</f>
        <v>0</v>
      </c>
      <c r="O167" s="99">
        <f>'RSGen 1-7'!O167</f>
        <v>0</v>
      </c>
      <c r="P167" s="99">
        <f>'RSGen 1-7'!P167</f>
        <v>0</v>
      </c>
      <c r="Q167" s="99">
        <f>'RSGen 1-7'!Q167</f>
        <v>0</v>
      </c>
      <c r="R167" s="99">
        <f>'RSGen 1-7'!R167</f>
        <v>0</v>
      </c>
      <c r="AT167" s="308">
        <f t="shared" ref="AT167:BG167" si="174">AS167*(1+AT$163)</f>
        <v>0</v>
      </c>
      <c r="AU167" s="308">
        <f t="shared" si="174"/>
        <v>0</v>
      </c>
      <c r="AV167" s="308">
        <f t="shared" si="174"/>
        <v>0</v>
      </c>
      <c r="AW167" s="308">
        <f t="shared" si="174"/>
        <v>0</v>
      </c>
      <c r="AX167" s="308">
        <f t="shared" si="174"/>
        <v>0</v>
      </c>
      <c r="AY167" s="308">
        <f t="shared" si="174"/>
        <v>0</v>
      </c>
      <c r="AZ167" s="308">
        <f t="shared" si="174"/>
        <v>0</v>
      </c>
      <c r="BA167" s="308">
        <f t="shared" si="174"/>
        <v>0</v>
      </c>
      <c r="BB167" s="308">
        <f t="shared" si="174"/>
        <v>0</v>
      </c>
      <c r="BC167" s="308">
        <f t="shared" si="174"/>
        <v>0</v>
      </c>
      <c r="BD167" s="308">
        <f t="shared" si="174"/>
        <v>0</v>
      </c>
      <c r="BE167" s="308">
        <f t="shared" si="174"/>
        <v>0</v>
      </c>
      <c r="BF167" s="308">
        <f t="shared" si="174"/>
        <v>0</v>
      </c>
      <c r="BG167" s="308">
        <f t="shared" si="174"/>
        <v>0</v>
      </c>
    </row>
    <row r="168" ht="12.75" customHeight="1" outlineLevel="1">
      <c r="A168" s="90"/>
      <c r="B168" s="195"/>
      <c r="C168" s="90" t="s">
        <v>722</v>
      </c>
      <c r="D168" s="90"/>
      <c r="E168" s="90"/>
      <c r="F168" s="90"/>
      <c r="G168" s="99">
        <f>'RSGen 1-7'!G168</f>
        <v>0</v>
      </c>
      <c r="H168" s="99">
        <f>'RSGen 1-7'!H168</f>
        <v>0</v>
      </c>
      <c r="I168" s="99">
        <f>'RSGen 1-7'!I168</f>
        <v>47000</v>
      </c>
      <c r="J168" s="99">
        <f>'RSGen 1-7'!J168</f>
        <v>48250</v>
      </c>
      <c r="K168" s="99">
        <f>'RSGen 1-7'!K168</f>
        <v>48250</v>
      </c>
      <c r="L168" s="99">
        <f>'RSGen 1-7'!L168</f>
        <v>48250</v>
      </c>
      <c r="M168" s="99">
        <f>'RSGen 1-7'!M168</f>
        <v>48250</v>
      </c>
      <c r="N168" s="99">
        <f>'RSGen 1-7'!N168</f>
        <v>48250</v>
      </c>
      <c r="O168" s="99">
        <f>'RSGen 1-7'!O168</f>
        <v>48250</v>
      </c>
      <c r="P168" s="99">
        <f>'RSGen 1-7'!P168</f>
        <v>48250</v>
      </c>
      <c r="Q168" s="99">
        <f>'RSGen 1-7'!Q168</f>
        <v>48250</v>
      </c>
      <c r="R168" s="99">
        <f>'RSGen 1-7'!R168</f>
        <v>48250</v>
      </c>
      <c r="AT168" s="308">
        <f t="shared" ref="AT168:BG168" si="175">AS168*(1+AT$163)</f>
        <v>0</v>
      </c>
      <c r="AU168" s="308">
        <f t="shared" si="175"/>
        <v>0</v>
      </c>
      <c r="AV168" s="308">
        <f t="shared" si="175"/>
        <v>0</v>
      </c>
      <c r="AW168" s="308">
        <f t="shared" si="175"/>
        <v>0</v>
      </c>
      <c r="AX168" s="308">
        <f t="shared" si="175"/>
        <v>0</v>
      </c>
      <c r="AY168" s="308">
        <f t="shared" si="175"/>
        <v>0</v>
      </c>
      <c r="AZ168" s="308">
        <f t="shared" si="175"/>
        <v>0</v>
      </c>
      <c r="BA168" s="308">
        <f t="shared" si="175"/>
        <v>0</v>
      </c>
      <c r="BB168" s="308">
        <f t="shared" si="175"/>
        <v>0</v>
      </c>
      <c r="BC168" s="308">
        <f t="shared" si="175"/>
        <v>0</v>
      </c>
      <c r="BD168" s="308">
        <f t="shared" si="175"/>
        <v>0</v>
      </c>
      <c r="BE168" s="308">
        <f t="shared" si="175"/>
        <v>0</v>
      </c>
      <c r="BF168" s="308">
        <f t="shared" si="175"/>
        <v>0</v>
      </c>
      <c r="BG168" s="308">
        <f t="shared" si="175"/>
        <v>0</v>
      </c>
    </row>
    <row r="169" ht="12.75" customHeight="1" outlineLevel="1">
      <c r="A169" s="90"/>
      <c r="B169" s="195"/>
      <c r="C169" s="90" t="s">
        <v>707</v>
      </c>
      <c r="D169" s="90"/>
      <c r="E169" s="90"/>
      <c r="F169" s="90"/>
      <c r="G169" s="99">
        <f>'RSGen 1-7'!G169</f>
        <v>0</v>
      </c>
      <c r="H169" s="99">
        <f>'RSGen 1-7'!H169</f>
        <v>0</v>
      </c>
      <c r="I169" s="99">
        <f>'RSGen 1-7'!I169</f>
        <v>58000</v>
      </c>
      <c r="J169" s="99">
        <f>'RSGen 1-7'!J169</f>
        <v>58000</v>
      </c>
      <c r="K169" s="99">
        <f>'RSGen 1-7'!K169</f>
        <v>58000</v>
      </c>
      <c r="L169" s="99">
        <f>'RSGen 1-7'!L169</f>
        <v>58000</v>
      </c>
      <c r="M169" s="99">
        <f>'RSGen 1-7'!M169</f>
        <v>58000</v>
      </c>
      <c r="N169" s="99">
        <f>'RSGen 1-7'!N169</f>
        <v>58000</v>
      </c>
      <c r="O169" s="99">
        <f>'RSGen 1-7'!O169</f>
        <v>58000</v>
      </c>
      <c r="P169" s="99">
        <f>'RSGen 1-7'!P169</f>
        <v>58000</v>
      </c>
      <c r="Q169" s="99">
        <f>'RSGen 1-7'!Q169</f>
        <v>58000</v>
      </c>
      <c r="R169" s="99">
        <f>'RSGen 1-7'!R169</f>
        <v>58000</v>
      </c>
      <c r="AT169" s="308">
        <f t="shared" ref="AT169:BG169" si="176">AS169*(1+AT$163)</f>
        <v>0</v>
      </c>
      <c r="AU169" s="308">
        <f t="shared" si="176"/>
        <v>0</v>
      </c>
      <c r="AV169" s="308">
        <f t="shared" si="176"/>
        <v>0</v>
      </c>
      <c r="AW169" s="308">
        <f t="shared" si="176"/>
        <v>0</v>
      </c>
      <c r="AX169" s="308">
        <f t="shared" si="176"/>
        <v>0</v>
      </c>
      <c r="AY169" s="308">
        <f t="shared" si="176"/>
        <v>0</v>
      </c>
      <c r="AZ169" s="308">
        <f t="shared" si="176"/>
        <v>0</v>
      </c>
      <c r="BA169" s="308">
        <f t="shared" si="176"/>
        <v>0</v>
      </c>
      <c r="BB169" s="308">
        <f t="shared" si="176"/>
        <v>0</v>
      </c>
      <c r="BC169" s="308">
        <f t="shared" si="176"/>
        <v>0</v>
      </c>
      <c r="BD169" s="308">
        <f t="shared" si="176"/>
        <v>0</v>
      </c>
      <c r="BE169" s="308">
        <f t="shared" si="176"/>
        <v>0</v>
      </c>
      <c r="BF169" s="308">
        <f t="shared" si="176"/>
        <v>0</v>
      </c>
      <c r="BG169" s="308">
        <f t="shared" si="176"/>
        <v>0</v>
      </c>
    </row>
    <row r="170" ht="12.75" customHeight="1" outlineLevel="1">
      <c r="A170" s="90"/>
      <c r="B170" s="195"/>
      <c r="C170" s="90" t="s">
        <v>702</v>
      </c>
      <c r="D170" s="90"/>
      <c r="E170" s="90"/>
      <c r="F170" s="90"/>
      <c r="G170" s="99">
        <f>'RSGen 1-7'!G170</f>
        <v>0</v>
      </c>
      <c r="H170" s="99">
        <f>'RSGen 1-7'!H170</f>
        <v>0</v>
      </c>
      <c r="I170" s="99">
        <f>'RSGen 1-7'!I170</f>
        <v>67000</v>
      </c>
      <c r="J170" s="99">
        <f>'RSGen 1-7'!J170</f>
        <v>83333.33333</v>
      </c>
      <c r="K170" s="99">
        <f>'RSGen 1-7'!K170</f>
        <v>83333.33333</v>
      </c>
      <c r="L170" s="99">
        <f>'RSGen 1-7'!L170</f>
        <v>83333.33333</v>
      </c>
      <c r="M170" s="99">
        <f>'RSGen 1-7'!M170</f>
        <v>83333.33333</v>
      </c>
      <c r="N170" s="99">
        <f>'RSGen 1-7'!N170</f>
        <v>83333.33333</v>
      </c>
      <c r="O170" s="99">
        <f>'RSGen 1-7'!O170</f>
        <v>83333.33333</v>
      </c>
      <c r="P170" s="99">
        <f>'RSGen 1-7'!P170</f>
        <v>83333.33333</v>
      </c>
      <c r="Q170" s="99">
        <f>'RSGen 1-7'!Q170</f>
        <v>83333.33333</v>
      </c>
      <c r="R170" s="99">
        <f>'RSGen 1-7'!R170</f>
        <v>83333.33333</v>
      </c>
      <c r="AT170" s="308">
        <f t="shared" ref="AT170:BG170" si="177">AS170*(1+AT$163)</f>
        <v>0</v>
      </c>
      <c r="AU170" s="308">
        <f t="shared" si="177"/>
        <v>0</v>
      </c>
      <c r="AV170" s="308">
        <f t="shared" si="177"/>
        <v>0</v>
      </c>
      <c r="AW170" s="308">
        <f t="shared" si="177"/>
        <v>0</v>
      </c>
      <c r="AX170" s="308">
        <f t="shared" si="177"/>
        <v>0</v>
      </c>
      <c r="AY170" s="308">
        <f t="shared" si="177"/>
        <v>0</v>
      </c>
      <c r="AZ170" s="308">
        <f t="shared" si="177"/>
        <v>0</v>
      </c>
      <c r="BA170" s="308">
        <f t="shared" si="177"/>
        <v>0</v>
      </c>
      <c r="BB170" s="308">
        <f t="shared" si="177"/>
        <v>0</v>
      </c>
      <c r="BC170" s="308">
        <f t="shared" si="177"/>
        <v>0</v>
      </c>
      <c r="BD170" s="308">
        <f t="shared" si="177"/>
        <v>0</v>
      </c>
      <c r="BE170" s="308">
        <f t="shared" si="177"/>
        <v>0</v>
      </c>
      <c r="BF170" s="308">
        <f t="shared" si="177"/>
        <v>0</v>
      </c>
      <c r="BG170" s="308">
        <f t="shared" si="177"/>
        <v>0</v>
      </c>
    </row>
    <row r="171" ht="12.75" customHeight="1" outlineLevel="1">
      <c r="A171" s="90"/>
      <c r="B171" s="195"/>
      <c r="C171" s="90" t="s">
        <v>723</v>
      </c>
      <c r="D171" s="90"/>
      <c r="E171" s="90"/>
      <c r="F171" s="90"/>
      <c r="G171" s="99" t="str">
        <f>'RSGen 1-7'!G171</f>
        <v/>
      </c>
      <c r="H171" s="99" t="str">
        <f>'RSGen 1-7'!H171</f>
        <v/>
      </c>
      <c r="I171" s="99" t="str">
        <f>'RSGen 1-7'!I171</f>
        <v/>
      </c>
      <c r="J171" s="99" t="str">
        <f>'RSGen 1-7'!J171</f>
        <v/>
      </c>
      <c r="K171" s="99" t="str">
        <f>'RSGen 1-7'!K171</f>
        <v/>
      </c>
      <c r="L171" s="99" t="str">
        <f>'RSGen 1-7'!L171</f>
        <v/>
      </c>
      <c r="M171" s="99" t="str">
        <f>'RSGen 1-7'!M171</f>
        <v/>
      </c>
      <c r="N171" s="99" t="str">
        <f>'RSGen 1-7'!N171</f>
        <v/>
      </c>
      <c r="O171" s="99" t="str">
        <f>'RSGen 1-7'!O171</f>
        <v/>
      </c>
      <c r="P171" s="99" t="str">
        <f>'RSGen 1-7'!P171</f>
        <v/>
      </c>
      <c r="Q171" s="99" t="str">
        <f>'RSGen 1-7'!Q171</f>
        <v/>
      </c>
      <c r="R171" s="99" t="str">
        <f>'RSGen 1-7'!R171</f>
        <v/>
      </c>
      <c r="AT171" s="308">
        <f t="shared" ref="AT171:BG171" si="178">AS171*(1+AT$163)</f>
        <v>0</v>
      </c>
      <c r="AU171" s="308">
        <f t="shared" si="178"/>
        <v>0</v>
      </c>
      <c r="AV171" s="308">
        <f t="shared" si="178"/>
        <v>0</v>
      </c>
      <c r="AW171" s="308">
        <f t="shared" si="178"/>
        <v>0</v>
      </c>
      <c r="AX171" s="308">
        <f t="shared" si="178"/>
        <v>0</v>
      </c>
      <c r="AY171" s="308">
        <f t="shared" si="178"/>
        <v>0</v>
      </c>
      <c r="AZ171" s="308">
        <f t="shared" si="178"/>
        <v>0</v>
      </c>
      <c r="BA171" s="308">
        <f t="shared" si="178"/>
        <v>0</v>
      </c>
      <c r="BB171" s="308">
        <f t="shared" si="178"/>
        <v>0</v>
      </c>
      <c r="BC171" s="308">
        <f t="shared" si="178"/>
        <v>0</v>
      </c>
      <c r="BD171" s="308">
        <f t="shared" si="178"/>
        <v>0</v>
      </c>
      <c r="BE171" s="308">
        <f t="shared" si="178"/>
        <v>0</v>
      </c>
      <c r="BF171" s="308">
        <f t="shared" si="178"/>
        <v>0</v>
      </c>
      <c r="BG171" s="308">
        <f t="shared" si="178"/>
        <v>0</v>
      </c>
    </row>
    <row r="172" ht="12.75" customHeight="1" outlineLevel="1">
      <c r="A172" s="90"/>
      <c r="B172" s="195"/>
      <c r="C172" s="90" t="s">
        <v>711</v>
      </c>
      <c r="D172" s="90"/>
      <c r="E172" s="90"/>
      <c r="F172" s="90"/>
      <c r="G172" s="99">
        <f>'RSGen 1-7'!G172</f>
        <v>0</v>
      </c>
      <c r="H172" s="99">
        <f>'RSGen 1-7'!H172</f>
        <v>48000</v>
      </c>
      <c r="I172" s="99">
        <f>'RSGen 1-7'!I172</f>
        <v>48000</v>
      </c>
      <c r="J172" s="99">
        <f>'RSGen 1-7'!J172</f>
        <v>48000</v>
      </c>
      <c r="K172" s="99">
        <f>'RSGen 1-7'!K172</f>
        <v>48000</v>
      </c>
      <c r="L172" s="99">
        <f>'RSGen 1-7'!L172</f>
        <v>48000</v>
      </c>
      <c r="M172" s="99">
        <f>'RSGen 1-7'!M172</f>
        <v>48000</v>
      </c>
      <c r="N172" s="99">
        <f>'RSGen 1-7'!N172</f>
        <v>48000</v>
      </c>
      <c r="O172" s="99">
        <f>'RSGen 1-7'!O172</f>
        <v>48000</v>
      </c>
      <c r="P172" s="99">
        <f>'RSGen 1-7'!P172</f>
        <v>48000</v>
      </c>
      <c r="Q172" s="99">
        <f>'RSGen 1-7'!Q172</f>
        <v>48000</v>
      </c>
      <c r="R172" s="99">
        <f>'RSGen 1-7'!R172</f>
        <v>48000</v>
      </c>
      <c r="AT172" s="308">
        <f t="shared" ref="AT172:BG172" si="179">AS172*(1+AT$163)</f>
        <v>0</v>
      </c>
      <c r="AU172" s="308">
        <f t="shared" si="179"/>
        <v>0</v>
      </c>
      <c r="AV172" s="308">
        <f t="shared" si="179"/>
        <v>0</v>
      </c>
      <c r="AW172" s="308">
        <f t="shared" si="179"/>
        <v>0</v>
      </c>
      <c r="AX172" s="308">
        <f t="shared" si="179"/>
        <v>0</v>
      </c>
      <c r="AY172" s="308">
        <f t="shared" si="179"/>
        <v>0</v>
      </c>
      <c r="AZ172" s="308">
        <f t="shared" si="179"/>
        <v>0</v>
      </c>
      <c r="BA172" s="308">
        <f t="shared" si="179"/>
        <v>0</v>
      </c>
      <c r="BB172" s="308">
        <f t="shared" si="179"/>
        <v>0</v>
      </c>
      <c r="BC172" s="308">
        <f t="shared" si="179"/>
        <v>0</v>
      </c>
      <c r="BD172" s="308">
        <f t="shared" si="179"/>
        <v>0</v>
      </c>
      <c r="BE172" s="308">
        <f t="shared" si="179"/>
        <v>0</v>
      </c>
      <c r="BF172" s="308">
        <f t="shared" si="179"/>
        <v>0</v>
      </c>
      <c r="BG172" s="308">
        <f t="shared" si="179"/>
        <v>0</v>
      </c>
    </row>
    <row r="173" ht="12.75" customHeight="1" outlineLevel="1">
      <c r="A173" s="90"/>
      <c r="B173" s="195"/>
      <c r="C173" s="90" t="s">
        <v>724</v>
      </c>
      <c r="D173" s="90"/>
      <c r="E173" s="90"/>
      <c r="F173" s="90"/>
      <c r="G173" s="99">
        <f>'RSGen 1-7'!G173</f>
        <v>0</v>
      </c>
      <c r="H173" s="99">
        <f>'RSGen 1-7'!H173</f>
        <v>0</v>
      </c>
      <c r="I173" s="99">
        <f>'RSGen 1-7'!I173</f>
        <v>25000</v>
      </c>
      <c r="J173" s="99">
        <f>'RSGen 1-7'!J173</f>
        <v>25000</v>
      </c>
      <c r="K173" s="99">
        <f>'RSGen 1-7'!K173</f>
        <v>25000</v>
      </c>
      <c r="L173" s="99">
        <f>'RSGen 1-7'!L173</f>
        <v>25000</v>
      </c>
      <c r="M173" s="99">
        <f>'RSGen 1-7'!M173</f>
        <v>25000</v>
      </c>
      <c r="N173" s="99">
        <f>'RSGen 1-7'!N173</f>
        <v>25000</v>
      </c>
      <c r="O173" s="99">
        <f>'RSGen 1-7'!O173</f>
        <v>25000</v>
      </c>
      <c r="P173" s="99">
        <f>'RSGen 1-7'!P173</f>
        <v>25000</v>
      </c>
      <c r="Q173" s="99">
        <f>'RSGen 1-7'!Q173</f>
        <v>25000</v>
      </c>
      <c r="R173" s="99">
        <f>'RSGen 1-7'!R173</f>
        <v>25000</v>
      </c>
      <c r="AT173" s="308">
        <f t="shared" ref="AT173:BG173" si="180">AS173*(1+AT$163)</f>
        <v>0</v>
      </c>
      <c r="AU173" s="308">
        <f t="shared" si="180"/>
        <v>0</v>
      </c>
      <c r="AV173" s="308">
        <f t="shared" si="180"/>
        <v>0</v>
      </c>
      <c r="AW173" s="308">
        <f t="shared" si="180"/>
        <v>0</v>
      </c>
      <c r="AX173" s="308">
        <f t="shared" si="180"/>
        <v>0</v>
      </c>
      <c r="AY173" s="308">
        <f t="shared" si="180"/>
        <v>0</v>
      </c>
      <c r="AZ173" s="308">
        <f t="shared" si="180"/>
        <v>0</v>
      </c>
      <c r="BA173" s="308">
        <f t="shared" si="180"/>
        <v>0</v>
      </c>
      <c r="BB173" s="308">
        <f t="shared" si="180"/>
        <v>0</v>
      </c>
      <c r="BC173" s="308">
        <f t="shared" si="180"/>
        <v>0</v>
      </c>
      <c r="BD173" s="308">
        <f t="shared" si="180"/>
        <v>0</v>
      </c>
      <c r="BE173" s="308">
        <f t="shared" si="180"/>
        <v>0</v>
      </c>
      <c r="BF173" s="308">
        <f t="shared" si="180"/>
        <v>0</v>
      </c>
      <c r="BG173" s="308">
        <f t="shared" si="180"/>
        <v>0</v>
      </c>
    </row>
    <row r="174" ht="12.75" customHeight="1" outlineLevel="1">
      <c r="A174" s="90"/>
      <c r="B174" s="195"/>
      <c r="C174" s="90" t="s">
        <v>713</v>
      </c>
      <c r="D174" s="90"/>
      <c r="E174" s="90"/>
      <c r="F174" s="90"/>
      <c r="G174" s="99">
        <f>'RSGen 1-7'!G174</f>
        <v>0</v>
      </c>
      <c r="H174" s="99">
        <f>'RSGen 1-7'!H174</f>
        <v>0</v>
      </c>
      <c r="I174" s="99">
        <f>'RSGen 1-7'!I174</f>
        <v>14400</v>
      </c>
      <c r="J174" s="99">
        <f>'RSGen 1-7'!J174</f>
        <v>14400</v>
      </c>
      <c r="K174" s="99">
        <f>'RSGen 1-7'!K174</f>
        <v>14400</v>
      </c>
      <c r="L174" s="99">
        <f>'RSGen 1-7'!L174</f>
        <v>14400</v>
      </c>
      <c r="M174" s="99">
        <f>'RSGen 1-7'!M174</f>
        <v>14400</v>
      </c>
      <c r="N174" s="99">
        <f>'RSGen 1-7'!N174</f>
        <v>14400</v>
      </c>
      <c r="O174" s="99">
        <f>'RSGen 1-7'!O174</f>
        <v>14400</v>
      </c>
      <c r="P174" s="99">
        <f>'RSGen 1-7'!P174</f>
        <v>14400</v>
      </c>
      <c r="Q174" s="99">
        <f>'RSGen 1-7'!Q174</f>
        <v>14400</v>
      </c>
      <c r="R174" s="99">
        <f>'RSGen 1-7'!R174</f>
        <v>14400</v>
      </c>
      <c r="AT174" s="308">
        <f t="shared" ref="AT174:BG174" si="181">AS174*(1+AT$163)</f>
        <v>0</v>
      </c>
      <c r="AU174" s="308">
        <f t="shared" si="181"/>
        <v>0</v>
      </c>
      <c r="AV174" s="308">
        <f t="shared" si="181"/>
        <v>0</v>
      </c>
      <c r="AW174" s="308">
        <f t="shared" si="181"/>
        <v>0</v>
      </c>
      <c r="AX174" s="308">
        <f t="shared" si="181"/>
        <v>0</v>
      </c>
      <c r="AY174" s="308">
        <f t="shared" si="181"/>
        <v>0</v>
      </c>
      <c r="AZ174" s="308">
        <f t="shared" si="181"/>
        <v>0</v>
      </c>
      <c r="BA174" s="308">
        <f t="shared" si="181"/>
        <v>0</v>
      </c>
      <c r="BB174" s="308">
        <f t="shared" si="181"/>
        <v>0</v>
      </c>
      <c r="BC174" s="308">
        <f t="shared" si="181"/>
        <v>0</v>
      </c>
      <c r="BD174" s="308">
        <f t="shared" si="181"/>
        <v>0</v>
      </c>
      <c r="BE174" s="308">
        <f t="shared" si="181"/>
        <v>0</v>
      </c>
      <c r="BF174" s="308">
        <f t="shared" si="181"/>
        <v>0</v>
      </c>
      <c r="BG174" s="308">
        <f t="shared" si="181"/>
        <v>0</v>
      </c>
    </row>
    <row r="175" ht="12.75" customHeight="1" outlineLevel="1">
      <c r="A175" s="90"/>
      <c r="B175" s="195"/>
      <c r="C175" s="90" t="s">
        <v>714</v>
      </c>
      <c r="D175" s="90"/>
      <c r="E175" s="90"/>
      <c r="F175" s="90"/>
      <c r="G175" s="99">
        <f>'RSGen 1-7'!G175</f>
        <v>0</v>
      </c>
      <c r="H175" s="99">
        <f>'RSGen 1-7'!H175</f>
        <v>0</v>
      </c>
      <c r="I175" s="99">
        <f>'RSGen 1-7'!I175</f>
        <v>14400</v>
      </c>
      <c r="J175" s="99">
        <f>'RSGen 1-7'!J175</f>
        <v>14400</v>
      </c>
      <c r="K175" s="99">
        <f>'RSGen 1-7'!K175</f>
        <v>14400</v>
      </c>
      <c r="L175" s="99">
        <f>'RSGen 1-7'!L175</f>
        <v>14400</v>
      </c>
      <c r="M175" s="99">
        <f>'RSGen 1-7'!M175</f>
        <v>14400</v>
      </c>
      <c r="N175" s="99">
        <f>'RSGen 1-7'!N175</f>
        <v>14400</v>
      </c>
      <c r="O175" s="99">
        <f>'RSGen 1-7'!O175</f>
        <v>14400</v>
      </c>
      <c r="P175" s="99">
        <f>'RSGen 1-7'!P175</f>
        <v>14400</v>
      </c>
      <c r="Q175" s="99">
        <f>'RSGen 1-7'!Q175</f>
        <v>14400</v>
      </c>
      <c r="R175" s="99">
        <f>'RSGen 1-7'!R175</f>
        <v>14400</v>
      </c>
      <c r="AT175" s="308">
        <f t="shared" ref="AT175:BG175" si="182">AS175*(1+AT$163)</f>
        <v>0</v>
      </c>
      <c r="AU175" s="308">
        <f t="shared" si="182"/>
        <v>0</v>
      </c>
      <c r="AV175" s="308">
        <f t="shared" si="182"/>
        <v>0</v>
      </c>
      <c r="AW175" s="308">
        <f t="shared" si="182"/>
        <v>0</v>
      </c>
      <c r="AX175" s="308">
        <f t="shared" si="182"/>
        <v>0</v>
      </c>
      <c r="AY175" s="308">
        <f t="shared" si="182"/>
        <v>0</v>
      </c>
      <c r="AZ175" s="308">
        <f t="shared" si="182"/>
        <v>0</v>
      </c>
      <c r="BA175" s="308">
        <f t="shared" si="182"/>
        <v>0</v>
      </c>
      <c r="BB175" s="308">
        <f t="shared" si="182"/>
        <v>0</v>
      </c>
      <c r="BC175" s="308">
        <f t="shared" si="182"/>
        <v>0</v>
      </c>
      <c r="BD175" s="308">
        <f t="shared" si="182"/>
        <v>0</v>
      </c>
      <c r="BE175" s="308">
        <f t="shared" si="182"/>
        <v>0</v>
      </c>
      <c r="BF175" s="308">
        <f t="shared" si="182"/>
        <v>0</v>
      </c>
      <c r="BG175" s="308">
        <f t="shared" si="182"/>
        <v>0</v>
      </c>
    </row>
    <row r="176" ht="12.75" customHeight="1" outlineLevel="1">
      <c r="A176" s="90"/>
      <c r="B176" s="195"/>
      <c r="C176" s="90"/>
      <c r="D176" s="90"/>
      <c r="E176" s="90"/>
      <c r="F176" s="90"/>
      <c r="G176" s="99"/>
      <c r="H176" s="99"/>
      <c r="I176" s="99"/>
      <c r="J176" s="99"/>
      <c r="K176" s="99"/>
      <c r="L176" s="99"/>
      <c r="M176" s="99"/>
      <c r="N176" s="99"/>
      <c r="O176" s="99"/>
      <c r="P176" s="99"/>
      <c r="Q176" s="99"/>
      <c r="R176" s="99"/>
      <c r="AT176" s="308"/>
      <c r="AU176" s="308"/>
      <c r="AV176" s="308"/>
      <c r="AW176" s="308"/>
      <c r="AX176" s="308"/>
      <c r="AY176" s="308"/>
      <c r="AZ176" s="308"/>
      <c r="BA176" s="308"/>
      <c r="BB176" s="308"/>
      <c r="BC176" s="308"/>
      <c r="BD176" s="308"/>
      <c r="BE176" s="308"/>
      <c r="BF176" s="308"/>
      <c r="BG176" s="308"/>
    </row>
    <row r="177" ht="12.75" customHeight="1" outlineLevel="1">
      <c r="A177" s="90"/>
      <c r="B177" s="67" t="s">
        <v>725</v>
      </c>
      <c r="C177" s="90"/>
      <c r="D177" s="90"/>
      <c r="E177" s="90"/>
      <c r="F177" s="90"/>
      <c r="G177" s="99"/>
      <c r="H177" s="99"/>
      <c r="I177" s="99"/>
      <c r="J177" s="99"/>
      <c r="K177" s="99"/>
      <c r="L177" s="99"/>
      <c r="M177" s="99"/>
      <c r="N177" s="99"/>
      <c r="O177" s="99"/>
      <c r="P177" s="99"/>
      <c r="Q177" s="99"/>
      <c r="R177" s="99"/>
      <c r="AT177" s="308"/>
      <c r="AU177" s="308"/>
      <c r="AV177" s="308"/>
      <c r="AW177" s="308"/>
      <c r="AX177" s="308"/>
      <c r="AY177" s="308"/>
      <c r="AZ177" s="308"/>
      <c r="BA177" s="308"/>
      <c r="BB177" s="308"/>
      <c r="BC177" s="308"/>
      <c r="BD177" s="308"/>
      <c r="BE177" s="308"/>
      <c r="BF177" s="308"/>
      <c r="BG177" s="308"/>
    </row>
    <row r="178" ht="12.75" customHeight="1" outlineLevel="1">
      <c r="A178" s="90"/>
      <c r="B178" s="195"/>
      <c r="C178" s="90" t="s">
        <v>726</v>
      </c>
      <c r="D178" s="90"/>
      <c r="E178" s="90"/>
      <c r="F178" s="90"/>
      <c r="G178" s="152" t="str">
        <f>'RS3'!J177</f>
        <v/>
      </c>
      <c r="H178" s="152">
        <f>'RS3'!K177</f>
        <v>0.1</v>
      </c>
      <c r="I178" s="152">
        <f>'RS3'!L177</f>
        <v>0.1</v>
      </c>
      <c r="J178" s="152">
        <f>'RS3'!M177</f>
        <v>0.1</v>
      </c>
      <c r="K178" s="152">
        <f>'RS3'!N177</f>
        <v>0.1</v>
      </c>
      <c r="L178" s="152">
        <f>'RS3'!O177</f>
        <v>0.1</v>
      </c>
      <c r="M178" s="152">
        <f>'RS3'!P177</f>
        <v>0.1</v>
      </c>
      <c r="N178" s="152">
        <f>'RS3'!Q177</f>
        <v>0.1</v>
      </c>
      <c r="O178" s="152">
        <f>'RS3'!R177</f>
        <v>0.1</v>
      </c>
      <c r="P178" s="152">
        <f>'RS3'!S177</f>
        <v>0.1</v>
      </c>
      <c r="Q178" s="152">
        <f>'RS3'!T177</f>
        <v>0.1</v>
      </c>
      <c r="R178" s="152">
        <f>'RS3'!U177</f>
        <v>0.1</v>
      </c>
      <c r="AT178" s="352" t="str">
        <f t="shared" ref="AT178:BG178" si="183">AS178</f>
        <v/>
      </c>
      <c r="AU178" s="352" t="str">
        <f t="shared" si="183"/>
        <v/>
      </c>
      <c r="AV178" s="352" t="str">
        <f t="shared" si="183"/>
        <v/>
      </c>
      <c r="AW178" s="352" t="str">
        <f t="shared" si="183"/>
        <v/>
      </c>
      <c r="AX178" s="352" t="str">
        <f t="shared" si="183"/>
        <v/>
      </c>
      <c r="AY178" s="352" t="str">
        <f t="shared" si="183"/>
        <v/>
      </c>
      <c r="AZ178" s="352" t="str">
        <f t="shared" si="183"/>
        <v/>
      </c>
      <c r="BA178" s="352" t="str">
        <f t="shared" si="183"/>
        <v/>
      </c>
      <c r="BB178" s="352" t="str">
        <f t="shared" si="183"/>
        <v/>
      </c>
      <c r="BC178" s="352" t="str">
        <f t="shared" si="183"/>
        <v/>
      </c>
      <c r="BD178" s="352" t="str">
        <f t="shared" si="183"/>
        <v/>
      </c>
      <c r="BE178" s="352" t="str">
        <f t="shared" si="183"/>
        <v/>
      </c>
      <c r="BF178" s="352" t="str">
        <f t="shared" si="183"/>
        <v/>
      </c>
      <c r="BG178" s="352" t="str">
        <f t="shared" si="183"/>
        <v/>
      </c>
    </row>
    <row r="179" ht="12.75" customHeight="1" outlineLevel="1">
      <c r="A179" s="90"/>
      <c r="B179" s="195"/>
      <c r="C179" s="90" t="s">
        <v>727</v>
      </c>
      <c r="D179" s="90"/>
      <c r="E179" s="90"/>
      <c r="F179" s="90"/>
      <c r="G179" s="152" t="str">
        <f>'RS3'!J178</f>
        <v/>
      </c>
      <c r="H179" s="152">
        <v>1.0</v>
      </c>
      <c r="I179" s="152">
        <v>1.0</v>
      </c>
      <c r="J179" s="152">
        <v>1.0</v>
      </c>
      <c r="K179" s="152">
        <v>1.0</v>
      </c>
      <c r="L179" s="152">
        <v>1.0</v>
      </c>
      <c r="M179" s="152">
        <v>1.0</v>
      </c>
      <c r="N179" s="152">
        <v>1.0</v>
      </c>
      <c r="O179" s="152">
        <v>1.0</v>
      </c>
      <c r="P179" s="152">
        <v>1.0</v>
      </c>
      <c r="Q179" s="152">
        <v>1.0</v>
      </c>
      <c r="R179" s="152">
        <v>1.0</v>
      </c>
      <c r="AT179" s="352" t="str">
        <f t="shared" ref="AT179:BG179" si="184">AS179</f>
        <v/>
      </c>
      <c r="AU179" s="352" t="str">
        <f t="shared" si="184"/>
        <v/>
      </c>
      <c r="AV179" s="352" t="str">
        <f t="shared" si="184"/>
        <v/>
      </c>
      <c r="AW179" s="352" t="str">
        <f t="shared" si="184"/>
        <v/>
      </c>
      <c r="AX179" s="352" t="str">
        <f t="shared" si="184"/>
        <v/>
      </c>
      <c r="AY179" s="352" t="str">
        <f t="shared" si="184"/>
        <v/>
      </c>
      <c r="AZ179" s="352" t="str">
        <f t="shared" si="184"/>
        <v/>
      </c>
      <c r="BA179" s="352" t="str">
        <f t="shared" si="184"/>
        <v/>
      </c>
      <c r="BB179" s="352" t="str">
        <f t="shared" si="184"/>
        <v/>
      </c>
      <c r="BC179" s="352" t="str">
        <f t="shared" si="184"/>
        <v/>
      </c>
      <c r="BD179" s="352" t="str">
        <f t="shared" si="184"/>
        <v/>
      </c>
      <c r="BE179" s="352" t="str">
        <f t="shared" si="184"/>
        <v/>
      </c>
      <c r="BF179" s="352" t="str">
        <f t="shared" si="184"/>
        <v/>
      </c>
      <c r="BG179" s="352" t="str">
        <f t="shared" si="184"/>
        <v/>
      </c>
    </row>
    <row r="180" ht="12.75" customHeight="1" outlineLevel="1">
      <c r="A180" s="353"/>
      <c r="B180" s="372"/>
      <c r="C180" s="353" t="s">
        <v>728</v>
      </c>
      <c r="D180" s="353"/>
      <c r="E180" s="353"/>
      <c r="F180" s="353"/>
      <c r="G180" s="99" t="str">
        <f>'RS3'!J179</f>
        <v/>
      </c>
      <c r="H180" s="99">
        <f t="shared" ref="H180:R180" si="185">(H170+H165)*0.1</f>
        <v>7083.333333</v>
      </c>
      <c r="I180" s="99">
        <f t="shared" si="185"/>
        <v>15033.33333</v>
      </c>
      <c r="J180" s="99">
        <f t="shared" si="185"/>
        <v>18333.33333</v>
      </c>
      <c r="K180" s="99">
        <f t="shared" si="185"/>
        <v>18333.33333</v>
      </c>
      <c r="L180" s="99">
        <f t="shared" si="185"/>
        <v>18333.33333</v>
      </c>
      <c r="M180" s="99">
        <f t="shared" si="185"/>
        <v>18333.33333</v>
      </c>
      <c r="N180" s="99">
        <f t="shared" si="185"/>
        <v>18333.33333</v>
      </c>
      <c r="O180" s="99">
        <f t="shared" si="185"/>
        <v>18333.33333</v>
      </c>
      <c r="P180" s="99">
        <f t="shared" si="185"/>
        <v>18333.33333</v>
      </c>
      <c r="Q180" s="99">
        <f t="shared" si="185"/>
        <v>18333.33333</v>
      </c>
      <c r="R180" s="99">
        <f t="shared" si="185"/>
        <v>18333.33333</v>
      </c>
      <c r="AT180" s="308" t="str">
        <f t="shared" ref="AT180:BG180" si="186">AS180</f>
        <v/>
      </c>
      <c r="AU180" s="308" t="str">
        <f t="shared" si="186"/>
        <v/>
      </c>
      <c r="AV180" s="308" t="str">
        <f t="shared" si="186"/>
        <v/>
      </c>
      <c r="AW180" s="308" t="str">
        <f t="shared" si="186"/>
        <v/>
      </c>
      <c r="AX180" s="308" t="str">
        <f t="shared" si="186"/>
        <v/>
      </c>
      <c r="AY180" s="308" t="str">
        <f t="shared" si="186"/>
        <v/>
      </c>
      <c r="AZ180" s="308" t="str">
        <f t="shared" si="186"/>
        <v/>
      </c>
      <c r="BA180" s="308" t="str">
        <f t="shared" si="186"/>
        <v/>
      </c>
      <c r="BB180" s="308" t="str">
        <f t="shared" si="186"/>
        <v/>
      </c>
      <c r="BC180" s="308" t="str">
        <f t="shared" si="186"/>
        <v/>
      </c>
      <c r="BD180" s="308" t="str">
        <f t="shared" si="186"/>
        <v/>
      </c>
      <c r="BE180" s="308" t="str">
        <f t="shared" si="186"/>
        <v/>
      </c>
      <c r="BF180" s="308" t="str">
        <f t="shared" si="186"/>
        <v/>
      </c>
      <c r="BG180" s="308" t="str">
        <f t="shared" si="186"/>
        <v/>
      </c>
    </row>
    <row r="181" ht="12.75" customHeight="1" outlineLevel="1">
      <c r="A181" s="353"/>
      <c r="B181" s="372"/>
      <c r="C181" s="353"/>
      <c r="D181" s="353"/>
      <c r="E181" s="353"/>
      <c r="F181" s="353"/>
      <c r="G181" s="99"/>
      <c r="H181" s="99"/>
      <c r="I181" s="99"/>
      <c r="J181" s="99"/>
      <c r="K181" s="99"/>
      <c r="L181" s="99"/>
      <c r="M181" s="99"/>
      <c r="N181" s="99"/>
      <c r="O181" s="99"/>
      <c r="P181" s="99"/>
      <c r="Q181" s="99"/>
      <c r="R181" s="99"/>
      <c r="AT181" s="308"/>
      <c r="AU181" s="308"/>
      <c r="AV181" s="308"/>
      <c r="AW181" s="308"/>
      <c r="AX181" s="308"/>
      <c r="AY181" s="308"/>
      <c r="AZ181" s="308"/>
      <c r="BA181" s="308"/>
      <c r="BB181" s="308"/>
      <c r="BC181" s="308"/>
      <c r="BD181" s="308"/>
      <c r="BE181" s="308"/>
      <c r="BF181" s="308"/>
      <c r="BG181" s="308"/>
    </row>
    <row r="182" ht="12.75" customHeight="1" outlineLevel="1">
      <c r="A182" s="90"/>
      <c r="B182" s="67" t="s">
        <v>133</v>
      </c>
      <c r="C182" s="67"/>
      <c r="D182" s="67"/>
      <c r="E182" s="67"/>
      <c r="F182" s="67"/>
      <c r="G182" s="90"/>
      <c r="H182" s="90"/>
      <c r="I182" s="90"/>
      <c r="J182" s="90"/>
      <c r="K182" s="90"/>
      <c r="L182" s="90"/>
      <c r="M182" s="90"/>
      <c r="N182" s="90"/>
      <c r="O182" s="90"/>
      <c r="P182" s="90"/>
      <c r="Q182" s="90"/>
      <c r="R182" s="90"/>
      <c r="AT182" s="313"/>
      <c r="AU182" s="313"/>
      <c r="AV182" s="313"/>
      <c r="AW182" s="313"/>
      <c r="AX182" s="313"/>
      <c r="AY182" s="313"/>
      <c r="AZ182" s="313"/>
      <c r="BA182" s="313"/>
      <c r="BB182" s="313"/>
      <c r="BC182" s="313"/>
      <c r="BD182" s="313"/>
      <c r="BE182" s="313"/>
      <c r="BF182" s="313"/>
      <c r="BG182" s="313"/>
    </row>
    <row r="183" ht="12.75" customHeight="1" outlineLevel="1">
      <c r="A183" s="90"/>
      <c r="B183" s="90"/>
      <c r="C183" s="90" t="s">
        <v>577</v>
      </c>
      <c r="D183" s="90"/>
      <c r="E183" s="90"/>
      <c r="F183" s="90"/>
      <c r="G183" s="152">
        <v>0.0</v>
      </c>
      <c r="H183" s="152"/>
      <c r="I183" s="152"/>
      <c r="J183" s="152"/>
      <c r="K183" s="152"/>
      <c r="L183" s="152"/>
      <c r="M183" s="152"/>
      <c r="N183" s="152"/>
      <c r="O183" s="152"/>
      <c r="P183" s="152"/>
      <c r="Q183" s="152"/>
      <c r="R183" s="152"/>
      <c r="AT183" s="352" t="str">
        <f t="shared" ref="AT183:BG183" si="187">AS183</f>
        <v/>
      </c>
      <c r="AU183" s="352" t="str">
        <f t="shared" si="187"/>
        <v/>
      </c>
      <c r="AV183" s="352" t="str">
        <f t="shared" si="187"/>
        <v/>
      </c>
      <c r="AW183" s="352" t="str">
        <f t="shared" si="187"/>
        <v/>
      </c>
      <c r="AX183" s="352" t="str">
        <f t="shared" si="187"/>
        <v/>
      </c>
      <c r="AY183" s="352" t="str">
        <f t="shared" si="187"/>
        <v/>
      </c>
      <c r="AZ183" s="352" t="str">
        <f t="shared" si="187"/>
        <v/>
      </c>
      <c r="BA183" s="352" t="str">
        <f t="shared" si="187"/>
        <v/>
      </c>
      <c r="BB183" s="352" t="str">
        <f t="shared" si="187"/>
        <v/>
      </c>
      <c r="BC183" s="352" t="str">
        <f t="shared" si="187"/>
        <v/>
      </c>
      <c r="BD183" s="352" t="str">
        <f t="shared" si="187"/>
        <v/>
      </c>
      <c r="BE183" s="352" t="str">
        <f t="shared" si="187"/>
        <v/>
      </c>
      <c r="BF183" s="352" t="str">
        <f t="shared" si="187"/>
        <v/>
      </c>
      <c r="BG183" s="352" t="str">
        <f t="shared" si="187"/>
        <v/>
      </c>
    </row>
    <row r="184" ht="12.75" customHeight="1" outlineLevel="1">
      <c r="A184" s="90"/>
      <c r="B184" s="195"/>
      <c r="C184" s="90" t="s">
        <v>729</v>
      </c>
      <c r="D184" s="90"/>
      <c r="E184" s="90"/>
      <c r="F184" s="90"/>
      <c r="G184" s="99" t="str">
        <f>'RS3'!J183</f>
        <v/>
      </c>
      <c r="H184" s="99">
        <f t="shared" ref="H184:R184" si="188">600*12</f>
        <v>7200</v>
      </c>
      <c r="I184" s="99">
        <f t="shared" si="188"/>
        <v>7200</v>
      </c>
      <c r="J184" s="99">
        <f t="shared" si="188"/>
        <v>7200</v>
      </c>
      <c r="K184" s="99">
        <f t="shared" si="188"/>
        <v>7200</v>
      </c>
      <c r="L184" s="99">
        <f t="shared" si="188"/>
        <v>7200</v>
      </c>
      <c r="M184" s="99">
        <f t="shared" si="188"/>
        <v>7200</v>
      </c>
      <c r="N184" s="99">
        <f t="shared" si="188"/>
        <v>7200</v>
      </c>
      <c r="O184" s="99">
        <f t="shared" si="188"/>
        <v>7200</v>
      </c>
      <c r="P184" s="99">
        <f t="shared" si="188"/>
        <v>7200</v>
      </c>
      <c r="Q184" s="99">
        <f t="shared" si="188"/>
        <v>7200</v>
      </c>
      <c r="R184" s="99">
        <f t="shared" si="188"/>
        <v>7200</v>
      </c>
      <c r="AT184" s="308" t="str">
        <f t="shared" ref="AT184:BG184" si="189">AS184</f>
        <v/>
      </c>
      <c r="AU184" s="308" t="str">
        <f t="shared" si="189"/>
        <v/>
      </c>
      <c r="AV184" s="308" t="str">
        <f t="shared" si="189"/>
        <v/>
      </c>
      <c r="AW184" s="308" t="str">
        <f t="shared" si="189"/>
        <v/>
      </c>
      <c r="AX184" s="308" t="str">
        <f t="shared" si="189"/>
        <v/>
      </c>
      <c r="AY184" s="308" t="str">
        <f t="shared" si="189"/>
        <v/>
      </c>
      <c r="AZ184" s="308" t="str">
        <f t="shared" si="189"/>
        <v/>
      </c>
      <c r="BA184" s="308" t="str">
        <f t="shared" si="189"/>
        <v/>
      </c>
      <c r="BB184" s="308" t="str">
        <f t="shared" si="189"/>
        <v/>
      </c>
      <c r="BC184" s="308" t="str">
        <f t="shared" si="189"/>
        <v/>
      </c>
      <c r="BD184" s="308" t="str">
        <f t="shared" si="189"/>
        <v/>
      </c>
      <c r="BE184" s="308" t="str">
        <f t="shared" si="189"/>
        <v/>
      </c>
      <c r="BF184" s="308" t="str">
        <f t="shared" si="189"/>
        <v/>
      </c>
      <c r="BG184" s="308" t="str">
        <f t="shared" si="189"/>
        <v/>
      </c>
    </row>
    <row r="185" ht="12.75" customHeight="1" outlineLevel="1">
      <c r="A185" s="90"/>
      <c r="B185" s="195"/>
      <c r="C185" s="90" t="s">
        <v>730</v>
      </c>
      <c r="D185" s="90"/>
      <c r="E185" s="90"/>
      <c r="F185" s="90"/>
      <c r="G185" s="102">
        <f>ROUNDDOWN(G159,0)</f>
        <v>0</v>
      </c>
      <c r="H185" s="373">
        <f t="shared" ref="H185:R185" si="190">H142+H148+H151+H152</f>
        <v>1.5</v>
      </c>
      <c r="I185" s="102">
        <f t="shared" si="190"/>
        <v>14</v>
      </c>
      <c r="J185" s="102">
        <f t="shared" si="190"/>
        <v>14</v>
      </c>
      <c r="K185" s="102">
        <f t="shared" si="190"/>
        <v>15</v>
      </c>
      <c r="L185" s="102">
        <f t="shared" si="190"/>
        <v>15</v>
      </c>
      <c r="M185" s="102">
        <f t="shared" si="190"/>
        <v>15</v>
      </c>
      <c r="N185" s="102">
        <f t="shared" si="190"/>
        <v>15</v>
      </c>
      <c r="O185" s="102">
        <f t="shared" si="190"/>
        <v>15</v>
      </c>
      <c r="P185" s="102">
        <f t="shared" si="190"/>
        <v>15</v>
      </c>
      <c r="Q185" s="102">
        <f t="shared" si="190"/>
        <v>15</v>
      </c>
      <c r="R185" s="102">
        <f t="shared" si="190"/>
        <v>15</v>
      </c>
      <c r="AT185" s="306" t="str">
        <f t="shared" ref="AT185:BG185" si="191">AS185</f>
        <v/>
      </c>
      <c r="AU185" s="306" t="str">
        <f t="shared" si="191"/>
        <v/>
      </c>
      <c r="AV185" s="306" t="str">
        <f t="shared" si="191"/>
        <v/>
      </c>
      <c r="AW185" s="306" t="str">
        <f t="shared" si="191"/>
        <v/>
      </c>
      <c r="AX185" s="306" t="str">
        <f t="shared" si="191"/>
        <v/>
      </c>
      <c r="AY185" s="306" t="str">
        <f t="shared" si="191"/>
        <v/>
      </c>
      <c r="AZ185" s="306" t="str">
        <f t="shared" si="191"/>
        <v/>
      </c>
      <c r="BA185" s="306" t="str">
        <f t="shared" si="191"/>
        <v/>
      </c>
      <c r="BB185" s="306" t="str">
        <f t="shared" si="191"/>
        <v/>
      </c>
      <c r="BC185" s="306" t="str">
        <f t="shared" si="191"/>
        <v/>
      </c>
      <c r="BD185" s="306" t="str">
        <f t="shared" si="191"/>
        <v/>
      </c>
      <c r="BE185" s="306" t="str">
        <f t="shared" si="191"/>
        <v/>
      </c>
      <c r="BF185" s="306" t="str">
        <f t="shared" si="191"/>
        <v/>
      </c>
      <c r="BG185" s="306" t="str">
        <f t="shared" si="191"/>
        <v/>
      </c>
    </row>
    <row r="186" ht="12.75" customHeight="1" outlineLevel="1">
      <c r="A186" s="90"/>
      <c r="B186" s="195"/>
      <c r="C186" s="90" t="s">
        <v>731</v>
      </c>
      <c r="D186" s="90"/>
      <c r="E186" s="90"/>
      <c r="F186" s="90"/>
      <c r="G186" s="89" t="str">
        <f>'RSGen 1-7'!G186</f>
        <v/>
      </c>
      <c r="H186" s="89">
        <f>'RSGen 1-7'!H186</f>
        <v>0.016</v>
      </c>
      <c r="I186" s="89">
        <f>'RSGen 1-7'!I186</f>
        <v>0.016</v>
      </c>
      <c r="J186" s="89">
        <f>'RSGen 1-7'!J186</f>
        <v>0.016</v>
      </c>
      <c r="K186" s="89">
        <f>'RSGen 1-7'!K186</f>
        <v>0.016</v>
      </c>
      <c r="L186" s="89">
        <f>'RSGen 1-7'!L186</f>
        <v>0.016</v>
      </c>
      <c r="M186" s="89">
        <f>'RSGen 1-7'!M186</f>
        <v>0.016</v>
      </c>
      <c r="N186" s="89">
        <f>'RSGen 1-7'!N186</f>
        <v>0.016</v>
      </c>
      <c r="O186" s="89">
        <f>'RSGen 1-7'!O186</f>
        <v>0.016</v>
      </c>
      <c r="P186" s="89">
        <f>'RSGen 1-7'!P186</f>
        <v>0.016</v>
      </c>
      <c r="Q186" s="89">
        <f>'RSGen 1-7'!Q186</f>
        <v>0.016</v>
      </c>
      <c r="R186" s="89">
        <f>'RSGen 1-7'!R186</f>
        <v>0.016</v>
      </c>
      <c r="AT186" s="305" t="str">
        <f t="shared" ref="AT186:BG186" si="192">AS186</f>
        <v/>
      </c>
      <c r="AU186" s="305" t="str">
        <f t="shared" si="192"/>
        <v/>
      </c>
      <c r="AV186" s="305" t="str">
        <f t="shared" si="192"/>
        <v/>
      </c>
      <c r="AW186" s="305" t="str">
        <f t="shared" si="192"/>
        <v/>
      </c>
      <c r="AX186" s="305" t="str">
        <f t="shared" si="192"/>
        <v/>
      </c>
      <c r="AY186" s="305" t="str">
        <f t="shared" si="192"/>
        <v/>
      </c>
      <c r="AZ186" s="305" t="str">
        <f t="shared" si="192"/>
        <v/>
      </c>
      <c r="BA186" s="305" t="str">
        <f t="shared" si="192"/>
        <v/>
      </c>
      <c r="BB186" s="305" t="str">
        <f t="shared" si="192"/>
        <v/>
      </c>
      <c r="BC186" s="305" t="str">
        <f t="shared" si="192"/>
        <v/>
      </c>
      <c r="BD186" s="305" t="str">
        <f t="shared" si="192"/>
        <v/>
      </c>
      <c r="BE186" s="305" t="str">
        <f t="shared" si="192"/>
        <v/>
      </c>
      <c r="BF186" s="305" t="str">
        <f t="shared" si="192"/>
        <v/>
      </c>
      <c r="BG186" s="305" t="str">
        <f t="shared" si="192"/>
        <v/>
      </c>
    </row>
    <row r="187" ht="12.75" customHeight="1" outlineLevel="1">
      <c r="A187" s="90"/>
      <c r="B187" s="195"/>
      <c r="C187" s="90" t="s">
        <v>732</v>
      </c>
      <c r="D187" s="90"/>
      <c r="E187" s="90"/>
      <c r="F187" s="90"/>
      <c r="G187" s="89">
        <f>'RSGen 1-7'!G187</f>
        <v>0</v>
      </c>
      <c r="H187" s="89">
        <f>'RSGen 1-7'!H187</f>
        <v>0.011</v>
      </c>
      <c r="I187" s="89">
        <f>'RSGen 1-7'!I187</f>
        <v>0.011</v>
      </c>
      <c r="J187" s="89">
        <f>'RSGen 1-7'!J187</f>
        <v>0.011</v>
      </c>
      <c r="K187" s="89">
        <f>'RSGen 1-7'!K187</f>
        <v>0.011</v>
      </c>
      <c r="L187" s="89">
        <f>'RSGen 1-7'!L187</f>
        <v>0.011</v>
      </c>
      <c r="M187" s="89">
        <f>'RSGen 1-7'!M187</f>
        <v>0.011</v>
      </c>
      <c r="N187" s="89">
        <f>'RSGen 1-7'!N187</f>
        <v>0.011</v>
      </c>
      <c r="O187" s="89">
        <f>'RSGen 1-7'!O187</f>
        <v>0.011</v>
      </c>
      <c r="P187" s="89">
        <f>'RSGen 1-7'!P187</f>
        <v>0.011</v>
      </c>
      <c r="Q187" s="89">
        <f>'RSGen 1-7'!Q187</f>
        <v>0.011</v>
      </c>
      <c r="R187" s="89">
        <f>'RSGen 1-7'!R187</f>
        <v>0.011</v>
      </c>
      <c r="AT187" s="305" t="str">
        <f t="shared" ref="AT187:BG187" si="193">AS187</f>
        <v/>
      </c>
      <c r="AU187" s="305" t="str">
        <f t="shared" si="193"/>
        <v/>
      </c>
      <c r="AV187" s="305" t="str">
        <f t="shared" si="193"/>
        <v/>
      </c>
      <c r="AW187" s="305" t="str">
        <f t="shared" si="193"/>
        <v/>
      </c>
      <c r="AX187" s="305" t="str">
        <f t="shared" si="193"/>
        <v/>
      </c>
      <c r="AY187" s="305" t="str">
        <f t="shared" si="193"/>
        <v/>
      </c>
      <c r="AZ187" s="305" t="str">
        <f t="shared" si="193"/>
        <v/>
      </c>
      <c r="BA187" s="305" t="str">
        <f t="shared" si="193"/>
        <v/>
      </c>
      <c r="BB187" s="305" t="str">
        <f t="shared" si="193"/>
        <v/>
      </c>
      <c r="BC187" s="305" t="str">
        <f t="shared" si="193"/>
        <v/>
      </c>
      <c r="BD187" s="305" t="str">
        <f t="shared" si="193"/>
        <v/>
      </c>
      <c r="BE187" s="305" t="str">
        <f t="shared" si="193"/>
        <v/>
      </c>
      <c r="BF187" s="305" t="str">
        <f t="shared" si="193"/>
        <v/>
      </c>
      <c r="BG187" s="305" t="str">
        <f t="shared" si="193"/>
        <v/>
      </c>
    </row>
    <row r="188" ht="12.75" customHeight="1" outlineLevel="1">
      <c r="A188" s="90"/>
      <c r="B188" s="195"/>
      <c r="C188" s="90" t="s">
        <v>733</v>
      </c>
      <c r="D188" s="90"/>
      <c r="E188" s="90"/>
      <c r="F188" s="90"/>
      <c r="G188" s="89">
        <f>'RSGen 1-7'!G188</f>
        <v>0</v>
      </c>
      <c r="H188" s="89">
        <f>'RSGen 1-7'!H188</f>
        <v>0.0145</v>
      </c>
      <c r="I188" s="89">
        <f>'RSGen 1-7'!I188</f>
        <v>0.0145</v>
      </c>
      <c r="J188" s="89">
        <f>'RSGen 1-7'!J188</f>
        <v>0.0145</v>
      </c>
      <c r="K188" s="89">
        <f>'RSGen 1-7'!K188</f>
        <v>0.0145</v>
      </c>
      <c r="L188" s="89">
        <f>'RSGen 1-7'!L188</f>
        <v>0.0145</v>
      </c>
      <c r="M188" s="89">
        <f>'RSGen 1-7'!M188</f>
        <v>0.0145</v>
      </c>
      <c r="N188" s="89">
        <f>'RSGen 1-7'!N188</f>
        <v>0.0145</v>
      </c>
      <c r="O188" s="89">
        <f>'RSGen 1-7'!O188</f>
        <v>0.0145</v>
      </c>
      <c r="P188" s="89">
        <f>'RSGen 1-7'!P188</f>
        <v>0.0145</v>
      </c>
      <c r="Q188" s="89">
        <f>'RSGen 1-7'!Q188</f>
        <v>0.0145</v>
      </c>
      <c r="R188" s="89">
        <f>'RSGen 1-7'!R188</f>
        <v>0.0145</v>
      </c>
      <c r="AT188" s="305" t="str">
        <f t="shared" ref="AT188:BG188" si="194">AS188</f>
        <v/>
      </c>
      <c r="AU188" s="305" t="str">
        <f t="shared" si="194"/>
        <v/>
      </c>
      <c r="AV188" s="305" t="str">
        <f t="shared" si="194"/>
        <v/>
      </c>
      <c r="AW188" s="305" t="str">
        <f t="shared" si="194"/>
        <v/>
      </c>
      <c r="AX188" s="305" t="str">
        <f t="shared" si="194"/>
        <v/>
      </c>
      <c r="AY188" s="305" t="str">
        <f t="shared" si="194"/>
        <v/>
      </c>
      <c r="AZ188" s="305" t="str">
        <f t="shared" si="194"/>
        <v/>
      </c>
      <c r="BA188" s="305" t="str">
        <f t="shared" si="194"/>
        <v/>
      </c>
      <c r="BB188" s="305" t="str">
        <f t="shared" si="194"/>
        <v/>
      </c>
      <c r="BC188" s="305" t="str">
        <f t="shared" si="194"/>
        <v/>
      </c>
      <c r="BD188" s="305" t="str">
        <f t="shared" si="194"/>
        <v/>
      </c>
      <c r="BE188" s="305" t="str">
        <f t="shared" si="194"/>
        <v/>
      </c>
      <c r="BF188" s="305" t="str">
        <f t="shared" si="194"/>
        <v/>
      </c>
      <c r="BG188" s="305" t="str">
        <f t="shared" si="194"/>
        <v/>
      </c>
    </row>
    <row r="189" ht="12.75" customHeight="1" outlineLevel="1">
      <c r="A189" s="230"/>
      <c r="B189" s="374"/>
      <c r="C189" s="90" t="s">
        <v>734</v>
      </c>
      <c r="D189" s="230"/>
      <c r="E189" s="230"/>
      <c r="F189" s="230"/>
      <c r="G189" s="89">
        <f>'RSGen 1-7'!G189</f>
        <v>0</v>
      </c>
      <c r="H189" s="89">
        <f>'RSGen 1-7'!H189</f>
        <v>0.0825</v>
      </c>
      <c r="I189" s="89">
        <f>'RSGen 1-7'!I189</f>
        <v>0.0825</v>
      </c>
      <c r="J189" s="89">
        <f>'RSGen 1-7'!J189</f>
        <v>0.0825</v>
      </c>
      <c r="K189" s="89">
        <f>'RSGen 1-7'!K189</f>
        <v>0.0825</v>
      </c>
      <c r="L189" s="89">
        <f>'RSGen 1-7'!L189</f>
        <v>0.0825</v>
      </c>
      <c r="M189" s="89">
        <f>'RSGen 1-7'!M189</f>
        <v>0.0825</v>
      </c>
      <c r="N189" s="89">
        <f>'RSGen 1-7'!N189</f>
        <v>0.0825</v>
      </c>
      <c r="O189" s="89">
        <f>'RSGen 1-7'!O189</f>
        <v>0.0825</v>
      </c>
      <c r="P189" s="89">
        <f>'RSGen 1-7'!P189</f>
        <v>0.0825</v>
      </c>
      <c r="Q189" s="89">
        <f>'RSGen 1-7'!Q189</f>
        <v>0.0825</v>
      </c>
      <c r="R189" s="89">
        <f>'RSGen 1-7'!R189</f>
        <v>0.0825</v>
      </c>
      <c r="AT189" s="305" t="str">
        <f t="shared" ref="AT189:BG189" si="195">AS189</f>
        <v/>
      </c>
      <c r="AU189" s="305" t="str">
        <f t="shared" si="195"/>
        <v/>
      </c>
      <c r="AV189" s="305" t="str">
        <f t="shared" si="195"/>
        <v/>
      </c>
      <c r="AW189" s="305" t="str">
        <f t="shared" si="195"/>
        <v/>
      </c>
      <c r="AX189" s="305" t="str">
        <f t="shared" si="195"/>
        <v/>
      </c>
      <c r="AY189" s="305" t="str">
        <f t="shared" si="195"/>
        <v/>
      </c>
      <c r="AZ189" s="305" t="str">
        <f t="shared" si="195"/>
        <v/>
      </c>
      <c r="BA189" s="305" t="str">
        <f t="shared" si="195"/>
        <v/>
      </c>
      <c r="BB189" s="305" t="str">
        <f t="shared" si="195"/>
        <v/>
      </c>
      <c r="BC189" s="305" t="str">
        <f t="shared" si="195"/>
        <v/>
      </c>
      <c r="BD189" s="305" t="str">
        <f t="shared" si="195"/>
        <v/>
      </c>
      <c r="BE189" s="305" t="str">
        <f t="shared" si="195"/>
        <v/>
      </c>
      <c r="BF189" s="305" t="str">
        <f t="shared" si="195"/>
        <v/>
      </c>
      <c r="BG189" s="305" t="str">
        <f t="shared" si="195"/>
        <v/>
      </c>
    </row>
    <row r="190" ht="12.75" customHeight="1" outlineLevel="1">
      <c r="A190" s="90"/>
      <c r="B190" s="195"/>
      <c r="C190" s="90" t="s">
        <v>735</v>
      </c>
      <c r="D190" s="90"/>
      <c r="E190" s="90"/>
      <c r="F190" s="90"/>
      <c r="G190" s="89">
        <f>'RSGen 1-7'!G190</f>
        <v>0</v>
      </c>
      <c r="H190" s="89">
        <f>'RSGen 1-7'!H190</f>
        <v>0.102</v>
      </c>
      <c r="I190" s="89">
        <f>'RSGen 1-7'!I190</f>
        <v>0.102</v>
      </c>
      <c r="J190" s="89">
        <f>'RSGen 1-7'!J190</f>
        <v>0.102</v>
      </c>
      <c r="K190" s="89">
        <f>'RSGen 1-7'!K190</f>
        <v>0.102</v>
      </c>
      <c r="L190" s="89">
        <f>'RSGen 1-7'!L190</f>
        <v>0.102</v>
      </c>
      <c r="M190" s="89">
        <f>'RSGen 1-7'!M190</f>
        <v>0.102</v>
      </c>
      <c r="N190" s="89">
        <f>'RSGen 1-7'!N190</f>
        <v>0.102</v>
      </c>
      <c r="O190" s="89">
        <f>'RSGen 1-7'!O190</f>
        <v>0.102</v>
      </c>
      <c r="P190" s="89">
        <f>'RSGen 1-7'!P190</f>
        <v>0.102</v>
      </c>
      <c r="Q190" s="89">
        <f>'RSGen 1-7'!Q190</f>
        <v>0.102</v>
      </c>
      <c r="R190" s="89">
        <f>'RSGen 1-7'!R190</f>
        <v>0.102</v>
      </c>
      <c r="AT190" s="305" t="str">
        <f t="shared" ref="AT190:BG190" si="196">AS190</f>
        <v/>
      </c>
      <c r="AU190" s="305" t="str">
        <f t="shared" si="196"/>
        <v/>
      </c>
      <c r="AV190" s="305" t="str">
        <f t="shared" si="196"/>
        <v/>
      </c>
      <c r="AW190" s="305" t="str">
        <f t="shared" si="196"/>
        <v/>
      </c>
      <c r="AX190" s="305" t="str">
        <f t="shared" si="196"/>
        <v/>
      </c>
      <c r="AY190" s="305" t="str">
        <f t="shared" si="196"/>
        <v/>
      </c>
      <c r="AZ190" s="305" t="str">
        <f t="shared" si="196"/>
        <v/>
      </c>
      <c r="BA190" s="305" t="str">
        <f t="shared" si="196"/>
        <v/>
      </c>
      <c r="BB190" s="305" t="str">
        <f t="shared" si="196"/>
        <v/>
      </c>
      <c r="BC190" s="305" t="str">
        <f t="shared" si="196"/>
        <v/>
      </c>
      <c r="BD190" s="305" t="str">
        <f t="shared" si="196"/>
        <v/>
      </c>
      <c r="BE190" s="305" t="str">
        <f t="shared" si="196"/>
        <v/>
      </c>
      <c r="BF190" s="305" t="str">
        <f t="shared" si="196"/>
        <v/>
      </c>
      <c r="BG190" s="305" t="str">
        <f t="shared" si="196"/>
        <v/>
      </c>
    </row>
    <row r="191" ht="12.75" customHeight="1" outlineLevel="1">
      <c r="A191" s="90"/>
      <c r="B191" s="90"/>
      <c r="C191" s="90" t="s">
        <v>736</v>
      </c>
      <c r="D191" s="90"/>
      <c r="E191" s="90"/>
      <c r="F191" s="90"/>
      <c r="G191" s="89">
        <f>'RSGen 1-7'!G191</f>
        <v>0</v>
      </c>
      <c r="H191" s="89">
        <f>'RSGen 1-7'!H191</f>
        <v>0.005</v>
      </c>
      <c r="I191" s="89">
        <f>'RSGen 1-7'!I191</f>
        <v>0.005</v>
      </c>
      <c r="J191" s="89">
        <f>'RSGen 1-7'!J191</f>
        <v>0.005</v>
      </c>
      <c r="K191" s="89">
        <f>'RSGen 1-7'!K191</f>
        <v>0.005</v>
      </c>
      <c r="L191" s="89">
        <f>'RSGen 1-7'!L191</f>
        <v>0.005</v>
      </c>
      <c r="M191" s="89">
        <f>'RSGen 1-7'!M191</f>
        <v>0.005</v>
      </c>
      <c r="N191" s="89">
        <f>'RSGen 1-7'!N191</f>
        <v>0.005</v>
      </c>
      <c r="O191" s="89">
        <f>'RSGen 1-7'!O191</f>
        <v>0.005</v>
      </c>
      <c r="P191" s="89">
        <f>'RSGen 1-7'!P191</f>
        <v>0.005</v>
      </c>
      <c r="Q191" s="89">
        <f>'RSGen 1-7'!Q191</f>
        <v>0.005</v>
      </c>
      <c r="R191" s="89">
        <f>'RSGen 1-7'!R191</f>
        <v>0.005</v>
      </c>
      <c r="AT191" s="305" t="str">
        <f t="shared" ref="AT191:BG191" si="197">AS191</f>
        <v/>
      </c>
      <c r="AU191" s="305" t="str">
        <f t="shared" si="197"/>
        <v/>
      </c>
      <c r="AV191" s="305" t="str">
        <f t="shared" si="197"/>
        <v/>
      </c>
      <c r="AW191" s="305" t="str">
        <f t="shared" si="197"/>
        <v/>
      </c>
      <c r="AX191" s="305" t="str">
        <f t="shared" si="197"/>
        <v/>
      </c>
      <c r="AY191" s="305" t="str">
        <f t="shared" si="197"/>
        <v/>
      </c>
      <c r="AZ191" s="305" t="str">
        <f t="shared" si="197"/>
        <v/>
      </c>
      <c r="BA191" s="305" t="str">
        <f t="shared" si="197"/>
        <v/>
      </c>
      <c r="BB191" s="305" t="str">
        <f t="shared" si="197"/>
        <v/>
      </c>
      <c r="BC191" s="305" t="str">
        <f t="shared" si="197"/>
        <v/>
      </c>
      <c r="BD191" s="305" t="str">
        <f t="shared" si="197"/>
        <v/>
      </c>
      <c r="BE191" s="305" t="str">
        <f t="shared" si="197"/>
        <v/>
      </c>
      <c r="BF191" s="305" t="str">
        <f t="shared" si="197"/>
        <v/>
      </c>
      <c r="BG191" s="305" t="str">
        <f t="shared" si="197"/>
        <v/>
      </c>
    </row>
    <row r="192" ht="12.75" customHeight="1" outlineLevel="1">
      <c r="A192" s="90"/>
      <c r="B192" s="90"/>
      <c r="C192" s="90" t="s">
        <v>737</v>
      </c>
      <c r="D192" s="90"/>
      <c r="E192" s="90"/>
      <c r="F192" s="90"/>
      <c r="G192" s="89">
        <f>'RSGen 1-7'!G192</f>
        <v>0</v>
      </c>
      <c r="H192" s="89">
        <f>'RSGen 1-7'!H192</f>
        <v>0.005</v>
      </c>
      <c r="I192" s="89">
        <f>'RSGen 1-7'!I192</f>
        <v>0.005</v>
      </c>
      <c r="J192" s="89">
        <f>'RSGen 1-7'!J192</f>
        <v>0.005</v>
      </c>
      <c r="K192" s="89">
        <f>'RSGen 1-7'!K192</f>
        <v>0.005</v>
      </c>
      <c r="L192" s="89">
        <f>'RSGen 1-7'!L192</f>
        <v>0.005</v>
      </c>
      <c r="M192" s="89">
        <f>'RSGen 1-7'!M192</f>
        <v>0.005</v>
      </c>
      <c r="N192" s="89">
        <f>'RSGen 1-7'!N192</f>
        <v>0.005</v>
      </c>
      <c r="O192" s="89">
        <f>'RSGen 1-7'!O192</f>
        <v>0.005</v>
      </c>
      <c r="P192" s="89">
        <f>'RSGen 1-7'!P192</f>
        <v>0.005</v>
      </c>
      <c r="Q192" s="89">
        <f>'RSGen 1-7'!Q192</f>
        <v>0.005</v>
      </c>
      <c r="R192" s="89">
        <f>'RSGen 1-7'!R192</f>
        <v>0.005</v>
      </c>
      <c r="AT192" s="305" t="str">
        <f t="shared" ref="AT192:BG192" si="198">AS192</f>
        <v/>
      </c>
      <c r="AU192" s="305" t="str">
        <f t="shared" si="198"/>
        <v/>
      </c>
      <c r="AV192" s="305" t="str">
        <f t="shared" si="198"/>
        <v/>
      </c>
      <c r="AW192" s="305" t="str">
        <f t="shared" si="198"/>
        <v/>
      </c>
      <c r="AX192" s="305" t="str">
        <f t="shared" si="198"/>
        <v/>
      </c>
      <c r="AY192" s="305" t="str">
        <f t="shared" si="198"/>
        <v/>
      </c>
      <c r="AZ192" s="305" t="str">
        <f t="shared" si="198"/>
        <v/>
      </c>
      <c r="BA192" s="305" t="str">
        <f t="shared" si="198"/>
        <v/>
      </c>
      <c r="BB192" s="305" t="str">
        <f t="shared" si="198"/>
        <v/>
      </c>
      <c r="BC192" s="305" t="str">
        <f t="shared" si="198"/>
        <v/>
      </c>
      <c r="BD192" s="305" t="str">
        <f t="shared" si="198"/>
        <v/>
      </c>
      <c r="BE192" s="305" t="str">
        <f t="shared" si="198"/>
        <v/>
      </c>
      <c r="BF192" s="305" t="str">
        <f t="shared" si="198"/>
        <v/>
      </c>
      <c r="BG192" s="305" t="str">
        <f t="shared" si="198"/>
        <v/>
      </c>
    </row>
    <row r="193" ht="12.75" customHeight="1">
      <c r="A193" s="90"/>
      <c r="B193" s="90"/>
      <c r="C193" s="90"/>
      <c r="D193" s="90"/>
      <c r="E193" s="90"/>
      <c r="F193" s="90"/>
      <c r="G193" s="90"/>
      <c r="H193" s="90"/>
      <c r="I193" s="90"/>
      <c r="J193" s="90"/>
      <c r="K193" s="90"/>
      <c r="L193" s="90"/>
      <c r="M193" s="90"/>
      <c r="N193" s="90"/>
      <c r="O193" s="90"/>
      <c r="P193" s="90"/>
      <c r="Q193" s="90"/>
      <c r="R193" s="90"/>
      <c r="AT193" s="313"/>
      <c r="AU193" s="313"/>
      <c r="AV193" s="313"/>
      <c r="AW193" s="313"/>
      <c r="AX193" s="313"/>
      <c r="AY193" s="313"/>
      <c r="AZ193" s="313"/>
      <c r="BA193" s="313"/>
      <c r="BB193" s="313"/>
      <c r="BC193" s="313"/>
      <c r="BD193" s="313"/>
      <c r="BE193" s="313"/>
      <c r="BF193" s="313"/>
      <c r="BG193" s="313"/>
    </row>
    <row r="194" ht="12.75" customHeight="1">
      <c r="A194" s="106" t="s">
        <v>738</v>
      </c>
      <c r="B194" s="253"/>
      <c r="C194" s="253"/>
      <c r="D194" s="253"/>
      <c r="E194" s="253"/>
      <c r="F194" s="253"/>
      <c r="G194" s="253"/>
      <c r="H194" s="253"/>
      <c r="I194" s="253"/>
      <c r="J194" s="253"/>
      <c r="K194" s="253"/>
      <c r="L194" s="253"/>
      <c r="M194" s="253"/>
      <c r="N194" s="253"/>
      <c r="O194" s="253"/>
      <c r="P194" s="253"/>
      <c r="Q194" s="253"/>
      <c r="R194" s="253"/>
      <c r="AT194" s="314"/>
      <c r="AU194" s="314"/>
      <c r="AV194" s="314"/>
      <c r="AW194" s="314"/>
      <c r="AX194" s="314"/>
      <c r="AY194" s="314"/>
      <c r="AZ194" s="314"/>
      <c r="BA194" s="314"/>
      <c r="BB194" s="314"/>
      <c r="BC194" s="314"/>
      <c r="BD194" s="314"/>
      <c r="BE194" s="314"/>
      <c r="BF194" s="314"/>
      <c r="BG194" s="314"/>
    </row>
    <row r="195" ht="12.75" customHeight="1" outlineLevel="1">
      <c r="A195" s="67"/>
      <c r="B195" s="90"/>
      <c r="C195" s="90"/>
      <c r="D195" s="90"/>
      <c r="E195" s="90"/>
      <c r="F195" s="90"/>
      <c r="G195" s="90"/>
      <c r="H195" s="90"/>
      <c r="I195" s="90"/>
      <c r="J195" s="90"/>
      <c r="K195" s="90"/>
      <c r="L195" s="90"/>
      <c r="M195" s="90"/>
      <c r="N195" s="90"/>
      <c r="O195" s="90"/>
      <c r="P195" s="90"/>
      <c r="Q195" s="90"/>
      <c r="R195" s="90"/>
      <c r="AT195" s="313"/>
      <c r="AU195" s="313"/>
      <c r="AV195" s="313"/>
      <c r="AW195" s="313"/>
      <c r="AX195" s="313"/>
      <c r="AY195" s="313"/>
      <c r="AZ195" s="313"/>
      <c r="BA195" s="313"/>
      <c r="BB195" s="313"/>
      <c r="BC195" s="313"/>
      <c r="BD195" s="313"/>
      <c r="BE195" s="313"/>
      <c r="BF195" s="313"/>
      <c r="BG195" s="313"/>
    </row>
    <row r="196" ht="12.75" customHeight="1" outlineLevel="1">
      <c r="A196" s="90"/>
      <c r="B196" s="90" t="s">
        <v>739</v>
      </c>
      <c r="C196" s="90"/>
      <c r="D196" s="90"/>
      <c r="E196" s="90"/>
      <c r="F196" s="90"/>
      <c r="G196" s="178">
        <v>0.0</v>
      </c>
      <c r="H196" s="178"/>
      <c r="I196" s="178"/>
      <c r="J196" s="178"/>
      <c r="K196" s="178"/>
      <c r="L196" s="178"/>
      <c r="M196" s="178"/>
      <c r="N196" s="178"/>
      <c r="O196" s="178"/>
      <c r="P196" s="178"/>
      <c r="Q196" s="178"/>
      <c r="R196" s="178"/>
      <c r="AT196" s="355" t="str">
        <f t="shared" ref="AT196:BG196" si="199">AS196</f>
        <v/>
      </c>
      <c r="AU196" s="355" t="str">
        <f t="shared" si="199"/>
        <v/>
      </c>
      <c r="AV196" s="355" t="str">
        <f t="shared" si="199"/>
        <v/>
      </c>
      <c r="AW196" s="355" t="str">
        <f t="shared" si="199"/>
        <v/>
      </c>
      <c r="AX196" s="355" t="str">
        <f t="shared" si="199"/>
        <v/>
      </c>
      <c r="AY196" s="355" t="str">
        <f t="shared" si="199"/>
        <v/>
      </c>
      <c r="AZ196" s="355" t="str">
        <f t="shared" si="199"/>
        <v/>
      </c>
      <c r="BA196" s="355" t="str">
        <f t="shared" si="199"/>
        <v/>
      </c>
      <c r="BB196" s="355" t="str">
        <f t="shared" si="199"/>
        <v/>
      </c>
      <c r="BC196" s="355" t="str">
        <f t="shared" si="199"/>
        <v/>
      </c>
      <c r="BD196" s="355" t="str">
        <f t="shared" si="199"/>
        <v/>
      </c>
      <c r="BE196" s="355" t="str">
        <f t="shared" si="199"/>
        <v/>
      </c>
      <c r="BF196" s="355" t="str">
        <f t="shared" si="199"/>
        <v/>
      </c>
      <c r="BG196" s="355" t="str">
        <f t="shared" si="199"/>
        <v/>
      </c>
    </row>
    <row r="197" ht="12.75" customHeight="1" outlineLevel="1">
      <c r="A197" s="90"/>
      <c r="B197" s="90"/>
      <c r="C197" s="90"/>
      <c r="D197" s="90"/>
      <c r="E197" s="90"/>
      <c r="F197" s="90"/>
      <c r="G197" s="90"/>
      <c r="H197" s="90"/>
      <c r="I197" s="90"/>
      <c r="J197" s="90"/>
      <c r="K197" s="90"/>
      <c r="L197" s="90"/>
      <c r="M197" s="90"/>
      <c r="N197" s="90"/>
      <c r="O197" s="90"/>
      <c r="P197" s="90"/>
      <c r="Q197" s="90"/>
      <c r="R197" s="90"/>
      <c r="AT197" s="313"/>
      <c r="AU197" s="313"/>
      <c r="AV197" s="313"/>
      <c r="AW197" s="313"/>
      <c r="AX197" s="313"/>
      <c r="AY197" s="313"/>
      <c r="AZ197" s="313"/>
      <c r="BA197" s="313"/>
      <c r="BB197" s="313"/>
      <c r="BC197" s="313"/>
      <c r="BD197" s="313"/>
      <c r="BE197" s="313"/>
      <c r="BF197" s="313"/>
      <c r="BG197" s="313"/>
    </row>
    <row r="198" ht="12.75" customHeight="1" outlineLevel="1">
      <c r="A198" s="90"/>
      <c r="B198" s="67" t="s">
        <v>550</v>
      </c>
      <c r="C198" s="90"/>
      <c r="D198" s="90"/>
      <c r="E198" s="90"/>
      <c r="F198" s="90"/>
      <c r="G198" s="90"/>
      <c r="H198" s="90"/>
      <c r="I198" s="90"/>
      <c r="J198" s="90"/>
      <c r="K198" s="90"/>
      <c r="L198" s="90"/>
      <c r="M198" s="90"/>
      <c r="N198" s="90"/>
      <c r="O198" s="90"/>
      <c r="P198" s="90"/>
      <c r="Q198" s="90"/>
      <c r="R198" s="90"/>
      <c r="AT198" s="313"/>
      <c r="AU198" s="313"/>
      <c r="AV198" s="313"/>
      <c r="AW198" s="313"/>
      <c r="AX198" s="313"/>
      <c r="AY198" s="313"/>
      <c r="AZ198" s="313"/>
      <c r="BA198" s="313"/>
      <c r="BB198" s="313"/>
      <c r="BC198" s="313"/>
      <c r="BD198" s="313"/>
      <c r="BE198" s="313"/>
      <c r="BF198" s="313"/>
      <c r="BG198" s="313"/>
    </row>
    <row r="199" ht="12.75" customHeight="1" outlineLevel="1">
      <c r="A199" s="90"/>
      <c r="B199" s="90"/>
      <c r="C199" s="90" t="s">
        <v>740</v>
      </c>
      <c r="D199" s="90"/>
      <c r="E199" s="90"/>
      <c r="F199" s="90"/>
      <c r="G199" s="99">
        <f>'RSGen 1-7'!G199</f>
        <v>0</v>
      </c>
      <c r="H199" s="99">
        <f>'RSGen 1-7'!H199</f>
        <v>0</v>
      </c>
      <c r="I199" s="99">
        <f>'RSGen 1-7'!I199</f>
        <v>65</v>
      </c>
      <c r="J199" s="99">
        <f>'RSGen 1-7'!J199</f>
        <v>65</v>
      </c>
      <c r="K199" s="99">
        <f>'RSGen 1-7'!K199</f>
        <v>65</v>
      </c>
      <c r="L199" s="99">
        <f>'RSGen 1-7'!L199</f>
        <v>65</v>
      </c>
      <c r="M199" s="99">
        <f>'RSGen 1-7'!M199</f>
        <v>65</v>
      </c>
      <c r="N199" s="99">
        <f>'RSGen 1-7'!N199</f>
        <v>65</v>
      </c>
      <c r="O199" s="99">
        <f>'RSGen 1-7'!O199</f>
        <v>65</v>
      </c>
      <c r="P199" s="99">
        <f>'RSGen 1-7'!P199</f>
        <v>65</v>
      </c>
      <c r="Q199" s="99">
        <f>'RSGen 1-7'!Q199</f>
        <v>65</v>
      </c>
      <c r="R199" s="99">
        <f>'RSGen 1-7'!R199</f>
        <v>65</v>
      </c>
      <c r="AT199" s="308" t="str">
        <f t="shared" ref="AT199:BG199" si="200">AS199</f>
        <v/>
      </c>
      <c r="AU199" s="308" t="str">
        <f t="shared" si="200"/>
        <v/>
      </c>
      <c r="AV199" s="308" t="str">
        <f t="shared" si="200"/>
        <v/>
      </c>
      <c r="AW199" s="308" t="str">
        <f t="shared" si="200"/>
        <v/>
      </c>
      <c r="AX199" s="308" t="str">
        <f t="shared" si="200"/>
        <v/>
      </c>
      <c r="AY199" s="308" t="str">
        <f t="shared" si="200"/>
        <v/>
      </c>
      <c r="AZ199" s="308" t="str">
        <f t="shared" si="200"/>
        <v/>
      </c>
      <c r="BA199" s="308" t="str">
        <f t="shared" si="200"/>
        <v/>
      </c>
      <c r="BB199" s="308" t="str">
        <f t="shared" si="200"/>
        <v/>
      </c>
      <c r="BC199" s="308" t="str">
        <f t="shared" si="200"/>
        <v/>
      </c>
      <c r="BD199" s="308" t="str">
        <f t="shared" si="200"/>
        <v/>
      </c>
      <c r="BE199" s="308" t="str">
        <f t="shared" si="200"/>
        <v/>
      </c>
      <c r="BF199" s="308" t="str">
        <f t="shared" si="200"/>
        <v/>
      </c>
      <c r="BG199" s="308" t="str">
        <f t="shared" si="200"/>
        <v/>
      </c>
    </row>
    <row r="200" ht="12.75" customHeight="1" outlineLevel="1">
      <c r="A200" s="90"/>
      <c r="B200" s="90"/>
      <c r="C200" s="90" t="s">
        <v>741</v>
      </c>
      <c r="D200" s="90"/>
      <c r="E200" s="90"/>
      <c r="F200" s="90"/>
      <c r="G200" s="99">
        <f>'RSGen 1-7'!G200</f>
        <v>25</v>
      </c>
      <c r="H200" s="99">
        <f>'RSGen 1-7'!H200</f>
        <v>25</v>
      </c>
      <c r="I200" s="99">
        <f>'RSGen 1-7'!I200</f>
        <v>25</v>
      </c>
      <c r="J200" s="99">
        <f>'RSGen 1-7'!J200</f>
        <v>25</v>
      </c>
      <c r="K200" s="99">
        <f>'RSGen 1-7'!K200</f>
        <v>25</v>
      </c>
      <c r="L200" s="99">
        <f>'RSGen 1-7'!L200</f>
        <v>25</v>
      </c>
      <c r="M200" s="99">
        <f>'RSGen 1-7'!M200</f>
        <v>25</v>
      </c>
      <c r="N200" s="99">
        <f>'RSGen 1-7'!N200</f>
        <v>25</v>
      </c>
      <c r="O200" s="99">
        <f>'RSGen 1-7'!O200</f>
        <v>25</v>
      </c>
      <c r="P200" s="99">
        <f>'RSGen 1-7'!P200</f>
        <v>25</v>
      </c>
      <c r="Q200" s="99">
        <f>'RSGen 1-7'!Q200</f>
        <v>25</v>
      </c>
      <c r="R200" s="99">
        <f>'RSGen 1-7'!R200</f>
        <v>25</v>
      </c>
      <c r="AT200" s="308"/>
      <c r="AU200" s="308"/>
      <c r="AV200" s="308"/>
      <c r="AW200" s="308"/>
      <c r="AX200" s="308"/>
      <c r="AY200" s="308"/>
      <c r="AZ200" s="308"/>
      <c r="BA200" s="308"/>
      <c r="BB200" s="308"/>
      <c r="BC200" s="308"/>
      <c r="BD200" s="308"/>
      <c r="BE200" s="308"/>
      <c r="BF200" s="308"/>
      <c r="BG200" s="308"/>
    </row>
    <row r="201" ht="12.75" customHeight="1" outlineLevel="1">
      <c r="A201" s="90"/>
      <c r="B201" s="90"/>
      <c r="C201" s="90" t="s">
        <v>742</v>
      </c>
      <c r="D201" s="90"/>
      <c r="E201" s="90"/>
      <c r="F201" s="90"/>
      <c r="G201" s="99">
        <f>'RSGen 1-7'!G201</f>
        <v>0</v>
      </c>
      <c r="H201" s="99">
        <f>'RSGen 1-7'!H201</f>
        <v>0</v>
      </c>
      <c r="I201" s="99">
        <f>'RSGen 1-7'!I201</f>
        <v>1000</v>
      </c>
      <c r="J201" s="99">
        <f>'RSGen 1-7'!J201</f>
        <v>1000</v>
      </c>
      <c r="K201" s="99">
        <f>'RSGen 1-7'!K201</f>
        <v>1000</v>
      </c>
      <c r="L201" s="99">
        <f>'RSGen 1-7'!L201</f>
        <v>1000</v>
      </c>
      <c r="M201" s="99">
        <f>'RSGen 1-7'!M201</f>
        <v>1000</v>
      </c>
      <c r="N201" s="99">
        <f>'RSGen 1-7'!N201</f>
        <v>1000</v>
      </c>
      <c r="O201" s="99">
        <f>'RSGen 1-7'!O201</f>
        <v>1000</v>
      </c>
      <c r="P201" s="99">
        <f>'RSGen 1-7'!P201</f>
        <v>1000</v>
      </c>
      <c r="Q201" s="99">
        <f>'RSGen 1-7'!Q201</f>
        <v>1000</v>
      </c>
      <c r="R201" s="99">
        <f>'RSGen 1-7'!R201</f>
        <v>1000</v>
      </c>
      <c r="AT201" s="308" t="str">
        <f t="shared" ref="AT201:BG201" si="201">AS201</f>
        <v/>
      </c>
      <c r="AU201" s="308" t="str">
        <f t="shared" si="201"/>
        <v/>
      </c>
      <c r="AV201" s="308" t="str">
        <f t="shared" si="201"/>
        <v/>
      </c>
      <c r="AW201" s="308" t="str">
        <f t="shared" si="201"/>
        <v/>
      </c>
      <c r="AX201" s="308" t="str">
        <f t="shared" si="201"/>
        <v/>
      </c>
      <c r="AY201" s="308" t="str">
        <f t="shared" si="201"/>
        <v/>
      </c>
      <c r="AZ201" s="308" t="str">
        <f t="shared" si="201"/>
        <v/>
      </c>
      <c r="BA201" s="308" t="str">
        <f t="shared" si="201"/>
        <v/>
      </c>
      <c r="BB201" s="308" t="str">
        <f t="shared" si="201"/>
        <v/>
      </c>
      <c r="BC201" s="308" t="str">
        <f t="shared" si="201"/>
        <v/>
      </c>
      <c r="BD201" s="308" t="str">
        <f t="shared" si="201"/>
        <v/>
      </c>
      <c r="BE201" s="308" t="str">
        <f t="shared" si="201"/>
        <v/>
      </c>
      <c r="BF201" s="308" t="str">
        <f t="shared" si="201"/>
        <v/>
      </c>
      <c r="BG201" s="308" t="str">
        <f t="shared" si="201"/>
        <v/>
      </c>
    </row>
    <row r="202" ht="12.75" customHeight="1" outlineLevel="1">
      <c r="A202" s="90"/>
      <c r="B202" s="90"/>
      <c r="C202" s="90" t="s">
        <v>743</v>
      </c>
      <c r="D202" s="90"/>
      <c r="E202" s="90"/>
      <c r="F202" s="90"/>
      <c r="G202" s="99" t="str">
        <f>'RSGen 1-7'!G202</f>
        <v/>
      </c>
      <c r="H202" s="99" t="str">
        <f>'RSGen 1-7'!H202</f>
        <v/>
      </c>
      <c r="I202" s="99" t="str">
        <f>'RSGen 1-7'!I202</f>
        <v/>
      </c>
      <c r="J202" s="99" t="str">
        <f>'RSGen 1-7'!J202</f>
        <v/>
      </c>
      <c r="K202" s="99" t="str">
        <f>'RSGen 1-7'!K202</f>
        <v/>
      </c>
      <c r="L202" s="99" t="str">
        <f>'RSGen 1-7'!L202</f>
        <v/>
      </c>
      <c r="M202" s="99" t="str">
        <f>'RSGen 1-7'!M202</f>
        <v/>
      </c>
      <c r="N202" s="99" t="str">
        <f>'RSGen 1-7'!N202</f>
        <v/>
      </c>
      <c r="O202" s="99" t="str">
        <f>'RSGen 1-7'!O202</f>
        <v/>
      </c>
      <c r="P202" s="99" t="str">
        <f>'RSGen 1-7'!P202</f>
        <v/>
      </c>
      <c r="Q202" s="99" t="str">
        <f>'RSGen 1-7'!Q202</f>
        <v/>
      </c>
      <c r="R202" s="99" t="str">
        <f>'RSGen 1-7'!R202</f>
        <v/>
      </c>
      <c r="AT202" s="308"/>
      <c r="AU202" s="308"/>
      <c r="AV202" s="308"/>
      <c r="AW202" s="308"/>
      <c r="AX202" s="308"/>
      <c r="AY202" s="308"/>
      <c r="AZ202" s="308"/>
      <c r="BA202" s="308"/>
      <c r="BB202" s="308"/>
      <c r="BC202" s="308"/>
      <c r="BD202" s="308"/>
      <c r="BE202" s="308"/>
      <c r="BF202" s="308"/>
      <c r="BG202" s="308"/>
    </row>
    <row r="203" ht="12.75" customHeight="1" outlineLevel="1">
      <c r="A203" s="90"/>
      <c r="B203" s="90"/>
      <c r="C203" s="90" t="s">
        <v>744</v>
      </c>
      <c r="D203" s="90"/>
      <c r="E203" s="90"/>
      <c r="F203" s="90"/>
      <c r="G203" s="99">
        <f>'RSGen 1-7'!G203</f>
        <v>125</v>
      </c>
      <c r="H203" s="99">
        <f>'RSGen 1-7'!H203</f>
        <v>125</v>
      </c>
      <c r="I203" s="99">
        <f>'RSGen 1-7'!I203</f>
        <v>150</v>
      </c>
      <c r="J203" s="99">
        <f>'RSGen 1-7'!J203</f>
        <v>150</v>
      </c>
      <c r="K203" s="99">
        <f>'RSGen 1-7'!K203</f>
        <v>150</v>
      </c>
      <c r="L203" s="99">
        <f>'RSGen 1-7'!L203</f>
        <v>150</v>
      </c>
      <c r="M203" s="99">
        <f>'RSGen 1-7'!M203</f>
        <v>150</v>
      </c>
      <c r="N203" s="99">
        <f>'RSGen 1-7'!N203</f>
        <v>150</v>
      </c>
      <c r="O203" s="99">
        <f>'RSGen 1-7'!O203</f>
        <v>150</v>
      </c>
      <c r="P203" s="99">
        <f>'RSGen 1-7'!P203</f>
        <v>150</v>
      </c>
      <c r="Q203" s="99">
        <f>'RSGen 1-7'!Q203</f>
        <v>150</v>
      </c>
      <c r="R203" s="99">
        <f>'RSGen 1-7'!R203</f>
        <v>150</v>
      </c>
      <c r="AT203" s="308"/>
      <c r="AU203" s="308"/>
      <c r="AV203" s="308"/>
      <c r="AW203" s="308"/>
      <c r="AX203" s="308"/>
      <c r="AY203" s="308"/>
      <c r="AZ203" s="308"/>
      <c r="BA203" s="308"/>
      <c r="BB203" s="308"/>
      <c r="BC203" s="308"/>
      <c r="BD203" s="308"/>
      <c r="BE203" s="308"/>
      <c r="BF203" s="308"/>
      <c r="BG203" s="308"/>
    </row>
    <row r="204" ht="12.75" customHeight="1" outlineLevel="1">
      <c r="A204" s="90"/>
      <c r="B204" s="90"/>
      <c r="C204" s="90" t="s">
        <v>745</v>
      </c>
      <c r="D204" s="90"/>
      <c r="E204" s="90"/>
      <c r="F204" s="90"/>
      <c r="G204" s="99">
        <f>'RSGen 1-7'!G204</f>
        <v>0</v>
      </c>
      <c r="H204" s="99">
        <f>'RSGen 1-7'!H204</f>
        <v>0</v>
      </c>
      <c r="I204" s="99">
        <f>'RSGen 1-7'!I204</f>
        <v>50000</v>
      </c>
      <c r="J204" s="99">
        <f>'RSGen 1-7'!J204</f>
        <v>5000</v>
      </c>
      <c r="K204" s="99">
        <f>'RSGen 1-7'!K204</f>
        <v>5000</v>
      </c>
      <c r="L204" s="99">
        <f>'RSGen 1-7'!L204</f>
        <v>0</v>
      </c>
      <c r="M204" s="99">
        <f>'RSGen 1-7'!M204</f>
        <v>0</v>
      </c>
      <c r="N204" s="99">
        <f>'RSGen 1-7'!N204</f>
        <v>0</v>
      </c>
      <c r="O204" s="99">
        <f>'RSGen 1-7'!O204</f>
        <v>0</v>
      </c>
      <c r="P204" s="99">
        <f>'RSGen 1-7'!P204</f>
        <v>0</v>
      </c>
      <c r="Q204" s="99">
        <f>'RSGen 1-7'!Q204</f>
        <v>0</v>
      </c>
      <c r="R204" s="99">
        <f>'RSGen 1-7'!R204</f>
        <v>0</v>
      </c>
      <c r="AT204" s="308" t="str">
        <f t="shared" ref="AT204:BG204" si="202">AS204</f>
        <v/>
      </c>
      <c r="AU204" s="308" t="str">
        <f t="shared" si="202"/>
        <v/>
      </c>
      <c r="AV204" s="308" t="str">
        <f t="shared" si="202"/>
        <v/>
      </c>
      <c r="AW204" s="308" t="str">
        <f t="shared" si="202"/>
        <v/>
      </c>
      <c r="AX204" s="308" t="str">
        <f t="shared" si="202"/>
        <v/>
      </c>
      <c r="AY204" s="308" t="str">
        <f t="shared" si="202"/>
        <v/>
      </c>
      <c r="AZ204" s="308" t="str">
        <f t="shared" si="202"/>
        <v/>
      </c>
      <c r="BA204" s="308" t="str">
        <f t="shared" si="202"/>
        <v/>
      </c>
      <c r="BB204" s="308" t="str">
        <f t="shared" si="202"/>
        <v/>
      </c>
      <c r="BC204" s="308" t="str">
        <f t="shared" si="202"/>
        <v/>
      </c>
      <c r="BD204" s="308" t="str">
        <f t="shared" si="202"/>
        <v/>
      </c>
      <c r="BE204" s="308" t="str">
        <f t="shared" si="202"/>
        <v/>
      </c>
      <c r="BF204" s="308" t="str">
        <f t="shared" si="202"/>
        <v/>
      </c>
      <c r="BG204" s="308" t="str">
        <f t="shared" si="202"/>
        <v/>
      </c>
    </row>
    <row r="205" ht="12.75" customHeight="1" outlineLevel="1">
      <c r="A205" s="90"/>
      <c r="B205" s="90"/>
      <c r="C205" s="90" t="s">
        <v>746</v>
      </c>
      <c r="D205" s="90"/>
      <c r="E205" s="90"/>
      <c r="F205" s="90"/>
      <c r="G205" s="99">
        <f>'RSGen 1-7'!G205</f>
        <v>0</v>
      </c>
      <c r="H205" s="99">
        <f>'RSGen 1-7'!H205</f>
        <v>0</v>
      </c>
      <c r="I205" s="99">
        <f>'RSGen 1-7'!I205</f>
        <v>15000</v>
      </c>
      <c r="J205" s="99">
        <f>'RSGen 1-7'!J205</f>
        <v>15000</v>
      </c>
      <c r="K205" s="99">
        <f>'RSGen 1-7'!K205</f>
        <v>15000</v>
      </c>
      <c r="L205" s="99">
        <f>'RSGen 1-7'!L205</f>
        <v>15000</v>
      </c>
      <c r="M205" s="99">
        <f>'RSGen 1-7'!M205</f>
        <v>15000</v>
      </c>
      <c r="N205" s="99">
        <f>'RSGen 1-7'!N205</f>
        <v>15000</v>
      </c>
      <c r="O205" s="99">
        <f>'RSGen 1-7'!O205</f>
        <v>15000</v>
      </c>
      <c r="P205" s="99">
        <f>'RSGen 1-7'!P205</f>
        <v>15000</v>
      </c>
      <c r="Q205" s="99">
        <f>'RSGen 1-7'!Q205</f>
        <v>15000</v>
      </c>
      <c r="R205" s="99">
        <f>'RSGen 1-7'!R205</f>
        <v>15000</v>
      </c>
      <c r="AT205" s="308"/>
      <c r="AU205" s="308"/>
      <c r="AV205" s="308"/>
      <c r="AW205" s="308"/>
      <c r="AX205" s="308"/>
      <c r="AY205" s="308"/>
      <c r="AZ205" s="308"/>
      <c r="BA205" s="308"/>
      <c r="BB205" s="308"/>
      <c r="BC205" s="308"/>
      <c r="BD205" s="308"/>
      <c r="BE205" s="308"/>
      <c r="BF205" s="308"/>
      <c r="BG205" s="308"/>
    </row>
    <row r="206" ht="12.75" customHeight="1" outlineLevel="1">
      <c r="A206" s="90"/>
      <c r="B206" s="90"/>
      <c r="C206" s="90" t="s">
        <v>747</v>
      </c>
      <c r="D206" s="90"/>
      <c r="E206" s="90"/>
      <c r="F206" s="90"/>
      <c r="G206" s="99" t="str">
        <f>'RSGen 1-7'!G206</f>
        <v/>
      </c>
      <c r="H206" s="99" t="str">
        <f>'RSGen 1-7'!H206</f>
        <v/>
      </c>
      <c r="I206" s="99">
        <f>'RSGen 1-7'!I206</f>
        <v>100</v>
      </c>
      <c r="J206" s="99">
        <f>'RSGen 1-7'!J206</f>
        <v>100</v>
      </c>
      <c r="K206" s="99">
        <f>'RSGen 1-7'!K206</f>
        <v>100</v>
      </c>
      <c r="L206" s="99">
        <f>'RSGen 1-7'!L206</f>
        <v>100</v>
      </c>
      <c r="M206" s="99">
        <f>'RSGen 1-7'!M206</f>
        <v>100</v>
      </c>
      <c r="N206" s="99">
        <f>'RSGen 1-7'!N206</f>
        <v>100</v>
      </c>
      <c r="O206" s="99">
        <f>'RSGen 1-7'!O206</f>
        <v>100</v>
      </c>
      <c r="P206" s="99">
        <f>'RSGen 1-7'!P206</f>
        <v>100</v>
      </c>
      <c r="Q206" s="99">
        <f>'RSGen 1-7'!Q206</f>
        <v>100</v>
      </c>
      <c r="R206" s="99">
        <f>'RSGen 1-7'!R206</f>
        <v>100</v>
      </c>
      <c r="AT206" s="308"/>
      <c r="AU206" s="308"/>
      <c r="AV206" s="308"/>
      <c r="AW206" s="308"/>
      <c r="AX206" s="308"/>
      <c r="AY206" s="308"/>
      <c r="AZ206" s="308"/>
      <c r="BA206" s="308"/>
      <c r="BB206" s="308"/>
      <c r="BC206" s="308"/>
      <c r="BD206" s="308"/>
      <c r="BE206" s="308"/>
      <c r="BF206" s="308"/>
      <c r="BG206" s="308"/>
    </row>
    <row r="207" ht="12.75" customHeight="1" outlineLevel="1">
      <c r="A207" s="90"/>
      <c r="B207" s="90"/>
      <c r="C207" s="90" t="s">
        <v>748</v>
      </c>
      <c r="D207" s="90"/>
      <c r="E207" s="90"/>
      <c r="F207" s="90"/>
      <c r="G207" s="99">
        <f>'RSGen 1-7'!G207</f>
        <v>0</v>
      </c>
      <c r="H207" s="99">
        <f>'RSGen 1-7'!H207</f>
        <v>0</v>
      </c>
      <c r="I207" s="99">
        <f>'RSGen 1-7'!I207</f>
        <v>110000</v>
      </c>
      <c r="J207" s="99">
        <f>'RSGen 1-7'!J207</f>
        <v>10000</v>
      </c>
      <c r="K207" s="99">
        <f>'RSGen 1-7'!K207</f>
        <v>10000</v>
      </c>
      <c r="L207" s="99">
        <f>'RSGen 1-7'!L207</f>
        <v>10000</v>
      </c>
      <c r="M207" s="99">
        <f>'RSGen 1-7'!M207</f>
        <v>10000</v>
      </c>
      <c r="N207" s="99">
        <f>'RSGen 1-7'!N207</f>
        <v>10000</v>
      </c>
      <c r="O207" s="99">
        <f>'RSGen 1-7'!O207</f>
        <v>10000</v>
      </c>
      <c r="P207" s="99">
        <f>'RSGen 1-7'!P207</f>
        <v>10000</v>
      </c>
      <c r="Q207" s="99">
        <f>'RSGen 1-7'!Q207</f>
        <v>10000</v>
      </c>
      <c r="R207" s="99">
        <f>'RSGen 1-7'!R207</f>
        <v>10000</v>
      </c>
      <c r="AT207" s="308" t="str">
        <f t="shared" ref="AT207:BG207" si="203">AS207</f>
        <v/>
      </c>
      <c r="AU207" s="308" t="str">
        <f t="shared" si="203"/>
        <v/>
      </c>
      <c r="AV207" s="308" t="str">
        <f t="shared" si="203"/>
        <v/>
      </c>
      <c r="AW207" s="308" t="str">
        <f t="shared" si="203"/>
        <v/>
      </c>
      <c r="AX207" s="308" t="str">
        <f t="shared" si="203"/>
        <v/>
      </c>
      <c r="AY207" s="308" t="str">
        <f t="shared" si="203"/>
        <v/>
      </c>
      <c r="AZ207" s="308" t="str">
        <f t="shared" si="203"/>
        <v/>
      </c>
      <c r="BA207" s="308" t="str">
        <f t="shared" si="203"/>
        <v/>
      </c>
      <c r="BB207" s="308" t="str">
        <f t="shared" si="203"/>
        <v/>
      </c>
      <c r="BC207" s="308" t="str">
        <f t="shared" si="203"/>
        <v/>
      </c>
      <c r="BD207" s="308" t="str">
        <f t="shared" si="203"/>
        <v/>
      </c>
      <c r="BE207" s="308" t="str">
        <f t="shared" si="203"/>
        <v/>
      </c>
      <c r="BF207" s="308" t="str">
        <f t="shared" si="203"/>
        <v/>
      </c>
      <c r="BG207" s="308" t="str">
        <f t="shared" si="203"/>
        <v/>
      </c>
    </row>
    <row r="208" ht="12.75" customHeight="1" outlineLevel="1">
      <c r="A208" s="90"/>
      <c r="B208" s="90"/>
      <c r="C208" s="90" t="s">
        <v>749</v>
      </c>
      <c r="D208" s="90"/>
      <c r="E208" s="90"/>
      <c r="F208" s="90"/>
      <c r="G208" s="99">
        <f>'RSGen 1-7'!G208</f>
        <v>750</v>
      </c>
      <c r="H208" s="99">
        <f>'RSGen 1-7'!H208</f>
        <v>750</v>
      </c>
      <c r="I208" s="99">
        <f>'RSGen 1-7'!I208</f>
        <v>750</v>
      </c>
      <c r="J208" s="99">
        <f>'RSGen 1-7'!J208</f>
        <v>750</v>
      </c>
      <c r="K208" s="99">
        <f>'RSGen 1-7'!K208</f>
        <v>750</v>
      </c>
      <c r="L208" s="99">
        <f>'RSGen 1-7'!L208</f>
        <v>750</v>
      </c>
      <c r="M208" s="99">
        <f>'RSGen 1-7'!M208</f>
        <v>750</v>
      </c>
      <c r="N208" s="99">
        <f>'RSGen 1-7'!N208</f>
        <v>750</v>
      </c>
      <c r="O208" s="99">
        <f>'RSGen 1-7'!O208</f>
        <v>750</v>
      </c>
      <c r="P208" s="99">
        <f>'RSGen 1-7'!P208</f>
        <v>750</v>
      </c>
      <c r="Q208" s="99">
        <f>'RSGen 1-7'!Q208</f>
        <v>750</v>
      </c>
      <c r="R208" s="99">
        <f>'RSGen 1-7'!R208</f>
        <v>750</v>
      </c>
      <c r="AT208" s="308" t="str">
        <f t="shared" ref="AT208:BG208" si="204">AS208</f>
        <v/>
      </c>
      <c r="AU208" s="308" t="str">
        <f t="shared" si="204"/>
        <v/>
      </c>
      <c r="AV208" s="308" t="str">
        <f t="shared" si="204"/>
        <v/>
      </c>
      <c r="AW208" s="308" t="str">
        <f t="shared" si="204"/>
        <v/>
      </c>
      <c r="AX208" s="308" t="str">
        <f t="shared" si="204"/>
        <v/>
      </c>
      <c r="AY208" s="308" t="str">
        <f t="shared" si="204"/>
        <v/>
      </c>
      <c r="AZ208" s="308" t="str">
        <f t="shared" si="204"/>
        <v/>
      </c>
      <c r="BA208" s="308" t="str">
        <f t="shared" si="204"/>
        <v/>
      </c>
      <c r="BB208" s="308" t="str">
        <f t="shared" si="204"/>
        <v/>
      </c>
      <c r="BC208" s="308" t="str">
        <f t="shared" si="204"/>
        <v/>
      </c>
      <c r="BD208" s="308" t="str">
        <f t="shared" si="204"/>
        <v/>
      </c>
      <c r="BE208" s="308" t="str">
        <f t="shared" si="204"/>
        <v/>
      </c>
      <c r="BF208" s="308" t="str">
        <f t="shared" si="204"/>
        <v/>
      </c>
      <c r="BG208" s="308" t="str">
        <f t="shared" si="204"/>
        <v/>
      </c>
    </row>
    <row r="209" ht="12.75" customHeight="1" outlineLevel="1">
      <c r="A209" s="90"/>
      <c r="B209" s="90"/>
      <c r="C209" s="90" t="s">
        <v>750</v>
      </c>
      <c r="D209" s="90"/>
      <c r="E209" s="90"/>
      <c r="F209" s="90"/>
      <c r="G209" s="99">
        <f>'RSGen 1-7'!G209</f>
        <v>0</v>
      </c>
      <c r="H209" s="99">
        <f>'RSGen 1-7'!H209</f>
        <v>0</v>
      </c>
      <c r="I209" s="99">
        <f>'RSGen 1-7'!I209</f>
        <v>440</v>
      </c>
      <c r="J209" s="99">
        <f>'RSGen 1-7'!J209</f>
        <v>440</v>
      </c>
      <c r="K209" s="99">
        <f>'RSGen 1-7'!K209</f>
        <v>440</v>
      </c>
      <c r="L209" s="99">
        <f>'RSGen 1-7'!L209</f>
        <v>440</v>
      </c>
      <c r="M209" s="99">
        <f>'RSGen 1-7'!M209</f>
        <v>440</v>
      </c>
      <c r="N209" s="99">
        <f>'RSGen 1-7'!N209</f>
        <v>440</v>
      </c>
      <c r="O209" s="99">
        <f>'RSGen 1-7'!O209</f>
        <v>440</v>
      </c>
      <c r="P209" s="99">
        <f>'RSGen 1-7'!P209</f>
        <v>440</v>
      </c>
      <c r="Q209" s="99">
        <f>'RSGen 1-7'!Q209</f>
        <v>440</v>
      </c>
      <c r="R209" s="99">
        <f>'RSGen 1-7'!R209</f>
        <v>440</v>
      </c>
      <c r="AT209" s="308" t="str">
        <f t="shared" ref="AT209:BG209" si="205">AS209</f>
        <v/>
      </c>
      <c r="AU209" s="308" t="str">
        <f t="shared" si="205"/>
        <v/>
      </c>
      <c r="AV209" s="308" t="str">
        <f t="shared" si="205"/>
        <v/>
      </c>
      <c r="AW209" s="308" t="str">
        <f t="shared" si="205"/>
        <v/>
      </c>
      <c r="AX209" s="308" t="str">
        <f t="shared" si="205"/>
        <v/>
      </c>
      <c r="AY209" s="308" t="str">
        <f t="shared" si="205"/>
        <v/>
      </c>
      <c r="AZ209" s="308" t="str">
        <f t="shared" si="205"/>
        <v/>
      </c>
      <c r="BA209" s="308" t="str">
        <f t="shared" si="205"/>
        <v/>
      </c>
      <c r="BB209" s="308" t="str">
        <f t="shared" si="205"/>
        <v/>
      </c>
      <c r="BC209" s="308" t="str">
        <f t="shared" si="205"/>
        <v/>
      </c>
      <c r="BD209" s="308" t="str">
        <f t="shared" si="205"/>
        <v/>
      </c>
      <c r="BE209" s="308" t="str">
        <f t="shared" si="205"/>
        <v/>
      </c>
      <c r="BF209" s="308" t="str">
        <f t="shared" si="205"/>
        <v/>
      </c>
      <c r="BG209" s="308" t="str">
        <f t="shared" si="205"/>
        <v/>
      </c>
    </row>
    <row r="210" ht="12.75" customHeight="1" outlineLevel="1">
      <c r="A210" s="90"/>
      <c r="B210" s="90"/>
      <c r="C210" s="90"/>
      <c r="D210" s="90"/>
      <c r="E210" s="90"/>
      <c r="F210" s="90"/>
      <c r="G210" s="90"/>
      <c r="H210" s="90"/>
      <c r="I210" s="90"/>
      <c r="J210" s="90"/>
      <c r="K210" s="90"/>
      <c r="L210" s="90"/>
      <c r="M210" s="90"/>
      <c r="N210" s="90"/>
      <c r="O210" s="90"/>
      <c r="P210" s="90"/>
      <c r="Q210" s="90"/>
      <c r="R210" s="90"/>
      <c r="AT210" s="313"/>
      <c r="AU210" s="313"/>
      <c r="AV210" s="313"/>
      <c r="AW210" s="313"/>
      <c r="AX210" s="313"/>
      <c r="AY210" s="313"/>
      <c r="AZ210" s="313"/>
      <c r="BA210" s="313"/>
      <c r="BB210" s="313"/>
      <c r="BC210" s="313"/>
      <c r="BD210" s="313"/>
      <c r="BE210" s="313"/>
      <c r="BF210" s="313"/>
      <c r="BG210" s="313"/>
    </row>
    <row r="211" ht="12.75" customHeight="1" outlineLevel="1">
      <c r="A211" s="90"/>
      <c r="B211" s="67" t="s">
        <v>626</v>
      </c>
      <c r="C211" s="90"/>
      <c r="D211" s="90"/>
      <c r="E211" s="90"/>
      <c r="F211" s="90"/>
      <c r="G211" s="99"/>
      <c r="H211" s="99"/>
      <c r="I211" s="99"/>
      <c r="J211" s="99"/>
      <c r="K211" s="99"/>
      <c r="L211" s="99"/>
      <c r="M211" s="99"/>
      <c r="N211" s="99"/>
      <c r="O211" s="99"/>
      <c r="P211" s="99"/>
      <c r="Q211" s="99"/>
      <c r="R211" s="99"/>
      <c r="AT211" s="308"/>
      <c r="AU211" s="308"/>
      <c r="AV211" s="308"/>
      <c r="AW211" s="308"/>
      <c r="AX211" s="308"/>
      <c r="AY211" s="308"/>
      <c r="AZ211" s="308"/>
      <c r="BA211" s="308"/>
      <c r="BB211" s="308"/>
      <c r="BC211" s="308"/>
      <c r="BD211" s="308"/>
      <c r="BE211" s="308"/>
      <c r="BF211" s="308"/>
      <c r="BG211" s="308"/>
    </row>
    <row r="212" ht="12.75" customHeight="1" outlineLevel="1">
      <c r="A212" s="90"/>
      <c r="B212" s="90"/>
      <c r="C212" s="90" t="s">
        <v>751</v>
      </c>
      <c r="D212" s="90"/>
      <c r="E212" s="90"/>
      <c r="F212" s="90"/>
      <c r="G212" s="99" t="str">
        <f>'RSGen 1-7'!G212</f>
        <v/>
      </c>
      <c r="H212" s="99">
        <f>'RSGen 1-7'!H212</f>
        <v>0</v>
      </c>
      <c r="I212" s="99">
        <f>'RSGen 1-7'!I212</f>
        <v>3500</v>
      </c>
      <c r="J212" s="99">
        <f>'RSGen 1-7'!J212</f>
        <v>3500</v>
      </c>
      <c r="K212" s="99">
        <f>'RSGen 1-7'!K212</f>
        <v>3500</v>
      </c>
      <c r="L212" s="99">
        <f>'RSGen 1-7'!L212</f>
        <v>3500</v>
      </c>
      <c r="M212" s="99">
        <f>'RSGen 1-7'!M212</f>
        <v>3500</v>
      </c>
      <c r="N212" s="99">
        <f>'RSGen 1-7'!N212</f>
        <v>3500</v>
      </c>
      <c r="O212" s="99">
        <f>'RSGen 1-7'!O212</f>
        <v>3500</v>
      </c>
      <c r="P212" s="99">
        <f>'RSGen 1-7'!P212</f>
        <v>3500</v>
      </c>
      <c r="Q212" s="99">
        <f>'RSGen 1-7'!Q212</f>
        <v>3500</v>
      </c>
      <c r="R212" s="99">
        <f>'RSGen 1-7'!R212</f>
        <v>3500</v>
      </c>
      <c r="AT212" s="308" t="str">
        <f t="shared" ref="AT212:BG212" si="206">AS212</f>
        <v/>
      </c>
      <c r="AU212" s="308" t="str">
        <f t="shared" si="206"/>
        <v/>
      </c>
      <c r="AV212" s="308" t="str">
        <f t="shared" si="206"/>
        <v/>
      </c>
      <c r="AW212" s="308" t="str">
        <f t="shared" si="206"/>
        <v/>
      </c>
      <c r="AX212" s="308" t="str">
        <f t="shared" si="206"/>
        <v/>
      </c>
      <c r="AY212" s="308" t="str">
        <f t="shared" si="206"/>
        <v/>
      </c>
      <c r="AZ212" s="308" t="str">
        <f t="shared" si="206"/>
        <v/>
      </c>
      <c r="BA212" s="308" t="str">
        <f t="shared" si="206"/>
        <v/>
      </c>
      <c r="BB212" s="308" t="str">
        <f t="shared" si="206"/>
        <v/>
      </c>
      <c r="BC212" s="308" t="str">
        <f t="shared" si="206"/>
        <v/>
      </c>
      <c r="BD212" s="308" t="str">
        <f t="shared" si="206"/>
        <v/>
      </c>
      <c r="BE212" s="308" t="str">
        <f t="shared" si="206"/>
        <v/>
      </c>
      <c r="BF212" s="308" t="str">
        <f t="shared" si="206"/>
        <v/>
      </c>
      <c r="BG212" s="308" t="str">
        <f t="shared" si="206"/>
        <v/>
      </c>
    </row>
    <row r="213" ht="12.75" customHeight="1" outlineLevel="1">
      <c r="A213" s="90"/>
      <c r="B213" s="90"/>
      <c r="C213" s="90" t="s">
        <v>752</v>
      </c>
      <c r="D213" s="90"/>
      <c r="E213" s="90"/>
      <c r="F213" s="90"/>
      <c r="G213" s="99" t="str">
        <f>'RSGen 1-7'!G213</f>
        <v/>
      </c>
      <c r="H213" s="99">
        <f>'RSGen 1-7'!H213</f>
        <v>700</v>
      </c>
      <c r="I213" s="99">
        <f>'RSGen 1-7'!I213</f>
        <v>700</v>
      </c>
      <c r="J213" s="99">
        <f>'RSGen 1-7'!J213</f>
        <v>700</v>
      </c>
      <c r="K213" s="99">
        <f>'RSGen 1-7'!K213</f>
        <v>700</v>
      </c>
      <c r="L213" s="99">
        <f>'RSGen 1-7'!L213</f>
        <v>700</v>
      </c>
      <c r="M213" s="99">
        <f>'RSGen 1-7'!M213</f>
        <v>700</v>
      </c>
      <c r="N213" s="99">
        <f>'RSGen 1-7'!N213</f>
        <v>700</v>
      </c>
      <c r="O213" s="99">
        <f>'RSGen 1-7'!O213</f>
        <v>700</v>
      </c>
      <c r="P213" s="99">
        <f>'RSGen 1-7'!P213</f>
        <v>700</v>
      </c>
      <c r="Q213" s="99">
        <f>'RSGen 1-7'!Q213</f>
        <v>700</v>
      </c>
      <c r="R213" s="99">
        <f>'RSGen 1-7'!R213</f>
        <v>700</v>
      </c>
      <c r="AT213" s="308" t="str">
        <f t="shared" ref="AT213:BG213" si="207">AS213</f>
        <v/>
      </c>
      <c r="AU213" s="308" t="str">
        <f t="shared" si="207"/>
        <v/>
      </c>
      <c r="AV213" s="308" t="str">
        <f t="shared" si="207"/>
        <v/>
      </c>
      <c r="AW213" s="308" t="str">
        <f t="shared" si="207"/>
        <v/>
      </c>
      <c r="AX213" s="308" t="str">
        <f t="shared" si="207"/>
        <v/>
      </c>
      <c r="AY213" s="308" t="str">
        <f t="shared" si="207"/>
        <v/>
      </c>
      <c r="AZ213" s="308" t="str">
        <f t="shared" si="207"/>
        <v/>
      </c>
      <c r="BA213" s="308" t="str">
        <f t="shared" si="207"/>
        <v/>
      </c>
      <c r="BB213" s="308" t="str">
        <f t="shared" si="207"/>
        <v/>
      </c>
      <c r="BC213" s="308" t="str">
        <f t="shared" si="207"/>
        <v/>
      </c>
      <c r="BD213" s="308" t="str">
        <f t="shared" si="207"/>
        <v/>
      </c>
      <c r="BE213" s="308" t="str">
        <f t="shared" si="207"/>
        <v/>
      </c>
      <c r="BF213" s="308" t="str">
        <f t="shared" si="207"/>
        <v/>
      </c>
      <c r="BG213" s="308" t="str">
        <f t="shared" si="207"/>
        <v/>
      </c>
    </row>
    <row r="214" ht="12.75" customHeight="1" outlineLevel="1">
      <c r="A214" s="90"/>
      <c r="B214" s="90"/>
      <c r="C214" s="90" t="s">
        <v>753</v>
      </c>
      <c r="D214" s="90"/>
      <c r="E214" s="90"/>
      <c r="F214" s="90"/>
      <c r="G214" s="99" t="str">
        <f>'RSGen 1-7'!G214</f>
        <v/>
      </c>
      <c r="H214" s="99" t="str">
        <f>'RSGen 1-7'!H214</f>
        <v/>
      </c>
      <c r="I214" s="99" t="str">
        <f>'RSGen 1-7'!I214</f>
        <v/>
      </c>
      <c r="J214" s="99" t="str">
        <f>'RSGen 1-7'!J214</f>
        <v/>
      </c>
      <c r="K214" s="99" t="str">
        <f>'RSGen 1-7'!K214</f>
        <v/>
      </c>
      <c r="L214" s="99" t="str">
        <f>'RSGen 1-7'!L214</f>
        <v/>
      </c>
      <c r="M214" s="99" t="str">
        <f>'RSGen 1-7'!M214</f>
        <v/>
      </c>
      <c r="N214" s="99" t="str">
        <f>'RSGen 1-7'!N214</f>
        <v/>
      </c>
      <c r="O214" s="99" t="str">
        <f>'RSGen 1-7'!O214</f>
        <v/>
      </c>
      <c r="P214" s="99" t="str">
        <f>'RSGen 1-7'!P214</f>
        <v/>
      </c>
      <c r="Q214" s="99" t="str">
        <f>'RSGen 1-7'!Q214</f>
        <v/>
      </c>
      <c r="R214" s="99" t="str">
        <f>'RSGen 1-7'!R214</f>
        <v/>
      </c>
      <c r="AT214" s="308" t="str">
        <f t="shared" ref="AT214:BG214" si="208">AS214</f>
        <v/>
      </c>
      <c r="AU214" s="308" t="str">
        <f t="shared" si="208"/>
        <v/>
      </c>
      <c r="AV214" s="308" t="str">
        <f t="shared" si="208"/>
        <v/>
      </c>
      <c r="AW214" s="308" t="str">
        <f t="shared" si="208"/>
        <v/>
      </c>
      <c r="AX214" s="308" t="str">
        <f t="shared" si="208"/>
        <v/>
      </c>
      <c r="AY214" s="308" t="str">
        <f t="shared" si="208"/>
        <v/>
      </c>
      <c r="AZ214" s="308" t="str">
        <f t="shared" si="208"/>
        <v/>
      </c>
      <c r="BA214" s="308" t="str">
        <f t="shared" si="208"/>
        <v/>
      </c>
      <c r="BB214" s="308" t="str">
        <f t="shared" si="208"/>
        <v/>
      </c>
      <c r="BC214" s="308" t="str">
        <f t="shared" si="208"/>
        <v/>
      </c>
      <c r="BD214" s="308" t="str">
        <f t="shared" si="208"/>
        <v/>
      </c>
      <c r="BE214" s="308" t="str">
        <f t="shared" si="208"/>
        <v/>
      </c>
      <c r="BF214" s="308" t="str">
        <f t="shared" si="208"/>
        <v/>
      </c>
      <c r="BG214" s="308" t="str">
        <f t="shared" si="208"/>
        <v/>
      </c>
    </row>
    <row r="215" ht="12.75" customHeight="1" outlineLevel="1">
      <c r="A215" s="90"/>
      <c r="B215" s="90"/>
      <c r="C215" s="90" t="s">
        <v>754</v>
      </c>
      <c r="D215" s="90"/>
      <c r="E215" s="90"/>
      <c r="F215" s="90"/>
      <c r="G215" s="99" t="str">
        <f>'RSGen 1-7'!G215</f>
        <v/>
      </c>
      <c r="H215" s="99">
        <f>'RSGen 1-7'!H215</f>
        <v>0</v>
      </c>
      <c r="I215" s="99">
        <f>'RSGen 1-7'!I215</f>
        <v>25000</v>
      </c>
      <c r="J215" s="99">
        <f>'RSGen 1-7'!J215</f>
        <v>25000</v>
      </c>
      <c r="K215" s="99">
        <f>'RSGen 1-7'!K215</f>
        <v>25000</v>
      </c>
      <c r="L215" s="99">
        <f>'RSGen 1-7'!L215</f>
        <v>25000</v>
      </c>
      <c r="M215" s="99">
        <f>'RSGen 1-7'!M215</f>
        <v>25000</v>
      </c>
      <c r="N215" s="99">
        <f>'RSGen 1-7'!N215</f>
        <v>25000</v>
      </c>
      <c r="O215" s="99">
        <f>'RSGen 1-7'!O215</f>
        <v>25000</v>
      </c>
      <c r="P215" s="99">
        <f>'RSGen 1-7'!P215</f>
        <v>25000</v>
      </c>
      <c r="Q215" s="99">
        <f>'RSGen 1-7'!Q215</f>
        <v>25000</v>
      </c>
      <c r="R215" s="99">
        <f>'RSGen 1-7'!R215</f>
        <v>25000</v>
      </c>
      <c r="AT215" s="308" t="str">
        <f t="shared" ref="AT215:BG215" si="209">AS215</f>
        <v/>
      </c>
      <c r="AU215" s="308" t="str">
        <f t="shared" si="209"/>
        <v/>
      </c>
      <c r="AV215" s="308" t="str">
        <f t="shared" si="209"/>
        <v/>
      </c>
      <c r="AW215" s="308" t="str">
        <f t="shared" si="209"/>
        <v/>
      </c>
      <c r="AX215" s="308" t="str">
        <f t="shared" si="209"/>
        <v/>
      </c>
      <c r="AY215" s="308" t="str">
        <f t="shared" si="209"/>
        <v/>
      </c>
      <c r="AZ215" s="308" t="str">
        <f t="shared" si="209"/>
        <v/>
      </c>
      <c r="BA215" s="308" t="str">
        <f t="shared" si="209"/>
        <v/>
      </c>
      <c r="BB215" s="308" t="str">
        <f t="shared" si="209"/>
        <v/>
      </c>
      <c r="BC215" s="308" t="str">
        <f t="shared" si="209"/>
        <v/>
      </c>
      <c r="BD215" s="308" t="str">
        <f t="shared" si="209"/>
        <v/>
      </c>
      <c r="BE215" s="308" t="str">
        <f t="shared" si="209"/>
        <v/>
      </c>
      <c r="BF215" s="308" t="str">
        <f t="shared" si="209"/>
        <v/>
      </c>
      <c r="BG215" s="308" t="str">
        <f t="shared" si="209"/>
        <v/>
      </c>
    </row>
    <row r="216" ht="12.75" customHeight="1" outlineLevel="1">
      <c r="A216" s="90"/>
      <c r="B216" s="90"/>
      <c r="C216" s="90" t="s">
        <v>755</v>
      </c>
      <c r="D216" s="90"/>
      <c r="E216" s="90"/>
      <c r="F216" s="90"/>
      <c r="G216" s="99" t="str">
        <f>'RSGen 1-7'!G216</f>
        <v/>
      </c>
      <c r="H216" s="99">
        <f>'RSGen 1-7'!H216</f>
        <v>0</v>
      </c>
      <c r="I216" s="99">
        <f>'RSGen 1-7'!I216</f>
        <v>55000</v>
      </c>
      <c r="J216" s="99">
        <f>'RSGen 1-7'!J216</f>
        <v>65000</v>
      </c>
      <c r="K216" s="99">
        <f>'RSGen 1-7'!K216</f>
        <v>65000</v>
      </c>
      <c r="L216" s="99">
        <f>'RSGen 1-7'!L216</f>
        <v>65000</v>
      </c>
      <c r="M216" s="99">
        <f>'RSGen 1-7'!M216</f>
        <v>65000</v>
      </c>
      <c r="N216" s="99">
        <f>'RSGen 1-7'!N216</f>
        <v>65000</v>
      </c>
      <c r="O216" s="99">
        <f>'RSGen 1-7'!O216</f>
        <v>65000</v>
      </c>
      <c r="P216" s="99">
        <f>'RSGen 1-7'!P216</f>
        <v>65000</v>
      </c>
      <c r="Q216" s="99">
        <f>'RSGen 1-7'!Q216</f>
        <v>65000</v>
      </c>
      <c r="R216" s="99">
        <f>'RSGen 1-7'!R216</f>
        <v>65000</v>
      </c>
      <c r="AT216" s="308" t="str">
        <f t="shared" ref="AT216:BG216" si="210">AS216</f>
        <v/>
      </c>
      <c r="AU216" s="308" t="str">
        <f t="shared" si="210"/>
        <v/>
      </c>
      <c r="AV216" s="308" t="str">
        <f t="shared" si="210"/>
        <v/>
      </c>
      <c r="AW216" s="308" t="str">
        <f t="shared" si="210"/>
        <v/>
      </c>
      <c r="AX216" s="308" t="str">
        <f t="shared" si="210"/>
        <v/>
      </c>
      <c r="AY216" s="308" t="str">
        <f t="shared" si="210"/>
        <v/>
      </c>
      <c r="AZ216" s="308" t="str">
        <f t="shared" si="210"/>
        <v/>
      </c>
      <c r="BA216" s="308" t="str">
        <f t="shared" si="210"/>
        <v/>
      </c>
      <c r="BB216" s="308" t="str">
        <f t="shared" si="210"/>
        <v/>
      </c>
      <c r="BC216" s="308" t="str">
        <f t="shared" si="210"/>
        <v/>
      </c>
      <c r="BD216" s="308" t="str">
        <f t="shared" si="210"/>
        <v/>
      </c>
      <c r="BE216" s="308" t="str">
        <f t="shared" si="210"/>
        <v/>
      </c>
      <c r="BF216" s="308" t="str">
        <f t="shared" si="210"/>
        <v/>
      </c>
      <c r="BG216" s="308" t="str">
        <f t="shared" si="210"/>
        <v/>
      </c>
    </row>
    <row r="217" ht="12.75" customHeight="1" outlineLevel="1">
      <c r="A217" s="90"/>
      <c r="B217" s="90"/>
      <c r="C217" s="90" t="s">
        <v>756</v>
      </c>
      <c r="D217" s="90"/>
      <c r="E217" s="90"/>
      <c r="F217" s="90"/>
      <c r="G217" s="99"/>
      <c r="H217" s="99">
        <f t="shared" ref="H217:R217" si="211">200*10</f>
        <v>2000</v>
      </c>
      <c r="I217" s="99">
        <f t="shared" si="211"/>
        <v>2000</v>
      </c>
      <c r="J217" s="99">
        <f t="shared" si="211"/>
        <v>2000</v>
      </c>
      <c r="K217" s="99">
        <f t="shared" si="211"/>
        <v>2000</v>
      </c>
      <c r="L217" s="99">
        <f t="shared" si="211"/>
        <v>2000</v>
      </c>
      <c r="M217" s="99">
        <f t="shared" si="211"/>
        <v>2000</v>
      </c>
      <c r="N217" s="99">
        <f t="shared" si="211"/>
        <v>2000</v>
      </c>
      <c r="O217" s="99">
        <f t="shared" si="211"/>
        <v>2000</v>
      </c>
      <c r="P217" s="99">
        <f t="shared" si="211"/>
        <v>2000</v>
      </c>
      <c r="Q217" s="99">
        <f t="shared" si="211"/>
        <v>2000</v>
      </c>
      <c r="R217" s="99">
        <f t="shared" si="211"/>
        <v>2000</v>
      </c>
      <c r="AT217" s="308"/>
      <c r="AU217" s="308"/>
      <c r="AV217" s="308"/>
      <c r="AW217" s="308"/>
      <c r="AX217" s="308"/>
      <c r="AY217" s="308"/>
      <c r="AZ217" s="308"/>
      <c r="BA217" s="308"/>
      <c r="BB217" s="308"/>
      <c r="BC217" s="308"/>
      <c r="BD217" s="308"/>
      <c r="BE217" s="308"/>
      <c r="BF217" s="308"/>
      <c r="BG217" s="308"/>
    </row>
    <row r="218" ht="12.75" customHeight="1" outlineLevel="1">
      <c r="A218" s="90"/>
      <c r="B218" s="90"/>
      <c r="C218" s="90" t="s">
        <v>757</v>
      </c>
      <c r="D218" s="90"/>
      <c r="E218" s="90"/>
      <c r="F218" s="90"/>
      <c r="G218" s="99"/>
      <c r="H218" s="99"/>
      <c r="I218" s="99"/>
      <c r="J218" s="99"/>
      <c r="K218" s="99"/>
      <c r="L218" s="99"/>
      <c r="M218" s="99"/>
      <c r="N218" s="99"/>
      <c r="O218" s="99"/>
      <c r="P218" s="99"/>
      <c r="Q218" s="99"/>
      <c r="R218" s="99"/>
      <c r="AT218" s="308"/>
      <c r="AU218" s="308"/>
      <c r="AV218" s="308"/>
      <c r="AW218" s="308"/>
      <c r="AX218" s="308"/>
      <c r="AY218" s="308"/>
      <c r="AZ218" s="308"/>
      <c r="BA218" s="308"/>
      <c r="BB218" s="308"/>
      <c r="BC218" s="308"/>
      <c r="BD218" s="308"/>
      <c r="BE218" s="308"/>
      <c r="BF218" s="308"/>
      <c r="BG218" s="308"/>
    </row>
    <row r="219" ht="12.75" customHeight="1" outlineLevel="1">
      <c r="A219" s="90"/>
      <c r="B219" s="90"/>
      <c r="C219" s="90"/>
      <c r="D219" s="90" t="s">
        <v>339</v>
      </c>
      <c r="E219" s="90"/>
      <c r="F219" s="90"/>
      <c r="G219" s="99" t="str">
        <f>'RSGen 1-7'!G219</f>
        <v/>
      </c>
      <c r="H219" s="99">
        <f>'RSGen 1-7'!H219</f>
        <v>3280</v>
      </c>
      <c r="I219" s="99">
        <f>'RSGen 1-7'!I219</f>
        <v>3280</v>
      </c>
      <c r="J219" s="99">
        <f>'RSGen 1-7'!J219</f>
        <v>600</v>
      </c>
      <c r="K219" s="99">
        <f>'RSGen 1-7'!K219</f>
        <v>600</v>
      </c>
      <c r="L219" s="99">
        <f>'RSGen 1-7'!L219</f>
        <v>600</v>
      </c>
      <c r="M219" s="99">
        <f>'RSGen 1-7'!M219</f>
        <v>600</v>
      </c>
      <c r="N219" s="99">
        <f>'RSGen 1-7'!N219</f>
        <v>600</v>
      </c>
      <c r="O219" s="99">
        <f>'RSGen 1-7'!O219</f>
        <v>600</v>
      </c>
      <c r="P219" s="99">
        <f>'RSGen 1-7'!P219</f>
        <v>600</v>
      </c>
      <c r="Q219" s="99">
        <f>'RSGen 1-7'!Q219</f>
        <v>600</v>
      </c>
      <c r="R219" s="99">
        <f>'RSGen 1-7'!R219</f>
        <v>600</v>
      </c>
      <c r="AT219" s="308" t="str">
        <f t="shared" ref="AT219:BG219" si="212">AS219</f>
        <v/>
      </c>
      <c r="AU219" s="308" t="str">
        <f t="shared" si="212"/>
        <v/>
      </c>
      <c r="AV219" s="308" t="str">
        <f t="shared" si="212"/>
        <v/>
      </c>
      <c r="AW219" s="308" t="str">
        <f t="shared" si="212"/>
        <v/>
      </c>
      <c r="AX219" s="308" t="str">
        <f t="shared" si="212"/>
        <v/>
      </c>
      <c r="AY219" s="308" t="str">
        <f t="shared" si="212"/>
        <v/>
      </c>
      <c r="AZ219" s="308" t="str">
        <f t="shared" si="212"/>
        <v/>
      </c>
      <c r="BA219" s="308" t="str">
        <f t="shared" si="212"/>
        <v/>
      </c>
      <c r="BB219" s="308" t="str">
        <f t="shared" si="212"/>
        <v/>
      </c>
      <c r="BC219" s="308" t="str">
        <f t="shared" si="212"/>
        <v/>
      </c>
      <c r="BD219" s="308" t="str">
        <f t="shared" si="212"/>
        <v/>
      </c>
      <c r="BE219" s="308" t="str">
        <f t="shared" si="212"/>
        <v/>
      </c>
      <c r="BF219" s="308" t="str">
        <f t="shared" si="212"/>
        <v/>
      </c>
      <c r="BG219" s="308" t="str">
        <f t="shared" si="212"/>
        <v/>
      </c>
    </row>
    <row r="220" ht="12.75" customHeight="1" outlineLevel="1">
      <c r="A220" s="90"/>
      <c r="B220" s="90"/>
      <c r="C220" s="90"/>
      <c r="D220" s="90" t="s">
        <v>758</v>
      </c>
      <c r="E220" s="90"/>
      <c r="F220" s="90"/>
      <c r="G220" s="99" t="str">
        <f>'RSGen 1-7'!G220</f>
        <v/>
      </c>
      <c r="H220" s="99">
        <f>'RSGen 1-7'!H220</f>
        <v>0</v>
      </c>
      <c r="I220" s="99">
        <f>'RSGen 1-7'!I220</f>
        <v>20000</v>
      </c>
      <c r="J220" s="99">
        <f>'RSGen 1-7'!J220</f>
        <v>30000</v>
      </c>
      <c r="K220" s="99">
        <f>'RSGen 1-7'!K220</f>
        <v>30000</v>
      </c>
      <c r="L220" s="99">
        <f>'RSGen 1-7'!L220</f>
        <v>30000</v>
      </c>
      <c r="M220" s="99">
        <f>'RSGen 1-7'!M220</f>
        <v>30000</v>
      </c>
      <c r="N220" s="99">
        <f>'RSGen 1-7'!N220</f>
        <v>30000</v>
      </c>
      <c r="O220" s="99">
        <f>'RSGen 1-7'!O220</f>
        <v>30000</v>
      </c>
      <c r="P220" s="93">
        <f>'RSGen 1-7'!P220</f>
        <v>30000</v>
      </c>
      <c r="Q220" s="93">
        <f>'RSGen 1-7'!Q220</f>
        <v>30000</v>
      </c>
      <c r="R220" s="93">
        <f>'RSGen 1-7'!R220</f>
        <v>30000</v>
      </c>
      <c r="S220" s="93"/>
      <c r="T220" s="93"/>
      <c r="U220" s="93"/>
      <c r="V220" s="93"/>
      <c r="W220" s="93"/>
      <c r="X220" s="93"/>
      <c r="Y220" s="93"/>
      <c r="Z220" s="93"/>
      <c r="AA220" s="93"/>
      <c r="AB220" s="93"/>
      <c r="AC220" s="93"/>
      <c r="AD220" s="93"/>
      <c r="AE220" s="93"/>
      <c r="AF220" s="93"/>
      <c r="AG220" s="93"/>
      <c r="AH220" s="93"/>
      <c r="AI220" s="93"/>
      <c r="AJ220" s="93"/>
      <c r="AK220" s="93"/>
      <c r="AL220" s="93"/>
      <c r="AM220" s="93"/>
      <c r="AN220" s="93"/>
      <c r="AO220" s="93"/>
      <c r="AP220" s="93"/>
      <c r="AQ220" s="93"/>
      <c r="AR220" s="93"/>
      <c r="AS220" s="93"/>
      <c r="AT220" s="315" t="str">
        <f t="shared" ref="AT220:BG220" si="213">AS220</f>
        <v/>
      </c>
      <c r="AU220" s="315" t="str">
        <f t="shared" si="213"/>
        <v/>
      </c>
      <c r="AV220" s="315" t="str">
        <f t="shared" si="213"/>
        <v/>
      </c>
      <c r="AW220" s="315" t="str">
        <f t="shared" si="213"/>
        <v/>
      </c>
      <c r="AX220" s="315" t="str">
        <f t="shared" si="213"/>
        <v/>
      </c>
      <c r="AY220" s="315" t="str">
        <f t="shared" si="213"/>
        <v/>
      </c>
      <c r="AZ220" s="308" t="str">
        <f t="shared" si="213"/>
        <v/>
      </c>
      <c r="BA220" s="308" t="str">
        <f t="shared" si="213"/>
        <v/>
      </c>
      <c r="BB220" s="308" t="str">
        <f t="shared" si="213"/>
        <v/>
      </c>
      <c r="BC220" s="308" t="str">
        <f t="shared" si="213"/>
        <v/>
      </c>
      <c r="BD220" s="308" t="str">
        <f t="shared" si="213"/>
        <v/>
      </c>
      <c r="BE220" s="308" t="str">
        <f t="shared" si="213"/>
        <v/>
      </c>
      <c r="BF220" s="308" t="str">
        <f t="shared" si="213"/>
        <v/>
      </c>
      <c r="BG220" s="308" t="str">
        <f t="shared" si="213"/>
        <v/>
      </c>
    </row>
    <row r="221" ht="12.75" customHeight="1" outlineLevel="1">
      <c r="A221" s="90"/>
      <c r="B221" s="90"/>
      <c r="C221" s="90"/>
      <c r="D221" s="90" t="s">
        <v>376</v>
      </c>
      <c r="E221" s="90"/>
      <c r="F221" s="90"/>
      <c r="G221" s="99" t="str">
        <f>'RSGen 1-7'!G221</f>
        <v/>
      </c>
      <c r="H221" s="99">
        <f>'RSGen 1-7'!H221</f>
        <v>0</v>
      </c>
      <c r="I221" s="99">
        <f>'RSGen 1-7'!I221</f>
        <v>8000</v>
      </c>
      <c r="J221" s="99">
        <f>'RSGen 1-7'!J221</f>
        <v>8000</v>
      </c>
      <c r="K221" s="99">
        <f>'RSGen 1-7'!K221</f>
        <v>8000</v>
      </c>
      <c r="L221" s="99">
        <f>'RSGen 1-7'!L221</f>
        <v>8000</v>
      </c>
      <c r="M221" s="99">
        <f>'RSGen 1-7'!M221</f>
        <v>8000</v>
      </c>
      <c r="N221" s="99">
        <f>'RSGen 1-7'!N221</f>
        <v>8000</v>
      </c>
      <c r="O221" s="99">
        <f>'RSGen 1-7'!O221</f>
        <v>8000</v>
      </c>
      <c r="P221" s="93">
        <f>'RSGen 1-7'!P221</f>
        <v>8000</v>
      </c>
      <c r="Q221" s="93">
        <f>'RSGen 1-7'!Q221</f>
        <v>8000</v>
      </c>
      <c r="R221" s="93">
        <f>'RSGen 1-7'!R221</f>
        <v>8000</v>
      </c>
      <c r="S221" s="93"/>
      <c r="T221" s="93"/>
      <c r="U221" s="93"/>
      <c r="V221" s="93"/>
      <c r="W221" s="93"/>
      <c r="X221" s="93"/>
      <c r="Y221" s="93"/>
      <c r="Z221" s="93"/>
      <c r="AA221" s="93"/>
      <c r="AB221" s="93"/>
      <c r="AC221" s="93"/>
      <c r="AD221" s="93"/>
      <c r="AE221" s="93"/>
      <c r="AF221" s="93"/>
      <c r="AG221" s="93"/>
      <c r="AH221" s="93"/>
      <c r="AI221" s="93"/>
      <c r="AJ221" s="93"/>
      <c r="AK221" s="93"/>
      <c r="AL221" s="93"/>
      <c r="AM221" s="93"/>
      <c r="AN221" s="93"/>
      <c r="AO221" s="93"/>
      <c r="AP221" s="93"/>
      <c r="AQ221" s="93"/>
      <c r="AR221" s="93"/>
      <c r="AS221" s="93"/>
      <c r="AT221" s="315" t="str">
        <f t="shared" ref="AT221:BG221" si="214">AS221</f>
        <v/>
      </c>
      <c r="AU221" s="315" t="str">
        <f t="shared" si="214"/>
        <v/>
      </c>
      <c r="AV221" s="315" t="str">
        <f t="shared" si="214"/>
        <v/>
      </c>
      <c r="AW221" s="315" t="str">
        <f t="shared" si="214"/>
        <v/>
      </c>
      <c r="AX221" s="315" t="str">
        <f t="shared" si="214"/>
        <v/>
      </c>
      <c r="AY221" s="315" t="str">
        <f t="shared" si="214"/>
        <v/>
      </c>
      <c r="AZ221" s="308" t="str">
        <f t="shared" si="214"/>
        <v/>
      </c>
      <c r="BA221" s="308" t="str">
        <f t="shared" si="214"/>
        <v/>
      </c>
      <c r="BB221" s="308" t="str">
        <f t="shared" si="214"/>
        <v/>
      </c>
      <c r="BC221" s="308" t="str">
        <f t="shared" si="214"/>
        <v/>
      </c>
      <c r="BD221" s="308" t="str">
        <f t="shared" si="214"/>
        <v/>
      </c>
      <c r="BE221" s="308" t="str">
        <f t="shared" si="214"/>
        <v/>
      </c>
      <c r="BF221" s="308" t="str">
        <f t="shared" si="214"/>
        <v/>
      </c>
      <c r="BG221" s="308" t="str">
        <f t="shared" si="214"/>
        <v/>
      </c>
    </row>
    <row r="222" ht="12.75" customHeight="1" outlineLevel="1">
      <c r="A222" s="90"/>
      <c r="B222" s="90"/>
      <c r="C222" s="90"/>
      <c r="D222" s="90" t="s">
        <v>759</v>
      </c>
      <c r="E222" s="90"/>
      <c r="F222" s="90"/>
      <c r="G222" s="99" t="str">
        <f>'RSGen 1-7'!G222</f>
        <v/>
      </c>
      <c r="H222" s="99">
        <f>'RSGen 1-7'!H222</f>
        <v>2500</v>
      </c>
      <c r="I222" s="99">
        <f>'RSGen 1-7'!I222</f>
        <v>1000</v>
      </c>
      <c r="J222" s="99">
        <f>'RSGen 1-7'!J222</f>
        <v>1000</v>
      </c>
      <c r="K222" s="99">
        <f>'RSGen 1-7'!K222</f>
        <v>1000</v>
      </c>
      <c r="L222" s="99">
        <f>'RSGen 1-7'!L222</f>
        <v>1000</v>
      </c>
      <c r="M222" s="99">
        <f>'RSGen 1-7'!M222</f>
        <v>1000</v>
      </c>
      <c r="N222" s="99">
        <f>'RSGen 1-7'!N222</f>
        <v>1000</v>
      </c>
      <c r="O222" s="99">
        <f>'RSGen 1-7'!O222</f>
        <v>1000</v>
      </c>
      <c r="P222" s="93">
        <f>'RSGen 1-7'!P222</f>
        <v>1000</v>
      </c>
      <c r="Q222" s="93">
        <f>'RSGen 1-7'!Q222</f>
        <v>1000</v>
      </c>
      <c r="R222" s="93">
        <f>'RSGen 1-7'!R222</f>
        <v>1000</v>
      </c>
      <c r="S222" s="93"/>
      <c r="T222" s="93"/>
      <c r="U222" s="93"/>
      <c r="V222" s="93"/>
      <c r="W222" s="93"/>
      <c r="X222" s="93"/>
      <c r="Y222" s="93"/>
      <c r="Z222" s="93"/>
      <c r="AA222" s="93"/>
      <c r="AB222" s="93"/>
      <c r="AC222" s="93"/>
      <c r="AD222" s="93"/>
      <c r="AE222" s="93"/>
      <c r="AF222" s="93"/>
      <c r="AG222" s="93"/>
      <c r="AH222" s="93"/>
      <c r="AI222" s="93"/>
      <c r="AJ222" s="93"/>
      <c r="AK222" s="93"/>
      <c r="AL222" s="93"/>
      <c r="AM222" s="93"/>
      <c r="AN222" s="93"/>
      <c r="AO222" s="93"/>
      <c r="AP222" s="93"/>
      <c r="AQ222" s="93"/>
      <c r="AR222" s="93"/>
      <c r="AS222" s="93"/>
      <c r="AT222" s="315" t="str">
        <f t="shared" ref="AT222:BG222" si="215">AS222</f>
        <v/>
      </c>
      <c r="AU222" s="315" t="str">
        <f t="shared" si="215"/>
        <v/>
      </c>
      <c r="AV222" s="315" t="str">
        <f t="shared" si="215"/>
        <v/>
      </c>
      <c r="AW222" s="315" t="str">
        <f t="shared" si="215"/>
        <v/>
      </c>
      <c r="AX222" s="315" t="str">
        <f t="shared" si="215"/>
        <v/>
      </c>
      <c r="AY222" s="315" t="str">
        <f t="shared" si="215"/>
        <v/>
      </c>
      <c r="AZ222" s="308" t="str">
        <f t="shared" si="215"/>
        <v/>
      </c>
      <c r="BA222" s="308" t="str">
        <f t="shared" si="215"/>
        <v/>
      </c>
      <c r="BB222" s="308" t="str">
        <f t="shared" si="215"/>
        <v/>
      </c>
      <c r="BC222" s="308" t="str">
        <f t="shared" si="215"/>
        <v/>
      </c>
      <c r="BD222" s="308" t="str">
        <f t="shared" si="215"/>
        <v/>
      </c>
      <c r="BE222" s="308" t="str">
        <f t="shared" si="215"/>
        <v/>
      </c>
      <c r="BF222" s="308" t="str">
        <f t="shared" si="215"/>
        <v/>
      </c>
      <c r="BG222" s="308" t="str">
        <f t="shared" si="215"/>
        <v/>
      </c>
    </row>
    <row r="223" ht="12.75" customHeight="1" outlineLevel="1">
      <c r="A223" s="90"/>
      <c r="B223" s="90"/>
      <c r="C223" s="90"/>
      <c r="D223" s="90" t="s">
        <v>760</v>
      </c>
      <c r="E223" s="90"/>
      <c r="F223" s="90"/>
      <c r="G223" s="99" t="str">
        <f>'RSGen 1-7'!G223</f>
        <v/>
      </c>
      <c r="H223" s="99">
        <f>'RSGen 1-7'!H223</f>
        <v>0</v>
      </c>
      <c r="I223" s="99">
        <f>'RSGen 1-7'!I223</f>
        <v>5000</v>
      </c>
      <c r="J223" s="99">
        <f>'RSGen 1-7'!J223</f>
        <v>5000</v>
      </c>
      <c r="K223" s="99">
        <f>'RSGen 1-7'!K223</f>
        <v>5000</v>
      </c>
      <c r="L223" s="99">
        <f>'RSGen 1-7'!L223</f>
        <v>5000</v>
      </c>
      <c r="M223" s="99">
        <f>'RSGen 1-7'!M223</f>
        <v>5000</v>
      </c>
      <c r="N223" s="99">
        <f>'RSGen 1-7'!N223</f>
        <v>5000</v>
      </c>
      <c r="O223" s="99">
        <f>'RSGen 1-7'!O223</f>
        <v>5000</v>
      </c>
      <c r="P223" s="93">
        <f>'RSGen 1-7'!P223</f>
        <v>5000</v>
      </c>
      <c r="Q223" s="93">
        <f>'RSGen 1-7'!Q223</f>
        <v>5000</v>
      </c>
      <c r="R223" s="93">
        <f>'RSGen 1-7'!R223</f>
        <v>5000</v>
      </c>
      <c r="S223" s="93"/>
      <c r="T223" s="93"/>
      <c r="U223" s="93"/>
      <c r="V223" s="93"/>
      <c r="W223" s="93"/>
      <c r="X223" s="93"/>
      <c r="Y223" s="93"/>
      <c r="Z223" s="93"/>
      <c r="AA223" s="93"/>
      <c r="AB223" s="93"/>
      <c r="AC223" s="93"/>
      <c r="AD223" s="93"/>
      <c r="AE223" s="93"/>
      <c r="AF223" s="93"/>
      <c r="AG223" s="93"/>
      <c r="AH223" s="93"/>
      <c r="AI223" s="93"/>
      <c r="AJ223" s="93"/>
      <c r="AK223" s="93"/>
      <c r="AL223" s="93"/>
      <c r="AM223" s="93"/>
      <c r="AN223" s="93"/>
      <c r="AO223" s="93"/>
      <c r="AP223" s="93"/>
      <c r="AQ223" s="93"/>
      <c r="AR223" s="93"/>
      <c r="AS223" s="93"/>
      <c r="AT223" s="315" t="str">
        <f t="shared" ref="AT223:BG223" si="216">AS223</f>
        <v/>
      </c>
      <c r="AU223" s="315" t="str">
        <f t="shared" si="216"/>
        <v/>
      </c>
      <c r="AV223" s="315" t="str">
        <f t="shared" si="216"/>
        <v/>
      </c>
      <c r="AW223" s="315" t="str">
        <f t="shared" si="216"/>
        <v/>
      </c>
      <c r="AX223" s="315" t="str">
        <f t="shared" si="216"/>
        <v/>
      </c>
      <c r="AY223" s="315" t="str">
        <f t="shared" si="216"/>
        <v/>
      </c>
      <c r="AZ223" s="308" t="str">
        <f t="shared" si="216"/>
        <v/>
      </c>
      <c r="BA223" s="308" t="str">
        <f t="shared" si="216"/>
        <v/>
      </c>
      <c r="BB223" s="308" t="str">
        <f t="shared" si="216"/>
        <v/>
      </c>
      <c r="BC223" s="308" t="str">
        <f t="shared" si="216"/>
        <v/>
      </c>
      <c r="BD223" s="308" t="str">
        <f t="shared" si="216"/>
        <v/>
      </c>
      <c r="BE223" s="308" t="str">
        <f t="shared" si="216"/>
        <v/>
      </c>
      <c r="BF223" s="308" t="str">
        <f t="shared" si="216"/>
        <v/>
      </c>
      <c r="BG223" s="308" t="str">
        <f t="shared" si="216"/>
        <v/>
      </c>
    </row>
    <row r="224" ht="12.75" customHeight="1" outlineLevel="1">
      <c r="A224" s="90"/>
      <c r="B224" s="90"/>
      <c r="C224" s="90"/>
      <c r="D224" s="90" t="s">
        <v>761</v>
      </c>
      <c r="E224" s="90"/>
      <c r="F224" s="90"/>
      <c r="G224" s="99" t="str">
        <f>'RSGen 1-7'!G224</f>
        <v/>
      </c>
      <c r="H224" s="99">
        <f>'RSGen 1-7'!H224</f>
        <v>2000</v>
      </c>
      <c r="I224" s="99" t="str">
        <f>'RSGen 1-7'!I224</f>
        <v/>
      </c>
      <c r="J224" s="99" t="str">
        <f>'RSGen 1-7'!J224</f>
        <v/>
      </c>
      <c r="K224" s="99" t="str">
        <f>'RSGen 1-7'!K224</f>
        <v/>
      </c>
      <c r="L224" s="99" t="str">
        <f>'RSGen 1-7'!L224</f>
        <v/>
      </c>
      <c r="M224" s="99" t="str">
        <f>'RSGen 1-7'!M224</f>
        <v/>
      </c>
      <c r="N224" s="99" t="str">
        <f>'RSGen 1-7'!N224</f>
        <v/>
      </c>
      <c r="O224" s="99" t="str">
        <f>'RSGen 1-7'!O224</f>
        <v/>
      </c>
      <c r="P224" s="93" t="str">
        <f>'RSGen 1-7'!P224</f>
        <v/>
      </c>
      <c r="Q224" s="93" t="str">
        <f>'RSGen 1-7'!Q224</f>
        <v/>
      </c>
      <c r="R224" s="93" t="str">
        <f>'RSGen 1-7'!R224</f>
        <v/>
      </c>
      <c r="S224" s="93"/>
      <c r="T224" s="93"/>
      <c r="U224" s="93"/>
      <c r="V224" s="93"/>
      <c r="W224" s="93"/>
      <c r="X224" s="93"/>
      <c r="Y224" s="93"/>
      <c r="Z224" s="93"/>
      <c r="AA224" s="93"/>
      <c r="AB224" s="93"/>
      <c r="AC224" s="93"/>
      <c r="AD224" s="93"/>
      <c r="AE224" s="93"/>
      <c r="AF224" s="93"/>
      <c r="AG224" s="93"/>
      <c r="AH224" s="93"/>
      <c r="AI224" s="93"/>
      <c r="AJ224" s="93"/>
      <c r="AK224" s="93"/>
      <c r="AL224" s="93"/>
      <c r="AM224" s="93"/>
      <c r="AN224" s="93"/>
      <c r="AO224" s="93"/>
      <c r="AP224" s="93"/>
      <c r="AQ224" s="93"/>
      <c r="AR224" s="93"/>
      <c r="AS224" s="93"/>
      <c r="AT224" s="315" t="str">
        <f t="shared" ref="AT224:BG224" si="217">AS224</f>
        <v/>
      </c>
      <c r="AU224" s="315" t="str">
        <f t="shared" si="217"/>
        <v/>
      </c>
      <c r="AV224" s="315" t="str">
        <f t="shared" si="217"/>
        <v/>
      </c>
      <c r="AW224" s="315" t="str">
        <f t="shared" si="217"/>
        <v/>
      </c>
      <c r="AX224" s="315" t="str">
        <f t="shared" si="217"/>
        <v/>
      </c>
      <c r="AY224" s="315" t="str">
        <f t="shared" si="217"/>
        <v/>
      </c>
      <c r="AZ224" s="308" t="str">
        <f t="shared" si="217"/>
        <v/>
      </c>
      <c r="BA224" s="308" t="str">
        <f t="shared" si="217"/>
        <v/>
      </c>
      <c r="BB224" s="308" t="str">
        <f t="shared" si="217"/>
        <v/>
      </c>
      <c r="BC224" s="308" t="str">
        <f t="shared" si="217"/>
        <v/>
      </c>
      <c r="BD224" s="308" t="str">
        <f t="shared" si="217"/>
        <v/>
      </c>
      <c r="BE224" s="308" t="str">
        <f t="shared" si="217"/>
        <v/>
      </c>
      <c r="BF224" s="308" t="str">
        <f t="shared" si="217"/>
        <v/>
      </c>
      <c r="BG224" s="308" t="str">
        <f t="shared" si="217"/>
        <v/>
      </c>
    </row>
    <row r="225" ht="12.75" customHeight="1" outlineLevel="1">
      <c r="A225" s="90"/>
      <c r="B225" s="90"/>
      <c r="C225" s="90"/>
      <c r="D225" s="90" t="s">
        <v>762</v>
      </c>
      <c r="E225" s="90"/>
      <c r="F225" s="90"/>
      <c r="G225" s="99" t="str">
        <f>'RSGen 1-7'!G225</f>
        <v/>
      </c>
      <c r="H225" s="99">
        <f>'RSGen 1-7'!H225</f>
        <v>0</v>
      </c>
      <c r="I225" s="99">
        <f>'RSGen 1-7'!I225</f>
        <v>6000</v>
      </c>
      <c r="J225" s="99">
        <f>'RSGen 1-7'!J225</f>
        <v>6000</v>
      </c>
      <c r="K225" s="99">
        <f>'RSGen 1-7'!K225</f>
        <v>6000</v>
      </c>
      <c r="L225" s="99">
        <f>'RSGen 1-7'!L225</f>
        <v>6000</v>
      </c>
      <c r="M225" s="99">
        <f>'RSGen 1-7'!M225</f>
        <v>6000</v>
      </c>
      <c r="N225" s="99">
        <f>'RSGen 1-7'!N225</f>
        <v>6000</v>
      </c>
      <c r="O225" s="99">
        <f>'RSGen 1-7'!O225</f>
        <v>6000</v>
      </c>
      <c r="P225" s="93">
        <f>'RSGen 1-7'!P225</f>
        <v>6000</v>
      </c>
      <c r="Q225" s="93">
        <f>'RSGen 1-7'!Q225</f>
        <v>6000</v>
      </c>
      <c r="R225" s="93">
        <f>'RSGen 1-7'!R225</f>
        <v>6000</v>
      </c>
      <c r="S225" s="93"/>
      <c r="T225" s="93"/>
      <c r="U225" s="93"/>
      <c r="V225" s="93"/>
      <c r="W225" s="93"/>
      <c r="X225" s="93"/>
      <c r="Y225" s="93"/>
      <c r="Z225" s="93"/>
      <c r="AA225" s="93"/>
      <c r="AB225" s="93"/>
      <c r="AC225" s="93"/>
      <c r="AD225" s="93"/>
      <c r="AE225" s="93"/>
      <c r="AF225" s="93"/>
      <c r="AG225" s="93"/>
      <c r="AH225" s="93"/>
      <c r="AI225" s="93"/>
      <c r="AJ225" s="93"/>
      <c r="AK225" s="93"/>
      <c r="AL225" s="93"/>
      <c r="AM225" s="93"/>
      <c r="AN225" s="93"/>
      <c r="AO225" s="93"/>
      <c r="AP225" s="93"/>
      <c r="AQ225" s="93"/>
      <c r="AR225" s="93"/>
      <c r="AS225" s="93"/>
      <c r="AT225" s="315" t="str">
        <f t="shared" ref="AT225:BG225" si="218">AS225</f>
        <v/>
      </c>
      <c r="AU225" s="315" t="str">
        <f t="shared" si="218"/>
        <v/>
      </c>
      <c r="AV225" s="315" t="str">
        <f t="shared" si="218"/>
        <v/>
      </c>
      <c r="AW225" s="315" t="str">
        <f t="shared" si="218"/>
        <v/>
      </c>
      <c r="AX225" s="315" t="str">
        <f t="shared" si="218"/>
        <v/>
      </c>
      <c r="AY225" s="315" t="str">
        <f t="shared" si="218"/>
        <v/>
      </c>
      <c r="AZ225" s="308" t="str">
        <f t="shared" si="218"/>
        <v/>
      </c>
      <c r="BA225" s="308" t="str">
        <f t="shared" si="218"/>
        <v/>
      </c>
      <c r="BB225" s="308" t="str">
        <f t="shared" si="218"/>
        <v/>
      </c>
      <c r="BC225" s="308" t="str">
        <f t="shared" si="218"/>
        <v/>
      </c>
      <c r="BD225" s="308" t="str">
        <f t="shared" si="218"/>
        <v/>
      </c>
      <c r="BE225" s="308" t="str">
        <f t="shared" si="218"/>
        <v/>
      </c>
      <c r="BF225" s="308" t="str">
        <f t="shared" si="218"/>
        <v/>
      </c>
      <c r="BG225" s="308" t="str">
        <f t="shared" si="218"/>
        <v/>
      </c>
    </row>
    <row r="226" ht="12.75" customHeight="1" outlineLevel="1">
      <c r="A226" s="90"/>
      <c r="B226" s="90"/>
      <c r="C226" s="90"/>
      <c r="D226" s="90" t="s">
        <v>763</v>
      </c>
      <c r="E226" s="90"/>
      <c r="F226" s="90"/>
      <c r="G226" s="99" t="str">
        <f>'RSGen 1-7'!G226</f>
        <v/>
      </c>
      <c r="H226" s="99" t="str">
        <f>'RSGen 1-7'!H226</f>
        <v/>
      </c>
      <c r="I226" s="99" t="str">
        <f>'RSGen 1-7'!I226</f>
        <v/>
      </c>
      <c r="J226" s="99" t="str">
        <f>'RSGen 1-7'!J226</f>
        <v/>
      </c>
      <c r="K226" s="99" t="str">
        <f>'RSGen 1-7'!K226</f>
        <v/>
      </c>
      <c r="L226" s="99" t="str">
        <f>'RSGen 1-7'!L226</f>
        <v/>
      </c>
      <c r="M226" s="99" t="str">
        <f>'RSGen 1-7'!M226</f>
        <v/>
      </c>
      <c r="N226" s="99" t="str">
        <f>'RSGen 1-7'!N226</f>
        <v/>
      </c>
      <c r="O226" s="99" t="str">
        <f>'RSGen 1-7'!O226</f>
        <v/>
      </c>
      <c r="P226" s="93" t="str">
        <f>'RSGen 1-7'!P226</f>
        <v/>
      </c>
      <c r="Q226" s="93" t="str">
        <f>'RSGen 1-7'!Q226</f>
        <v/>
      </c>
      <c r="R226" s="93" t="str">
        <f>'RSGen 1-7'!R226</f>
        <v/>
      </c>
      <c r="S226" s="93"/>
      <c r="T226" s="93"/>
      <c r="U226" s="93"/>
      <c r="V226" s="93"/>
      <c r="W226" s="93"/>
      <c r="X226" s="93"/>
      <c r="Y226" s="93"/>
      <c r="Z226" s="93"/>
      <c r="AA226" s="93"/>
      <c r="AB226" s="93"/>
      <c r="AC226" s="93"/>
      <c r="AD226" s="93"/>
      <c r="AE226" s="93"/>
      <c r="AF226" s="93"/>
      <c r="AG226" s="93"/>
      <c r="AH226" s="93"/>
      <c r="AI226" s="93"/>
      <c r="AJ226" s="93"/>
      <c r="AK226" s="93"/>
      <c r="AL226" s="93"/>
      <c r="AM226" s="93"/>
      <c r="AN226" s="93"/>
      <c r="AO226" s="93"/>
      <c r="AP226" s="93"/>
      <c r="AQ226" s="93"/>
      <c r="AR226" s="93"/>
      <c r="AS226" s="93"/>
      <c r="AT226" s="315" t="str">
        <f t="shared" ref="AT226:BG226" si="219">AS226</f>
        <v/>
      </c>
      <c r="AU226" s="315" t="str">
        <f t="shared" si="219"/>
        <v/>
      </c>
      <c r="AV226" s="315" t="str">
        <f t="shared" si="219"/>
        <v/>
      </c>
      <c r="AW226" s="315" t="str">
        <f t="shared" si="219"/>
        <v/>
      </c>
      <c r="AX226" s="315" t="str">
        <f t="shared" si="219"/>
        <v/>
      </c>
      <c r="AY226" s="315" t="str">
        <f t="shared" si="219"/>
        <v/>
      </c>
      <c r="AZ226" s="308" t="str">
        <f t="shared" si="219"/>
        <v/>
      </c>
      <c r="BA226" s="308" t="str">
        <f t="shared" si="219"/>
        <v/>
      </c>
      <c r="BB226" s="308" t="str">
        <f t="shared" si="219"/>
        <v/>
      </c>
      <c r="BC226" s="308" t="str">
        <f t="shared" si="219"/>
        <v/>
      </c>
      <c r="BD226" s="308" t="str">
        <f t="shared" si="219"/>
        <v/>
      </c>
      <c r="BE226" s="308" t="str">
        <f t="shared" si="219"/>
        <v/>
      </c>
      <c r="BF226" s="308" t="str">
        <f t="shared" si="219"/>
        <v/>
      </c>
      <c r="BG226" s="308" t="str">
        <f t="shared" si="219"/>
        <v/>
      </c>
    </row>
    <row r="227" ht="12.75" customHeight="1" outlineLevel="1">
      <c r="A227" s="90"/>
      <c r="B227" s="90"/>
      <c r="C227" s="90"/>
      <c r="D227" s="90" t="s">
        <v>764</v>
      </c>
      <c r="E227" s="90"/>
      <c r="F227" s="90"/>
      <c r="G227" s="99" t="str">
        <f>'RSGen 1-7'!G227</f>
        <v/>
      </c>
      <c r="H227" s="99">
        <f>'RSGen 1-7'!H227</f>
        <v>0</v>
      </c>
      <c r="I227" s="99">
        <f>'RSGen 1-7'!I227</f>
        <v>300</v>
      </c>
      <c r="J227" s="99">
        <f>'RSGen 1-7'!J227</f>
        <v>300</v>
      </c>
      <c r="K227" s="99">
        <f>'RSGen 1-7'!K227</f>
        <v>300</v>
      </c>
      <c r="L227" s="99">
        <f>'RSGen 1-7'!L227</f>
        <v>300</v>
      </c>
      <c r="M227" s="99">
        <f>'RSGen 1-7'!M227</f>
        <v>300</v>
      </c>
      <c r="N227" s="99">
        <f>'RSGen 1-7'!N227</f>
        <v>300</v>
      </c>
      <c r="O227" s="99">
        <f>'RSGen 1-7'!O227</f>
        <v>300</v>
      </c>
      <c r="P227" s="93">
        <f>'RSGen 1-7'!P227</f>
        <v>300</v>
      </c>
      <c r="Q227" s="93">
        <f>'RSGen 1-7'!Q227</f>
        <v>300</v>
      </c>
      <c r="R227" s="93">
        <f>'RSGen 1-7'!R227</f>
        <v>300</v>
      </c>
      <c r="S227" s="93"/>
      <c r="T227" s="93"/>
      <c r="U227" s="93"/>
      <c r="V227" s="93"/>
      <c r="W227" s="93"/>
      <c r="X227" s="93"/>
      <c r="Y227" s="93"/>
      <c r="Z227" s="93"/>
      <c r="AA227" s="93"/>
      <c r="AB227" s="93"/>
      <c r="AC227" s="93"/>
      <c r="AD227" s="93"/>
      <c r="AE227" s="93"/>
      <c r="AF227" s="93"/>
      <c r="AG227" s="93"/>
      <c r="AH227" s="93"/>
      <c r="AI227" s="93"/>
      <c r="AJ227" s="93"/>
      <c r="AK227" s="93"/>
      <c r="AL227" s="93"/>
      <c r="AM227" s="93"/>
      <c r="AN227" s="93"/>
      <c r="AO227" s="93"/>
      <c r="AP227" s="93"/>
      <c r="AQ227" s="93"/>
      <c r="AR227" s="93"/>
      <c r="AS227" s="93"/>
      <c r="AT227" s="315" t="str">
        <f t="shared" ref="AT227:BG227" si="220">AS227</f>
        <v/>
      </c>
      <c r="AU227" s="315" t="str">
        <f t="shared" si="220"/>
        <v/>
      </c>
      <c r="AV227" s="315" t="str">
        <f t="shared" si="220"/>
        <v/>
      </c>
      <c r="AW227" s="315" t="str">
        <f t="shared" si="220"/>
        <v/>
      </c>
      <c r="AX227" s="315" t="str">
        <f t="shared" si="220"/>
        <v/>
      </c>
      <c r="AY227" s="315" t="str">
        <f t="shared" si="220"/>
        <v/>
      </c>
      <c r="AZ227" s="308" t="str">
        <f t="shared" si="220"/>
        <v/>
      </c>
      <c r="BA227" s="308" t="str">
        <f t="shared" si="220"/>
        <v/>
      </c>
      <c r="BB227" s="308" t="str">
        <f t="shared" si="220"/>
        <v/>
      </c>
      <c r="BC227" s="308" t="str">
        <f t="shared" si="220"/>
        <v/>
      </c>
      <c r="BD227" s="308" t="str">
        <f t="shared" si="220"/>
        <v/>
      </c>
      <c r="BE227" s="308" t="str">
        <f t="shared" si="220"/>
        <v/>
      </c>
      <c r="BF227" s="308" t="str">
        <f t="shared" si="220"/>
        <v/>
      </c>
      <c r="BG227" s="308" t="str">
        <f t="shared" si="220"/>
        <v/>
      </c>
    </row>
    <row r="228" ht="12.75" customHeight="1" outlineLevel="1">
      <c r="A228" s="90"/>
      <c r="B228" s="90"/>
      <c r="C228" s="90"/>
      <c r="D228" s="90" t="s">
        <v>765</v>
      </c>
      <c r="E228" s="90"/>
      <c r="F228" s="90"/>
      <c r="G228" s="99" t="str">
        <f>'RSGen 1-7'!G228</f>
        <v/>
      </c>
      <c r="H228" s="99">
        <f>'RSGen 1-7'!H228</f>
        <v>0</v>
      </c>
      <c r="I228" s="99">
        <f>'RSGen 1-7'!I228</f>
        <v>1500</v>
      </c>
      <c r="J228" s="99">
        <f>'RSGen 1-7'!J228</f>
        <v>1500</v>
      </c>
      <c r="K228" s="99">
        <f>'RSGen 1-7'!K228</f>
        <v>1500</v>
      </c>
      <c r="L228" s="99">
        <f>'RSGen 1-7'!L228</f>
        <v>1500</v>
      </c>
      <c r="M228" s="99">
        <f>'RSGen 1-7'!M228</f>
        <v>1500</v>
      </c>
      <c r="N228" s="99">
        <f>'RSGen 1-7'!N228</f>
        <v>1500</v>
      </c>
      <c r="O228" s="99">
        <f>'RSGen 1-7'!O228</f>
        <v>1500</v>
      </c>
      <c r="P228" s="93">
        <f>'RSGen 1-7'!P228</f>
        <v>1500</v>
      </c>
      <c r="Q228" s="93">
        <f>'RSGen 1-7'!Q228</f>
        <v>1500</v>
      </c>
      <c r="R228" s="93">
        <f>'RSGen 1-7'!R228</f>
        <v>1500</v>
      </c>
      <c r="S228" s="93"/>
      <c r="T228" s="93"/>
      <c r="U228" s="93"/>
      <c r="V228" s="93"/>
      <c r="W228" s="93"/>
      <c r="X228" s="93"/>
      <c r="Y228" s="93"/>
      <c r="Z228" s="93"/>
      <c r="AA228" s="93"/>
      <c r="AB228" s="93"/>
      <c r="AC228" s="93"/>
      <c r="AD228" s="93"/>
      <c r="AE228" s="93"/>
      <c r="AF228" s="93"/>
      <c r="AG228" s="93"/>
      <c r="AH228" s="93"/>
      <c r="AI228" s="93"/>
      <c r="AJ228" s="93"/>
      <c r="AK228" s="93"/>
      <c r="AL228" s="93"/>
      <c r="AM228" s="93"/>
      <c r="AN228" s="93"/>
      <c r="AO228" s="93"/>
      <c r="AP228" s="93"/>
      <c r="AQ228" s="93"/>
      <c r="AR228" s="93"/>
      <c r="AS228" s="93"/>
      <c r="AT228" s="315" t="str">
        <f t="shared" ref="AT228:BG228" si="221">AS228</f>
        <v/>
      </c>
      <c r="AU228" s="315" t="str">
        <f t="shared" si="221"/>
        <v/>
      </c>
      <c r="AV228" s="315" t="str">
        <f t="shared" si="221"/>
        <v/>
      </c>
      <c r="AW228" s="315" t="str">
        <f t="shared" si="221"/>
        <v/>
      </c>
      <c r="AX228" s="315" t="str">
        <f t="shared" si="221"/>
        <v/>
      </c>
      <c r="AY228" s="315" t="str">
        <f t="shared" si="221"/>
        <v/>
      </c>
      <c r="AZ228" s="308" t="str">
        <f t="shared" si="221"/>
        <v/>
      </c>
      <c r="BA228" s="308" t="str">
        <f t="shared" si="221"/>
        <v/>
      </c>
      <c r="BB228" s="308" t="str">
        <f t="shared" si="221"/>
        <v/>
      </c>
      <c r="BC228" s="308" t="str">
        <f t="shared" si="221"/>
        <v/>
      </c>
      <c r="BD228" s="308" t="str">
        <f t="shared" si="221"/>
        <v/>
      </c>
      <c r="BE228" s="308" t="str">
        <f t="shared" si="221"/>
        <v/>
      </c>
      <c r="BF228" s="308" t="str">
        <f t="shared" si="221"/>
        <v/>
      </c>
      <c r="BG228" s="308" t="str">
        <f t="shared" si="221"/>
        <v/>
      </c>
    </row>
    <row r="229" ht="12.75" customHeight="1" outlineLevel="1">
      <c r="A229" s="90"/>
      <c r="B229" s="90"/>
      <c r="C229" s="90"/>
      <c r="D229" s="90" t="s">
        <v>766</v>
      </c>
      <c r="E229" s="90"/>
      <c r="F229" s="90"/>
      <c r="G229" s="99" t="str">
        <f>'RSGen 1-7'!G229</f>
        <v/>
      </c>
      <c r="H229" s="99">
        <f>'RSGen 1-7'!H229</f>
        <v>0</v>
      </c>
      <c r="I229" s="99">
        <f>'RSGen 1-7'!I229</f>
        <v>0</v>
      </c>
      <c r="J229" s="99">
        <f>'RSGen 1-7'!J229</f>
        <v>0</v>
      </c>
      <c r="K229" s="99">
        <f>'RSGen 1-7'!K229</f>
        <v>0</v>
      </c>
      <c r="L229" s="99">
        <f>'RSGen 1-7'!L229</f>
        <v>0</v>
      </c>
      <c r="M229" s="99">
        <f>'RSGen 1-7'!M229</f>
        <v>0</v>
      </c>
      <c r="N229" s="99">
        <f>'RSGen 1-7'!N229</f>
        <v>0</v>
      </c>
      <c r="O229" s="99">
        <f>'RSGen 1-7'!O229</f>
        <v>0</v>
      </c>
      <c r="P229" s="93">
        <f>'RSGen 1-7'!P229</f>
        <v>0</v>
      </c>
      <c r="Q229" s="93">
        <f>'RSGen 1-7'!Q229</f>
        <v>0</v>
      </c>
      <c r="R229" s="93">
        <f>'RSGen 1-7'!R229</f>
        <v>0</v>
      </c>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315" t="str">
        <f t="shared" ref="AT229:BG229" si="222">AS229</f>
        <v/>
      </c>
      <c r="AU229" s="315" t="str">
        <f t="shared" si="222"/>
        <v/>
      </c>
      <c r="AV229" s="315" t="str">
        <f t="shared" si="222"/>
        <v/>
      </c>
      <c r="AW229" s="315" t="str">
        <f t="shared" si="222"/>
        <v/>
      </c>
      <c r="AX229" s="315" t="str">
        <f t="shared" si="222"/>
        <v/>
      </c>
      <c r="AY229" s="315" t="str">
        <f t="shared" si="222"/>
        <v/>
      </c>
      <c r="AZ229" s="308" t="str">
        <f t="shared" si="222"/>
        <v/>
      </c>
      <c r="BA229" s="308" t="str">
        <f t="shared" si="222"/>
        <v/>
      </c>
      <c r="BB229" s="308" t="str">
        <f t="shared" si="222"/>
        <v/>
      </c>
      <c r="BC229" s="308" t="str">
        <f t="shared" si="222"/>
        <v/>
      </c>
      <c r="BD229" s="308" t="str">
        <f t="shared" si="222"/>
        <v/>
      </c>
      <c r="BE229" s="308" t="str">
        <f t="shared" si="222"/>
        <v/>
      </c>
      <c r="BF229" s="308" t="str">
        <f t="shared" si="222"/>
        <v/>
      </c>
      <c r="BG229" s="308" t="str">
        <f t="shared" si="222"/>
        <v/>
      </c>
    </row>
    <row r="230" ht="12.75" customHeight="1" outlineLevel="1">
      <c r="A230" s="90"/>
      <c r="B230" s="90"/>
      <c r="C230" s="90" t="s">
        <v>767</v>
      </c>
      <c r="D230" s="90"/>
      <c r="E230" s="90"/>
      <c r="F230" s="90"/>
      <c r="G230" s="99"/>
      <c r="H230" s="99"/>
      <c r="I230" s="99"/>
      <c r="J230" s="99"/>
      <c r="K230" s="99"/>
      <c r="L230" s="99"/>
      <c r="M230" s="99"/>
      <c r="N230" s="99"/>
      <c r="O230" s="99"/>
      <c r="P230" s="99"/>
      <c r="Q230" s="99"/>
      <c r="R230" s="99"/>
      <c r="AT230" s="308"/>
      <c r="AU230" s="308"/>
      <c r="AV230" s="308"/>
      <c r="AW230" s="308"/>
      <c r="AX230" s="308"/>
      <c r="AY230" s="308"/>
      <c r="AZ230" s="308"/>
      <c r="BA230" s="308"/>
      <c r="BB230" s="308"/>
      <c r="BC230" s="308"/>
      <c r="BD230" s="308"/>
      <c r="BE230" s="308"/>
      <c r="BF230" s="308"/>
      <c r="BG230" s="308"/>
    </row>
    <row r="231" ht="12.75" customHeight="1" outlineLevel="1">
      <c r="A231" s="90"/>
      <c r="B231" s="90"/>
      <c r="C231" s="90"/>
      <c r="D231" s="90" t="s">
        <v>768</v>
      </c>
      <c r="E231" s="90"/>
      <c r="F231" s="90"/>
      <c r="G231" s="99" t="str">
        <f>'RS3'!J230</f>
        <v/>
      </c>
      <c r="H231" s="99">
        <f>'RS3'!K230</f>
        <v>3</v>
      </c>
      <c r="I231" s="99">
        <v>3.825</v>
      </c>
      <c r="J231" s="99">
        <v>3.825</v>
      </c>
      <c r="K231" s="99">
        <v>3.825</v>
      </c>
      <c r="L231" s="99">
        <v>3.825</v>
      </c>
      <c r="M231" s="99">
        <v>3.825</v>
      </c>
      <c r="N231" s="99">
        <v>3.825</v>
      </c>
      <c r="O231" s="99">
        <v>3.825</v>
      </c>
      <c r="P231" s="99">
        <v>3.825</v>
      </c>
      <c r="Q231" s="99">
        <v>3.825</v>
      </c>
      <c r="R231" s="99">
        <v>3.825</v>
      </c>
      <c r="AT231" s="308" t="str">
        <f t="shared" ref="AT231:BG231" si="223">AS231</f>
        <v/>
      </c>
      <c r="AU231" s="308" t="str">
        <f t="shared" si="223"/>
        <v/>
      </c>
      <c r="AV231" s="308" t="str">
        <f t="shared" si="223"/>
        <v/>
      </c>
      <c r="AW231" s="308" t="str">
        <f t="shared" si="223"/>
        <v/>
      </c>
      <c r="AX231" s="308" t="str">
        <f t="shared" si="223"/>
        <v/>
      </c>
      <c r="AY231" s="308" t="str">
        <f t="shared" si="223"/>
        <v/>
      </c>
      <c r="AZ231" s="308" t="str">
        <f t="shared" si="223"/>
        <v/>
      </c>
      <c r="BA231" s="308" t="str">
        <f t="shared" si="223"/>
        <v/>
      </c>
      <c r="BB231" s="308" t="str">
        <f t="shared" si="223"/>
        <v/>
      </c>
      <c r="BC231" s="308" t="str">
        <f t="shared" si="223"/>
        <v/>
      </c>
      <c r="BD231" s="308" t="str">
        <f t="shared" si="223"/>
        <v/>
      </c>
      <c r="BE231" s="308" t="str">
        <f t="shared" si="223"/>
        <v/>
      </c>
      <c r="BF231" s="308" t="str">
        <f t="shared" si="223"/>
        <v/>
      </c>
      <c r="BG231" s="308" t="str">
        <f t="shared" si="223"/>
        <v/>
      </c>
    </row>
    <row r="232" ht="12.75" customHeight="1" outlineLevel="1">
      <c r="A232" s="90"/>
      <c r="B232" s="90"/>
      <c r="C232" s="90"/>
      <c r="D232" s="90" t="s">
        <v>769</v>
      </c>
      <c r="E232" s="90"/>
      <c r="F232" s="90"/>
      <c r="G232" s="99" t="str">
        <f>'RS3'!J231</f>
        <v/>
      </c>
      <c r="H232" s="99">
        <f>'RS3'!K231</f>
        <v>0</v>
      </c>
      <c r="I232" s="99">
        <f>'RS3'!$L$231</f>
        <v>52</v>
      </c>
      <c r="J232" s="99">
        <f t="shared" ref="J232:R232" si="224">I232</f>
        <v>52</v>
      </c>
      <c r="K232" s="99">
        <f t="shared" si="224"/>
        <v>52</v>
      </c>
      <c r="L232" s="99">
        <f t="shared" si="224"/>
        <v>52</v>
      </c>
      <c r="M232" s="99">
        <f t="shared" si="224"/>
        <v>52</v>
      </c>
      <c r="N232" s="99">
        <f t="shared" si="224"/>
        <v>52</v>
      </c>
      <c r="O232" s="99">
        <f t="shared" si="224"/>
        <v>52</v>
      </c>
      <c r="P232" s="99">
        <f t="shared" si="224"/>
        <v>52</v>
      </c>
      <c r="Q232" s="99">
        <f t="shared" si="224"/>
        <v>52</v>
      </c>
      <c r="R232" s="99">
        <f t="shared" si="224"/>
        <v>52</v>
      </c>
      <c r="AT232" s="308" t="str">
        <f t="shared" ref="AT232:BG232" si="225">AS232</f>
        <v/>
      </c>
      <c r="AU232" s="308" t="str">
        <f t="shared" si="225"/>
        <v/>
      </c>
      <c r="AV232" s="308" t="str">
        <f t="shared" si="225"/>
        <v/>
      </c>
      <c r="AW232" s="308" t="str">
        <f t="shared" si="225"/>
        <v/>
      </c>
      <c r="AX232" s="308" t="str">
        <f t="shared" si="225"/>
        <v/>
      </c>
      <c r="AY232" s="308" t="str">
        <f t="shared" si="225"/>
        <v/>
      </c>
      <c r="AZ232" s="308" t="str">
        <f t="shared" si="225"/>
        <v/>
      </c>
      <c r="BA232" s="308" t="str">
        <f t="shared" si="225"/>
        <v/>
      </c>
      <c r="BB232" s="308" t="str">
        <f t="shared" si="225"/>
        <v/>
      </c>
      <c r="BC232" s="308" t="str">
        <f t="shared" si="225"/>
        <v/>
      </c>
      <c r="BD232" s="308" t="str">
        <f t="shared" si="225"/>
        <v/>
      </c>
      <c r="BE232" s="308" t="str">
        <f t="shared" si="225"/>
        <v/>
      </c>
      <c r="BF232" s="308" t="str">
        <f t="shared" si="225"/>
        <v/>
      </c>
      <c r="BG232" s="308" t="str">
        <f t="shared" si="225"/>
        <v/>
      </c>
    </row>
    <row r="233" ht="12.75" customHeight="1" outlineLevel="1">
      <c r="A233" s="90"/>
      <c r="B233" s="90"/>
      <c r="C233" s="90"/>
      <c r="D233" s="90" t="s">
        <v>770</v>
      </c>
      <c r="E233" s="90"/>
      <c r="F233" s="90"/>
      <c r="G233" s="99" t="str">
        <f>'RS3'!J232</f>
        <v/>
      </c>
      <c r="H233" s="99">
        <f>'RS3'!K232</f>
        <v>0</v>
      </c>
      <c r="I233" s="99">
        <v>9.5625</v>
      </c>
      <c r="J233" s="99">
        <v>9.5625</v>
      </c>
      <c r="K233" s="99">
        <v>9.5625</v>
      </c>
      <c r="L233" s="99">
        <v>9.5625</v>
      </c>
      <c r="M233" s="99">
        <v>9.5625</v>
      </c>
      <c r="N233" s="99">
        <v>9.5625</v>
      </c>
      <c r="O233" s="99">
        <v>9.5625</v>
      </c>
      <c r="P233" s="99">
        <v>9.5625</v>
      </c>
      <c r="Q233" s="99">
        <v>9.5625</v>
      </c>
      <c r="R233" s="99">
        <v>9.5625</v>
      </c>
      <c r="AT233" s="308" t="str">
        <f t="shared" ref="AT233:BG233" si="226">AS233</f>
        <v/>
      </c>
      <c r="AU233" s="308" t="str">
        <f t="shared" si="226"/>
        <v/>
      </c>
      <c r="AV233" s="308" t="str">
        <f t="shared" si="226"/>
        <v/>
      </c>
      <c r="AW233" s="308" t="str">
        <f t="shared" si="226"/>
        <v/>
      </c>
      <c r="AX233" s="308" t="str">
        <f t="shared" si="226"/>
        <v/>
      </c>
      <c r="AY233" s="308" t="str">
        <f t="shared" si="226"/>
        <v/>
      </c>
      <c r="AZ233" s="308" t="str">
        <f t="shared" si="226"/>
        <v/>
      </c>
      <c r="BA233" s="308" t="str">
        <f t="shared" si="226"/>
        <v/>
      </c>
      <c r="BB233" s="308" t="str">
        <f t="shared" si="226"/>
        <v/>
      </c>
      <c r="BC233" s="308" t="str">
        <f t="shared" si="226"/>
        <v/>
      </c>
      <c r="BD233" s="308" t="str">
        <f t="shared" si="226"/>
        <v/>
      </c>
      <c r="BE233" s="308" t="str">
        <f t="shared" si="226"/>
        <v/>
      </c>
      <c r="BF233" s="308" t="str">
        <f t="shared" si="226"/>
        <v/>
      </c>
      <c r="BG233" s="308" t="str">
        <f t="shared" si="226"/>
        <v/>
      </c>
    </row>
    <row r="234" ht="12.75" customHeight="1" outlineLevel="1">
      <c r="A234" s="90"/>
      <c r="B234" s="90"/>
      <c r="C234" s="90"/>
      <c r="D234" s="90" t="s">
        <v>771</v>
      </c>
      <c r="E234" s="90"/>
      <c r="F234" s="90"/>
      <c r="G234" s="99" t="str">
        <f>'RS3'!J233</f>
        <v/>
      </c>
      <c r="H234" s="99">
        <f>'RS3'!K233</f>
        <v>0</v>
      </c>
      <c r="I234" s="99">
        <v>3.1875</v>
      </c>
      <c r="J234" s="99">
        <v>3.1875</v>
      </c>
      <c r="K234" s="99">
        <v>3.1875</v>
      </c>
      <c r="L234" s="99">
        <v>3.1875</v>
      </c>
      <c r="M234" s="99">
        <v>3.1875</v>
      </c>
      <c r="N234" s="99">
        <v>3.1875</v>
      </c>
      <c r="O234" s="99">
        <v>3.1875</v>
      </c>
      <c r="P234" s="99">
        <v>3.1875</v>
      </c>
      <c r="Q234" s="99">
        <v>3.1875</v>
      </c>
      <c r="R234" s="99">
        <v>3.1875</v>
      </c>
      <c r="AT234" s="308" t="str">
        <f t="shared" ref="AT234:BG234" si="227">AS234</f>
        <v/>
      </c>
      <c r="AU234" s="308" t="str">
        <f t="shared" si="227"/>
        <v/>
      </c>
      <c r="AV234" s="308" t="str">
        <f t="shared" si="227"/>
        <v/>
      </c>
      <c r="AW234" s="308" t="str">
        <f t="shared" si="227"/>
        <v/>
      </c>
      <c r="AX234" s="308" t="str">
        <f t="shared" si="227"/>
        <v/>
      </c>
      <c r="AY234" s="308" t="str">
        <f t="shared" si="227"/>
        <v/>
      </c>
      <c r="AZ234" s="308" t="str">
        <f t="shared" si="227"/>
        <v/>
      </c>
      <c r="BA234" s="308" t="str">
        <f t="shared" si="227"/>
        <v/>
      </c>
      <c r="BB234" s="308" t="str">
        <f t="shared" si="227"/>
        <v/>
      </c>
      <c r="BC234" s="308" t="str">
        <f t="shared" si="227"/>
        <v/>
      </c>
      <c r="BD234" s="308" t="str">
        <f t="shared" si="227"/>
        <v/>
      </c>
      <c r="BE234" s="308" t="str">
        <f t="shared" si="227"/>
        <v/>
      </c>
      <c r="BF234" s="308" t="str">
        <f t="shared" si="227"/>
        <v/>
      </c>
      <c r="BG234" s="308" t="str">
        <f t="shared" si="227"/>
        <v/>
      </c>
    </row>
    <row r="235" ht="12.75" customHeight="1" outlineLevel="1">
      <c r="A235" s="90"/>
      <c r="B235" s="90"/>
      <c r="C235" s="90"/>
      <c r="D235" s="90" t="s">
        <v>772</v>
      </c>
      <c r="E235" s="90"/>
      <c r="F235" s="90"/>
      <c r="G235" s="99" t="str">
        <f>'RS3'!J234</f>
        <v/>
      </c>
      <c r="H235" s="99">
        <f>'RS3'!K234</f>
        <v>9.375</v>
      </c>
      <c r="I235" s="99">
        <v>9.5625</v>
      </c>
      <c r="J235" s="99">
        <v>9.5625</v>
      </c>
      <c r="K235" s="99">
        <v>9.5625</v>
      </c>
      <c r="L235" s="99">
        <v>9.5625</v>
      </c>
      <c r="M235" s="99">
        <v>9.5625</v>
      </c>
      <c r="N235" s="99">
        <v>9.5625</v>
      </c>
      <c r="O235" s="99">
        <v>9.5625</v>
      </c>
      <c r="P235" s="99">
        <v>9.5625</v>
      </c>
      <c r="Q235" s="99">
        <v>9.5625</v>
      </c>
      <c r="R235" s="99">
        <v>9.5625</v>
      </c>
      <c r="AT235" s="308" t="str">
        <f t="shared" ref="AT235:BG235" si="228">AS235</f>
        <v/>
      </c>
      <c r="AU235" s="308" t="str">
        <f t="shared" si="228"/>
        <v/>
      </c>
      <c r="AV235" s="308" t="str">
        <f t="shared" si="228"/>
        <v/>
      </c>
      <c r="AW235" s="308" t="str">
        <f t="shared" si="228"/>
        <v/>
      </c>
      <c r="AX235" s="308" t="str">
        <f t="shared" si="228"/>
        <v/>
      </c>
      <c r="AY235" s="308" t="str">
        <f t="shared" si="228"/>
        <v/>
      </c>
      <c r="AZ235" s="308" t="str">
        <f t="shared" si="228"/>
        <v/>
      </c>
      <c r="BA235" s="308" t="str">
        <f t="shared" si="228"/>
        <v/>
      </c>
      <c r="BB235" s="308" t="str">
        <f t="shared" si="228"/>
        <v/>
      </c>
      <c r="BC235" s="308" t="str">
        <f t="shared" si="228"/>
        <v/>
      </c>
      <c r="BD235" s="308" t="str">
        <f t="shared" si="228"/>
        <v/>
      </c>
      <c r="BE235" s="308" t="str">
        <f t="shared" si="228"/>
        <v/>
      </c>
      <c r="BF235" s="308" t="str">
        <f t="shared" si="228"/>
        <v/>
      </c>
      <c r="BG235" s="308" t="str">
        <f t="shared" si="228"/>
        <v/>
      </c>
    </row>
    <row r="236" ht="12.75" customHeight="1" outlineLevel="1">
      <c r="A236" s="90"/>
      <c r="B236" s="90"/>
      <c r="C236" s="90"/>
      <c r="D236" s="90" t="s">
        <v>773</v>
      </c>
      <c r="E236" s="90"/>
      <c r="F236" s="90"/>
      <c r="G236" s="99" t="str">
        <f>'RS3'!J235</f>
        <v/>
      </c>
      <c r="H236" s="99">
        <f>'RS3'!K235</f>
        <v>0</v>
      </c>
      <c r="I236" s="99">
        <v>5.0</v>
      </c>
      <c r="J236" s="99">
        <v>5.0</v>
      </c>
      <c r="K236" s="99">
        <v>5.0</v>
      </c>
      <c r="L236" s="99">
        <v>5.0</v>
      </c>
      <c r="M236" s="99">
        <v>5.0</v>
      </c>
      <c r="N236" s="99">
        <v>5.0</v>
      </c>
      <c r="O236" s="99">
        <v>5.0</v>
      </c>
      <c r="P236" s="99">
        <v>5.0</v>
      </c>
      <c r="Q236" s="99">
        <v>5.0</v>
      </c>
      <c r="R236" s="99">
        <v>5.0</v>
      </c>
      <c r="AT236" s="308" t="str">
        <f t="shared" ref="AT236:BG236" si="229">AS236</f>
        <v/>
      </c>
      <c r="AU236" s="308" t="str">
        <f t="shared" si="229"/>
        <v/>
      </c>
      <c r="AV236" s="308" t="str">
        <f t="shared" si="229"/>
        <v/>
      </c>
      <c r="AW236" s="308" t="str">
        <f t="shared" si="229"/>
        <v/>
      </c>
      <c r="AX236" s="308" t="str">
        <f t="shared" si="229"/>
        <v/>
      </c>
      <c r="AY236" s="308" t="str">
        <f t="shared" si="229"/>
        <v/>
      </c>
      <c r="AZ236" s="308" t="str">
        <f t="shared" si="229"/>
        <v/>
      </c>
      <c r="BA236" s="308" t="str">
        <f t="shared" si="229"/>
        <v/>
      </c>
      <c r="BB236" s="308" t="str">
        <f t="shared" si="229"/>
        <v/>
      </c>
      <c r="BC236" s="308" t="str">
        <f t="shared" si="229"/>
        <v/>
      </c>
      <c r="BD236" s="308" t="str">
        <f t="shared" si="229"/>
        <v/>
      </c>
      <c r="BE236" s="308" t="str">
        <f t="shared" si="229"/>
        <v/>
      </c>
      <c r="BF236" s="308" t="str">
        <f t="shared" si="229"/>
        <v/>
      </c>
      <c r="BG236" s="308" t="str">
        <f t="shared" si="229"/>
        <v/>
      </c>
    </row>
    <row r="237" ht="12.75" customHeight="1" outlineLevel="1">
      <c r="A237" s="90"/>
      <c r="B237" s="90"/>
      <c r="C237" s="90"/>
      <c r="D237" s="90" t="s">
        <v>774</v>
      </c>
      <c r="E237" s="90"/>
      <c r="F237" s="90"/>
      <c r="G237" s="99"/>
      <c r="H237" s="99"/>
      <c r="I237" s="99"/>
      <c r="J237" s="99"/>
      <c r="K237" s="99"/>
      <c r="L237" s="99"/>
      <c r="M237" s="99"/>
      <c r="N237" s="99"/>
      <c r="O237" s="99"/>
      <c r="P237" s="99"/>
      <c r="Q237" s="99"/>
      <c r="R237" s="99"/>
      <c r="AT237" s="308" t="str">
        <f t="shared" ref="AT237:BG237" si="230">AS237</f>
        <v/>
      </c>
      <c r="AU237" s="308" t="str">
        <f t="shared" si="230"/>
        <v/>
      </c>
      <c r="AV237" s="308" t="str">
        <f t="shared" si="230"/>
        <v/>
      </c>
      <c r="AW237" s="308" t="str">
        <f t="shared" si="230"/>
        <v/>
      </c>
      <c r="AX237" s="308" t="str">
        <f t="shared" si="230"/>
        <v/>
      </c>
      <c r="AY237" s="308" t="str">
        <f t="shared" si="230"/>
        <v/>
      </c>
      <c r="AZ237" s="308" t="str">
        <f t="shared" si="230"/>
        <v/>
      </c>
      <c r="BA237" s="308" t="str">
        <f t="shared" si="230"/>
        <v/>
      </c>
      <c r="BB237" s="308" t="str">
        <f t="shared" si="230"/>
        <v/>
      </c>
      <c r="BC237" s="308" t="str">
        <f t="shared" si="230"/>
        <v/>
      </c>
      <c r="BD237" s="308" t="str">
        <f t="shared" si="230"/>
        <v/>
      </c>
      <c r="BE237" s="308" t="str">
        <f t="shared" si="230"/>
        <v/>
      </c>
      <c r="BF237" s="308" t="str">
        <f t="shared" si="230"/>
        <v/>
      </c>
      <c r="BG237" s="308" t="str">
        <f t="shared" si="230"/>
        <v/>
      </c>
    </row>
    <row r="238" ht="12.75" customHeight="1" outlineLevel="1">
      <c r="A238" s="90"/>
      <c r="B238" s="90"/>
      <c r="C238" s="90"/>
      <c r="D238" s="90"/>
      <c r="E238" s="90"/>
      <c r="F238" s="90"/>
      <c r="G238" s="99"/>
      <c r="H238" s="99"/>
      <c r="I238" s="99"/>
      <c r="J238" s="99"/>
      <c r="K238" s="99"/>
      <c r="L238" s="99"/>
      <c r="M238" s="99"/>
      <c r="N238" s="99"/>
      <c r="O238" s="99"/>
      <c r="P238" s="99"/>
      <c r="Q238" s="99"/>
      <c r="R238" s="99"/>
      <c r="AT238" s="308"/>
      <c r="AU238" s="308"/>
      <c r="AV238" s="308"/>
      <c r="AW238" s="308"/>
      <c r="AX238" s="308"/>
      <c r="AY238" s="308"/>
      <c r="AZ238" s="308"/>
      <c r="BA238" s="308"/>
      <c r="BB238" s="308"/>
      <c r="BC238" s="308"/>
      <c r="BD238" s="308"/>
      <c r="BE238" s="308"/>
      <c r="BF238" s="308"/>
      <c r="BG238" s="308"/>
    </row>
    <row r="239" ht="12.75" customHeight="1" outlineLevel="1">
      <c r="A239" s="90"/>
      <c r="B239" s="67" t="s">
        <v>775</v>
      </c>
      <c r="C239" s="90"/>
      <c r="D239" s="90"/>
      <c r="E239" s="90"/>
      <c r="F239" s="90"/>
      <c r="G239" s="99" t="str">
        <f>'RS3'!J238</f>
        <v/>
      </c>
      <c r="H239" s="99">
        <f>'RS3'!K238</f>
        <v>0</v>
      </c>
      <c r="I239" s="99">
        <f>'RS3'!L238</f>
        <v>0</v>
      </c>
      <c r="J239" s="99">
        <f>'RS3'!M238</f>
        <v>0</v>
      </c>
      <c r="K239" s="99">
        <f>'RS3'!N238</f>
        <v>0</v>
      </c>
      <c r="L239" s="99">
        <f>'RS3'!O238</f>
        <v>0</v>
      </c>
      <c r="M239" s="99">
        <f>'RS3'!P238</f>
        <v>0</v>
      </c>
      <c r="N239" s="99">
        <f>'RS3'!Q238</f>
        <v>0</v>
      </c>
      <c r="O239" s="99">
        <f>'RS3'!R238</f>
        <v>0</v>
      </c>
      <c r="P239" s="99">
        <f>'RS3'!S238</f>
        <v>0</v>
      </c>
      <c r="Q239" s="99">
        <f>'RS3'!T238</f>
        <v>0</v>
      </c>
      <c r="R239" s="99">
        <f>'RS3'!U238</f>
        <v>0</v>
      </c>
      <c r="AT239" s="308" t="str">
        <f t="shared" ref="AT239:BG239" si="231">AS239</f>
        <v/>
      </c>
      <c r="AU239" s="308" t="str">
        <f t="shared" si="231"/>
        <v/>
      </c>
      <c r="AV239" s="308" t="str">
        <f t="shared" si="231"/>
        <v/>
      </c>
      <c r="AW239" s="308" t="str">
        <f t="shared" si="231"/>
        <v/>
      </c>
      <c r="AX239" s="308" t="str">
        <f t="shared" si="231"/>
        <v/>
      </c>
      <c r="AY239" s="308" t="str">
        <f t="shared" si="231"/>
        <v/>
      </c>
      <c r="AZ239" s="308" t="str">
        <f t="shared" si="231"/>
        <v/>
      </c>
      <c r="BA239" s="308" t="str">
        <f t="shared" si="231"/>
        <v/>
      </c>
      <c r="BB239" s="308" t="str">
        <f t="shared" si="231"/>
        <v/>
      </c>
      <c r="BC239" s="308" t="str">
        <f t="shared" si="231"/>
        <v/>
      </c>
      <c r="BD239" s="308" t="str">
        <f t="shared" si="231"/>
        <v/>
      </c>
      <c r="BE239" s="308" t="str">
        <f t="shared" si="231"/>
        <v/>
      </c>
      <c r="BF239" s="308" t="str">
        <f t="shared" si="231"/>
        <v/>
      </c>
      <c r="BG239" s="308" t="str">
        <f t="shared" si="231"/>
        <v/>
      </c>
    </row>
    <row r="240" ht="12.75" customHeight="1" outlineLevel="1">
      <c r="A240" s="90"/>
      <c r="B240" s="90"/>
      <c r="C240" s="90"/>
      <c r="D240" s="90"/>
      <c r="E240" s="90"/>
      <c r="F240" s="90"/>
      <c r="G240" s="99"/>
      <c r="H240" s="99"/>
      <c r="I240" s="99"/>
      <c r="J240" s="99"/>
      <c r="K240" s="99"/>
      <c r="L240" s="99"/>
      <c r="M240" s="99"/>
      <c r="N240" s="99"/>
      <c r="O240" s="99"/>
      <c r="P240" s="99"/>
      <c r="Q240" s="99"/>
      <c r="R240" s="99"/>
      <c r="AT240" s="308"/>
      <c r="AU240" s="308"/>
      <c r="AV240" s="308"/>
      <c r="AW240" s="308"/>
      <c r="AX240" s="308"/>
      <c r="AY240" s="308"/>
      <c r="AZ240" s="308"/>
      <c r="BA240" s="308"/>
      <c r="BB240" s="308"/>
      <c r="BC240" s="308"/>
      <c r="BD240" s="308"/>
      <c r="BE240" s="308"/>
      <c r="BF240" s="308"/>
      <c r="BG240" s="308"/>
    </row>
    <row r="241" ht="12.75" customHeight="1" outlineLevel="1">
      <c r="A241" s="90"/>
      <c r="B241" s="67" t="s">
        <v>555</v>
      </c>
      <c r="C241" s="90"/>
      <c r="D241" s="90"/>
      <c r="E241" s="90"/>
      <c r="F241" s="90"/>
      <c r="G241" s="90"/>
      <c r="H241" s="90"/>
      <c r="I241" s="90"/>
      <c r="J241" s="90"/>
      <c r="K241" s="90"/>
      <c r="L241" s="90"/>
      <c r="M241" s="90"/>
      <c r="N241" s="90"/>
      <c r="O241" s="90"/>
      <c r="P241" s="90"/>
      <c r="Q241" s="90"/>
      <c r="R241" s="90"/>
      <c r="AT241" s="313"/>
      <c r="AU241" s="313"/>
      <c r="AV241" s="313"/>
      <c r="AW241" s="313"/>
      <c r="AX241" s="313"/>
      <c r="AY241" s="313"/>
      <c r="AZ241" s="313"/>
      <c r="BA241" s="313"/>
      <c r="BB241" s="313"/>
      <c r="BC241" s="313"/>
      <c r="BD241" s="313"/>
      <c r="BE241" s="313"/>
      <c r="BF241" s="313"/>
      <c r="BG241" s="313"/>
    </row>
    <row r="242" ht="12.75" customHeight="1" outlineLevel="1">
      <c r="A242" s="90"/>
      <c r="B242" s="67"/>
      <c r="C242" s="90" t="s">
        <v>776</v>
      </c>
      <c r="D242" s="90"/>
      <c r="E242" s="90"/>
      <c r="F242" s="90"/>
      <c r="G242" s="90"/>
      <c r="H242" s="90"/>
      <c r="I242" s="90"/>
      <c r="J242" s="90"/>
      <c r="K242" s="90"/>
      <c r="L242" s="90"/>
      <c r="M242" s="90"/>
      <c r="N242" s="90"/>
      <c r="O242" s="90"/>
      <c r="P242" s="90"/>
      <c r="Q242" s="90"/>
      <c r="R242" s="90"/>
      <c r="AT242" s="313"/>
      <c r="AU242" s="313"/>
      <c r="AV242" s="313"/>
      <c r="AW242" s="313"/>
      <c r="AX242" s="313"/>
      <c r="AY242" s="313"/>
      <c r="AZ242" s="313"/>
      <c r="BA242" s="313"/>
      <c r="BB242" s="313"/>
      <c r="BC242" s="313"/>
      <c r="BD242" s="313"/>
      <c r="BE242" s="313"/>
      <c r="BF242" s="313"/>
      <c r="BG242" s="313"/>
    </row>
    <row r="243" ht="12.75" customHeight="1" outlineLevel="1">
      <c r="A243" s="90"/>
      <c r="B243" s="90"/>
      <c r="C243" s="90"/>
      <c r="D243" s="90" t="s">
        <v>182</v>
      </c>
      <c r="E243" s="90"/>
      <c r="F243" s="90"/>
      <c r="G243" s="302">
        <f>Assumptions!D73</f>
        <v>0</v>
      </c>
      <c r="H243" s="302">
        <f>Assumptions!E73</f>
        <v>0</v>
      </c>
      <c r="I243" s="302">
        <f>Assumptions!F73</f>
        <v>0.05639999233</v>
      </c>
      <c r="J243" s="302">
        <f>Assumptions!G73</f>
        <v>0.11</v>
      </c>
      <c r="K243" s="302">
        <f>Assumptions!H73</f>
        <v>0.11</v>
      </c>
      <c r="L243" s="302">
        <f>Assumptions!I73</f>
        <v>0.12</v>
      </c>
      <c r="M243" s="302">
        <f>Assumptions!J73</f>
        <v>0.12</v>
      </c>
      <c r="N243" s="185">
        <f>Assumptions!K73</f>
        <v>0.12</v>
      </c>
      <c r="O243" s="185">
        <f>Assumptions!L73</f>
        <v>0.12</v>
      </c>
      <c r="P243" s="185">
        <f>Assumptions!M73</f>
        <v>0.12</v>
      </c>
      <c r="Q243" s="185">
        <f t="shared" ref="Q243:R243" si="232">P243</f>
        <v>0.12</v>
      </c>
      <c r="R243" s="185">
        <f t="shared" si="232"/>
        <v>0.12</v>
      </c>
      <c r="AT243" s="185" t="str">
        <f t="shared" ref="AT243:BG243" si="233">AS243</f>
        <v/>
      </c>
      <c r="AU243" s="185" t="str">
        <f t="shared" si="233"/>
        <v/>
      </c>
      <c r="AV243" s="185" t="str">
        <f t="shared" si="233"/>
        <v/>
      </c>
      <c r="AW243" s="185" t="str">
        <f t="shared" si="233"/>
        <v/>
      </c>
      <c r="AX243" s="185" t="str">
        <f t="shared" si="233"/>
        <v/>
      </c>
      <c r="AY243" s="185" t="str">
        <f t="shared" si="233"/>
        <v/>
      </c>
      <c r="AZ243" s="185" t="str">
        <f t="shared" si="233"/>
        <v/>
      </c>
      <c r="BA243" s="185" t="str">
        <f t="shared" si="233"/>
        <v/>
      </c>
      <c r="BB243" s="185" t="str">
        <f t="shared" si="233"/>
        <v/>
      </c>
      <c r="BC243" s="185" t="str">
        <f t="shared" si="233"/>
        <v/>
      </c>
      <c r="BD243" s="185" t="str">
        <f t="shared" si="233"/>
        <v/>
      </c>
      <c r="BE243" s="185" t="str">
        <f t="shared" si="233"/>
        <v/>
      </c>
      <c r="BF243" s="185" t="str">
        <f t="shared" si="233"/>
        <v/>
      </c>
      <c r="BG243" s="185" t="str">
        <f t="shared" si="233"/>
        <v/>
      </c>
    </row>
    <row r="244" ht="12.75" customHeight="1" outlineLevel="1">
      <c r="A244" s="90"/>
      <c r="B244" s="90"/>
      <c r="C244" s="90"/>
      <c r="D244" s="90" t="s">
        <v>183</v>
      </c>
      <c r="E244" s="90"/>
      <c r="F244" s="90"/>
      <c r="G244" s="302">
        <f>Assumptions!D74</f>
        <v>0</v>
      </c>
      <c r="H244" s="302">
        <f>Assumptions!E74</f>
        <v>0</v>
      </c>
      <c r="I244" s="302">
        <f>Assumptions!F74</f>
        <v>0.2</v>
      </c>
      <c r="J244" s="302">
        <f>Assumptions!G74</f>
        <v>0.2</v>
      </c>
      <c r="K244" s="302">
        <f>Assumptions!H74</f>
        <v>0.2</v>
      </c>
      <c r="L244" s="302">
        <f>Assumptions!I74</f>
        <v>0.2</v>
      </c>
      <c r="M244" s="302">
        <f>Assumptions!J74</f>
        <v>0.2</v>
      </c>
      <c r="N244" s="185">
        <f>Assumptions!K74</f>
        <v>0.2</v>
      </c>
      <c r="O244" s="185">
        <f>Assumptions!L74</f>
        <v>0.2</v>
      </c>
      <c r="P244" s="185">
        <f>Assumptions!M74</f>
        <v>0.2</v>
      </c>
      <c r="Q244" s="185">
        <f t="shared" ref="Q244:R244" si="234">P244</f>
        <v>0.2</v>
      </c>
      <c r="R244" s="185">
        <f t="shared" si="234"/>
        <v>0.2</v>
      </c>
      <c r="AT244" s="302">
        <v>0.2</v>
      </c>
      <c r="AU244" s="302">
        <v>0.2</v>
      </c>
      <c r="AV244" s="302">
        <v>0.2</v>
      </c>
      <c r="AW244" s="302">
        <v>0.2</v>
      </c>
      <c r="AX244" s="302">
        <v>0.2</v>
      </c>
      <c r="AY244" s="302">
        <v>0.2</v>
      </c>
      <c r="AZ244" s="302">
        <v>0.2</v>
      </c>
      <c r="BA244" s="302">
        <v>0.2</v>
      </c>
      <c r="BB244" s="302">
        <v>0.2</v>
      </c>
      <c r="BC244" s="302">
        <v>0.2</v>
      </c>
      <c r="BD244" s="302">
        <v>0.2</v>
      </c>
      <c r="BE244" s="302">
        <v>0.2</v>
      </c>
      <c r="BF244" s="302">
        <v>0.2</v>
      </c>
      <c r="BG244" s="302">
        <v>0.2</v>
      </c>
    </row>
    <row r="245" ht="12.75" customHeight="1" outlineLevel="1">
      <c r="A245" s="90"/>
      <c r="B245" s="90"/>
      <c r="C245" s="90"/>
      <c r="D245" s="90" t="s">
        <v>184</v>
      </c>
      <c r="E245" s="90"/>
      <c r="F245" s="90"/>
      <c r="G245" s="302">
        <f>Assumptions!D75</f>
        <v>0.05</v>
      </c>
      <c r="H245" s="302">
        <f>Assumptions!E75</f>
        <v>0.03</v>
      </c>
      <c r="I245" s="302">
        <f>Assumptions!F75</f>
        <v>0.04360000767</v>
      </c>
      <c r="J245" s="302">
        <f>Assumptions!G75</f>
        <v>0.04</v>
      </c>
      <c r="K245" s="302">
        <f>Assumptions!H75</f>
        <v>0.04</v>
      </c>
      <c r="L245" s="302">
        <f>Assumptions!I75</f>
        <v>0.03</v>
      </c>
      <c r="M245" s="302">
        <f>Assumptions!J75</f>
        <v>0.03</v>
      </c>
      <c r="N245" s="185">
        <f>Assumptions!K75</f>
        <v>0.03</v>
      </c>
      <c r="O245" s="185">
        <f>Assumptions!L75</f>
        <v>0.03</v>
      </c>
      <c r="P245" s="185">
        <f>Assumptions!M75</f>
        <v>0.03</v>
      </c>
      <c r="Q245" s="185">
        <f t="shared" ref="Q245:R245" si="235">P245</f>
        <v>0.03</v>
      </c>
      <c r="R245" s="185">
        <f t="shared" si="235"/>
        <v>0.03</v>
      </c>
      <c r="AT245" s="185" t="str">
        <f t="shared" ref="AT245:BG245" si="236">AS245</f>
        <v/>
      </c>
      <c r="AU245" s="185" t="str">
        <f t="shared" si="236"/>
        <v/>
      </c>
      <c r="AV245" s="185" t="str">
        <f t="shared" si="236"/>
        <v/>
      </c>
      <c r="AW245" s="185" t="str">
        <f t="shared" si="236"/>
        <v/>
      </c>
      <c r="AX245" s="185" t="str">
        <f t="shared" si="236"/>
        <v/>
      </c>
      <c r="AY245" s="185" t="str">
        <f t="shared" si="236"/>
        <v/>
      </c>
      <c r="AZ245" s="185" t="str">
        <f t="shared" si="236"/>
        <v/>
      </c>
      <c r="BA245" s="185" t="str">
        <f t="shared" si="236"/>
        <v/>
      </c>
      <c r="BB245" s="185" t="str">
        <f t="shared" si="236"/>
        <v/>
      </c>
      <c r="BC245" s="185" t="str">
        <f t="shared" si="236"/>
        <v/>
      </c>
      <c r="BD245" s="185" t="str">
        <f t="shared" si="236"/>
        <v/>
      </c>
      <c r="BE245" s="185" t="str">
        <f t="shared" si="236"/>
        <v/>
      </c>
      <c r="BF245" s="185" t="str">
        <f t="shared" si="236"/>
        <v/>
      </c>
      <c r="BG245" s="185" t="str">
        <f t="shared" si="236"/>
        <v/>
      </c>
    </row>
    <row r="246" ht="12.75" customHeight="1" outlineLevel="1">
      <c r="A246" s="90"/>
      <c r="B246" s="90"/>
      <c r="C246" s="148" t="s">
        <v>777</v>
      </c>
      <c r="D246" s="148"/>
      <c r="E246" s="148"/>
      <c r="F246" s="148"/>
      <c r="G246" s="375">
        <f t="shared" ref="G246:R246" si="237">SUM(G243:G245)</f>
        <v>0.05</v>
      </c>
      <c r="H246" s="375">
        <f t="shared" si="237"/>
        <v>0.03</v>
      </c>
      <c r="I246" s="375">
        <f t="shared" si="237"/>
        <v>0.3</v>
      </c>
      <c r="J246" s="375">
        <f t="shared" si="237"/>
        <v>0.35</v>
      </c>
      <c r="K246" s="375">
        <f t="shared" si="237"/>
        <v>0.35</v>
      </c>
      <c r="L246" s="375">
        <f t="shared" si="237"/>
        <v>0.35</v>
      </c>
      <c r="M246" s="375">
        <f t="shared" si="237"/>
        <v>0.35</v>
      </c>
      <c r="N246" s="375">
        <f t="shared" si="237"/>
        <v>0.35</v>
      </c>
      <c r="O246" s="375">
        <f t="shared" si="237"/>
        <v>0.35</v>
      </c>
      <c r="P246" s="375">
        <f t="shared" si="237"/>
        <v>0.35</v>
      </c>
      <c r="Q246" s="375">
        <f t="shared" si="237"/>
        <v>0.35</v>
      </c>
      <c r="R246" s="375">
        <f t="shared" si="237"/>
        <v>0.35</v>
      </c>
      <c r="AT246" s="376">
        <f t="shared" ref="AT246:BG246" si="238">SUM(AT243:AT245)</f>
        <v>0.2</v>
      </c>
      <c r="AU246" s="376">
        <f t="shared" si="238"/>
        <v>0.2</v>
      </c>
      <c r="AV246" s="376">
        <f t="shared" si="238"/>
        <v>0.2</v>
      </c>
      <c r="AW246" s="376">
        <f t="shared" si="238"/>
        <v>0.2</v>
      </c>
      <c r="AX246" s="376">
        <f t="shared" si="238"/>
        <v>0.2</v>
      </c>
      <c r="AY246" s="376">
        <f t="shared" si="238"/>
        <v>0.2</v>
      </c>
      <c r="AZ246" s="376">
        <f t="shared" si="238"/>
        <v>0.2</v>
      </c>
      <c r="BA246" s="376">
        <f t="shared" si="238"/>
        <v>0.2</v>
      </c>
      <c r="BB246" s="376">
        <f t="shared" si="238"/>
        <v>0.2</v>
      </c>
      <c r="BC246" s="376">
        <f t="shared" si="238"/>
        <v>0.2</v>
      </c>
      <c r="BD246" s="376">
        <f t="shared" si="238"/>
        <v>0.2</v>
      </c>
      <c r="BE246" s="376">
        <f t="shared" si="238"/>
        <v>0.2</v>
      </c>
      <c r="BF246" s="376">
        <f t="shared" si="238"/>
        <v>0.2</v>
      </c>
      <c r="BG246" s="376">
        <f t="shared" si="238"/>
        <v>0.2</v>
      </c>
    </row>
    <row r="247" ht="12.75" customHeight="1" outlineLevel="1">
      <c r="A247" s="90"/>
      <c r="B247" s="90"/>
      <c r="C247" s="90"/>
      <c r="D247" s="90"/>
      <c r="E247" s="90"/>
      <c r="F247" s="90"/>
      <c r="G247" s="152"/>
      <c r="H247" s="152"/>
      <c r="I247" s="152"/>
      <c r="J247" s="152"/>
      <c r="K247" s="152"/>
      <c r="L247" s="152"/>
      <c r="M247" s="152"/>
      <c r="N247" s="152"/>
      <c r="O247" s="152"/>
      <c r="P247" s="152"/>
      <c r="Q247" s="152"/>
      <c r="R247" s="152"/>
      <c r="AT247" s="352"/>
      <c r="AU247" s="352"/>
      <c r="AV247" s="352"/>
      <c r="AW247" s="352"/>
      <c r="AX247" s="352"/>
      <c r="AY247" s="352"/>
      <c r="AZ247" s="352"/>
      <c r="BA247" s="352"/>
      <c r="BB247" s="352"/>
      <c r="BC247" s="352"/>
      <c r="BD247" s="352"/>
      <c r="BE247" s="352"/>
      <c r="BF247" s="352"/>
      <c r="BG247" s="352"/>
    </row>
    <row r="248" ht="12.75" customHeight="1" outlineLevel="1">
      <c r="A248" s="90"/>
      <c r="B248" s="90"/>
      <c r="C248" s="90" t="s">
        <v>778</v>
      </c>
      <c r="D248" s="90"/>
      <c r="E248" s="90"/>
      <c r="F248" s="90"/>
      <c r="G248" s="152">
        <f>'RSGen 1-7'!G248</f>
        <v>0</v>
      </c>
      <c r="H248" s="152">
        <f>'RSGen 1-7'!H248</f>
        <v>0</v>
      </c>
      <c r="I248" s="152">
        <f>'RSGen 1-7'!I248</f>
        <v>0</v>
      </c>
      <c r="J248" s="152">
        <f>'RSGen 1-7'!J248</f>
        <v>0</v>
      </c>
      <c r="K248" s="152">
        <f>'RSGen 1-7'!K248</f>
        <v>0</v>
      </c>
      <c r="L248" s="152">
        <f>'RSGen 1-7'!L248</f>
        <v>0</v>
      </c>
      <c r="M248" s="152" t="str">
        <f>'RS3'!P247</f>
        <v/>
      </c>
      <c r="N248" s="152" t="str">
        <f>'RS3'!Q247</f>
        <v/>
      </c>
      <c r="O248" s="152" t="str">
        <f>'RS3'!R247</f>
        <v/>
      </c>
      <c r="P248" s="152" t="str">
        <f>'RS3'!S247</f>
        <v/>
      </c>
      <c r="Q248" s="152" t="str">
        <f>'RS3'!T247</f>
        <v/>
      </c>
      <c r="R248" s="152" t="str">
        <f>'RS3'!U247</f>
        <v/>
      </c>
      <c r="AT248" s="352">
        <f>'RS2'!AV246</f>
        <v>0</v>
      </c>
      <c r="AU248" s="352" t="str">
        <f>'RS2'!AW246</f>
        <v/>
      </c>
      <c r="AV248" s="352" t="str">
        <f>'RS2'!AX246</f>
        <v/>
      </c>
      <c r="AW248" s="352" t="str">
        <f>'RS2'!AY246</f>
        <v/>
      </c>
      <c r="AX248" s="352" t="str">
        <f>'RS2'!AZ246</f>
        <v/>
      </c>
      <c r="AY248" s="352" t="str">
        <f>'RS2'!BA246</f>
        <v/>
      </c>
      <c r="AZ248" s="352" t="str">
        <f>'RS2'!BB246</f>
        <v/>
      </c>
      <c r="BA248" s="352" t="str">
        <f>'RS2'!BC246</f>
        <v/>
      </c>
      <c r="BB248" s="352" t="str">
        <f>'RS2'!BD246</f>
        <v/>
      </c>
      <c r="BC248" s="352" t="str">
        <f>'RS2'!BE246</f>
        <v/>
      </c>
      <c r="BD248" s="352" t="str">
        <f>'RS2'!BF246</f>
        <v/>
      </c>
      <c r="BE248" s="352" t="str">
        <f>'RS2'!BG246</f>
        <v/>
      </c>
      <c r="BF248" s="352" t="str">
        <f>'RS2'!BH246</f>
        <v/>
      </c>
      <c r="BG248" s="352" t="str">
        <f>'RS2'!BI246</f>
        <v/>
      </c>
    </row>
    <row r="249" ht="12.75" customHeight="1" outlineLevel="1">
      <c r="A249" s="90"/>
      <c r="B249" s="90"/>
      <c r="C249" s="90" t="s">
        <v>779</v>
      </c>
      <c r="D249" s="90"/>
      <c r="E249" s="90"/>
      <c r="F249" s="90"/>
      <c r="G249" s="152">
        <f>'RSGen 1-7'!G249</f>
        <v>0</v>
      </c>
      <c r="H249" s="152">
        <f>'RSGen 1-7'!H249</f>
        <v>0.01</v>
      </c>
      <c r="I249" s="152">
        <f>'RSGen 1-7'!I249</f>
        <v>0.01</v>
      </c>
      <c r="J249" s="152">
        <f>'RSGen 1-7'!J249</f>
        <v>0.01</v>
      </c>
      <c r="K249" s="152">
        <f>'RSGen 1-7'!K249</f>
        <v>0.01</v>
      </c>
      <c r="L249" s="152">
        <f>'RSGen 1-7'!L249</f>
        <v>0.01</v>
      </c>
      <c r="M249" s="152">
        <f>'RS3'!P248</f>
        <v>0.01</v>
      </c>
      <c r="N249" s="152">
        <f>'RS3'!Q248</f>
        <v>0.01</v>
      </c>
      <c r="O249" s="152">
        <f>'RS3'!R248</f>
        <v>0.01</v>
      </c>
      <c r="P249" s="152">
        <f>'RS3'!S248</f>
        <v>0.01</v>
      </c>
      <c r="Q249" s="152">
        <f>'RS3'!T248</f>
        <v>0.01</v>
      </c>
      <c r="R249" s="152">
        <f>'RS3'!U248</f>
        <v>0.01</v>
      </c>
      <c r="AT249" s="352">
        <f>'RS2'!AV247</f>
        <v>0.01</v>
      </c>
      <c r="AU249" s="352" t="str">
        <f>'RS2'!AW247</f>
        <v/>
      </c>
      <c r="AV249" s="352" t="str">
        <f>'RS2'!AX247</f>
        <v/>
      </c>
      <c r="AW249" s="352" t="str">
        <f>'RS2'!AY247</f>
        <v/>
      </c>
      <c r="AX249" s="352" t="str">
        <f>'RS2'!AZ247</f>
        <v/>
      </c>
      <c r="AY249" s="352" t="str">
        <f>'RS2'!BA247</f>
        <v/>
      </c>
      <c r="AZ249" s="352" t="str">
        <f>'RS2'!BB247</f>
        <v/>
      </c>
      <c r="BA249" s="352" t="str">
        <f>'RS2'!BC247</f>
        <v/>
      </c>
      <c r="BB249" s="352" t="str">
        <f>'RS2'!BD247</f>
        <v/>
      </c>
      <c r="BC249" s="352" t="str">
        <f>'RS2'!BE247</f>
        <v/>
      </c>
      <c r="BD249" s="352" t="str">
        <f>'RS2'!BF247</f>
        <v/>
      </c>
      <c r="BE249" s="352" t="str">
        <f>'RS2'!BG247</f>
        <v/>
      </c>
      <c r="BF249" s="352" t="str">
        <f>'RS2'!BH247</f>
        <v/>
      </c>
      <c r="BG249" s="352" t="str">
        <f>'RS2'!BI247</f>
        <v/>
      </c>
    </row>
    <row r="250" ht="12.75" customHeight="1" outlineLevel="1">
      <c r="A250" s="90"/>
      <c r="B250" s="90"/>
      <c r="C250" s="90" t="s">
        <v>780</v>
      </c>
      <c r="D250" s="90"/>
      <c r="E250" s="90"/>
      <c r="F250" s="90"/>
      <c r="G250" s="152">
        <f>'RSGen 1-7'!G250</f>
        <v>0</v>
      </c>
      <c r="H250" s="152">
        <f>'RSGen 1-7'!H250</f>
        <v>0.04</v>
      </c>
      <c r="I250" s="152">
        <f>'RSGen 1-7'!I250</f>
        <v>0.04</v>
      </c>
      <c r="J250" s="152">
        <f>'RSGen 1-7'!J250</f>
        <v>0.04</v>
      </c>
      <c r="K250" s="152">
        <f>'RSGen 1-7'!K250</f>
        <v>0.04</v>
      </c>
      <c r="L250" s="152">
        <f>'RSGen 1-7'!L250</f>
        <v>0.04</v>
      </c>
      <c r="M250" s="152">
        <f>'RS3'!P249</f>
        <v>0.04</v>
      </c>
      <c r="N250" s="152">
        <f>'RS3'!Q249</f>
        <v>0.04</v>
      </c>
      <c r="O250" s="152">
        <f>'RS3'!R249</f>
        <v>0.04</v>
      </c>
      <c r="P250" s="152">
        <f>'RS3'!S249</f>
        <v>0.04</v>
      </c>
      <c r="Q250" s="152">
        <f>'RS3'!T249</f>
        <v>0.04</v>
      </c>
      <c r="R250" s="152">
        <f>'RS3'!U249</f>
        <v>0.04</v>
      </c>
      <c r="AT250" s="352">
        <f>'RS2'!AV248</f>
        <v>0.04</v>
      </c>
      <c r="AU250" s="352" t="str">
        <f>'RS2'!AW248</f>
        <v/>
      </c>
      <c r="AV250" s="352" t="str">
        <f>'RS2'!AX248</f>
        <v/>
      </c>
      <c r="AW250" s="352" t="str">
        <f>'RS2'!AY248</f>
        <v/>
      </c>
      <c r="AX250" s="352" t="str">
        <f>'RS2'!AZ248</f>
        <v/>
      </c>
      <c r="AY250" s="352" t="str">
        <f>'RS2'!BA248</f>
        <v/>
      </c>
      <c r="AZ250" s="352" t="str">
        <f>'RS2'!BB248</f>
        <v/>
      </c>
      <c r="BA250" s="352" t="str">
        <f>'RS2'!BC248</f>
        <v/>
      </c>
      <c r="BB250" s="352" t="str">
        <f>'RS2'!BD248</f>
        <v/>
      </c>
      <c r="BC250" s="352" t="str">
        <f>'RS2'!BE248</f>
        <v/>
      </c>
      <c r="BD250" s="352" t="str">
        <f>'RS2'!BF248</f>
        <v/>
      </c>
      <c r="BE250" s="352" t="str">
        <f>'RS2'!BG248</f>
        <v/>
      </c>
      <c r="BF250" s="352" t="str">
        <f>'RS2'!BH248</f>
        <v/>
      </c>
      <c r="BG250" s="352" t="str">
        <f>'RS2'!BI248</f>
        <v/>
      </c>
    </row>
    <row r="251" ht="12.75" customHeight="1" outlineLevel="1">
      <c r="A251" s="90"/>
      <c r="B251" s="90"/>
      <c r="C251" s="90"/>
      <c r="D251" s="90" t="s">
        <v>781</v>
      </c>
      <c r="E251" s="90"/>
      <c r="F251" s="90"/>
      <c r="G251" s="99" t="str">
        <f>'RS3'!J250</f>
        <v/>
      </c>
      <c r="H251" s="99">
        <v>250000.0</v>
      </c>
      <c r="I251" s="99">
        <f>'RS3'!L250</f>
        <v>0</v>
      </c>
      <c r="J251" s="99" t="str">
        <f>'RS3'!M250</f>
        <v/>
      </c>
      <c r="K251" s="99" t="str">
        <f>'RS3'!N250</f>
        <v/>
      </c>
      <c r="L251" s="99" t="str">
        <f>'RS3'!O250</f>
        <v/>
      </c>
      <c r="M251" s="99" t="str">
        <f>'RS3'!P250</f>
        <v/>
      </c>
      <c r="N251" s="99" t="str">
        <f>'RS3'!Q250</f>
        <v/>
      </c>
      <c r="O251" s="99" t="str">
        <f>'RS3'!R250</f>
        <v/>
      </c>
      <c r="P251" s="99" t="str">
        <f>'RS3'!S250</f>
        <v/>
      </c>
      <c r="Q251" s="99" t="str">
        <f>'RS3'!T250</f>
        <v/>
      </c>
      <c r="R251" s="99" t="str">
        <f>'RS3'!U250</f>
        <v/>
      </c>
      <c r="AT251" s="308" t="str">
        <f t="shared" ref="AT251:BG251" si="239">AS251</f>
        <v/>
      </c>
      <c r="AU251" s="308" t="str">
        <f t="shared" si="239"/>
        <v/>
      </c>
      <c r="AV251" s="308" t="str">
        <f t="shared" si="239"/>
        <v/>
      </c>
      <c r="AW251" s="308" t="str">
        <f t="shared" si="239"/>
        <v/>
      </c>
      <c r="AX251" s="308" t="str">
        <f t="shared" si="239"/>
        <v/>
      </c>
      <c r="AY251" s="308" t="str">
        <f t="shared" si="239"/>
        <v/>
      </c>
      <c r="AZ251" s="308" t="str">
        <f t="shared" si="239"/>
        <v/>
      </c>
      <c r="BA251" s="308" t="str">
        <f t="shared" si="239"/>
        <v/>
      </c>
      <c r="BB251" s="308" t="str">
        <f t="shared" si="239"/>
        <v/>
      </c>
      <c r="BC251" s="308" t="str">
        <f t="shared" si="239"/>
        <v/>
      </c>
      <c r="BD251" s="308" t="str">
        <f t="shared" si="239"/>
        <v/>
      </c>
      <c r="BE251" s="308" t="str">
        <f t="shared" si="239"/>
        <v/>
      </c>
      <c r="BF251" s="308" t="str">
        <f t="shared" si="239"/>
        <v/>
      </c>
      <c r="BG251" s="308" t="str">
        <f t="shared" si="239"/>
        <v/>
      </c>
    </row>
    <row r="252" ht="12.75" customHeight="1" outlineLevel="1">
      <c r="A252" s="90"/>
      <c r="B252" s="90"/>
      <c r="C252" s="90" t="s">
        <v>782</v>
      </c>
      <c r="D252" s="90"/>
      <c r="E252" s="90"/>
      <c r="F252" s="90"/>
      <c r="G252" s="152">
        <f>'RSGen 1-7'!G252</f>
        <v>0</v>
      </c>
      <c r="H252" s="152">
        <f>'RSGen 1-7'!H252</f>
        <v>0.04</v>
      </c>
      <c r="I252" s="152">
        <f>'RSGen 1-7'!I252</f>
        <v>0.04</v>
      </c>
      <c r="J252" s="152">
        <f>'RSGen 1-7'!J252</f>
        <v>0.04</v>
      </c>
      <c r="K252" s="152">
        <f>'RSGen 1-7'!K252</f>
        <v>0.04</v>
      </c>
      <c r="L252" s="152">
        <f>'RSGen 1-7'!L252</f>
        <v>0.04</v>
      </c>
      <c r="M252" s="152">
        <f>'RSGen 1-7'!M252</f>
        <v>0.04</v>
      </c>
      <c r="N252" s="152">
        <f>'RSGen 1-7'!N252</f>
        <v>0.04</v>
      </c>
      <c r="O252" s="152">
        <f>'RSGen 1-7'!O252</f>
        <v>0.04</v>
      </c>
      <c r="P252" s="152">
        <f>'RSGen 1-7'!P252</f>
        <v>0.04</v>
      </c>
      <c r="Q252" s="152">
        <f>'RSGen 1-7'!Q252</f>
        <v>0.04</v>
      </c>
      <c r="R252" s="152">
        <f>'RSGen 1-7'!R252</f>
        <v>0.04</v>
      </c>
      <c r="AT252" s="352">
        <f>'RS2'!AV250</f>
        <v>0.04</v>
      </c>
      <c r="AU252" s="352" t="str">
        <f>'RS2'!AW250</f>
        <v/>
      </c>
      <c r="AV252" s="352" t="str">
        <f>'RS2'!AX250</f>
        <v/>
      </c>
      <c r="AW252" s="352" t="str">
        <f>'RS2'!AY250</f>
        <v/>
      </c>
      <c r="AX252" s="352" t="str">
        <f>'RS2'!AZ250</f>
        <v/>
      </c>
      <c r="AY252" s="352" t="str">
        <f>'RS2'!BA250</f>
        <v/>
      </c>
      <c r="AZ252" s="352" t="str">
        <f>'RS2'!BB250</f>
        <v/>
      </c>
      <c r="BA252" s="352" t="str">
        <f>'RS2'!BC250</f>
        <v/>
      </c>
      <c r="BB252" s="352" t="str">
        <f>'RS2'!BD250</f>
        <v/>
      </c>
      <c r="BC252" s="352" t="str">
        <f>'RS2'!BE250</f>
        <v/>
      </c>
      <c r="BD252" s="352" t="str">
        <f>'RS2'!BF250</f>
        <v/>
      </c>
      <c r="BE252" s="352" t="str">
        <f>'RS2'!BG250</f>
        <v/>
      </c>
      <c r="BF252" s="352" t="str">
        <f>'RS2'!BH250</f>
        <v/>
      </c>
      <c r="BG252" s="352" t="str">
        <f>'RS2'!BI250</f>
        <v/>
      </c>
    </row>
    <row r="253" ht="12.75" customHeight="1" outlineLevel="1">
      <c r="A253" s="90"/>
      <c r="B253" s="90"/>
      <c r="C253" s="90" t="s">
        <v>783</v>
      </c>
      <c r="D253" s="90"/>
      <c r="E253" s="90"/>
      <c r="F253" s="90"/>
      <c r="G253" s="152">
        <f>'RSGen 1-7'!G253</f>
        <v>0</v>
      </c>
      <c r="H253" s="152">
        <f>'RSGen 1-7'!H253</f>
        <v>0.05</v>
      </c>
      <c r="I253" s="152">
        <f>'RSGen 1-7'!I253</f>
        <v>0.04</v>
      </c>
      <c r="J253" s="152">
        <f>'RSGen 1-7'!J253</f>
        <v>0.04</v>
      </c>
      <c r="K253" s="152">
        <f>'RSGen 1-7'!K253</f>
        <v>0.04</v>
      </c>
      <c r="L253" s="152">
        <f>'RSGen 1-7'!L253</f>
        <v>0.04</v>
      </c>
      <c r="M253" s="152">
        <f>'RSGen 1-7'!M253</f>
        <v>0.04</v>
      </c>
      <c r="N253" s="152">
        <f>'RSGen 1-7'!N253</f>
        <v>0.04</v>
      </c>
      <c r="O253" s="152">
        <f>'RSGen 1-7'!O253</f>
        <v>0.04</v>
      </c>
      <c r="P253" s="152">
        <f>'RSGen 1-7'!P253</f>
        <v>0.04</v>
      </c>
      <c r="Q253" s="152">
        <f>'RSGen 1-7'!Q253</f>
        <v>0.04</v>
      </c>
      <c r="R253" s="152">
        <f>'RSGen 1-7'!R253</f>
        <v>0.04</v>
      </c>
      <c r="AT253" s="352">
        <f>'RS2'!AV251</f>
        <v>0.04</v>
      </c>
      <c r="AU253" s="352" t="str">
        <f>'RS2'!AW251</f>
        <v/>
      </c>
      <c r="AV253" s="352" t="str">
        <f>'RS2'!AX251</f>
        <v/>
      </c>
      <c r="AW253" s="352" t="str">
        <f>'RS2'!AY251</f>
        <v/>
      </c>
      <c r="AX253" s="352" t="str">
        <f>'RS2'!AZ251</f>
        <v/>
      </c>
      <c r="AY253" s="352" t="str">
        <f>'RS2'!BA251</f>
        <v/>
      </c>
      <c r="AZ253" s="352" t="str">
        <f>'RS2'!BB251</f>
        <v/>
      </c>
      <c r="BA253" s="352" t="str">
        <f>'RS2'!BC251</f>
        <v/>
      </c>
      <c r="BB253" s="352" t="str">
        <f>'RS2'!BD251</f>
        <v/>
      </c>
      <c r="BC253" s="352" t="str">
        <f>'RS2'!BE251</f>
        <v/>
      </c>
      <c r="BD253" s="352" t="str">
        <f>'RS2'!BF251</f>
        <v/>
      </c>
      <c r="BE253" s="352" t="str">
        <f>'RS2'!BG251</f>
        <v/>
      </c>
      <c r="BF253" s="352" t="str">
        <f>'RS2'!BH251</f>
        <v/>
      </c>
      <c r="BG253" s="352" t="str">
        <f>'RS2'!BI251</f>
        <v/>
      </c>
    </row>
    <row r="254" ht="12.75" customHeight="1" outlineLevel="1">
      <c r="A254" s="90"/>
      <c r="B254" s="90"/>
      <c r="C254" s="90" t="s">
        <v>784</v>
      </c>
      <c r="D254" s="90"/>
      <c r="E254" s="90"/>
      <c r="F254" s="90"/>
      <c r="G254" s="152">
        <f>'RSGen 1-7'!G254</f>
        <v>0</v>
      </c>
      <c r="H254" s="152">
        <f>'RSGen 1-7'!H254</f>
        <v>0.01</v>
      </c>
      <c r="I254" s="152">
        <f>'RSGen 1-7'!I254</f>
        <v>0.01</v>
      </c>
      <c r="J254" s="152">
        <f>'RSGen 1-7'!J254</f>
        <v>0.01</v>
      </c>
      <c r="K254" s="152">
        <f>'RSGen 1-7'!K254</f>
        <v>0.01</v>
      </c>
      <c r="L254" s="152">
        <f>'RSGen 1-7'!L254</f>
        <v>0.01</v>
      </c>
      <c r="M254" s="152">
        <f>'RSGen 1-7'!M254</f>
        <v>0.01</v>
      </c>
      <c r="N254" s="152">
        <f>'RSGen 1-7'!N254</f>
        <v>0.01</v>
      </c>
      <c r="O254" s="152">
        <f>'RSGen 1-7'!O254</f>
        <v>0.01</v>
      </c>
      <c r="P254" s="152">
        <f>'RSGen 1-7'!P254</f>
        <v>0.01</v>
      </c>
      <c r="Q254" s="152">
        <f>'RSGen 1-7'!Q254</f>
        <v>0.01</v>
      </c>
      <c r="R254" s="152">
        <f>'RSGen 1-7'!R254</f>
        <v>0.01</v>
      </c>
      <c r="AT254" s="352">
        <f>'RS2'!AV252</f>
        <v>0.01</v>
      </c>
      <c r="AU254" s="352" t="str">
        <f>'RS2'!AW252</f>
        <v/>
      </c>
      <c r="AV254" s="352" t="str">
        <f>'RS2'!AX252</f>
        <v/>
      </c>
      <c r="AW254" s="352" t="str">
        <f>'RS2'!AY252</f>
        <v/>
      </c>
      <c r="AX254" s="352" t="str">
        <f>'RS2'!AZ252</f>
        <v/>
      </c>
      <c r="AY254" s="352" t="str">
        <f>'RS2'!BA252</f>
        <v/>
      </c>
      <c r="AZ254" s="352" t="str">
        <f>'RS2'!BB252</f>
        <v/>
      </c>
      <c r="BA254" s="352" t="str">
        <f>'RS2'!BC252</f>
        <v/>
      </c>
      <c r="BB254" s="352" t="str">
        <f>'RS2'!BD252</f>
        <v/>
      </c>
      <c r="BC254" s="352" t="str">
        <f>'RS2'!BE252</f>
        <v/>
      </c>
      <c r="BD254" s="352" t="str">
        <f>'RS2'!BF252</f>
        <v/>
      </c>
      <c r="BE254" s="352" t="str">
        <f>'RS2'!BG252</f>
        <v/>
      </c>
      <c r="BF254" s="352" t="str">
        <f>'RS2'!BH252</f>
        <v/>
      </c>
      <c r="BG254" s="352" t="str">
        <f>'RS2'!BI252</f>
        <v/>
      </c>
    </row>
    <row r="255" ht="12.75" customHeight="1" outlineLevel="1">
      <c r="A255" s="90"/>
      <c r="B255" s="90"/>
      <c r="C255" s="90"/>
      <c r="D255" s="90"/>
      <c r="E255" s="90"/>
      <c r="F255" s="90"/>
      <c r="G255" s="152"/>
      <c r="H255" s="152"/>
      <c r="I255" s="152"/>
      <c r="J255" s="152"/>
      <c r="K255" s="152"/>
      <c r="L255" s="152"/>
      <c r="M255" s="152"/>
      <c r="N255" s="152"/>
      <c r="O255" s="152"/>
      <c r="P255" s="152"/>
      <c r="Q255" s="152"/>
      <c r="R255" s="152"/>
      <c r="AT255" s="352"/>
      <c r="AU255" s="352"/>
      <c r="AV255" s="352"/>
      <c r="AW255" s="352"/>
      <c r="AX255" s="352"/>
      <c r="AY255" s="352"/>
      <c r="AZ255" s="352"/>
      <c r="BA255" s="352"/>
      <c r="BB255" s="352"/>
      <c r="BC255" s="352"/>
      <c r="BD255" s="352"/>
      <c r="BE255" s="352"/>
      <c r="BF255" s="352"/>
      <c r="BG255" s="352"/>
    </row>
    <row r="256" ht="12.75" customHeight="1">
      <c r="A256" s="90"/>
      <c r="B256" s="90"/>
      <c r="C256" s="90"/>
      <c r="D256" s="90"/>
      <c r="E256" s="90"/>
      <c r="F256" s="90"/>
      <c r="G256" s="90"/>
      <c r="H256" s="90"/>
      <c r="I256" s="90"/>
      <c r="J256" s="90"/>
      <c r="K256" s="90"/>
      <c r="L256" s="90"/>
      <c r="M256" s="90"/>
      <c r="N256" s="90"/>
      <c r="O256" s="90"/>
      <c r="P256" s="90"/>
      <c r="Q256" s="90"/>
      <c r="R256" s="90"/>
      <c r="AT256" s="313"/>
      <c r="AU256" s="313"/>
      <c r="AV256" s="313"/>
      <c r="AW256" s="313"/>
      <c r="AX256" s="313"/>
      <c r="AY256" s="313"/>
      <c r="AZ256" s="313"/>
      <c r="BA256" s="313"/>
      <c r="BB256" s="313"/>
      <c r="BC256" s="313"/>
      <c r="BD256" s="313"/>
      <c r="BE256" s="313"/>
      <c r="BF256" s="313"/>
      <c r="BG256" s="313"/>
    </row>
    <row r="257" ht="12.75" customHeight="1">
      <c r="A257" s="106" t="s">
        <v>539</v>
      </c>
      <c r="B257" s="253"/>
      <c r="C257" s="253"/>
      <c r="D257" s="253"/>
      <c r="E257" s="253"/>
      <c r="F257" s="253"/>
      <c r="G257" s="253"/>
      <c r="H257" s="253"/>
      <c r="I257" s="253"/>
      <c r="J257" s="253"/>
      <c r="K257" s="253"/>
      <c r="L257" s="253"/>
      <c r="M257" s="253"/>
      <c r="N257" s="253"/>
      <c r="O257" s="253"/>
      <c r="P257" s="253"/>
      <c r="Q257" s="253"/>
      <c r="R257" s="253"/>
      <c r="AT257" s="314"/>
      <c r="AU257" s="314"/>
      <c r="AV257" s="314"/>
      <c r="AW257" s="314"/>
      <c r="AX257" s="314"/>
      <c r="AY257" s="314"/>
      <c r="AZ257" s="314"/>
      <c r="BA257" s="314"/>
      <c r="BB257" s="314"/>
      <c r="BC257" s="314"/>
      <c r="BD257" s="314"/>
      <c r="BE257" s="314"/>
      <c r="BF257" s="314"/>
      <c r="BG257" s="314"/>
    </row>
    <row r="258" ht="12.75" customHeight="1" outlineLevel="1">
      <c r="A258" s="67"/>
      <c r="B258" s="90"/>
      <c r="C258" s="90"/>
      <c r="D258" s="90"/>
      <c r="E258" s="90"/>
      <c r="F258" s="90"/>
      <c r="G258" s="90"/>
      <c r="H258" s="90"/>
      <c r="I258" s="90"/>
      <c r="J258" s="90"/>
      <c r="K258" s="90"/>
      <c r="L258" s="90"/>
      <c r="M258" s="90"/>
      <c r="N258" s="90"/>
      <c r="O258" s="90"/>
      <c r="P258" s="90"/>
      <c r="Q258" s="90"/>
      <c r="R258" s="90"/>
      <c r="AT258" s="313"/>
      <c r="AU258" s="313"/>
      <c r="AV258" s="313"/>
      <c r="AW258" s="313"/>
      <c r="AX258" s="313"/>
      <c r="AY258" s="313"/>
      <c r="AZ258" s="313"/>
      <c r="BA258" s="313"/>
      <c r="BB258" s="313"/>
      <c r="BC258" s="313"/>
      <c r="BD258" s="313"/>
      <c r="BE258" s="313"/>
      <c r="BF258" s="313"/>
      <c r="BG258" s="313"/>
    </row>
    <row r="259" ht="12.75" customHeight="1" outlineLevel="1">
      <c r="A259" s="67" t="s">
        <v>275</v>
      </c>
      <c r="B259" s="90"/>
      <c r="C259" s="90"/>
      <c r="D259" s="90"/>
      <c r="E259" s="90"/>
      <c r="F259" s="90"/>
      <c r="G259" s="90"/>
      <c r="H259" s="90"/>
      <c r="I259" s="90"/>
      <c r="J259" s="90"/>
      <c r="K259" s="90"/>
      <c r="L259" s="90"/>
      <c r="M259" s="90"/>
      <c r="N259" s="90"/>
      <c r="O259" s="90"/>
      <c r="P259" s="90"/>
      <c r="Q259" s="90"/>
      <c r="R259" s="90"/>
      <c r="AT259" s="313"/>
      <c r="AU259" s="313"/>
      <c r="AV259" s="313"/>
      <c r="AW259" s="313"/>
      <c r="AX259" s="313"/>
      <c r="AY259" s="313"/>
      <c r="AZ259" s="313"/>
      <c r="BA259" s="313"/>
      <c r="BB259" s="313"/>
      <c r="BC259" s="313"/>
      <c r="BD259" s="313"/>
      <c r="BE259" s="313"/>
      <c r="BF259" s="313"/>
      <c r="BG259" s="313"/>
    </row>
    <row r="260" ht="12.75" customHeight="1" outlineLevel="1">
      <c r="A260" s="90"/>
      <c r="B260" s="67" t="s">
        <v>544</v>
      </c>
      <c r="C260" s="90"/>
      <c r="D260" s="90"/>
      <c r="E260" s="90"/>
      <c r="F260" s="90"/>
      <c r="G260" s="152"/>
      <c r="H260" s="152"/>
      <c r="I260" s="152"/>
      <c r="J260" s="152"/>
      <c r="K260" s="90"/>
      <c r="L260" s="90"/>
      <c r="M260" s="90"/>
      <c r="N260" s="90"/>
      <c r="O260" s="90"/>
      <c r="P260" s="90"/>
      <c r="Q260" s="90"/>
      <c r="R260" s="90"/>
      <c r="AT260" s="313"/>
      <c r="AU260" s="313"/>
      <c r="AV260" s="313"/>
      <c r="AW260" s="313"/>
      <c r="AX260" s="313"/>
      <c r="AY260" s="313"/>
      <c r="AZ260" s="313"/>
      <c r="BA260" s="313"/>
      <c r="BB260" s="313"/>
      <c r="BC260" s="313"/>
      <c r="BD260" s="313"/>
      <c r="BE260" s="313"/>
      <c r="BF260" s="313"/>
      <c r="BG260" s="313"/>
    </row>
    <row r="261" ht="12.75" customHeight="1" outlineLevel="1">
      <c r="A261" s="90"/>
      <c r="B261" s="90"/>
      <c r="C261" s="90" t="s">
        <v>785</v>
      </c>
      <c r="D261" s="90"/>
      <c r="E261" s="90"/>
      <c r="F261" s="90"/>
      <c r="G261" s="99">
        <f t="shared" ref="G261:R261" si="240">G91*G54+G92*G55</f>
        <v>0</v>
      </c>
      <c r="H261" s="99">
        <f t="shared" si="240"/>
        <v>0</v>
      </c>
      <c r="I261" s="99">
        <f t="shared" si="240"/>
        <v>1798056.96</v>
      </c>
      <c r="J261" s="99">
        <f t="shared" si="240"/>
        <v>2133634.56</v>
      </c>
      <c r="K261" s="99">
        <f t="shared" si="240"/>
        <v>2303419.2</v>
      </c>
      <c r="L261" s="99">
        <f t="shared" si="240"/>
        <v>2303419.2</v>
      </c>
      <c r="M261" s="99">
        <f t="shared" si="240"/>
        <v>2303419.2</v>
      </c>
      <c r="N261" s="99">
        <f t="shared" si="240"/>
        <v>2303419.2</v>
      </c>
      <c r="O261" s="99">
        <f t="shared" si="240"/>
        <v>2303419.2</v>
      </c>
      <c r="P261" s="99">
        <f t="shared" si="240"/>
        <v>2303419.2</v>
      </c>
      <c r="Q261" s="99">
        <f t="shared" si="240"/>
        <v>2303419.2</v>
      </c>
      <c r="R261" s="99">
        <f t="shared" si="240"/>
        <v>2303419.2</v>
      </c>
      <c r="AT261" s="308">
        <f t="shared" ref="AT261:BG261" si="241">AT91*AT54+AT92*AT55</f>
        <v>0</v>
      </c>
      <c r="AU261" s="308">
        <f t="shared" si="241"/>
        <v>0</v>
      </c>
      <c r="AV261" s="308">
        <f t="shared" si="241"/>
        <v>0</v>
      </c>
      <c r="AW261" s="308">
        <f t="shared" si="241"/>
        <v>0</v>
      </c>
      <c r="AX261" s="308">
        <f t="shared" si="241"/>
        <v>0</v>
      </c>
      <c r="AY261" s="308">
        <f t="shared" si="241"/>
        <v>0</v>
      </c>
      <c r="AZ261" s="308">
        <f t="shared" si="241"/>
        <v>0</v>
      </c>
      <c r="BA261" s="308">
        <f t="shared" si="241"/>
        <v>0</v>
      </c>
      <c r="BB261" s="308">
        <f t="shared" si="241"/>
        <v>0</v>
      </c>
      <c r="BC261" s="308">
        <f t="shared" si="241"/>
        <v>0</v>
      </c>
      <c r="BD261" s="308">
        <f t="shared" si="241"/>
        <v>0</v>
      </c>
      <c r="BE261" s="308">
        <f t="shared" si="241"/>
        <v>0</v>
      </c>
      <c r="BF261" s="308">
        <f t="shared" si="241"/>
        <v>0</v>
      </c>
      <c r="BG261" s="308">
        <f t="shared" si="241"/>
        <v>0</v>
      </c>
    </row>
    <row r="262" ht="12.75" customHeight="1" outlineLevel="1">
      <c r="A262" s="90"/>
      <c r="B262" s="90"/>
      <c r="C262" s="90" t="s">
        <v>669</v>
      </c>
      <c r="D262" s="90"/>
      <c r="E262" s="90"/>
      <c r="F262" s="90"/>
      <c r="G262" s="99">
        <f t="shared" ref="G262:R262" si="242">G93*G56</f>
        <v>0</v>
      </c>
      <c r="H262" s="99">
        <f t="shared" si="242"/>
        <v>0</v>
      </c>
      <c r="I262" s="99">
        <f t="shared" si="242"/>
        <v>150904.32</v>
      </c>
      <c r="J262" s="99">
        <f t="shared" si="242"/>
        <v>178621.44</v>
      </c>
      <c r="K262" s="99">
        <f t="shared" si="242"/>
        <v>192480</v>
      </c>
      <c r="L262" s="99">
        <f t="shared" si="242"/>
        <v>192480</v>
      </c>
      <c r="M262" s="99">
        <f t="shared" si="242"/>
        <v>192480</v>
      </c>
      <c r="N262" s="99">
        <f t="shared" si="242"/>
        <v>192480</v>
      </c>
      <c r="O262" s="99">
        <f t="shared" si="242"/>
        <v>192480</v>
      </c>
      <c r="P262" s="99">
        <f t="shared" si="242"/>
        <v>192480</v>
      </c>
      <c r="Q262" s="99">
        <f t="shared" si="242"/>
        <v>192480</v>
      </c>
      <c r="R262" s="99">
        <f t="shared" si="242"/>
        <v>192480</v>
      </c>
      <c r="AT262" s="308">
        <f t="shared" ref="AT262:BG262" si="243">AT93*AT56</f>
        <v>0</v>
      </c>
      <c r="AU262" s="308">
        <f t="shared" si="243"/>
        <v>0</v>
      </c>
      <c r="AV262" s="308">
        <f t="shared" si="243"/>
        <v>0</v>
      </c>
      <c r="AW262" s="308">
        <f t="shared" si="243"/>
        <v>0</v>
      </c>
      <c r="AX262" s="308">
        <f t="shared" si="243"/>
        <v>0</v>
      </c>
      <c r="AY262" s="308">
        <f t="shared" si="243"/>
        <v>0</v>
      </c>
      <c r="AZ262" s="308">
        <f t="shared" si="243"/>
        <v>0</v>
      </c>
      <c r="BA262" s="308">
        <f t="shared" si="243"/>
        <v>0</v>
      </c>
      <c r="BB262" s="308">
        <f t="shared" si="243"/>
        <v>0</v>
      </c>
      <c r="BC262" s="308">
        <f t="shared" si="243"/>
        <v>0</v>
      </c>
      <c r="BD262" s="308">
        <f t="shared" si="243"/>
        <v>0</v>
      </c>
      <c r="BE262" s="308">
        <f t="shared" si="243"/>
        <v>0</v>
      </c>
      <c r="BF262" s="308">
        <f t="shared" si="243"/>
        <v>0</v>
      </c>
      <c r="BG262" s="308">
        <f t="shared" si="243"/>
        <v>0</v>
      </c>
    </row>
    <row r="263" ht="12.75" customHeight="1" outlineLevel="1">
      <c r="A263" s="90"/>
      <c r="B263" s="90"/>
      <c r="C263" s="90" t="s">
        <v>670</v>
      </c>
      <c r="D263" s="90"/>
      <c r="E263" s="90"/>
      <c r="F263" s="90"/>
      <c r="G263" s="99">
        <f t="shared" ref="G263:R263" si="244">G77*G94</f>
        <v>0</v>
      </c>
      <c r="H263" s="99">
        <f t="shared" si="244"/>
        <v>0</v>
      </c>
      <c r="I263" s="99">
        <f t="shared" si="244"/>
        <v>193026</v>
      </c>
      <c r="J263" s="99">
        <f t="shared" si="244"/>
        <v>193026</v>
      </c>
      <c r="K263" s="99">
        <f t="shared" si="244"/>
        <v>221328</v>
      </c>
      <c r="L263" s="99">
        <f t="shared" si="244"/>
        <v>230232</v>
      </c>
      <c r="M263" s="99">
        <f t="shared" si="244"/>
        <v>222600</v>
      </c>
      <c r="N263" s="99">
        <f t="shared" si="244"/>
        <v>215604</v>
      </c>
      <c r="O263" s="99">
        <f t="shared" si="244"/>
        <v>208926</v>
      </c>
      <c r="P263" s="99">
        <f t="shared" si="244"/>
        <v>202248</v>
      </c>
      <c r="Q263" s="99">
        <f t="shared" si="244"/>
        <v>198750</v>
      </c>
      <c r="R263" s="99">
        <f t="shared" si="244"/>
        <v>198750</v>
      </c>
      <c r="AT263" s="308">
        <f t="shared" ref="AT263:BG263" si="245">AT77*AT94</f>
        <v>0</v>
      </c>
      <c r="AU263" s="308">
        <f t="shared" si="245"/>
        <v>0</v>
      </c>
      <c r="AV263" s="308">
        <f t="shared" si="245"/>
        <v>0</v>
      </c>
      <c r="AW263" s="308">
        <f t="shared" si="245"/>
        <v>0</v>
      </c>
      <c r="AX263" s="308">
        <f t="shared" si="245"/>
        <v>0</v>
      </c>
      <c r="AY263" s="308">
        <f t="shared" si="245"/>
        <v>0</v>
      </c>
      <c r="AZ263" s="308">
        <f t="shared" si="245"/>
        <v>0</v>
      </c>
      <c r="BA263" s="308">
        <f t="shared" si="245"/>
        <v>0</v>
      </c>
      <c r="BB263" s="308">
        <f t="shared" si="245"/>
        <v>0</v>
      </c>
      <c r="BC263" s="308">
        <f t="shared" si="245"/>
        <v>0</v>
      </c>
      <c r="BD263" s="308">
        <f t="shared" si="245"/>
        <v>0</v>
      </c>
      <c r="BE263" s="308">
        <f t="shared" si="245"/>
        <v>0</v>
      </c>
      <c r="BF263" s="308">
        <f t="shared" si="245"/>
        <v>0</v>
      </c>
      <c r="BG263" s="308">
        <f t="shared" si="245"/>
        <v>0</v>
      </c>
    </row>
    <row r="264" ht="12.75" customHeight="1" outlineLevel="1">
      <c r="A264" s="90"/>
      <c r="B264" s="90"/>
      <c r="C264" s="90" t="s">
        <v>671</v>
      </c>
      <c r="D264" s="90"/>
      <c r="E264" s="90"/>
      <c r="F264" s="90"/>
      <c r="G264" s="99">
        <f t="shared" ref="G264:H264" si="246">G95*G54</f>
        <v>0</v>
      </c>
      <c r="H264" s="99">
        <f t="shared" si="246"/>
        <v>0</v>
      </c>
      <c r="I264" s="99">
        <f t="shared" ref="I264:K264" si="247">MIN(I41,$AY$115)*I96+MIN(I42,$AY$116)*I97+MIN(I43,$AY$117)*I98+MIN(I44,$AY$118)*I99</f>
        <v>0</v>
      </c>
      <c r="J264" s="99">
        <f t="shared" si="247"/>
        <v>0</v>
      </c>
      <c r="K264" s="99">
        <f t="shared" si="247"/>
        <v>0</v>
      </c>
      <c r="L264" s="99">
        <f t="shared" ref="L264:R264" si="248">L95*L54</f>
        <v>0</v>
      </c>
      <c r="M264" s="99">
        <f t="shared" si="248"/>
        <v>0</v>
      </c>
      <c r="N264" s="99">
        <f t="shared" si="248"/>
        <v>0</v>
      </c>
      <c r="O264" s="99">
        <f t="shared" si="248"/>
        <v>0</v>
      </c>
      <c r="P264" s="99">
        <f t="shared" si="248"/>
        <v>0</v>
      </c>
      <c r="Q264" s="99">
        <f t="shared" si="248"/>
        <v>0</v>
      </c>
      <c r="R264" s="99">
        <f t="shared" si="248"/>
        <v>0</v>
      </c>
      <c r="AT264" s="308">
        <f t="shared" ref="AT264:BG264" si="249">AT95*AT54</f>
        <v>0</v>
      </c>
      <c r="AU264" s="308">
        <f t="shared" si="249"/>
        <v>0</v>
      </c>
      <c r="AV264" s="308">
        <f t="shared" si="249"/>
        <v>0</v>
      </c>
      <c r="AW264" s="308">
        <f t="shared" si="249"/>
        <v>0</v>
      </c>
      <c r="AX264" s="308">
        <f t="shared" si="249"/>
        <v>0</v>
      </c>
      <c r="AY264" s="308">
        <f t="shared" si="249"/>
        <v>0</v>
      </c>
      <c r="AZ264" s="308">
        <f t="shared" si="249"/>
        <v>0</v>
      </c>
      <c r="BA264" s="308">
        <f t="shared" si="249"/>
        <v>0</v>
      </c>
      <c r="BB264" s="308">
        <f t="shared" si="249"/>
        <v>0</v>
      </c>
      <c r="BC264" s="308">
        <f t="shared" si="249"/>
        <v>0</v>
      </c>
      <c r="BD264" s="308">
        <f t="shared" si="249"/>
        <v>0</v>
      </c>
      <c r="BE264" s="308">
        <f t="shared" si="249"/>
        <v>0</v>
      </c>
      <c r="BF264" s="308">
        <f t="shared" si="249"/>
        <v>0</v>
      </c>
      <c r="BG264" s="308">
        <f t="shared" si="249"/>
        <v>0</v>
      </c>
    </row>
    <row r="265" ht="12.75" customHeight="1" outlineLevel="1">
      <c r="A265" s="90"/>
      <c r="B265" s="90"/>
      <c r="C265" s="90" t="s">
        <v>676</v>
      </c>
      <c r="D265" s="90"/>
      <c r="E265" s="90"/>
      <c r="F265" s="90"/>
      <c r="G265" s="99">
        <f t="shared" ref="G265:R265" si="250">G85*G100</f>
        <v>0</v>
      </c>
      <c r="H265" s="99">
        <f t="shared" si="250"/>
        <v>0</v>
      </c>
      <c r="I265" s="99">
        <f t="shared" si="250"/>
        <v>0</v>
      </c>
      <c r="J265" s="99">
        <f t="shared" si="250"/>
        <v>0</v>
      </c>
      <c r="K265" s="99">
        <f t="shared" si="250"/>
        <v>0</v>
      </c>
      <c r="L265" s="99">
        <f t="shared" si="250"/>
        <v>0</v>
      </c>
      <c r="M265" s="99">
        <f t="shared" si="250"/>
        <v>0</v>
      </c>
      <c r="N265" s="99">
        <f t="shared" si="250"/>
        <v>0</v>
      </c>
      <c r="O265" s="99">
        <f t="shared" si="250"/>
        <v>0</v>
      </c>
      <c r="P265" s="99">
        <f t="shared" si="250"/>
        <v>0</v>
      </c>
      <c r="Q265" s="99">
        <f t="shared" si="250"/>
        <v>0</v>
      </c>
      <c r="R265" s="99">
        <f t="shared" si="250"/>
        <v>0</v>
      </c>
      <c r="AT265" s="308">
        <f t="shared" ref="AT265:BG265" si="251">AT85*AT100</f>
        <v>0</v>
      </c>
      <c r="AU265" s="308">
        <f t="shared" si="251"/>
        <v>0</v>
      </c>
      <c r="AV265" s="308">
        <f t="shared" si="251"/>
        <v>0</v>
      </c>
      <c r="AW265" s="308">
        <f t="shared" si="251"/>
        <v>0</v>
      </c>
      <c r="AX265" s="308">
        <f t="shared" si="251"/>
        <v>0</v>
      </c>
      <c r="AY265" s="308">
        <f t="shared" si="251"/>
        <v>0</v>
      </c>
      <c r="AZ265" s="308">
        <f t="shared" si="251"/>
        <v>0</v>
      </c>
      <c r="BA265" s="308">
        <f t="shared" si="251"/>
        <v>0</v>
      </c>
      <c r="BB265" s="308">
        <f t="shared" si="251"/>
        <v>0</v>
      </c>
      <c r="BC265" s="308">
        <f t="shared" si="251"/>
        <v>0</v>
      </c>
      <c r="BD265" s="308">
        <f t="shared" si="251"/>
        <v>0</v>
      </c>
      <c r="BE265" s="308">
        <f t="shared" si="251"/>
        <v>0</v>
      </c>
      <c r="BF265" s="308">
        <f t="shared" si="251"/>
        <v>0</v>
      </c>
      <c r="BG265" s="308">
        <f t="shared" si="251"/>
        <v>0</v>
      </c>
    </row>
    <row r="266" ht="12.75" customHeight="1" outlineLevel="1">
      <c r="A266" s="90"/>
      <c r="B266" s="90"/>
      <c r="C266" s="90" t="s">
        <v>786</v>
      </c>
      <c r="D266" s="90"/>
      <c r="E266" s="90"/>
      <c r="F266" s="90"/>
      <c r="G266" s="99">
        <f t="shared" ref="G266:H266" si="252">(G101+G102)*E56</f>
        <v>0</v>
      </c>
      <c r="H266" s="99">
        <f t="shared" si="252"/>
        <v>0</v>
      </c>
      <c r="I266" s="99">
        <f t="shared" ref="I266:R266" si="253">(I101+I102)*I56</f>
        <v>46776.576</v>
      </c>
      <c r="J266" s="99">
        <f t="shared" si="253"/>
        <v>55368.192</v>
      </c>
      <c r="K266" s="99">
        <f t="shared" si="253"/>
        <v>59664</v>
      </c>
      <c r="L266" s="99">
        <f t="shared" si="253"/>
        <v>59664</v>
      </c>
      <c r="M266" s="99">
        <f t="shared" si="253"/>
        <v>59664</v>
      </c>
      <c r="N266" s="99">
        <f t="shared" si="253"/>
        <v>59664</v>
      </c>
      <c r="O266" s="99">
        <f t="shared" si="253"/>
        <v>59664</v>
      </c>
      <c r="P266" s="99">
        <f t="shared" si="253"/>
        <v>59664</v>
      </c>
      <c r="Q266" s="99">
        <f t="shared" si="253"/>
        <v>59664</v>
      </c>
      <c r="R266" s="99">
        <f t="shared" si="253"/>
        <v>59664</v>
      </c>
      <c r="AT266" s="308">
        <f t="shared" ref="AT266:BG266" si="254">(AT101+AT102)*AT56</f>
        <v>0</v>
      </c>
      <c r="AU266" s="308">
        <f t="shared" si="254"/>
        <v>0</v>
      </c>
      <c r="AV266" s="308">
        <f t="shared" si="254"/>
        <v>0</v>
      </c>
      <c r="AW266" s="308">
        <f t="shared" si="254"/>
        <v>0</v>
      </c>
      <c r="AX266" s="308">
        <f t="shared" si="254"/>
        <v>0</v>
      </c>
      <c r="AY266" s="308">
        <f t="shared" si="254"/>
        <v>0</v>
      </c>
      <c r="AZ266" s="308">
        <f t="shared" si="254"/>
        <v>0</v>
      </c>
      <c r="BA266" s="308">
        <f t="shared" si="254"/>
        <v>0</v>
      </c>
      <c r="BB266" s="308">
        <f t="shared" si="254"/>
        <v>0</v>
      </c>
      <c r="BC266" s="308">
        <f t="shared" si="254"/>
        <v>0</v>
      </c>
      <c r="BD266" s="308">
        <f t="shared" si="254"/>
        <v>0</v>
      </c>
      <c r="BE266" s="308">
        <f t="shared" si="254"/>
        <v>0</v>
      </c>
      <c r="BF266" s="308">
        <f t="shared" si="254"/>
        <v>0</v>
      </c>
      <c r="BG266" s="308">
        <f t="shared" si="254"/>
        <v>0</v>
      </c>
    </row>
    <row r="267" ht="12.75" customHeight="1" outlineLevel="1">
      <c r="A267" s="90"/>
      <c r="B267" s="90"/>
      <c r="C267" s="90" t="s">
        <v>787</v>
      </c>
      <c r="D267" s="90"/>
      <c r="E267" s="90"/>
      <c r="F267" s="90"/>
      <c r="G267" s="99"/>
      <c r="H267" s="99"/>
      <c r="I267" s="99"/>
      <c r="J267" s="99"/>
      <c r="K267" s="99"/>
      <c r="L267" s="99"/>
      <c r="M267" s="99"/>
      <c r="N267" s="99"/>
      <c r="O267" s="99"/>
      <c r="P267" s="99"/>
      <c r="Q267" s="99"/>
      <c r="R267" s="99"/>
      <c r="AT267" s="308"/>
      <c r="AU267" s="308"/>
      <c r="AV267" s="308"/>
      <c r="AW267" s="308"/>
      <c r="AX267" s="308"/>
      <c r="AY267" s="308"/>
      <c r="AZ267" s="308"/>
      <c r="BA267" s="308"/>
      <c r="BB267" s="308"/>
      <c r="BC267" s="308"/>
      <c r="BD267" s="308"/>
      <c r="BE267" s="308"/>
      <c r="BF267" s="308"/>
      <c r="BG267" s="308"/>
    </row>
    <row r="268" ht="12.75" customHeight="1" outlineLevel="1">
      <c r="A268" s="90"/>
      <c r="B268" s="90"/>
      <c r="C268" s="90" t="s">
        <v>680</v>
      </c>
      <c r="D268" s="90"/>
      <c r="E268" s="90"/>
      <c r="F268" s="90"/>
      <c r="G268" s="99">
        <v>0.0</v>
      </c>
      <c r="H268" s="99">
        <v>0.0</v>
      </c>
      <c r="I268" s="99">
        <f>MIN(I104*I56,0.75*(650000))</f>
        <v>225792</v>
      </c>
      <c r="J268" s="99">
        <f t="shared" ref="J268:R268" si="255">MIN(J104*J56,0.75*(I379))</f>
        <v>267264</v>
      </c>
      <c r="K268" s="99">
        <f t="shared" si="255"/>
        <v>288000</v>
      </c>
      <c r="L268" s="99">
        <f t="shared" si="255"/>
        <v>288000</v>
      </c>
      <c r="M268" s="99">
        <f t="shared" si="255"/>
        <v>288000</v>
      </c>
      <c r="N268" s="99">
        <f t="shared" si="255"/>
        <v>288000</v>
      </c>
      <c r="O268" s="99">
        <f t="shared" si="255"/>
        <v>288000</v>
      </c>
      <c r="P268" s="99">
        <f t="shared" si="255"/>
        <v>288000</v>
      </c>
      <c r="Q268" s="99">
        <f t="shared" si="255"/>
        <v>288000</v>
      </c>
      <c r="R268" s="99">
        <f t="shared" si="255"/>
        <v>288000</v>
      </c>
      <c r="AT268" s="308">
        <f t="shared" ref="AT268:BG268" si="256">MIN(AT104*AT56,0.75*(AS379))</f>
        <v>0</v>
      </c>
      <c r="AU268" s="308" t="str">
        <f t="shared" si="256"/>
        <v>#REF!</v>
      </c>
      <c r="AV268" s="308" t="str">
        <f t="shared" si="256"/>
        <v>#REF!</v>
      </c>
      <c r="AW268" s="308" t="str">
        <f t="shared" si="256"/>
        <v>#REF!</v>
      </c>
      <c r="AX268" s="308" t="str">
        <f t="shared" si="256"/>
        <v>#REF!</v>
      </c>
      <c r="AY268" s="308" t="str">
        <f t="shared" si="256"/>
        <v>#REF!</v>
      </c>
      <c r="AZ268" s="308" t="str">
        <f t="shared" si="256"/>
        <v>#REF!</v>
      </c>
      <c r="BA268" s="308" t="str">
        <f t="shared" si="256"/>
        <v>#REF!</v>
      </c>
      <c r="BB268" s="308" t="str">
        <f t="shared" si="256"/>
        <v>#REF!</v>
      </c>
      <c r="BC268" s="308" t="str">
        <f t="shared" si="256"/>
        <v>#REF!</v>
      </c>
      <c r="BD268" s="308" t="str">
        <f t="shared" si="256"/>
        <v>#REF!</v>
      </c>
      <c r="BE268" s="308" t="str">
        <f t="shared" si="256"/>
        <v>#REF!</v>
      </c>
      <c r="BF268" s="308" t="str">
        <f t="shared" si="256"/>
        <v>#REF!</v>
      </c>
      <c r="BG268" s="308" t="str">
        <f t="shared" si="256"/>
        <v>#REF!</v>
      </c>
    </row>
    <row r="269" ht="12.75" customHeight="1" outlineLevel="1">
      <c r="A269" s="90"/>
      <c r="B269" s="90"/>
      <c r="C269" s="90" t="s">
        <v>681</v>
      </c>
      <c r="D269" s="90"/>
      <c r="E269" s="90"/>
      <c r="F269" s="90"/>
      <c r="G269" s="99">
        <f t="shared" ref="G269:R269" si="257">G105*G$56</f>
        <v>0</v>
      </c>
      <c r="H269" s="99">
        <f t="shared" si="257"/>
        <v>0</v>
      </c>
      <c r="I269" s="99">
        <f t="shared" si="257"/>
        <v>0</v>
      </c>
      <c r="J269" s="99">
        <f t="shared" si="257"/>
        <v>0</v>
      </c>
      <c r="K269" s="99">
        <f t="shared" si="257"/>
        <v>0</v>
      </c>
      <c r="L269" s="99">
        <f t="shared" si="257"/>
        <v>0</v>
      </c>
      <c r="M269" s="99">
        <f t="shared" si="257"/>
        <v>0</v>
      </c>
      <c r="N269" s="99">
        <f t="shared" si="257"/>
        <v>0</v>
      </c>
      <c r="O269" s="99">
        <f t="shared" si="257"/>
        <v>0</v>
      </c>
      <c r="P269" s="99">
        <f t="shared" si="257"/>
        <v>0</v>
      </c>
      <c r="Q269" s="99">
        <f t="shared" si="257"/>
        <v>0</v>
      </c>
      <c r="R269" s="99">
        <f t="shared" si="257"/>
        <v>0</v>
      </c>
      <c r="AT269" s="308">
        <f t="shared" ref="AT269:BG269" si="258">AT105*AT$56</f>
        <v>0</v>
      </c>
      <c r="AU269" s="308">
        <f t="shared" si="258"/>
        <v>0</v>
      </c>
      <c r="AV269" s="308">
        <f t="shared" si="258"/>
        <v>0</v>
      </c>
      <c r="AW269" s="308">
        <f t="shared" si="258"/>
        <v>0</v>
      </c>
      <c r="AX269" s="308">
        <f t="shared" si="258"/>
        <v>0</v>
      </c>
      <c r="AY269" s="308">
        <f t="shared" si="258"/>
        <v>0</v>
      </c>
      <c r="AZ269" s="308">
        <f t="shared" si="258"/>
        <v>0</v>
      </c>
      <c r="BA269" s="308">
        <f t="shared" si="258"/>
        <v>0</v>
      </c>
      <c r="BB269" s="308">
        <f t="shared" si="258"/>
        <v>0</v>
      </c>
      <c r="BC269" s="308">
        <f t="shared" si="258"/>
        <v>0</v>
      </c>
      <c r="BD269" s="308">
        <f t="shared" si="258"/>
        <v>0</v>
      </c>
      <c r="BE269" s="308">
        <f t="shared" si="258"/>
        <v>0</v>
      </c>
      <c r="BF269" s="308">
        <f t="shared" si="258"/>
        <v>0</v>
      </c>
      <c r="BG269" s="308">
        <f t="shared" si="258"/>
        <v>0</v>
      </c>
    </row>
    <row r="270" ht="12.75" customHeight="1" outlineLevel="1">
      <c r="A270" s="90"/>
      <c r="B270" s="90"/>
      <c r="C270" s="90" t="s">
        <v>682</v>
      </c>
      <c r="D270" s="90"/>
      <c r="E270" s="90"/>
      <c r="F270" s="90"/>
      <c r="G270" s="99">
        <f t="shared" ref="G270:R270" si="259">G106*G$56</f>
        <v>0</v>
      </c>
      <c r="H270" s="99">
        <f t="shared" si="259"/>
        <v>0</v>
      </c>
      <c r="I270" s="99">
        <f t="shared" si="259"/>
        <v>0</v>
      </c>
      <c r="J270" s="99">
        <f t="shared" si="259"/>
        <v>0</v>
      </c>
      <c r="K270" s="99">
        <f t="shared" si="259"/>
        <v>0</v>
      </c>
      <c r="L270" s="99">
        <f t="shared" si="259"/>
        <v>0</v>
      </c>
      <c r="M270" s="99">
        <f t="shared" si="259"/>
        <v>0</v>
      </c>
      <c r="N270" s="99">
        <f t="shared" si="259"/>
        <v>0</v>
      </c>
      <c r="O270" s="99">
        <f t="shared" si="259"/>
        <v>0</v>
      </c>
      <c r="P270" s="99">
        <f t="shared" si="259"/>
        <v>0</v>
      </c>
      <c r="Q270" s="99">
        <f t="shared" si="259"/>
        <v>0</v>
      </c>
      <c r="R270" s="99">
        <f t="shared" si="259"/>
        <v>0</v>
      </c>
      <c r="AT270" s="308">
        <f t="shared" ref="AT270:BG270" si="260">AT106*AT$56</f>
        <v>0</v>
      </c>
      <c r="AU270" s="308">
        <f t="shared" si="260"/>
        <v>0</v>
      </c>
      <c r="AV270" s="308">
        <f t="shared" si="260"/>
        <v>0</v>
      </c>
      <c r="AW270" s="308">
        <f t="shared" si="260"/>
        <v>0</v>
      </c>
      <c r="AX270" s="308">
        <f t="shared" si="260"/>
        <v>0</v>
      </c>
      <c r="AY270" s="308">
        <f t="shared" si="260"/>
        <v>0</v>
      </c>
      <c r="AZ270" s="308">
        <f t="shared" si="260"/>
        <v>0</v>
      </c>
      <c r="BA270" s="308">
        <f t="shared" si="260"/>
        <v>0</v>
      </c>
      <c r="BB270" s="308">
        <f t="shared" si="260"/>
        <v>0</v>
      </c>
      <c r="BC270" s="308">
        <f t="shared" si="260"/>
        <v>0</v>
      </c>
      <c r="BD270" s="308">
        <f t="shared" si="260"/>
        <v>0</v>
      </c>
      <c r="BE270" s="308">
        <f t="shared" si="260"/>
        <v>0</v>
      </c>
      <c r="BF270" s="308">
        <f t="shared" si="260"/>
        <v>0</v>
      </c>
      <c r="BG270" s="308">
        <f t="shared" si="260"/>
        <v>0</v>
      </c>
    </row>
    <row r="271" ht="12.75" customHeight="1" outlineLevel="1">
      <c r="A271" s="90"/>
      <c r="B271" s="90"/>
      <c r="C271" s="90" t="s">
        <v>683</v>
      </c>
      <c r="D271" s="90"/>
      <c r="E271" s="90"/>
      <c r="F271" s="90"/>
      <c r="G271" s="99">
        <f t="shared" ref="G271:R271" si="261">G107*G$56</f>
        <v>0</v>
      </c>
      <c r="H271" s="99">
        <f t="shared" si="261"/>
        <v>0</v>
      </c>
      <c r="I271" s="99">
        <f t="shared" si="261"/>
        <v>0</v>
      </c>
      <c r="J271" s="99">
        <f t="shared" si="261"/>
        <v>0</v>
      </c>
      <c r="K271" s="99">
        <f t="shared" si="261"/>
        <v>0</v>
      </c>
      <c r="L271" s="99">
        <f t="shared" si="261"/>
        <v>0</v>
      </c>
      <c r="M271" s="99">
        <f t="shared" si="261"/>
        <v>0</v>
      </c>
      <c r="N271" s="99">
        <f t="shared" si="261"/>
        <v>0</v>
      </c>
      <c r="O271" s="99">
        <f t="shared" si="261"/>
        <v>0</v>
      </c>
      <c r="P271" s="99">
        <f t="shared" si="261"/>
        <v>0</v>
      </c>
      <c r="Q271" s="99">
        <f t="shared" si="261"/>
        <v>0</v>
      </c>
      <c r="R271" s="99">
        <f t="shared" si="261"/>
        <v>0</v>
      </c>
      <c r="AT271" s="308">
        <f t="shared" ref="AT271:BG271" si="262">AT107*AT$56</f>
        <v>0</v>
      </c>
      <c r="AU271" s="308">
        <f t="shared" si="262"/>
        <v>0</v>
      </c>
      <c r="AV271" s="308">
        <f t="shared" si="262"/>
        <v>0</v>
      </c>
      <c r="AW271" s="308">
        <f t="shared" si="262"/>
        <v>0</v>
      </c>
      <c r="AX271" s="308">
        <f t="shared" si="262"/>
        <v>0</v>
      </c>
      <c r="AY271" s="308">
        <f t="shared" si="262"/>
        <v>0</v>
      </c>
      <c r="AZ271" s="308">
        <f t="shared" si="262"/>
        <v>0</v>
      </c>
      <c r="BA271" s="308">
        <f t="shared" si="262"/>
        <v>0</v>
      </c>
      <c r="BB271" s="308">
        <f t="shared" si="262"/>
        <v>0</v>
      </c>
      <c r="BC271" s="308">
        <f t="shared" si="262"/>
        <v>0</v>
      </c>
      <c r="BD271" s="308">
        <f t="shared" si="262"/>
        <v>0</v>
      </c>
      <c r="BE271" s="308">
        <f t="shared" si="262"/>
        <v>0</v>
      </c>
      <c r="BF271" s="308">
        <f t="shared" si="262"/>
        <v>0</v>
      </c>
      <c r="BG271" s="308">
        <f t="shared" si="262"/>
        <v>0</v>
      </c>
    </row>
    <row r="272" ht="12.75" customHeight="1" outlineLevel="1">
      <c r="A272" s="90"/>
      <c r="B272" s="87"/>
      <c r="C272" s="87" t="s">
        <v>684</v>
      </c>
      <c r="D272" s="87"/>
      <c r="E272" s="87"/>
      <c r="F272" s="87"/>
      <c r="G272" s="125">
        <f t="shared" ref="G272:R272" si="263">G108*G$56</f>
        <v>0</v>
      </c>
      <c r="H272" s="125">
        <f t="shared" si="263"/>
        <v>0</v>
      </c>
      <c r="I272" s="125">
        <f t="shared" si="263"/>
        <v>0</v>
      </c>
      <c r="J272" s="125">
        <f t="shared" si="263"/>
        <v>0</v>
      </c>
      <c r="K272" s="125">
        <f t="shared" si="263"/>
        <v>0</v>
      </c>
      <c r="L272" s="125">
        <f t="shared" si="263"/>
        <v>0</v>
      </c>
      <c r="M272" s="125">
        <f t="shared" si="263"/>
        <v>0</v>
      </c>
      <c r="N272" s="125">
        <f t="shared" si="263"/>
        <v>0</v>
      </c>
      <c r="O272" s="125">
        <f t="shared" si="263"/>
        <v>0</v>
      </c>
      <c r="P272" s="125">
        <f t="shared" si="263"/>
        <v>0</v>
      </c>
      <c r="Q272" s="125">
        <f t="shared" si="263"/>
        <v>0</v>
      </c>
      <c r="R272" s="125">
        <f t="shared" si="263"/>
        <v>0</v>
      </c>
      <c r="AT272" s="377">
        <f t="shared" ref="AT272:BG272" si="264">AT108*AT$56</f>
        <v>0</v>
      </c>
      <c r="AU272" s="377">
        <f t="shared" si="264"/>
        <v>0</v>
      </c>
      <c r="AV272" s="377">
        <f t="shared" si="264"/>
        <v>0</v>
      </c>
      <c r="AW272" s="377">
        <f t="shared" si="264"/>
        <v>0</v>
      </c>
      <c r="AX272" s="377">
        <f t="shared" si="264"/>
        <v>0</v>
      </c>
      <c r="AY272" s="377">
        <f t="shared" si="264"/>
        <v>0</v>
      </c>
      <c r="AZ272" s="377">
        <f t="shared" si="264"/>
        <v>0</v>
      </c>
      <c r="BA272" s="377">
        <f t="shared" si="264"/>
        <v>0</v>
      </c>
      <c r="BB272" s="377">
        <f t="shared" si="264"/>
        <v>0</v>
      </c>
      <c r="BC272" s="377">
        <f t="shared" si="264"/>
        <v>0</v>
      </c>
      <c r="BD272" s="377">
        <f t="shared" si="264"/>
        <v>0</v>
      </c>
      <c r="BE272" s="377">
        <f t="shared" si="264"/>
        <v>0</v>
      </c>
      <c r="BF272" s="377">
        <f t="shared" si="264"/>
        <v>0</v>
      </c>
      <c r="BG272" s="377">
        <f t="shared" si="264"/>
        <v>0</v>
      </c>
    </row>
    <row r="273" ht="12.75" customHeight="1" outlineLevel="1">
      <c r="A273" s="90"/>
      <c r="B273" s="67" t="s">
        <v>590</v>
      </c>
      <c r="C273" s="90"/>
      <c r="D273" s="90"/>
      <c r="E273" s="90"/>
      <c r="F273" s="90"/>
      <c r="G273" s="79">
        <f t="shared" ref="G273:R273" si="265">SUM(G261:G272)</f>
        <v>0</v>
      </c>
      <c r="H273" s="79">
        <f t="shared" si="265"/>
        <v>0</v>
      </c>
      <c r="I273" s="79">
        <f t="shared" si="265"/>
        <v>2414555.856</v>
      </c>
      <c r="J273" s="79">
        <f t="shared" si="265"/>
        <v>2827914.192</v>
      </c>
      <c r="K273" s="79">
        <f t="shared" si="265"/>
        <v>3064891.2</v>
      </c>
      <c r="L273" s="79">
        <f t="shared" si="265"/>
        <v>3073795.2</v>
      </c>
      <c r="M273" s="79">
        <f t="shared" si="265"/>
        <v>3066163.2</v>
      </c>
      <c r="N273" s="79">
        <f t="shared" si="265"/>
        <v>3059167.2</v>
      </c>
      <c r="O273" s="79">
        <f t="shared" si="265"/>
        <v>3052489.2</v>
      </c>
      <c r="P273" s="79">
        <f t="shared" si="265"/>
        <v>3045811.2</v>
      </c>
      <c r="Q273" s="79">
        <f t="shared" si="265"/>
        <v>3042313.2</v>
      </c>
      <c r="R273" s="79">
        <f t="shared" si="265"/>
        <v>3042313.2</v>
      </c>
      <c r="AT273" s="378">
        <f t="shared" ref="AT273:BG273" si="266">SUM(AT261:AT272)</f>
        <v>0</v>
      </c>
      <c r="AU273" s="378" t="str">
        <f t="shared" si="266"/>
        <v>#REF!</v>
      </c>
      <c r="AV273" s="378" t="str">
        <f t="shared" si="266"/>
        <v>#REF!</v>
      </c>
      <c r="AW273" s="378" t="str">
        <f t="shared" si="266"/>
        <v>#REF!</v>
      </c>
      <c r="AX273" s="378" t="str">
        <f t="shared" si="266"/>
        <v>#REF!</v>
      </c>
      <c r="AY273" s="378" t="str">
        <f t="shared" si="266"/>
        <v>#REF!</v>
      </c>
      <c r="AZ273" s="378" t="str">
        <f t="shared" si="266"/>
        <v>#REF!</v>
      </c>
      <c r="BA273" s="378" t="str">
        <f t="shared" si="266"/>
        <v>#REF!</v>
      </c>
      <c r="BB273" s="378" t="str">
        <f t="shared" si="266"/>
        <v>#REF!</v>
      </c>
      <c r="BC273" s="378" t="str">
        <f t="shared" si="266"/>
        <v>#REF!</v>
      </c>
      <c r="BD273" s="378" t="str">
        <f t="shared" si="266"/>
        <v>#REF!</v>
      </c>
      <c r="BE273" s="378" t="str">
        <f t="shared" si="266"/>
        <v>#REF!</v>
      </c>
      <c r="BF273" s="378" t="str">
        <f t="shared" si="266"/>
        <v>#REF!</v>
      </c>
      <c r="BG273" s="378" t="str">
        <f t="shared" si="266"/>
        <v>#REF!</v>
      </c>
    </row>
    <row r="274" ht="12.75" customHeight="1" outlineLevel="1">
      <c r="A274" s="90"/>
      <c r="B274" s="67"/>
      <c r="C274" s="90"/>
      <c r="D274" s="90"/>
      <c r="E274" s="90"/>
      <c r="F274" s="90"/>
      <c r="G274" s="79"/>
      <c r="H274" s="79"/>
      <c r="I274" s="79"/>
      <c r="J274" s="79"/>
      <c r="K274" s="79"/>
      <c r="L274" s="79"/>
      <c r="M274" s="79"/>
      <c r="N274" s="79"/>
      <c r="O274" s="79"/>
      <c r="P274" s="79"/>
      <c r="Q274" s="79"/>
      <c r="R274" s="79"/>
      <c r="AT274" s="378"/>
      <c r="AU274" s="378"/>
      <c r="AV274" s="378"/>
      <c r="AW274" s="378"/>
      <c r="AX274" s="378"/>
      <c r="AY274" s="378"/>
      <c r="AZ274" s="378"/>
      <c r="BA274" s="378"/>
      <c r="BB274" s="378"/>
      <c r="BC274" s="378"/>
      <c r="BD274" s="378"/>
      <c r="BE274" s="378"/>
      <c r="BF274" s="378"/>
      <c r="BG274" s="378"/>
    </row>
    <row r="275" ht="12.75" customHeight="1" outlineLevel="1">
      <c r="A275" s="90"/>
      <c r="B275" s="67" t="s">
        <v>545</v>
      </c>
      <c r="C275" s="90"/>
      <c r="D275" s="90"/>
      <c r="E275" s="90"/>
      <c r="F275" s="90"/>
      <c r="G275" s="90"/>
      <c r="H275" s="90"/>
      <c r="I275" s="90"/>
      <c r="J275" s="90"/>
      <c r="K275" s="90"/>
      <c r="L275" s="90"/>
      <c r="M275" s="90"/>
      <c r="N275" s="90"/>
      <c r="O275" s="90"/>
      <c r="P275" s="90"/>
      <c r="Q275" s="90"/>
      <c r="R275" s="90"/>
      <c r="AT275" s="313"/>
      <c r="AU275" s="313"/>
      <c r="AV275" s="313"/>
      <c r="AW275" s="313"/>
      <c r="AX275" s="313"/>
      <c r="AY275" s="313"/>
      <c r="AZ275" s="313"/>
      <c r="BA275" s="313"/>
      <c r="BB275" s="313"/>
      <c r="BC275" s="313"/>
      <c r="BD275" s="313"/>
      <c r="BE275" s="313"/>
      <c r="BF275" s="313"/>
      <c r="BG275" s="313"/>
    </row>
    <row r="276" ht="12.75" customHeight="1" outlineLevel="1">
      <c r="A276" s="90"/>
      <c r="B276" s="90"/>
      <c r="C276" s="90" t="s">
        <v>788</v>
      </c>
      <c r="D276" s="90"/>
      <c r="E276" s="90"/>
      <c r="F276" s="90"/>
      <c r="G276" s="99">
        <f t="shared" ref="G276:R276" si="267">G112*G64</f>
        <v>0</v>
      </c>
      <c r="H276" s="99">
        <f t="shared" si="267"/>
        <v>0</v>
      </c>
      <c r="I276" s="99">
        <f t="shared" si="267"/>
        <v>105216</v>
      </c>
      <c r="J276" s="99">
        <f t="shared" si="267"/>
        <v>124800</v>
      </c>
      <c r="K276" s="99">
        <f t="shared" si="267"/>
        <v>134400</v>
      </c>
      <c r="L276" s="99">
        <f t="shared" si="267"/>
        <v>134400</v>
      </c>
      <c r="M276" s="99">
        <f t="shared" si="267"/>
        <v>134400</v>
      </c>
      <c r="N276" s="99">
        <f t="shared" si="267"/>
        <v>134400</v>
      </c>
      <c r="O276" s="99">
        <f t="shared" si="267"/>
        <v>134400</v>
      </c>
      <c r="P276" s="99">
        <f t="shared" si="267"/>
        <v>134400</v>
      </c>
      <c r="Q276" s="99">
        <f t="shared" si="267"/>
        <v>134400</v>
      </c>
      <c r="R276" s="99">
        <f t="shared" si="267"/>
        <v>134400</v>
      </c>
      <c r="AT276" s="308">
        <f t="shared" ref="AT276:BG276" si="268">AT112*AT64</f>
        <v>0</v>
      </c>
      <c r="AU276" s="308">
        <f t="shared" si="268"/>
        <v>0</v>
      </c>
      <c r="AV276" s="308">
        <f t="shared" si="268"/>
        <v>0</v>
      </c>
      <c r="AW276" s="308">
        <f t="shared" si="268"/>
        <v>0</v>
      </c>
      <c r="AX276" s="308">
        <f t="shared" si="268"/>
        <v>0</v>
      </c>
      <c r="AY276" s="308">
        <f t="shared" si="268"/>
        <v>0</v>
      </c>
      <c r="AZ276" s="308">
        <f t="shared" si="268"/>
        <v>0</v>
      </c>
      <c r="BA276" s="308">
        <f t="shared" si="268"/>
        <v>0</v>
      </c>
      <c r="BB276" s="308">
        <f t="shared" si="268"/>
        <v>0</v>
      </c>
      <c r="BC276" s="308">
        <f t="shared" si="268"/>
        <v>0</v>
      </c>
      <c r="BD276" s="308">
        <f t="shared" si="268"/>
        <v>0</v>
      </c>
      <c r="BE276" s="308">
        <f t="shared" si="268"/>
        <v>0</v>
      </c>
      <c r="BF276" s="308">
        <f t="shared" si="268"/>
        <v>0</v>
      </c>
      <c r="BG276" s="308">
        <f t="shared" si="268"/>
        <v>0</v>
      </c>
    </row>
    <row r="277" ht="12.75" customHeight="1" outlineLevel="1">
      <c r="A277" s="90"/>
      <c r="B277" s="90"/>
      <c r="C277" s="90" t="s">
        <v>789</v>
      </c>
      <c r="D277" s="90"/>
      <c r="E277" s="90"/>
      <c r="F277" s="90"/>
      <c r="G277" s="99">
        <f t="shared" ref="G277:H277" si="269">G113*G66</f>
        <v>0</v>
      </c>
      <c r="H277" s="99">
        <f t="shared" si="269"/>
        <v>0</v>
      </c>
      <c r="I277" s="99">
        <f t="shared" ref="I277:R277" si="270">I113*I338</f>
        <v>124185.6</v>
      </c>
      <c r="J277" s="99">
        <f t="shared" si="270"/>
        <v>146995.2</v>
      </c>
      <c r="K277" s="99">
        <f t="shared" si="270"/>
        <v>158400</v>
      </c>
      <c r="L277" s="99">
        <f t="shared" si="270"/>
        <v>158400</v>
      </c>
      <c r="M277" s="99">
        <f t="shared" si="270"/>
        <v>158400</v>
      </c>
      <c r="N277" s="99">
        <f t="shared" si="270"/>
        <v>158400</v>
      </c>
      <c r="O277" s="99">
        <f t="shared" si="270"/>
        <v>158400</v>
      </c>
      <c r="P277" s="99">
        <f t="shared" si="270"/>
        <v>158400</v>
      </c>
      <c r="Q277" s="99">
        <f t="shared" si="270"/>
        <v>158400</v>
      </c>
      <c r="R277" s="99">
        <f t="shared" si="270"/>
        <v>158400</v>
      </c>
      <c r="AT277" s="308">
        <f t="shared" ref="AT277:BG277" si="271">AT113*AT66</f>
        <v>0</v>
      </c>
      <c r="AU277" s="308">
        <f t="shared" si="271"/>
        <v>0</v>
      </c>
      <c r="AV277" s="308">
        <f t="shared" si="271"/>
        <v>0</v>
      </c>
      <c r="AW277" s="308">
        <f t="shared" si="271"/>
        <v>0</v>
      </c>
      <c r="AX277" s="308">
        <f t="shared" si="271"/>
        <v>0</v>
      </c>
      <c r="AY277" s="308">
        <f t="shared" si="271"/>
        <v>0</v>
      </c>
      <c r="AZ277" s="308">
        <f t="shared" si="271"/>
        <v>0</v>
      </c>
      <c r="BA277" s="308">
        <f t="shared" si="271"/>
        <v>0</v>
      </c>
      <c r="BB277" s="308">
        <f t="shared" si="271"/>
        <v>0</v>
      </c>
      <c r="BC277" s="308">
        <f t="shared" si="271"/>
        <v>0</v>
      </c>
      <c r="BD277" s="308">
        <f t="shared" si="271"/>
        <v>0</v>
      </c>
      <c r="BE277" s="308">
        <f t="shared" si="271"/>
        <v>0</v>
      </c>
      <c r="BF277" s="308">
        <f t="shared" si="271"/>
        <v>0</v>
      </c>
      <c r="BG277" s="308">
        <f t="shared" si="271"/>
        <v>0</v>
      </c>
    </row>
    <row r="278" ht="12.75" customHeight="1" outlineLevel="1">
      <c r="A278" s="90"/>
      <c r="B278" s="90"/>
      <c r="C278" s="90" t="s">
        <v>790</v>
      </c>
      <c r="D278" s="90"/>
      <c r="E278" s="90"/>
      <c r="F278" s="90"/>
      <c r="G278" s="99">
        <v>0.0</v>
      </c>
      <c r="H278" s="99">
        <v>0.0</v>
      </c>
      <c r="I278" s="99">
        <v>8000.0</v>
      </c>
      <c r="J278" s="99">
        <v>8000.0</v>
      </c>
      <c r="K278" s="99">
        <v>8000.0</v>
      </c>
      <c r="L278" s="99">
        <v>8000.0</v>
      </c>
      <c r="M278" s="99">
        <v>8000.0</v>
      </c>
      <c r="N278" s="99">
        <v>8000.0</v>
      </c>
      <c r="O278" s="99">
        <v>8000.0</v>
      </c>
      <c r="P278" s="99">
        <v>8000.0</v>
      </c>
      <c r="Q278" s="99">
        <v>8000.0</v>
      </c>
      <c r="R278" s="99">
        <v>8000.0</v>
      </c>
      <c r="AT278" s="308"/>
      <c r="AU278" s="308"/>
      <c r="AV278" s="308"/>
      <c r="AW278" s="308"/>
      <c r="AX278" s="308"/>
      <c r="AY278" s="308"/>
      <c r="AZ278" s="308"/>
      <c r="BA278" s="308"/>
      <c r="BB278" s="308"/>
      <c r="BC278" s="308"/>
      <c r="BD278" s="308"/>
      <c r="BE278" s="308"/>
      <c r="BF278" s="308"/>
      <c r="BG278" s="308"/>
    </row>
    <row r="279" ht="12.75" customHeight="1" outlineLevel="1">
      <c r="A279" s="90"/>
      <c r="B279" s="90"/>
      <c r="C279" s="90" t="s">
        <v>689</v>
      </c>
      <c r="D279" s="90"/>
      <c r="E279" s="90"/>
      <c r="F279" s="90"/>
      <c r="G279" s="99">
        <f t="shared" ref="G279:R279" si="272">G115*G$56</f>
        <v>0</v>
      </c>
      <c r="H279" s="99">
        <f t="shared" si="272"/>
        <v>0</v>
      </c>
      <c r="I279" s="99">
        <f t="shared" si="272"/>
        <v>0</v>
      </c>
      <c r="J279" s="99">
        <f t="shared" si="272"/>
        <v>0</v>
      </c>
      <c r="K279" s="99">
        <f t="shared" si="272"/>
        <v>12831.85841</v>
      </c>
      <c r="L279" s="99">
        <f t="shared" si="272"/>
        <v>12831.85841</v>
      </c>
      <c r="M279" s="99">
        <f t="shared" si="272"/>
        <v>12831.85841</v>
      </c>
      <c r="N279" s="99">
        <f t="shared" si="272"/>
        <v>12831.85841</v>
      </c>
      <c r="O279" s="99">
        <f t="shared" si="272"/>
        <v>12831.85841</v>
      </c>
      <c r="P279" s="99">
        <f t="shared" si="272"/>
        <v>12831.85841</v>
      </c>
      <c r="Q279" s="99">
        <f t="shared" si="272"/>
        <v>12831.85841</v>
      </c>
      <c r="R279" s="99">
        <f t="shared" si="272"/>
        <v>12831.85841</v>
      </c>
      <c r="AT279" s="308">
        <f t="shared" ref="AT279:BG279" si="273">AT115*AT$56</f>
        <v>0</v>
      </c>
      <c r="AU279" s="308">
        <f t="shared" si="273"/>
        <v>0</v>
      </c>
      <c r="AV279" s="308">
        <f t="shared" si="273"/>
        <v>0</v>
      </c>
      <c r="AW279" s="308">
        <f t="shared" si="273"/>
        <v>0</v>
      </c>
      <c r="AX279" s="308">
        <f t="shared" si="273"/>
        <v>0</v>
      </c>
      <c r="AY279" s="308">
        <f t="shared" si="273"/>
        <v>0</v>
      </c>
      <c r="AZ279" s="308">
        <f t="shared" si="273"/>
        <v>0</v>
      </c>
      <c r="BA279" s="308">
        <f t="shared" si="273"/>
        <v>0</v>
      </c>
      <c r="BB279" s="308">
        <f t="shared" si="273"/>
        <v>0</v>
      </c>
      <c r="BC279" s="308">
        <f t="shared" si="273"/>
        <v>0</v>
      </c>
      <c r="BD279" s="308">
        <f t="shared" si="273"/>
        <v>0</v>
      </c>
      <c r="BE279" s="308">
        <f t="shared" si="273"/>
        <v>0</v>
      </c>
      <c r="BF279" s="308">
        <f t="shared" si="273"/>
        <v>0</v>
      </c>
      <c r="BG279" s="308">
        <f t="shared" si="273"/>
        <v>0</v>
      </c>
    </row>
    <row r="280" ht="12.75" customHeight="1" outlineLevel="1">
      <c r="A280" s="90"/>
      <c r="B280" s="90"/>
      <c r="C280" s="90" t="s">
        <v>690</v>
      </c>
      <c r="D280" s="90"/>
      <c r="E280" s="90"/>
      <c r="F280" s="90"/>
      <c r="G280" s="99">
        <f t="shared" ref="G280:R280" si="274">G116*G$56</f>
        <v>0</v>
      </c>
      <c r="H280" s="99">
        <f t="shared" si="274"/>
        <v>0</v>
      </c>
      <c r="I280" s="99">
        <f t="shared" si="274"/>
        <v>0</v>
      </c>
      <c r="J280" s="99">
        <f t="shared" si="274"/>
        <v>0</v>
      </c>
      <c r="K280" s="99">
        <f t="shared" si="274"/>
        <v>0</v>
      </c>
      <c r="L280" s="99">
        <f t="shared" si="274"/>
        <v>0</v>
      </c>
      <c r="M280" s="99">
        <f t="shared" si="274"/>
        <v>0</v>
      </c>
      <c r="N280" s="99">
        <f t="shared" si="274"/>
        <v>0</v>
      </c>
      <c r="O280" s="99">
        <f t="shared" si="274"/>
        <v>0</v>
      </c>
      <c r="P280" s="99">
        <f t="shared" si="274"/>
        <v>0</v>
      </c>
      <c r="Q280" s="99">
        <f t="shared" si="274"/>
        <v>0</v>
      </c>
      <c r="R280" s="99">
        <f t="shared" si="274"/>
        <v>0</v>
      </c>
      <c r="AT280" s="308">
        <f t="shared" ref="AT280:BG280" si="275">AT116*AT$56</f>
        <v>0</v>
      </c>
      <c r="AU280" s="308">
        <f t="shared" si="275"/>
        <v>0</v>
      </c>
      <c r="AV280" s="308">
        <f t="shared" si="275"/>
        <v>0</v>
      </c>
      <c r="AW280" s="308">
        <f t="shared" si="275"/>
        <v>0</v>
      </c>
      <c r="AX280" s="308">
        <f t="shared" si="275"/>
        <v>0</v>
      </c>
      <c r="AY280" s="308">
        <f t="shared" si="275"/>
        <v>0</v>
      </c>
      <c r="AZ280" s="308">
        <f t="shared" si="275"/>
        <v>0</v>
      </c>
      <c r="BA280" s="308">
        <f t="shared" si="275"/>
        <v>0</v>
      </c>
      <c r="BB280" s="308">
        <f t="shared" si="275"/>
        <v>0</v>
      </c>
      <c r="BC280" s="308">
        <f t="shared" si="275"/>
        <v>0</v>
      </c>
      <c r="BD280" s="308">
        <f t="shared" si="275"/>
        <v>0</v>
      </c>
      <c r="BE280" s="308">
        <f t="shared" si="275"/>
        <v>0</v>
      </c>
      <c r="BF280" s="308">
        <f t="shared" si="275"/>
        <v>0</v>
      </c>
      <c r="BG280" s="308">
        <f t="shared" si="275"/>
        <v>0</v>
      </c>
    </row>
    <row r="281" ht="12.75" customHeight="1" outlineLevel="1">
      <c r="A281" s="90"/>
      <c r="B281" s="87"/>
      <c r="C281" s="87" t="s">
        <v>791</v>
      </c>
      <c r="D281" s="87"/>
      <c r="E281" s="87"/>
      <c r="F281" s="87"/>
      <c r="G281" s="125">
        <f>G117*G$56</f>
        <v>0</v>
      </c>
      <c r="H281" s="125">
        <v>200000.0</v>
      </c>
      <c r="I281" s="125">
        <f>450000-H281</f>
        <v>250000</v>
      </c>
      <c r="J281" s="125">
        <v>150000.0</v>
      </c>
      <c r="K281" s="125">
        <f t="shared" ref="K281:R281" si="276">K117*K$56</f>
        <v>0</v>
      </c>
      <c r="L281" s="125">
        <f t="shared" si="276"/>
        <v>0</v>
      </c>
      <c r="M281" s="125">
        <f t="shared" si="276"/>
        <v>0</v>
      </c>
      <c r="N281" s="125">
        <f t="shared" si="276"/>
        <v>0</v>
      </c>
      <c r="O281" s="125">
        <f t="shared" si="276"/>
        <v>0</v>
      </c>
      <c r="P281" s="125">
        <f t="shared" si="276"/>
        <v>0</v>
      </c>
      <c r="Q281" s="125">
        <f t="shared" si="276"/>
        <v>0</v>
      </c>
      <c r="R281" s="125">
        <f t="shared" si="276"/>
        <v>0</v>
      </c>
      <c r="AT281" s="377">
        <f t="shared" ref="AT281:BG281" si="277">AT117*AT$56</f>
        <v>0</v>
      </c>
      <c r="AU281" s="377">
        <f t="shared" si="277"/>
        <v>0</v>
      </c>
      <c r="AV281" s="377">
        <f t="shared" si="277"/>
        <v>0</v>
      </c>
      <c r="AW281" s="377">
        <f t="shared" si="277"/>
        <v>0</v>
      </c>
      <c r="AX281" s="377">
        <f t="shared" si="277"/>
        <v>0</v>
      </c>
      <c r="AY281" s="377">
        <f t="shared" si="277"/>
        <v>0</v>
      </c>
      <c r="AZ281" s="377">
        <f t="shared" si="277"/>
        <v>0</v>
      </c>
      <c r="BA281" s="377">
        <f t="shared" si="277"/>
        <v>0</v>
      </c>
      <c r="BB281" s="377">
        <f t="shared" si="277"/>
        <v>0</v>
      </c>
      <c r="BC281" s="377">
        <f t="shared" si="277"/>
        <v>0</v>
      </c>
      <c r="BD281" s="377">
        <f t="shared" si="277"/>
        <v>0</v>
      </c>
      <c r="BE281" s="377">
        <f t="shared" si="277"/>
        <v>0</v>
      </c>
      <c r="BF281" s="377">
        <f t="shared" si="277"/>
        <v>0</v>
      </c>
      <c r="BG281" s="377">
        <f t="shared" si="277"/>
        <v>0</v>
      </c>
    </row>
    <row r="282" ht="12.75" customHeight="1" outlineLevel="1">
      <c r="A282" s="90"/>
      <c r="B282" s="67" t="s">
        <v>792</v>
      </c>
      <c r="C282" s="90"/>
      <c r="D282" s="90"/>
      <c r="E282" s="90"/>
      <c r="F282" s="90"/>
      <c r="G282" s="79">
        <f t="shared" ref="G282:R282" si="278">SUM(G276:G281)</f>
        <v>0</v>
      </c>
      <c r="H282" s="79">
        <f t="shared" si="278"/>
        <v>200000</v>
      </c>
      <c r="I282" s="79">
        <f t="shared" si="278"/>
        <v>487401.6</v>
      </c>
      <c r="J282" s="79">
        <f t="shared" si="278"/>
        <v>429795.2</v>
      </c>
      <c r="K282" s="79">
        <f t="shared" si="278"/>
        <v>313631.8584</v>
      </c>
      <c r="L282" s="79">
        <f t="shared" si="278"/>
        <v>313631.8584</v>
      </c>
      <c r="M282" s="79">
        <f t="shared" si="278"/>
        <v>313631.8584</v>
      </c>
      <c r="N282" s="79">
        <f t="shared" si="278"/>
        <v>313631.8584</v>
      </c>
      <c r="O282" s="79">
        <f t="shared" si="278"/>
        <v>313631.8584</v>
      </c>
      <c r="P282" s="79">
        <f t="shared" si="278"/>
        <v>313631.8584</v>
      </c>
      <c r="Q282" s="79">
        <f t="shared" si="278"/>
        <v>313631.8584</v>
      </c>
      <c r="R282" s="79">
        <f t="shared" si="278"/>
        <v>313631.8584</v>
      </c>
      <c r="AT282" s="378">
        <f t="shared" ref="AT282:BG282" si="279">SUM(AT276:AT281)</f>
        <v>0</v>
      </c>
      <c r="AU282" s="378">
        <f t="shared" si="279"/>
        <v>0</v>
      </c>
      <c r="AV282" s="378">
        <f t="shared" si="279"/>
        <v>0</v>
      </c>
      <c r="AW282" s="378">
        <f t="shared" si="279"/>
        <v>0</v>
      </c>
      <c r="AX282" s="378">
        <f t="shared" si="279"/>
        <v>0</v>
      </c>
      <c r="AY282" s="378">
        <f t="shared" si="279"/>
        <v>0</v>
      </c>
      <c r="AZ282" s="378">
        <f t="shared" si="279"/>
        <v>0</v>
      </c>
      <c r="BA282" s="378">
        <f t="shared" si="279"/>
        <v>0</v>
      </c>
      <c r="BB282" s="378">
        <f t="shared" si="279"/>
        <v>0</v>
      </c>
      <c r="BC282" s="378">
        <f t="shared" si="279"/>
        <v>0</v>
      </c>
      <c r="BD282" s="378">
        <f t="shared" si="279"/>
        <v>0</v>
      </c>
      <c r="BE282" s="378">
        <f t="shared" si="279"/>
        <v>0</v>
      </c>
      <c r="BF282" s="378">
        <f t="shared" si="279"/>
        <v>0</v>
      </c>
      <c r="BG282" s="378">
        <f t="shared" si="279"/>
        <v>0</v>
      </c>
    </row>
    <row r="283" ht="12.75" customHeight="1" outlineLevel="1">
      <c r="A283" s="90"/>
      <c r="B283" s="67"/>
      <c r="C283" s="90"/>
      <c r="D283" s="90"/>
      <c r="E283" s="90"/>
      <c r="F283" s="90"/>
      <c r="G283" s="79"/>
      <c r="H283" s="79"/>
      <c r="I283" s="79"/>
      <c r="J283" s="79"/>
      <c r="K283" s="79"/>
      <c r="L283" s="79"/>
      <c r="M283" s="79"/>
      <c r="N283" s="79"/>
      <c r="O283" s="79"/>
      <c r="P283" s="79"/>
      <c r="Q283" s="79"/>
      <c r="R283" s="79"/>
      <c r="AT283" s="378"/>
      <c r="AU283" s="378"/>
      <c r="AV283" s="378"/>
      <c r="AW283" s="378"/>
      <c r="AX283" s="378"/>
      <c r="AY283" s="378"/>
      <c r="AZ283" s="378"/>
      <c r="BA283" s="378"/>
      <c r="BB283" s="378"/>
      <c r="BC283" s="378"/>
      <c r="BD283" s="378"/>
      <c r="BE283" s="378"/>
      <c r="BF283" s="378"/>
      <c r="BG283" s="378"/>
    </row>
    <row r="284" ht="12.75" customHeight="1" outlineLevel="1">
      <c r="A284" s="90"/>
      <c r="B284" s="67" t="s">
        <v>793</v>
      </c>
      <c r="C284" s="90"/>
      <c r="D284" s="90"/>
      <c r="E284" s="90"/>
      <c r="F284" s="90"/>
      <c r="G284" s="90"/>
      <c r="H284" s="90"/>
      <c r="I284" s="90"/>
      <c r="J284" s="90"/>
      <c r="K284" s="90"/>
      <c r="L284" s="90"/>
      <c r="M284" s="90"/>
      <c r="N284" s="90"/>
      <c r="O284" s="90"/>
      <c r="P284" s="90"/>
      <c r="Q284" s="90"/>
      <c r="R284" s="90"/>
      <c r="AT284" s="313"/>
      <c r="AU284" s="313"/>
      <c r="AV284" s="313"/>
      <c r="AW284" s="313"/>
      <c r="AX284" s="313"/>
      <c r="AY284" s="313"/>
      <c r="AZ284" s="313"/>
      <c r="BA284" s="313"/>
      <c r="BB284" s="313"/>
      <c r="BC284" s="313"/>
      <c r="BD284" s="313"/>
      <c r="BE284" s="313"/>
      <c r="BF284" s="313"/>
      <c r="BG284" s="313"/>
    </row>
    <row r="285" ht="12.75" customHeight="1" outlineLevel="1">
      <c r="A285" s="90"/>
      <c r="B285" s="90"/>
      <c r="C285" s="90" t="s">
        <v>791</v>
      </c>
      <c r="D285" s="90"/>
      <c r="E285" s="90"/>
      <c r="F285" s="90"/>
      <c r="G285" s="99">
        <v>0.0</v>
      </c>
      <c r="H285" s="99">
        <v>0.0</v>
      </c>
      <c r="I285" s="99">
        <v>0.0</v>
      </c>
      <c r="J285" s="99">
        <v>0.0</v>
      </c>
      <c r="K285" s="99">
        <v>0.0</v>
      </c>
      <c r="L285" s="99">
        <v>0.0</v>
      </c>
      <c r="M285" s="99">
        <v>0.0</v>
      </c>
      <c r="N285" s="99">
        <v>0.0</v>
      </c>
      <c r="O285" s="99">
        <v>0.0</v>
      </c>
      <c r="P285" s="99">
        <v>0.0</v>
      </c>
      <c r="Q285" s="99">
        <v>0.0</v>
      </c>
      <c r="R285" s="99">
        <v>0.0</v>
      </c>
      <c r="AT285" s="308">
        <v>0.0</v>
      </c>
      <c r="AU285" s="308">
        <v>0.0</v>
      </c>
      <c r="AV285" s="308">
        <v>0.0</v>
      </c>
      <c r="AW285" s="308">
        <v>0.0</v>
      </c>
      <c r="AX285" s="308">
        <v>0.0</v>
      </c>
      <c r="AY285" s="308">
        <v>0.0</v>
      </c>
      <c r="AZ285" s="308">
        <v>0.0</v>
      </c>
      <c r="BA285" s="308">
        <v>0.0</v>
      </c>
      <c r="BB285" s="308">
        <v>0.0</v>
      </c>
      <c r="BC285" s="308">
        <v>0.0</v>
      </c>
      <c r="BD285" s="308">
        <v>0.0</v>
      </c>
      <c r="BE285" s="308">
        <v>0.0</v>
      </c>
      <c r="BF285" s="308">
        <v>0.0</v>
      </c>
      <c r="BG285" s="308">
        <v>0.0</v>
      </c>
    </row>
    <row r="286" ht="12.75" customHeight="1" outlineLevel="1">
      <c r="A286" s="90"/>
      <c r="B286" s="90"/>
      <c r="C286" s="90" t="s">
        <v>794</v>
      </c>
      <c r="D286" s="90"/>
      <c r="E286" s="90"/>
      <c r="F286" s="90"/>
      <c r="G286" s="99">
        <v>0.0</v>
      </c>
      <c r="H286" s="99">
        <v>0.0</v>
      </c>
      <c r="I286" s="99">
        <v>0.0</v>
      </c>
      <c r="J286" s="99">
        <v>0.0</v>
      </c>
      <c r="K286" s="99">
        <v>0.0</v>
      </c>
      <c r="L286" s="99">
        <v>0.0</v>
      </c>
      <c r="M286" s="99">
        <v>0.0</v>
      </c>
      <c r="N286" s="99">
        <v>0.0</v>
      </c>
      <c r="O286" s="99">
        <v>0.0</v>
      </c>
      <c r="P286" s="99">
        <v>0.0</v>
      </c>
      <c r="Q286" s="99">
        <v>0.0</v>
      </c>
      <c r="R286" s="99">
        <v>0.0</v>
      </c>
      <c r="AT286" s="308">
        <v>0.0</v>
      </c>
      <c r="AU286" s="308">
        <v>0.0</v>
      </c>
      <c r="AV286" s="308">
        <v>0.0</v>
      </c>
      <c r="AW286" s="308">
        <v>0.0</v>
      </c>
      <c r="AX286" s="308">
        <v>0.0</v>
      </c>
      <c r="AY286" s="308">
        <v>0.0</v>
      </c>
      <c r="AZ286" s="308">
        <v>0.0</v>
      </c>
      <c r="BA286" s="308">
        <v>0.0</v>
      </c>
      <c r="BB286" s="308">
        <v>0.0</v>
      </c>
      <c r="BC286" s="308">
        <v>0.0</v>
      </c>
      <c r="BD286" s="308">
        <v>0.0</v>
      </c>
      <c r="BE286" s="308">
        <v>0.0</v>
      </c>
      <c r="BF286" s="308">
        <v>0.0</v>
      </c>
      <c r="BG286" s="308">
        <v>0.0</v>
      </c>
    </row>
    <row r="287" ht="12.75" customHeight="1" outlineLevel="1">
      <c r="A287" s="90"/>
      <c r="B287" s="90"/>
      <c r="C287" s="90" t="s">
        <v>795</v>
      </c>
      <c r="D287" s="90"/>
      <c r="E287" s="90"/>
      <c r="F287" s="90"/>
      <c r="G287" s="99">
        <v>0.0</v>
      </c>
      <c r="H287" s="99">
        <v>0.0</v>
      </c>
      <c r="I287" s="99">
        <v>0.0</v>
      </c>
      <c r="J287" s="99">
        <v>0.0</v>
      </c>
      <c r="K287" s="99">
        <v>0.0</v>
      </c>
      <c r="L287" s="99">
        <v>0.0</v>
      </c>
      <c r="M287" s="99">
        <v>0.0</v>
      </c>
      <c r="N287" s="99">
        <v>0.0</v>
      </c>
      <c r="O287" s="99">
        <v>0.0</v>
      </c>
      <c r="P287" s="99">
        <v>0.0</v>
      </c>
      <c r="Q287" s="99">
        <v>0.0</v>
      </c>
      <c r="R287" s="99">
        <v>0.0</v>
      </c>
      <c r="AT287" s="308">
        <v>0.0</v>
      </c>
      <c r="AU287" s="308">
        <v>0.0</v>
      </c>
      <c r="AV287" s="308">
        <v>0.0</v>
      </c>
      <c r="AW287" s="308">
        <v>0.0</v>
      </c>
      <c r="AX287" s="308">
        <v>0.0</v>
      </c>
      <c r="AY287" s="308">
        <v>0.0</v>
      </c>
      <c r="AZ287" s="308">
        <v>0.0</v>
      </c>
      <c r="BA287" s="308">
        <v>0.0</v>
      </c>
      <c r="BB287" s="308">
        <v>0.0</v>
      </c>
      <c r="BC287" s="308">
        <v>0.0</v>
      </c>
      <c r="BD287" s="308">
        <v>0.0</v>
      </c>
      <c r="BE287" s="308">
        <v>0.0</v>
      </c>
      <c r="BF287" s="308">
        <v>0.0</v>
      </c>
      <c r="BG287" s="308">
        <v>0.0</v>
      </c>
    </row>
    <row r="288" ht="12.75" customHeight="1" outlineLevel="1">
      <c r="A288" s="90"/>
      <c r="B288" s="87"/>
      <c r="C288" s="87" t="s">
        <v>796</v>
      </c>
      <c r="D288" s="87"/>
      <c r="E288" s="87"/>
      <c r="F288" s="87"/>
      <c r="G288" s="99">
        <v>0.0</v>
      </c>
      <c r="H288" s="99">
        <v>0.0</v>
      </c>
      <c r="I288" s="99">
        <v>0.0</v>
      </c>
      <c r="J288" s="99">
        <v>0.0</v>
      </c>
      <c r="K288" s="99">
        <v>0.0</v>
      </c>
      <c r="L288" s="125">
        <v>0.0</v>
      </c>
      <c r="M288" s="125">
        <v>0.0</v>
      </c>
      <c r="N288" s="125">
        <v>0.0</v>
      </c>
      <c r="O288" s="125">
        <v>0.0</v>
      </c>
      <c r="P288" s="125">
        <v>0.0</v>
      </c>
      <c r="Q288" s="125">
        <v>0.0</v>
      </c>
      <c r="R288" s="125">
        <v>0.0</v>
      </c>
      <c r="AT288" s="377">
        <v>0.0</v>
      </c>
      <c r="AU288" s="377">
        <v>0.0</v>
      </c>
      <c r="AV288" s="377">
        <v>0.0</v>
      </c>
      <c r="AW288" s="377">
        <v>0.0</v>
      </c>
      <c r="AX288" s="377">
        <v>0.0</v>
      </c>
      <c r="AY288" s="377">
        <v>0.0</v>
      </c>
      <c r="AZ288" s="377">
        <v>0.0</v>
      </c>
      <c r="BA288" s="377">
        <v>0.0</v>
      </c>
      <c r="BB288" s="377">
        <v>0.0</v>
      </c>
      <c r="BC288" s="377">
        <v>0.0</v>
      </c>
      <c r="BD288" s="377">
        <v>0.0</v>
      </c>
      <c r="BE288" s="377">
        <v>0.0</v>
      </c>
      <c r="BF288" s="377">
        <v>0.0</v>
      </c>
      <c r="BG288" s="377">
        <v>0.0</v>
      </c>
    </row>
    <row r="289" ht="12.75" customHeight="1" outlineLevel="1">
      <c r="A289" s="90"/>
      <c r="B289" s="67" t="s">
        <v>797</v>
      </c>
      <c r="C289" s="90"/>
      <c r="D289" s="90"/>
      <c r="E289" s="90"/>
      <c r="F289" s="90"/>
      <c r="G289" s="379">
        <f t="shared" ref="G289:R289" si="280">SUM(G285:G288)</f>
        <v>0</v>
      </c>
      <c r="H289" s="379">
        <f t="shared" si="280"/>
        <v>0</v>
      </c>
      <c r="I289" s="379">
        <f t="shared" si="280"/>
        <v>0</v>
      </c>
      <c r="J289" s="379">
        <f t="shared" si="280"/>
        <v>0</v>
      </c>
      <c r="K289" s="379">
        <f t="shared" si="280"/>
        <v>0</v>
      </c>
      <c r="L289" s="79">
        <f t="shared" si="280"/>
        <v>0</v>
      </c>
      <c r="M289" s="79">
        <f t="shared" si="280"/>
        <v>0</v>
      </c>
      <c r="N289" s="79">
        <f t="shared" si="280"/>
        <v>0</v>
      </c>
      <c r="O289" s="79">
        <f t="shared" si="280"/>
        <v>0</v>
      </c>
      <c r="P289" s="79">
        <f t="shared" si="280"/>
        <v>0</v>
      </c>
      <c r="Q289" s="79">
        <f t="shared" si="280"/>
        <v>0</v>
      </c>
      <c r="R289" s="79">
        <f t="shared" si="280"/>
        <v>0</v>
      </c>
      <c r="AT289" s="378">
        <f t="shared" ref="AT289:BG289" si="281">SUM(AT285:AT288)</f>
        <v>0</v>
      </c>
      <c r="AU289" s="378">
        <f t="shared" si="281"/>
        <v>0</v>
      </c>
      <c r="AV289" s="378">
        <f t="shared" si="281"/>
        <v>0</v>
      </c>
      <c r="AW289" s="378">
        <f t="shared" si="281"/>
        <v>0</v>
      </c>
      <c r="AX289" s="378">
        <f t="shared" si="281"/>
        <v>0</v>
      </c>
      <c r="AY289" s="378">
        <f t="shared" si="281"/>
        <v>0</v>
      </c>
      <c r="AZ289" s="378">
        <f t="shared" si="281"/>
        <v>0</v>
      </c>
      <c r="BA289" s="378">
        <f t="shared" si="281"/>
        <v>0</v>
      </c>
      <c r="BB289" s="378">
        <f t="shared" si="281"/>
        <v>0</v>
      </c>
      <c r="BC289" s="378">
        <f t="shared" si="281"/>
        <v>0</v>
      </c>
      <c r="BD289" s="378">
        <f t="shared" si="281"/>
        <v>0</v>
      </c>
      <c r="BE289" s="378">
        <f t="shared" si="281"/>
        <v>0</v>
      </c>
      <c r="BF289" s="378">
        <f t="shared" si="281"/>
        <v>0</v>
      </c>
      <c r="BG289" s="378">
        <f t="shared" si="281"/>
        <v>0</v>
      </c>
    </row>
    <row r="290" ht="12.75" customHeight="1" outlineLevel="1">
      <c r="A290" s="90"/>
      <c r="B290" s="67"/>
      <c r="C290" s="90"/>
      <c r="D290" s="90"/>
      <c r="E290" s="90"/>
      <c r="F290" s="90"/>
      <c r="G290" s="79"/>
      <c r="H290" s="79"/>
      <c r="I290" s="79"/>
      <c r="J290" s="79"/>
      <c r="K290" s="79"/>
      <c r="L290" s="79"/>
      <c r="M290" s="79"/>
      <c r="N290" s="79"/>
      <c r="O290" s="79"/>
      <c r="P290" s="79"/>
      <c r="Q290" s="79"/>
      <c r="R290" s="79"/>
      <c r="AT290" s="378"/>
      <c r="AU290" s="378"/>
      <c r="AV290" s="378"/>
      <c r="AW290" s="378"/>
      <c r="AX290" s="378"/>
      <c r="AY290" s="378"/>
      <c r="AZ290" s="378"/>
      <c r="BA290" s="378"/>
      <c r="BB290" s="378"/>
      <c r="BC290" s="378"/>
      <c r="BD290" s="378"/>
      <c r="BE290" s="378"/>
      <c r="BF290" s="378"/>
      <c r="BG290" s="378"/>
    </row>
    <row r="291" ht="12.75" customHeight="1" outlineLevel="1">
      <c r="A291" s="90"/>
      <c r="B291" s="67" t="s">
        <v>509</v>
      </c>
      <c r="C291" s="90"/>
      <c r="D291" s="90"/>
      <c r="E291" s="90"/>
      <c r="F291" s="90"/>
      <c r="G291" s="304"/>
      <c r="H291" s="304"/>
      <c r="I291" s="304"/>
      <c r="J291" s="304"/>
      <c r="K291" s="304"/>
      <c r="L291" s="304"/>
      <c r="M291" s="304"/>
      <c r="N291" s="304"/>
      <c r="O291" s="79"/>
      <c r="P291" s="79"/>
      <c r="Q291" s="79"/>
      <c r="R291" s="79"/>
      <c r="AT291" s="378"/>
      <c r="AU291" s="378"/>
      <c r="AV291" s="378"/>
      <c r="AW291" s="378"/>
      <c r="AX291" s="378"/>
      <c r="AY291" s="378"/>
      <c r="AZ291" s="378"/>
      <c r="BA291" s="378"/>
      <c r="BB291" s="378"/>
      <c r="BC291" s="378"/>
      <c r="BD291" s="378"/>
      <c r="BE291" s="378"/>
      <c r="BF291" s="378"/>
      <c r="BG291" s="378"/>
    </row>
    <row r="292" ht="12.75" customHeight="1" outlineLevel="1">
      <c r="A292" s="90"/>
      <c r="B292" s="67"/>
      <c r="C292" s="90" t="s">
        <v>695</v>
      </c>
      <c r="D292" s="90"/>
      <c r="E292" s="90"/>
      <c r="F292" s="90"/>
      <c r="G292" s="99">
        <v>0.0</v>
      </c>
      <c r="H292" s="99">
        <v>0.0</v>
      </c>
      <c r="I292" s="99">
        <f t="shared" ref="I292:R292" si="282">I122*I47</f>
        <v>27440</v>
      </c>
      <c r="J292" s="99">
        <f t="shared" si="282"/>
        <v>32480</v>
      </c>
      <c r="K292" s="99">
        <f t="shared" si="282"/>
        <v>35000</v>
      </c>
      <c r="L292" s="99">
        <f t="shared" si="282"/>
        <v>35000</v>
      </c>
      <c r="M292" s="99">
        <f t="shared" si="282"/>
        <v>35000</v>
      </c>
      <c r="N292" s="99">
        <f t="shared" si="282"/>
        <v>35000</v>
      </c>
      <c r="O292" s="99">
        <f t="shared" si="282"/>
        <v>35000</v>
      </c>
      <c r="P292" s="99">
        <f t="shared" si="282"/>
        <v>35000</v>
      </c>
      <c r="Q292" s="99">
        <f t="shared" si="282"/>
        <v>35000</v>
      </c>
      <c r="R292" s="99">
        <f t="shared" si="282"/>
        <v>35000</v>
      </c>
      <c r="AT292" s="308">
        <v>0.0</v>
      </c>
      <c r="AU292" s="308">
        <v>0.0</v>
      </c>
      <c r="AV292" s="308">
        <v>0.0</v>
      </c>
      <c r="AW292" s="308">
        <v>0.0</v>
      </c>
      <c r="AX292" s="308">
        <v>0.0</v>
      </c>
      <c r="AY292" s="308">
        <v>0.0</v>
      </c>
      <c r="AZ292" s="308">
        <v>0.0</v>
      </c>
      <c r="BA292" s="308">
        <v>0.0</v>
      </c>
      <c r="BB292" s="308">
        <v>0.0</v>
      </c>
      <c r="BC292" s="308">
        <v>0.0</v>
      </c>
      <c r="BD292" s="308">
        <v>0.0</v>
      </c>
      <c r="BE292" s="308">
        <v>0.0</v>
      </c>
      <c r="BF292" s="308">
        <v>0.0</v>
      </c>
      <c r="BG292" s="308">
        <v>0.0</v>
      </c>
    </row>
    <row r="293" ht="12.75" customHeight="1" outlineLevel="1">
      <c r="A293" s="90"/>
      <c r="B293" s="67"/>
      <c r="C293" s="90" t="s">
        <v>798</v>
      </c>
      <c r="D293" s="90"/>
      <c r="E293" s="90"/>
      <c r="F293" s="90"/>
      <c r="G293" s="99">
        <f t="shared" ref="G293:H293" si="283">G122+G123+((G48-G68)*G121)</f>
        <v>0</v>
      </c>
      <c r="H293" s="99">
        <f t="shared" si="283"/>
        <v>0</v>
      </c>
      <c r="I293" s="99">
        <f t="shared" ref="I293:R293" si="284">I338-I277-I120</f>
        <v>31395.2</v>
      </c>
      <c r="J293" s="99">
        <f t="shared" si="284"/>
        <v>38998.4</v>
      </c>
      <c r="K293" s="99">
        <f t="shared" si="284"/>
        <v>47800</v>
      </c>
      <c r="L293" s="99">
        <f t="shared" si="284"/>
        <v>47800</v>
      </c>
      <c r="M293" s="99">
        <f t="shared" si="284"/>
        <v>47800</v>
      </c>
      <c r="N293" s="99">
        <f t="shared" si="284"/>
        <v>47800</v>
      </c>
      <c r="O293" s="99">
        <f t="shared" si="284"/>
        <v>47800</v>
      </c>
      <c r="P293" s="99">
        <f t="shared" si="284"/>
        <v>47800</v>
      </c>
      <c r="Q293" s="99">
        <f t="shared" si="284"/>
        <v>47800</v>
      </c>
      <c r="R293" s="99">
        <f t="shared" si="284"/>
        <v>47800</v>
      </c>
      <c r="AT293" s="308">
        <f t="shared" ref="AT293:BG293" si="285">AT121+AT122+((AT47-AT67)*AT120)</f>
        <v>0</v>
      </c>
      <c r="AU293" s="308">
        <f t="shared" si="285"/>
        <v>0</v>
      </c>
      <c r="AV293" s="308">
        <f t="shared" si="285"/>
        <v>0</v>
      </c>
      <c r="AW293" s="308">
        <f t="shared" si="285"/>
        <v>0</v>
      </c>
      <c r="AX293" s="308">
        <f t="shared" si="285"/>
        <v>0</v>
      </c>
      <c r="AY293" s="308">
        <f t="shared" si="285"/>
        <v>0</v>
      </c>
      <c r="AZ293" s="308">
        <f t="shared" si="285"/>
        <v>0</v>
      </c>
      <c r="BA293" s="308">
        <f t="shared" si="285"/>
        <v>0</v>
      </c>
      <c r="BB293" s="308">
        <f t="shared" si="285"/>
        <v>0</v>
      </c>
      <c r="BC293" s="308">
        <f t="shared" si="285"/>
        <v>0</v>
      </c>
      <c r="BD293" s="308">
        <f t="shared" si="285"/>
        <v>0</v>
      </c>
      <c r="BE293" s="308">
        <f t="shared" si="285"/>
        <v>0</v>
      </c>
      <c r="BF293" s="308">
        <f t="shared" si="285"/>
        <v>0</v>
      </c>
      <c r="BG293" s="308">
        <f t="shared" si="285"/>
        <v>0</v>
      </c>
    </row>
    <row r="294" ht="12.75" customHeight="1" outlineLevel="1">
      <c r="A294" s="90"/>
      <c r="B294" s="134" t="s">
        <v>799</v>
      </c>
      <c r="C294" s="148"/>
      <c r="D294" s="148"/>
      <c r="E294" s="148"/>
      <c r="F294" s="148"/>
      <c r="G294" s="379">
        <f t="shared" ref="G294:R294" si="286">SUM(G292:G293)</f>
        <v>0</v>
      </c>
      <c r="H294" s="379">
        <f t="shared" si="286"/>
        <v>0</v>
      </c>
      <c r="I294" s="379">
        <f t="shared" si="286"/>
        <v>58835.2</v>
      </c>
      <c r="J294" s="379">
        <f t="shared" si="286"/>
        <v>71478.4</v>
      </c>
      <c r="K294" s="379">
        <f t="shared" si="286"/>
        <v>82800</v>
      </c>
      <c r="L294" s="379">
        <f t="shared" si="286"/>
        <v>82800</v>
      </c>
      <c r="M294" s="379">
        <f t="shared" si="286"/>
        <v>82800</v>
      </c>
      <c r="N294" s="379">
        <f t="shared" si="286"/>
        <v>82800</v>
      </c>
      <c r="O294" s="379">
        <f t="shared" si="286"/>
        <v>82800</v>
      </c>
      <c r="P294" s="379">
        <f t="shared" si="286"/>
        <v>82800</v>
      </c>
      <c r="Q294" s="379">
        <f t="shared" si="286"/>
        <v>82800</v>
      </c>
      <c r="R294" s="379">
        <f t="shared" si="286"/>
        <v>82800</v>
      </c>
      <c r="AT294" s="380">
        <f t="shared" ref="AT294:BG294" si="287">SUM(AT292:AT293)</f>
        <v>0</v>
      </c>
      <c r="AU294" s="380">
        <f t="shared" si="287"/>
        <v>0</v>
      </c>
      <c r="AV294" s="380">
        <f t="shared" si="287"/>
        <v>0</v>
      </c>
      <c r="AW294" s="380">
        <f t="shared" si="287"/>
        <v>0</v>
      </c>
      <c r="AX294" s="380">
        <f t="shared" si="287"/>
        <v>0</v>
      </c>
      <c r="AY294" s="380">
        <f t="shared" si="287"/>
        <v>0</v>
      </c>
      <c r="AZ294" s="380">
        <f t="shared" si="287"/>
        <v>0</v>
      </c>
      <c r="BA294" s="380">
        <f t="shared" si="287"/>
        <v>0</v>
      </c>
      <c r="BB294" s="380">
        <f t="shared" si="287"/>
        <v>0</v>
      </c>
      <c r="BC294" s="380">
        <f t="shared" si="287"/>
        <v>0</v>
      </c>
      <c r="BD294" s="380">
        <f t="shared" si="287"/>
        <v>0</v>
      </c>
      <c r="BE294" s="380">
        <f t="shared" si="287"/>
        <v>0</v>
      </c>
      <c r="BF294" s="380">
        <f t="shared" si="287"/>
        <v>0</v>
      </c>
      <c r="BG294" s="380">
        <f t="shared" si="287"/>
        <v>0</v>
      </c>
    </row>
    <row r="295" ht="12.75" customHeight="1" outlineLevel="1">
      <c r="A295" s="90"/>
      <c r="B295" s="90"/>
      <c r="C295" s="90"/>
      <c r="D295" s="90"/>
      <c r="E295" s="90"/>
      <c r="F295" s="90"/>
      <c r="G295" s="90"/>
      <c r="H295" s="90"/>
      <c r="I295" s="90"/>
      <c r="J295" s="90"/>
      <c r="K295" s="90"/>
      <c r="L295" s="90"/>
      <c r="M295" s="90"/>
      <c r="N295" s="90"/>
      <c r="O295" s="90"/>
      <c r="P295" s="90"/>
      <c r="Q295" s="90"/>
      <c r="R295" s="90"/>
      <c r="AT295" s="313"/>
      <c r="AU295" s="313"/>
      <c r="AV295" s="313"/>
      <c r="AW295" s="313"/>
      <c r="AX295" s="313"/>
      <c r="AY295" s="313"/>
      <c r="AZ295" s="313"/>
      <c r="BA295" s="313"/>
      <c r="BB295" s="313"/>
      <c r="BC295" s="313"/>
      <c r="BD295" s="313"/>
      <c r="BE295" s="313"/>
      <c r="BF295" s="313"/>
      <c r="BG295" s="313"/>
    </row>
    <row r="296" ht="12.75" customHeight="1" outlineLevel="1">
      <c r="A296" s="109" t="s">
        <v>800</v>
      </c>
      <c r="B296" s="109"/>
      <c r="C296" s="109"/>
      <c r="D296" s="143"/>
      <c r="E296" s="143"/>
      <c r="F296" s="143"/>
      <c r="G296" s="293">
        <f t="shared" ref="G296:R296" si="288">G289+G282+G273+G294</f>
        <v>0</v>
      </c>
      <c r="H296" s="293">
        <f t="shared" si="288"/>
        <v>200000</v>
      </c>
      <c r="I296" s="293">
        <f t="shared" si="288"/>
        <v>2960792.656</v>
      </c>
      <c r="J296" s="293">
        <f t="shared" si="288"/>
        <v>3329187.792</v>
      </c>
      <c r="K296" s="293">
        <f t="shared" si="288"/>
        <v>3461323.058</v>
      </c>
      <c r="L296" s="293">
        <f t="shared" si="288"/>
        <v>3470227.058</v>
      </c>
      <c r="M296" s="293">
        <f t="shared" si="288"/>
        <v>3462595.058</v>
      </c>
      <c r="N296" s="293">
        <f t="shared" si="288"/>
        <v>3455599.058</v>
      </c>
      <c r="O296" s="293">
        <f t="shared" si="288"/>
        <v>3448921.058</v>
      </c>
      <c r="P296" s="293">
        <f t="shared" si="288"/>
        <v>3442243.058</v>
      </c>
      <c r="Q296" s="293">
        <f t="shared" si="288"/>
        <v>3438745.058</v>
      </c>
      <c r="R296" s="293">
        <f t="shared" si="288"/>
        <v>3438745.058</v>
      </c>
      <c r="AT296" s="381">
        <f t="shared" ref="AT296:BG296" si="289">AT289+AT282+AT273+AT294</f>
        <v>0</v>
      </c>
      <c r="AU296" s="381" t="str">
        <f t="shared" si="289"/>
        <v>#REF!</v>
      </c>
      <c r="AV296" s="381" t="str">
        <f t="shared" si="289"/>
        <v>#REF!</v>
      </c>
      <c r="AW296" s="381" t="str">
        <f t="shared" si="289"/>
        <v>#REF!</v>
      </c>
      <c r="AX296" s="381" t="str">
        <f t="shared" si="289"/>
        <v>#REF!</v>
      </c>
      <c r="AY296" s="381" t="str">
        <f t="shared" si="289"/>
        <v>#REF!</v>
      </c>
      <c r="AZ296" s="381" t="str">
        <f t="shared" si="289"/>
        <v>#REF!</v>
      </c>
      <c r="BA296" s="381" t="str">
        <f t="shared" si="289"/>
        <v>#REF!</v>
      </c>
      <c r="BB296" s="381" t="str">
        <f t="shared" si="289"/>
        <v>#REF!</v>
      </c>
      <c r="BC296" s="381" t="str">
        <f t="shared" si="289"/>
        <v>#REF!</v>
      </c>
      <c r="BD296" s="381" t="str">
        <f t="shared" si="289"/>
        <v>#REF!</v>
      </c>
      <c r="BE296" s="381" t="str">
        <f t="shared" si="289"/>
        <v>#REF!</v>
      </c>
      <c r="BF296" s="381" t="str">
        <f t="shared" si="289"/>
        <v>#REF!</v>
      </c>
      <c r="BG296" s="381" t="str">
        <f t="shared" si="289"/>
        <v>#REF!</v>
      </c>
    </row>
    <row r="297" ht="12.75" customHeight="1" outlineLevel="1">
      <c r="A297" s="67"/>
      <c r="B297" s="67"/>
      <c r="C297" s="67"/>
      <c r="D297" s="90"/>
      <c r="E297" s="90"/>
      <c r="F297" s="90"/>
      <c r="G297" s="79"/>
      <c r="H297" s="79"/>
      <c r="I297" s="79"/>
      <c r="J297" s="79"/>
      <c r="K297" s="79"/>
      <c r="L297" s="79"/>
      <c r="M297" s="79"/>
      <c r="N297" s="79"/>
      <c r="O297" s="79"/>
      <c r="P297" s="79"/>
      <c r="Q297" s="79"/>
      <c r="R297" s="79"/>
      <c r="AT297" s="378"/>
      <c r="AU297" s="378"/>
      <c r="AV297" s="378"/>
      <c r="AW297" s="378"/>
      <c r="AX297" s="378"/>
      <c r="AY297" s="378"/>
      <c r="AZ297" s="378"/>
      <c r="BA297" s="378"/>
      <c r="BB297" s="378"/>
      <c r="BC297" s="378"/>
      <c r="BD297" s="378"/>
      <c r="BE297" s="378"/>
      <c r="BF297" s="378"/>
      <c r="BG297" s="378"/>
    </row>
    <row r="298" ht="12.75" customHeight="1" outlineLevel="1">
      <c r="A298" s="67" t="s">
        <v>304</v>
      </c>
      <c r="B298" s="90"/>
      <c r="C298" s="90"/>
      <c r="D298" s="90"/>
      <c r="E298" s="90"/>
      <c r="F298" s="90"/>
      <c r="G298" s="90"/>
      <c r="H298" s="90"/>
      <c r="I298" s="90"/>
      <c r="J298" s="90"/>
      <c r="K298" s="99"/>
      <c r="L298" s="90"/>
      <c r="M298" s="90"/>
      <c r="N298" s="90"/>
      <c r="O298" s="90"/>
      <c r="P298" s="90"/>
      <c r="Q298" s="90"/>
      <c r="R298" s="90"/>
      <c r="AT298" s="313"/>
      <c r="AU298" s="313"/>
      <c r="AV298" s="313"/>
      <c r="AW298" s="313"/>
      <c r="AX298" s="313"/>
      <c r="AY298" s="313"/>
      <c r="AZ298" s="313"/>
      <c r="BA298" s="313"/>
      <c r="BB298" s="313"/>
      <c r="BC298" s="313"/>
      <c r="BD298" s="313"/>
      <c r="BE298" s="313"/>
      <c r="BF298" s="313"/>
      <c r="BG298" s="313"/>
    </row>
    <row r="299" ht="12.75" customHeight="1" outlineLevel="1">
      <c r="A299" s="90"/>
      <c r="B299" s="67" t="s">
        <v>278</v>
      </c>
      <c r="C299" s="90"/>
      <c r="D299" s="90"/>
      <c r="E299" s="90"/>
      <c r="F299" s="90"/>
      <c r="G299" s="90"/>
      <c r="H299" s="90"/>
      <c r="I299" s="90"/>
      <c r="J299" s="90"/>
      <c r="K299" s="90"/>
      <c r="L299" s="90"/>
      <c r="M299" s="90"/>
      <c r="N299" s="90"/>
      <c r="O299" s="90"/>
      <c r="P299" s="90"/>
      <c r="Q299" s="90"/>
      <c r="R299" s="90"/>
      <c r="AT299" s="313"/>
      <c r="AU299" s="313"/>
      <c r="AV299" s="313"/>
      <c r="AW299" s="313"/>
      <c r="AX299" s="313"/>
      <c r="AY299" s="313"/>
      <c r="AZ299" s="313"/>
      <c r="BA299" s="313"/>
      <c r="BB299" s="313"/>
      <c r="BC299" s="313"/>
      <c r="BD299" s="313"/>
      <c r="BE299" s="313"/>
      <c r="BF299" s="313"/>
      <c r="BG299" s="313"/>
    </row>
    <row r="300" ht="12.75" customHeight="1" outlineLevel="1">
      <c r="A300" s="90"/>
      <c r="B300" s="67"/>
      <c r="C300" s="90" t="s">
        <v>801</v>
      </c>
      <c r="D300" s="90"/>
      <c r="E300" s="90"/>
      <c r="F300" s="90"/>
      <c r="G300" s="90"/>
      <c r="H300" s="90"/>
      <c r="I300" s="90"/>
      <c r="J300" s="90"/>
      <c r="K300" s="90"/>
      <c r="L300" s="90"/>
      <c r="M300" s="90"/>
      <c r="N300" s="90"/>
      <c r="O300" s="90"/>
      <c r="P300" s="90"/>
      <c r="Q300" s="90"/>
      <c r="R300" s="90"/>
      <c r="AT300" s="313"/>
      <c r="AU300" s="313"/>
      <c r="AV300" s="313"/>
      <c r="AW300" s="313"/>
      <c r="AX300" s="313"/>
      <c r="AY300" s="313"/>
      <c r="AZ300" s="313"/>
      <c r="BA300" s="313"/>
      <c r="BB300" s="313"/>
      <c r="BC300" s="313"/>
      <c r="BD300" s="313"/>
      <c r="BE300" s="313"/>
      <c r="BF300" s="313"/>
      <c r="BG300" s="313"/>
    </row>
    <row r="301" ht="12.75" customHeight="1" outlineLevel="1">
      <c r="A301" s="90"/>
      <c r="B301" s="67"/>
      <c r="C301" s="90"/>
      <c r="D301" s="90" t="s">
        <v>701</v>
      </c>
      <c r="E301" s="90"/>
      <c r="F301" s="90"/>
      <c r="G301" s="99">
        <f t="shared" ref="G301:R301" si="290">G139*G165</f>
        <v>0</v>
      </c>
      <c r="H301" s="99">
        <f t="shared" si="290"/>
        <v>70833.33333</v>
      </c>
      <c r="I301" s="99">
        <f t="shared" si="290"/>
        <v>83333.33333</v>
      </c>
      <c r="J301" s="99">
        <f t="shared" si="290"/>
        <v>100000</v>
      </c>
      <c r="K301" s="99">
        <f t="shared" si="290"/>
        <v>100000</v>
      </c>
      <c r="L301" s="99">
        <f t="shared" si="290"/>
        <v>100000</v>
      </c>
      <c r="M301" s="99">
        <f t="shared" si="290"/>
        <v>100000</v>
      </c>
      <c r="N301" s="99">
        <f t="shared" si="290"/>
        <v>100000</v>
      </c>
      <c r="O301" s="99">
        <f t="shared" si="290"/>
        <v>100000</v>
      </c>
      <c r="P301" s="99">
        <f t="shared" si="290"/>
        <v>100000</v>
      </c>
      <c r="Q301" s="99">
        <f t="shared" si="290"/>
        <v>100000</v>
      </c>
      <c r="R301" s="99">
        <f t="shared" si="290"/>
        <v>100000</v>
      </c>
      <c r="AT301" s="308">
        <f t="shared" ref="AT301:BG301" si="291">AT139*AT165</f>
        <v>0</v>
      </c>
      <c r="AU301" s="308">
        <f t="shared" si="291"/>
        <v>0</v>
      </c>
      <c r="AV301" s="308">
        <f t="shared" si="291"/>
        <v>0</v>
      </c>
      <c r="AW301" s="308">
        <f t="shared" si="291"/>
        <v>0</v>
      </c>
      <c r="AX301" s="308">
        <f t="shared" si="291"/>
        <v>0</v>
      </c>
      <c r="AY301" s="308">
        <f t="shared" si="291"/>
        <v>0</v>
      </c>
      <c r="AZ301" s="308">
        <f t="shared" si="291"/>
        <v>0</v>
      </c>
      <c r="BA301" s="308">
        <f t="shared" si="291"/>
        <v>0</v>
      </c>
      <c r="BB301" s="308">
        <f t="shared" si="291"/>
        <v>0</v>
      </c>
      <c r="BC301" s="308">
        <f t="shared" si="291"/>
        <v>0</v>
      </c>
      <c r="BD301" s="308">
        <f t="shared" si="291"/>
        <v>0</v>
      </c>
      <c r="BE301" s="308">
        <f t="shared" si="291"/>
        <v>0</v>
      </c>
      <c r="BF301" s="308">
        <f t="shared" si="291"/>
        <v>0</v>
      </c>
      <c r="BG301" s="308">
        <f t="shared" si="291"/>
        <v>0</v>
      </c>
    </row>
    <row r="302" ht="12.75" customHeight="1" outlineLevel="1">
      <c r="A302" s="90"/>
      <c r="B302" s="67"/>
      <c r="C302" s="90"/>
      <c r="D302" s="90" t="s">
        <v>721</v>
      </c>
      <c r="E302" s="90"/>
      <c r="F302" s="90"/>
      <c r="G302" s="99">
        <f t="shared" ref="G302:R302" si="292">G140*G166</f>
        <v>0</v>
      </c>
      <c r="H302" s="99">
        <f t="shared" si="292"/>
        <v>0</v>
      </c>
      <c r="I302" s="99">
        <f t="shared" si="292"/>
        <v>0</v>
      </c>
      <c r="J302" s="99">
        <f t="shared" si="292"/>
        <v>0</v>
      </c>
      <c r="K302" s="99">
        <f t="shared" si="292"/>
        <v>0</v>
      </c>
      <c r="L302" s="99">
        <f t="shared" si="292"/>
        <v>0</v>
      </c>
      <c r="M302" s="99">
        <f t="shared" si="292"/>
        <v>0</v>
      </c>
      <c r="N302" s="99">
        <f t="shared" si="292"/>
        <v>0</v>
      </c>
      <c r="O302" s="99">
        <f t="shared" si="292"/>
        <v>0</v>
      </c>
      <c r="P302" s="99">
        <f t="shared" si="292"/>
        <v>0</v>
      </c>
      <c r="Q302" s="99">
        <f t="shared" si="292"/>
        <v>0</v>
      </c>
      <c r="R302" s="99">
        <f t="shared" si="292"/>
        <v>0</v>
      </c>
      <c r="AT302" s="308">
        <f t="shared" ref="AT302:BG302" si="293">AT140*AT166</f>
        <v>0</v>
      </c>
      <c r="AU302" s="308">
        <f t="shared" si="293"/>
        <v>0</v>
      </c>
      <c r="AV302" s="308">
        <f t="shared" si="293"/>
        <v>0</v>
      </c>
      <c r="AW302" s="308">
        <f t="shared" si="293"/>
        <v>0</v>
      </c>
      <c r="AX302" s="308">
        <f t="shared" si="293"/>
        <v>0</v>
      </c>
      <c r="AY302" s="308">
        <f t="shared" si="293"/>
        <v>0</v>
      </c>
      <c r="AZ302" s="308">
        <f t="shared" si="293"/>
        <v>0</v>
      </c>
      <c r="BA302" s="308">
        <f t="shared" si="293"/>
        <v>0</v>
      </c>
      <c r="BB302" s="308">
        <f t="shared" si="293"/>
        <v>0</v>
      </c>
      <c r="BC302" s="308">
        <f t="shared" si="293"/>
        <v>0</v>
      </c>
      <c r="BD302" s="308">
        <f t="shared" si="293"/>
        <v>0</v>
      </c>
      <c r="BE302" s="308">
        <f t="shared" si="293"/>
        <v>0</v>
      </c>
      <c r="BF302" s="308">
        <f t="shared" si="293"/>
        <v>0</v>
      </c>
      <c r="BG302" s="308">
        <f t="shared" si="293"/>
        <v>0</v>
      </c>
    </row>
    <row r="303" ht="12.75" customHeight="1" outlineLevel="1">
      <c r="A303" s="90"/>
      <c r="B303" s="67"/>
      <c r="C303" s="90"/>
      <c r="D303" s="90" t="s">
        <v>802</v>
      </c>
      <c r="E303" s="90"/>
      <c r="F303" s="90"/>
      <c r="G303" s="99">
        <f t="shared" ref="G303:R303" si="294">G141*G167</f>
        <v>0</v>
      </c>
      <c r="H303" s="99">
        <f t="shared" si="294"/>
        <v>0</v>
      </c>
      <c r="I303" s="99">
        <f t="shared" si="294"/>
        <v>0</v>
      </c>
      <c r="J303" s="99">
        <f t="shared" si="294"/>
        <v>0</v>
      </c>
      <c r="K303" s="99">
        <f t="shared" si="294"/>
        <v>0</v>
      </c>
      <c r="L303" s="99">
        <f t="shared" si="294"/>
        <v>0</v>
      </c>
      <c r="M303" s="99">
        <f t="shared" si="294"/>
        <v>0</v>
      </c>
      <c r="N303" s="99">
        <f t="shared" si="294"/>
        <v>0</v>
      </c>
      <c r="O303" s="99">
        <f t="shared" si="294"/>
        <v>0</v>
      </c>
      <c r="P303" s="99">
        <f t="shared" si="294"/>
        <v>0</v>
      </c>
      <c r="Q303" s="99">
        <f t="shared" si="294"/>
        <v>0</v>
      </c>
      <c r="R303" s="99">
        <f t="shared" si="294"/>
        <v>0</v>
      </c>
      <c r="AT303" s="308">
        <f t="shared" ref="AT303:BG303" si="295">AT141*AT167</f>
        <v>0</v>
      </c>
      <c r="AU303" s="308">
        <f t="shared" si="295"/>
        <v>0</v>
      </c>
      <c r="AV303" s="308">
        <f t="shared" si="295"/>
        <v>0</v>
      </c>
      <c r="AW303" s="308">
        <f t="shared" si="295"/>
        <v>0</v>
      </c>
      <c r="AX303" s="308">
        <f t="shared" si="295"/>
        <v>0</v>
      </c>
      <c r="AY303" s="308">
        <f t="shared" si="295"/>
        <v>0</v>
      </c>
      <c r="AZ303" s="308">
        <f t="shared" si="295"/>
        <v>0</v>
      </c>
      <c r="BA303" s="308">
        <f t="shared" si="295"/>
        <v>0</v>
      </c>
      <c r="BB303" s="308">
        <f t="shared" si="295"/>
        <v>0</v>
      </c>
      <c r="BC303" s="308">
        <f t="shared" si="295"/>
        <v>0</v>
      </c>
      <c r="BD303" s="308">
        <f t="shared" si="295"/>
        <v>0</v>
      </c>
      <c r="BE303" s="308">
        <f t="shared" si="295"/>
        <v>0</v>
      </c>
      <c r="BF303" s="308">
        <f t="shared" si="295"/>
        <v>0</v>
      </c>
      <c r="BG303" s="308">
        <f t="shared" si="295"/>
        <v>0</v>
      </c>
    </row>
    <row r="304" ht="12.75" customHeight="1" outlineLevel="1">
      <c r="A304" s="90"/>
      <c r="B304" s="67"/>
      <c r="C304" s="90"/>
      <c r="D304" s="90" t="s">
        <v>722</v>
      </c>
      <c r="E304" s="90"/>
      <c r="F304" s="90"/>
      <c r="G304" s="99">
        <f t="shared" ref="G304:R304" si="296">G145*G168</f>
        <v>0</v>
      </c>
      <c r="H304" s="99">
        <f t="shared" si="296"/>
        <v>0</v>
      </c>
      <c r="I304" s="99">
        <f t="shared" si="296"/>
        <v>94000</v>
      </c>
      <c r="J304" s="99">
        <f t="shared" si="296"/>
        <v>193000</v>
      </c>
      <c r="K304" s="99">
        <f t="shared" si="296"/>
        <v>241250</v>
      </c>
      <c r="L304" s="99">
        <f t="shared" si="296"/>
        <v>241250</v>
      </c>
      <c r="M304" s="99">
        <f t="shared" si="296"/>
        <v>241250</v>
      </c>
      <c r="N304" s="99">
        <f t="shared" si="296"/>
        <v>241250</v>
      </c>
      <c r="O304" s="99">
        <f t="shared" si="296"/>
        <v>241250</v>
      </c>
      <c r="P304" s="99">
        <f t="shared" si="296"/>
        <v>241250</v>
      </c>
      <c r="Q304" s="99">
        <f t="shared" si="296"/>
        <v>241250</v>
      </c>
      <c r="R304" s="99">
        <f t="shared" si="296"/>
        <v>241250</v>
      </c>
      <c r="AT304" s="308">
        <f t="shared" ref="AT304:BG304" si="297">AT145*AT168</f>
        <v>0</v>
      </c>
      <c r="AU304" s="308">
        <f t="shared" si="297"/>
        <v>0</v>
      </c>
      <c r="AV304" s="308">
        <f t="shared" si="297"/>
        <v>0</v>
      </c>
      <c r="AW304" s="308">
        <f t="shared" si="297"/>
        <v>0</v>
      </c>
      <c r="AX304" s="308">
        <f t="shared" si="297"/>
        <v>0</v>
      </c>
      <c r="AY304" s="308">
        <f t="shared" si="297"/>
        <v>0</v>
      </c>
      <c r="AZ304" s="308">
        <f t="shared" si="297"/>
        <v>0</v>
      </c>
      <c r="BA304" s="308">
        <f t="shared" si="297"/>
        <v>0</v>
      </c>
      <c r="BB304" s="308">
        <f t="shared" si="297"/>
        <v>0</v>
      </c>
      <c r="BC304" s="308">
        <f t="shared" si="297"/>
        <v>0</v>
      </c>
      <c r="BD304" s="308">
        <f t="shared" si="297"/>
        <v>0</v>
      </c>
      <c r="BE304" s="308">
        <f t="shared" si="297"/>
        <v>0</v>
      </c>
      <c r="BF304" s="308">
        <f t="shared" si="297"/>
        <v>0</v>
      </c>
      <c r="BG304" s="308">
        <f t="shared" si="297"/>
        <v>0</v>
      </c>
    </row>
    <row r="305" ht="12.75" customHeight="1" outlineLevel="1">
      <c r="A305" s="90"/>
      <c r="B305" s="67"/>
      <c r="C305" s="90"/>
      <c r="D305" s="90" t="s">
        <v>707</v>
      </c>
      <c r="E305" s="90"/>
      <c r="F305" s="90"/>
      <c r="G305" s="99">
        <f t="shared" ref="G305:R305" si="298">G146*G169</f>
        <v>0</v>
      </c>
      <c r="H305" s="99">
        <f t="shared" si="298"/>
        <v>0</v>
      </c>
      <c r="I305" s="99">
        <f t="shared" si="298"/>
        <v>406000</v>
      </c>
      <c r="J305" s="99">
        <f t="shared" si="298"/>
        <v>290000</v>
      </c>
      <c r="K305" s="99">
        <f t="shared" si="298"/>
        <v>290000</v>
      </c>
      <c r="L305" s="99">
        <f t="shared" si="298"/>
        <v>290000</v>
      </c>
      <c r="M305" s="99">
        <f t="shared" si="298"/>
        <v>290000</v>
      </c>
      <c r="N305" s="99">
        <f t="shared" si="298"/>
        <v>290000</v>
      </c>
      <c r="O305" s="99">
        <f t="shared" si="298"/>
        <v>290000</v>
      </c>
      <c r="P305" s="99">
        <f t="shared" si="298"/>
        <v>290000</v>
      </c>
      <c r="Q305" s="99">
        <f t="shared" si="298"/>
        <v>290000</v>
      </c>
      <c r="R305" s="99">
        <f t="shared" si="298"/>
        <v>290000</v>
      </c>
      <c r="AT305" s="308">
        <f t="shared" ref="AT305:BG305" si="299">AT146*AT169</f>
        <v>0</v>
      </c>
      <c r="AU305" s="308">
        <f t="shared" si="299"/>
        <v>0</v>
      </c>
      <c r="AV305" s="308">
        <f t="shared" si="299"/>
        <v>0</v>
      </c>
      <c r="AW305" s="308">
        <f t="shared" si="299"/>
        <v>0</v>
      </c>
      <c r="AX305" s="308">
        <f t="shared" si="299"/>
        <v>0</v>
      </c>
      <c r="AY305" s="308">
        <f t="shared" si="299"/>
        <v>0</v>
      </c>
      <c r="AZ305" s="308">
        <f t="shared" si="299"/>
        <v>0</v>
      </c>
      <c r="BA305" s="308">
        <f t="shared" si="299"/>
        <v>0</v>
      </c>
      <c r="BB305" s="308">
        <f t="shared" si="299"/>
        <v>0</v>
      </c>
      <c r="BC305" s="308">
        <f t="shared" si="299"/>
        <v>0</v>
      </c>
      <c r="BD305" s="308">
        <f t="shared" si="299"/>
        <v>0</v>
      </c>
      <c r="BE305" s="308">
        <f t="shared" si="299"/>
        <v>0</v>
      </c>
      <c r="BF305" s="308">
        <f t="shared" si="299"/>
        <v>0</v>
      </c>
      <c r="BG305" s="308">
        <f t="shared" si="299"/>
        <v>0</v>
      </c>
    </row>
    <row r="306" ht="12.75" customHeight="1" outlineLevel="1">
      <c r="A306" s="90"/>
      <c r="B306" s="67"/>
      <c r="C306" s="90"/>
      <c r="D306" s="90" t="s">
        <v>702</v>
      </c>
      <c r="E306" s="90"/>
      <c r="F306" s="90"/>
      <c r="G306" s="99">
        <f t="shared" ref="G306:R306" si="300">G140*G170</f>
        <v>0</v>
      </c>
      <c r="H306" s="99">
        <f t="shared" si="300"/>
        <v>0</v>
      </c>
      <c r="I306" s="99">
        <f t="shared" si="300"/>
        <v>67000</v>
      </c>
      <c r="J306" s="99">
        <f t="shared" si="300"/>
        <v>83333.33333</v>
      </c>
      <c r="K306" s="99">
        <f t="shared" si="300"/>
        <v>83333.33333</v>
      </c>
      <c r="L306" s="99">
        <f t="shared" si="300"/>
        <v>83333.33333</v>
      </c>
      <c r="M306" s="99">
        <f t="shared" si="300"/>
        <v>83333.33333</v>
      </c>
      <c r="N306" s="99">
        <f t="shared" si="300"/>
        <v>83333.33333</v>
      </c>
      <c r="O306" s="99">
        <f t="shared" si="300"/>
        <v>83333.33333</v>
      </c>
      <c r="P306" s="99">
        <f t="shared" si="300"/>
        <v>83333.33333</v>
      </c>
      <c r="Q306" s="99">
        <f t="shared" si="300"/>
        <v>83333.33333</v>
      </c>
      <c r="R306" s="99">
        <f t="shared" si="300"/>
        <v>83333.33333</v>
      </c>
      <c r="AT306" s="308">
        <f t="shared" ref="AT306:BG306" si="301">AT140*AT170</f>
        <v>0</v>
      </c>
      <c r="AU306" s="308">
        <f t="shared" si="301"/>
        <v>0</v>
      </c>
      <c r="AV306" s="308">
        <f t="shared" si="301"/>
        <v>0</v>
      </c>
      <c r="AW306" s="308">
        <f t="shared" si="301"/>
        <v>0</v>
      </c>
      <c r="AX306" s="308">
        <f t="shared" si="301"/>
        <v>0</v>
      </c>
      <c r="AY306" s="308">
        <f t="shared" si="301"/>
        <v>0</v>
      </c>
      <c r="AZ306" s="308">
        <f t="shared" si="301"/>
        <v>0</v>
      </c>
      <c r="BA306" s="308">
        <f t="shared" si="301"/>
        <v>0</v>
      </c>
      <c r="BB306" s="308">
        <f t="shared" si="301"/>
        <v>0</v>
      </c>
      <c r="BC306" s="308">
        <f t="shared" si="301"/>
        <v>0</v>
      </c>
      <c r="BD306" s="308">
        <f t="shared" si="301"/>
        <v>0</v>
      </c>
      <c r="BE306" s="308">
        <f t="shared" si="301"/>
        <v>0</v>
      </c>
      <c r="BF306" s="308">
        <f t="shared" si="301"/>
        <v>0</v>
      </c>
      <c r="BG306" s="308">
        <f t="shared" si="301"/>
        <v>0</v>
      </c>
    </row>
    <row r="307" ht="12.75" customHeight="1" outlineLevel="1">
      <c r="A307" s="90"/>
      <c r="B307" s="67"/>
      <c r="C307" s="87"/>
      <c r="D307" s="87" t="s">
        <v>803</v>
      </c>
      <c r="E307" s="87"/>
      <c r="F307" s="87"/>
      <c r="G307" s="125">
        <f t="shared" ref="G307:R307" si="302">10*G171*G148</f>
        <v>0</v>
      </c>
      <c r="H307" s="125">
        <f t="shared" si="302"/>
        <v>0</v>
      </c>
      <c r="I307" s="125">
        <f t="shared" si="302"/>
        <v>0</v>
      </c>
      <c r="J307" s="125">
        <f t="shared" si="302"/>
        <v>0</v>
      </c>
      <c r="K307" s="125">
        <f t="shared" si="302"/>
        <v>0</v>
      </c>
      <c r="L307" s="125">
        <f t="shared" si="302"/>
        <v>0</v>
      </c>
      <c r="M307" s="125">
        <f t="shared" si="302"/>
        <v>0</v>
      </c>
      <c r="N307" s="125">
        <f t="shared" si="302"/>
        <v>0</v>
      </c>
      <c r="O307" s="125">
        <f t="shared" si="302"/>
        <v>0</v>
      </c>
      <c r="P307" s="125">
        <f t="shared" si="302"/>
        <v>0</v>
      </c>
      <c r="Q307" s="125">
        <f t="shared" si="302"/>
        <v>0</v>
      </c>
      <c r="R307" s="125">
        <f t="shared" si="302"/>
        <v>0</v>
      </c>
      <c r="AT307" s="377">
        <f t="shared" ref="AT307:BG307" si="303">10*AT171*AT148</f>
        <v>0</v>
      </c>
      <c r="AU307" s="377">
        <f t="shared" si="303"/>
        <v>0</v>
      </c>
      <c r="AV307" s="377">
        <f t="shared" si="303"/>
        <v>0</v>
      </c>
      <c r="AW307" s="377">
        <f t="shared" si="303"/>
        <v>0</v>
      </c>
      <c r="AX307" s="377">
        <f t="shared" si="303"/>
        <v>0</v>
      </c>
      <c r="AY307" s="377">
        <f t="shared" si="303"/>
        <v>0</v>
      </c>
      <c r="AZ307" s="377">
        <f t="shared" si="303"/>
        <v>0</v>
      </c>
      <c r="BA307" s="377">
        <f t="shared" si="303"/>
        <v>0</v>
      </c>
      <c r="BB307" s="377">
        <f t="shared" si="303"/>
        <v>0</v>
      </c>
      <c r="BC307" s="377">
        <f t="shared" si="303"/>
        <v>0</v>
      </c>
      <c r="BD307" s="377">
        <f t="shared" si="303"/>
        <v>0</v>
      </c>
      <c r="BE307" s="377">
        <f t="shared" si="303"/>
        <v>0</v>
      </c>
      <c r="BF307" s="377">
        <f t="shared" si="303"/>
        <v>0</v>
      </c>
      <c r="BG307" s="377">
        <f t="shared" si="303"/>
        <v>0</v>
      </c>
    </row>
    <row r="308" ht="12.75" customHeight="1" outlineLevel="1">
      <c r="A308" s="90"/>
      <c r="B308" s="67"/>
      <c r="C308" s="90" t="s">
        <v>804</v>
      </c>
      <c r="D308" s="90"/>
      <c r="E308" s="90"/>
      <c r="F308" s="90"/>
      <c r="G308" s="99">
        <f t="shared" ref="G308:R308" si="304">SUM(G301:G307)</f>
        <v>0</v>
      </c>
      <c r="H308" s="99">
        <f t="shared" si="304"/>
        <v>70833.33333</v>
      </c>
      <c r="I308" s="99">
        <f t="shared" si="304"/>
        <v>650333.3333</v>
      </c>
      <c r="J308" s="99">
        <f t="shared" si="304"/>
        <v>666333.3333</v>
      </c>
      <c r="K308" s="99">
        <f t="shared" si="304"/>
        <v>714583.3333</v>
      </c>
      <c r="L308" s="99">
        <f t="shared" si="304"/>
        <v>714583.3333</v>
      </c>
      <c r="M308" s="99">
        <f t="shared" si="304"/>
        <v>714583.3333</v>
      </c>
      <c r="N308" s="99">
        <f t="shared" si="304"/>
        <v>714583.3333</v>
      </c>
      <c r="O308" s="99">
        <f t="shared" si="304"/>
        <v>714583.3333</v>
      </c>
      <c r="P308" s="99">
        <f t="shared" si="304"/>
        <v>714583.3333</v>
      </c>
      <c r="Q308" s="99">
        <f t="shared" si="304"/>
        <v>714583.3333</v>
      </c>
      <c r="R308" s="99">
        <f t="shared" si="304"/>
        <v>714583.3333</v>
      </c>
      <c r="AT308" s="308">
        <f t="shared" ref="AT308:BG308" si="305">SUM(AT301:AT307)</f>
        <v>0</v>
      </c>
      <c r="AU308" s="308">
        <f t="shared" si="305"/>
        <v>0</v>
      </c>
      <c r="AV308" s="308">
        <f t="shared" si="305"/>
        <v>0</v>
      </c>
      <c r="AW308" s="308">
        <f t="shared" si="305"/>
        <v>0</v>
      </c>
      <c r="AX308" s="308">
        <f t="shared" si="305"/>
        <v>0</v>
      </c>
      <c r="AY308" s="308">
        <f t="shared" si="305"/>
        <v>0</v>
      </c>
      <c r="AZ308" s="308">
        <f t="shared" si="305"/>
        <v>0</v>
      </c>
      <c r="BA308" s="308">
        <f t="shared" si="305"/>
        <v>0</v>
      </c>
      <c r="BB308" s="308">
        <f t="shared" si="305"/>
        <v>0</v>
      </c>
      <c r="BC308" s="308">
        <f t="shared" si="305"/>
        <v>0</v>
      </c>
      <c r="BD308" s="308">
        <f t="shared" si="305"/>
        <v>0</v>
      </c>
      <c r="BE308" s="308">
        <f t="shared" si="305"/>
        <v>0</v>
      </c>
      <c r="BF308" s="308">
        <f t="shared" si="305"/>
        <v>0</v>
      </c>
      <c r="BG308" s="308">
        <f t="shared" si="305"/>
        <v>0</v>
      </c>
    </row>
    <row r="309" ht="12.75" customHeight="1" outlineLevel="1">
      <c r="A309" s="90"/>
      <c r="B309" s="67"/>
      <c r="C309" s="90"/>
      <c r="D309" s="90"/>
      <c r="E309" s="90"/>
      <c r="F309" s="90"/>
      <c r="G309" s="99"/>
      <c r="H309" s="99"/>
      <c r="I309" s="99"/>
      <c r="J309" s="99"/>
      <c r="K309" s="99"/>
      <c r="L309" s="99"/>
      <c r="M309" s="99"/>
      <c r="N309" s="99"/>
      <c r="O309" s="99"/>
      <c r="P309" s="99"/>
      <c r="Q309" s="99"/>
      <c r="R309" s="99"/>
      <c r="AT309" s="308"/>
      <c r="AU309" s="308"/>
      <c r="AV309" s="308"/>
      <c r="AW309" s="308"/>
      <c r="AX309" s="308"/>
      <c r="AY309" s="308"/>
      <c r="AZ309" s="308"/>
      <c r="BA309" s="308"/>
      <c r="BB309" s="308"/>
      <c r="BC309" s="308"/>
      <c r="BD309" s="308"/>
      <c r="BE309" s="308"/>
      <c r="BF309" s="308"/>
      <c r="BG309" s="308"/>
    </row>
    <row r="310" ht="12.75" customHeight="1" outlineLevel="1">
      <c r="A310" s="90"/>
      <c r="B310" s="67"/>
      <c r="C310" s="90" t="s">
        <v>805</v>
      </c>
      <c r="D310" s="90"/>
      <c r="E310" s="90"/>
      <c r="F310" s="90"/>
      <c r="G310" s="99"/>
      <c r="H310" s="99"/>
      <c r="I310" s="99"/>
      <c r="J310" s="99"/>
      <c r="K310" s="99"/>
      <c r="L310" s="99"/>
      <c r="M310" s="99"/>
      <c r="N310" s="99"/>
      <c r="O310" s="99"/>
      <c r="P310" s="99"/>
      <c r="Q310" s="99"/>
      <c r="R310" s="99"/>
      <c r="AT310" s="308"/>
      <c r="AU310" s="308"/>
      <c r="AV310" s="308"/>
      <c r="AW310" s="308"/>
      <c r="AX310" s="308"/>
      <c r="AY310" s="308"/>
      <c r="AZ310" s="308"/>
      <c r="BA310" s="308"/>
      <c r="BB310" s="308"/>
      <c r="BC310" s="308"/>
      <c r="BD310" s="308"/>
      <c r="BE310" s="308"/>
      <c r="BF310" s="308"/>
      <c r="BG310" s="308"/>
    </row>
    <row r="311" ht="12.75" customHeight="1" outlineLevel="1">
      <c r="A311" s="90"/>
      <c r="B311" s="90"/>
      <c r="C311" s="90"/>
      <c r="D311" s="90" t="s">
        <v>711</v>
      </c>
      <c r="E311" s="90"/>
      <c r="F311" s="90"/>
      <c r="G311" s="99">
        <f t="shared" ref="G311:R311" si="306">G151*G172</f>
        <v>0</v>
      </c>
      <c r="H311" s="99">
        <f t="shared" si="306"/>
        <v>24000</v>
      </c>
      <c r="I311" s="99">
        <f t="shared" si="306"/>
        <v>48000</v>
      </c>
      <c r="J311" s="99">
        <f t="shared" si="306"/>
        <v>48000</v>
      </c>
      <c r="K311" s="99">
        <f t="shared" si="306"/>
        <v>48000</v>
      </c>
      <c r="L311" s="99">
        <f t="shared" si="306"/>
        <v>48000</v>
      </c>
      <c r="M311" s="99">
        <f t="shared" si="306"/>
        <v>48000</v>
      </c>
      <c r="N311" s="99">
        <f t="shared" si="306"/>
        <v>48000</v>
      </c>
      <c r="O311" s="99">
        <f t="shared" si="306"/>
        <v>48000</v>
      </c>
      <c r="P311" s="99">
        <f t="shared" si="306"/>
        <v>48000</v>
      </c>
      <c r="Q311" s="99">
        <f t="shared" si="306"/>
        <v>48000</v>
      </c>
      <c r="R311" s="99">
        <f t="shared" si="306"/>
        <v>48000</v>
      </c>
      <c r="AT311" s="308">
        <f t="shared" ref="AT311:BG311" si="307">AT151*AT172</f>
        <v>0</v>
      </c>
      <c r="AU311" s="308">
        <f t="shared" si="307"/>
        <v>0</v>
      </c>
      <c r="AV311" s="308">
        <f t="shared" si="307"/>
        <v>0</v>
      </c>
      <c r="AW311" s="308">
        <f t="shared" si="307"/>
        <v>0</v>
      </c>
      <c r="AX311" s="308">
        <f t="shared" si="307"/>
        <v>0</v>
      </c>
      <c r="AY311" s="308">
        <f t="shared" si="307"/>
        <v>0</v>
      </c>
      <c r="AZ311" s="308">
        <f t="shared" si="307"/>
        <v>0</v>
      </c>
      <c r="BA311" s="308">
        <f t="shared" si="307"/>
        <v>0</v>
      </c>
      <c r="BB311" s="308">
        <f t="shared" si="307"/>
        <v>0</v>
      </c>
      <c r="BC311" s="308">
        <f t="shared" si="307"/>
        <v>0</v>
      </c>
      <c r="BD311" s="308">
        <f t="shared" si="307"/>
        <v>0</v>
      </c>
      <c r="BE311" s="308">
        <f t="shared" si="307"/>
        <v>0</v>
      </c>
      <c r="BF311" s="308">
        <f t="shared" si="307"/>
        <v>0</v>
      </c>
      <c r="BG311" s="308">
        <f t="shared" si="307"/>
        <v>0</v>
      </c>
    </row>
    <row r="312" ht="12.75" customHeight="1" outlineLevel="1">
      <c r="A312" s="90"/>
      <c r="B312" s="90"/>
      <c r="C312" s="90"/>
      <c r="D312" s="90" t="s">
        <v>712</v>
      </c>
      <c r="E312" s="90"/>
      <c r="F312" s="90"/>
      <c r="G312" s="99">
        <f t="shared" ref="G312:R312" si="308">G152*G173</f>
        <v>0</v>
      </c>
      <c r="H312" s="99">
        <f t="shared" si="308"/>
        <v>0</v>
      </c>
      <c r="I312" s="99">
        <f t="shared" si="308"/>
        <v>50000</v>
      </c>
      <c r="J312" s="99">
        <f t="shared" si="308"/>
        <v>50000</v>
      </c>
      <c r="K312" s="99">
        <f t="shared" si="308"/>
        <v>50000</v>
      </c>
      <c r="L312" s="99">
        <f t="shared" si="308"/>
        <v>50000</v>
      </c>
      <c r="M312" s="99">
        <f t="shared" si="308"/>
        <v>50000</v>
      </c>
      <c r="N312" s="99">
        <f t="shared" si="308"/>
        <v>50000</v>
      </c>
      <c r="O312" s="99">
        <f t="shared" si="308"/>
        <v>50000</v>
      </c>
      <c r="P312" s="99">
        <f t="shared" si="308"/>
        <v>50000</v>
      </c>
      <c r="Q312" s="99">
        <f t="shared" si="308"/>
        <v>50000</v>
      </c>
      <c r="R312" s="99">
        <f t="shared" si="308"/>
        <v>50000</v>
      </c>
      <c r="AT312" s="308">
        <f t="shared" ref="AT312:BG312" si="309">AT152*AT173</f>
        <v>0</v>
      </c>
      <c r="AU312" s="308">
        <f t="shared" si="309"/>
        <v>0</v>
      </c>
      <c r="AV312" s="308">
        <f t="shared" si="309"/>
        <v>0</v>
      </c>
      <c r="AW312" s="308">
        <f t="shared" si="309"/>
        <v>0</v>
      </c>
      <c r="AX312" s="308">
        <f t="shared" si="309"/>
        <v>0</v>
      </c>
      <c r="AY312" s="308">
        <f t="shared" si="309"/>
        <v>0</v>
      </c>
      <c r="AZ312" s="308">
        <f t="shared" si="309"/>
        <v>0</v>
      </c>
      <c r="BA312" s="308">
        <f t="shared" si="309"/>
        <v>0</v>
      </c>
      <c r="BB312" s="308">
        <f t="shared" si="309"/>
        <v>0</v>
      </c>
      <c r="BC312" s="308">
        <f t="shared" si="309"/>
        <v>0</v>
      </c>
      <c r="BD312" s="308">
        <f t="shared" si="309"/>
        <v>0</v>
      </c>
      <c r="BE312" s="308">
        <f t="shared" si="309"/>
        <v>0</v>
      </c>
      <c r="BF312" s="308">
        <f t="shared" si="309"/>
        <v>0</v>
      </c>
      <c r="BG312" s="308">
        <f t="shared" si="309"/>
        <v>0</v>
      </c>
    </row>
    <row r="313" ht="12.75" customHeight="1" outlineLevel="1">
      <c r="A313" s="90"/>
      <c r="B313" s="67"/>
      <c r="C313" s="90"/>
      <c r="D313" s="90" t="s">
        <v>713</v>
      </c>
      <c r="E313" s="90"/>
      <c r="F313" s="90"/>
      <c r="G313" s="99">
        <f t="shared" ref="G313:R313" si="310">G153*G174</f>
        <v>0</v>
      </c>
      <c r="H313" s="99">
        <f t="shared" si="310"/>
        <v>0</v>
      </c>
      <c r="I313" s="99">
        <f t="shared" si="310"/>
        <v>21600</v>
      </c>
      <c r="J313" s="99">
        <f t="shared" si="310"/>
        <v>21600</v>
      </c>
      <c r="K313" s="99">
        <f t="shared" si="310"/>
        <v>21600</v>
      </c>
      <c r="L313" s="99">
        <f t="shared" si="310"/>
        <v>21600</v>
      </c>
      <c r="M313" s="99">
        <f t="shared" si="310"/>
        <v>21600</v>
      </c>
      <c r="N313" s="99">
        <f t="shared" si="310"/>
        <v>21600</v>
      </c>
      <c r="O313" s="99">
        <f t="shared" si="310"/>
        <v>21600</v>
      </c>
      <c r="P313" s="99">
        <f t="shared" si="310"/>
        <v>21600</v>
      </c>
      <c r="Q313" s="99">
        <f t="shared" si="310"/>
        <v>21600</v>
      </c>
      <c r="R313" s="99">
        <f t="shared" si="310"/>
        <v>21600</v>
      </c>
      <c r="AT313" s="308" t="str">
        <f>'RS3'!AW313</f>
        <v/>
      </c>
      <c r="AU313" s="308" t="str">
        <f>'RS3'!AX313</f>
        <v/>
      </c>
      <c r="AV313" s="308" t="str">
        <f>'RS3'!AY313</f>
        <v/>
      </c>
      <c r="AW313" s="308" t="str">
        <f>'RS3'!AZ313</f>
        <v/>
      </c>
      <c r="AX313" s="308" t="str">
        <f>'RS3'!BA313</f>
        <v/>
      </c>
      <c r="AY313" s="308" t="str">
        <f>'RS3'!BB313</f>
        <v/>
      </c>
      <c r="AZ313" s="308" t="str">
        <f>'RS3'!BC313</f>
        <v/>
      </c>
      <c r="BA313" s="308" t="str">
        <f>'RS3'!BD313</f>
        <v/>
      </c>
      <c r="BB313" s="308" t="str">
        <f>'RS3'!BE313</f>
        <v/>
      </c>
      <c r="BC313" s="308" t="str">
        <f>'RS3'!BF313</f>
        <v/>
      </c>
      <c r="BD313" s="308" t="str">
        <f>'RS3'!BG313</f>
        <v/>
      </c>
      <c r="BE313" s="308" t="str">
        <f>'RS3'!BH313</f>
        <v/>
      </c>
      <c r="BF313" s="308" t="str">
        <f>'RS3'!BI313</f>
        <v/>
      </c>
      <c r="BG313" s="308" t="str">
        <f>'RS3'!BJ313</f>
        <v/>
      </c>
    </row>
    <row r="314" ht="12.75" customHeight="1" outlineLevel="1">
      <c r="A314" s="90"/>
      <c r="B314" s="67"/>
      <c r="C314" s="87"/>
      <c r="D314" s="87" t="s">
        <v>714</v>
      </c>
      <c r="E314" s="87"/>
      <c r="F314" s="87"/>
      <c r="G314" s="125">
        <f t="shared" ref="G314:R314" si="311">G154*G175</f>
        <v>0</v>
      </c>
      <c r="H314" s="125">
        <f t="shared" si="311"/>
        <v>0</v>
      </c>
      <c r="I314" s="125">
        <f t="shared" si="311"/>
        <v>39600</v>
      </c>
      <c r="J314" s="125">
        <f t="shared" si="311"/>
        <v>39600</v>
      </c>
      <c r="K314" s="125">
        <f t="shared" si="311"/>
        <v>39600</v>
      </c>
      <c r="L314" s="125">
        <f t="shared" si="311"/>
        <v>39600</v>
      </c>
      <c r="M314" s="125">
        <f t="shared" si="311"/>
        <v>39600</v>
      </c>
      <c r="N314" s="125">
        <f t="shared" si="311"/>
        <v>39600</v>
      </c>
      <c r="O314" s="125">
        <f t="shared" si="311"/>
        <v>39600</v>
      </c>
      <c r="P314" s="125">
        <f t="shared" si="311"/>
        <v>39600</v>
      </c>
      <c r="Q314" s="125">
        <f t="shared" si="311"/>
        <v>39600</v>
      </c>
      <c r="R314" s="125">
        <f t="shared" si="311"/>
        <v>39600</v>
      </c>
      <c r="AT314" s="377">
        <f t="shared" ref="AT314:BG314" si="312">AT154*AT175</f>
        <v>0</v>
      </c>
      <c r="AU314" s="377">
        <f t="shared" si="312"/>
        <v>0</v>
      </c>
      <c r="AV314" s="377">
        <f t="shared" si="312"/>
        <v>0</v>
      </c>
      <c r="AW314" s="377">
        <f t="shared" si="312"/>
        <v>0</v>
      </c>
      <c r="AX314" s="377">
        <f t="shared" si="312"/>
        <v>0</v>
      </c>
      <c r="AY314" s="377">
        <f t="shared" si="312"/>
        <v>0</v>
      </c>
      <c r="AZ314" s="377">
        <f t="shared" si="312"/>
        <v>0</v>
      </c>
      <c r="BA314" s="377">
        <f t="shared" si="312"/>
        <v>0</v>
      </c>
      <c r="BB314" s="377">
        <f t="shared" si="312"/>
        <v>0</v>
      </c>
      <c r="BC314" s="377">
        <f t="shared" si="312"/>
        <v>0</v>
      </c>
      <c r="BD314" s="377">
        <f t="shared" si="312"/>
        <v>0</v>
      </c>
      <c r="BE314" s="377">
        <f t="shared" si="312"/>
        <v>0</v>
      </c>
      <c r="BF314" s="377">
        <f t="shared" si="312"/>
        <v>0</v>
      </c>
      <c r="BG314" s="377">
        <f t="shared" si="312"/>
        <v>0</v>
      </c>
    </row>
    <row r="315" ht="12.75" customHeight="1" outlineLevel="1">
      <c r="A315" s="90"/>
      <c r="B315" s="67"/>
      <c r="C315" s="90" t="s">
        <v>806</v>
      </c>
      <c r="D315" s="90"/>
      <c r="E315" s="90"/>
      <c r="F315" s="90"/>
      <c r="G315" s="99">
        <f t="shared" ref="G315:R315" si="313">SUM(G311:G314)</f>
        <v>0</v>
      </c>
      <c r="H315" s="99">
        <f t="shared" si="313"/>
        <v>24000</v>
      </c>
      <c r="I315" s="99">
        <f t="shared" si="313"/>
        <v>159200</v>
      </c>
      <c r="J315" s="99">
        <f t="shared" si="313"/>
        <v>159200</v>
      </c>
      <c r="K315" s="99">
        <f t="shared" si="313"/>
        <v>159200</v>
      </c>
      <c r="L315" s="99">
        <f t="shared" si="313"/>
        <v>159200</v>
      </c>
      <c r="M315" s="99">
        <f t="shared" si="313"/>
        <v>159200</v>
      </c>
      <c r="N315" s="99">
        <f t="shared" si="313"/>
        <v>159200</v>
      </c>
      <c r="O315" s="99">
        <f t="shared" si="313"/>
        <v>159200</v>
      </c>
      <c r="P315" s="99">
        <f t="shared" si="313"/>
        <v>159200</v>
      </c>
      <c r="Q315" s="99">
        <f t="shared" si="313"/>
        <v>159200</v>
      </c>
      <c r="R315" s="99">
        <f t="shared" si="313"/>
        <v>159200</v>
      </c>
      <c r="AT315" s="308">
        <f t="shared" ref="AT315:BG315" si="314">SUM(AT311:AT314)</f>
        <v>0</v>
      </c>
      <c r="AU315" s="308">
        <f t="shared" si="314"/>
        <v>0</v>
      </c>
      <c r="AV315" s="308">
        <f t="shared" si="314"/>
        <v>0</v>
      </c>
      <c r="AW315" s="308">
        <f t="shared" si="314"/>
        <v>0</v>
      </c>
      <c r="AX315" s="308">
        <f t="shared" si="314"/>
        <v>0</v>
      </c>
      <c r="AY315" s="308">
        <f t="shared" si="314"/>
        <v>0</v>
      </c>
      <c r="AZ315" s="308">
        <f t="shared" si="314"/>
        <v>0</v>
      </c>
      <c r="BA315" s="308">
        <f t="shared" si="314"/>
        <v>0</v>
      </c>
      <c r="BB315" s="308">
        <f t="shared" si="314"/>
        <v>0</v>
      </c>
      <c r="BC315" s="308">
        <f t="shared" si="314"/>
        <v>0</v>
      </c>
      <c r="BD315" s="308">
        <f t="shared" si="314"/>
        <v>0</v>
      </c>
      <c r="BE315" s="308">
        <f t="shared" si="314"/>
        <v>0</v>
      </c>
      <c r="BF315" s="308">
        <f t="shared" si="314"/>
        <v>0</v>
      </c>
      <c r="BG315" s="308">
        <f t="shared" si="314"/>
        <v>0</v>
      </c>
    </row>
    <row r="316" ht="12.75" customHeight="1" outlineLevel="1">
      <c r="A316" s="90"/>
      <c r="B316" s="67"/>
      <c r="C316" s="90"/>
      <c r="D316" s="90"/>
      <c r="E316" s="90"/>
      <c r="F316" s="90"/>
      <c r="G316" s="99"/>
      <c r="H316" s="99"/>
      <c r="I316" s="99"/>
      <c r="J316" s="99"/>
      <c r="K316" s="99"/>
      <c r="L316" s="99"/>
      <c r="M316" s="99"/>
      <c r="N316" s="99"/>
      <c r="O316" s="99"/>
      <c r="P316" s="99"/>
      <c r="Q316" s="99"/>
      <c r="R316" s="99"/>
      <c r="AT316" s="308"/>
      <c r="AU316" s="308"/>
      <c r="AV316" s="308"/>
      <c r="AW316" s="308"/>
      <c r="AX316" s="308"/>
      <c r="AY316" s="308"/>
      <c r="AZ316" s="308"/>
      <c r="BA316" s="308"/>
      <c r="BB316" s="308"/>
      <c r="BC316" s="308"/>
      <c r="BD316" s="308"/>
      <c r="BE316" s="308"/>
      <c r="BF316" s="308"/>
      <c r="BG316" s="308"/>
    </row>
    <row r="317" ht="12.75" customHeight="1" outlineLevel="1">
      <c r="A317" s="90"/>
      <c r="B317" s="67"/>
      <c r="C317" s="90" t="s">
        <v>807</v>
      </c>
      <c r="D317" s="90"/>
      <c r="E317" s="90"/>
      <c r="F317" s="90"/>
      <c r="G317" s="99">
        <f>SUM(G308+G315)*G178*G179+G180</f>
        <v>0</v>
      </c>
      <c r="H317" s="99">
        <f t="shared" ref="H317:R317" si="315">SUM(H308+H311)*H178*H179+H180</f>
        <v>16566.66667</v>
      </c>
      <c r="I317" s="99">
        <f t="shared" si="315"/>
        <v>84866.66667</v>
      </c>
      <c r="J317" s="99">
        <f t="shared" si="315"/>
        <v>89766.66667</v>
      </c>
      <c r="K317" s="99">
        <f t="shared" si="315"/>
        <v>94591.66667</v>
      </c>
      <c r="L317" s="99">
        <f t="shared" si="315"/>
        <v>94591.66667</v>
      </c>
      <c r="M317" s="99">
        <f t="shared" si="315"/>
        <v>94591.66667</v>
      </c>
      <c r="N317" s="99">
        <f t="shared" si="315"/>
        <v>94591.66667</v>
      </c>
      <c r="O317" s="99">
        <f t="shared" si="315"/>
        <v>94591.66667</v>
      </c>
      <c r="P317" s="99">
        <f t="shared" si="315"/>
        <v>94591.66667</v>
      </c>
      <c r="Q317" s="99">
        <f t="shared" si="315"/>
        <v>94591.66667</v>
      </c>
      <c r="R317" s="99">
        <f t="shared" si="315"/>
        <v>94591.66667</v>
      </c>
      <c r="AT317" s="308">
        <f t="shared" ref="AT317:BG317" si="316">SUM(AT308+AT315)*AT178*AT179+AT180</f>
        <v>0</v>
      </c>
      <c r="AU317" s="308">
        <f t="shared" si="316"/>
        <v>0</v>
      </c>
      <c r="AV317" s="308">
        <f t="shared" si="316"/>
        <v>0</v>
      </c>
      <c r="AW317" s="308">
        <f t="shared" si="316"/>
        <v>0</v>
      </c>
      <c r="AX317" s="308">
        <f t="shared" si="316"/>
        <v>0</v>
      </c>
      <c r="AY317" s="308">
        <f t="shared" si="316"/>
        <v>0</v>
      </c>
      <c r="AZ317" s="308">
        <f t="shared" si="316"/>
        <v>0</v>
      </c>
      <c r="BA317" s="308">
        <f t="shared" si="316"/>
        <v>0</v>
      </c>
      <c r="BB317" s="308">
        <f t="shared" si="316"/>
        <v>0</v>
      </c>
      <c r="BC317" s="308">
        <f t="shared" si="316"/>
        <v>0</v>
      </c>
      <c r="BD317" s="308">
        <f t="shared" si="316"/>
        <v>0</v>
      </c>
      <c r="BE317" s="308">
        <f t="shared" si="316"/>
        <v>0</v>
      </c>
      <c r="BF317" s="308">
        <f t="shared" si="316"/>
        <v>0</v>
      </c>
      <c r="BG317" s="308">
        <f t="shared" si="316"/>
        <v>0</v>
      </c>
    </row>
    <row r="318" ht="12.75" customHeight="1" outlineLevel="1">
      <c r="A318" s="90"/>
      <c r="B318" s="87"/>
      <c r="C318" s="87"/>
      <c r="D318" s="87"/>
      <c r="E318" s="87"/>
      <c r="F318" s="87"/>
      <c r="G318" s="125"/>
      <c r="H318" s="125"/>
      <c r="I318" s="125"/>
      <c r="J318" s="125"/>
      <c r="K318" s="125"/>
      <c r="L318" s="125"/>
      <c r="M318" s="125"/>
      <c r="N318" s="125"/>
      <c r="O318" s="125"/>
      <c r="P318" s="125"/>
      <c r="Q318" s="125"/>
      <c r="R318" s="125"/>
      <c r="AT318" s="377"/>
      <c r="AU318" s="377"/>
      <c r="AV318" s="377"/>
      <c r="AW318" s="377"/>
      <c r="AX318" s="377"/>
      <c r="AY318" s="377"/>
      <c r="AZ318" s="377"/>
      <c r="BA318" s="377"/>
      <c r="BB318" s="377"/>
      <c r="BC318" s="377"/>
      <c r="BD318" s="377"/>
      <c r="BE318" s="377"/>
      <c r="BF318" s="377"/>
      <c r="BG318" s="377"/>
    </row>
    <row r="319" ht="12.75" customHeight="1" outlineLevel="1">
      <c r="A319" s="90"/>
      <c r="B319" s="67" t="s">
        <v>312</v>
      </c>
      <c r="C319" s="90"/>
      <c r="D319" s="90"/>
      <c r="E319" s="90"/>
      <c r="F319" s="90"/>
      <c r="G319" s="79">
        <f t="shared" ref="G319:R319" si="317">G315+G308+G317</f>
        <v>0</v>
      </c>
      <c r="H319" s="79">
        <f t="shared" si="317"/>
        <v>111400</v>
      </c>
      <c r="I319" s="79">
        <f t="shared" si="317"/>
        <v>894400</v>
      </c>
      <c r="J319" s="79">
        <f t="shared" si="317"/>
        <v>915300</v>
      </c>
      <c r="K319" s="79">
        <f t="shared" si="317"/>
        <v>968375</v>
      </c>
      <c r="L319" s="79">
        <f t="shared" si="317"/>
        <v>968375</v>
      </c>
      <c r="M319" s="79">
        <f t="shared" si="317"/>
        <v>968375</v>
      </c>
      <c r="N319" s="79">
        <f t="shared" si="317"/>
        <v>968375</v>
      </c>
      <c r="O319" s="79">
        <f t="shared" si="317"/>
        <v>968375</v>
      </c>
      <c r="P319" s="79">
        <f t="shared" si="317"/>
        <v>968375</v>
      </c>
      <c r="Q319" s="79">
        <f t="shared" si="317"/>
        <v>968375</v>
      </c>
      <c r="R319" s="79">
        <f t="shared" si="317"/>
        <v>968375</v>
      </c>
      <c r="AT319" s="378">
        <f t="shared" ref="AT319:BG319" si="318">AT315+AT308+AT317</f>
        <v>0</v>
      </c>
      <c r="AU319" s="378">
        <f t="shared" si="318"/>
        <v>0</v>
      </c>
      <c r="AV319" s="378">
        <f t="shared" si="318"/>
        <v>0</v>
      </c>
      <c r="AW319" s="378">
        <f t="shared" si="318"/>
        <v>0</v>
      </c>
      <c r="AX319" s="378">
        <f t="shared" si="318"/>
        <v>0</v>
      </c>
      <c r="AY319" s="378">
        <f t="shared" si="318"/>
        <v>0</v>
      </c>
      <c r="AZ319" s="378">
        <f t="shared" si="318"/>
        <v>0</v>
      </c>
      <c r="BA319" s="378">
        <f t="shared" si="318"/>
        <v>0</v>
      </c>
      <c r="BB319" s="378">
        <f t="shared" si="318"/>
        <v>0</v>
      </c>
      <c r="BC319" s="378">
        <f t="shared" si="318"/>
        <v>0</v>
      </c>
      <c r="BD319" s="378">
        <f t="shared" si="318"/>
        <v>0</v>
      </c>
      <c r="BE319" s="378">
        <f t="shared" si="318"/>
        <v>0</v>
      </c>
      <c r="BF319" s="378">
        <f t="shared" si="318"/>
        <v>0</v>
      </c>
      <c r="BG319" s="378">
        <f t="shared" si="318"/>
        <v>0</v>
      </c>
    </row>
    <row r="320" ht="12.75" customHeight="1" outlineLevel="1">
      <c r="A320" s="90"/>
      <c r="B320" s="90"/>
      <c r="C320" s="90"/>
      <c r="D320" s="90"/>
      <c r="E320" s="90"/>
      <c r="F320" s="90"/>
      <c r="G320" s="91"/>
      <c r="H320" s="91"/>
      <c r="I320" s="91"/>
      <c r="J320" s="91"/>
      <c r="K320" s="91"/>
      <c r="L320" s="91"/>
      <c r="M320" s="91"/>
      <c r="N320" s="91"/>
      <c r="O320" s="91"/>
      <c r="P320" s="91"/>
      <c r="Q320" s="91"/>
      <c r="R320" s="91"/>
      <c r="AT320" s="382"/>
      <c r="AU320" s="382"/>
      <c r="AV320" s="382"/>
      <c r="AW320" s="382"/>
      <c r="AX320" s="382"/>
      <c r="AY320" s="382"/>
      <c r="AZ320" s="382"/>
      <c r="BA320" s="382"/>
      <c r="BB320" s="382"/>
      <c r="BC320" s="382"/>
      <c r="BD320" s="382"/>
      <c r="BE320" s="382"/>
      <c r="BF320" s="382"/>
      <c r="BG320" s="382"/>
    </row>
    <row r="321" ht="12.75" customHeight="1" outlineLevel="1">
      <c r="A321" s="90"/>
      <c r="B321" s="67" t="s">
        <v>808</v>
      </c>
      <c r="C321" s="90"/>
      <c r="D321" s="90"/>
      <c r="E321" s="90"/>
      <c r="F321" s="90"/>
      <c r="G321" s="90"/>
      <c r="H321" s="90"/>
      <c r="I321" s="90"/>
      <c r="J321" s="383"/>
      <c r="K321" s="90"/>
      <c r="L321" s="90"/>
      <c r="M321" s="90"/>
      <c r="N321" s="90"/>
      <c r="O321" s="90"/>
      <c r="P321" s="90"/>
      <c r="Q321" s="90"/>
      <c r="R321" s="90"/>
      <c r="AT321" s="313"/>
      <c r="AU321" s="313"/>
      <c r="AV321" s="313"/>
      <c r="AW321" s="313"/>
      <c r="AX321" s="313"/>
      <c r="AY321" s="313"/>
      <c r="AZ321" s="313"/>
      <c r="BA321" s="313"/>
      <c r="BB321" s="313"/>
      <c r="BC321" s="313"/>
      <c r="BD321" s="313"/>
      <c r="BE321" s="313"/>
      <c r="BF321" s="313"/>
      <c r="BG321" s="313"/>
    </row>
    <row r="322" ht="12.75" customHeight="1" outlineLevel="1">
      <c r="A322" s="90"/>
      <c r="B322" s="90"/>
      <c r="C322" s="90" t="s">
        <v>809</v>
      </c>
      <c r="D322" s="90"/>
      <c r="E322" s="90"/>
      <c r="F322" s="90"/>
      <c r="G322" s="99">
        <f t="shared" ref="G322:R322" si="319">G184*G185</f>
        <v>0</v>
      </c>
      <c r="H322" s="99">
        <f t="shared" si="319"/>
        <v>10800</v>
      </c>
      <c r="I322" s="99">
        <f t="shared" si="319"/>
        <v>100800</v>
      </c>
      <c r="J322" s="99">
        <f t="shared" si="319"/>
        <v>100800</v>
      </c>
      <c r="K322" s="99">
        <f t="shared" si="319"/>
        <v>108000</v>
      </c>
      <c r="L322" s="99">
        <f t="shared" si="319"/>
        <v>108000</v>
      </c>
      <c r="M322" s="99">
        <f t="shared" si="319"/>
        <v>108000</v>
      </c>
      <c r="N322" s="99">
        <f t="shared" si="319"/>
        <v>108000</v>
      </c>
      <c r="O322" s="99">
        <f t="shared" si="319"/>
        <v>108000</v>
      </c>
      <c r="P322" s="99">
        <f t="shared" si="319"/>
        <v>108000</v>
      </c>
      <c r="Q322" s="99">
        <f t="shared" si="319"/>
        <v>108000</v>
      </c>
      <c r="R322" s="99">
        <f t="shared" si="319"/>
        <v>108000</v>
      </c>
      <c r="AT322" s="308">
        <f t="shared" ref="AT322:BG322" si="320">AT184*AT185</f>
        <v>0</v>
      </c>
      <c r="AU322" s="308">
        <f t="shared" si="320"/>
        <v>0</v>
      </c>
      <c r="AV322" s="308">
        <f t="shared" si="320"/>
        <v>0</v>
      </c>
      <c r="AW322" s="308">
        <f t="shared" si="320"/>
        <v>0</v>
      </c>
      <c r="AX322" s="308">
        <f t="shared" si="320"/>
        <v>0</v>
      </c>
      <c r="AY322" s="308">
        <f t="shared" si="320"/>
        <v>0</v>
      </c>
      <c r="AZ322" s="308">
        <f t="shared" si="320"/>
        <v>0</v>
      </c>
      <c r="BA322" s="308">
        <f t="shared" si="320"/>
        <v>0</v>
      </c>
      <c r="BB322" s="308">
        <f t="shared" si="320"/>
        <v>0</v>
      </c>
      <c r="BC322" s="308">
        <f t="shared" si="320"/>
        <v>0</v>
      </c>
      <c r="BD322" s="308">
        <f t="shared" si="320"/>
        <v>0</v>
      </c>
      <c r="BE322" s="308">
        <f t="shared" si="320"/>
        <v>0</v>
      </c>
      <c r="BF322" s="308">
        <f t="shared" si="320"/>
        <v>0</v>
      </c>
      <c r="BG322" s="308">
        <f t="shared" si="320"/>
        <v>0</v>
      </c>
    </row>
    <row r="323" ht="12.75" customHeight="1" outlineLevel="1">
      <c r="A323" s="90"/>
      <c r="B323" s="90"/>
      <c r="C323" s="90" t="s">
        <v>731</v>
      </c>
      <c r="D323" s="90"/>
      <c r="E323" s="90"/>
      <c r="F323" s="90"/>
      <c r="G323" s="99">
        <f t="shared" ref="G323:G325" si="323">G186*G$319</f>
        <v>0</v>
      </c>
      <c r="H323" s="99">
        <f t="shared" ref="H323:R323" si="321">H$319*H186</f>
        <v>1782.4</v>
      </c>
      <c r="I323" s="99">
        <f t="shared" si="321"/>
        <v>14310.4</v>
      </c>
      <c r="J323" s="99">
        <f t="shared" si="321"/>
        <v>14644.8</v>
      </c>
      <c r="K323" s="99">
        <f t="shared" si="321"/>
        <v>15494</v>
      </c>
      <c r="L323" s="99">
        <f t="shared" si="321"/>
        <v>15494</v>
      </c>
      <c r="M323" s="99">
        <f t="shared" si="321"/>
        <v>15494</v>
      </c>
      <c r="N323" s="99">
        <f t="shared" si="321"/>
        <v>15494</v>
      </c>
      <c r="O323" s="99">
        <f t="shared" si="321"/>
        <v>15494</v>
      </c>
      <c r="P323" s="99">
        <f t="shared" si="321"/>
        <v>15494</v>
      </c>
      <c r="Q323" s="99">
        <f t="shared" si="321"/>
        <v>15494</v>
      </c>
      <c r="R323" s="99">
        <f t="shared" si="321"/>
        <v>15494</v>
      </c>
      <c r="AT323" s="308">
        <f t="shared" ref="AT323:BG323" si="322">0.016*AT319</f>
        <v>0</v>
      </c>
      <c r="AU323" s="308">
        <f t="shared" si="322"/>
        <v>0</v>
      </c>
      <c r="AV323" s="308">
        <f t="shared" si="322"/>
        <v>0</v>
      </c>
      <c r="AW323" s="308">
        <f t="shared" si="322"/>
        <v>0</v>
      </c>
      <c r="AX323" s="308">
        <f t="shared" si="322"/>
        <v>0</v>
      </c>
      <c r="AY323" s="308">
        <f t="shared" si="322"/>
        <v>0</v>
      </c>
      <c r="AZ323" s="308">
        <f t="shared" si="322"/>
        <v>0</v>
      </c>
      <c r="BA323" s="308">
        <f t="shared" si="322"/>
        <v>0</v>
      </c>
      <c r="BB323" s="308">
        <f t="shared" si="322"/>
        <v>0</v>
      </c>
      <c r="BC323" s="308">
        <f t="shared" si="322"/>
        <v>0</v>
      </c>
      <c r="BD323" s="308">
        <f t="shared" si="322"/>
        <v>0</v>
      </c>
      <c r="BE323" s="308">
        <f t="shared" si="322"/>
        <v>0</v>
      </c>
      <c r="BF323" s="308">
        <f t="shared" si="322"/>
        <v>0</v>
      </c>
      <c r="BG323" s="308">
        <f t="shared" si="322"/>
        <v>0</v>
      </c>
    </row>
    <row r="324" ht="12.75" customHeight="1" outlineLevel="1">
      <c r="A324" s="90"/>
      <c r="B324" s="90"/>
      <c r="C324" s="90" t="s">
        <v>810</v>
      </c>
      <c r="D324" s="90"/>
      <c r="E324" s="90"/>
      <c r="F324" s="90"/>
      <c r="G324" s="99">
        <f t="shared" si="323"/>
        <v>0</v>
      </c>
      <c r="H324" s="99">
        <f t="shared" ref="H324:R324" si="324">H319*H187</f>
        <v>1225.4</v>
      </c>
      <c r="I324" s="99">
        <f t="shared" si="324"/>
        <v>9838.4</v>
      </c>
      <c r="J324" s="99">
        <f t="shared" si="324"/>
        <v>10068.3</v>
      </c>
      <c r="K324" s="99">
        <f t="shared" si="324"/>
        <v>10652.125</v>
      </c>
      <c r="L324" s="99">
        <f t="shared" si="324"/>
        <v>10652.125</v>
      </c>
      <c r="M324" s="99">
        <f t="shared" si="324"/>
        <v>10652.125</v>
      </c>
      <c r="N324" s="99">
        <f t="shared" si="324"/>
        <v>10652.125</v>
      </c>
      <c r="O324" s="99">
        <f t="shared" si="324"/>
        <v>10652.125</v>
      </c>
      <c r="P324" s="99">
        <f t="shared" si="324"/>
        <v>10652.125</v>
      </c>
      <c r="Q324" s="99">
        <f t="shared" si="324"/>
        <v>10652.125</v>
      </c>
      <c r="R324" s="99">
        <f t="shared" si="324"/>
        <v>10652.125</v>
      </c>
      <c r="AT324" s="308">
        <f t="shared" ref="AT324:BG324" si="325">500*AT159</f>
        <v>0</v>
      </c>
      <c r="AU324" s="308">
        <f t="shared" si="325"/>
        <v>0</v>
      </c>
      <c r="AV324" s="308">
        <f t="shared" si="325"/>
        <v>0</v>
      </c>
      <c r="AW324" s="308">
        <f t="shared" si="325"/>
        <v>0</v>
      </c>
      <c r="AX324" s="308">
        <f t="shared" si="325"/>
        <v>0</v>
      </c>
      <c r="AY324" s="308">
        <f t="shared" si="325"/>
        <v>0</v>
      </c>
      <c r="AZ324" s="308">
        <f t="shared" si="325"/>
        <v>0</v>
      </c>
      <c r="BA324" s="308">
        <f t="shared" si="325"/>
        <v>0</v>
      </c>
      <c r="BB324" s="308">
        <f t="shared" si="325"/>
        <v>0</v>
      </c>
      <c r="BC324" s="308">
        <f t="shared" si="325"/>
        <v>0</v>
      </c>
      <c r="BD324" s="308">
        <f t="shared" si="325"/>
        <v>0</v>
      </c>
      <c r="BE324" s="308">
        <f t="shared" si="325"/>
        <v>0</v>
      </c>
      <c r="BF324" s="308">
        <f t="shared" si="325"/>
        <v>0</v>
      </c>
      <c r="BG324" s="308">
        <f t="shared" si="325"/>
        <v>0</v>
      </c>
    </row>
    <row r="325" ht="12.75" customHeight="1" outlineLevel="1">
      <c r="A325" s="90"/>
      <c r="B325" s="90"/>
      <c r="C325" s="90" t="s">
        <v>733</v>
      </c>
      <c r="D325" s="90"/>
      <c r="E325" s="90"/>
      <c r="F325" s="90"/>
      <c r="G325" s="99">
        <f t="shared" si="323"/>
        <v>0</v>
      </c>
      <c r="H325" s="99">
        <f t="shared" ref="H325:R325" si="326">0.0745*(H315+H317*H315/(H315+H308))+0.0165*(H308+H317*H308/(H308+H315))</f>
        <v>3473.27188</v>
      </c>
      <c r="I325" s="99">
        <f t="shared" si="326"/>
        <v>24959.19578</v>
      </c>
      <c r="J325" s="99">
        <f t="shared" si="326"/>
        <v>25340.09122</v>
      </c>
      <c r="K325" s="99">
        <f t="shared" si="326"/>
        <v>26211.37353</v>
      </c>
      <c r="L325" s="99">
        <f t="shared" si="326"/>
        <v>26211.37353</v>
      </c>
      <c r="M325" s="99">
        <f t="shared" si="326"/>
        <v>26211.37353</v>
      </c>
      <c r="N325" s="99">
        <f t="shared" si="326"/>
        <v>26211.37353</v>
      </c>
      <c r="O325" s="99">
        <f t="shared" si="326"/>
        <v>26211.37353</v>
      </c>
      <c r="P325" s="99">
        <f t="shared" si="326"/>
        <v>26211.37353</v>
      </c>
      <c r="Q325" s="99">
        <f t="shared" si="326"/>
        <v>26211.37353</v>
      </c>
      <c r="R325" s="99">
        <f t="shared" si="326"/>
        <v>26211.37353</v>
      </c>
      <c r="AT325" s="308" t="str">
        <f t="shared" ref="AT325:BG325" si="327">0.0745*(AT315+AT317*AT315/(AT315+AT308))+0.0165*(AT308+AT317*AT308/(AT308+AT315))</f>
        <v>#DIV/0!</v>
      </c>
      <c r="AU325" s="308" t="str">
        <f t="shared" si="327"/>
        <v>#DIV/0!</v>
      </c>
      <c r="AV325" s="308" t="str">
        <f t="shared" si="327"/>
        <v>#DIV/0!</v>
      </c>
      <c r="AW325" s="308" t="str">
        <f t="shared" si="327"/>
        <v>#DIV/0!</v>
      </c>
      <c r="AX325" s="308" t="str">
        <f t="shared" si="327"/>
        <v>#DIV/0!</v>
      </c>
      <c r="AY325" s="308" t="str">
        <f t="shared" si="327"/>
        <v>#DIV/0!</v>
      </c>
      <c r="AZ325" s="308" t="str">
        <f t="shared" si="327"/>
        <v>#DIV/0!</v>
      </c>
      <c r="BA325" s="308" t="str">
        <f t="shared" si="327"/>
        <v>#DIV/0!</v>
      </c>
      <c r="BB325" s="308" t="str">
        <f t="shared" si="327"/>
        <v>#DIV/0!</v>
      </c>
      <c r="BC325" s="308" t="str">
        <f t="shared" si="327"/>
        <v>#DIV/0!</v>
      </c>
      <c r="BD325" s="308" t="str">
        <f t="shared" si="327"/>
        <v>#DIV/0!</v>
      </c>
      <c r="BE325" s="308" t="str">
        <f t="shared" si="327"/>
        <v>#DIV/0!</v>
      </c>
      <c r="BF325" s="308" t="str">
        <f t="shared" si="327"/>
        <v>#DIV/0!</v>
      </c>
      <c r="BG325" s="308" t="str">
        <f t="shared" si="327"/>
        <v>#DIV/0!</v>
      </c>
    </row>
    <row r="326" ht="12.75" customHeight="1" outlineLevel="1">
      <c r="A326" s="90"/>
      <c r="B326" s="90"/>
      <c r="C326" s="90" t="s">
        <v>734</v>
      </c>
      <c r="D326" s="90"/>
      <c r="E326" s="90"/>
      <c r="F326" s="90"/>
      <c r="G326" s="99">
        <f>G308*G189</f>
        <v>0</v>
      </c>
      <c r="H326" s="99">
        <f t="shared" ref="H326:R326" si="328">(H308-H307)*H189</f>
        <v>5843.75</v>
      </c>
      <c r="I326" s="99">
        <f t="shared" si="328"/>
        <v>53652.5</v>
      </c>
      <c r="J326" s="99">
        <f t="shared" si="328"/>
        <v>54972.5</v>
      </c>
      <c r="K326" s="99">
        <f t="shared" si="328"/>
        <v>58953.125</v>
      </c>
      <c r="L326" s="99">
        <f t="shared" si="328"/>
        <v>58953.125</v>
      </c>
      <c r="M326" s="99">
        <f t="shared" si="328"/>
        <v>58953.125</v>
      </c>
      <c r="N326" s="99">
        <f t="shared" si="328"/>
        <v>58953.125</v>
      </c>
      <c r="O326" s="99">
        <f t="shared" si="328"/>
        <v>58953.125</v>
      </c>
      <c r="P326" s="99">
        <f t="shared" si="328"/>
        <v>58953.125</v>
      </c>
      <c r="Q326" s="99">
        <f t="shared" si="328"/>
        <v>58953.125</v>
      </c>
      <c r="R326" s="99">
        <f t="shared" si="328"/>
        <v>58953.125</v>
      </c>
      <c r="AT326" s="308">
        <f t="shared" ref="AT326:BG326" si="329">AT308*AT189</f>
        <v>0</v>
      </c>
      <c r="AU326" s="308">
        <f t="shared" si="329"/>
        <v>0</v>
      </c>
      <c r="AV326" s="308">
        <f t="shared" si="329"/>
        <v>0</v>
      </c>
      <c r="AW326" s="308">
        <f t="shared" si="329"/>
        <v>0</v>
      </c>
      <c r="AX326" s="308">
        <f t="shared" si="329"/>
        <v>0</v>
      </c>
      <c r="AY326" s="308">
        <f t="shared" si="329"/>
        <v>0</v>
      </c>
      <c r="AZ326" s="308">
        <f t="shared" si="329"/>
        <v>0</v>
      </c>
      <c r="BA326" s="308">
        <f t="shared" si="329"/>
        <v>0</v>
      </c>
      <c r="BB326" s="308">
        <f t="shared" si="329"/>
        <v>0</v>
      </c>
      <c r="BC326" s="308">
        <f t="shared" si="329"/>
        <v>0</v>
      </c>
      <c r="BD326" s="308">
        <f t="shared" si="329"/>
        <v>0</v>
      </c>
      <c r="BE326" s="308">
        <f t="shared" si="329"/>
        <v>0</v>
      </c>
      <c r="BF326" s="308">
        <f t="shared" si="329"/>
        <v>0</v>
      </c>
      <c r="BG326" s="308">
        <f t="shared" si="329"/>
        <v>0</v>
      </c>
    </row>
    <row r="327" ht="12.75" customHeight="1" outlineLevel="1">
      <c r="A327" s="90"/>
      <c r="B327" s="90"/>
      <c r="C327" s="90" t="s">
        <v>735</v>
      </c>
      <c r="D327" s="90"/>
      <c r="E327" s="90"/>
      <c r="F327" s="90"/>
      <c r="G327" s="99">
        <f>G315*G190</f>
        <v>0</v>
      </c>
      <c r="H327" s="99">
        <f t="shared" ref="H327:R327" si="330">0.03*H315+0.03*H317*H315/(H315+H308)</f>
        <v>845.7785589</v>
      </c>
      <c r="I327" s="99">
        <f t="shared" si="330"/>
        <v>5276.687474</v>
      </c>
      <c r="J327" s="99">
        <f t="shared" si="330"/>
        <v>5295.331664</v>
      </c>
      <c r="K327" s="99">
        <f t="shared" si="330"/>
        <v>5293.027257</v>
      </c>
      <c r="L327" s="99">
        <f t="shared" si="330"/>
        <v>5293.027257</v>
      </c>
      <c r="M327" s="99">
        <f t="shared" si="330"/>
        <v>5293.027257</v>
      </c>
      <c r="N327" s="99">
        <f t="shared" si="330"/>
        <v>5293.027257</v>
      </c>
      <c r="O327" s="99">
        <f t="shared" si="330"/>
        <v>5293.027257</v>
      </c>
      <c r="P327" s="99">
        <f t="shared" si="330"/>
        <v>5293.027257</v>
      </c>
      <c r="Q327" s="99">
        <f t="shared" si="330"/>
        <v>5293.027257</v>
      </c>
      <c r="R327" s="99">
        <f t="shared" si="330"/>
        <v>5293.027257</v>
      </c>
      <c r="AT327" s="308" t="str">
        <f t="shared" ref="AT327:BG327" si="331">0.03*AT315+0.03*AT317*AT315/(AT315+AT308)</f>
        <v>#DIV/0!</v>
      </c>
      <c r="AU327" s="308" t="str">
        <f t="shared" si="331"/>
        <v>#DIV/0!</v>
      </c>
      <c r="AV327" s="308" t="str">
        <f t="shared" si="331"/>
        <v>#DIV/0!</v>
      </c>
      <c r="AW327" s="308" t="str">
        <f t="shared" si="331"/>
        <v>#DIV/0!</v>
      </c>
      <c r="AX327" s="308" t="str">
        <f t="shared" si="331"/>
        <v>#DIV/0!</v>
      </c>
      <c r="AY327" s="308" t="str">
        <f t="shared" si="331"/>
        <v>#DIV/0!</v>
      </c>
      <c r="AZ327" s="308" t="str">
        <f t="shared" si="331"/>
        <v>#DIV/0!</v>
      </c>
      <c r="BA327" s="308" t="str">
        <f t="shared" si="331"/>
        <v>#DIV/0!</v>
      </c>
      <c r="BB327" s="308" t="str">
        <f t="shared" si="331"/>
        <v>#DIV/0!</v>
      </c>
      <c r="BC327" s="308" t="str">
        <f t="shared" si="331"/>
        <v>#DIV/0!</v>
      </c>
      <c r="BD327" s="308" t="str">
        <f t="shared" si="331"/>
        <v>#DIV/0!</v>
      </c>
      <c r="BE327" s="308" t="str">
        <f t="shared" si="331"/>
        <v>#DIV/0!</v>
      </c>
      <c r="BF327" s="308" t="str">
        <f t="shared" si="331"/>
        <v>#DIV/0!</v>
      </c>
      <c r="BG327" s="308" t="str">
        <f t="shared" si="331"/>
        <v>#DIV/0!</v>
      </c>
    </row>
    <row r="328" ht="12.75" customHeight="1" outlineLevel="1">
      <c r="A328" s="90"/>
      <c r="B328" s="90"/>
      <c r="C328" s="90" t="s">
        <v>736</v>
      </c>
      <c r="D328" s="90"/>
      <c r="E328" s="90"/>
      <c r="F328" s="90"/>
      <c r="G328" s="99">
        <f t="shared" ref="G328:G329" si="332">G191*G$319</f>
        <v>0</v>
      </c>
      <c r="H328" s="99"/>
      <c r="I328" s="99"/>
      <c r="J328" s="99"/>
      <c r="K328" s="99"/>
      <c r="L328" s="99"/>
      <c r="M328" s="99"/>
      <c r="N328" s="99"/>
      <c r="O328" s="99"/>
      <c r="P328" s="99"/>
      <c r="Q328" s="99"/>
      <c r="R328" s="99"/>
      <c r="AT328" s="308"/>
      <c r="AU328" s="308"/>
      <c r="AV328" s="308"/>
      <c r="AW328" s="308"/>
      <c r="AX328" s="308"/>
      <c r="AY328" s="308"/>
      <c r="AZ328" s="308"/>
      <c r="BA328" s="308"/>
      <c r="BB328" s="308"/>
      <c r="BC328" s="308"/>
      <c r="BD328" s="308"/>
      <c r="BE328" s="308"/>
      <c r="BF328" s="308"/>
      <c r="BG328" s="308"/>
    </row>
    <row r="329" ht="12.75" customHeight="1" outlineLevel="1">
      <c r="A329" s="90"/>
      <c r="B329" s="87"/>
      <c r="C329" s="87" t="s">
        <v>737</v>
      </c>
      <c r="D329" s="87"/>
      <c r="E329" s="87"/>
      <c r="F329" s="87"/>
      <c r="G329" s="125">
        <f t="shared" si="332"/>
        <v>0</v>
      </c>
      <c r="H329" s="125"/>
      <c r="I329" s="125"/>
      <c r="J329" s="125"/>
      <c r="K329" s="125"/>
      <c r="L329" s="125"/>
      <c r="M329" s="125"/>
      <c r="N329" s="125"/>
      <c r="O329" s="125"/>
      <c r="P329" s="125"/>
      <c r="Q329" s="125"/>
      <c r="R329" s="125"/>
      <c r="AT329" s="377"/>
      <c r="AU329" s="377"/>
      <c r="AV329" s="377"/>
      <c r="AW329" s="377"/>
      <c r="AX329" s="377"/>
      <c r="AY329" s="377"/>
      <c r="AZ329" s="377"/>
      <c r="BA329" s="377"/>
      <c r="BB329" s="377"/>
      <c r="BC329" s="377"/>
      <c r="BD329" s="377"/>
      <c r="BE329" s="377"/>
      <c r="BF329" s="377"/>
      <c r="BG329" s="377"/>
    </row>
    <row r="330" ht="12.75" customHeight="1" outlineLevel="1">
      <c r="A330" s="90"/>
      <c r="B330" s="67" t="s">
        <v>313</v>
      </c>
      <c r="C330" s="90"/>
      <c r="D330" s="90"/>
      <c r="E330" s="90"/>
      <c r="F330" s="90"/>
      <c r="G330" s="79">
        <f t="shared" ref="G330:R330" si="333">SUM(G322:G329)</f>
        <v>0</v>
      </c>
      <c r="H330" s="79">
        <f t="shared" si="333"/>
        <v>23970.60044</v>
      </c>
      <c r="I330" s="79">
        <f t="shared" si="333"/>
        <v>208837.1833</v>
      </c>
      <c r="J330" s="79">
        <f t="shared" si="333"/>
        <v>211121.0229</v>
      </c>
      <c r="K330" s="79">
        <f t="shared" si="333"/>
        <v>224603.6508</v>
      </c>
      <c r="L330" s="79">
        <f t="shared" si="333"/>
        <v>224603.6508</v>
      </c>
      <c r="M330" s="79">
        <f t="shared" si="333"/>
        <v>224603.6508</v>
      </c>
      <c r="N330" s="79">
        <f t="shared" si="333"/>
        <v>224603.6508</v>
      </c>
      <c r="O330" s="79">
        <f t="shared" si="333"/>
        <v>224603.6508</v>
      </c>
      <c r="P330" s="79">
        <f t="shared" si="333"/>
        <v>224603.6508</v>
      </c>
      <c r="Q330" s="79">
        <f t="shared" si="333"/>
        <v>224603.6508</v>
      </c>
      <c r="R330" s="79">
        <f t="shared" si="333"/>
        <v>224603.6508</v>
      </c>
      <c r="AT330" s="378" t="str">
        <f t="shared" ref="AT330:BG330" si="334">SUM(AT322:AT329)</f>
        <v>#DIV/0!</v>
      </c>
      <c r="AU330" s="378" t="str">
        <f t="shared" si="334"/>
        <v>#DIV/0!</v>
      </c>
      <c r="AV330" s="378" t="str">
        <f t="shared" si="334"/>
        <v>#DIV/0!</v>
      </c>
      <c r="AW330" s="378" t="str">
        <f t="shared" si="334"/>
        <v>#DIV/0!</v>
      </c>
      <c r="AX330" s="378" t="str">
        <f t="shared" si="334"/>
        <v>#DIV/0!</v>
      </c>
      <c r="AY330" s="378" t="str">
        <f t="shared" si="334"/>
        <v>#DIV/0!</v>
      </c>
      <c r="AZ330" s="378" t="str">
        <f t="shared" si="334"/>
        <v>#DIV/0!</v>
      </c>
      <c r="BA330" s="378" t="str">
        <f t="shared" si="334"/>
        <v>#DIV/0!</v>
      </c>
      <c r="BB330" s="378" t="str">
        <f t="shared" si="334"/>
        <v>#DIV/0!</v>
      </c>
      <c r="BC330" s="378" t="str">
        <f t="shared" si="334"/>
        <v>#DIV/0!</v>
      </c>
      <c r="BD330" s="378" t="str">
        <f t="shared" si="334"/>
        <v>#DIV/0!</v>
      </c>
      <c r="BE330" s="378" t="str">
        <f t="shared" si="334"/>
        <v>#DIV/0!</v>
      </c>
      <c r="BF330" s="378" t="str">
        <f t="shared" si="334"/>
        <v>#DIV/0!</v>
      </c>
      <c r="BG330" s="378" t="str">
        <f t="shared" si="334"/>
        <v>#DIV/0!</v>
      </c>
    </row>
    <row r="331" ht="12.75" customHeight="1" outlineLevel="1">
      <c r="A331" s="90"/>
      <c r="B331" s="90"/>
      <c r="C331" s="90"/>
      <c r="D331" s="90"/>
      <c r="E331" s="90"/>
      <c r="F331" s="90"/>
      <c r="G331" s="90"/>
      <c r="H331" s="90"/>
      <c r="I331" s="90"/>
      <c r="J331" s="90"/>
      <c r="K331" s="90"/>
      <c r="L331" s="90"/>
      <c r="M331" s="90"/>
      <c r="N331" s="90"/>
      <c r="O331" s="90"/>
      <c r="P331" s="90"/>
      <c r="Q331" s="90"/>
      <c r="R331" s="90"/>
      <c r="AT331" s="313"/>
      <c r="AU331" s="313"/>
      <c r="AV331" s="313"/>
      <c r="AW331" s="313"/>
      <c r="AX331" s="313"/>
      <c r="AY331" s="313"/>
      <c r="AZ331" s="313"/>
      <c r="BA331" s="313"/>
      <c r="BB331" s="313"/>
      <c r="BC331" s="313"/>
      <c r="BD331" s="313"/>
      <c r="BE331" s="313"/>
      <c r="BF331" s="313"/>
      <c r="BG331" s="313"/>
    </row>
    <row r="332" ht="12.75" customHeight="1" outlineLevel="1">
      <c r="A332" s="90"/>
      <c r="B332" s="67" t="s">
        <v>811</v>
      </c>
      <c r="C332" s="90"/>
      <c r="D332" s="90"/>
      <c r="E332" s="90"/>
      <c r="F332" s="90"/>
      <c r="G332" s="90"/>
      <c r="H332" s="90"/>
      <c r="I332" s="90"/>
      <c r="J332" s="90"/>
      <c r="K332" s="90"/>
      <c r="L332" s="90"/>
      <c r="M332" s="90"/>
      <c r="N332" s="90"/>
      <c r="O332" s="90"/>
      <c r="P332" s="90"/>
      <c r="Q332" s="90"/>
      <c r="R332" s="90"/>
      <c r="AT332" s="313"/>
      <c r="AU332" s="313"/>
      <c r="AV332" s="313"/>
      <c r="AW332" s="313"/>
      <c r="AX332" s="313"/>
      <c r="AY332" s="313"/>
      <c r="AZ332" s="313"/>
      <c r="BA332" s="313"/>
      <c r="BB332" s="313"/>
      <c r="BC332" s="313"/>
      <c r="BD332" s="313"/>
      <c r="BE332" s="313"/>
      <c r="BF332" s="313"/>
      <c r="BG332" s="313"/>
    </row>
    <row r="333" ht="12.75" customHeight="1" outlineLevel="1">
      <c r="A333" s="90"/>
      <c r="B333" s="90"/>
      <c r="C333" s="90" t="s">
        <v>812</v>
      </c>
      <c r="D333" s="90"/>
      <c r="E333" s="90"/>
      <c r="F333" s="90"/>
      <c r="G333" s="99">
        <v>0.0</v>
      </c>
      <c r="H333" s="99">
        <v>2000.0</v>
      </c>
      <c r="I333" s="99">
        <f t="shared" ref="I333:R333" si="335">I199*I47+I200*I49</f>
        <v>35280</v>
      </c>
      <c r="J333" s="99">
        <f t="shared" si="335"/>
        <v>31960</v>
      </c>
      <c r="K333" s="99">
        <f t="shared" si="335"/>
        <v>33400</v>
      </c>
      <c r="L333" s="99">
        <f t="shared" si="335"/>
        <v>32500</v>
      </c>
      <c r="M333" s="99">
        <f t="shared" si="335"/>
        <v>32500</v>
      </c>
      <c r="N333" s="99">
        <f t="shared" si="335"/>
        <v>32500</v>
      </c>
      <c r="O333" s="99">
        <f t="shared" si="335"/>
        <v>32500</v>
      </c>
      <c r="P333" s="99">
        <f t="shared" si="335"/>
        <v>32500</v>
      </c>
      <c r="Q333" s="99">
        <f t="shared" si="335"/>
        <v>32500</v>
      </c>
      <c r="R333" s="99">
        <f t="shared" si="335"/>
        <v>32500</v>
      </c>
      <c r="AT333" s="308"/>
      <c r="AU333" s="308"/>
      <c r="AV333" s="308"/>
      <c r="AW333" s="308"/>
      <c r="AX333" s="308"/>
      <c r="AY333" s="308"/>
      <c r="AZ333" s="308"/>
      <c r="BA333" s="308"/>
      <c r="BB333" s="308"/>
      <c r="BC333" s="308"/>
      <c r="BD333" s="308"/>
      <c r="BE333" s="308"/>
      <c r="BF333" s="308"/>
      <c r="BG333" s="308"/>
    </row>
    <row r="334" ht="12.75" customHeight="1" outlineLevel="1">
      <c r="A334" s="90"/>
      <c r="B334" s="90"/>
      <c r="C334" s="90" t="s">
        <v>813</v>
      </c>
      <c r="D334" s="90"/>
      <c r="E334" s="90"/>
      <c r="F334" s="90"/>
      <c r="G334" s="99">
        <f t="shared" ref="G334:R334" si="336">G148*G201</f>
        <v>0</v>
      </c>
      <c r="H334" s="99">
        <f t="shared" si="336"/>
        <v>0</v>
      </c>
      <c r="I334" s="99">
        <f t="shared" si="336"/>
        <v>9000</v>
      </c>
      <c r="J334" s="99">
        <f t="shared" si="336"/>
        <v>9000</v>
      </c>
      <c r="K334" s="99">
        <f t="shared" si="336"/>
        <v>10000</v>
      </c>
      <c r="L334" s="99">
        <f t="shared" si="336"/>
        <v>10000</v>
      </c>
      <c r="M334" s="99">
        <f t="shared" si="336"/>
        <v>10000</v>
      </c>
      <c r="N334" s="99">
        <f t="shared" si="336"/>
        <v>10000</v>
      </c>
      <c r="O334" s="99">
        <f t="shared" si="336"/>
        <v>10000</v>
      </c>
      <c r="P334" s="99">
        <f t="shared" si="336"/>
        <v>10000</v>
      </c>
      <c r="Q334" s="99">
        <f t="shared" si="336"/>
        <v>10000</v>
      </c>
      <c r="R334" s="99">
        <f t="shared" si="336"/>
        <v>10000</v>
      </c>
      <c r="AT334" s="308"/>
      <c r="AU334" s="308"/>
      <c r="AV334" s="308"/>
      <c r="AW334" s="308"/>
      <c r="AX334" s="308"/>
      <c r="AY334" s="308"/>
      <c r="AZ334" s="308"/>
      <c r="BA334" s="308"/>
      <c r="BB334" s="308"/>
      <c r="BC334" s="308"/>
      <c r="BD334" s="308"/>
      <c r="BE334" s="308"/>
      <c r="BF334" s="308"/>
      <c r="BG334" s="308"/>
    </row>
    <row r="335" ht="12.75" customHeight="1" outlineLevel="1">
      <c r="A335" s="90"/>
      <c r="B335" s="90"/>
      <c r="C335" s="90" t="s">
        <v>814</v>
      </c>
      <c r="D335" s="90"/>
      <c r="E335" s="90"/>
      <c r="F335" s="90"/>
      <c r="G335" s="99">
        <f t="shared" ref="G335:R335" si="337">G205+(G202+G203)*G49+G204</f>
        <v>0</v>
      </c>
      <c r="H335" s="99">
        <f t="shared" si="337"/>
        <v>0</v>
      </c>
      <c r="I335" s="99">
        <f t="shared" si="337"/>
        <v>123800</v>
      </c>
      <c r="J335" s="99">
        <f t="shared" si="337"/>
        <v>30800</v>
      </c>
      <c r="K335" s="99">
        <f t="shared" si="337"/>
        <v>25400</v>
      </c>
      <c r="L335" s="99">
        <f t="shared" si="337"/>
        <v>15000</v>
      </c>
      <c r="M335" s="99">
        <f t="shared" si="337"/>
        <v>15000</v>
      </c>
      <c r="N335" s="99">
        <f t="shared" si="337"/>
        <v>15000</v>
      </c>
      <c r="O335" s="99">
        <f t="shared" si="337"/>
        <v>15000</v>
      </c>
      <c r="P335" s="99">
        <f t="shared" si="337"/>
        <v>15000</v>
      </c>
      <c r="Q335" s="99">
        <f t="shared" si="337"/>
        <v>15000</v>
      </c>
      <c r="R335" s="99">
        <f t="shared" si="337"/>
        <v>15000</v>
      </c>
      <c r="AT335" s="308"/>
      <c r="AU335" s="308" t="str">
        <f>'RS3'!AX336</f>
        <v/>
      </c>
      <c r="AV335" s="308" t="str">
        <f>'RS3'!AY336</f>
        <v/>
      </c>
      <c r="AW335" s="308" t="str">
        <f>'RS3'!AZ336</f>
        <v/>
      </c>
      <c r="AX335" s="308" t="str">
        <f>'RS3'!BA336</f>
        <v/>
      </c>
      <c r="AY335" s="308" t="str">
        <f>'RS3'!BB336</f>
        <v/>
      </c>
      <c r="AZ335" s="308" t="str">
        <f>'RS3'!BC336</f>
        <v/>
      </c>
      <c r="BA335" s="308" t="str">
        <f>'RS3'!BD336</f>
        <v/>
      </c>
      <c r="BB335" s="308" t="str">
        <f>'RS3'!BE336</f>
        <v/>
      </c>
      <c r="BC335" s="308" t="str">
        <f>'RS3'!BF336</f>
        <v/>
      </c>
      <c r="BD335" s="308" t="str">
        <f>'RS3'!BG336</f>
        <v/>
      </c>
      <c r="BE335" s="308" t="str">
        <f>'RS3'!BH336</f>
        <v/>
      </c>
      <c r="BF335" s="308" t="str">
        <f>'RS3'!BI336</f>
        <v/>
      </c>
      <c r="BG335" s="308" t="str">
        <f>'RS3'!BJ336</f>
        <v/>
      </c>
    </row>
    <row r="336" ht="12.75" customHeight="1" outlineLevel="1">
      <c r="A336" s="90"/>
      <c r="B336" s="90"/>
      <c r="C336" s="90" t="s">
        <v>815</v>
      </c>
      <c r="D336" s="90"/>
      <c r="E336" s="90"/>
      <c r="F336" s="90"/>
      <c r="G336" s="99">
        <f t="shared" ref="G336:H336" si="338">G47*G206</f>
        <v>0</v>
      </c>
      <c r="H336" s="99">
        <f t="shared" si="338"/>
        <v>0</v>
      </c>
      <c r="I336" s="99">
        <f t="shared" ref="I336:R336" si="339">I47*I206+10000</f>
        <v>49200</v>
      </c>
      <c r="J336" s="99">
        <f t="shared" si="339"/>
        <v>56400</v>
      </c>
      <c r="K336" s="99">
        <f t="shared" si="339"/>
        <v>60000</v>
      </c>
      <c r="L336" s="99">
        <f t="shared" si="339"/>
        <v>60000</v>
      </c>
      <c r="M336" s="99">
        <f t="shared" si="339"/>
        <v>60000</v>
      </c>
      <c r="N336" s="99">
        <f t="shared" si="339"/>
        <v>60000</v>
      </c>
      <c r="O336" s="99">
        <f t="shared" si="339"/>
        <v>60000</v>
      </c>
      <c r="P336" s="99">
        <f t="shared" si="339"/>
        <v>60000</v>
      </c>
      <c r="Q336" s="99">
        <f t="shared" si="339"/>
        <v>60000</v>
      </c>
      <c r="R336" s="99">
        <f t="shared" si="339"/>
        <v>60000</v>
      </c>
      <c r="AT336" s="308"/>
      <c r="AU336" s="308"/>
      <c r="AV336" s="308"/>
      <c r="AW336" s="308"/>
      <c r="AX336" s="308"/>
      <c r="AY336" s="308"/>
      <c r="AZ336" s="308"/>
      <c r="BA336" s="308"/>
      <c r="BB336" s="308"/>
      <c r="BC336" s="308"/>
      <c r="BD336" s="308"/>
      <c r="BE336" s="308"/>
      <c r="BF336" s="308"/>
      <c r="BG336" s="308"/>
    </row>
    <row r="337" ht="12.75" customHeight="1" outlineLevel="1">
      <c r="A337" s="90"/>
      <c r="B337" s="90"/>
      <c r="C337" s="90" t="s">
        <v>816</v>
      </c>
      <c r="D337" s="90"/>
      <c r="E337" s="90"/>
      <c r="F337" s="90"/>
      <c r="G337" s="99">
        <v>0.0</v>
      </c>
      <c r="H337" s="99">
        <f>H207+H208+H160*800</f>
        <v>1950</v>
      </c>
      <c r="I337" s="99">
        <f t="shared" ref="I337:R337" si="340">I207+I208*I160</f>
        <v>122562.5</v>
      </c>
      <c r="J337" s="99">
        <f t="shared" si="340"/>
        <v>10000</v>
      </c>
      <c r="K337" s="99">
        <f t="shared" si="340"/>
        <v>10750</v>
      </c>
      <c r="L337" s="99">
        <f t="shared" si="340"/>
        <v>10000</v>
      </c>
      <c r="M337" s="99">
        <f t="shared" si="340"/>
        <v>10000</v>
      </c>
      <c r="N337" s="99">
        <f t="shared" si="340"/>
        <v>10000</v>
      </c>
      <c r="O337" s="99">
        <f t="shared" si="340"/>
        <v>10000</v>
      </c>
      <c r="P337" s="99">
        <f t="shared" si="340"/>
        <v>10000</v>
      </c>
      <c r="Q337" s="99">
        <f t="shared" si="340"/>
        <v>10000</v>
      </c>
      <c r="R337" s="99">
        <f t="shared" si="340"/>
        <v>10000</v>
      </c>
      <c r="AT337" s="308"/>
      <c r="AU337" s="308" t="str">
        <f>'RS3'!AX337</f>
        <v/>
      </c>
      <c r="AV337" s="308" t="str">
        <f>'RS3'!AY337</f>
        <v/>
      </c>
      <c r="AW337" s="308" t="str">
        <f>'RS3'!AZ337</f>
        <v/>
      </c>
      <c r="AX337" s="308" t="str">
        <f>'RS3'!BA337</f>
        <v/>
      </c>
      <c r="AY337" s="308" t="str">
        <f>'RS3'!BB337</f>
        <v/>
      </c>
      <c r="AZ337" s="308" t="str">
        <f>'RS3'!BC337</f>
        <v/>
      </c>
      <c r="BA337" s="308" t="str">
        <f>'RS3'!BD337</f>
        <v/>
      </c>
      <c r="BB337" s="308" t="str">
        <f>'RS3'!BE337</f>
        <v/>
      </c>
      <c r="BC337" s="308" t="str">
        <f>'RS3'!BF337</f>
        <v/>
      </c>
      <c r="BD337" s="308" t="str">
        <f>'RS3'!BG337</f>
        <v/>
      </c>
      <c r="BE337" s="308" t="str">
        <f>'RS3'!BH337</f>
        <v/>
      </c>
      <c r="BF337" s="308" t="str">
        <f>'RS3'!BI337</f>
        <v/>
      </c>
      <c r="BG337" s="308" t="str">
        <f>'RS3'!BJ337</f>
        <v/>
      </c>
    </row>
    <row r="338" ht="12.75" customHeight="1" outlineLevel="1">
      <c r="A338" s="90"/>
      <c r="B338" s="87"/>
      <c r="C338" s="87" t="s">
        <v>817</v>
      </c>
      <c r="D338" s="87"/>
      <c r="E338" s="87"/>
      <c r="F338" s="87"/>
      <c r="G338" s="125">
        <f t="shared" ref="G338:H338" si="341">G196*G57</f>
        <v>0</v>
      </c>
      <c r="H338" s="125">
        <f t="shared" si="341"/>
        <v>0</v>
      </c>
      <c r="I338" s="125">
        <f t="shared" ref="I338:R338" si="342">I209*I56</f>
        <v>165580.8</v>
      </c>
      <c r="J338" s="125">
        <f t="shared" si="342"/>
        <v>195993.6</v>
      </c>
      <c r="K338" s="125">
        <f t="shared" si="342"/>
        <v>211200</v>
      </c>
      <c r="L338" s="125">
        <f t="shared" si="342"/>
        <v>211200</v>
      </c>
      <c r="M338" s="125">
        <f t="shared" si="342"/>
        <v>211200</v>
      </c>
      <c r="N338" s="125">
        <f t="shared" si="342"/>
        <v>211200</v>
      </c>
      <c r="O338" s="125">
        <f t="shared" si="342"/>
        <v>211200</v>
      </c>
      <c r="P338" s="125">
        <f t="shared" si="342"/>
        <v>211200</v>
      </c>
      <c r="Q338" s="125">
        <f t="shared" si="342"/>
        <v>211200</v>
      </c>
      <c r="R338" s="125">
        <f t="shared" si="342"/>
        <v>211200</v>
      </c>
      <c r="AT338" s="377"/>
      <c r="AU338" s="377" t="str">
        <f>'RS3'!AX339</f>
        <v/>
      </c>
      <c r="AV338" s="377" t="str">
        <f>'RS3'!AY339</f>
        <v/>
      </c>
      <c r="AW338" s="377" t="str">
        <f>'RS3'!AZ339</f>
        <v/>
      </c>
      <c r="AX338" s="377" t="str">
        <f>'RS3'!BA339</f>
        <v/>
      </c>
      <c r="AY338" s="377" t="str">
        <f>'RS3'!BB339</f>
        <v/>
      </c>
      <c r="AZ338" s="377" t="str">
        <f>'RS3'!BC339</f>
        <v/>
      </c>
      <c r="BA338" s="377" t="str">
        <f>'RS3'!BD339</f>
        <v/>
      </c>
      <c r="BB338" s="377" t="str">
        <f>'RS3'!BE339</f>
        <v/>
      </c>
      <c r="BC338" s="377" t="str">
        <f>'RS3'!BF339</f>
        <v/>
      </c>
      <c r="BD338" s="377" t="str">
        <f>'RS3'!BG339</f>
        <v/>
      </c>
      <c r="BE338" s="377" t="str">
        <f>'RS3'!BH339</f>
        <v/>
      </c>
      <c r="BF338" s="377" t="str">
        <f>'RS3'!BI339</f>
        <v/>
      </c>
      <c r="BG338" s="377" t="str">
        <f>'RS3'!BJ339</f>
        <v/>
      </c>
    </row>
    <row r="339" ht="12.75" customHeight="1" outlineLevel="1">
      <c r="A339" s="90"/>
      <c r="B339" s="67" t="s">
        <v>818</v>
      </c>
      <c r="C339" s="90"/>
      <c r="D339" s="90"/>
      <c r="E339" s="90"/>
      <c r="F339" s="90"/>
      <c r="G339" s="79">
        <f t="shared" ref="G339:R339" si="343">SUM(G333:G338)</f>
        <v>0</v>
      </c>
      <c r="H339" s="79">
        <f t="shared" si="343"/>
        <v>3950</v>
      </c>
      <c r="I339" s="79">
        <f t="shared" si="343"/>
        <v>505423.3</v>
      </c>
      <c r="J339" s="79">
        <f t="shared" si="343"/>
        <v>334153.6</v>
      </c>
      <c r="K339" s="79">
        <f t="shared" si="343"/>
        <v>350750</v>
      </c>
      <c r="L339" s="79">
        <f t="shared" si="343"/>
        <v>338700</v>
      </c>
      <c r="M339" s="79">
        <f t="shared" si="343"/>
        <v>338700</v>
      </c>
      <c r="N339" s="79">
        <f t="shared" si="343"/>
        <v>338700</v>
      </c>
      <c r="O339" s="79">
        <f t="shared" si="343"/>
        <v>338700</v>
      </c>
      <c r="P339" s="79">
        <f t="shared" si="343"/>
        <v>338700</v>
      </c>
      <c r="Q339" s="79">
        <f t="shared" si="343"/>
        <v>338700</v>
      </c>
      <c r="R339" s="79">
        <f t="shared" si="343"/>
        <v>338700</v>
      </c>
      <c r="AT339" s="378">
        <f t="shared" ref="AT339:BG339" si="344">SUM(AT333:AT338)</f>
        <v>0</v>
      </c>
      <c r="AU339" s="378">
        <f t="shared" si="344"/>
        <v>0</v>
      </c>
      <c r="AV339" s="378">
        <f t="shared" si="344"/>
        <v>0</v>
      </c>
      <c r="AW339" s="378">
        <f t="shared" si="344"/>
        <v>0</v>
      </c>
      <c r="AX339" s="378">
        <f t="shared" si="344"/>
        <v>0</v>
      </c>
      <c r="AY339" s="378">
        <f t="shared" si="344"/>
        <v>0</v>
      </c>
      <c r="AZ339" s="378">
        <f t="shared" si="344"/>
        <v>0</v>
      </c>
      <c r="BA339" s="378">
        <f t="shared" si="344"/>
        <v>0</v>
      </c>
      <c r="BB339" s="378">
        <f t="shared" si="344"/>
        <v>0</v>
      </c>
      <c r="BC339" s="378">
        <f t="shared" si="344"/>
        <v>0</v>
      </c>
      <c r="BD339" s="378">
        <f t="shared" si="344"/>
        <v>0</v>
      </c>
      <c r="BE339" s="378">
        <f t="shared" si="344"/>
        <v>0</v>
      </c>
      <c r="BF339" s="378">
        <f t="shared" si="344"/>
        <v>0</v>
      </c>
      <c r="BG339" s="378">
        <f t="shared" si="344"/>
        <v>0</v>
      </c>
    </row>
    <row r="340" ht="12.75" customHeight="1" outlineLevel="1">
      <c r="A340" s="90"/>
      <c r="B340" s="90"/>
      <c r="C340" s="90"/>
      <c r="D340" s="90"/>
      <c r="E340" s="90"/>
      <c r="F340" s="90"/>
      <c r="G340" s="99"/>
      <c r="H340" s="99"/>
      <c r="I340" s="99"/>
      <c r="J340" s="99"/>
      <c r="K340" s="99"/>
      <c r="L340" s="99"/>
      <c r="M340" s="99"/>
      <c r="N340" s="99"/>
      <c r="O340" s="152"/>
      <c r="P340" s="152"/>
      <c r="Q340" s="152"/>
      <c r="R340" s="152"/>
      <c r="AT340" s="352"/>
      <c r="AU340" s="352"/>
      <c r="AV340" s="352"/>
      <c r="AW340" s="352"/>
      <c r="AX340" s="352"/>
      <c r="AY340" s="352"/>
      <c r="AZ340" s="352"/>
      <c r="BA340" s="352"/>
      <c r="BB340" s="352"/>
      <c r="BC340" s="352"/>
      <c r="BD340" s="352"/>
      <c r="BE340" s="352"/>
      <c r="BF340" s="352"/>
      <c r="BG340" s="352"/>
    </row>
    <row r="341" ht="12.75" customHeight="1" outlineLevel="1">
      <c r="A341" s="90"/>
      <c r="B341" s="67" t="s">
        <v>626</v>
      </c>
      <c r="C341" s="90"/>
      <c r="D341" s="90"/>
      <c r="E341" s="90"/>
      <c r="F341" s="90"/>
      <c r="G341" s="99"/>
      <c r="H341" s="99"/>
      <c r="I341" s="99"/>
      <c r="J341" s="99"/>
      <c r="K341" s="99"/>
      <c r="L341" s="99"/>
      <c r="M341" s="99"/>
      <c r="N341" s="99"/>
      <c r="O341" s="99"/>
      <c r="P341" s="99"/>
      <c r="Q341" s="99"/>
      <c r="R341" s="99"/>
      <c r="AT341" s="308"/>
      <c r="AU341" s="308"/>
      <c r="AV341" s="308"/>
      <c r="AW341" s="308"/>
      <c r="AX341" s="308"/>
      <c r="AY341" s="308"/>
      <c r="AZ341" s="308"/>
      <c r="BA341" s="308"/>
      <c r="BB341" s="308"/>
      <c r="BC341" s="308"/>
      <c r="BD341" s="308"/>
      <c r="BE341" s="308"/>
      <c r="BF341" s="308"/>
      <c r="BG341" s="308"/>
    </row>
    <row r="342" ht="12.75" customHeight="1" outlineLevel="1">
      <c r="A342" s="90"/>
      <c r="B342" s="67"/>
      <c r="C342" s="90" t="s">
        <v>819</v>
      </c>
      <c r="D342" s="90"/>
      <c r="E342" s="90"/>
      <c r="F342" s="90"/>
      <c r="G342" s="99" t="str">
        <f t="shared" ref="G342:H342" si="345">G212</f>
        <v/>
      </c>
      <c r="H342" s="99">
        <f t="shared" si="345"/>
        <v>0</v>
      </c>
      <c r="I342" s="99">
        <f t="shared" ref="I342:R342" si="346">I212*I145</f>
        <v>7000</v>
      </c>
      <c r="J342" s="99">
        <f t="shared" si="346"/>
        <v>14000</v>
      </c>
      <c r="K342" s="99">
        <f t="shared" si="346"/>
        <v>17500</v>
      </c>
      <c r="L342" s="99">
        <f t="shared" si="346"/>
        <v>17500</v>
      </c>
      <c r="M342" s="99">
        <f t="shared" si="346"/>
        <v>17500</v>
      </c>
      <c r="N342" s="99">
        <f t="shared" si="346"/>
        <v>17500</v>
      </c>
      <c r="O342" s="99">
        <f t="shared" si="346"/>
        <v>17500</v>
      </c>
      <c r="P342" s="99">
        <f t="shared" si="346"/>
        <v>17500</v>
      </c>
      <c r="Q342" s="99">
        <f t="shared" si="346"/>
        <v>17500</v>
      </c>
      <c r="R342" s="99">
        <f t="shared" si="346"/>
        <v>17500</v>
      </c>
      <c r="AT342" s="308" t="str">
        <f>'RS3'!AW342</f>
        <v/>
      </c>
      <c r="AU342" s="308" t="str">
        <f>'RS3'!AX342</f>
        <v/>
      </c>
      <c r="AV342" s="308" t="str">
        <f>'RS3'!AY342</f>
        <v/>
      </c>
      <c r="AW342" s="308" t="str">
        <f>'RS3'!AZ342</f>
        <v/>
      </c>
      <c r="AX342" s="308" t="str">
        <f>'RS3'!BA342</f>
        <v/>
      </c>
      <c r="AY342" s="308" t="str">
        <f>'RS3'!BB342</f>
        <v/>
      </c>
      <c r="AZ342" s="308" t="str">
        <f>'RS3'!BC342</f>
        <v/>
      </c>
      <c r="BA342" s="308" t="str">
        <f>'RS3'!BD342</f>
        <v/>
      </c>
      <c r="BB342" s="308" t="str">
        <f>'RS3'!BE342</f>
        <v/>
      </c>
      <c r="BC342" s="308" t="str">
        <f>'RS3'!BF342</f>
        <v/>
      </c>
      <c r="BD342" s="308" t="str">
        <f>'RS3'!BG342</f>
        <v/>
      </c>
      <c r="BE342" s="308" t="str">
        <f>'RS3'!BH342</f>
        <v/>
      </c>
      <c r="BF342" s="308" t="str">
        <f>'RS3'!BI342</f>
        <v/>
      </c>
      <c r="BG342" s="308" t="str">
        <f>'RS3'!BJ342</f>
        <v/>
      </c>
    </row>
    <row r="343" ht="12.75" customHeight="1" outlineLevel="1">
      <c r="A343" s="90"/>
      <c r="B343" s="90"/>
      <c r="C343" s="90" t="s">
        <v>820</v>
      </c>
      <c r="D343" s="90"/>
      <c r="E343" s="90"/>
      <c r="F343" s="90"/>
      <c r="G343" s="99">
        <f t="shared" ref="G343:R343" si="347">G213*G148</f>
        <v>0</v>
      </c>
      <c r="H343" s="99">
        <f t="shared" si="347"/>
        <v>0</v>
      </c>
      <c r="I343" s="99">
        <f t="shared" si="347"/>
        <v>6300</v>
      </c>
      <c r="J343" s="99">
        <f t="shared" si="347"/>
        <v>6300</v>
      </c>
      <c r="K343" s="99">
        <f t="shared" si="347"/>
        <v>7000</v>
      </c>
      <c r="L343" s="99">
        <f t="shared" si="347"/>
        <v>7000</v>
      </c>
      <c r="M343" s="99">
        <f t="shared" si="347"/>
        <v>7000</v>
      </c>
      <c r="N343" s="99">
        <f t="shared" si="347"/>
        <v>7000</v>
      </c>
      <c r="O343" s="99">
        <f t="shared" si="347"/>
        <v>7000</v>
      </c>
      <c r="P343" s="99">
        <f t="shared" si="347"/>
        <v>7000</v>
      </c>
      <c r="Q343" s="99">
        <f t="shared" si="347"/>
        <v>7000</v>
      </c>
      <c r="R343" s="99">
        <f t="shared" si="347"/>
        <v>7000</v>
      </c>
      <c r="AT343" s="308" t="str">
        <f>'RS3'!AW343</f>
        <v/>
      </c>
      <c r="AU343" s="308" t="str">
        <f>'RS3'!AX343</f>
        <v/>
      </c>
      <c r="AV343" s="308" t="str">
        <f>'RS3'!AY343</f>
        <v/>
      </c>
      <c r="AW343" s="308" t="str">
        <f>'RS3'!AZ343</f>
        <v/>
      </c>
      <c r="AX343" s="308" t="str">
        <f>'RS3'!BA343</f>
        <v/>
      </c>
      <c r="AY343" s="308" t="str">
        <f>'RS3'!BB343</f>
        <v/>
      </c>
      <c r="AZ343" s="308" t="str">
        <f>'RS3'!BC343</f>
        <v/>
      </c>
      <c r="BA343" s="308" t="str">
        <f>'RS3'!BD343</f>
        <v/>
      </c>
      <c r="BB343" s="308" t="str">
        <f>'RS3'!BE343</f>
        <v/>
      </c>
      <c r="BC343" s="308" t="str">
        <f>'RS3'!BF343</f>
        <v/>
      </c>
      <c r="BD343" s="308" t="str">
        <f>'RS3'!BG343</f>
        <v/>
      </c>
      <c r="BE343" s="308" t="str">
        <f>'RS3'!BH343</f>
        <v/>
      </c>
      <c r="BF343" s="308" t="str">
        <f>'RS3'!BI343</f>
        <v/>
      </c>
      <c r="BG343" s="308" t="str">
        <f>'RS3'!BJ343</f>
        <v/>
      </c>
    </row>
    <row r="344" ht="12.75" customHeight="1" outlineLevel="1">
      <c r="A344" s="90"/>
      <c r="B344" s="90"/>
      <c r="C344" s="90" t="s">
        <v>821</v>
      </c>
      <c r="D344" s="90"/>
      <c r="E344" s="90"/>
      <c r="F344" s="90"/>
      <c r="G344" s="99">
        <f t="shared" ref="G344:R344" si="348">G214*G47</f>
        <v>0</v>
      </c>
      <c r="H344" s="99">
        <f t="shared" si="348"/>
        <v>0</v>
      </c>
      <c r="I344" s="99">
        <f t="shared" si="348"/>
        <v>0</v>
      </c>
      <c r="J344" s="99">
        <f t="shared" si="348"/>
        <v>0</v>
      </c>
      <c r="K344" s="99">
        <f t="shared" si="348"/>
        <v>0</v>
      </c>
      <c r="L344" s="99">
        <f t="shared" si="348"/>
        <v>0</v>
      </c>
      <c r="M344" s="99">
        <f t="shared" si="348"/>
        <v>0</v>
      </c>
      <c r="N344" s="99">
        <f t="shared" si="348"/>
        <v>0</v>
      </c>
      <c r="O344" s="99">
        <f t="shared" si="348"/>
        <v>0</v>
      </c>
      <c r="P344" s="99">
        <f t="shared" si="348"/>
        <v>0</v>
      </c>
      <c r="Q344" s="99">
        <f t="shared" si="348"/>
        <v>0</v>
      </c>
      <c r="R344" s="99">
        <f t="shared" si="348"/>
        <v>0</v>
      </c>
      <c r="AT344" s="308" t="str">
        <f>'RS3'!AW344</f>
        <v/>
      </c>
      <c r="AU344" s="308" t="str">
        <f>'RS3'!AX344</f>
        <v/>
      </c>
      <c r="AV344" s="308" t="str">
        <f>'RS3'!AY344</f>
        <v/>
      </c>
      <c r="AW344" s="308" t="str">
        <f>'RS3'!AZ344</f>
        <v/>
      </c>
      <c r="AX344" s="308" t="str">
        <f>'RS3'!BA344</f>
        <v/>
      </c>
      <c r="AY344" s="308" t="str">
        <f>'RS3'!BB344</f>
        <v/>
      </c>
      <c r="AZ344" s="308" t="str">
        <f>'RS3'!BC344</f>
        <v/>
      </c>
      <c r="BA344" s="308" t="str">
        <f>'RS3'!BD344</f>
        <v/>
      </c>
      <c r="BB344" s="308" t="str">
        <f>'RS3'!BE344</f>
        <v/>
      </c>
      <c r="BC344" s="308" t="str">
        <f>'RS3'!BF344</f>
        <v/>
      </c>
      <c r="BD344" s="308" t="str">
        <f>'RS3'!BG344</f>
        <v/>
      </c>
      <c r="BE344" s="308" t="str">
        <f>'RS3'!BH344</f>
        <v/>
      </c>
      <c r="BF344" s="308" t="str">
        <f>'RS3'!BI344</f>
        <v/>
      </c>
      <c r="BG344" s="308" t="str">
        <f>'RS3'!BJ344</f>
        <v/>
      </c>
    </row>
    <row r="345" ht="12.75" customHeight="1" outlineLevel="1">
      <c r="A345" s="90"/>
      <c r="B345" s="90"/>
      <c r="C345" s="90" t="s">
        <v>754</v>
      </c>
      <c r="D345" s="90"/>
      <c r="E345" s="90"/>
      <c r="F345" s="90"/>
      <c r="G345" s="99" t="str">
        <f t="shared" ref="G345:R345" si="349">G215</f>
        <v/>
      </c>
      <c r="H345" s="99">
        <f t="shared" si="349"/>
        <v>0</v>
      </c>
      <c r="I345" s="99">
        <f t="shared" si="349"/>
        <v>25000</v>
      </c>
      <c r="J345" s="99">
        <f t="shared" si="349"/>
        <v>25000</v>
      </c>
      <c r="K345" s="99">
        <f t="shared" si="349"/>
        <v>25000</v>
      </c>
      <c r="L345" s="99">
        <f t="shared" si="349"/>
        <v>25000</v>
      </c>
      <c r="M345" s="99">
        <f t="shared" si="349"/>
        <v>25000</v>
      </c>
      <c r="N345" s="99">
        <f t="shared" si="349"/>
        <v>25000</v>
      </c>
      <c r="O345" s="99">
        <f t="shared" si="349"/>
        <v>25000</v>
      </c>
      <c r="P345" s="99">
        <f t="shared" si="349"/>
        <v>25000</v>
      </c>
      <c r="Q345" s="99">
        <f t="shared" si="349"/>
        <v>25000</v>
      </c>
      <c r="R345" s="99">
        <f t="shared" si="349"/>
        <v>25000</v>
      </c>
      <c r="AT345" s="308" t="str">
        <f>'RS3'!AW345</f>
        <v/>
      </c>
      <c r="AU345" s="308" t="str">
        <f>'RS3'!AX345</f>
        <v/>
      </c>
      <c r="AV345" s="308" t="str">
        <f>'RS3'!AY345</f>
        <v/>
      </c>
      <c r="AW345" s="308" t="str">
        <f>'RS3'!AZ345</f>
        <v/>
      </c>
      <c r="AX345" s="308" t="str">
        <f>'RS3'!BA345</f>
        <v/>
      </c>
      <c r="AY345" s="308" t="str">
        <f>'RS3'!BB345</f>
        <v/>
      </c>
      <c r="AZ345" s="308" t="str">
        <f>'RS3'!BC345</f>
        <v/>
      </c>
      <c r="BA345" s="308" t="str">
        <f>'RS3'!BD345</f>
        <v/>
      </c>
      <c r="BB345" s="308" t="str">
        <f>'RS3'!BE345</f>
        <v/>
      </c>
      <c r="BC345" s="308" t="str">
        <f>'RS3'!BF345</f>
        <v/>
      </c>
      <c r="BD345" s="308" t="str">
        <f>'RS3'!BG345</f>
        <v/>
      </c>
      <c r="BE345" s="308" t="str">
        <f>'RS3'!BH345</f>
        <v/>
      </c>
      <c r="BF345" s="308" t="str">
        <f>'RS3'!BI345</f>
        <v/>
      </c>
      <c r="BG345" s="308" t="str">
        <f>'RS3'!BJ345</f>
        <v/>
      </c>
    </row>
    <row r="346" ht="12.75" customHeight="1" outlineLevel="1">
      <c r="A346" s="90"/>
      <c r="B346" s="90"/>
      <c r="C346" s="90" t="s">
        <v>755</v>
      </c>
      <c r="D346" s="90"/>
      <c r="E346" s="90"/>
      <c r="F346" s="90"/>
      <c r="G346" s="99" t="str">
        <f t="shared" ref="G346:R346" si="350">G216</f>
        <v/>
      </c>
      <c r="H346" s="99">
        <f t="shared" si="350"/>
        <v>0</v>
      </c>
      <c r="I346" s="99">
        <f t="shared" si="350"/>
        <v>55000</v>
      </c>
      <c r="J346" s="99">
        <f t="shared" si="350"/>
        <v>65000</v>
      </c>
      <c r="K346" s="99">
        <f t="shared" si="350"/>
        <v>65000</v>
      </c>
      <c r="L346" s="99">
        <f t="shared" si="350"/>
        <v>65000</v>
      </c>
      <c r="M346" s="99">
        <f t="shared" si="350"/>
        <v>65000</v>
      </c>
      <c r="N346" s="99">
        <f t="shared" si="350"/>
        <v>65000</v>
      </c>
      <c r="O346" s="99">
        <f t="shared" si="350"/>
        <v>65000</v>
      </c>
      <c r="P346" s="99">
        <f t="shared" si="350"/>
        <v>65000</v>
      </c>
      <c r="Q346" s="99">
        <f t="shared" si="350"/>
        <v>65000</v>
      </c>
      <c r="R346" s="99">
        <f t="shared" si="350"/>
        <v>65000</v>
      </c>
      <c r="AT346" s="308" t="str">
        <f>'RS3'!AW346</f>
        <v/>
      </c>
      <c r="AU346" s="308" t="str">
        <f>'RS3'!AX346</f>
        <v/>
      </c>
      <c r="AV346" s="308" t="str">
        <f>'RS3'!AY346</f>
        <v/>
      </c>
      <c r="AW346" s="308" t="str">
        <f>'RS3'!AZ346</f>
        <v/>
      </c>
      <c r="AX346" s="308" t="str">
        <f>'RS3'!BA346</f>
        <v/>
      </c>
      <c r="AY346" s="308" t="str">
        <f>'RS3'!BB346</f>
        <v/>
      </c>
      <c r="AZ346" s="308" t="str">
        <f>'RS3'!BC346</f>
        <v/>
      </c>
      <c r="BA346" s="308" t="str">
        <f>'RS3'!BD346</f>
        <v/>
      </c>
      <c r="BB346" s="308" t="str">
        <f>'RS3'!BE346</f>
        <v/>
      </c>
      <c r="BC346" s="308" t="str">
        <f>'RS3'!BF346</f>
        <v/>
      </c>
      <c r="BD346" s="308" t="str">
        <f>'RS3'!BG346</f>
        <v/>
      </c>
      <c r="BE346" s="308" t="str">
        <f>'RS3'!BH346</f>
        <v/>
      </c>
      <c r="BF346" s="308" t="str">
        <f>'RS3'!BI346</f>
        <v/>
      </c>
      <c r="BG346" s="308" t="str">
        <f>'RS3'!BJ346</f>
        <v/>
      </c>
    </row>
    <row r="347" ht="12.75" customHeight="1" outlineLevel="1">
      <c r="A347" s="90"/>
      <c r="B347" s="90"/>
      <c r="C347" s="90" t="s">
        <v>822</v>
      </c>
      <c r="D347" s="90"/>
      <c r="E347" s="90"/>
      <c r="F347" s="90"/>
      <c r="G347" s="99">
        <f t="shared" ref="G347:R347" si="351">G217*G148</f>
        <v>0</v>
      </c>
      <c r="H347" s="99">
        <f t="shared" si="351"/>
        <v>0</v>
      </c>
      <c r="I347" s="99">
        <f t="shared" si="351"/>
        <v>18000</v>
      </c>
      <c r="J347" s="99">
        <f t="shared" si="351"/>
        <v>18000</v>
      </c>
      <c r="K347" s="99">
        <f t="shared" si="351"/>
        <v>20000</v>
      </c>
      <c r="L347" s="99">
        <f t="shared" si="351"/>
        <v>20000</v>
      </c>
      <c r="M347" s="99">
        <f t="shared" si="351"/>
        <v>20000</v>
      </c>
      <c r="N347" s="99">
        <f t="shared" si="351"/>
        <v>20000</v>
      </c>
      <c r="O347" s="99">
        <f t="shared" si="351"/>
        <v>20000</v>
      </c>
      <c r="P347" s="99">
        <f t="shared" si="351"/>
        <v>20000</v>
      </c>
      <c r="Q347" s="99">
        <f t="shared" si="351"/>
        <v>20000</v>
      </c>
      <c r="R347" s="99">
        <f t="shared" si="351"/>
        <v>20000</v>
      </c>
      <c r="AT347" s="308" t="str">
        <f t="shared" ref="AT347:BG347" si="352">#REF!</f>
        <v>#REF!</v>
      </c>
      <c r="AU347" s="308" t="str">
        <f t="shared" si="352"/>
        <v>#REF!</v>
      </c>
      <c r="AV347" s="308" t="str">
        <f t="shared" si="352"/>
        <v>#REF!</v>
      </c>
      <c r="AW347" s="308" t="str">
        <f t="shared" si="352"/>
        <v>#REF!</v>
      </c>
      <c r="AX347" s="308" t="str">
        <f t="shared" si="352"/>
        <v>#REF!</v>
      </c>
      <c r="AY347" s="308" t="str">
        <f t="shared" si="352"/>
        <v>#REF!</v>
      </c>
      <c r="AZ347" s="308" t="str">
        <f t="shared" si="352"/>
        <v>#REF!</v>
      </c>
      <c r="BA347" s="308" t="str">
        <f t="shared" si="352"/>
        <v>#REF!</v>
      </c>
      <c r="BB347" s="308" t="str">
        <f t="shared" si="352"/>
        <v>#REF!</v>
      </c>
      <c r="BC347" s="308" t="str">
        <f t="shared" si="352"/>
        <v>#REF!</v>
      </c>
      <c r="BD347" s="308" t="str">
        <f t="shared" si="352"/>
        <v>#REF!</v>
      </c>
      <c r="BE347" s="308" t="str">
        <f t="shared" si="352"/>
        <v>#REF!</v>
      </c>
      <c r="BF347" s="308" t="str">
        <f t="shared" si="352"/>
        <v>#REF!</v>
      </c>
      <c r="BG347" s="308" t="str">
        <f t="shared" si="352"/>
        <v>#REF!</v>
      </c>
    </row>
    <row r="348" ht="12.75" customHeight="1" outlineLevel="1">
      <c r="A348" s="90"/>
      <c r="B348" s="90"/>
      <c r="C348" s="90" t="s">
        <v>332</v>
      </c>
      <c r="D348" s="90"/>
      <c r="E348" s="90"/>
      <c r="F348" s="90"/>
      <c r="G348" s="99">
        <v>0.0</v>
      </c>
      <c r="H348" s="99">
        <v>0.0</v>
      </c>
      <c r="I348" s="99">
        <v>20000.0</v>
      </c>
      <c r="J348" s="99">
        <v>20000.0</v>
      </c>
      <c r="K348" s="99">
        <v>20000.0</v>
      </c>
      <c r="L348" s="99">
        <v>20000.0</v>
      </c>
      <c r="M348" s="99">
        <v>20000.0</v>
      </c>
      <c r="N348" s="99">
        <v>20000.0</v>
      </c>
      <c r="O348" s="99">
        <v>20000.0</v>
      </c>
      <c r="P348" s="99">
        <v>20000.0</v>
      </c>
      <c r="Q348" s="99">
        <v>20000.0</v>
      </c>
      <c r="R348" s="99">
        <v>20000.0</v>
      </c>
      <c r="AT348" s="308" t="str">
        <f>'RS3'!AW348</f>
        <v/>
      </c>
      <c r="AU348" s="308" t="str">
        <f>'RS3'!AX348</f>
        <v/>
      </c>
      <c r="AV348" s="308" t="str">
        <f>'RS3'!AY348</f>
        <v/>
      </c>
      <c r="AW348" s="308" t="str">
        <f>'RS3'!AZ348</f>
        <v/>
      </c>
      <c r="AX348" s="308" t="str">
        <f>'RS3'!BA348</f>
        <v/>
      </c>
      <c r="AY348" s="308" t="str">
        <f>'RS3'!BB348</f>
        <v/>
      </c>
      <c r="AZ348" s="308" t="str">
        <f>'RS3'!BC348</f>
        <v/>
      </c>
      <c r="BA348" s="308" t="str">
        <f>'RS3'!BD348</f>
        <v/>
      </c>
      <c r="BB348" s="308" t="str">
        <f>'RS3'!BE348</f>
        <v/>
      </c>
      <c r="BC348" s="308" t="str">
        <f>'RS3'!BF348</f>
        <v/>
      </c>
      <c r="BD348" s="308" t="str">
        <f>'RS3'!BG348</f>
        <v/>
      </c>
      <c r="BE348" s="308" t="str">
        <f>'RS3'!BH348</f>
        <v/>
      </c>
      <c r="BF348" s="308" t="str">
        <f>'RS3'!BI348</f>
        <v/>
      </c>
      <c r="BG348" s="308" t="str">
        <f>'RS3'!BJ348</f>
        <v/>
      </c>
    </row>
    <row r="349" ht="12.75" customHeight="1" outlineLevel="1">
      <c r="A349" s="90"/>
      <c r="B349" s="90"/>
      <c r="C349" s="90" t="s">
        <v>823</v>
      </c>
      <c r="D349" s="90"/>
      <c r="E349" s="90"/>
      <c r="F349" s="90"/>
      <c r="G349" s="99"/>
      <c r="H349" s="99"/>
      <c r="I349" s="99"/>
      <c r="J349" s="99"/>
      <c r="K349" s="99"/>
      <c r="L349" s="99"/>
      <c r="M349" s="99"/>
      <c r="N349" s="99"/>
      <c r="O349" s="99"/>
      <c r="P349" s="99"/>
      <c r="Q349" s="99"/>
      <c r="R349" s="99"/>
      <c r="AT349" s="308"/>
      <c r="AU349" s="308"/>
      <c r="AV349" s="308"/>
      <c r="AW349" s="308"/>
      <c r="AX349" s="308"/>
      <c r="AY349" s="308"/>
      <c r="AZ349" s="308"/>
      <c r="BA349" s="308"/>
      <c r="BB349" s="308"/>
      <c r="BC349" s="308"/>
      <c r="BD349" s="308"/>
      <c r="BE349" s="308"/>
      <c r="BF349" s="308"/>
      <c r="BG349" s="308"/>
    </row>
    <row r="350" ht="12.75" customHeight="1" outlineLevel="1">
      <c r="A350" s="90"/>
      <c r="B350" s="90"/>
      <c r="C350" s="90"/>
      <c r="D350" s="90" t="s">
        <v>339</v>
      </c>
      <c r="E350" s="90"/>
      <c r="F350" s="90"/>
      <c r="G350" s="99" t="str">
        <f t="shared" ref="G350:R350" si="353">G219</f>
        <v/>
      </c>
      <c r="H350" s="99">
        <f t="shared" si="353"/>
        <v>3280</v>
      </c>
      <c r="I350" s="99">
        <f t="shared" si="353"/>
        <v>3280</v>
      </c>
      <c r="J350" s="99">
        <f t="shared" si="353"/>
        <v>600</v>
      </c>
      <c r="K350" s="99">
        <f t="shared" si="353"/>
        <v>600</v>
      </c>
      <c r="L350" s="99">
        <f t="shared" si="353"/>
        <v>600</v>
      </c>
      <c r="M350" s="99">
        <f t="shared" si="353"/>
        <v>600</v>
      </c>
      <c r="N350" s="99">
        <f t="shared" si="353"/>
        <v>600</v>
      </c>
      <c r="O350" s="99">
        <f t="shared" si="353"/>
        <v>600</v>
      </c>
      <c r="P350" s="99">
        <f t="shared" si="353"/>
        <v>600</v>
      </c>
      <c r="Q350" s="99">
        <f t="shared" si="353"/>
        <v>600</v>
      </c>
      <c r="R350" s="99">
        <f t="shared" si="353"/>
        <v>600</v>
      </c>
      <c r="AT350" s="308" t="str">
        <f>'RS3'!AW350</f>
        <v/>
      </c>
      <c r="AU350" s="308" t="str">
        <f>'RS3'!AX350</f>
        <v/>
      </c>
      <c r="AV350" s="308" t="str">
        <f>'RS3'!AY350</f>
        <v/>
      </c>
      <c r="AW350" s="308" t="str">
        <f>'RS3'!AZ350</f>
        <v/>
      </c>
      <c r="AX350" s="308" t="str">
        <f>'RS3'!BA350</f>
        <v/>
      </c>
      <c r="AY350" s="308" t="str">
        <f>'RS3'!BB350</f>
        <v/>
      </c>
      <c r="AZ350" s="308" t="str">
        <f>'RS3'!BC350</f>
        <v/>
      </c>
      <c r="BA350" s="308" t="str">
        <f>'RS3'!BD350</f>
        <v/>
      </c>
      <c r="BB350" s="308" t="str">
        <f>'RS3'!BE350</f>
        <v/>
      </c>
      <c r="BC350" s="308" t="str">
        <f>'RS3'!BF350</f>
        <v/>
      </c>
      <c r="BD350" s="308" t="str">
        <f>'RS3'!BG350</f>
        <v/>
      </c>
      <c r="BE350" s="308" t="str">
        <f>'RS3'!BH350</f>
        <v/>
      </c>
      <c r="BF350" s="308" t="str">
        <f>'RS3'!BI350</f>
        <v/>
      </c>
      <c r="BG350" s="308" t="str">
        <f>'RS3'!BJ350</f>
        <v/>
      </c>
    </row>
    <row r="351" ht="12.75" customHeight="1" outlineLevel="1">
      <c r="A351" s="90"/>
      <c r="B351" s="90"/>
      <c r="C351" s="90"/>
      <c r="D351" s="90" t="s">
        <v>824</v>
      </c>
      <c r="E351" s="90"/>
      <c r="F351" s="90"/>
      <c r="G351" s="99" t="str">
        <f t="shared" ref="G351:R351" si="354">G220</f>
        <v/>
      </c>
      <c r="H351" s="99">
        <f t="shared" si="354"/>
        <v>0</v>
      </c>
      <c r="I351" s="99">
        <f t="shared" si="354"/>
        <v>20000</v>
      </c>
      <c r="J351" s="99">
        <f t="shared" si="354"/>
        <v>30000</v>
      </c>
      <c r="K351" s="99">
        <f t="shared" si="354"/>
        <v>30000</v>
      </c>
      <c r="L351" s="99">
        <f t="shared" si="354"/>
        <v>30000</v>
      </c>
      <c r="M351" s="99">
        <f t="shared" si="354"/>
        <v>30000</v>
      </c>
      <c r="N351" s="99">
        <f t="shared" si="354"/>
        <v>30000</v>
      </c>
      <c r="O351" s="99">
        <f t="shared" si="354"/>
        <v>30000</v>
      </c>
      <c r="P351" s="99">
        <f t="shared" si="354"/>
        <v>30000</v>
      </c>
      <c r="Q351" s="99">
        <f t="shared" si="354"/>
        <v>30000</v>
      </c>
      <c r="R351" s="99">
        <f t="shared" si="354"/>
        <v>30000</v>
      </c>
      <c r="AT351" s="308" t="str">
        <f>'RS3'!AW351</f>
        <v/>
      </c>
      <c r="AU351" s="308" t="str">
        <f>'RS3'!AX351</f>
        <v/>
      </c>
      <c r="AV351" s="308" t="str">
        <f>'RS3'!AY351</f>
        <v/>
      </c>
      <c r="AW351" s="308" t="str">
        <f>'RS3'!AZ351</f>
        <v/>
      </c>
      <c r="AX351" s="308" t="str">
        <f>'RS3'!BA351</f>
        <v/>
      </c>
      <c r="AY351" s="308" t="str">
        <f>'RS3'!BB351</f>
        <v/>
      </c>
      <c r="AZ351" s="308" t="str">
        <f>'RS3'!BC351</f>
        <v/>
      </c>
      <c r="BA351" s="308" t="str">
        <f>'RS3'!BD351</f>
        <v/>
      </c>
      <c r="BB351" s="308" t="str">
        <f>'RS3'!BE351</f>
        <v/>
      </c>
      <c r="BC351" s="308" t="str">
        <f>'RS3'!BF351</f>
        <v/>
      </c>
      <c r="BD351" s="308" t="str">
        <f>'RS3'!BG351</f>
        <v/>
      </c>
      <c r="BE351" s="308" t="str">
        <f>'RS3'!BH351</f>
        <v/>
      </c>
      <c r="BF351" s="308" t="str">
        <f>'RS3'!BI351</f>
        <v/>
      </c>
      <c r="BG351" s="308" t="str">
        <f>'RS3'!BJ351</f>
        <v/>
      </c>
    </row>
    <row r="352" ht="12.75" customHeight="1" outlineLevel="1">
      <c r="A352" s="90"/>
      <c r="B352" s="90"/>
      <c r="C352" s="90"/>
      <c r="D352" s="90" t="s">
        <v>376</v>
      </c>
      <c r="E352" s="90"/>
      <c r="F352" s="90"/>
      <c r="G352" s="99" t="str">
        <f t="shared" ref="G352:R352" si="355">G221</f>
        <v/>
      </c>
      <c r="H352" s="99">
        <f t="shared" si="355"/>
        <v>0</v>
      </c>
      <c r="I352" s="99">
        <f t="shared" si="355"/>
        <v>8000</v>
      </c>
      <c r="J352" s="99">
        <f t="shared" si="355"/>
        <v>8000</v>
      </c>
      <c r="K352" s="99">
        <f t="shared" si="355"/>
        <v>8000</v>
      </c>
      <c r="L352" s="99">
        <f t="shared" si="355"/>
        <v>8000</v>
      </c>
      <c r="M352" s="99">
        <f t="shared" si="355"/>
        <v>8000</v>
      </c>
      <c r="N352" s="99">
        <f t="shared" si="355"/>
        <v>8000</v>
      </c>
      <c r="O352" s="99">
        <f t="shared" si="355"/>
        <v>8000</v>
      </c>
      <c r="P352" s="99">
        <f t="shared" si="355"/>
        <v>8000</v>
      </c>
      <c r="Q352" s="99">
        <f t="shared" si="355"/>
        <v>8000</v>
      </c>
      <c r="R352" s="99">
        <f t="shared" si="355"/>
        <v>8000</v>
      </c>
      <c r="AT352" s="308" t="str">
        <f>'RS3'!AW352</f>
        <v/>
      </c>
      <c r="AU352" s="308" t="str">
        <f>'RS3'!AX352</f>
        <v/>
      </c>
      <c r="AV352" s="308" t="str">
        <f>'RS3'!AY352</f>
        <v/>
      </c>
      <c r="AW352" s="308" t="str">
        <f>'RS3'!AZ352</f>
        <v/>
      </c>
      <c r="AX352" s="308" t="str">
        <f>'RS3'!BA352</f>
        <v/>
      </c>
      <c r="AY352" s="308" t="str">
        <f>'RS3'!BB352</f>
        <v/>
      </c>
      <c r="AZ352" s="308" t="str">
        <f>'RS3'!BC352</f>
        <v/>
      </c>
      <c r="BA352" s="308" t="str">
        <f>'RS3'!BD352</f>
        <v/>
      </c>
      <c r="BB352" s="308" t="str">
        <f>'RS3'!BE352</f>
        <v/>
      </c>
      <c r="BC352" s="308" t="str">
        <f>'RS3'!BF352</f>
        <v/>
      </c>
      <c r="BD352" s="308" t="str">
        <f>'RS3'!BG352</f>
        <v/>
      </c>
      <c r="BE352" s="308" t="str">
        <f>'RS3'!BH352</f>
        <v/>
      </c>
      <c r="BF352" s="308" t="str">
        <f>'RS3'!BI352</f>
        <v/>
      </c>
      <c r="BG352" s="308" t="str">
        <f>'RS3'!BJ352</f>
        <v/>
      </c>
    </row>
    <row r="353" ht="12.75" customHeight="1" outlineLevel="1">
      <c r="A353" s="90"/>
      <c r="B353" s="90"/>
      <c r="C353" s="90"/>
      <c r="D353" s="90" t="s">
        <v>759</v>
      </c>
      <c r="E353" s="90"/>
      <c r="F353" s="90"/>
      <c r="G353" s="99" t="str">
        <f t="shared" ref="G353:R353" si="356">G222</f>
        <v/>
      </c>
      <c r="H353" s="99">
        <f t="shared" si="356"/>
        <v>2500</v>
      </c>
      <c r="I353" s="99">
        <f t="shared" si="356"/>
        <v>1000</v>
      </c>
      <c r="J353" s="99">
        <f t="shared" si="356"/>
        <v>1000</v>
      </c>
      <c r="K353" s="99">
        <f t="shared" si="356"/>
        <v>1000</v>
      </c>
      <c r="L353" s="99">
        <f t="shared" si="356"/>
        <v>1000</v>
      </c>
      <c r="M353" s="99">
        <f t="shared" si="356"/>
        <v>1000</v>
      </c>
      <c r="N353" s="99">
        <f t="shared" si="356"/>
        <v>1000</v>
      </c>
      <c r="O353" s="99">
        <f t="shared" si="356"/>
        <v>1000</v>
      </c>
      <c r="P353" s="99">
        <f t="shared" si="356"/>
        <v>1000</v>
      </c>
      <c r="Q353" s="99">
        <f t="shared" si="356"/>
        <v>1000</v>
      </c>
      <c r="R353" s="99">
        <f t="shared" si="356"/>
        <v>1000</v>
      </c>
      <c r="AT353" s="308" t="str">
        <f>'RS3'!AW353</f>
        <v/>
      </c>
      <c r="AU353" s="308" t="str">
        <f>'RS3'!AX353</f>
        <v/>
      </c>
      <c r="AV353" s="308" t="str">
        <f>'RS3'!AY353</f>
        <v/>
      </c>
      <c r="AW353" s="308" t="str">
        <f>'RS3'!AZ353</f>
        <v/>
      </c>
      <c r="AX353" s="308" t="str">
        <f>'RS3'!BA353</f>
        <v/>
      </c>
      <c r="AY353" s="308" t="str">
        <f>'RS3'!BB353</f>
        <v/>
      </c>
      <c r="AZ353" s="308" t="str">
        <f>'RS3'!BC353</f>
        <v/>
      </c>
      <c r="BA353" s="308" t="str">
        <f>'RS3'!BD353</f>
        <v/>
      </c>
      <c r="BB353" s="308" t="str">
        <f>'RS3'!BE353</f>
        <v/>
      </c>
      <c r="BC353" s="308" t="str">
        <f>'RS3'!BF353</f>
        <v/>
      </c>
      <c r="BD353" s="308" t="str">
        <f>'RS3'!BG353</f>
        <v/>
      </c>
      <c r="BE353" s="308" t="str">
        <f>'RS3'!BH353</f>
        <v/>
      </c>
      <c r="BF353" s="308" t="str">
        <f>'RS3'!BI353</f>
        <v/>
      </c>
      <c r="BG353" s="308" t="str">
        <f>'RS3'!BJ353</f>
        <v/>
      </c>
    </row>
    <row r="354" ht="12.75" customHeight="1" outlineLevel="1">
      <c r="A354" s="90"/>
      <c r="B354" s="90"/>
      <c r="C354" s="90"/>
      <c r="D354" s="90" t="s">
        <v>760</v>
      </c>
      <c r="E354" s="90"/>
      <c r="F354" s="90"/>
      <c r="G354" s="99" t="str">
        <f t="shared" ref="G354:R354" si="357">G223</f>
        <v/>
      </c>
      <c r="H354" s="99">
        <f t="shared" si="357"/>
        <v>0</v>
      </c>
      <c r="I354" s="99">
        <f t="shared" si="357"/>
        <v>5000</v>
      </c>
      <c r="J354" s="99">
        <f t="shared" si="357"/>
        <v>5000</v>
      </c>
      <c r="K354" s="99">
        <f t="shared" si="357"/>
        <v>5000</v>
      </c>
      <c r="L354" s="99">
        <f t="shared" si="357"/>
        <v>5000</v>
      </c>
      <c r="M354" s="99">
        <f t="shared" si="357"/>
        <v>5000</v>
      </c>
      <c r="N354" s="99">
        <f t="shared" si="357"/>
        <v>5000</v>
      </c>
      <c r="O354" s="99">
        <f t="shared" si="357"/>
        <v>5000</v>
      </c>
      <c r="P354" s="99">
        <f t="shared" si="357"/>
        <v>5000</v>
      </c>
      <c r="Q354" s="99">
        <f t="shared" si="357"/>
        <v>5000</v>
      </c>
      <c r="R354" s="99">
        <f t="shared" si="357"/>
        <v>5000</v>
      </c>
      <c r="AT354" s="308" t="str">
        <f>'RS3'!AW354</f>
        <v/>
      </c>
      <c r="AU354" s="308" t="str">
        <f>'RS3'!AX354</f>
        <v/>
      </c>
      <c r="AV354" s="308" t="str">
        <f>'RS3'!AY354</f>
        <v/>
      </c>
      <c r="AW354" s="308" t="str">
        <f>'RS3'!AZ354</f>
        <v/>
      </c>
      <c r="AX354" s="308" t="str">
        <f>'RS3'!BA354</f>
        <v/>
      </c>
      <c r="AY354" s="308" t="str">
        <f>'RS3'!BB354</f>
        <v/>
      </c>
      <c r="AZ354" s="308" t="str">
        <f>'RS3'!BC354</f>
        <v/>
      </c>
      <c r="BA354" s="308" t="str">
        <f>'RS3'!BD354</f>
        <v/>
      </c>
      <c r="BB354" s="308" t="str">
        <f>'RS3'!BE354</f>
        <v/>
      </c>
      <c r="BC354" s="308" t="str">
        <f>'RS3'!BF354</f>
        <v/>
      </c>
      <c r="BD354" s="308" t="str">
        <f>'RS3'!BG354</f>
        <v/>
      </c>
      <c r="BE354" s="308" t="str">
        <f>'RS3'!BH354</f>
        <v/>
      </c>
      <c r="BF354" s="308" t="str">
        <f>'RS3'!BI354</f>
        <v/>
      </c>
      <c r="BG354" s="308" t="str">
        <f>'RS3'!BJ354</f>
        <v/>
      </c>
    </row>
    <row r="355" ht="12.75" customHeight="1" outlineLevel="1">
      <c r="A355" s="90"/>
      <c r="B355" s="90"/>
      <c r="C355" s="90"/>
      <c r="D355" s="90" t="s">
        <v>761</v>
      </c>
      <c r="E355" s="90"/>
      <c r="F355" s="90"/>
      <c r="G355" s="99" t="str">
        <f t="shared" ref="G355:R355" si="358">G224</f>
        <v/>
      </c>
      <c r="H355" s="99">
        <f t="shared" si="358"/>
        <v>2000</v>
      </c>
      <c r="I355" s="99" t="str">
        <f t="shared" si="358"/>
        <v/>
      </c>
      <c r="J355" s="99" t="str">
        <f t="shared" si="358"/>
        <v/>
      </c>
      <c r="K355" s="99" t="str">
        <f t="shared" si="358"/>
        <v/>
      </c>
      <c r="L355" s="99" t="str">
        <f t="shared" si="358"/>
        <v/>
      </c>
      <c r="M355" s="99" t="str">
        <f t="shared" si="358"/>
        <v/>
      </c>
      <c r="N355" s="99" t="str">
        <f t="shared" si="358"/>
        <v/>
      </c>
      <c r="O355" s="99" t="str">
        <f t="shared" si="358"/>
        <v/>
      </c>
      <c r="P355" s="99" t="str">
        <f t="shared" si="358"/>
        <v/>
      </c>
      <c r="Q355" s="99" t="str">
        <f t="shared" si="358"/>
        <v/>
      </c>
      <c r="R355" s="99" t="str">
        <f t="shared" si="358"/>
        <v/>
      </c>
      <c r="AT355" s="308" t="str">
        <f>'RS3'!AW355</f>
        <v/>
      </c>
      <c r="AU355" s="308" t="str">
        <f>'RS3'!AX355</f>
        <v/>
      </c>
      <c r="AV355" s="308" t="str">
        <f>'RS3'!AY355</f>
        <v/>
      </c>
      <c r="AW355" s="308" t="str">
        <f>'RS3'!AZ355</f>
        <v/>
      </c>
      <c r="AX355" s="308" t="str">
        <f>'RS3'!BA355</f>
        <v/>
      </c>
      <c r="AY355" s="308" t="str">
        <f>'RS3'!BB355</f>
        <v/>
      </c>
      <c r="AZ355" s="308" t="str">
        <f>'RS3'!BC355</f>
        <v/>
      </c>
      <c r="BA355" s="308" t="str">
        <f>'RS3'!BD355</f>
        <v/>
      </c>
      <c r="BB355" s="308" t="str">
        <f>'RS3'!BE355</f>
        <v/>
      </c>
      <c r="BC355" s="308" t="str">
        <f>'RS3'!BF355</f>
        <v/>
      </c>
      <c r="BD355" s="308" t="str">
        <f>'RS3'!BG355</f>
        <v/>
      </c>
      <c r="BE355" s="308" t="str">
        <f>'RS3'!BH355</f>
        <v/>
      </c>
      <c r="BF355" s="308" t="str">
        <f>'RS3'!BI355</f>
        <v/>
      </c>
      <c r="BG355" s="308" t="str">
        <f>'RS3'!BJ355</f>
        <v/>
      </c>
    </row>
    <row r="356" ht="12.75" customHeight="1" outlineLevel="1">
      <c r="A356" s="90"/>
      <c r="B356" s="90"/>
      <c r="C356" s="90"/>
      <c r="D356" s="90" t="s">
        <v>825</v>
      </c>
      <c r="E356" s="90"/>
      <c r="F356" s="90"/>
      <c r="G356" s="99" t="str">
        <f t="shared" ref="G356:R356" si="359">G225</f>
        <v/>
      </c>
      <c r="H356" s="99">
        <f t="shared" si="359"/>
        <v>0</v>
      </c>
      <c r="I356" s="99">
        <f t="shared" si="359"/>
        <v>6000</v>
      </c>
      <c r="J356" s="99">
        <f t="shared" si="359"/>
        <v>6000</v>
      </c>
      <c r="K356" s="99">
        <f t="shared" si="359"/>
        <v>6000</v>
      </c>
      <c r="L356" s="99">
        <f t="shared" si="359"/>
        <v>6000</v>
      </c>
      <c r="M356" s="99">
        <f t="shared" si="359"/>
        <v>6000</v>
      </c>
      <c r="N356" s="99">
        <f t="shared" si="359"/>
        <v>6000</v>
      </c>
      <c r="O356" s="99">
        <f t="shared" si="359"/>
        <v>6000</v>
      </c>
      <c r="P356" s="99">
        <f t="shared" si="359"/>
        <v>6000</v>
      </c>
      <c r="Q356" s="99">
        <f t="shared" si="359"/>
        <v>6000</v>
      </c>
      <c r="R356" s="99">
        <f t="shared" si="359"/>
        <v>6000</v>
      </c>
      <c r="AT356" s="308" t="str">
        <f>'RS3'!AW356</f>
        <v/>
      </c>
      <c r="AU356" s="308" t="str">
        <f>'RS3'!AX356</f>
        <v/>
      </c>
      <c r="AV356" s="308" t="str">
        <f>'RS3'!AY356</f>
        <v/>
      </c>
      <c r="AW356" s="308" t="str">
        <f>'RS3'!AZ356</f>
        <v/>
      </c>
      <c r="AX356" s="308" t="str">
        <f>'RS3'!BA356</f>
        <v/>
      </c>
      <c r="AY356" s="308" t="str">
        <f>'RS3'!BB356</f>
        <v/>
      </c>
      <c r="AZ356" s="308" t="str">
        <f>'RS3'!BC356</f>
        <v/>
      </c>
      <c r="BA356" s="308" t="str">
        <f>'RS3'!BD356</f>
        <v/>
      </c>
      <c r="BB356" s="308" t="str">
        <f>'RS3'!BE356</f>
        <v/>
      </c>
      <c r="BC356" s="308" t="str">
        <f>'RS3'!BF356</f>
        <v/>
      </c>
      <c r="BD356" s="308" t="str">
        <f>'RS3'!BG356</f>
        <v/>
      </c>
      <c r="BE356" s="308" t="str">
        <f>'RS3'!BH356</f>
        <v/>
      </c>
      <c r="BF356" s="308" t="str">
        <f>'RS3'!BI356</f>
        <v/>
      </c>
      <c r="BG356" s="308" t="str">
        <f>'RS3'!BJ356</f>
        <v/>
      </c>
    </row>
    <row r="357" ht="12.75" customHeight="1" outlineLevel="1">
      <c r="A357" s="90"/>
      <c r="B357" s="90"/>
      <c r="C357" s="90"/>
      <c r="D357" s="90" t="s">
        <v>763</v>
      </c>
      <c r="E357" s="90"/>
      <c r="F357" s="90"/>
      <c r="G357" s="99" t="str">
        <f t="shared" ref="G357:R357" si="360">G226</f>
        <v/>
      </c>
      <c r="H357" s="99" t="str">
        <f t="shared" si="360"/>
        <v/>
      </c>
      <c r="I357" s="99" t="str">
        <f t="shared" si="360"/>
        <v/>
      </c>
      <c r="J357" s="99" t="str">
        <f t="shared" si="360"/>
        <v/>
      </c>
      <c r="K357" s="99" t="str">
        <f t="shared" si="360"/>
        <v/>
      </c>
      <c r="L357" s="99" t="str">
        <f t="shared" si="360"/>
        <v/>
      </c>
      <c r="M357" s="99" t="str">
        <f t="shared" si="360"/>
        <v/>
      </c>
      <c r="N357" s="99" t="str">
        <f t="shared" si="360"/>
        <v/>
      </c>
      <c r="O357" s="99" t="str">
        <f t="shared" si="360"/>
        <v/>
      </c>
      <c r="P357" s="99" t="str">
        <f t="shared" si="360"/>
        <v/>
      </c>
      <c r="Q357" s="99" t="str">
        <f t="shared" si="360"/>
        <v/>
      </c>
      <c r="R357" s="99" t="str">
        <f t="shared" si="360"/>
        <v/>
      </c>
      <c r="AT357" s="308" t="str">
        <f>'RS3'!AW357</f>
        <v/>
      </c>
      <c r="AU357" s="308" t="str">
        <f>'RS3'!AX357</f>
        <v/>
      </c>
      <c r="AV357" s="308" t="str">
        <f>'RS3'!AY357</f>
        <v/>
      </c>
      <c r="AW357" s="308" t="str">
        <f>'RS3'!AZ357</f>
        <v/>
      </c>
      <c r="AX357" s="308" t="str">
        <f>'RS3'!BA357</f>
        <v/>
      </c>
      <c r="AY357" s="308" t="str">
        <f>'RS3'!BB357</f>
        <v/>
      </c>
      <c r="AZ357" s="308" t="str">
        <f>'RS3'!BC357</f>
        <v/>
      </c>
      <c r="BA357" s="308" t="str">
        <f>'RS3'!BD357</f>
        <v/>
      </c>
      <c r="BB357" s="308" t="str">
        <f>'RS3'!BE357</f>
        <v/>
      </c>
      <c r="BC357" s="308" t="str">
        <f>'RS3'!BF357</f>
        <v/>
      </c>
      <c r="BD357" s="308" t="str">
        <f>'RS3'!BG357</f>
        <v/>
      </c>
      <c r="BE357" s="308" t="str">
        <f>'RS3'!BH357</f>
        <v/>
      </c>
      <c r="BF357" s="308" t="str">
        <f>'RS3'!BI357</f>
        <v/>
      </c>
      <c r="BG357" s="308" t="str">
        <f>'RS3'!BJ357</f>
        <v/>
      </c>
    </row>
    <row r="358" ht="12.75" customHeight="1" outlineLevel="1">
      <c r="A358" s="90"/>
      <c r="B358" s="90"/>
      <c r="C358" s="90"/>
      <c r="D358" s="90" t="s">
        <v>826</v>
      </c>
      <c r="E358" s="90"/>
      <c r="F358" s="90"/>
      <c r="G358" s="99">
        <v>0.0</v>
      </c>
      <c r="H358" s="99">
        <v>0.0</v>
      </c>
      <c r="I358" s="99">
        <f t="shared" ref="I358:R358" si="361">I227</f>
        <v>300</v>
      </c>
      <c r="J358" s="99">
        <f t="shared" si="361"/>
        <v>300</v>
      </c>
      <c r="K358" s="99">
        <f t="shared" si="361"/>
        <v>300</v>
      </c>
      <c r="L358" s="99">
        <f t="shared" si="361"/>
        <v>300</v>
      </c>
      <c r="M358" s="99">
        <f t="shared" si="361"/>
        <v>300</v>
      </c>
      <c r="N358" s="99">
        <f t="shared" si="361"/>
        <v>300</v>
      </c>
      <c r="O358" s="99">
        <f t="shared" si="361"/>
        <v>300</v>
      </c>
      <c r="P358" s="99">
        <f t="shared" si="361"/>
        <v>300</v>
      </c>
      <c r="Q358" s="99">
        <f t="shared" si="361"/>
        <v>300</v>
      </c>
      <c r="R358" s="99">
        <f t="shared" si="361"/>
        <v>300</v>
      </c>
      <c r="AT358" s="308" t="str">
        <f>'RS3'!AW358</f>
        <v/>
      </c>
      <c r="AU358" s="308" t="str">
        <f>'RS3'!AX358</f>
        <v/>
      </c>
      <c r="AV358" s="308" t="str">
        <f>'RS3'!AY358</f>
        <v/>
      </c>
      <c r="AW358" s="308" t="str">
        <f>'RS3'!AZ358</f>
        <v/>
      </c>
      <c r="AX358" s="308" t="str">
        <f>'RS3'!BA358</f>
        <v/>
      </c>
      <c r="AY358" s="308" t="str">
        <f>'RS3'!BB358</f>
        <v/>
      </c>
      <c r="AZ358" s="308" t="str">
        <f>'RS3'!BC358</f>
        <v/>
      </c>
      <c r="BA358" s="308" t="str">
        <f>'RS3'!BD358</f>
        <v/>
      </c>
      <c r="BB358" s="308" t="str">
        <f>'RS3'!BE358</f>
        <v/>
      </c>
      <c r="BC358" s="308" t="str">
        <f>'RS3'!BF358</f>
        <v/>
      </c>
      <c r="BD358" s="308" t="str">
        <f>'RS3'!BG358</f>
        <v/>
      </c>
      <c r="BE358" s="308" t="str">
        <f>'RS3'!BH358</f>
        <v/>
      </c>
      <c r="BF358" s="308" t="str">
        <f>'RS3'!BI358</f>
        <v/>
      </c>
      <c r="BG358" s="308" t="str">
        <f>'RS3'!BJ358</f>
        <v/>
      </c>
    </row>
    <row r="359" ht="12.75" customHeight="1" outlineLevel="1">
      <c r="A359" s="90"/>
      <c r="B359" s="90"/>
      <c r="C359" s="90"/>
      <c r="D359" s="90" t="s">
        <v>355</v>
      </c>
      <c r="E359" s="90"/>
      <c r="F359" s="90"/>
      <c r="G359" s="99" t="str">
        <f t="shared" ref="G359:H359" si="362">G227</f>
        <v/>
      </c>
      <c r="H359" s="99">
        <f t="shared" si="362"/>
        <v>0</v>
      </c>
      <c r="I359" s="99">
        <f t="shared" ref="I359:R359" si="363">I228</f>
        <v>1500</v>
      </c>
      <c r="J359" s="99">
        <f t="shared" si="363"/>
        <v>1500</v>
      </c>
      <c r="K359" s="99">
        <f t="shared" si="363"/>
        <v>1500</v>
      </c>
      <c r="L359" s="99">
        <f t="shared" si="363"/>
        <v>1500</v>
      </c>
      <c r="M359" s="99">
        <f t="shared" si="363"/>
        <v>1500</v>
      </c>
      <c r="N359" s="99">
        <f t="shared" si="363"/>
        <v>1500</v>
      </c>
      <c r="O359" s="99">
        <f t="shared" si="363"/>
        <v>1500</v>
      </c>
      <c r="P359" s="99">
        <f t="shared" si="363"/>
        <v>1500</v>
      </c>
      <c r="Q359" s="99">
        <f t="shared" si="363"/>
        <v>1500</v>
      </c>
      <c r="R359" s="99">
        <f t="shared" si="363"/>
        <v>1500</v>
      </c>
      <c r="AT359" s="308" t="str">
        <f>'RS3'!AW359</f>
        <v/>
      </c>
      <c r="AU359" s="308" t="str">
        <f>'RS3'!AX359</f>
        <v/>
      </c>
      <c r="AV359" s="308" t="str">
        <f>'RS3'!AY359</f>
        <v/>
      </c>
      <c r="AW359" s="308" t="str">
        <f>'RS3'!AZ359</f>
        <v/>
      </c>
      <c r="AX359" s="308" t="str">
        <f>'RS3'!BA359</f>
        <v/>
      </c>
      <c r="AY359" s="308" t="str">
        <f>'RS3'!BB359</f>
        <v/>
      </c>
      <c r="AZ359" s="308" t="str">
        <f>'RS3'!BC359</f>
        <v/>
      </c>
      <c r="BA359" s="308" t="str">
        <f>'RS3'!BD359</f>
        <v/>
      </c>
      <c r="BB359" s="308" t="str">
        <f>'RS3'!BE359</f>
        <v/>
      </c>
      <c r="BC359" s="308" t="str">
        <f>'RS3'!BF359</f>
        <v/>
      </c>
      <c r="BD359" s="308" t="str">
        <f>'RS3'!BG359</f>
        <v/>
      </c>
      <c r="BE359" s="308" t="str">
        <f>'RS3'!BH359</f>
        <v/>
      </c>
      <c r="BF359" s="308" t="str">
        <f>'RS3'!BI359</f>
        <v/>
      </c>
      <c r="BG359" s="308" t="str">
        <f>'RS3'!BJ359</f>
        <v/>
      </c>
    </row>
    <row r="360" ht="12.75" customHeight="1" outlineLevel="1">
      <c r="A360" s="90"/>
      <c r="B360" s="90"/>
      <c r="C360" s="90"/>
      <c r="D360" s="90" t="s">
        <v>765</v>
      </c>
      <c r="E360" s="90"/>
      <c r="F360" s="90"/>
      <c r="G360" s="99" t="str">
        <f t="shared" ref="G360:H360" si="364">G228</f>
        <v/>
      </c>
      <c r="H360" s="99">
        <f t="shared" si="364"/>
        <v>0</v>
      </c>
      <c r="I360" s="99">
        <f t="shared" ref="I360:R360" si="365">I229</f>
        <v>0</v>
      </c>
      <c r="J360" s="99">
        <f t="shared" si="365"/>
        <v>0</v>
      </c>
      <c r="K360" s="99">
        <f t="shared" si="365"/>
        <v>0</v>
      </c>
      <c r="L360" s="99">
        <f t="shared" si="365"/>
        <v>0</v>
      </c>
      <c r="M360" s="99">
        <f t="shared" si="365"/>
        <v>0</v>
      </c>
      <c r="N360" s="99">
        <f t="shared" si="365"/>
        <v>0</v>
      </c>
      <c r="O360" s="99">
        <f t="shared" si="365"/>
        <v>0</v>
      </c>
      <c r="P360" s="99">
        <f t="shared" si="365"/>
        <v>0</v>
      </c>
      <c r="Q360" s="99">
        <f t="shared" si="365"/>
        <v>0</v>
      </c>
      <c r="R360" s="99">
        <f t="shared" si="365"/>
        <v>0</v>
      </c>
      <c r="AT360" s="308" t="str">
        <f>'RS3'!AW360</f>
        <v/>
      </c>
      <c r="AU360" s="308" t="str">
        <f>'RS3'!AX360</f>
        <v/>
      </c>
      <c r="AV360" s="308" t="str">
        <f>'RS3'!AY360</f>
        <v/>
      </c>
      <c r="AW360" s="308" t="str">
        <f>'RS3'!AZ360</f>
        <v/>
      </c>
      <c r="AX360" s="308" t="str">
        <f>'RS3'!BA360</f>
        <v/>
      </c>
      <c r="AY360" s="308" t="str">
        <f>'RS3'!BB360</f>
        <v/>
      </c>
      <c r="AZ360" s="308" t="str">
        <f>'RS3'!BC360</f>
        <v/>
      </c>
      <c r="BA360" s="308" t="str">
        <f>'RS3'!BD360</f>
        <v/>
      </c>
      <c r="BB360" s="308" t="str">
        <f>'RS3'!BE360</f>
        <v/>
      </c>
      <c r="BC360" s="308" t="str">
        <f>'RS3'!BF360</f>
        <v/>
      </c>
      <c r="BD360" s="308" t="str">
        <f>'RS3'!BG360</f>
        <v/>
      </c>
      <c r="BE360" s="308" t="str">
        <f>'RS3'!BH360</f>
        <v/>
      </c>
      <c r="BF360" s="308" t="str">
        <f>'RS3'!BI360</f>
        <v/>
      </c>
      <c r="BG360" s="308" t="str">
        <f>'RS3'!BJ360</f>
        <v/>
      </c>
    </row>
    <row r="361" ht="12.75" customHeight="1" outlineLevel="1">
      <c r="A361" s="90"/>
      <c r="B361" s="90"/>
      <c r="C361" s="90"/>
      <c r="D361" s="90" t="s">
        <v>465</v>
      </c>
      <c r="E361" s="90"/>
      <c r="F361" s="90"/>
      <c r="G361" s="99">
        <v>0.0</v>
      </c>
      <c r="H361" s="99">
        <v>0.0</v>
      </c>
      <c r="I361" s="99" t="str">
        <f t="shared" ref="I361:R361" si="366">I230</f>
        <v/>
      </c>
      <c r="J361" s="99" t="str">
        <f t="shared" si="366"/>
        <v/>
      </c>
      <c r="K361" s="99" t="str">
        <f t="shared" si="366"/>
        <v/>
      </c>
      <c r="L361" s="99" t="str">
        <f t="shared" si="366"/>
        <v/>
      </c>
      <c r="M361" s="99" t="str">
        <f t="shared" si="366"/>
        <v/>
      </c>
      <c r="N361" s="99" t="str">
        <f t="shared" si="366"/>
        <v/>
      </c>
      <c r="O361" s="99" t="str">
        <f t="shared" si="366"/>
        <v/>
      </c>
      <c r="P361" s="99" t="str">
        <f t="shared" si="366"/>
        <v/>
      </c>
      <c r="Q361" s="99" t="str">
        <f t="shared" si="366"/>
        <v/>
      </c>
      <c r="R361" s="99" t="str">
        <f t="shared" si="366"/>
        <v/>
      </c>
      <c r="AT361" s="308" t="str">
        <f>'RS3'!AW361</f>
        <v/>
      </c>
      <c r="AU361" s="308" t="str">
        <f>'RS3'!AX361</f>
        <v/>
      </c>
      <c r="AV361" s="308" t="str">
        <f>'RS3'!AY361</f>
        <v/>
      </c>
      <c r="AW361" s="308" t="str">
        <f>'RS3'!AZ361</f>
        <v/>
      </c>
      <c r="AX361" s="308" t="str">
        <f>'RS3'!BA361</f>
        <v/>
      </c>
      <c r="AY361" s="308" t="str">
        <f>'RS3'!BB361</f>
        <v/>
      </c>
      <c r="AZ361" s="308" t="str">
        <f>'RS3'!BC361</f>
        <v/>
      </c>
      <c r="BA361" s="308" t="str">
        <f>'RS3'!BD361</f>
        <v/>
      </c>
      <c r="BB361" s="308" t="str">
        <f>'RS3'!BE361</f>
        <v/>
      </c>
      <c r="BC361" s="308" t="str">
        <f>'RS3'!BF361</f>
        <v/>
      </c>
      <c r="BD361" s="308" t="str">
        <f>'RS3'!BG361</f>
        <v/>
      </c>
      <c r="BE361" s="308" t="str">
        <f>'RS3'!BH361</f>
        <v/>
      </c>
      <c r="BF361" s="308" t="str">
        <f>'RS3'!BI361</f>
        <v/>
      </c>
      <c r="BG361" s="308" t="str">
        <f>'RS3'!BJ361</f>
        <v/>
      </c>
    </row>
    <row r="362" ht="12.75" customHeight="1" outlineLevel="1">
      <c r="A362" s="90"/>
      <c r="B362" s="90"/>
      <c r="C362" s="90" t="s">
        <v>827</v>
      </c>
      <c r="D362" s="90"/>
      <c r="E362" s="90"/>
      <c r="F362" s="90"/>
      <c r="G362" s="99"/>
      <c r="H362" s="99"/>
      <c r="I362" s="99"/>
      <c r="J362" s="99"/>
      <c r="K362" s="99"/>
      <c r="L362" s="99"/>
      <c r="M362" s="99"/>
      <c r="N362" s="99"/>
      <c r="O362" s="99"/>
      <c r="P362" s="99"/>
      <c r="Q362" s="99"/>
      <c r="R362" s="99"/>
      <c r="AT362" s="308"/>
      <c r="AU362" s="308"/>
      <c r="AV362" s="308"/>
      <c r="AW362" s="308"/>
      <c r="AX362" s="308"/>
      <c r="AY362" s="308"/>
      <c r="AZ362" s="308"/>
      <c r="BA362" s="308"/>
      <c r="BB362" s="308"/>
      <c r="BC362" s="308"/>
      <c r="BD362" s="308"/>
      <c r="BE362" s="308"/>
      <c r="BF362" s="308"/>
      <c r="BG362" s="308"/>
    </row>
    <row r="363" ht="12.75" customHeight="1" outlineLevel="1">
      <c r="A363" s="90"/>
      <c r="B363" s="90"/>
      <c r="C363" s="90"/>
      <c r="D363" s="90" t="s">
        <v>768</v>
      </c>
      <c r="E363" s="90"/>
      <c r="F363" s="90"/>
      <c r="G363" s="99">
        <f t="shared" ref="G363:H363" si="367">G231*G$47</f>
        <v>0</v>
      </c>
      <c r="H363" s="99">
        <f t="shared" si="367"/>
        <v>0</v>
      </c>
      <c r="I363" s="99">
        <f t="shared" ref="I363:R363" si="368">I$47*I231</f>
        <v>1499.4</v>
      </c>
      <c r="J363" s="99">
        <f t="shared" si="368"/>
        <v>1774.8</v>
      </c>
      <c r="K363" s="99">
        <f t="shared" si="368"/>
        <v>1912.5</v>
      </c>
      <c r="L363" s="99">
        <f t="shared" si="368"/>
        <v>1912.5</v>
      </c>
      <c r="M363" s="99">
        <f t="shared" si="368"/>
        <v>1912.5</v>
      </c>
      <c r="N363" s="99">
        <f t="shared" si="368"/>
        <v>1912.5</v>
      </c>
      <c r="O363" s="99">
        <f t="shared" si="368"/>
        <v>1912.5</v>
      </c>
      <c r="P363" s="99">
        <f t="shared" si="368"/>
        <v>1912.5</v>
      </c>
      <c r="Q363" s="99">
        <f t="shared" si="368"/>
        <v>1912.5</v>
      </c>
      <c r="R363" s="99">
        <f t="shared" si="368"/>
        <v>1912.5</v>
      </c>
      <c r="AT363" s="308" t="str">
        <f>'RS3'!AW363</f>
        <v/>
      </c>
      <c r="AU363" s="308" t="str">
        <f>'RS3'!AX363</f>
        <v/>
      </c>
      <c r="AV363" s="308" t="str">
        <f>'RS3'!AY363</f>
        <v/>
      </c>
      <c r="AW363" s="308" t="str">
        <f>'RS3'!AZ363</f>
        <v/>
      </c>
      <c r="AX363" s="308" t="str">
        <f>'RS3'!BA363</f>
        <v/>
      </c>
      <c r="AY363" s="308" t="str">
        <f>'RS3'!BB363</f>
        <v/>
      </c>
      <c r="AZ363" s="308" t="str">
        <f>'RS3'!BC363</f>
        <v/>
      </c>
      <c r="BA363" s="308" t="str">
        <f>'RS3'!BD363</f>
        <v/>
      </c>
      <c r="BB363" s="308" t="str">
        <f>'RS3'!BE363</f>
        <v/>
      </c>
      <c r="BC363" s="308" t="str">
        <f>'RS3'!BF363</f>
        <v/>
      </c>
      <c r="BD363" s="308" t="str">
        <f>'RS3'!BG363</f>
        <v/>
      </c>
      <c r="BE363" s="308" t="str">
        <f>'RS3'!BH363</f>
        <v/>
      </c>
      <c r="BF363" s="308" t="str">
        <f>'RS3'!BI363</f>
        <v/>
      </c>
      <c r="BG363" s="308" t="str">
        <f>'RS3'!BJ363</f>
        <v/>
      </c>
    </row>
    <row r="364" ht="12.75" customHeight="1" outlineLevel="1">
      <c r="A364" s="90"/>
      <c r="B364" s="90"/>
      <c r="C364" s="90"/>
      <c r="D364" s="90" t="s">
        <v>769</v>
      </c>
      <c r="E364" s="90"/>
      <c r="F364" s="90"/>
      <c r="G364" s="99">
        <f t="shared" ref="G364:H364" si="369">G232*G$47</f>
        <v>0</v>
      </c>
      <c r="H364" s="99">
        <f t="shared" si="369"/>
        <v>0</v>
      </c>
      <c r="I364" s="99">
        <f t="shared" ref="I364:R364" si="370">I$47*I232</f>
        <v>20384</v>
      </c>
      <c r="J364" s="99">
        <f t="shared" si="370"/>
        <v>24128</v>
      </c>
      <c r="K364" s="99">
        <f t="shared" si="370"/>
        <v>26000</v>
      </c>
      <c r="L364" s="99">
        <f t="shared" si="370"/>
        <v>26000</v>
      </c>
      <c r="M364" s="99">
        <f t="shared" si="370"/>
        <v>26000</v>
      </c>
      <c r="N364" s="99">
        <f t="shared" si="370"/>
        <v>26000</v>
      </c>
      <c r="O364" s="99">
        <f t="shared" si="370"/>
        <v>26000</v>
      </c>
      <c r="P364" s="99">
        <f t="shared" si="370"/>
        <v>26000</v>
      </c>
      <c r="Q364" s="99">
        <f t="shared" si="370"/>
        <v>26000</v>
      </c>
      <c r="R364" s="99">
        <f t="shared" si="370"/>
        <v>26000</v>
      </c>
      <c r="AT364" s="308" t="str">
        <f>'RS3'!AW364</f>
        <v/>
      </c>
      <c r="AU364" s="308" t="str">
        <f>'RS3'!AX364</f>
        <v/>
      </c>
      <c r="AV364" s="308" t="str">
        <f>'RS3'!AY364</f>
        <v/>
      </c>
      <c r="AW364" s="308" t="str">
        <f>'RS3'!AZ364</f>
        <v/>
      </c>
      <c r="AX364" s="308" t="str">
        <f>'RS3'!BA364</f>
        <v/>
      </c>
      <c r="AY364" s="308" t="str">
        <f>'RS3'!BB364</f>
        <v/>
      </c>
      <c r="AZ364" s="308" t="str">
        <f>'RS3'!BC364</f>
        <v/>
      </c>
      <c r="BA364" s="308" t="str">
        <f>'RS3'!BD364</f>
        <v/>
      </c>
      <c r="BB364" s="308" t="str">
        <f>'RS3'!BE364</f>
        <v/>
      </c>
      <c r="BC364" s="308" t="str">
        <f>'RS3'!BF364</f>
        <v/>
      </c>
      <c r="BD364" s="308" t="str">
        <f>'RS3'!BG364</f>
        <v/>
      </c>
      <c r="BE364" s="308" t="str">
        <f>'RS3'!BH364</f>
        <v/>
      </c>
      <c r="BF364" s="308" t="str">
        <f>'RS3'!BI364</f>
        <v/>
      </c>
      <c r="BG364" s="308" t="str">
        <f>'RS3'!BJ364</f>
        <v/>
      </c>
    </row>
    <row r="365" ht="12.75" customHeight="1" outlineLevel="1">
      <c r="A365" s="90"/>
      <c r="B365" s="90"/>
      <c r="C365" s="90"/>
      <c r="D365" s="90" t="s">
        <v>770</v>
      </c>
      <c r="E365" s="90"/>
      <c r="F365" s="90"/>
      <c r="G365" s="99">
        <f t="shared" ref="G365:H365" si="371">G233*G$47</f>
        <v>0</v>
      </c>
      <c r="H365" s="99">
        <f t="shared" si="371"/>
        <v>0</v>
      </c>
      <c r="I365" s="99">
        <f t="shared" ref="I365:R365" si="372">I$47*I233</f>
        <v>3748.5</v>
      </c>
      <c r="J365" s="99">
        <f t="shared" si="372"/>
        <v>4437</v>
      </c>
      <c r="K365" s="99">
        <f t="shared" si="372"/>
        <v>4781.25</v>
      </c>
      <c r="L365" s="99">
        <f t="shared" si="372"/>
        <v>4781.25</v>
      </c>
      <c r="M365" s="99">
        <f t="shared" si="372"/>
        <v>4781.25</v>
      </c>
      <c r="N365" s="99">
        <f t="shared" si="372"/>
        <v>4781.25</v>
      </c>
      <c r="O365" s="99">
        <f t="shared" si="372"/>
        <v>4781.25</v>
      </c>
      <c r="P365" s="99">
        <f t="shared" si="372"/>
        <v>4781.25</v>
      </c>
      <c r="Q365" s="99">
        <f t="shared" si="372"/>
        <v>4781.25</v>
      </c>
      <c r="R365" s="99">
        <f t="shared" si="372"/>
        <v>4781.25</v>
      </c>
      <c r="AT365" s="308" t="str">
        <f>'RS3'!AW365</f>
        <v/>
      </c>
      <c r="AU365" s="308" t="str">
        <f>'RS3'!AX365</f>
        <v/>
      </c>
      <c r="AV365" s="308" t="str">
        <f>'RS3'!AY365</f>
        <v/>
      </c>
      <c r="AW365" s="308" t="str">
        <f>'RS3'!AZ365</f>
        <v/>
      </c>
      <c r="AX365" s="308" t="str">
        <f>'RS3'!BA365</f>
        <v/>
      </c>
      <c r="AY365" s="308" t="str">
        <f>'RS3'!BB365</f>
        <v/>
      </c>
      <c r="AZ365" s="308" t="str">
        <f>'RS3'!BC365</f>
        <v/>
      </c>
      <c r="BA365" s="308" t="str">
        <f>'RS3'!BD365</f>
        <v/>
      </c>
      <c r="BB365" s="308" t="str">
        <f>'RS3'!BE365</f>
        <v/>
      </c>
      <c r="BC365" s="308" t="str">
        <f>'RS3'!BF365</f>
        <v/>
      </c>
      <c r="BD365" s="308" t="str">
        <f>'RS3'!BG365</f>
        <v/>
      </c>
      <c r="BE365" s="308" t="str">
        <f>'RS3'!BH365</f>
        <v/>
      </c>
      <c r="BF365" s="308" t="str">
        <f>'RS3'!BI365</f>
        <v/>
      </c>
      <c r="BG365" s="308" t="str">
        <f>'RS3'!BJ365</f>
        <v/>
      </c>
    </row>
    <row r="366" ht="12.75" customHeight="1" outlineLevel="1">
      <c r="A366" s="90"/>
      <c r="B366" s="90"/>
      <c r="C366" s="90"/>
      <c r="D366" s="90" t="s">
        <v>771</v>
      </c>
      <c r="E366" s="90"/>
      <c r="F366" s="90"/>
      <c r="G366" s="99">
        <f t="shared" ref="G366:H366" si="373">G234*G$47</f>
        <v>0</v>
      </c>
      <c r="H366" s="99">
        <f t="shared" si="373"/>
        <v>0</v>
      </c>
      <c r="I366" s="99">
        <f t="shared" ref="I366:R366" si="374">I$47*I234</f>
        <v>1249.5</v>
      </c>
      <c r="J366" s="99">
        <f t="shared" si="374"/>
        <v>1479</v>
      </c>
      <c r="K366" s="99">
        <f t="shared" si="374"/>
        <v>1593.75</v>
      </c>
      <c r="L366" s="99">
        <f t="shared" si="374"/>
        <v>1593.75</v>
      </c>
      <c r="M366" s="99">
        <f t="shared" si="374"/>
        <v>1593.75</v>
      </c>
      <c r="N366" s="99">
        <f t="shared" si="374"/>
        <v>1593.75</v>
      </c>
      <c r="O366" s="99">
        <f t="shared" si="374"/>
        <v>1593.75</v>
      </c>
      <c r="P366" s="99">
        <f t="shared" si="374"/>
        <v>1593.75</v>
      </c>
      <c r="Q366" s="99">
        <f t="shared" si="374"/>
        <v>1593.75</v>
      </c>
      <c r="R366" s="99">
        <f t="shared" si="374"/>
        <v>1593.75</v>
      </c>
      <c r="AT366" s="308" t="str">
        <f>'RS3'!AW366</f>
        <v/>
      </c>
      <c r="AU366" s="308" t="str">
        <f>'RS3'!AX366</f>
        <v/>
      </c>
      <c r="AV366" s="308" t="str">
        <f>'RS3'!AY366</f>
        <v/>
      </c>
      <c r="AW366" s="308" t="str">
        <f>'RS3'!AZ366</f>
        <v/>
      </c>
      <c r="AX366" s="308" t="str">
        <f>'RS3'!BA366</f>
        <v/>
      </c>
      <c r="AY366" s="308" t="str">
        <f>'RS3'!BB366</f>
        <v/>
      </c>
      <c r="AZ366" s="308" t="str">
        <f>'RS3'!BC366</f>
        <v/>
      </c>
      <c r="BA366" s="308" t="str">
        <f>'RS3'!BD366</f>
        <v/>
      </c>
      <c r="BB366" s="308" t="str">
        <f>'RS3'!BE366</f>
        <v/>
      </c>
      <c r="BC366" s="308" t="str">
        <f>'RS3'!BF366</f>
        <v/>
      </c>
      <c r="BD366" s="308" t="str">
        <f>'RS3'!BG366</f>
        <v/>
      </c>
      <c r="BE366" s="308" t="str">
        <f>'RS3'!BH366</f>
        <v/>
      </c>
      <c r="BF366" s="308" t="str">
        <f>'RS3'!BI366</f>
        <v/>
      </c>
      <c r="BG366" s="308" t="str">
        <f>'RS3'!BJ366</f>
        <v/>
      </c>
    </row>
    <row r="367" ht="12.75" customHeight="1" outlineLevel="1">
      <c r="A367" s="90"/>
      <c r="B367" s="90"/>
      <c r="C367" s="90"/>
      <c r="D367" s="90" t="s">
        <v>773</v>
      </c>
      <c r="E367" s="90"/>
      <c r="F367" s="90"/>
      <c r="G367" s="99">
        <f t="shared" ref="G367:H367" si="375">G236*G$47</f>
        <v>0</v>
      </c>
      <c r="H367" s="99">
        <f t="shared" si="375"/>
        <v>0</v>
      </c>
      <c r="I367" s="99">
        <f t="shared" ref="I367:R367" si="376">I$47*I236</f>
        <v>1960</v>
      </c>
      <c r="J367" s="99">
        <f t="shared" si="376"/>
        <v>2320</v>
      </c>
      <c r="K367" s="99">
        <f t="shared" si="376"/>
        <v>2500</v>
      </c>
      <c r="L367" s="99">
        <f t="shared" si="376"/>
        <v>2500</v>
      </c>
      <c r="M367" s="99">
        <f t="shared" si="376"/>
        <v>2500</v>
      </c>
      <c r="N367" s="99">
        <f t="shared" si="376"/>
        <v>2500</v>
      </c>
      <c r="O367" s="99">
        <f t="shared" si="376"/>
        <v>2500</v>
      </c>
      <c r="P367" s="99">
        <f t="shared" si="376"/>
        <v>2500</v>
      </c>
      <c r="Q367" s="99">
        <f t="shared" si="376"/>
        <v>2500</v>
      </c>
      <c r="R367" s="99">
        <f t="shared" si="376"/>
        <v>2500</v>
      </c>
      <c r="AT367" s="308" t="str">
        <f>'RS3'!AW367</f>
        <v/>
      </c>
      <c r="AU367" s="308" t="str">
        <f>'RS3'!AX367</f>
        <v/>
      </c>
      <c r="AV367" s="308" t="str">
        <f>'RS3'!AY367</f>
        <v/>
      </c>
      <c r="AW367" s="308" t="str">
        <f>'RS3'!AZ367</f>
        <v/>
      </c>
      <c r="AX367" s="308" t="str">
        <f>'RS3'!BA367</f>
        <v/>
      </c>
      <c r="AY367" s="308" t="str">
        <f>'RS3'!BB367</f>
        <v/>
      </c>
      <c r="AZ367" s="308" t="str">
        <f>'RS3'!BC367</f>
        <v/>
      </c>
      <c r="BA367" s="308" t="str">
        <f>'RS3'!BD367</f>
        <v/>
      </c>
      <c r="BB367" s="308" t="str">
        <f>'RS3'!BE367</f>
        <v/>
      </c>
      <c r="BC367" s="308" t="str">
        <f>'RS3'!BF367</f>
        <v/>
      </c>
      <c r="BD367" s="308" t="str">
        <f>'RS3'!BG367</f>
        <v/>
      </c>
      <c r="BE367" s="308" t="str">
        <f>'RS3'!BH367</f>
        <v/>
      </c>
      <c r="BF367" s="308" t="str">
        <f>'RS3'!BI367</f>
        <v/>
      </c>
      <c r="BG367" s="308" t="str">
        <f>'RS3'!BJ367</f>
        <v/>
      </c>
    </row>
    <row r="368" ht="12.75" customHeight="1" outlineLevel="1">
      <c r="A368" s="90"/>
      <c r="B368" s="90"/>
      <c r="C368" s="90"/>
      <c r="D368" s="237" t="s">
        <v>828</v>
      </c>
      <c r="E368" s="237"/>
      <c r="F368" s="237"/>
      <c r="G368" s="356">
        <f>G237*G$47</f>
        <v>0</v>
      </c>
      <c r="H368" s="356">
        <v>0.0</v>
      </c>
      <c r="I368" s="356">
        <v>228952.494250303</v>
      </c>
      <c r="J368" s="356">
        <v>461794.809789113</v>
      </c>
      <c r="K368" s="356">
        <v>468043.149749626</v>
      </c>
      <c r="L368" s="356">
        <v>468043.149749626</v>
      </c>
      <c r="M368" s="356">
        <v>468043.149749625</v>
      </c>
      <c r="N368" s="356">
        <v>468043.149749627</v>
      </c>
      <c r="O368" s="356">
        <v>468043.149749625</v>
      </c>
      <c r="P368" s="356">
        <v>468043.149749627</v>
      </c>
      <c r="Q368" s="356">
        <v>468043.149749627</v>
      </c>
      <c r="R368" s="356">
        <v>468043.149749627</v>
      </c>
      <c r="AT368" s="308" t="str">
        <f>'RS3'!AW368</f>
        <v/>
      </c>
      <c r="AU368" s="308" t="str">
        <f>'RS3'!AX368</f>
        <v/>
      </c>
      <c r="AV368" s="308" t="str">
        <f>'RS3'!AY368</f>
        <v/>
      </c>
      <c r="AW368" s="308" t="str">
        <f>'RS3'!AZ368</f>
        <v/>
      </c>
      <c r="AX368" s="308" t="str">
        <f>'RS3'!BA368</f>
        <v/>
      </c>
      <c r="AY368" s="308" t="str">
        <f>'RS3'!BB368</f>
        <v/>
      </c>
      <c r="AZ368" s="308" t="str">
        <f>'RS3'!BC368</f>
        <v/>
      </c>
      <c r="BA368" s="308" t="str">
        <f>'RS3'!BD368</f>
        <v/>
      </c>
      <c r="BB368" s="308" t="str">
        <f>'RS3'!BE368</f>
        <v/>
      </c>
      <c r="BC368" s="308" t="str">
        <f>'RS3'!BF368</f>
        <v/>
      </c>
      <c r="BD368" s="308" t="str">
        <f>'RS3'!BG368</f>
        <v/>
      </c>
      <c r="BE368" s="308" t="str">
        <f>'RS3'!BH368</f>
        <v/>
      </c>
      <c r="BF368" s="308" t="str">
        <f>'RS3'!BI368</f>
        <v/>
      </c>
      <c r="BG368" s="308" t="str">
        <f>'RS3'!BJ368</f>
        <v/>
      </c>
    </row>
    <row r="369" ht="12.75" customHeight="1" outlineLevel="1">
      <c r="A369" s="90"/>
      <c r="B369" s="90"/>
      <c r="C369" s="90"/>
      <c r="D369" s="90" t="s">
        <v>829</v>
      </c>
      <c r="E369" s="90"/>
      <c r="F369" s="90"/>
      <c r="G369" s="99"/>
      <c r="H369" s="99"/>
      <c r="I369" s="99"/>
      <c r="J369" s="99"/>
      <c r="K369" s="99"/>
      <c r="L369" s="99"/>
      <c r="M369" s="99"/>
      <c r="N369" s="99"/>
      <c r="O369" s="99"/>
      <c r="P369" s="99"/>
      <c r="Q369" s="99"/>
      <c r="R369" s="99"/>
      <c r="AT369" s="308"/>
      <c r="AU369" s="308"/>
      <c r="AV369" s="308"/>
      <c r="AW369" s="308"/>
      <c r="AX369" s="308"/>
      <c r="AY369" s="308"/>
      <c r="AZ369" s="308"/>
      <c r="BA369" s="308"/>
      <c r="BB369" s="308"/>
      <c r="BC369" s="308"/>
      <c r="BD369" s="308"/>
      <c r="BE369" s="308"/>
      <c r="BF369" s="308"/>
      <c r="BG369" s="308"/>
    </row>
    <row r="370" ht="12.75" customHeight="1" outlineLevel="1">
      <c r="A370" s="90"/>
      <c r="B370" s="90"/>
      <c r="C370" s="90"/>
      <c r="D370" s="64" t="s">
        <v>830</v>
      </c>
      <c r="E370" s="90"/>
      <c r="F370" s="90"/>
      <c r="G370" s="99">
        <v>0.0</v>
      </c>
      <c r="H370" s="99">
        <v>0.0</v>
      </c>
      <c r="I370" s="99">
        <v>0.0</v>
      </c>
      <c r="J370" s="99">
        <v>0.0</v>
      </c>
      <c r="K370" s="99">
        <v>0.0</v>
      </c>
      <c r="L370" s="99">
        <v>0.0</v>
      </c>
      <c r="M370" s="99">
        <v>0.0</v>
      </c>
      <c r="N370" s="99">
        <v>0.0</v>
      </c>
      <c r="O370" s="99">
        <v>0.0</v>
      </c>
      <c r="P370" s="99">
        <v>0.0</v>
      </c>
      <c r="Q370" s="99">
        <v>0.0</v>
      </c>
      <c r="R370" s="99">
        <v>0.0</v>
      </c>
      <c r="AT370" s="308">
        <v>0.0</v>
      </c>
      <c r="AU370" s="308">
        <v>0.0</v>
      </c>
      <c r="AV370" s="308">
        <v>0.0</v>
      </c>
      <c r="AW370" s="308">
        <v>0.0</v>
      </c>
      <c r="AX370" s="308">
        <v>0.0</v>
      </c>
      <c r="AY370" s="308">
        <v>0.0</v>
      </c>
      <c r="AZ370" s="308">
        <v>0.0</v>
      </c>
      <c r="BA370" s="308">
        <v>0.0</v>
      </c>
      <c r="BB370" s="308">
        <v>0.0</v>
      </c>
      <c r="BC370" s="308">
        <v>0.0</v>
      </c>
      <c r="BD370" s="308">
        <v>0.0</v>
      </c>
      <c r="BE370" s="308">
        <v>0.0</v>
      </c>
      <c r="BF370" s="308">
        <v>0.0</v>
      </c>
      <c r="BG370" s="308">
        <v>0.0</v>
      </c>
    </row>
    <row r="371" ht="12.75" customHeight="1" outlineLevel="1">
      <c r="A371" s="90"/>
      <c r="B371" s="90"/>
      <c r="C371" s="90"/>
      <c r="D371" s="90" t="s">
        <v>831</v>
      </c>
      <c r="E371" s="90"/>
      <c r="F371" s="90"/>
      <c r="G371" s="99">
        <v>0.0</v>
      </c>
      <c r="H371" s="99">
        <v>0.0</v>
      </c>
      <c r="I371" s="99">
        <v>0.0</v>
      </c>
      <c r="J371" s="99">
        <v>0.0</v>
      </c>
      <c r="K371" s="99">
        <v>0.0</v>
      </c>
      <c r="L371" s="99">
        <v>0.0</v>
      </c>
      <c r="M371" s="99">
        <v>0.0</v>
      </c>
      <c r="N371" s="99">
        <v>0.0</v>
      </c>
      <c r="O371" s="99">
        <v>0.0</v>
      </c>
      <c r="P371" s="99">
        <v>0.0</v>
      </c>
      <c r="Q371" s="99">
        <v>0.0</v>
      </c>
      <c r="R371" s="99">
        <v>0.0</v>
      </c>
      <c r="AT371" s="308">
        <v>0.0</v>
      </c>
      <c r="AU371" s="308">
        <v>0.0</v>
      </c>
      <c r="AV371" s="308">
        <v>0.0</v>
      </c>
      <c r="AW371" s="308">
        <v>0.0</v>
      </c>
      <c r="AX371" s="308">
        <v>0.0</v>
      </c>
      <c r="AY371" s="308">
        <v>0.0</v>
      </c>
      <c r="AZ371" s="308">
        <v>0.0</v>
      </c>
      <c r="BA371" s="308">
        <v>0.0</v>
      </c>
      <c r="BB371" s="308">
        <v>0.0</v>
      </c>
      <c r="BC371" s="308">
        <v>0.0</v>
      </c>
      <c r="BD371" s="308">
        <v>0.0</v>
      </c>
      <c r="BE371" s="308">
        <v>0.0</v>
      </c>
      <c r="BF371" s="308">
        <v>0.0</v>
      </c>
      <c r="BG371" s="308">
        <v>0.0</v>
      </c>
    </row>
    <row r="372" ht="12.75" customHeight="1" outlineLevel="1">
      <c r="A372" s="90"/>
      <c r="B372" s="90"/>
      <c r="C372" s="90"/>
      <c r="D372" s="90" t="s">
        <v>832</v>
      </c>
      <c r="E372" s="90"/>
      <c r="F372" s="90"/>
      <c r="G372" s="99">
        <v>0.0</v>
      </c>
      <c r="H372" s="99">
        <v>0.0</v>
      </c>
      <c r="I372" s="99">
        <v>0.0</v>
      </c>
      <c r="J372" s="99">
        <v>0.0</v>
      </c>
      <c r="K372" s="99">
        <v>0.0</v>
      </c>
      <c r="L372" s="99">
        <v>0.0</v>
      </c>
      <c r="M372" s="99">
        <v>0.0</v>
      </c>
      <c r="N372" s="99">
        <v>0.0</v>
      </c>
      <c r="O372" s="99">
        <v>0.0</v>
      </c>
      <c r="P372" s="99">
        <v>0.0</v>
      </c>
      <c r="Q372" s="99">
        <v>0.0</v>
      </c>
      <c r="R372" s="99">
        <v>0.0</v>
      </c>
      <c r="AT372" s="308">
        <v>0.0</v>
      </c>
      <c r="AU372" s="308">
        <v>0.0</v>
      </c>
      <c r="AV372" s="308">
        <v>0.0</v>
      </c>
      <c r="AW372" s="308">
        <v>0.0</v>
      </c>
      <c r="AX372" s="308">
        <v>0.0</v>
      </c>
      <c r="AY372" s="308">
        <v>0.0</v>
      </c>
      <c r="AZ372" s="308">
        <v>0.0</v>
      </c>
      <c r="BA372" s="308">
        <v>0.0</v>
      </c>
      <c r="BB372" s="308">
        <v>0.0</v>
      </c>
      <c r="BC372" s="308">
        <v>0.0</v>
      </c>
      <c r="BD372" s="308">
        <v>0.0</v>
      </c>
      <c r="BE372" s="308">
        <v>0.0</v>
      </c>
      <c r="BF372" s="308">
        <v>0.0</v>
      </c>
      <c r="BG372" s="308">
        <v>0.0</v>
      </c>
    </row>
    <row r="373" ht="12.75" customHeight="1" outlineLevel="1">
      <c r="A373" s="90"/>
      <c r="B373" s="90"/>
      <c r="C373" s="90"/>
      <c r="D373" s="90" t="s">
        <v>833</v>
      </c>
      <c r="E373" s="90"/>
      <c r="F373" s="90"/>
      <c r="G373" s="99">
        <v>0.0</v>
      </c>
      <c r="H373" s="99">
        <v>0.0</v>
      </c>
      <c r="I373" s="99">
        <v>0.0</v>
      </c>
      <c r="J373" s="99">
        <v>0.0</v>
      </c>
      <c r="K373" s="99">
        <v>0.0</v>
      </c>
      <c r="L373" s="99">
        <v>0.0</v>
      </c>
      <c r="M373" s="99">
        <v>0.0</v>
      </c>
      <c r="N373" s="99">
        <v>0.0</v>
      </c>
      <c r="O373" s="99">
        <v>0.0</v>
      </c>
      <c r="P373" s="99">
        <v>0.0</v>
      </c>
      <c r="Q373" s="99">
        <v>0.0</v>
      </c>
      <c r="R373" s="99">
        <v>0.0</v>
      </c>
      <c r="AT373" s="308">
        <v>0.0</v>
      </c>
      <c r="AU373" s="308">
        <v>0.0</v>
      </c>
      <c r="AV373" s="308">
        <v>0.0</v>
      </c>
      <c r="AW373" s="308">
        <v>0.0</v>
      </c>
      <c r="AX373" s="308">
        <v>0.0</v>
      </c>
      <c r="AY373" s="308">
        <v>0.0</v>
      </c>
      <c r="AZ373" s="308">
        <v>0.0</v>
      </c>
      <c r="BA373" s="308">
        <v>0.0</v>
      </c>
      <c r="BB373" s="308">
        <v>0.0</v>
      </c>
      <c r="BC373" s="308">
        <v>0.0</v>
      </c>
      <c r="BD373" s="308">
        <v>0.0</v>
      </c>
      <c r="BE373" s="308">
        <v>0.0</v>
      </c>
      <c r="BF373" s="308">
        <v>0.0</v>
      </c>
      <c r="BG373" s="308">
        <v>0.0</v>
      </c>
    </row>
    <row r="374" ht="12.75" customHeight="1" outlineLevel="1">
      <c r="A374" s="90"/>
      <c r="B374" s="90"/>
      <c r="C374" s="90"/>
      <c r="D374" s="90" t="s">
        <v>834</v>
      </c>
      <c r="E374" s="90"/>
      <c r="F374" s="90"/>
      <c r="G374" s="99">
        <v>0.0</v>
      </c>
      <c r="H374" s="99">
        <v>0.0</v>
      </c>
      <c r="I374" s="99">
        <v>0.0</v>
      </c>
      <c r="J374" s="99">
        <v>0.0</v>
      </c>
      <c r="K374" s="99">
        <v>0.0</v>
      </c>
      <c r="L374" s="99">
        <v>0.0</v>
      </c>
      <c r="M374" s="99">
        <v>0.0</v>
      </c>
      <c r="N374" s="99">
        <v>0.0</v>
      </c>
      <c r="O374" s="99">
        <v>0.0</v>
      </c>
      <c r="P374" s="99">
        <v>0.0</v>
      </c>
      <c r="Q374" s="99">
        <v>0.0</v>
      </c>
      <c r="R374" s="99">
        <v>0.0</v>
      </c>
      <c r="AT374" s="308">
        <v>0.0</v>
      </c>
      <c r="AU374" s="308">
        <v>0.0</v>
      </c>
      <c r="AV374" s="308">
        <v>0.0</v>
      </c>
      <c r="AW374" s="308">
        <v>0.0</v>
      </c>
      <c r="AX374" s="308">
        <v>0.0</v>
      </c>
      <c r="AY374" s="308">
        <v>0.0</v>
      </c>
      <c r="AZ374" s="308">
        <v>0.0</v>
      </c>
      <c r="BA374" s="308">
        <v>0.0</v>
      </c>
      <c r="BB374" s="308">
        <v>0.0</v>
      </c>
      <c r="BC374" s="308">
        <v>0.0</v>
      </c>
      <c r="BD374" s="308">
        <v>0.0</v>
      </c>
      <c r="BE374" s="308">
        <v>0.0</v>
      </c>
      <c r="BF374" s="308">
        <v>0.0</v>
      </c>
      <c r="BG374" s="308">
        <v>0.0</v>
      </c>
    </row>
    <row r="375" ht="12.75" customHeight="1" outlineLevel="1">
      <c r="A375" s="90"/>
      <c r="B375" s="90"/>
      <c r="C375" s="90"/>
      <c r="D375" s="90" t="s">
        <v>835</v>
      </c>
      <c r="E375" s="90"/>
      <c r="F375" s="90"/>
      <c r="G375" s="99">
        <v>0.0</v>
      </c>
      <c r="H375" s="99">
        <v>0.0</v>
      </c>
      <c r="I375" s="99">
        <v>0.0</v>
      </c>
      <c r="J375" s="99">
        <v>0.0</v>
      </c>
      <c r="K375" s="99">
        <v>0.0</v>
      </c>
      <c r="L375" s="99">
        <v>0.0</v>
      </c>
      <c r="M375" s="99">
        <v>0.0</v>
      </c>
      <c r="N375" s="99">
        <v>0.0</v>
      </c>
      <c r="O375" s="99">
        <v>0.0</v>
      </c>
      <c r="P375" s="99">
        <v>0.0</v>
      </c>
      <c r="Q375" s="99">
        <v>0.0</v>
      </c>
      <c r="R375" s="99">
        <v>0.0</v>
      </c>
      <c r="AT375" s="308">
        <v>0.0</v>
      </c>
      <c r="AU375" s="308">
        <v>0.0</v>
      </c>
      <c r="AV375" s="308">
        <v>0.0</v>
      </c>
      <c r="AW375" s="308">
        <v>0.0</v>
      </c>
      <c r="AX375" s="308">
        <v>0.0</v>
      </c>
      <c r="AY375" s="308">
        <v>0.0</v>
      </c>
      <c r="AZ375" s="308">
        <v>0.0</v>
      </c>
      <c r="BA375" s="308">
        <v>0.0</v>
      </c>
      <c r="BB375" s="308">
        <v>0.0</v>
      </c>
      <c r="BC375" s="308">
        <v>0.0</v>
      </c>
      <c r="BD375" s="308">
        <v>0.0</v>
      </c>
      <c r="BE375" s="308">
        <v>0.0</v>
      </c>
      <c r="BF375" s="308">
        <v>0.0</v>
      </c>
      <c r="BG375" s="308">
        <v>0.0</v>
      </c>
    </row>
    <row r="376" ht="12.75" customHeight="1" outlineLevel="1">
      <c r="A376" s="90"/>
      <c r="B376" s="90"/>
      <c r="C376" s="90"/>
      <c r="D376" s="90" t="s">
        <v>774</v>
      </c>
      <c r="E376" s="90"/>
      <c r="F376" s="90"/>
      <c r="G376" s="99">
        <v>0.0</v>
      </c>
      <c r="H376" s="99">
        <v>0.0</v>
      </c>
      <c r="I376" s="99">
        <v>0.0</v>
      </c>
      <c r="J376" s="99">
        <v>0.0</v>
      </c>
      <c r="K376" s="99">
        <v>0.0</v>
      </c>
      <c r="L376" s="99">
        <v>0.0</v>
      </c>
      <c r="M376" s="99">
        <v>0.0</v>
      </c>
      <c r="N376" s="99">
        <v>0.0</v>
      </c>
      <c r="O376" s="99">
        <v>0.0</v>
      </c>
      <c r="P376" s="99">
        <v>0.0</v>
      </c>
      <c r="Q376" s="99">
        <v>0.0</v>
      </c>
      <c r="R376" s="99">
        <v>0.0</v>
      </c>
      <c r="AT376" s="308">
        <v>0.0</v>
      </c>
      <c r="AU376" s="308">
        <v>0.0</v>
      </c>
      <c r="AV376" s="308">
        <v>0.0</v>
      </c>
      <c r="AW376" s="308">
        <v>0.0</v>
      </c>
      <c r="AX376" s="308">
        <v>0.0</v>
      </c>
      <c r="AY376" s="308">
        <v>0.0</v>
      </c>
      <c r="AZ376" s="308">
        <v>0.0</v>
      </c>
      <c r="BA376" s="308">
        <v>0.0</v>
      </c>
      <c r="BB376" s="308">
        <v>0.0</v>
      </c>
      <c r="BC376" s="308">
        <v>0.0</v>
      </c>
      <c r="BD376" s="308">
        <v>0.0</v>
      </c>
      <c r="BE376" s="308">
        <v>0.0</v>
      </c>
      <c r="BF376" s="308">
        <v>0.0</v>
      </c>
      <c r="BG376" s="308">
        <v>0.0</v>
      </c>
    </row>
    <row r="377" ht="12.75" customHeight="1" outlineLevel="1">
      <c r="A377" s="90"/>
      <c r="B377" s="90"/>
      <c r="C377" s="90" t="s">
        <v>836</v>
      </c>
      <c r="D377" s="90"/>
      <c r="E377" s="90"/>
      <c r="F377" s="90"/>
      <c r="G377" s="152"/>
      <c r="H377" s="152"/>
      <c r="I377" s="152"/>
      <c r="J377" s="152"/>
      <c r="K377" s="152"/>
      <c r="L377" s="152"/>
      <c r="M377" s="152"/>
      <c r="N377" s="152"/>
      <c r="O377" s="152"/>
      <c r="P377" s="152"/>
      <c r="Q377" s="152"/>
      <c r="R377" s="152"/>
      <c r="AT377" s="352"/>
      <c r="AU377" s="352"/>
      <c r="AV377" s="352"/>
      <c r="AW377" s="352"/>
      <c r="AX377" s="352"/>
      <c r="AY377" s="352"/>
      <c r="AZ377" s="352"/>
      <c r="BA377" s="352"/>
      <c r="BB377" s="352"/>
      <c r="BC377" s="352"/>
      <c r="BD377" s="352"/>
      <c r="BE377" s="352"/>
      <c r="BF377" s="352"/>
      <c r="BG377" s="352"/>
    </row>
    <row r="378" ht="12.75" customHeight="1" outlineLevel="1">
      <c r="A378" s="90"/>
      <c r="B378" s="90"/>
      <c r="C378" s="90"/>
      <c r="D378" s="90" t="s">
        <v>182</v>
      </c>
      <c r="E378" s="90"/>
      <c r="F378" s="90"/>
      <c r="G378" s="99">
        <f>((RSGen_none!G273+RSGen_none!G282+SUM(RSGen_none!G285:G287)-G277))*G243</f>
        <v>0</v>
      </c>
      <c r="H378" s="99">
        <f>((RSGen_none!H273+RSGen_none!H282+SUM(RSGen_none!H285:H287)-H277))*H243</f>
        <v>0</v>
      </c>
      <c r="I378" s="99">
        <f>((RSGen_none!I273+RSGen_none!I282+SUM(RSGen_none!I285:I287)-I277))*I243</f>
        <v>156666.3114</v>
      </c>
      <c r="J378" s="99">
        <f>((RSGen_none!J273+RSGen_none!J282+SUM(RSGen_none!J285:J287)-J277))*J243</f>
        <v>342178.5611</v>
      </c>
      <c r="K378" s="99">
        <f>((RSGen_none!K273+RSGen_none!K282+SUM(RSGen_none!K285:K287)-K277))*K243</f>
        <v>354213.5364</v>
      </c>
      <c r="L378" s="99">
        <f>((RSGen_none!L273+RSGen_none!L282+SUM(RSGen_none!L285:L287)-L277))*L243</f>
        <v>387483.247</v>
      </c>
      <c r="M378" s="99">
        <f>((RSGen_none!M273+RSGen_none!M282+SUM(RSGen_none!M285:M287)-M277))*M243</f>
        <v>386567.407</v>
      </c>
      <c r="N378" s="99">
        <f>((RSGen_none!N273+RSGen_none!N282+SUM(RSGen_none!N285:N287)-N277))*N243</f>
        <v>385727.887</v>
      </c>
      <c r="O378" s="99">
        <f>((RSGen_none!O273+RSGen_none!O282+SUM(RSGen_none!O285:O287)-O277))*O243</f>
        <v>384926.527</v>
      </c>
      <c r="P378" s="99">
        <f>((RSGen_none!P273+RSGen_none!P282+SUM(RSGen_none!P285:P287)-P277))*P243</f>
        <v>384125.167</v>
      </c>
      <c r="Q378" s="99">
        <f>((RSGen_none!Q273+RSGen_none!Q282+SUM(RSGen_none!Q285:Q287)-Q277))*Q243</f>
        <v>383705.407</v>
      </c>
      <c r="R378" s="99">
        <f>((RSGen_none!R273+RSGen_none!R282+SUM(RSGen_none!R285:R287)-R277))*R243</f>
        <v>383705.407</v>
      </c>
      <c r="AT378" s="99" t="str">
        <f>(((RSGen_none!AT273+RSGen_none!AT282+SUM(RSGen_none!AT285:AT287)-AT277-#REF!))*AT243)</f>
        <v>#REF!</v>
      </c>
      <c r="AU378" s="99" t="str">
        <f>(((RSGen_none!AU273+RSGen_none!AU282+SUM(RSGen_none!AU285:AU287)-AU277-#REF!))*AU243)</f>
        <v>#REF!</v>
      </c>
      <c r="AV378" s="99" t="str">
        <f>(((RSGen_none!AV273+RSGen_none!AV282+SUM(RSGen_none!AV285:AV287)-AV277-#REF!))*AV243)</f>
        <v>#REF!</v>
      </c>
      <c r="AW378" s="99" t="str">
        <f>(((RSGen_none!AW273+RSGen_none!AW282+SUM(RSGen_none!AW285:AW287)-AW277-#REF!))*AW243)</f>
        <v>#REF!</v>
      </c>
      <c r="AX378" s="99" t="str">
        <f>(((RSGen_none!AX273+RSGen_none!AX282+SUM(RSGen_none!AX285:AX287)-AX277-#REF!))*AX243)</f>
        <v>#REF!</v>
      </c>
      <c r="AY378" s="99" t="str">
        <f>(((RSGen_none!AY273+RSGen_none!AY282+SUM(RSGen_none!AY285:AY287)-AY277-#REF!))*AY243)</f>
        <v>#REF!</v>
      </c>
      <c r="AZ378" s="99" t="str">
        <f>(((RSGen_none!AZ273+RSGen_none!AZ282+SUM(RSGen_none!AZ285:AZ287)-AZ277-#REF!))*AZ243)</f>
        <v>#REF!</v>
      </c>
      <c r="BA378" s="99" t="str">
        <f>(((RSGen_none!BA273+RSGen_none!BA282+SUM(RSGen_none!BA285:BA287)-BA277-#REF!))*BA243)</f>
        <v>#REF!</v>
      </c>
      <c r="BB378" s="99" t="str">
        <f>(((RSGen_none!BB273+RSGen_none!BB282+SUM(RSGen_none!BB285:BB287)-BB277-#REF!))*BB243)</f>
        <v>#REF!</v>
      </c>
      <c r="BC378" s="99" t="str">
        <f>(((RSGen_none!BC273+RSGen_none!BC282+SUM(RSGen_none!BC285:BC287)-BC277-#REF!))*BC243)</f>
        <v>#REF!</v>
      </c>
      <c r="BD378" s="99" t="str">
        <f>(((RSGen_none!BD273+RSGen_none!BD282+SUM(RSGen_none!BD285:BD287)-BD277-#REF!))*BD243)</f>
        <v>#REF!</v>
      </c>
      <c r="BE378" s="99" t="str">
        <f>(((RSGen_none!BE273+RSGen_none!BE282+SUM(RSGen_none!BE285:BE287)-BE277-#REF!))*BE243)</f>
        <v>#REF!</v>
      </c>
      <c r="BF378" s="99" t="str">
        <f>(((RSGen_none!BF273+RSGen_none!BF282+SUM(RSGen_none!BF285:BF287)-BF277-#REF!))*BF243)</f>
        <v>#REF!</v>
      </c>
      <c r="BG378" s="99" t="str">
        <f>(((RSGen_none!BG273+RSGen_none!BG282+SUM(RSGen_none!BG285:BG287)-BG277-#REF!))*BG243)</f>
        <v>#REF!</v>
      </c>
    </row>
    <row r="379" ht="12.75" customHeight="1" outlineLevel="1">
      <c r="A379" s="90"/>
      <c r="B379" s="90"/>
      <c r="C379" s="90"/>
      <c r="D379" s="90" t="s">
        <v>837</v>
      </c>
      <c r="E379" s="90"/>
      <c r="F379" s="90"/>
      <c r="G379" s="99">
        <v>0.0</v>
      </c>
      <c r="H379" s="384">
        <f>Assumptions!D29</f>
        <v>0</v>
      </c>
      <c r="I379" s="99">
        <f>((RSGen_none!I273+RSGen_none!I282+SUM(RSGen_none!I285:I287)-I277))*I244</f>
        <v>555554.3712</v>
      </c>
      <c r="J379" s="99">
        <f>((RSGen_none!J273+RSGen_none!J282+SUM(RSGen_none!J285:J287)-J277))*J244</f>
        <v>622142.8384</v>
      </c>
      <c r="K379" s="99">
        <f>((RSGen_none!K273+RSGen_none!K282+SUM(RSGen_none!K285:K287)-K277))*K244</f>
        <v>644024.6117</v>
      </c>
      <c r="L379" s="99">
        <f>((RSGen_none!L273+RSGen_none!L282+SUM(RSGen_none!L285:L287)-L277))*L244</f>
        <v>645805.4117</v>
      </c>
      <c r="M379" s="99">
        <f>((RSGen_none!M273+RSGen_none!M282+SUM(RSGen_none!M285:M287)-M277))*M244</f>
        <v>644279.0117</v>
      </c>
      <c r="N379" s="99">
        <f>((RSGen_none!N273+RSGen_none!N282+SUM(RSGen_none!N285:N287)-N277))*N244</f>
        <v>642879.8117</v>
      </c>
      <c r="O379" s="99">
        <f>((RSGen_none!O273+RSGen_none!O282+SUM(RSGen_none!O285:O287)-O277))*O244</f>
        <v>641544.2117</v>
      </c>
      <c r="P379" s="99">
        <f>((RSGen_none!P273+RSGen_none!P282+SUM(RSGen_none!P285:P287)-P277))*P244</f>
        <v>640208.6117</v>
      </c>
      <c r="Q379" s="99">
        <f>((RSGen_none!Q273+RSGen_none!Q282+SUM(RSGen_none!Q285:Q287)-Q277))*Q244</f>
        <v>639509.0117</v>
      </c>
      <c r="R379" s="99">
        <f>((RSGen_none!R273+RSGen_none!R282+SUM(RSGen_none!R285:R287)-R277))*R244</f>
        <v>639509.0117</v>
      </c>
      <c r="AT379" s="99" t="str">
        <f>((RSGen_none!AT273+RSGen_none!AT282+SUM(RSGen_none!AT285:AT287)-AT277-#REF!))*AT244</f>
        <v>#REF!</v>
      </c>
      <c r="AU379" s="99" t="str">
        <f>((RSGen_none!AU273+RSGen_none!AU282+SUM(RSGen_none!AU285:AU287)-AU277-#REF!))*AU244</f>
        <v>#REF!</v>
      </c>
      <c r="AV379" s="99" t="str">
        <f>((RSGen_none!AV273+RSGen_none!AV282+SUM(RSGen_none!AV285:AV287)-AV277-#REF!))*AV244</f>
        <v>#REF!</v>
      </c>
      <c r="AW379" s="99" t="str">
        <f>((RSGen_none!AW273+RSGen_none!AW282+SUM(RSGen_none!AW285:AW287)-AW277-#REF!))*AW244</f>
        <v>#REF!</v>
      </c>
      <c r="AX379" s="99" t="str">
        <f>((RSGen_none!AX273+RSGen_none!AX282+SUM(RSGen_none!AX285:AX287)-AX277-#REF!))*AX244</f>
        <v>#REF!</v>
      </c>
      <c r="AY379" s="99" t="str">
        <f>((RSGen_none!AY273+RSGen_none!AY282+SUM(RSGen_none!AY285:AY287)-AY277-#REF!))*AY244</f>
        <v>#REF!</v>
      </c>
      <c r="AZ379" s="99" t="str">
        <f>((RSGen_none!AZ273+RSGen_none!AZ282+SUM(RSGen_none!AZ285:AZ287)-AZ277-#REF!))*AZ244</f>
        <v>#REF!</v>
      </c>
      <c r="BA379" s="99" t="str">
        <f>((RSGen_none!BA273+RSGen_none!BA282+SUM(RSGen_none!BA285:BA287)-BA277-#REF!))*BA244</f>
        <v>#REF!</v>
      </c>
      <c r="BB379" s="99" t="str">
        <f>((RSGen_none!BB273+RSGen_none!BB282+SUM(RSGen_none!BB285:BB287)-BB277-#REF!))*BB244</f>
        <v>#REF!</v>
      </c>
      <c r="BC379" s="99" t="str">
        <f>((RSGen_none!BC273+RSGen_none!BC282+SUM(RSGen_none!BC285:BC287)-BC277-#REF!))*BC244</f>
        <v>#REF!</v>
      </c>
      <c r="BD379" s="99" t="str">
        <f>((RSGen_none!BD273+RSGen_none!BD282+SUM(RSGen_none!BD285:BD287)-BD277-#REF!))*BD244</f>
        <v>#REF!</v>
      </c>
      <c r="BE379" s="99" t="str">
        <f>((RSGen_none!BE273+RSGen_none!BE282+SUM(RSGen_none!BE285:BE287)-BE277-#REF!))*BE244</f>
        <v>#REF!</v>
      </c>
      <c r="BF379" s="99" t="str">
        <f>((RSGen_none!BF273+RSGen_none!BF282+SUM(RSGen_none!BF285:BF287)-BF277-#REF!))*BF244</f>
        <v>#REF!</v>
      </c>
      <c r="BG379" s="99" t="str">
        <f>((RSGen_none!BG273+RSGen_none!BG282+SUM(RSGen_none!BG285:BG287)-BG277-#REF!))*BG244</f>
        <v>#REF!</v>
      </c>
    </row>
    <row r="380" ht="12.75" customHeight="1" outlineLevel="1">
      <c r="A380" s="90"/>
      <c r="B380" s="152"/>
      <c r="C380" s="152"/>
      <c r="D380" s="90" t="s">
        <v>184</v>
      </c>
      <c r="E380" s="90"/>
      <c r="F380" s="90"/>
      <c r="G380" s="99">
        <f>((RSGen_none!G273+RSGen_none!G282+SUM(RSGen_none!G285:G287)-G277))*G245</f>
        <v>0</v>
      </c>
      <c r="H380" s="99">
        <f>((RSGen_none!H273+RSGen_none!H282+SUM(RSGen_none!H285:H287)-H277))*H245</f>
        <v>6000</v>
      </c>
      <c r="I380" s="99">
        <f>((RSGen_none!I273+RSGen_none!I282+SUM(RSGen_none!I285:I287)-I277))*I245</f>
        <v>121110.8742</v>
      </c>
      <c r="J380" s="99">
        <f>((RSGen_none!J273+RSGen_none!J282+SUM(RSGen_none!J285:J287)-J277))*J245</f>
        <v>124428.5677</v>
      </c>
      <c r="K380" s="99">
        <f>((RSGen_none!K273+RSGen_none!K282+SUM(RSGen_none!K285:K287)-K277))*K245</f>
        <v>128804.9223</v>
      </c>
      <c r="L380" s="99">
        <f>((RSGen_none!L273+RSGen_none!L282+SUM(RSGen_none!L285:L287)-L277))*L245</f>
        <v>96870.81175</v>
      </c>
      <c r="M380" s="99">
        <f>((RSGen_none!M273+RSGen_none!M282+SUM(RSGen_none!M285:M287)-M277))*M245</f>
        <v>96641.85175</v>
      </c>
      <c r="N380" s="99">
        <f>((RSGen_none!N273+RSGen_none!N282+SUM(RSGen_none!N285:N287)-N277))*N245</f>
        <v>96431.97175</v>
      </c>
      <c r="O380" s="99">
        <f>((RSGen_none!O273+RSGen_none!O282+SUM(RSGen_none!O285:O287)-O277))*O245</f>
        <v>96231.63175</v>
      </c>
      <c r="P380" s="99">
        <f>((RSGen_none!P273+RSGen_none!P282+SUM(RSGen_none!P285:P287)-P277))*P245</f>
        <v>96031.29175</v>
      </c>
      <c r="Q380" s="99">
        <f>((RSGen_none!Q273+RSGen_none!Q282+SUM(RSGen_none!Q285:Q287)-Q277))*Q245</f>
        <v>95926.35175</v>
      </c>
      <c r="R380" s="99">
        <f>((RSGen_none!R273+RSGen_none!R282+SUM(RSGen_none!R285:R287)-R277))*R245</f>
        <v>95926.35175</v>
      </c>
      <c r="AT380" s="99" t="str">
        <f>((RSGen_none!AT273+RSGen_none!AT282+SUM(RSGen_none!AT285:AT287)-AT277-#REF!))*AT245</f>
        <v>#REF!</v>
      </c>
      <c r="AU380" s="99" t="str">
        <f>((RSGen_none!AU273+RSGen_none!AU282+SUM(RSGen_none!AU285:AU287)-AU277-#REF!))*AU245</f>
        <v>#REF!</v>
      </c>
      <c r="AV380" s="99" t="str">
        <f>((RSGen_none!AV273+RSGen_none!AV282+SUM(RSGen_none!AV285:AV287)-AV277-#REF!))*AV245</f>
        <v>#REF!</v>
      </c>
      <c r="AW380" s="99" t="str">
        <f>((RSGen_none!AW273+RSGen_none!AW282+SUM(RSGen_none!AW285:AW287)-AW277-#REF!))*AW245</f>
        <v>#REF!</v>
      </c>
      <c r="AX380" s="99" t="str">
        <f>((RSGen_none!AX273+RSGen_none!AX282+SUM(RSGen_none!AX285:AX287)-AX277-#REF!))*AX245</f>
        <v>#REF!</v>
      </c>
      <c r="AY380" s="99" t="str">
        <f>((RSGen_none!AY273+RSGen_none!AY282+SUM(RSGen_none!AY285:AY287)-AY277-#REF!))*AY245</f>
        <v>#REF!</v>
      </c>
      <c r="AZ380" s="99" t="str">
        <f>((RSGen_none!AZ273+RSGen_none!AZ282+SUM(RSGen_none!AZ285:AZ287)-AZ277-#REF!))*AZ245</f>
        <v>#REF!</v>
      </c>
      <c r="BA380" s="99" t="str">
        <f>((RSGen_none!BA273+RSGen_none!BA282+SUM(RSGen_none!BA285:BA287)-BA277-#REF!))*BA245</f>
        <v>#REF!</v>
      </c>
      <c r="BB380" s="99" t="str">
        <f>((RSGen_none!BB273+RSGen_none!BB282+SUM(RSGen_none!BB285:BB287)-BB277-#REF!))*BB245</f>
        <v>#REF!</v>
      </c>
      <c r="BC380" s="99" t="str">
        <f>((RSGen_none!BC273+RSGen_none!BC282+SUM(RSGen_none!BC285:BC287)-BC277-#REF!))*BC245</f>
        <v>#REF!</v>
      </c>
      <c r="BD380" s="99" t="str">
        <f>((RSGen_none!BD273+RSGen_none!BD282+SUM(RSGen_none!BD285:BD287)-BD277-#REF!))*BD245</f>
        <v>#REF!</v>
      </c>
      <c r="BE380" s="99" t="str">
        <f>((RSGen_none!BE273+RSGen_none!BE282+SUM(RSGen_none!BE285:BE287)-BE277-#REF!))*BE245</f>
        <v>#REF!</v>
      </c>
      <c r="BF380" s="99" t="str">
        <f>((RSGen_none!BF273+RSGen_none!BF282+SUM(RSGen_none!BF285:BF287)-BF277-#REF!))*BF245</f>
        <v>#REF!</v>
      </c>
      <c r="BG380" s="99" t="str">
        <f>((RSGen_none!BG273+RSGen_none!BG282+SUM(RSGen_none!BG285:BG287)-BG277-#REF!))*BG245</f>
        <v>#REF!</v>
      </c>
    </row>
    <row r="381" ht="12.75" customHeight="1" outlineLevel="1">
      <c r="A381" s="90"/>
      <c r="B381" s="152"/>
      <c r="C381" s="152"/>
      <c r="D381" s="90"/>
      <c r="E381" s="90"/>
      <c r="F381" s="90"/>
      <c r="G381" s="99"/>
      <c r="H381" s="99"/>
      <c r="I381" s="99"/>
      <c r="J381" s="99"/>
      <c r="K381" s="99"/>
      <c r="L381" s="99"/>
      <c r="M381" s="99"/>
      <c r="N381" s="99"/>
      <c r="O381" s="99"/>
      <c r="P381" s="99"/>
      <c r="Q381" s="99"/>
      <c r="R381" s="99"/>
      <c r="AT381" s="308"/>
      <c r="AU381" s="308"/>
      <c r="AV381" s="308"/>
      <c r="AW381" s="308"/>
      <c r="AX381" s="308"/>
      <c r="AY381" s="308"/>
      <c r="AZ381" s="308"/>
      <c r="BA381" s="308"/>
      <c r="BB381" s="308"/>
      <c r="BC381" s="308"/>
      <c r="BD381" s="308"/>
      <c r="BE381" s="308"/>
      <c r="BF381" s="308"/>
      <c r="BG381" s="308"/>
    </row>
    <row r="382" ht="12.75" customHeight="1" outlineLevel="1">
      <c r="A382" s="385"/>
      <c r="B382" s="90"/>
      <c r="C382" s="148" t="s">
        <v>838</v>
      </c>
      <c r="D382" s="148"/>
      <c r="E382" s="148"/>
      <c r="F382" s="148"/>
      <c r="G382" s="150">
        <f t="shared" ref="G382:R382" si="377">SUM(G378:G381)</f>
        <v>0</v>
      </c>
      <c r="H382" s="150">
        <f t="shared" si="377"/>
        <v>6000</v>
      </c>
      <c r="I382" s="150">
        <f t="shared" si="377"/>
        <v>833331.5568</v>
      </c>
      <c r="J382" s="150">
        <f t="shared" si="377"/>
        <v>1088749.967</v>
      </c>
      <c r="K382" s="150">
        <f t="shared" si="377"/>
        <v>1127043.07</v>
      </c>
      <c r="L382" s="150">
        <f t="shared" si="377"/>
        <v>1130159.47</v>
      </c>
      <c r="M382" s="150">
        <f t="shared" si="377"/>
        <v>1127488.27</v>
      </c>
      <c r="N382" s="150">
        <f t="shared" si="377"/>
        <v>1125039.67</v>
      </c>
      <c r="O382" s="150">
        <f t="shared" si="377"/>
        <v>1122702.37</v>
      </c>
      <c r="P382" s="150">
        <f t="shared" si="377"/>
        <v>1120365.07</v>
      </c>
      <c r="Q382" s="150">
        <f t="shared" si="377"/>
        <v>1119140.77</v>
      </c>
      <c r="R382" s="150">
        <f t="shared" si="377"/>
        <v>1119140.77</v>
      </c>
      <c r="AT382" s="386" t="str">
        <f t="shared" ref="AT382:BG382" si="378">SUM(AT378:AT381)</f>
        <v>#REF!</v>
      </c>
      <c r="AU382" s="386" t="str">
        <f t="shared" si="378"/>
        <v>#REF!</v>
      </c>
      <c r="AV382" s="386" t="str">
        <f t="shared" si="378"/>
        <v>#REF!</v>
      </c>
      <c r="AW382" s="386" t="str">
        <f t="shared" si="378"/>
        <v>#REF!</v>
      </c>
      <c r="AX382" s="386" t="str">
        <f t="shared" si="378"/>
        <v>#REF!</v>
      </c>
      <c r="AY382" s="386" t="str">
        <f t="shared" si="378"/>
        <v>#REF!</v>
      </c>
      <c r="AZ382" s="386" t="str">
        <f t="shared" si="378"/>
        <v>#REF!</v>
      </c>
      <c r="BA382" s="386" t="str">
        <f t="shared" si="378"/>
        <v>#REF!</v>
      </c>
      <c r="BB382" s="386" t="str">
        <f t="shared" si="378"/>
        <v>#REF!</v>
      </c>
      <c r="BC382" s="386" t="str">
        <f t="shared" si="378"/>
        <v>#REF!</v>
      </c>
      <c r="BD382" s="386" t="str">
        <f t="shared" si="378"/>
        <v>#REF!</v>
      </c>
      <c r="BE382" s="386" t="str">
        <f t="shared" si="378"/>
        <v>#REF!</v>
      </c>
      <c r="BF382" s="386" t="str">
        <f t="shared" si="378"/>
        <v>#REF!</v>
      </c>
      <c r="BG382" s="386" t="str">
        <f t="shared" si="378"/>
        <v>#REF!</v>
      </c>
    </row>
    <row r="383" ht="12.75" customHeight="1" outlineLevel="1">
      <c r="A383" s="90"/>
      <c r="B383" s="67" t="s">
        <v>839</v>
      </c>
      <c r="C383" s="90"/>
      <c r="D383" s="90"/>
      <c r="E383" s="90"/>
      <c r="F383" s="90"/>
      <c r="G383" s="79">
        <f t="shared" ref="G383:R383" si="379">SUM(G342:G376)+G382</f>
        <v>0</v>
      </c>
      <c r="H383" s="79">
        <f t="shared" si="379"/>
        <v>13780</v>
      </c>
      <c r="I383" s="79">
        <f t="shared" si="379"/>
        <v>1267505.451</v>
      </c>
      <c r="J383" s="79">
        <f t="shared" si="379"/>
        <v>1785383.577</v>
      </c>
      <c r="K383" s="79">
        <f t="shared" si="379"/>
        <v>1838773.72</v>
      </c>
      <c r="L383" s="79">
        <f t="shared" si="379"/>
        <v>1841890.12</v>
      </c>
      <c r="M383" s="79">
        <f t="shared" si="379"/>
        <v>1839218.92</v>
      </c>
      <c r="N383" s="79">
        <f t="shared" si="379"/>
        <v>1836770.32</v>
      </c>
      <c r="O383" s="79">
        <f t="shared" si="379"/>
        <v>1834433.02</v>
      </c>
      <c r="P383" s="79">
        <f t="shared" si="379"/>
        <v>1832095.72</v>
      </c>
      <c r="Q383" s="79">
        <f t="shared" si="379"/>
        <v>1830871.42</v>
      </c>
      <c r="R383" s="79">
        <f t="shared" si="379"/>
        <v>1830871.42</v>
      </c>
      <c r="AT383" s="378" t="str">
        <f t="shared" ref="AT383:BG383" si="380">SUM(AT342:AT376)+AT382</f>
        <v>#REF!</v>
      </c>
      <c r="AU383" s="378" t="str">
        <f t="shared" si="380"/>
        <v>#REF!</v>
      </c>
      <c r="AV383" s="378" t="str">
        <f t="shared" si="380"/>
        <v>#REF!</v>
      </c>
      <c r="AW383" s="378" t="str">
        <f t="shared" si="380"/>
        <v>#REF!</v>
      </c>
      <c r="AX383" s="378" t="str">
        <f t="shared" si="380"/>
        <v>#REF!</v>
      </c>
      <c r="AY383" s="378" t="str">
        <f t="shared" si="380"/>
        <v>#REF!</v>
      </c>
      <c r="AZ383" s="378" t="str">
        <f t="shared" si="380"/>
        <v>#REF!</v>
      </c>
      <c r="BA383" s="378" t="str">
        <f t="shared" si="380"/>
        <v>#REF!</v>
      </c>
      <c r="BB383" s="378" t="str">
        <f t="shared" si="380"/>
        <v>#REF!</v>
      </c>
      <c r="BC383" s="378" t="str">
        <f t="shared" si="380"/>
        <v>#REF!</v>
      </c>
      <c r="BD383" s="378" t="str">
        <f t="shared" si="380"/>
        <v>#REF!</v>
      </c>
      <c r="BE383" s="378" t="str">
        <f t="shared" si="380"/>
        <v>#REF!</v>
      </c>
      <c r="BF383" s="378" t="str">
        <f t="shared" si="380"/>
        <v>#REF!</v>
      </c>
      <c r="BG383" s="378" t="str">
        <f t="shared" si="380"/>
        <v>#REF!</v>
      </c>
    </row>
    <row r="384" ht="12.75" customHeight="1" outlineLevel="1">
      <c r="A384" s="90"/>
      <c r="B384" s="90"/>
      <c r="C384" s="90"/>
      <c r="D384" s="90"/>
      <c r="E384" s="90"/>
      <c r="F384" s="90"/>
      <c r="G384" s="152"/>
      <c r="H384" s="152"/>
      <c r="I384" s="152"/>
      <c r="J384" s="152"/>
      <c r="K384" s="152"/>
      <c r="L384" s="152"/>
      <c r="M384" s="152"/>
      <c r="N384" s="152"/>
      <c r="O384" s="152"/>
      <c r="P384" s="152"/>
      <c r="Q384" s="152"/>
      <c r="R384" s="152"/>
      <c r="AT384" s="352"/>
      <c r="AU384" s="352"/>
      <c r="AV384" s="352"/>
      <c r="AW384" s="352"/>
      <c r="AX384" s="352"/>
      <c r="AY384" s="352"/>
      <c r="AZ384" s="352"/>
      <c r="BA384" s="352"/>
      <c r="BB384" s="352"/>
      <c r="BC384" s="352"/>
      <c r="BD384" s="352"/>
      <c r="BE384" s="352"/>
      <c r="BF384" s="352"/>
      <c r="BG384" s="352"/>
    </row>
    <row r="385" ht="12.75" customHeight="1" outlineLevel="1">
      <c r="A385" s="90"/>
      <c r="B385" s="67" t="s">
        <v>555</v>
      </c>
      <c r="C385" s="90"/>
      <c r="D385" s="90"/>
      <c r="E385" s="90"/>
      <c r="F385" s="90"/>
      <c r="G385" s="90"/>
      <c r="H385" s="90"/>
      <c r="I385" s="90"/>
      <c r="J385" s="387"/>
      <c r="K385" s="90"/>
      <c r="L385" s="90"/>
      <c r="M385" s="90"/>
      <c r="N385" s="90"/>
      <c r="O385" s="90"/>
      <c r="P385" s="90"/>
      <c r="Q385" s="90"/>
      <c r="R385" s="90"/>
      <c r="AT385" s="313"/>
      <c r="AU385" s="313"/>
      <c r="AV385" s="313"/>
      <c r="AW385" s="313"/>
      <c r="AX385" s="313"/>
      <c r="AY385" s="313"/>
      <c r="AZ385" s="313"/>
      <c r="BA385" s="313"/>
      <c r="BB385" s="313"/>
      <c r="BC385" s="313"/>
      <c r="BD385" s="313"/>
      <c r="BE385" s="313"/>
      <c r="BF385" s="313"/>
      <c r="BG385" s="313"/>
    </row>
    <row r="386" ht="12.75" customHeight="1" outlineLevel="1">
      <c r="A386" s="90"/>
      <c r="B386" s="90"/>
      <c r="C386" s="90" t="s">
        <v>840</v>
      </c>
      <c r="D386" s="90"/>
      <c r="E386" s="90"/>
      <c r="F386" s="90"/>
      <c r="G386" s="99">
        <f t="shared" ref="G386:R386" si="381">G249*(G261+G262+G263)</f>
        <v>0</v>
      </c>
      <c r="H386" s="99">
        <f t="shared" si="381"/>
        <v>0</v>
      </c>
      <c r="I386" s="99">
        <f t="shared" si="381"/>
        <v>21419.8728</v>
      </c>
      <c r="J386" s="99">
        <f t="shared" si="381"/>
        <v>25052.82</v>
      </c>
      <c r="K386" s="99">
        <f t="shared" si="381"/>
        <v>27172.272</v>
      </c>
      <c r="L386" s="99">
        <f t="shared" si="381"/>
        <v>27261.312</v>
      </c>
      <c r="M386" s="99">
        <f t="shared" si="381"/>
        <v>27184.992</v>
      </c>
      <c r="N386" s="99">
        <f t="shared" si="381"/>
        <v>27115.032</v>
      </c>
      <c r="O386" s="99">
        <f t="shared" si="381"/>
        <v>27048.252</v>
      </c>
      <c r="P386" s="99">
        <f t="shared" si="381"/>
        <v>26981.472</v>
      </c>
      <c r="Q386" s="99">
        <f t="shared" si="381"/>
        <v>26946.492</v>
      </c>
      <c r="R386" s="99">
        <f t="shared" si="381"/>
        <v>26946.492</v>
      </c>
      <c r="AT386" s="308" t="str">
        <f t="shared" ref="AT386:BG386" si="382">AS386</f>
        <v/>
      </c>
      <c r="AU386" s="308" t="str">
        <f t="shared" si="382"/>
        <v/>
      </c>
      <c r="AV386" s="308" t="str">
        <f t="shared" si="382"/>
        <v/>
      </c>
      <c r="AW386" s="308" t="str">
        <f t="shared" si="382"/>
        <v/>
      </c>
      <c r="AX386" s="308" t="str">
        <f t="shared" si="382"/>
        <v/>
      </c>
      <c r="AY386" s="308" t="str">
        <f t="shared" si="382"/>
        <v/>
      </c>
      <c r="AZ386" s="308" t="str">
        <f t="shared" si="382"/>
        <v/>
      </c>
      <c r="BA386" s="308" t="str">
        <f t="shared" si="382"/>
        <v/>
      </c>
      <c r="BB386" s="308" t="str">
        <f t="shared" si="382"/>
        <v/>
      </c>
      <c r="BC386" s="308" t="str">
        <f t="shared" si="382"/>
        <v/>
      </c>
      <c r="BD386" s="308" t="str">
        <f t="shared" si="382"/>
        <v/>
      </c>
      <c r="BE386" s="308" t="str">
        <f t="shared" si="382"/>
        <v/>
      </c>
      <c r="BF386" s="308" t="str">
        <f t="shared" si="382"/>
        <v/>
      </c>
      <c r="BG386" s="308" t="str">
        <f t="shared" si="382"/>
        <v/>
      </c>
    </row>
    <row r="387" ht="12.75" customHeight="1" outlineLevel="1">
      <c r="A387" s="90"/>
      <c r="B387" s="90"/>
      <c r="C387" s="90" t="s">
        <v>841</v>
      </c>
      <c r="D387" s="90"/>
      <c r="E387" s="90"/>
      <c r="F387" s="90"/>
      <c r="G387" s="99"/>
      <c r="H387" s="99"/>
      <c r="I387" s="99"/>
      <c r="J387" s="99"/>
      <c r="K387" s="99"/>
      <c r="L387" s="99"/>
      <c r="M387" s="99"/>
      <c r="N387" s="99"/>
      <c r="O387" s="99"/>
      <c r="P387" s="99"/>
      <c r="Q387" s="99"/>
      <c r="R387" s="99"/>
      <c r="AT387" s="308"/>
      <c r="AU387" s="308"/>
      <c r="AV387" s="308"/>
      <c r="AW387" s="308"/>
      <c r="AX387" s="308"/>
      <c r="AY387" s="308"/>
      <c r="AZ387" s="308"/>
      <c r="BA387" s="308"/>
      <c r="BB387" s="308"/>
      <c r="BC387" s="308"/>
      <c r="BD387" s="308"/>
      <c r="BE387" s="308"/>
      <c r="BF387" s="308"/>
      <c r="BG387" s="308"/>
    </row>
    <row r="388" ht="12.75" customHeight="1" outlineLevel="1">
      <c r="A388" s="90"/>
      <c r="B388" s="90"/>
      <c r="C388" s="90" t="s">
        <v>556</v>
      </c>
      <c r="D388" s="90"/>
      <c r="E388" s="90"/>
      <c r="F388" s="90"/>
      <c r="G388" s="99"/>
      <c r="H388" s="99"/>
      <c r="I388" s="99"/>
      <c r="J388" s="99"/>
      <c r="K388" s="99"/>
      <c r="L388" s="99"/>
      <c r="M388" s="99"/>
      <c r="N388" s="99"/>
      <c r="O388" s="99"/>
      <c r="P388" s="99"/>
      <c r="Q388" s="99"/>
      <c r="R388" s="99"/>
      <c r="AT388" s="308"/>
      <c r="AU388" s="308"/>
      <c r="AV388" s="308"/>
      <c r="AW388" s="308"/>
      <c r="AX388" s="308"/>
      <c r="AY388" s="308"/>
      <c r="AZ388" s="308"/>
      <c r="BA388" s="308"/>
      <c r="BB388" s="308"/>
      <c r="BC388" s="308"/>
      <c r="BD388" s="308"/>
      <c r="BE388" s="308"/>
      <c r="BF388" s="308"/>
      <c r="BG388" s="308"/>
    </row>
    <row r="389" ht="12.75" customHeight="1" outlineLevel="1">
      <c r="A389" s="90"/>
      <c r="B389" s="90"/>
      <c r="C389" s="90"/>
      <c r="D389" s="90" t="s">
        <v>557</v>
      </c>
      <c r="E389" s="90"/>
      <c r="F389" s="90"/>
      <c r="G389" s="99">
        <f t="shared" ref="G389:H389" si="383">-G438</f>
        <v>0</v>
      </c>
      <c r="H389" s="99">
        <f t="shared" si="383"/>
        <v>0</v>
      </c>
      <c r="I389" s="99">
        <f t="shared" ref="I389:O389" si="384">H250*H441</f>
        <v>10000</v>
      </c>
      <c r="J389" s="99">
        <f t="shared" si="384"/>
        <v>8000</v>
      </c>
      <c r="K389" s="99">
        <f t="shared" si="384"/>
        <v>6000</v>
      </c>
      <c r="L389" s="99">
        <f t="shared" si="384"/>
        <v>4000</v>
      </c>
      <c r="M389" s="99">
        <f t="shared" si="384"/>
        <v>2000</v>
      </c>
      <c r="N389" s="99">
        <f t="shared" si="384"/>
        <v>0</v>
      </c>
      <c r="O389" s="99">
        <f t="shared" si="384"/>
        <v>0</v>
      </c>
      <c r="P389" s="99">
        <f t="shared" ref="P389:R389" si="385">-P438</f>
        <v>0</v>
      </c>
      <c r="Q389" s="99">
        <f t="shared" si="385"/>
        <v>0</v>
      </c>
      <c r="R389" s="99">
        <f t="shared" si="385"/>
        <v>0</v>
      </c>
      <c r="AT389" s="308">
        <f t="shared" ref="AT389:BG389" si="386">-AT438</f>
        <v>0</v>
      </c>
      <c r="AU389" s="308">
        <f t="shared" si="386"/>
        <v>0</v>
      </c>
      <c r="AV389" s="308">
        <f t="shared" si="386"/>
        <v>0</v>
      </c>
      <c r="AW389" s="308">
        <f t="shared" si="386"/>
        <v>0</v>
      </c>
      <c r="AX389" s="308">
        <f t="shared" si="386"/>
        <v>0</v>
      </c>
      <c r="AY389" s="308">
        <f t="shared" si="386"/>
        <v>0</v>
      </c>
      <c r="AZ389" s="308">
        <f t="shared" si="386"/>
        <v>0</v>
      </c>
      <c r="BA389" s="308">
        <f t="shared" si="386"/>
        <v>0</v>
      </c>
      <c r="BB389" s="308">
        <f t="shared" si="386"/>
        <v>0</v>
      </c>
      <c r="BC389" s="308">
        <f t="shared" si="386"/>
        <v>0</v>
      </c>
      <c r="BD389" s="308">
        <f t="shared" si="386"/>
        <v>0</v>
      </c>
      <c r="BE389" s="308">
        <f t="shared" si="386"/>
        <v>0</v>
      </c>
      <c r="BF389" s="308">
        <f t="shared" si="386"/>
        <v>0</v>
      </c>
      <c r="BG389" s="308">
        <f t="shared" si="386"/>
        <v>0</v>
      </c>
    </row>
    <row r="390" ht="12.75" customHeight="1" outlineLevel="1">
      <c r="A390" s="90"/>
      <c r="B390" s="90"/>
      <c r="C390" s="152"/>
      <c r="D390" s="90" t="s">
        <v>614</v>
      </c>
      <c r="E390" s="90"/>
      <c r="F390" s="90"/>
      <c r="G390" s="99">
        <v>0.0</v>
      </c>
      <c r="H390" s="99">
        <v>0.0</v>
      </c>
      <c r="I390" s="99">
        <v>0.0</v>
      </c>
      <c r="J390" s="99">
        <v>0.0</v>
      </c>
      <c r="K390" s="99">
        <v>0.0</v>
      </c>
      <c r="L390" s="99">
        <v>0.0</v>
      </c>
      <c r="M390" s="99">
        <v>0.0</v>
      </c>
      <c r="N390" s="99">
        <v>0.0</v>
      </c>
      <c r="O390" s="99">
        <v>0.0</v>
      </c>
      <c r="P390" s="99">
        <v>0.0</v>
      </c>
      <c r="Q390" s="99">
        <v>0.0</v>
      </c>
      <c r="R390" s="99">
        <v>0.0</v>
      </c>
      <c r="AT390" s="308">
        <v>0.0</v>
      </c>
      <c r="AU390" s="308">
        <v>0.0</v>
      </c>
      <c r="AV390" s="308">
        <v>0.0</v>
      </c>
      <c r="AW390" s="308">
        <v>0.0</v>
      </c>
      <c r="AX390" s="308">
        <v>0.0</v>
      </c>
      <c r="AY390" s="308">
        <v>0.0</v>
      </c>
      <c r="AZ390" s="308">
        <v>0.0</v>
      </c>
      <c r="BA390" s="308">
        <v>0.0</v>
      </c>
      <c r="BB390" s="308">
        <v>0.0</v>
      </c>
      <c r="BC390" s="308">
        <v>0.0</v>
      </c>
      <c r="BD390" s="308">
        <v>0.0</v>
      </c>
      <c r="BE390" s="308">
        <v>0.0</v>
      </c>
      <c r="BF390" s="308">
        <v>0.0</v>
      </c>
      <c r="BG390" s="308">
        <v>0.0</v>
      </c>
    </row>
    <row r="391" ht="12.75" customHeight="1" outlineLevel="1">
      <c r="A391" s="90"/>
      <c r="B391" s="90"/>
      <c r="C391" s="90"/>
      <c r="D391" s="90" t="s">
        <v>148</v>
      </c>
      <c r="E391" s="90"/>
      <c r="F391" s="90"/>
      <c r="G391" s="99">
        <v>0.0</v>
      </c>
      <c r="H391" s="99">
        <f t="shared" ref="H391:R391" si="387">G451*H253</f>
        <v>0</v>
      </c>
      <c r="I391" s="99">
        <f t="shared" si="387"/>
        <v>0</v>
      </c>
      <c r="J391" s="99">
        <f t="shared" si="387"/>
        <v>11547.09136</v>
      </c>
      <c r="K391" s="99">
        <f t="shared" si="387"/>
        <v>12983.83239</v>
      </c>
      <c r="L391" s="99">
        <f t="shared" si="387"/>
        <v>13499.15993</v>
      </c>
      <c r="M391" s="99">
        <f t="shared" si="387"/>
        <v>13533.88553</v>
      </c>
      <c r="N391" s="99">
        <f t="shared" si="387"/>
        <v>13504.12073</v>
      </c>
      <c r="O391" s="99">
        <f t="shared" si="387"/>
        <v>13476.83633</v>
      </c>
      <c r="P391" s="99">
        <f t="shared" si="387"/>
        <v>13450.79213</v>
      </c>
      <c r="Q391" s="99">
        <f t="shared" si="387"/>
        <v>13424.74793</v>
      </c>
      <c r="R391" s="99">
        <f t="shared" si="387"/>
        <v>13411.10573</v>
      </c>
      <c r="AT391" s="308">
        <v>0.0</v>
      </c>
      <c r="AU391" s="308">
        <v>0.0</v>
      </c>
      <c r="AV391" s="308">
        <v>0.0</v>
      </c>
      <c r="AW391" s="308">
        <v>0.0</v>
      </c>
      <c r="AX391" s="308">
        <v>0.0</v>
      </c>
      <c r="AY391" s="308">
        <v>0.0</v>
      </c>
      <c r="AZ391" s="308">
        <v>0.0</v>
      </c>
      <c r="BA391" s="308">
        <v>0.0</v>
      </c>
      <c r="BB391" s="308">
        <v>0.0</v>
      </c>
      <c r="BC391" s="308">
        <v>0.0</v>
      </c>
      <c r="BD391" s="308">
        <v>0.0</v>
      </c>
      <c r="BE391" s="308">
        <v>0.0</v>
      </c>
      <c r="BF391" s="308">
        <v>0.0</v>
      </c>
      <c r="BG391" s="308">
        <v>0.0</v>
      </c>
    </row>
    <row r="392" ht="12.75" customHeight="1" outlineLevel="1">
      <c r="A392" s="90"/>
      <c r="B392" s="87"/>
      <c r="C392" s="87" t="s">
        <v>559</v>
      </c>
      <c r="D392" s="87"/>
      <c r="E392" s="87"/>
      <c r="F392" s="87"/>
      <c r="G392" s="125">
        <f>G254*SUM(G319,G330,G339,G383,G386,G389,G391)</f>
        <v>0</v>
      </c>
      <c r="H392" s="125">
        <f t="shared" ref="H392:R392" si="388">H254*SUM(H319,H330,H339,H383,H386,H389)</f>
        <v>1531.006004</v>
      </c>
      <c r="I392" s="125">
        <f t="shared" si="388"/>
        <v>29075.85807</v>
      </c>
      <c r="J392" s="125">
        <f t="shared" si="388"/>
        <v>32790.1102</v>
      </c>
      <c r="K392" s="125">
        <f t="shared" si="388"/>
        <v>34156.74643</v>
      </c>
      <c r="L392" s="125">
        <f t="shared" si="388"/>
        <v>34048.30083</v>
      </c>
      <c r="M392" s="125">
        <f t="shared" si="388"/>
        <v>34000.82563</v>
      </c>
      <c r="N392" s="125">
        <f t="shared" si="388"/>
        <v>33955.64003</v>
      </c>
      <c r="O392" s="125">
        <f t="shared" si="388"/>
        <v>33931.59923</v>
      </c>
      <c r="P392" s="125">
        <f t="shared" si="388"/>
        <v>33907.55843</v>
      </c>
      <c r="Q392" s="125">
        <f t="shared" si="388"/>
        <v>33894.96563</v>
      </c>
      <c r="R392" s="125">
        <f t="shared" si="388"/>
        <v>33894.96563</v>
      </c>
      <c r="AT392" s="377">
        <v>0.0</v>
      </c>
      <c r="AU392" s="377">
        <v>0.0</v>
      </c>
      <c r="AV392" s="377">
        <v>0.0</v>
      </c>
      <c r="AW392" s="377">
        <v>0.0</v>
      </c>
      <c r="AX392" s="377">
        <v>0.0</v>
      </c>
      <c r="AY392" s="377">
        <v>0.0</v>
      </c>
      <c r="AZ392" s="377">
        <v>0.0</v>
      </c>
      <c r="BA392" s="377">
        <v>0.0</v>
      </c>
      <c r="BB392" s="377">
        <v>0.0</v>
      </c>
      <c r="BC392" s="377">
        <v>0.0</v>
      </c>
      <c r="BD392" s="377">
        <v>0.0</v>
      </c>
      <c r="BE392" s="377">
        <v>0.0</v>
      </c>
      <c r="BF392" s="377">
        <v>0.0</v>
      </c>
      <c r="BG392" s="377">
        <v>0.0</v>
      </c>
    </row>
    <row r="393" ht="12.75" customHeight="1" outlineLevel="1">
      <c r="A393" s="90"/>
      <c r="B393" s="67" t="s">
        <v>842</v>
      </c>
      <c r="C393" s="90"/>
      <c r="D393" s="90"/>
      <c r="E393" s="90"/>
      <c r="F393" s="90"/>
      <c r="G393" s="79">
        <f t="shared" ref="G393:R393" si="389">SUM(G386:G392)</f>
        <v>0</v>
      </c>
      <c r="H393" s="79">
        <f t="shared" si="389"/>
        <v>1531.006004</v>
      </c>
      <c r="I393" s="79">
        <f t="shared" si="389"/>
        <v>60495.73087</v>
      </c>
      <c r="J393" s="79">
        <f t="shared" si="389"/>
        <v>77390.02156</v>
      </c>
      <c r="K393" s="79">
        <f t="shared" si="389"/>
        <v>80312.85082</v>
      </c>
      <c r="L393" s="79">
        <f t="shared" si="389"/>
        <v>78808.77276</v>
      </c>
      <c r="M393" s="79">
        <f t="shared" si="389"/>
        <v>76719.70316</v>
      </c>
      <c r="N393" s="79">
        <f t="shared" si="389"/>
        <v>74574.79276</v>
      </c>
      <c r="O393" s="79">
        <f t="shared" si="389"/>
        <v>74456.68756</v>
      </c>
      <c r="P393" s="79">
        <f t="shared" si="389"/>
        <v>74339.82256</v>
      </c>
      <c r="Q393" s="79">
        <f t="shared" si="389"/>
        <v>74266.20556</v>
      </c>
      <c r="R393" s="79">
        <f t="shared" si="389"/>
        <v>74252.56336</v>
      </c>
      <c r="AT393" s="378">
        <f t="shared" ref="AT393:BG393" si="390">SUM(AT386:AT392)</f>
        <v>0</v>
      </c>
      <c r="AU393" s="378">
        <f t="shared" si="390"/>
        <v>0</v>
      </c>
      <c r="AV393" s="378">
        <f t="shared" si="390"/>
        <v>0</v>
      </c>
      <c r="AW393" s="378">
        <f t="shared" si="390"/>
        <v>0</v>
      </c>
      <c r="AX393" s="378">
        <f t="shared" si="390"/>
        <v>0</v>
      </c>
      <c r="AY393" s="378">
        <f t="shared" si="390"/>
        <v>0</v>
      </c>
      <c r="AZ393" s="378">
        <f t="shared" si="390"/>
        <v>0</v>
      </c>
      <c r="BA393" s="378">
        <f t="shared" si="390"/>
        <v>0</v>
      </c>
      <c r="BB393" s="378">
        <f t="shared" si="390"/>
        <v>0</v>
      </c>
      <c r="BC393" s="378">
        <f t="shared" si="390"/>
        <v>0</v>
      </c>
      <c r="BD393" s="378">
        <f t="shared" si="390"/>
        <v>0</v>
      </c>
      <c r="BE393" s="378">
        <f t="shared" si="390"/>
        <v>0</v>
      </c>
      <c r="BF393" s="378">
        <f t="shared" si="390"/>
        <v>0</v>
      </c>
      <c r="BG393" s="378">
        <f t="shared" si="390"/>
        <v>0</v>
      </c>
    </row>
    <row r="394" ht="12.75" customHeight="1" outlineLevel="1">
      <c r="A394" s="90"/>
      <c r="B394" s="90"/>
      <c r="C394" s="90"/>
      <c r="D394" s="90"/>
      <c r="E394" s="90"/>
      <c r="F394" s="90"/>
      <c r="G394" s="147"/>
      <c r="H394" s="147"/>
      <c r="I394" s="147"/>
      <c r="J394" s="147"/>
      <c r="K394" s="147"/>
      <c r="L394" s="147"/>
      <c r="M394" s="147"/>
      <c r="N394" s="147"/>
      <c r="O394" s="147"/>
      <c r="P394" s="147"/>
      <c r="Q394" s="91"/>
      <c r="R394" s="91"/>
      <c r="AT394" s="382"/>
      <c r="AU394" s="382"/>
      <c r="AV394" s="382"/>
      <c r="AW394" s="382"/>
      <c r="AX394" s="382"/>
      <c r="AY394" s="382"/>
      <c r="AZ394" s="382"/>
      <c r="BA394" s="382"/>
      <c r="BB394" s="382"/>
      <c r="BC394" s="382"/>
      <c r="BD394" s="382"/>
      <c r="BE394" s="382"/>
      <c r="BF394" s="382"/>
      <c r="BG394" s="382"/>
    </row>
    <row r="395" ht="12.75" customHeight="1" outlineLevel="1">
      <c r="A395" s="109" t="s">
        <v>843</v>
      </c>
      <c r="B395" s="143"/>
      <c r="C395" s="143"/>
      <c r="D395" s="143"/>
      <c r="E395" s="143"/>
      <c r="F395" s="143"/>
      <c r="G395" s="293">
        <f t="shared" ref="G395:R395" si="391">G393+G383+G339+G330+G319</f>
        <v>0</v>
      </c>
      <c r="H395" s="293">
        <f t="shared" si="391"/>
        <v>154631.6064</v>
      </c>
      <c r="I395" s="293">
        <f t="shared" si="391"/>
        <v>2936661.665</v>
      </c>
      <c r="J395" s="293">
        <f t="shared" si="391"/>
        <v>3323348.221</v>
      </c>
      <c r="K395" s="293">
        <f t="shared" si="391"/>
        <v>3462815.222</v>
      </c>
      <c r="L395" s="293">
        <f t="shared" si="391"/>
        <v>3452377.544</v>
      </c>
      <c r="M395" s="293">
        <f t="shared" si="391"/>
        <v>3447617.274</v>
      </c>
      <c r="N395" s="293">
        <f t="shared" si="391"/>
        <v>3443023.764</v>
      </c>
      <c r="O395" s="293">
        <f t="shared" si="391"/>
        <v>3440568.359</v>
      </c>
      <c r="P395" s="293">
        <f t="shared" si="391"/>
        <v>3438114.194</v>
      </c>
      <c r="Q395" s="293">
        <f t="shared" si="391"/>
        <v>3436816.277</v>
      </c>
      <c r="R395" s="293">
        <f t="shared" si="391"/>
        <v>3436802.634</v>
      </c>
      <c r="AT395" s="381" t="str">
        <f t="shared" ref="AT395:BG395" si="392">AT393+AT383+AT339+AT330+AT319</f>
        <v>#REF!</v>
      </c>
      <c r="AU395" s="381" t="str">
        <f t="shared" si="392"/>
        <v>#REF!</v>
      </c>
      <c r="AV395" s="381" t="str">
        <f t="shared" si="392"/>
        <v>#REF!</v>
      </c>
      <c r="AW395" s="381" t="str">
        <f t="shared" si="392"/>
        <v>#REF!</v>
      </c>
      <c r="AX395" s="381" t="str">
        <f t="shared" si="392"/>
        <v>#REF!</v>
      </c>
      <c r="AY395" s="381" t="str">
        <f t="shared" si="392"/>
        <v>#REF!</v>
      </c>
      <c r="AZ395" s="381" t="str">
        <f t="shared" si="392"/>
        <v>#REF!</v>
      </c>
      <c r="BA395" s="381" t="str">
        <f t="shared" si="392"/>
        <v>#REF!</v>
      </c>
      <c r="BB395" s="381" t="str">
        <f t="shared" si="392"/>
        <v>#REF!</v>
      </c>
      <c r="BC395" s="381" t="str">
        <f t="shared" si="392"/>
        <v>#REF!</v>
      </c>
      <c r="BD395" s="381" t="str">
        <f t="shared" si="392"/>
        <v>#REF!</v>
      </c>
      <c r="BE395" s="381" t="str">
        <f t="shared" si="392"/>
        <v>#REF!</v>
      </c>
      <c r="BF395" s="381" t="str">
        <f t="shared" si="392"/>
        <v>#REF!</v>
      </c>
      <c r="BG395" s="381" t="str">
        <f t="shared" si="392"/>
        <v>#REF!</v>
      </c>
    </row>
    <row r="396" ht="12.75" customHeight="1" outlineLevel="1">
      <c r="A396" s="67"/>
      <c r="B396" s="90"/>
      <c r="C396" s="90"/>
      <c r="D396" s="90"/>
      <c r="E396" s="90"/>
      <c r="F396" s="90"/>
      <c r="G396" s="79"/>
      <c r="H396" s="79"/>
      <c r="I396" s="79"/>
      <c r="J396" s="79"/>
      <c r="K396" s="79"/>
      <c r="L396" s="79"/>
      <c r="M396" s="79"/>
      <c r="N396" s="79"/>
      <c r="O396" s="79"/>
      <c r="P396" s="79"/>
      <c r="Q396" s="79"/>
      <c r="R396" s="79"/>
      <c r="AT396" s="378"/>
      <c r="AU396" s="378"/>
      <c r="AV396" s="378"/>
      <c r="AW396" s="378"/>
      <c r="AX396" s="378"/>
      <c r="AY396" s="378"/>
      <c r="AZ396" s="378"/>
      <c r="BA396" s="378"/>
      <c r="BB396" s="378"/>
      <c r="BC396" s="378"/>
      <c r="BD396" s="378"/>
      <c r="BE396" s="378"/>
      <c r="BF396" s="378"/>
      <c r="BG396" s="378"/>
    </row>
    <row r="397" ht="12.75" customHeight="1" outlineLevel="1">
      <c r="A397" s="126" t="s">
        <v>844</v>
      </c>
      <c r="B397" s="298"/>
      <c r="C397" s="298"/>
      <c r="D397" s="298"/>
      <c r="E397" s="298"/>
      <c r="F397" s="298"/>
      <c r="G397" s="128">
        <f t="shared" ref="G397:R397" si="393">G296-G395</f>
        <v>0</v>
      </c>
      <c r="H397" s="128">
        <f t="shared" si="393"/>
        <v>45368.39356</v>
      </c>
      <c r="I397" s="128">
        <f t="shared" si="393"/>
        <v>24130.99082</v>
      </c>
      <c r="J397" s="128">
        <f t="shared" si="393"/>
        <v>5839.570572</v>
      </c>
      <c r="K397" s="128">
        <f t="shared" si="393"/>
        <v>-1492.163391</v>
      </c>
      <c r="L397" s="128">
        <f t="shared" si="393"/>
        <v>17849.51467</v>
      </c>
      <c r="M397" s="128">
        <f t="shared" si="393"/>
        <v>14977.78427</v>
      </c>
      <c r="N397" s="128">
        <f t="shared" si="393"/>
        <v>12575.29467</v>
      </c>
      <c r="O397" s="128">
        <f t="shared" si="393"/>
        <v>8352.69987</v>
      </c>
      <c r="P397" s="128">
        <f t="shared" si="393"/>
        <v>4128.86487</v>
      </c>
      <c r="Q397" s="128">
        <f t="shared" si="393"/>
        <v>1928.78187</v>
      </c>
      <c r="R397" s="128">
        <f t="shared" si="393"/>
        <v>1942.42407</v>
      </c>
      <c r="AT397" s="388" t="str">
        <f t="shared" ref="AT397:BG397" si="394">AT296-AT395</f>
        <v>#REF!</v>
      </c>
      <c r="AU397" s="388" t="str">
        <f t="shared" si="394"/>
        <v>#REF!</v>
      </c>
      <c r="AV397" s="388" t="str">
        <f t="shared" si="394"/>
        <v>#REF!</v>
      </c>
      <c r="AW397" s="388" t="str">
        <f t="shared" si="394"/>
        <v>#REF!</v>
      </c>
      <c r="AX397" s="388" t="str">
        <f t="shared" si="394"/>
        <v>#REF!</v>
      </c>
      <c r="AY397" s="388" t="str">
        <f t="shared" si="394"/>
        <v>#REF!</v>
      </c>
      <c r="AZ397" s="388" t="str">
        <f t="shared" si="394"/>
        <v>#REF!</v>
      </c>
      <c r="BA397" s="388" t="str">
        <f t="shared" si="394"/>
        <v>#REF!</v>
      </c>
      <c r="BB397" s="388" t="str">
        <f t="shared" si="394"/>
        <v>#REF!</v>
      </c>
      <c r="BC397" s="388" t="str">
        <f t="shared" si="394"/>
        <v>#REF!</v>
      </c>
      <c r="BD397" s="388" t="str">
        <f t="shared" si="394"/>
        <v>#REF!</v>
      </c>
      <c r="BE397" s="388" t="str">
        <f t="shared" si="394"/>
        <v>#REF!</v>
      </c>
      <c r="BF397" s="388" t="str">
        <f t="shared" si="394"/>
        <v>#REF!</v>
      </c>
      <c r="BG397" s="388" t="str">
        <f t="shared" si="394"/>
        <v>#REF!</v>
      </c>
    </row>
    <row r="398" ht="12.75" customHeight="1">
      <c r="A398" s="67"/>
      <c r="B398" s="90"/>
      <c r="C398" s="90"/>
      <c r="D398" s="90"/>
      <c r="E398" s="90"/>
      <c r="F398" s="90"/>
      <c r="G398" s="114"/>
      <c r="H398" s="114"/>
      <c r="I398" s="114"/>
      <c r="J398" s="114"/>
      <c r="K398" s="114"/>
      <c r="L398" s="114"/>
      <c r="M398" s="114"/>
      <c r="N398" s="114"/>
      <c r="O398" s="114"/>
      <c r="P398" s="114"/>
      <c r="Q398" s="91"/>
      <c r="R398" s="91"/>
      <c r="AT398" s="382"/>
      <c r="AU398" s="382"/>
      <c r="AV398" s="382"/>
      <c r="AW398" s="382"/>
      <c r="AX398" s="382"/>
      <c r="AY398" s="382"/>
      <c r="AZ398" s="382"/>
      <c r="BA398" s="382"/>
      <c r="BB398" s="382"/>
      <c r="BC398" s="382"/>
      <c r="BD398" s="382"/>
      <c r="BE398" s="382"/>
      <c r="BF398" s="382"/>
      <c r="BG398" s="382"/>
    </row>
    <row r="399" ht="12.75" customHeight="1">
      <c r="A399" s="106" t="s">
        <v>845</v>
      </c>
      <c r="B399" s="253"/>
      <c r="C399" s="253"/>
      <c r="D399" s="253"/>
      <c r="E399" s="253"/>
      <c r="F399" s="253"/>
      <c r="G399" s="253"/>
      <c r="H399" s="253"/>
      <c r="I399" s="253"/>
      <c r="J399" s="253"/>
      <c r="K399" s="253"/>
      <c r="L399" s="253"/>
      <c r="M399" s="253"/>
      <c r="N399" s="253"/>
      <c r="O399" s="253"/>
      <c r="P399" s="253"/>
      <c r="Q399" s="253"/>
      <c r="R399" s="253"/>
      <c r="AT399" s="314"/>
      <c r="AU399" s="314"/>
      <c r="AV399" s="314"/>
      <c r="AW399" s="314"/>
      <c r="AX399" s="314"/>
      <c r="AY399" s="314"/>
      <c r="AZ399" s="314"/>
      <c r="BA399" s="314"/>
      <c r="BB399" s="314"/>
      <c r="BC399" s="314"/>
      <c r="BD399" s="314"/>
      <c r="BE399" s="314"/>
      <c r="BF399" s="314"/>
      <c r="BG399" s="314"/>
    </row>
    <row r="400" ht="12.75" customHeight="1" outlineLevel="1">
      <c r="A400" s="206"/>
      <c r="B400" s="201" t="s">
        <v>464</v>
      </c>
      <c r="C400" s="201"/>
      <c r="D400" s="201"/>
      <c r="E400" s="201"/>
      <c r="F400" s="201"/>
      <c r="G400" s="114"/>
      <c r="H400" s="114"/>
      <c r="I400" s="114"/>
      <c r="J400" s="114"/>
      <c r="K400" s="114"/>
      <c r="L400" s="114"/>
      <c r="M400" s="114"/>
      <c r="N400" s="114"/>
      <c r="O400" s="114"/>
      <c r="P400" s="114"/>
      <c r="Q400" s="91"/>
      <c r="R400" s="91"/>
      <c r="AT400" s="382"/>
      <c r="AU400" s="382"/>
      <c r="AV400" s="382"/>
      <c r="AW400" s="382"/>
      <c r="AX400" s="382"/>
      <c r="AY400" s="382"/>
      <c r="AZ400" s="382"/>
      <c r="BA400" s="382"/>
      <c r="BB400" s="382"/>
      <c r="BC400" s="382"/>
      <c r="BD400" s="382"/>
      <c r="BE400" s="382"/>
      <c r="BF400" s="382"/>
      <c r="BG400" s="382"/>
    </row>
    <row r="401" ht="12.75" customHeight="1" outlineLevel="1">
      <c r="A401" s="90"/>
      <c r="B401" s="90"/>
      <c r="C401" s="90" t="s">
        <v>194</v>
      </c>
      <c r="D401" s="90"/>
      <c r="E401" s="90"/>
      <c r="F401" s="90"/>
      <c r="G401" s="147">
        <f t="shared" ref="G401:R401" si="395">G397</f>
        <v>0</v>
      </c>
      <c r="H401" s="147">
        <f t="shared" si="395"/>
        <v>45368.39356</v>
      </c>
      <c r="I401" s="147">
        <f t="shared" si="395"/>
        <v>24130.99082</v>
      </c>
      <c r="J401" s="147">
        <f t="shared" si="395"/>
        <v>5839.570572</v>
      </c>
      <c r="K401" s="147">
        <f t="shared" si="395"/>
        <v>-1492.163391</v>
      </c>
      <c r="L401" s="147">
        <f t="shared" si="395"/>
        <v>17849.51467</v>
      </c>
      <c r="M401" s="147">
        <f t="shared" si="395"/>
        <v>14977.78427</v>
      </c>
      <c r="N401" s="147">
        <f t="shared" si="395"/>
        <v>12575.29467</v>
      </c>
      <c r="O401" s="147">
        <f t="shared" si="395"/>
        <v>8352.69987</v>
      </c>
      <c r="P401" s="147">
        <f t="shared" si="395"/>
        <v>4128.86487</v>
      </c>
      <c r="Q401" s="147">
        <f t="shared" si="395"/>
        <v>1928.78187</v>
      </c>
      <c r="R401" s="147">
        <f t="shared" si="395"/>
        <v>1942.42407</v>
      </c>
      <c r="AT401" s="389" t="str">
        <f t="shared" ref="AT401:BG401" si="396">AT397</f>
        <v>#REF!</v>
      </c>
      <c r="AU401" s="389" t="str">
        <f t="shared" si="396"/>
        <v>#REF!</v>
      </c>
      <c r="AV401" s="389" t="str">
        <f t="shared" si="396"/>
        <v>#REF!</v>
      </c>
      <c r="AW401" s="389" t="str">
        <f t="shared" si="396"/>
        <v>#REF!</v>
      </c>
      <c r="AX401" s="389" t="str">
        <f t="shared" si="396"/>
        <v>#REF!</v>
      </c>
      <c r="AY401" s="389" t="str">
        <f t="shared" si="396"/>
        <v>#REF!</v>
      </c>
      <c r="AZ401" s="389" t="str">
        <f t="shared" si="396"/>
        <v>#REF!</v>
      </c>
      <c r="BA401" s="389" t="str">
        <f t="shared" si="396"/>
        <v>#REF!</v>
      </c>
      <c r="BB401" s="389" t="str">
        <f t="shared" si="396"/>
        <v>#REF!</v>
      </c>
      <c r="BC401" s="389" t="str">
        <f t="shared" si="396"/>
        <v>#REF!</v>
      </c>
      <c r="BD401" s="389" t="str">
        <f t="shared" si="396"/>
        <v>#REF!</v>
      </c>
      <c r="BE401" s="389" t="str">
        <f t="shared" si="396"/>
        <v>#REF!</v>
      </c>
      <c r="BF401" s="389" t="str">
        <f t="shared" si="396"/>
        <v>#REF!</v>
      </c>
      <c r="BG401" s="389" t="str">
        <f t="shared" si="396"/>
        <v>#REF!</v>
      </c>
    </row>
    <row r="402" ht="12.75" customHeight="1" outlineLevel="1">
      <c r="A402" s="90"/>
      <c r="B402" s="90"/>
      <c r="C402" s="90" t="s">
        <v>465</v>
      </c>
      <c r="D402" s="90"/>
      <c r="E402" s="90"/>
      <c r="F402" s="90"/>
      <c r="G402" s="147">
        <f t="shared" ref="G402:R402" si="397">G361</f>
        <v>0</v>
      </c>
      <c r="H402" s="147">
        <f t="shared" si="397"/>
        <v>0</v>
      </c>
      <c r="I402" s="147" t="str">
        <f t="shared" si="397"/>
        <v/>
      </c>
      <c r="J402" s="147" t="str">
        <f t="shared" si="397"/>
        <v/>
      </c>
      <c r="K402" s="147" t="str">
        <f t="shared" si="397"/>
        <v/>
      </c>
      <c r="L402" s="147" t="str">
        <f t="shared" si="397"/>
        <v/>
      </c>
      <c r="M402" s="147" t="str">
        <f t="shared" si="397"/>
        <v/>
      </c>
      <c r="N402" s="147" t="str">
        <f t="shared" si="397"/>
        <v/>
      </c>
      <c r="O402" s="147" t="str">
        <f t="shared" si="397"/>
        <v/>
      </c>
      <c r="P402" s="147" t="str">
        <f t="shared" si="397"/>
        <v/>
      </c>
      <c r="Q402" s="147" t="str">
        <f t="shared" si="397"/>
        <v/>
      </c>
      <c r="R402" s="147" t="str">
        <f t="shared" si="397"/>
        <v/>
      </c>
      <c r="AT402" s="389" t="str">
        <f t="shared" ref="AT402:BG402" si="398">AT361</f>
        <v/>
      </c>
      <c r="AU402" s="389" t="str">
        <f t="shared" si="398"/>
        <v/>
      </c>
      <c r="AV402" s="389" t="str">
        <f t="shared" si="398"/>
        <v/>
      </c>
      <c r="AW402" s="389" t="str">
        <f t="shared" si="398"/>
        <v/>
      </c>
      <c r="AX402" s="389" t="str">
        <f t="shared" si="398"/>
        <v/>
      </c>
      <c r="AY402" s="389" t="str">
        <f t="shared" si="398"/>
        <v/>
      </c>
      <c r="AZ402" s="389" t="str">
        <f t="shared" si="398"/>
        <v/>
      </c>
      <c r="BA402" s="389" t="str">
        <f t="shared" si="398"/>
        <v/>
      </c>
      <c r="BB402" s="389" t="str">
        <f t="shared" si="398"/>
        <v/>
      </c>
      <c r="BC402" s="389" t="str">
        <f t="shared" si="398"/>
        <v/>
      </c>
      <c r="BD402" s="389" t="str">
        <f t="shared" si="398"/>
        <v/>
      </c>
      <c r="BE402" s="389" t="str">
        <f t="shared" si="398"/>
        <v/>
      </c>
      <c r="BF402" s="389" t="str">
        <f t="shared" si="398"/>
        <v/>
      </c>
      <c r="BG402" s="389" t="str">
        <f t="shared" si="398"/>
        <v/>
      </c>
    </row>
    <row r="403" ht="12.75" customHeight="1" outlineLevel="1">
      <c r="A403" s="90"/>
      <c r="B403" s="90"/>
      <c r="C403" s="90" t="s">
        <v>466</v>
      </c>
      <c r="D403" s="90"/>
      <c r="E403" s="90"/>
      <c r="F403" s="90"/>
      <c r="G403" s="147">
        <v>0.0</v>
      </c>
      <c r="H403" s="147">
        <v>0.0</v>
      </c>
      <c r="I403" s="147">
        <v>0.0</v>
      </c>
      <c r="J403" s="147">
        <v>0.0</v>
      </c>
      <c r="K403" s="147">
        <v>0.0</v>
      </c>
      <c r="L403" s="147">
        <v>0.0</v>
      </c>
      <c r="M403" s="147">
        <v>0.0</v>
      </c>
      <c r="N403" s="147">
        <v>0.0</v>
      </c>
      <c r="O403" s="147">
        <v>0.0</v>
      </c>
      <c r="P403" s="147">
        <v>0.0</v>
      </c>
      <c r="Q403" s="147">
        <v>0.0</v>
      </c>
      <c r="R403" s="147">
        <v>0.0</v>
      </c>
      <c r="AT403" s="389">
        <v>0.0</v>
      </c>
      <c r="AU403" s="389">
        <v>0.0</v>
      </c>
      <c r="AV403" s="389">
        <v>0.0</v>
      </c>
      <c r="AW403" s="389">
        <v>0.0</v>
      </c>
      <c r="AX403" s="389">
        <v>0.0</v>
      </c>
      <c r="AY403" s="389">
        <v>0.0</v>
      </c>
      <c r="AZ403" s="389">
        <v>0.0</v>
      </c>
      <c r="BA403" s="389">
        <v>0.0</v>
      </c>
      <c r="BB403" s="389">
        <v>0.0</v>
      </c>
      <c r="BC403" s="389">
        <v>0.0</v>
      </c>
      <c r="BD403" s="389">
        <v>0.0</v>
      </c>
      <c r="BE403" s="389">
        <v>0.0</v>
      </c>
      <c r="BF403" s="389">
        <v>0.0</v>
      </c>
      <c r="BG403" s="389">
        <v>0.0</v>
      </c>
    </row>
    <row r="404" ht="12.75" customHeight="1" outlineLevel="1">
      <c r="A404" s="90"/>
      <c r="B404" s="90"/>
      <c r="C404" s="90" t="s">
        <v>467</v>
      </c>
      <c r="D404" s="90"/>
      <c r="E404" s="90"/>
      <c r="F404" s="90"/>
      <c r="G404" s="99">
        <v>0.0</v>
      </c>
      <c r="H404" s="99">
        <f t="shared" ref="H404:R404" si="399">H480-G480+G475-H475</f>
        <v>-22268.41968</v>
      </c>
      <c r="I404" s="99">
        <f t="shared" si="399"/>
        <v>-275017.3955</v>
      </c>
      <c r="J404" s="99">
        <f t="shared" si="399"/>
        <v>-35924.94259</v>
      </c>
      <c r="K404" s="99">
        <f t="shared" si="399"/>
        <v>-12846.93994</v>
      </c>
      <c r="L404" s="99">
        <f t="shared" si="399"/>
        <v>-1857.483903</v>
      </c>
      <c r="M404" s="99">
        <f t="shared" si="399"/>
        <v>906.78652</v>
      </c>
      <c r="N404" s="99">
        <f t="shared" si="399"/>
        <v>819.72448</v>
      </c>
      <c r="O404" s="99">
        <f t="shared" si="399"/>
        <v>878.92974</v>
      </c>
      <c r="P404" s="99">
        <f t="shared" si="399"/>
        <v>878.99175</v>
      </c>
      <c r="Q404" s="99">
        <f t="shared" si="399"/>
        <v>459.80415</v>
      </c>
      <c r="R404" s="99">
        <f t="shared" si="399"/>
        <v>-0.68211</v>
      </c>
      <c r="AT404" s="99" t="str">
        <f t="shared" ref="AT404:BG404" si="400">AT480-AS480+AS475-AT475</f>
        <v>#REF!</v>
      </c>
      <c r="AU404" s="99" t="str">
        <f t="shared" si="400"/>
        <v>#REF!</v>
      </c>
      <c r="AV404" s="99" t="str">
        <f t="shared" si="400"/>
        <v>#REF!</v>
      </c>
      <c r="AW404" s="99" t="str">
        <f t="shared" si="400"/>
        <v>#REF!</v>
      </c>
      <c r="AX404" s="99" t="str">
        <f t="shared" si="400"/>
        <v>#REF!</v>
      </c>
      <c r="AY404" s="99" t="str">
        <f t="shared" si="400"/>
        <v>#REF!</v>
      </c>
      <c r="AZ404" s="99" t="str">
        <f t="shared" si="400"/>
        <v>#REF!</v>
      </c>
      <c r="BA404" s="99" t="str">
        <f t="shared" si="400"/>
        <v>#REF!</v>
      </c>
      <c r="BB404" s="99" t="str">
        <f t="shared" si="400"/>
        <v>#REF!</v>
      </c>
      <c r="BC404" s="99" t="str">
        <f t="shared" si="400"/>
        <v>#REF!</v>
      </c>
      <c r="BD404" s="99" t="str">
        <f t="shared" si="400"/>
        <v>#REF!</v>
      </c>
      <c r="BE404" s="99" t="str">
        <f t="shared" si="400"/>
        <v>#REF!</v>
      </c>
      <c r="BF404" s="99" t="str">
        <f t="shared" si="400"/>
        <v>#REF!</v>
      </c>
      <c r="BG404" s="99" t="str">
        <f t="shared" si="400"/>
        <v>#REF!</v>
      </c>
    </row>
    <row r="405" ht="12.75" customHeight="1" outlineLevel="1">
      <c r="A405" s="90"/>
      <c r="B405" s="90"/>
      <c r="C405" s="90" t="s">
        <v>468</v>
      </c>
      <c r="D405" s="90"/>
      <c r="E405" s="90"/>
      <c r="F405" s="90"/>
      <c r="G405" s="147">
        <v>0.0</v>
      </c>
      <c r="H405" s="147">
        <v>0.0</v>
      </c>
      <c r="I405" s="147">
        <v>0.0</v>
      </c>
      <c r="J405" s="147">
        <v>0.0</v>
      </c>
      <c r="K405" s="147">
        <v>0.0</v>
      </c>
      <c r="L405" s="147">
        <v>0.0</v>
      </c>
      <c r="M405" s="147">
        <v>0.0</v>
      </c>
      <c r="N405" s="147">
        <v>0.0</v>
      </c>
      <c r="O405" s="147">
        <v>0.0</v>
      </c>
      <c r="P405" s="147">
        <v>0.0</v>
      </c>
      <c r="Q405" s="147">
        <v>0.0</v>
      </c>
      <c r="R405" s="147">
        <v>0.0</v>
      </c>
      <c r="AT405" s="389">
        <v>0.0</v>
      </c>
      <c r="AU405" s="389">
        <v>0.0</v>
      </c>
      <c r="AV405" s="389">
        <v>0.0</v>
      </c>
      <c r="AW405" s="389">
        <v>0.0</v>
      </c>
      <c r="AX405" s="389">
        <v>0.0</v>
      </c>
      <c r="AY405" s="389">
        <v>0.0</v>
      </c>
      <c r="AZ405" s="389">
        <v>0.0</v>
      </c>
      <c r="BA405" s="389">
        <v>0.0</v>
      </c>
      <c r="BB405" s="389">
        <v>0.0</v>
      </c>
      <c r="BC405" s="389">
        <v>0.0</v>
      </c>
      <c r="BD405" s="389">
        <v>0.0</v>
      </c>
      <c r="BE405" s="389">
        <v>0.0</v>
      </c>
      <c r="BF405" s="389">
        <v>0.0</v>
      </c>
      <c r="BG405" s="389">
        <v>0.0</v>
      </c>
    </row>
    <row r="406" ht="12.75" customHeight="1" outlineLevel="1">
      <c r="A406" s="90"/>
      <c r="B406" s="148" t="s">
        <v>469</v>
      </c>
      <c r="C406" s="148"/>
      <c r="D406" s="148"/>
      <c r="E406" s="148"/>
      <c r="F406" s="148"/>
      <c r="G406" s="251">
        <f t="shared" ref="G406:R406" si="401">SUM(G401:G405)</f>
        <v>0</v>
      </c>
      <c r="H406" s="251">
        <f t="shared" si="401"/>
        <v>23099.97388</v>
      </c>
      <c r="I406" s="251">
        <f t="shared" si="401"/>
        <v>-250886.4046</v>
      </c>
      <c r="J406" s="251">
        <f t="shared" si="401"/>
        <v>-30085.37202</v>
      </c>
      <c r="K406" s="251">
        <f t="shared" si="401"/>
        <v>-14339.10333</v>
      </c>
      <c r="L406" s="251">
        <f t="shared" si="401"/>
        <v>15992.03077</v>
      </c>
      <c r="M406" s="251">
        <f t="shared" si="401"/>
        <v>15884.57079</v>
      </c>
      <c r="N406" s="251">
        <f t="shared" si="401"/>
        <v>13395.01915</v>
      </c>
      <c r="O406" s="251">
        <f t="shared" si="401"/>
        <v>9231.62961</v>
      </c>
      <c r="P406" s="251">
        <f t="shared" si="401"/>
        <v>5007.85662</v>
      </c>
      <c r="Q406" s="251">
        <f t="shared" si="401"/>
        <v>2388.58602</v>
      </c>
      <c r="R406" s="251">
        <f t="shared" si="401"/>
        <v>1941.74196</v>
      </c>
      <c r="AT406" s="390" t="str">
        <f t="shared" ref="AT406:BG406" si="402">SUM(AT401:AT405)</f>
        <v>#REF!</v>
      </c>
      <c r="AU406" s="390" t="str">
        <f t="shared" si="402"/>
        <v>#REF!</v>
      </c>
      <c r="AV406" s="390" t="str">
        <f t="shared" si="402"/>
        <v>#REF!</v>
      </c>
      <c r="AW406" s="390" t="str">
        <f t="shared" si="402"/>
        <v>#REF!</v>
      </c>
      <c r="AX406" s="390" t="str">
        <f t="shared" si="402"/>
        <v>#REF!</v>
      </c>
      <c r="AY406" s="390" t="str">
        <f t="shared" si="402"/>
        <v>#REF!</v>
      </c>
      <c r="AZ406" s="390" t="str">
        <f t="shared" si="402"/>
        <v>#REF!</v>
      </c>
      <c r="BA406" s="390" t="str">
        <f t="shared" si="402"/>
        <v>#REF!</v>
      </c>
      <c r="BB406" s="390" t="str">
        <f t="shared" si="402"/>
        <v>#REF!</v>
      </c>
      <c r="BC406" s="390" t="str">
        <f t="shared" si="402"/>
        <v>#REF!</v>
      </c>
      <c r="BD406" s="390" t="str">
        <f t="shared" si="402"/>
        <v>#REF!</v>
      </c>
      <c r="BE406" s="390" t="str">
        <f t="shared" si="402"/>
        <v>#REF!</v>
      </c>
      <c r="BF406" s="390" t="str">
        <f t="shared" si="402"/>
        <v>#REF!</v>
      </c>
      <c r="BG406" s="390" t="str">
        <f t="shared" si="402"/>
        <v>#REF!</v>
      </c>
    </row>
    <row r="407" ht="12.75" customHeight="1" outlineLevel="1">
      <c r="A407" s="90"/>
      <c r="B407" s="90"/>
      <c r="C407" s="90"/>
      <c r="D407" s="90"/>
      <c r="E407" s="90"/>
      <c r="F407" s="90"/>
      <c r="G407" s="114"/>
      <c r="H407" s="114"/>
      <c r="I407" s="114"/>
      <c r="J407" s="114"/>
      <c r="K407" s="114"/>
      <c r="L407" s="114"/>
      <c r="M407" s="114"/>
      <c r="N407" s="114"/>
      <c r="O407" s="114"/>
      <c r="P407" s="114"/>
      <c r="Q407" s="114"/>
      <c r="R407" s="114"/>
      <c r="AT407" s="391"/>
      <c r="AU407" s="391"/>
      <c r="AV407" s="391"/>
      <c r="AW407" s="391"/>
      <c r="AX407" s="391"/>
      <c r="AY407" s="391"/>
      <c r="AZ407" s="391"/>
      <c r="BA407" s="391"/>
      <c r="BB407" s="391"/>
      <c r="BC407" s="391"/>
      <c r="BD407" s="391"/>
      <c r="BE407" s="391"/>
      <c r="BF407" s="391"/>
      <c r="BG407" s="391"/>
    </row>
    <row r="408" ht="12.75" customHeight="1" outlineLevel="1">
      <c r="A408" s="90"/>
      <c r="B408" s="201" t="s">
        <v>470</v>
      </c>
      <c r="C408" s="90"/>
      <c r="D408" s="90"/>
      <c r="E408" s="90"/>
      <c r="F408" s="90"/>
      <c r="G408" s="114"/>
      <c r="H408" s="114"/>
      <c r="I408" s="114"/>
      <c r="J408" s="114"/>
      <c r="K408" s="114"/>
      <c r="L408" s="114"/>
      <c r="M408" s="114"/>
      <c r="N408" s="114"/>
      <c r="O408" s="114"/>
      <c r="P408" s="114"/>
      <c r="Q408" s="114"/>
      <c r="R408" s="114"/>
      <c r="AT408" s="391"/>
      <c r="AU408" s="391"/>
      <c r="AV408" s="391"/>
      <c r="AW408" s="391"/>
      <c r="AX408" s="391"/>
      <c r="AY408" s="391"/>
      <c r="AZ408" s="391"/>
      <c r="BA408" s="391"/>
      <c r="BB408" s="391"/>
      <c r="BC408" s="391"/>
      <c r="BD408" s="391"/>
      <c r="BE408" s="391"/>
      <c r="BF408" s="391"/>
      <c r="BG408" s="391"/>
    </row>
    <row r="409" ht="12.75" customHeight="1" outlineLevel="1">
      <c r="A409" s="90"/>
      <c r="B409" s="201"/>
      <c r="C409" s="90" t="s">
        <v>471</v>
      </c>
      <c r="D409" s="90"/>
      <c r="E409" s="90"/>
      <c r="F409" s="90"/>
      <c r="G409" s="114"/>
      <c r="H409" s="147">
        <f>-Assumptions!D30</f>
        <v>-200000</v>
      </c>
      <c r="I409" s="147">
        <v>0.0</v>
      </c>
      <c r="J409" s="147">
        <v>0.0</v>
      </c>
      <c r="K409" s="147">
        <v>0.0</v>
      </c>
      <c r="L409" s="147">
        <v>0.0</v>
      </c>
      <c r="M409" s="147">
        <v>0.0</v>
      </c>
      <c r="N409" s="147">
        <v>0.0</v>
      </c>
      <c r="O409" s="147">
        <f>-H409</f>
        <v>200000</v>
      </c>
      <c r="P409" s="147"/>
      <c r="Q409" s="147"/>
      <c r="R409" s="147"/>
      <c r="S409" s="90"/>
      <c r="T409" s="90"/>
      <c r="U409" s="90"/>
      <c r="V409" s="90"/>
      <c r="W409" s="90"/>
      <c r="X409" s="90"/>
      <c r="Y409" s="90"/>
      <c r="Z409" s="90"/>
      <c r="AA409" s="90"/>
      <c r="AB409" s="90"/>
      <c r="AC409" s="90"/>
      <c r="AD409" s="90"/>
      <c r="AE409" s="90"/>
      <c r="AF409" s="90"/>
      <c r="AG409" s="90"/>
      <c r="AH409" s="90"/>
      <c r="AI409" s="90"/>
      <c r="AJ409" s="90"/>
      <c r="AK409" s="90"/>
      <c r="AL409" s="90"/>
      <c r="AM409" s="90"/>
      <c r="AN409" s="90"/>
      <c r="AO409" s="90"/>
      <c r="AP409" s="90"/>
      <c r="AQ409" s="90"/>
      <c r="AR409" s="90"/>
      <c r="AS409" s="90"/>
      <c r="AT409" s="389"/>
      <c r="AU409" s="389"/>
      <c r="AV409" s="389"/>
      <c r="AW409" s="389"/>
      <c r="AX409" s="389"/>
      <c r="AY409" s="389"/>
      <c r="AZ409" s="389"/>
      <c r="BA409" s="389"/>
      <c r="BB409" s="389"/>
      <c r="BC409" s="389"/>
      <c r="BD409" s="389"/>
      <c r="BE409" s="389"/>
      <c r="BF409" s="389"/>
      <c r="BG409" s="389"/>
    </row>
    <row r="410" ht="12.75" customHeight="1" outlineLevel="1">
      <c r="A410" s="90"/>
      <c r="B410" s="90"/>
      <c r="C410" s="90" t="s">
        <v>472</v>
      </c>
      <c r="D410" s="90"/>
      <c r="E410" s="90"/>
      <c r="F410" s="90"/>
      <c r="G410" s="147">
        <f t="shared" ref="G410:R410" si="403">-G239</f>
        <v>0</v>
      </c>
      <c r="H410" s="147">
        <f t="shared" si="403"/>
        <v>0</v>
      </c>
      <c r="I410" s="147">
        <f t="shared" si="403"/>
        <v>0</v>
      </c>
      <c r="J410" s="147">
        <f t="shared" si="403"/>
        <v>0</v>
      </c>
      <c r="K410" s="147">
        <f t="shared" si="403"/>
        <v>0</v>
      </c>
      <c r="L410" s="147">
        <f t="shared" si="403"/>
        <v>0</v>
      </c>
      <c r="M410" s="147">
        <f t="shared" si="403"/>
        <v>0</v>
      </c>
      <c r="N410" s="147">
        <f t="shared" si="403"/>
        <v>0</v>
      </c>
      <c r="O410" s="147">
        <f t="shared" si="403"/>
        <v>0</v>
      </c>
      <c r="P410" s="147">
        <f t="shared" si="403"/>
        <v>0</v>
      </c>
      <c r="Q410" s="147">
        <f t="shared" si="403"/>
        <v>0</v>
      </c>
      <c r="R410" s="147">
        <f t="shared" si="403"/>
        <v>0</v>
      </c>
      <c r="AT410" s="389">
        <f t="shared" ref="AT410:BG410" si="404">-AT239</f>
        <v>0</v>
      </c>
      <c r="AU410" s="389">
        <f t="shared" si="404"/>
        <v>0</v>
      </c>
      <c r="AV410" s="389">
        <f t="shared" si="404"/>
        <v>0</v>
      </c>
      <c r="AW410" s="389">
        <f t="shared" si="404"/>
        <v>0</v>
      </c>
      <c r="AX410" s="389">
        <f t="shared" si="404"/>
        <v>0</v>
      </c>
      <c r="AY410" s="389">
        <f t="shared" si="404"/>
        <v>0</v>
      </c>
      <c r="AZ410" s="389">
        <f t="shared" si="404"/>
        <v>0</v>
      </c>
      <c r="BA410" s="389">
        <f t="shared" si="404"/>
        <v>0</v>
      </c>
      <c r="BB410" s="389">
        <f t="shared" si="404"/>
        <v>0</v>
      </c>
      <c r="BC410" s="389">
        <f t="shared" si="404"/>
        <v>0</v>
      </c>
      <c r="BD410" s="389">
        <f t="shared" si="404"/>
        <v>0</v>
      </c>
      <c r="BE410" s="389">
        <f t="shared" si="404"/>
        <v>0</v>
      </c>
      <c r="BF410" s="389">
        <f t="shared" si="404"/>
        <v>0</v>
      </c>
      <c r="BG410" s="389">
        <f t="shared" si="404"/>
        <v>0</v>
      </c>
    </row>
    <row r="411" ht="12.75" customHeight="1" outlineLevel="1">
      <c r="A411" s="90"/>
      <c r="B411" s="148" t="s">
        <v>473</v>
      </c>
      <c r="C411" s="148"/>
      <c r="D411" s="148"/>
      <c r="E411" s="148"/>
      <c r="F411" s="148"/>
      <c r="G411" s="251">
        <f t="shared" ref="G411:R411" si="405">SUM(G409:G410)</f>
        <v>0</v>
      </c>
      <c r="H411" s="251">
        <f t="shared" si="405"/>
        <v>-200000</v>
      </c>
      <c r="I411" s="251">
        <f t="shared" si="405"/>
        <v>0</v>
      </c>
      <c r="J411" s="251">
        <f t="shared" si="405"/>
        <v>0</v>
      </c>
      <c r="K411" s="251">
        <f t="shared" si="405"/>
        <v>0</v>
      </c>
      <c r="L411" s="251">
        <f t="shared" si="405"/>
        <v>0</v>
      </c>
      <c r="M411" s="251">
        <f t="shared" si="405"/>
        <v>0</v>
      </c>
      <c r="N411" s="251">
        <f t="shared" si="405"/>
        <v>0</v>
      </c>
      <c r="O411" s="251">
        <f t="shared" si="405"/>
        <v>200000</v>
      </c>
      <c r="P411" s="251">
        <f t="shared" si="405"/>
        <v>0</v>
      </c>
      <c r="Q411" s="251">
        <f t="shared" si="405"/>
        <v>0</v>
      </c>
      <c r="R411" s="251">
        <f t="shared" si="405"/>
        <v>0</v>
      </c>
      <c r="AT411" s="390">
        <f t="shared" ref="AT411:BG411" si="406">SUM(AT409:AT410)</f>
        <v>0</v>
      </c>
      <c r="AU411" s="390">
        <f t="shared" si="406"/>
        <v>0</v>
      </c>
      <c r="AV411" s="390">
        <f t="shared" si="406"/>
        <v>0</v>
      </c>
      <c r="AW411" s="390">
        <f t="shared" si="406"/>
        <v>0</v>
      </c>
      <c r="AX411" s="390">
        <f t="shared" si="406"/>
        <v>0</v>
      </c>
      <c r="AY411" s="390">
        <f t="shared" si="406"/>
        <v>0</v>
      </c>
      <c r="AZ411" s="390">
        <f t="shared" si="406"/>
        <v>0</v>
      </c>
      <c r="BA411" s="390">
        <f t="shared" si="406"/>
        <v>0</v>
      </c>
      <c r="BB411" s="390">
        <f t="shared" si="406"/>
        <v>0</v>
      </c>
      <c r="BC411" s="390">
        <f t="shared" si="406"/>
        <v>0</v>
      </c>
      <c r="BD411" s="390">
        <f t="shared" si="406"/>
        <v>0</v>
      </c>
      <c r="BE411" s="390">
        <f t="shared" si="406"/>
        <v>0</v>
      </c>
      <c r="BF411" s="390">
        <f t="shared" si="406"/>
        <v>0</v>
      </c>
      <c r="BG411" s="390">
        <f t="shared" si="406"/>
        <v>0</v>
      </c>
    </row>
    <row r="412" ht="12.75" customHeight="1" outlineLevel="1">
      <c r="A412" s="90"/>
      <c r="B412" s="90"/>
      <c r="C412" s="90"/>
      <c r="D412" s="90"/>
      <c r="E412" s="90"/>
      <c r="F412" s="90"/>
      <c r="G412" s="114"/>
      <c r="H412" s="114"/>
      <c r="I412" s="114"/>
      <c r="J412" s="114"/>
      <c r="K412" s="114"/>
      <c r="L412" s="114"/>
      <c r="M412" s="114"/>
      <c r="N412" s="114"/>
      <c r="O412" s="114"/>
      <c r="P412" s="114"/>
      <c r="Q412" s="114"/>
      <c r="R412" s="114"/>
      <c r="AT412" s="391"/>
      <c r="AU412" s="391"/>
      <c r="AV412" s="391"/>
      <c r="AW412" s="391"/>
      <c r="AX412" s="391"/>
      <c r="AY412" s="391"/>
      <c r="AZ412" s="391"/>
      <c r="BA412" s="391"/>
      <c r="BB412" s="391"/>
      <c r="BC412" s="391"/>
      <c r="BD412" s="391"/>
      <c r="BE412" s="391"/>
      <c r="BF412" s="391"/>
      <c r="BG412" s="391"/>
    </row>
    <row r="413" ht="12.75" customHeight="1" outlineLevel="1">
      <c r="A413" s="90"/>
      <c r="B413" s="201" t="s">
        <v>474</v>
      </c>
      <c r="C413" s="90"/>
      <c r="D413" s="90"/>
      <c r="E413" s="90"/>
      <c r="F413" s="90"/>
      <c r="G413" s="114"/>
      <c r="H413" s="114"/>
      <c r="I413" s="114"/>
      <c r="J413" s="114"/>
      <c r="K413" s="114"/>
      <c r="L413" s="114"/>
      <c r="M413" s="114"/>
      <c r="N413" s="114"/>
      <c r="O413" s="114"/>
      <c r="P413" s="114"/>
      <c r="Q413" s="114"/>
      <c r="R413" s="114"/>
      <c r="AT413" s="391"/>
      <c r="AU413" s="391"/>
      <c r="AV413" s="391"/>
      <c r="AW413" s="391"/>
      <c r="AX413" s="391"/>
      <c r="AY413" s="391"/>
      <c r="AZ413" s="391"/>
      <c r="BA413" s="391"/>
      <c r="BB413" s="391"/>
      <c r="BC413" s="391"/>
      <c r="BD413" s="391"/>
      <c r="BE413" s="391"/>
      <c r="BF413" s="391"/>
      <c r="BG413" s="391"/>
    </row>
    <row r="414" ht="12.75" customHeight="1" outlineLevel="1">
      <c r="A414" s="90"/>
      <c r="B414" s="90"/>
      <c r="C414" s="90" t="s">
        <v>846</v>
      </c>
      <c r="D414" s="90"/>
      <c r="E414" s="90"/>
      <c r="F414" s="90"/>
      <c r="G414" s="90"/>
      <c r="H414" s="90"/>
      <c r="I414" s="90"/>
      <c r="J414" s="90"/>
      <c r="K414" s="90"/>
      <c r="L414" s="90"/>
      <c r="M414" s="90"/>
      <c r="N414" s="90"/>
      <c r="O414" s="90"/>
      <c r="P414" s="90"/>
      <c r="Q414" s="90"/>
      <c r="R414" s="90"/>
      <c r="AT414" s="313"/>
      <c r="AU414" s="313"/>
      <c r="AV414" s="313"/>
      <c r="AW414" s="313"/>
      <c r="AX414" s="313"/>
      <c r="AY414" s="313"/>
      <c r="AZ414" s="313"/>
      <c r="BA414" s="313"/>
      <c r="BB414" s="313"/>
      <c r="BC414" s="313"/>
      <c r="BD414" s="313"/>
      <c r="BE414" s="313"/>
      <c r="BF414" s="313"/>
      <c r="BG414" s="313"/>
    </row>
    <row r="415" ht="12.75" customHeight="1" outlineLevel="1">
      <c r="A415" s="90"/>
      <c r="B415" s="90"/>
      <c r="C415" s="90"/>
      <c r="D415" s="90" t="s">
        <v>557</v>
      </c>
      <c r="E415" s="90"/>
      <c r="F415" s="90"/>
      <c r="G415" s="99">
        <f>G435</f>
        <v>0</v>
      </c>
      <c r="H415" s="99">
        <v>250000.0</v>
      </c>
      <c r="I415" s="99">
        <v>0.0</v>
      </c>
      <c r="J415" s="99">
        <f t="shared" ref="J415:R415" si="407">J435</f>
        <v>0</v>
      </c>
      <c r="K415" s="99">
        <f t="shared" si="407"/>
        <v>0</v>
      </c>
      <c r="L415" s="99">
        <f t="shared" si="407"/>
        <v>0</v>
      </c>
      <c r="M415" s="99">
        <f t="shared" si="407"/>
        <v>0</v>
      </c>
      <c r="N415" s="99">
        <f t="shared" si="407"/>
        <v>0</v>
      </c>
      <c r="O415" s="99">
        <f t="shared" si="407"/>
        <v>0</v>
      </c>
      <c r="P415" s="99">
        <f t="shared" si="407"/>
        <v>0</v>
      </c>
      <c r="Q415" s="99">
        <f t="shared" si="407"/>
        <v>0</v>
      </c>
      <c r="R415" s="99">
        <f t="shared" si="407"/>
        <v>0</v>
      </c>
      <c r="AT415" s="308">
        <f t="shared" ref="AT415:BG415" si="408">AT435</f>
        <v>0</v>
      </c>
      <c r="AU415" s="308">
        <f t="shared" si="408"/>
        <v>0</v>
      </c>
      <c r="AV415" s="308">
        <f t="shared" si="408"/>
        <v>0</v>
      </c>
      <c r="AW415" s="308">
        <f t="shared" si="408"/>
        <v>0</v>
      </c>
      <c r="AX415" s="308">
        <f t="shared" si="408"/>
        <v>0</v>
      </c>
      <c r="AY415" s="308">
        <f t="shared" si="408"/>
        <v>0</v>
      </c>
      <c r="AZ415" s="308">
        <f t="shared" si="408"/>
        <v>0</v>
      </c>
      <c r="BA415" s="308">
        <f t="shared" si="408"/>
        <v>0</v>
      </c>
      <c r="BB415" s="308">
        <f t="shared" si="408"/>
        <v>0</v>
      </c>
      <c r="BC415" s="308">
        <f t="shared" si="408"/>
        <v>0</v>
      </c>
      <c r="BD415" s="308">
        <f t="shared" si="408"/>
        <v>0</v>
      </c>
      <c r="BE415" s="308">
        <f t="shared" si="408"/>
        <v>0</v>
      </c>
      <c r="BF415" s="308">
        <f t="shared" si="408"/>
        <v>0</v>
      </c>
      <c r="BG415" s="308">
        <f t="shared" si="408"/>
        <v>0</v>
      </c>
    </row>
    <row r="416" ht="12.75" customHeight="1" outlineLevel="1">
      <c r="A416" s="90"/>
      <c r="B416" s="90"/>
      <c r="C416" s="90"/>
      <c r="D416" s="90" t="s">
        <v>148</v>
      </c>
      <c r="E416" s="90"/>
      <c r="F416" s="90"/>
      <c r="G416" s="99">
        <f t="shared" ref="G416:R416" si="409">G445</f>
        <v>0</v>
      </c>
      <c r="H416" s="99">
        <f t="shared" si="409"/>
        <v>0</v>
      </c>
      <c r="I416" s="99">
        <f t="shared" si="409"/>
        <v>288677.284</v>
      </c>
      <c r="J416" s="99">
        <f t="shared" si="409"/>
        <v>35918.52576</v>
      </c>
      <c r="K416" s="99">
        <f t="shared" si="409"/>
        <v>12883.18847</v>
      </c>
      <c r="L416" s="99">
        <f t="shared" si="409"/>
        <v>868.14</v>
      </c>
      <c r="M416" s="99">
        <f t="shared" si="409"/>
        <v>0</v>
      </c>
      <c r="N416" s="99">
        <f t="shared" si="409"/>
        <v>0</v>
      </c>
      <c r="O416" s="99">
        <f t="shared" si="409"/>
        <v>0</v>
      </c>
      <c r="P416" s="99">
        <f t="shared" si="409"/>
        <v>0</v>
      </c>
      <c r="Q416" s="99">
        <f t="shared" si="409"/>
        <v>0</v>
      </c>
      <c r="R416" s="99">
        <f t="shared" si="409"/>
        <v>0</v>
      </c>
      <c r="AT416" s="308">
        <f t="shared" ref="AT416:BG416" si="410">AT445</f>
        <v>0</v>
      </c>
      <c r="AU416" s="308">
        <f t="shared" si="410"/>
        <v>0</v>
      </c>
      <c r="AV416" s="308">
        <f t="shared" si="410"/>
        <v>0</v>
      </c>
      <c r="AW416" s="308">
        <f t="shared" si="410"/>
        <v>0</v>
      </c>
      <c r="AX416" s="308">
        <f t="shared" si="410"/>
        <v>0</v>
      </c>
      <c r="AY416" s="308">
        <f t="shared" si="410"/>
        <v>0</v>
      </c>
      <c r="AZ416" s="308">
        <f t="shared" si="410"/>
        <v>0</v>
      </c>
      <c r="BA416" s="308">
        <f t="shared" si="410"/>
        <v>0</v>
      </c>
      <c r="BB416" s="308">
        <f t="shared" si="410"/>
        <v>0</v>
      </c>
      <c r="BC416" s="308">
        <f t="shared" si="410"/>
        <v>0</v>
      </c>
      <c r="BD416" s="308">
        <f t="shared" si="410"/>
        <v>0</v>
      </c>
      <c r="BE416" s="308">
        <f t="shared" si="410"/>
        <v>0</v>
      </c>
      <c r="BF416" s="308">
        <f t="shared" si="410"/>
        <v>0</v>
      </c>
      <c r="BG416" s="308">
        <f t="shared" si="410"/>
        <v>0</v>
      </c>
    </row>
    <row r="417" ht="12.75" customHeight="1" outlineLevel="1">
      <c r="A417" s="90"/>
      <c r="B417" s="90"/>
      <c r="C417" s="90"/>
      <c r="D417" s="90" t="s">
        <v>479</v>
      </c>
      <c r="E417" s="90"/>
      <c r="F417" s="90"/>
      <c r="G417" s="99" t="str">
        <f t="shared" ref="G417:R417" si="411">G459</f>
        <v/>
      </c>
      <c r="H417" s="99">
        <f t="shared" si="411"/>
        <v>0</v>
      </c>
      <c r="I417" s="99">
        <f t="shared" si="411"/>
        <v>0</v>
      </c>
      <c r="J417" s="99">
        <f t="shared" si="411"/>
        <v>0</v>
      </c>
      <c r="K417" s="99">
        <f t="shared" si="411"/>
        <v>177051.6847</v>
      </c>
      <c r="L417" s="99">
        <f t="shared" si="411"/>
        <v>0</v>
      </c>
      <c r="M417" s="99">
        <f t="shared" si="411"/>
        <v>0</v>
      </c>
      <c r="N417" s="99">
        <f t="shared" si="411"/>
        <v>0</v>
      </c>
      <c r="O417" s="99">
        <f t="shared" si="411"/>
        <v>0</v>
      </c>
      <c r="P417" s="99">
        <f t="shared" si="411"/>
        <v>0</v>
      </c>
      <c r="Q417" s="99">
        <f t="shared" si="411"/>
        <v>0</v>
      </c>
      <c r="R417" s="99">
        <f t="shared" si="411"/>
        <v>0</v>
      </c>
      <c r="AT417" s="308">
        <f t="shared" ref="AT417:BG417" si="412">AT459</f>
        <v>0</v>
      </c>
      <c r="AU417" s="308">
        <f t="shared" si="412"/>
        <v>0</v>
      </c>
      <c r="AV417" s="308">
        <f t="shared" si="412"/>
        <v>0</v>
      </c>
      <c r="AW417" s="308">
        <f t="shared" si="412"/>
        <v>0</v>
      </c>
      <c r="AX417" s="308">
        <f t="shared" si="412"/>
        <v>0</v>
      </c>
      <c r="AY417" s="308">
        <f t="shared" si="412"/>
        <v>0</v>
      </c>
      <c r="AZ417" s="308">
        <f t="shared" si="412"/>
        <v>0</v>
      </c>
      <c r="BA417" s="308">
        <f t="shared" si="412"/>
        <v>0</v>
      </c>
      <c r="BB417" s="308">
        <f t="shared" si="412"/>
        <v>0</v>
      </c>
      <c r="BC417" s="308">
        <f t="shared" si="412"/>
        <v>0</v>
      </c>
      <c r="BD417" s="308">
        <f t="shared" si="412"/>
        <v>0</v>
      </c>
      <c r="BE417" s="308">
        <f t="shared" si="412"/>
        <v>0</v>
      </c>
      <c r="BF417" s="308">
        <f t="shared" si="412"/>
        <v>0</v>
      </c>
      <c r="BG417" s="308">
        <f t="shared" si="412"/>
        <v>0</v>
      </c>
    </row>
    <row r="418" ht="12.75" customHeight="1" outlineLevel="1">
      <c r="A418" s="90"/>
      <c r="B418" s="90"/>
      <c r="C418" s="90"/>
      <c r="D418" s="90" t="s">
        <v>480</v>
      </c>
      <c r="E418" s="90"/>
      <c r="F418" s="90"/>
      <c r="G418" s="99">
        <v>0.0</v>
      </c>
      <c r="H418" s="99">
        <v>0.0</v>
      </c>
      <c r="I418" s="99">
        <v>0.0</v>
      </c>
      <c r="J418" s="99">
        <v>0.0</v>
      </c>
      <c r="K418" s="99">
        <v>0.0</v>
      </c>
      <c r="L418" s="99">
        <v>0.0</v>
      </c>
      <c r="M418" s="99">
        <v>0.0</v>
      </c>
      <c r="N418" s="99">
        <v>0.0</v>
      </c>
      <c r="O418" s="99">
        <v>0.0</v>
      </c>
      <c r="P418" s="99">
        <v>0.0</v>
      </c>
      <c r="Q418" s="99">
        <v>0.0</v>
      </c>
      <c r="R418" s="99">
        <v>0.0</v>
      </c>
      <c r="AT418" s="308" t="str">
        <f t="shared" ref="AT418:BG418" si="413">AT460</f>
        <v/>
      </c>
      <c r="AU418" s="308" t="str">
        <f t="shared" si="413"/>
        <v/>
      </c>
      <c r="AV418" s="308" t="str">
        <f t="shared" si="413"/>
        <v/>
      </c>
      <c r="AW418" s="308" t="str">
        <f t="shared" si="413"/>
        <v/>
      </c>
      <c r="AX418" s="308" t="str">
        <f t="shared" si="413"/>
        <v/>
      </c>
      <c r="AY418" s="308" t="str">
        <f t="shared" si="413"/>
        <v/>
      </c>
      <c r="AZ418" s="308" t="str">
        <f t="shared" si="413"/>
        <v/>
      </c>
      <c r="BA418" s="308" t="str">
        <f t="shared" si="413"/>
        <v/>
      </c>
      <c r="BB418" s="308" t="str">
        <f t="shared" si="413"/>
        <v/>
      </c>
      <c r="BC418" s="308" t="str">
        <f t="shared" si="413"/>
        <v/>
      </c>
      <c r="BD418" s="308" t="str">
        <f t="shared" si="413"/>
        <v/>
      </c>
      <c r="BE418" s="308" t="str">
        <f t="shared" si="413"/>
        <v/>
      </c>
      <c r="BF418" s="308" t="str">
        <f t="shared" si="413"/>
        <v/>
      </c>
      <c r="BG418" s="308" t="str">
        <f t="shared" si="413"/>
        <v/>
      </c>
    </row>
    <row r="419" ht="12.75" customHeight="1" outlineLevel="1">
      <c r="A419" s="90"/>
      <c r="B419" s="90"/>
      <c r="C419" s="90" t="s">
        <v>481</v>
      </c>
      <c r="D419" s="90"/>
      <c r="E419" s="90"/>
      <c r="F419" s="90"/>
      <c r="G419" s="99">
        <v>0.0</v>
      </c>
      <c r="H419" s="99">
        <v>0.0</v>
      </c>
      <c r="I419" s="99">
        <v>0.0</v>
      </c>
      <c r="J419" s="99">
        <v>0.0</v>
      </c>
      <c r="K419" s="99">
        <v>0.0</v>
      </c>
      <c r="L419" s="99">
        <v>0.0</v>
      </c>
      <c r="M419" s="99">
        <v>0.0</v>
      </c>
      <c r="N419" s="99">
        <v>0.0</v>
      </c>
      <c r="O419" s="99">
        <v>0.0</v>
      </c>
      <c r="P419" s="99">
        <v>0.0</v>
      </c>
      <c r="Q419" s="99">
        <v>0.0</v>
      </c>
      <c r="R419" s="99">
        <v>0.0</v>
      </c>
      <c r="AT419" s="308">
        <v>0.0</v>
      </c>
      <c r="AU419" s="308">
        <v>0.0</v>
      </c>
      <c r="AV419" s="308">
        <v>0.0</v>
      </c>
      <c r="AW419" s="308">
        <v>0.0</v>
      </c>
      <c r="AX419" s="308">
        <v>0.0</v>
      </c>
      <c r="AY419" s="308">
        <v>0.0</v>
      </c>
      <c r="AZ419" s="308">
        <v>0.0</v>
      </c>
      <c r="BA419" s="308">
        <v>0.0</v>
      </c>
      <c r="BB419" s="308">
        <v>0.0</v>
      </c>
      <c r="BC419" s="308">
        <v>0.0</v>
      </c>
      <c r="BD419" s="308">
        <v>0.0</v>
      </c>
      <c r="BE419" s="308">
        <v>0.0</v>
      </c>
      <c r="BF419" s="308">
        <v>0.0</v>
      </c>
      <c r="BG419" s="308">
        <v>0.0</v>
      </c>
    </row>
    <row r="420" ht="12.75" customHeight="1" outlineLevel="1">
      <c r="A420" s="90"/>
      <c r="B420" s="90"/>
      <c r="C420" s="90" t="s">
        <v>847</v>
      </c>
      <c r="D420" s="90"/>
      <c r="E420" s="90"/>
      <c r="F420" s="90"/>
      <c r="G420" s="99"/>
      <c r="H420" s="99"/>
      <c r="I420" s="99"/>
      <c r="J420" s="99"/>
      <c r="K420" s="99"/>
      <c r="L420" s="99"/>
      <c r="M420" s="99"/>
      <c r="N420" s="99"/>
      <c r="O420" s="99"/>
      <c r="P420" s="99"/>
      <c r="Q420" s="99"/>
      <c r="R420" s="99"/>
      <c r="AT420" s="308"/>
      <c r="AU420" s="308"/>
      <c r="AV420" s="308"/>
      <c r="AW420" s="308"/>
      <c r="AX420" s="308"/>
      <c r="AY420" s="308"/>
      <c r="AZ420" s="308"/>
      <c r="BA420" s="308"/>
      <c r="BB420" s="308"/>
      <c r="BC420" s="308"/>
      <c r="BD420" s="308"/>
      <c r="BE420" s="308"/>
      <c r="BF420" s="308"/>
      <c r="BG420" s="308"/>
    </row>
    <row r="421" ht="12.75" customHeight="1" outlineLevel="1">
      <c r="A421" s="90"/>
      <c r="B421" s="90"/>
      <c r="C421" s="90"/>
      <c r="D421" s="90" t="s">
        <v>557</v>
      </c>
      <c r="E421" s="90"/>
      <c r="F421" s="90"/>
      <c r="G421" s="99">
        <f t="shared" ref="G421:I421" si="414">G439+G440</f>
        <v>0</v>
      </c>
      <c r="H421" s="99">
        <f t="shared" si="414"/>
        <v>0</v>
      </c>
      <c r="I421" s="99">
        <f t="shared" si="414"/>
        <v>-50000</v>
      </c>
      <c r="J421" s="99">
        <v>-50000.0</v>
      </c>
      <c r="K421" s="99">
        <v>-50000.0</v>
      </c>
      <c r="L421" s="99">
        <v>-50000.0</v>
      </c>
      <c r="M421" s="99">
        <v>-50000.0</v>
      </c>
      <c r="N421" s="99">
        <v>0.0</v>
      </c>
      <c r="O421" s="99">
        <f t="shared" ref="O421:R421" si="415">O437</f>
        <v>0</v>
      </c>
      <c r="P421" s="99">
        <f t="shared" si="415"/>
        <v>0</v>
      </c>
      <c r="Q421" s="99">
        <f t="shared" si="415"/>
        <v>0</v>
      </c>
      <c r="R421" s="99">
        <f t="shared" si="415"/>
        <v>0</v>
      </c>
      <c r="AT421" s="308">
        <f t="shared" ref="AT421:BG421" si="416">AT447</f>
        <v>0</v>
      </c>
      <c r="AU421" s="308">
        <f t="shared" si="416"/>
        <v>0</v>
      </c>
      <c r="AV421" s="308">
        <f t="shared" si="416"/>
        <v>0</v>
      </c>
      <c r="AW421" s="308">
        <f t="shared" si="416"/>
        <v>0</v>
      </c>
      <c r="AX421" s="308">
        <f t="shared" si="416"/>
        <v>0</v>
      </c>
      <c r="AY421" s="308">
        <f t="shared" si="416"/>
        <v>0</v>
      </c>
      <c r="AZ421" s="308">
        <f t="shared" si="416"/>
        <v>0</v>
      </c>
      <c r="BA421" s="308">
        <f t="shared" si="416"/>
        <v>0</v>
      </c>
      <c r="BB421" s="308">
        <f t="shared" si="416"/>
        <v>0</v>
      </c>
      <c r="BC421" s="308">
        <f t="shared" si="416"/>
        <v>0</v>
      </c>
      <c r="BD421" s="308">
        <f t="shared" si="416"/>
        <v>0</v>
      </c>
      <c r="BE421" s="308">
        <f t="shared" si="416"/>
        <v>0</v>
      </c>
      <c r="BF421" s="308">
        <f t="shared" si="416"/>
        <v>0</v>
      </c>
      <c r="BG421" s="308">
        <f t="shared" si="416"/>
        <v>0</v>
      </c>
    </row>
    <row r="422" ht="12.75" customHeight="1" outlineLevel="1">
      <c r="A422" s="90"/>
      <c r="B422" s="90"/>
      <c r="C422" s="90"/>
      <c r="D422" s="90" t="s">
        <v>148</v>
      </c>
      <c r="E422" s="90"/>
      <c r="F422" s="90"/>
      <c r="G422" s="99">
        <f t="shared" ref="G422:R422" si="417">G447</f>
        <v>0</v>
      </c>
      <c r="H422" s="99">
        <f t="shared" si="417"/>
        <v>0</v>
      </c>
      <c r="I422" s="99">
        <f t="shared" si="417"/>
        <v>0</v>
      </c>
      <c r="J422" s="99">
        <f t="shared" si="417"/>
        <v>0</v>
      </c>
      <c r="K422" s="99">
        <f t="shared" si="417"/>
        <v>0</v>
      </c>
      <c r="L422" s="99">
        <f t="shared" si="417"/>
        <v>0</v>
      </c>
      <c r="M422" s="99">
        <f t="shared" si="417"/>
        <v>-744.12</v>
      </c>
      <c r="N422" s="99">
        <f t="shared" si="417"/>
        <v>-682.11</v>
      </c>
      <c r="O422" s="99">
        <f t="shared" si="417"/>
        <v>-651.105</v>
      </c>
      <c r="P422" s="99">
        <f t="shared" si="417"/>
        <v>-651.105</v>
      </c>
      <c r="Q422" s="99">
        <f t="shared" si="417"/>
        <v>-341.055</v>
      </c>
      <c r="R422" s="99">
        <f t="shared" si="417"/>
        <v>0</v>
      </c>
      <c r="AT422" s="308">
        <f t="shared" ref="AT422:BG422" si="418">AT448</f>
        <v>0</v>
      </c>
      <c r="AU422" s="308">
        <f t="shared" si="418"/>
        <v>0</v>
      </c>
      <c r="AV422" s="308">
        <f t="shared" si="418"/>
        <v>0</v>
      </c>
      <c r="AW422" s="308">
        <f t="shared" si="418"/>
        <v>0</v>
      </c>
      <c r="AX422" s="308">
        <f t="shared" si="418"/>
        <v>0</v>
      </c>
      <c r="AY422" s="308">
        <f t="shared" si="418"/>
        <v>0</v>
      </c>
      <c r="AZ422" s="308">
        <f t="shared" si="418"/>
        <v>0</v>
      </c>
      <c r="BA422" s="308">
        <f t="shared" si="418"/>
        <v>0</v>
      </c>
      <c r="BB422" s="308">
        <f t="shared" si="418"/>
        <v>0</v>
      </c>
      <c r="BC422" s="308">
        <f t="shared" si="418"/>
        <v>0</v>
      </c>
      <c r="BD422" s="308">
        <f t="shared" si="418"/>
        <v>0</v>
      </c>
      <c r="BE422" s="308">
        <f t="shared" si="418"/>
        <v>0</v>
      </c>
      <c r="BF422" s="308">
        <f t="shared" si="418"/>
        <v>0</v>
      </c>
      <c r="BG422" s="308">
        <f t="shared" si="418"/>
        <v>0</v>
      </c>
    </row>
    <row r="423" ht="12.75" customHeight="1" outlineLevel="1">
      <c r="A423" s="90"/>
      <c r="B423" s="90"/>
      <c r="C423" s="90"/>
      <c r="D423" s="90" t="s">
        <v>479</v>
      </c>
      <c r="E423" s="90"/>
      <c r="F423" s="90"/>
      <c r="G423" s="99">
        <v>0.0</v>
      </c>
      <c r="H423" s="99">
        <f t="shared" ref="H423:R423" si="419">H464</f>
        <v>0</v>
      </c>
      <c r="I423" s="99">
        <f t="shared" si="419"/>
        <v>0</v>
      </c>
      <c r="J423" s="99">
        <f t="shared" si="419"/>
        <v>0</v>
      </c>
      <c r="K423" s="99">
        <f t="shared" si="419"/>
        <v>0</v>
      </c>
      <c r="L423" s="99">
        <f t="shared" si="419"/>
        <v>0</v>
      </c>
      <c r="M423" s="99">
        <f t="shared" si="419"/>
        <v>0</v>
      </c>
      <c r="N423" s="99">
        <f t="shared" si="419"/>
        <v>0</v>
      </c>
      <c r="O423" s="99">
        <f t="shared" si="419"/>
        <v>-154232.1687</v>
      </c>
      <c r="P423" s="99">
        <f t="shared" si="419"/>
        <v>-4456.92162</v>
      </c>
      <c r="Q423" s="99">
        <f t="shared" si="419"/>
        <v>-2100.00102</v>
      </c>
      <c r="R423" s="99">
        <f t="shared" si="419"/>
        <v>-1941.74196</v>
      </c>
      <c r="AT423" s="308">
        <v>0.0</v>
      </c>
      <c r="AU423" s="308">
        <v>0.0</v>
      </c>
      <c r="AV423" s="308">
        <v>0.0</v>
      </c>
      <c r="AW423" s="308">
        <v>0.0</v>
      </c>
      <c r="AX423" s="308">
        <v>0.0</v>
      </c>
      <c r="AY423" s="308">
        <v>0.0</v>
      </c>
      <c r="AZ423" s="308">
        <v>0.0</v>
      </c>
      <c r="BA423" s="308">
        <v>0.0</v>
      </c>
      <c r="BB423" s="308">
        <v>0.0</v>
      </c>
      <c r="BC423" s="308">
        <v>0.0</v>
      </c>
      <c r="BD423" s="308">
        <v>0.0</v>
      </c>
      <c r="BE423" s="308">
        <v>0.0</v>
      </c>
      <c r="BF423" s="308">
        <v>0.0</v>
      </c>
      <c r="BG423" s="308">
        <v>0.0</v>
      </c>
    </row>
    <row r="424" ht="12.75" customHeight="1" outlineLevel="1">
      <c r="A424" s="90"/>
      <c r="B424" s="90"/>
      <c r="C424" s="90"/>
      <c r="D424" s="90" t="s">
        <v>480</v>
      </c>
      <c r="E424" s="90"/>
      <c r="F424" s="90"/>
      <c r="G424" s="99">
        <v>0.0</v>
      </c>
      <c r="H424" s="99">
        <v>0.0</v>
      </c>
      <c r="I424" s="99">
        <v>0.0</v>
      </c>
      <c r="J424" s="99">
        <v>0.0</v>
      </c>
      <c r="K424" s="99">
        <v>0.0</v>
      </c>
      <c r="L424" s="99">
        <v>0.0</v>
      </c>
      <c r="M424" s="99">
        <v>0.0</v>
      </c>
      <c r="N424" s="99">
        <v>0.0</v>
      </c>
      <c r="O424" s="99">
        <v>0.0</v>
      </c>
      <c r="P424" s="99">
        <v>0.0</v>
      </c>
      <c r="Q424" s="99">
        <v>0.0</v>
      </c>
      <c r="R424" s="99">
        <v>0.0</v>
      </c>
      <c r="AT424" s="308" t="str">
        <f t="shared" ref="AT424:BG424" si="420">AT466</f>
        <v/>
      </c>
      <c r="AU424" s="308" t="str">
        <f t="shared" si="420"/>
        <v/>
      </c>
      <c r="AV424" s="308" t="str">
        <f t="shared" si="420"/>
        <v/>
      </c>
      <c r="AW424" s="308" t="str">
        <f t="shared" si="420"/>
        <v/>
      </c>
      <c r="AX424" s="308" t="str">
        <f t="shared" si="420"/>
        <v/>
      </c>
      <c r="AY424" s="308" t="str">
        <f t="shared" si="420"/>
        <v/>
      </c>
      <c r="AZ424" s="308" t="str">
        <f t="shared" si="420"/>
        <v/>
      </c>
      <c r="BA424" s="308" t="str">
        <f t="shared" si="420"/>
        <v/>
      </c>
      <c r="BB424" s="308" t="str">
        <f t="shared" si="420"/>
        <v/>
      </c>
      <c r="BC424" s="308" t="str">
        <f t="shared" si="420"/>
        <v/>
      </c>
      <c r="BD424" s="308" t="str">
        <f t="shared" si="420"/>
        <v/>
      </c>
      <c r="BE424" s="308" t="str">
        <f t="shared" si="420"/>
        <v/>
      </c>
      <c r="BF424" s="308" t="str">
        <f t="shared" si="420"/>
        <v/>
      </c>
      <c r="BG424" s="308" t="str">
        <f t="shared" si="420"/>
        <v/>
      </c>
    </row>
    <row r="425" ht="12.75" customHeight="1" outlineLevel="1">
      <c r="A425" s="90"/>
      <c r="B425" s="148" t="s">
        <v>482</v>
      </c>
      <c r="C425" s="148"/>
      <c r="D425" s="148"/>
      <c r="E425" s="148"/>
      <c r="F425" s="148"/>
      <c r="G425" s="150">
        <f t="shared" ref="G425:R425" si="421">SUM(G415:G424)</f>
        <v>0</v>
      </c>
      <c r="H425" s="150">
        <f t="shared" si="421"/>
        <v>250000</v>
      </c>
      <c r="I425" s="150">
        <f t="shared" si="421"/>
        <v>238677.284</v>
      </c>
      <c r="J425" s="150">
        <f t="shared" si="421"/>
        <v>-14081.47424</v>
      </c>
      <c r="K425" s="150">
        <f t="shared" si="421"/>
        <v>139934.8732</v>
      </c>
      <c r="L425" s="150">
        <f t="shared" si="421"/>
        <v>-49131.86</v>
      </c>
      <c r="M425" s="150">
        <f t="shared" si="421"/>
        <v>-50744.12</v>
      </c>
      <c r="N425" s="150">
        <f t="shared" si="421"/>
        <v>-682.11</v>
      </c>
      <c r="O425" s="150">
        <f t="shared" si="421"/>
        <v>-154883.2737</v>
      </c>
      <c r="P425" s="150">
        <f t="shared" si="421"/>
        <v>-5108.02662</v>
      </c>
      <c r="Q425" s="150">
        <f t="shared" si="421"/>
        <v>-2441.05602</v>
      </c>
      <c r="R425" s="150">
        <f t="shared" si="421"/>
        <v>-1941.74196</v>
      </c>
      <c r="AT425" s="386">
        <f t="shared" ref="AT425:BG425" si="422">SUM(AT415:AT424)</f>
        <v>0</v>
      </c>
      <c r="AU425" s="386">
        <f t="shared" si="422"/>
        <v>0</v>
      </c>
      <c r="AV425" s="386">
        <f t="shared" si="422"/>
        <v>0</v>
      </c>
      <c r="AW425" s="386">
        <f t="shared" si="422"/>
        <v>0</v>
      </c>
      <c r="AX425" s="386">
        <f t="shared" si="422"/>
        <v>0</v>
      </c>
      <c r="AY425" s="386">
        <f t="shared" si="422"/>
        <v>0</v>
      </c>
      <c r="AZ425" s="386">
        <f t="shared" si="422"/>
        <v>0</v>
      </c>
      <c r="BA425" s="386">
        <f t="shared" si="422"/>
        <v>0</v>
      </c>
      <c r="BB425" s="386">
        <f t="shared" si="422"/>
        <v>0</v>
      </c>
      <c r="BC425" s="386">
        <f t="shared" si="422"/>
        <v>0</v>
      </c>
      <c r="BD425" s="386">
        <f t="shared" si="422"/>
        <v>0</v>
      </c>
      <c r="BE425" s="386">
        <f t="shared" si="422"/>
        <v>0</v>
      </c>
      <c r="BF425" s="386">
        <f t="shared" si="422"/>
        <v>0</v>
      </c>
      <c r="BG425" s="386">
        <f t="shared" si="422"/>
        <v>0</v>
      </c>
    </row>
    <row r="426" ht="12.75" customHeight="1" outlineLevel="1">
      <c r="A426" s="134" t="s">
        <v>483</v>
      </c>
      <c r="B426" s="134"/>
      <c r="C426" s="134"/>
      <c r="D426" s="134"/>
      <c r="E426" s="134"/>
      <c r="F426" s="134"/>
      <c r="G426" s="251">
        <f t="shared" ref="G426:R426" si="423">G406+G411+G425</f>
        <v>0</v>
      </c>
      <c r="H426" s="251">
        <f t="shared" si="423"/>
        <v>73099.97388</v>
      </c>
      <c r="I426" s="251">
        <f t="shared" si="423"/>
        <v>-12209.12068</v>
      </c>
      <c r="J426" s="251">
        <f t="shared" si="423"/>
        <v>-44166.84626</v>
      </c>
      <c r="K426" s="251">
        <f t="shared" si="423"/>
        <v>125595.7699</v>
      </c>
      <c r="L426" s="251">
        <f t="shared" si="423"/>
        <v>-33139.82923</v>
      </c>
      <c r="M426" s="251">
        <f t="shared" si="423"/>
        <v>-34859.54921</v>
      </c>
      <c r="N426" s="251">
        <f t="shared" si="423"/>
        <v>12712.90915</v>
      </c>
      <c r="O426" s="251">
        <f t="shared" si="423"/>
        <v>54348.35596</v>
      </c>
      <c r="P426" s="251">
        <f t="shared" si="423"/>
        <v>-100.17</v>
      </c>
      <c r="Q426" s="251">
        <f t="shared" si="423"/>
        <v>-52.47</v>
      </c>
      <c r="R426" s="251">
        <f t="shared" si="423"/>
        <v>0</v>
      </c>
      <c r="AT426" s="390" t="str">
        <f t="shared" ref="AT426:BG426" si="424">AT406+AT411+AT425</f>
        <v>#REF!</v>
      </c>
      <c r="AU426" s="390" t="str">
        <f t="shared" si="424"/>
        <v>#REF!</v>
      </c>
      <c r="AV426" s="390" t="str">
        <f t="shared" si="424"/>
        <v>#REF!</v>
      </c>
      <c r="AW426" s="390" t="str">
        <f t="shared" si="424"/>
        <v>#REF!</v>
      </c>
      <c r="AX426" s="390" t="str">
        <f t="shared" si="424"/>
        <v>#REF!</v>
      </c>
      <c r="AY426" s="390" t="str">
        <f t="shared" si="424"/>
        <v>#REF!</v>
      </c>
      <c r="AZ426" s="390" t="str">
        <f t="shared" si="424"/>
        <v>#REF!</v>
      </c>
      <c r="BA426" s="390" t="str">
        <f t="shared" si="424"/>
        <v>#REF!</v>
      </c>
      <c r="BB426" s="390" t="str">
        <f t="shared" si="424"/>
        <v>#REF!</v>
      </c>
      <c r="BC426" s="390" t="str">
        <f t="shared" si="424"/>
        <v>#REF!</v>
      </c>
      <c r="BD426" s="390" t="str">
        <f t="shared" si="424"/>
        <v>#REF!</v>
      </c>
      <c r="BE426" s="390" t="str">
        <f t="shared" si="424"/>
        <v>#REF!</v>
      </c>
      <c r="BF426" s="390" t="str">
        <f t="shared" si="424"/>
        <v>#REF!</v>
      </c>
      <c r="BG426" s="390" t="str">
        <f t="shared" si="424"/>
        <v>#REF!</v>
      </c>
    </row>
    <row r="427" ht="12.75" customHeight="1" outlineLevel="1">
      <c r="A427" s="67"/>
      <c r="B427" s="90" t="s">
        <v>216</v>
      </c>
      <c r="C427" s="67"/>
      <c r="D427" s="67"/>
      <c r="E427" s="67"/>
      <c r="F427" s="67"/>
      <c r="G427" s="147">
        <v>0.0</v>
      </c>
      <c r="H427" s="147">
        <f t="shared" ref="H427:R427" si="425">G428</f>
        <v>0</v>
      </c>
      <c r="I427" s="147">
        <f t="shared" si="425"/>
        <v>73099.97388</v>
      </c>
      <c r="J427" s="147">
        <f t="shared" si="425"/>
        <v>60890.8532</v>
      </c>
      <c r="K427" s="147">
        <f t="shared" si="425"/>
        <v>16724.00694</v>
      </c>
      <c r="L427" s="147">
        <f t="shared" si="425"/>
        <v>142319.7768</v>
      </c>
      <c r="M427" s="147">
        <f t="shared" si="425"/>
        <v>109179.9476</v>
      </c>
      <c r="N427" s="147">
        <f t="shared" si="425"/>
        <v>74320.39835</v>
      </c>
      <c r="O427" s="147">
        <f t="shared" si="425"/>
        <v>87033.3075</v>
      </c>
      <c r="P427" s="147">
        <f t="shared" si="425"/>
        <v>141381.6635</v>
      </c>
      <c r="Q427" s="147">
        <f t="shared" si="425"/>
        <v>141281.4935</v>
      </c>
      <c r="R427" s="147">
        <f t="shared" si="425"/>
        <v>141229.0235</v>
      </c>
      <c r="AT427" s="389" t="str">
        <f t="shared" ref="AT427:BG427" si="426">AS428</f>
        <v/>
      </c>
      <c r="AU427" s="389" t="str">
        <f t="shared" si="426"/>
        <v>#REF!</v>
      </c>
      <c r="AV427" s="389" t="str">
        <f t="shared" si="426"/>
        <v>#REF!</v>
      </c>
      <c r="AW427" s="389" t="str">
        <f t="shared" si="426"/>
        <v>#REF!</v>
      </c>
      <c r="AX427" s="389" t="str">
        <f t="shared" si="426"/>
        <v>#REF!</v>
      </c>
      <c r="AY427" s="389" t="str">
        <f t="shared" si="426"/>
        <v>#REF!</v>
      </c>
      <c r="AZ427" s="389" t="str">
        <f t="shared" si="426"/>
        <v>#REF!</v>
      </c>
      <c r="BA427" s="389" t="str">
        <f t="shared" si="426"/>
        <v>#REF!</v>
      </c>
      <c r="BB427" s="389" t="str">
        <f t="shared" si="426"/>
        <v>#REF!</v>
      </c>
      <c r="BC427" s="389" t="str">
        <f t="shared" si="426"/>
        <v>#REF!</v>
      </c>
      <c r="BD427" s="389" t="str">
        <f t="shared" si="426"/>
        <v>#REF!</v>
      </c>
      <c r="BE427" s="389" t="str">
        <f t="shared" si="426"/>
        <v>#REF!</v>
      </c>
      <c r="BF427" s="389" t="str">
        <f t="shared" si="426"/>
        <v>#REF!</v>
      </c>
      <c r="BG427" s="389" t="str">
        <f t="shared" si="426"/>
        <v>#REF!</v>
      </c>
    </row>
    <row r="428" ht="12.75" customHeight="1" outlineLevel="1">
      <c r="A428" s="131" t="s">
        <v>484</v>
      </c>
      <c r="B428" s="131"/>
      <c r="C428" s="131"/>
      <c r="D428" s="131"/>
      <c r="E428" s="131"/>
      <c r="F428" s="131"/>
      <c r="G428" s="252">
        <f t="shared" ref="G428:R428" si="427">G426+G427</f>
        <v>0</v>
      </c>
      <c r="H428" s="252">
        <f t="shared" si="427"/>
        <v>73099.97388</v>
      </c>
      <c r="I428" s="252">
        <f t="shared" si="427"/>
        <v>60890.8532</v>
      </c>
      <c r="J428" s="252">
        <f t="shared" si="427"/>
        <v>16724.00694</v>
      </c>
      <c r="K428" s="252">
        <f t="shared" si="427"/>
        <v>142319.7768</v>
      </c>
      <c r="L428" s="252">
        <f t="shared" si="427"/>
        <v>109179.9476</v>
      </c>
      <c r="M428" s="252">
        <f t="shared" si="427"/>
        <v>74320.39835</v>
      </c>
      <c r="N428" s="252">
        <f t="shared" si="427"/>
        <v>87033.3075</v>
      </c>
      <c r="O428" s="252">
        <f t="shared" si="427"/>
        <v>141381.6635</v>
      </c>
      <c r="P428" s="252">
        <f t="shared" si="427"/>
        <v>141281.4935</v>
      </c>
      <c r="Q428" s="252">
        <f t="shared" si="427"/>
        <v>141229.0235</v>
      </c>
      <c r="R428" s="252">
        <f t="shared" si="427"/>
        <v>141229.0235</v>
      </c>
      <c r="AT428" s="392" t="str">
        <f t="shared" ref="AT428:BG428" si="428">AT426+AT427</f>
        <v>#REF!</v>
      </c>
      <c r="AU428" s="392" t="str">
        <f t="shared" si="428"/>
        <v>#REF!</v>
      </c>
      <c r="AV428" s="392" t="str">
        <f t="shared" si="428"/>
        <v>#REF!</v>
      </c>
      <c r="AW428" s="392" t="str">
        <f t="shared" si="428"/>
        <v>#REF!</v>
      </c>
      <c r="AX428" s="392" t="str">
        <f t="shared" si="428"/>
        <v>#REF!</v>
      </c>
      <c r="AY428" s="392" t="str">
        <f t="shared" si="428"/>
        <v>#REF!</v>
      </c>
      <c r="AZ428" s="392" t="str">
        <f t="shared" si="428"/>
        <v>#REF!</v>
      </c>
      <c r="BA428" s="392" t="str">
        <f t="shared" si="428"/>
        <v>#REF!</v>
      </c>
      <c r="BB428" s="392" t="str">
        <f t="shared" si="428"/>
        <v>#REF!</v>
      </c>
      <c r="BC428" s="392" t="str">
        <f t="shared" si="428"/>
        <v>#REF!</v>
      </c>
      <c r="BD428" s="392" t="str">
        <f t="shared" si="428"/>
        <v>#REF!</v>
      </c>
      <c r="BE428" s="392" t="str">
        <f t="shared" si="428"/>
        <v>#REF!</v>
      </c>
      <c r="BF428" s="392" t="str">
        <f t="shared" si="428"/>
        <v>#REF!</v>
      </c>
      <c r="BG428" s="392" t="str">
        <f t="shared" si="428"/>
        <v>#REF!</v>
      </c>
    </row>
    <row r="429" ht="12.75" customHeight="1" outlineLevel="1">
      <c r="A429" s="67"/>
      <c r="B429" s="90"/>
      <c r="C429" s="90"/>
      <c r="D429" s="90"/>
      <c r="E429" s="90"/>
      <c r="F429" s="90"/>
      <c r="G429" s="114"/>
      <c r="H429" s="114"/>
      <c r="I429" s="114"/>
      <c r="J429" s="114"/>
      <c r="K429" s="114"/>
      <c r="L429" s="114"/>
      <c r="M429" s="114"/>
      <c r="N429" s="114"/>
      <c r="O429" s="114"/>
      <c r="P429" s="114"/>
      <c r="Q429" s="91"/>
      <c r="R429" s="91"/>
      <c r="AT429" s="382"/>
      <c r="AU429" s="382"/>
      <c r="AV429" s="382"/>
      <c r="AW429" s="382"/>
      <c r="AX429" s="382"/>
      <c r="AY429" s="382"/>
      <c r="AZ429" s="382"/>
      <c r="BA429" s="382"/>
      <c r="BB429" s="382"/>
      <c r="BC429" s="382"/>
      <c r="BD429" s="382"/>
      <c r="BE429" s="382"/>
      <c r="BF429" s="382"/>
      <c r="BG429" s="382"/>
    </row>
    <row r="430" ht="12.75" customHeight="1">
      <c r="A430" s="90"/>
      <c r="B430" s="90"/>
      <c r="C430" s="90"/>
      <c r="D430" s="90"/>
      <c r="E430" s="90"/>
      <c r="F430" s="90"/>
      <c r="G430" s="90"/>
      <c r="H430" s="90"/>
      <c r="I430" s="90"/>
      <c r="J430" s="90"/>
      <c r="K430" s="90"/>
      <c r="L430" s="90"/>
      <c r="M430" s="90"/>
      <c r="N430" s="90"/>
      <c r="O430" s="90"/>
      <c r="P430" s="90"/>
      <c r="Q430" s="90"/>
      <c r="R430" s="90"/>
      <c r="AT430" s="313"/>
      <c r="AU430" s="313"/>
      <c r="AV430" s="313"/>
      <c r="AW430" s="313"/>
      <c r="AX430" s="313"/>
      <c r="AY430" s="313"/>
      <c r="AZ430" s="313"/>
      <c r="BA430" s="313"/>
      <c r="BB430" s="313"/>
      <c r="BC430" s="313"/>
      <c r="BD430" s="313"/>
      <c r="BE430" s="313"/>
      <c r="BF430" s="313"/>
      <c r="BG430" s="313"/>
    </row>
    <row r="431" ht="12.75" customHeight="1">
      <c r="A431" s="106" t="s">
        <v>848</v>
      </c>
      <c r="B431" s="253"/>
      <c r="C431" s="253"/>
      <c r="D431" s="253"/>
      <c r="E431" s="253"/>
      <c r="F431" s="253"/>
      <c r="G431" s="253"/>
      <c r="H431" s="253"/>
      <c r="I431" s="253"/>
      <c r="J431" s="253"/>
      <c r="K431" s="253"/>
      <c r="L431" s="253"/>
      <c r="M431" s="253"/>
      <c r="N431" s="253"/>
      <c r="O431" s="253"/>
      <c r="P431" s="253"/>
      <c r="Q431" s="253"/>
      <c r="R431" s="253"/>
      <c r="AT431" s="314"/>
      <c r="AU431" s="314"/>
      <c r="AV431" s="314"/>
      <c r="AW431" s="314"/>
      <c r="AX431" s="314"/>
      <c r="AY431" s="314"/>
      <c r="AZ431" s="314"/>
      <c r="BA431" s="314"/>
      <c r="BB431" s="314"/>
      <c r="BC431" s="314"/>
      <c r="BD431" s="314"/>
      <c r="BE431" s="314"/>
      <c r="BF431" s="314"/>
      <c r="BG431" s="314"/>
    </row>
    <row r="432" ht="12.75" customHeight="1" outlineLevel="1">
      <c r="A432" s="90"/>
      <c r="B432" s="90"/>
      <c r="C432" s="90"/>
      <c r="D432" s="90"/>
      <c r="E432" s="90"/>
      <c r="F432" s="90"/>
      <c r="G432" s="90"/>
      <c r="H432" s="90"/>
      <c r="I432" s="90"/>
      <c r="J432" s="90"/>
      <c r="K432" s="90"/>
      <c r="L432" s="90"/>
      <c r="M432" s="90"/>
      <c r="N432" s="90"/>
      <c r="O432" s="90"/>
      <c r="P432" s="90"/>
      <c r="Q432" s="90"/>
      <c r="R432" s="90"/>
      <c r="AT432" s="313"/>
      <c r="AU432" s="313"/>
      <c r="AV432" s="313"/>
      <c r="AW432" s="313"/>
      <c r="AX432" s="313"/>
      <c r="AY432" s="313"/>
      <c r="AZ432" s="313"/>
      <c r="BA432" s="313"/>
      <c r="BB432" s="313"/>
      <c r="BC432" s="313"/>
      <c r="BD432" s="313"/>
      <c r="BE432" s="313"/>
      <c r="BF432" s="313"/>
      <c r="BG432" s="313"/>
    </row>
    <row r="433" ht="12.75" customHeight="1" outlineLevel="1">
      <c r="A433" s="90"/>
      <c r="B433" s="67" t="s">
        <v>557</v>
      </c>
      <c r="C433" s="90"/>
      <c r="D433" s="90"/>
      <c r="E433" s="90"/>
      <c r="F433" s="90"/>
      <c r="G433" s="90"/>
      <c r="H433" s="90"/>
      <c r="I433" s="90"/>
      <c r="J433" s="90"/>
      <c r="K433" s="90"/>
      <c r="L433" s="90"/>
      <c r="M433" s="90"/>
      <c r="N433" s="90"/>
      <c r="O433" s="90"/>
      <c r="P433" s="90"/>
      <c r="Q433" s="90"/>
      <c r="R433" s="90"/>
      <c r="AT433" s="313"/>
      <c r="AU433" s="313"/>
      <c r="AV433" s="313"/>
      <c r="AW433" s="313"/>
      <c r="AX433" s="313"/>
      <c r="AY433" s="313"/>
      <c r="AZ433" s="313"/>
      <c r="BA433" s="313"/>
      <c r="BB433" s="313"/>
      <c r="BC433" s="313"/>
      <c r="BD433" s="313"/>
      <c r="BE433" s="313"/>
      <c r="BF433" s="313"/>
      <c r="BG433" s="313"/>
    </row>
    <row r="434" ht="12.75" customHeight="1" outlineLevel="1">
      <c r="A434" s="90"/>
      <c r="B434" s="90"/>
      <c r="C434" s="90" t="s">
        <v>487</v>
      </c>
      <c r="D434" s="90"/>
      <c r="E434" s="90"/>
      <c r="F434" s="90"/>
      <c r="G434" s="99">
        <v>0.0</v>
      </c>
      <c r="H434" s="99">
        <v>0.0</v>
      </c>
      <c r="I434" s="99">
        <f t="shared" ref="I434:R434" si="429">+H441</f>
        <v>250000</v>
      </c>
      <c r="J434" s="99">
        <f t="shared" si="429"/>
        <v>200000</v>
      </c>
      <c r="K434" s="99">
        <f t="shared" si="429"/>
        <v>150000</v>
      </c>
      <c r="L434" s="99">
        <f t="shared" si="429"/>
        <v>100000</v>
      </c>
      <c r="M434" s="99">
        <f t="shared" si="429"/>
        <v>50000</v>
      </c>
      <c r="N434" s="99">
        <f t="shared" si="429"/>
        <v>0</v>
      </c>
      <c r="O434" s="99">
        <f t="shared" si="429"/>
        <v>0</v>
      </c>
      <c r="P434" s="99">
        <f t="shared" si="429"/>
        <v>0</v>
      </c>
      <c r="Q434" s="99">
        <f t="shared" si="429"/>
        <v>0</v>
      </c>
      <c r="R434" s="99">
        <f t="shared" si="429"/>
        <v>0</v>
      </c>
      <c r="AT434" s="308" t="str">
        <f t="shared" ref="AT434:BG434" si="430">+AS441</f>
        <v/>
      </c>
      <c r="AU434" s="308">
        <f t="shared" si="430"/>
        <v>0</v>
      </c>
      <c r="AV434" s="308">
        <f t="shared" si="430"/>
        <v>0</v>
      </c>
      <c r="AW434" s="308">
        <f t="shared" si="430"/>
        <v>0</v>
      </c>
      <c r="AX434" s="308">
        <f t="shared" si="430"/>
        <v>0</v>
      </c>
      <c r="AY434" s="308">
        <f t="shared" si="430"/>
        <v>0</v>
      </c>
      <c r="AZ434" s="308">
        <f t="shared" si="430"/>
        <v>0</v>
      </c>
      <c r="BA434" s="308">
        <f t="shared" si="430"/>
        <v>0</v>
      </c>
      <c r="BB434" s="308">
        <f t="shared" si="430"/>
        <v>0</v>
      </c>
      <c r="BC434" s="308">
        <f t="shared" si="430"/>
        <v>0</v>
      </c>
      <c r="BD434" s="308">
        <f t="shared" si="430"/>
        <v>0</v>
      </c>
      <c r="BE434" s="308">
        <f t="shared" si="430"/>
        <v>0</v>
      </c>
      <c r="BF434" s="308">
        <f t="shared" si="430"/>
        <v>0</v>
      </c>
      <c r="BG434" s="308">
        <f t="shared" si="430"/>
        <v>0</v>
      </c>
    </row>
    <row r="435" ht="12.75" customHeight="1" outlineLevel="1">
      <c r="A435" s="90"/>
      <c r="B435" s="90"/>
      <c r="C435" s="90" t="s">
        <v>488</v>
      </c>
      <c r="D435" s="90"/>
      <c r="E435" s="90"/>
      <c r="F435" s="90"/>
      <c r="G435" s="254">
        <v>0.0</v>
      </c>
      <c r="H435" s="254">
        <v>250000.0</v>
      </c>
      <c r="I435" s="254">
        <v>0.0</v>
      </c>
      <c r="J435" s="254">
        <v>0.0</v>
      </c>
      <c r="K435" s="254">
        <v>0.0</v>
      </c>
      <c r="L435" s="254">
        <v>0.0</v>
      </c>
      <c r="M435" s="254">
        <v>0.0</v>
      </c>
      <c r="N435" s="254">
        <v>0.0</v>
      </c>
      <c r="O435" s="99">
        <v>0.0</v>
      </c>
      <c r="P435" s="99">
        <v>0.0</v>
      </c>
      <c r="Q435" s="99">
        <v>0.0</v>
      </c>
      <c r="R435" s="99">
        <v>0.0</v>
      </c>
      <c r="AT435" s="308">
        <v>0.0</v>
      </c>
      <c r="AU435" s="308">
        <v>0.0</v>
      </c>
      <c r="AV435" s="308">
        <v>0.0</v>
      </c>
      <c r="AW435" s="308">
        <v>0.0</v>
      </c>
      <c r="AX435" s="308">
        <v>0.0</v>
      </c>
      <c r="AY435" s="308">
        <v>0.0</v>
      </c>
      <c r="AZ435" s="308">
        <v>0.0</v>
      </c>
      <c r="BA435" s="308">
        <v>0.0</v>
      </c>
      <c r="BB435" s="308">
        <v>0.0</v>
      </c>
      <c r="BC435" s="308">
        <v>0.0</v>
      </c>
      <c r="BD435" s="308">
        <v>0.0</v>
      </c>
      <c r="BE435" s="308">
        <v>0.0</v>
      </c>
      <c r="BF435" s="308">
        <v>0.0</v>
      </c>
      <c r="BG435" s="308">
        <v>0.0</v>
      </c>
    </row>
    <row r="436" ht="12.75" customHeight="1" outlineLevel="1">
      <c r="A436" s="90"/>
      <c r="B436" s="90"/>
      <c r="C436" s="90" t="s">
        <v>490</v>
      </c>
      <c r="D436" s="90"/>
      <c r="E436" s="90"/>
      <c r="F436" s="90"/>
      <c r="G436" s="254"/>
      <c r="H436" s="254"/>
      <c r="I436" s="99"/>
      <c r="J436" s="254"/>
      <c r="K436" s="254"/>
      <c r="L436" s="254"/>
      <c r="M436" s="254"/>
      <c r="N436" s="254"/>
      <c r="O436" s="99"/>
      <c r="P436" s="99"/>
      <c r="Q436" s="99"/>
      <c r="R436" s="99"/>
      <c r="AT436" s="308"/>
      <c r="AU436" s="308"/>
      <c r="AV436" s="308"/>
      <c r="AW436" s="308"/>
      <c r="AX436" s="308"/>
      <c r="AY436" s="308"/>
      <c r="AZ436" s="308"/>
      <c r="BA436" s="308"/>
      <c r="BB436" s="308"/>
      <c r="BC436" s="308"/>
      <c r="BD436" s="308"/>
      <c r="BE436" s="308"/>
      <c r="BF436" s="308"/>
      <c r="BG436" s="308"/>
    </row>
    <row r="437" ht="12.75" customHeight="1" outlineLevel="1">
      <c r="A437" s="90"/>
      <c r="B437" s="90"/>
      <c r="C437" s="90"/>
      <c r="D437" s="90" t="s">
        <v>701</v>
      </c>
      <c r="E437" s="90"/>
      <c r="F437" s="90"/>
      <c r="G437" s="99">
        <v>0.0</v>
      </c>
      <c r="H437" s="99">
        <v>0.0</v>
      </c>
      <c r="I437" s="99">
        <v>-50000.0</v>
      </c>
      <c r="J437" s="99">
        <v>-50000.0</v>
      </c>
      <c r="K437" s="99">
        <v>-50000.0</v>
      </c>
      <c r="L437" s="99">
        <v>-50000.0</v>
      </c>
      <c r="M437" s="99">
        <v>-50000.0</v>
      </c>
      <c r="N437" s="99">
        <v>0.0</v>
      </c>
      <c r="O437" s="99">
        <v>0.0</v>
      </c>
      <c r="P437" s="99">
        <v>0.0</v>
      </c>
      <c r="Q437" s="99">
        <v>0.0</v>
      </c>
      <c r="R437" s="99">
        <v>0.0</v>
      </c>
      <c r="AT437" s="308">
        <v>0.0</v>
      </c>
      <c r="AU437" s="308">
        <v>0.0</v>
      </c>
      <c r="AV437" s="308">
        <v>0.0</v>
      </c>
      <c r="AW437" s="308">
        <v>0.0</v>
      </c>
      <c r="AX437" s="308">
        <v>0.0</v>
      </c>
      <c r="AY437" s="308">
        <v>0.0</v>
      </c>
      <c r="AZ437" s="308">
        <v>0.0</v>
      </c>
      <c r="BA437" s="308">
        <v>0.0</v>
      </c>
      <c r="BB437" s="308">
        <v>0.0</v>
      </c>
      <c r="BC437" s="308">
        <v>0.0</v>
      </c>
      <c r="BD437" s="308">
        <v>0.0</v>
      </c>
      <c r="BE437" s="308">
        <v>0.0</v>
      </c>
      <c r="BF437" s="308">
        <v>0.0</v>
      </c>
      <c r="BG437" s="308">
        <v>0.0</v>
      </c>
    </row>
    <row r="438" ht="12.75" customHeight="1" outlineLevel="1">
      <c r="A438" s="90"/>
      <c r="B438" s="90"/>
      <c r="C438" s="90"/>
      <c r="D438" s="90" t="s">
        <v>489</v>
      </c>
      <c r="E438" s="90"/>
      <c r="F438" s="90"/>
      <c r="G438" s="99">
        <v>0.0</v>
      </c>
      <c r="H438" s="99">
        <v>0.0</v>
      </c>
      <c r="I438" s="99">
        <v>0.0</v>
      </c>
      <c r="J438" s="99">
        <v>0.0</v>
      </c>
      <c r="K438" s="99">
        <v>0.0</v>
      </c>
      <c r="L438" s="99">
        <v>0.0</v>
      </c>
      <c r="M438" s="99">
        <v>0.0</v>
      </c>
      <c r="N438" s="99">
        <v>0.0</v>
      </c>
      <c r="O438" s="99">
        <v>0.0</v>
      </c>
      <c r="P438" s="99">
        <v>0.0</v>
      </c>
      <c r="Q438" s="99">
        <v>0.0</v>
      </c>
      <c r="R438" s="99">
        <v>0.0</v>
      </c>
      <c r="AT438" s="308">
        <v>0.0</v>
      </c>
      <c r="AU438" s="308">
        <v>0.0</v>
      </c>
      <c r="AV438" s="308">
        <v>0.0</v>
      </c>
      <c r="AW438" s="308">
        <v>0.0</v>
      </c>
      <c r="AX438" s="308">
        <v>0.0</v>
      </c>
      <c r="AY438" s="308">
        <v>0.0</v>
      </c>
      <c r="AZ438" s="308">
        <v>0.0</v>
      </c>
      <c r="BA438" s="308">
        <v>0.0</v>
      </c>
      <c r="BB438" s="308">
        <v>0.0</v>
      </c>
      <c r="BC438" s="308">
        <v>0.0</v>
      </c>
      <c r="BD438" s="308">
        <v>0.0</v>
      </c>
      <c r="BE438" s="308">
        <v>0.0</v>
      </c>
      <c r="BF438" s="308">
        <v>0.0</v>
      </c>
      <c r="BG438" s="308">
        <v>0.0</v>
      </c>
    </row>
    <row r="439" ht="12.75" customHeight="1" outlineLevel="1">
      <c r="A439" s="90"/>
      <c r="B439" s="90"/>
      <c r="C439" s="148" t="s">
        <v>849</v>
      </c>
      <c r="D439" s="148"/>
      <c r="E439" s="148"/>
      <c r="F439" s="148"/>
      <c r="G439" s="150">
        <v>0.0</v>
      </c>
      <c r="H439" s="150">
        <v>0.0</v>
      </c>
      <c r="I439" s="150">
        <f t="shared" ref="I439:N439" si="431">I437</f>
        <v>-50000</v>
      </c>
      <c r="J439" s="150">
        <f t="shared" si="431"/>
        <v>-50000</v>
      </c>
      <c r="K439" s="150">
        <f t="shared" si="431"/>
        <v>-50000</v>
      </c>
      <c r="L439" s="150">
        <f t="shared" si="431"/>
        <v>-50000</v>
      </c>
      <c r="M439" s="150">
        <f t="shared" si="431"/>
        <v>-50000</v>
      </c>
      <c r="N439" s="150">
        <f t="shared" si="431"/>
        <v>0</v>
      </c>
      <c r="O439" s="150">
        <v>0.0</v>
      </c>
      <c r="P439" s="150">
        <v>0.0</v>
      </c>
      <c r="Q439" s="150">
        <v>0.0</v>
      </c>
      <c r="R439" s="150">
        <v>0.0</v>
      </c>
      <c r="AT439" s="386">
        <v>0.0</v>
      </c>
      <c r="AU439" s="386">
        <v>0.0</v>
      </c>
      <c r="AV439" s="386">
        <v>0.0</v>
      </c>
      <c r="AW439" s="386">
        <v>0.0</v>
      </c>
      <c r="AX439" s="386">
        <v>0.0</v>
      </c>
      <c r="AY439" s="386">
        <v>0.0</v>
      </c>
      <c r="AZ439" s="386">
        <v>0.0</v>
      </c>
      <c r="BA439" s="386">
        <v>0.0</v>
      </c>
      <c r="BB439" s="386">
        <v>0.0</v>
      </c>
      <c r="BC439" s="386">
        <v>0.0</v>
      </c>
      <c r="BD439" s="386">
        <v>0.0</v>
      </c>
      <c r="BE439" s="386">
        <v>0.0</v>
      </c>
      <c r="BF439" s="386">
        <v>0.0</v>
      </c>
      <c r="BG439" s="386">
        <v>0.0</v>
      </c>
    </row>
    <row r="440" ht="12.75" customHeight="1" outlineLevel="1">
      <c r="A440" s="393"/>
      <c r="B440" s="90"/>
      <c r="C440" s="90" t="s">
        <v>850</v>
      </c>
      <c r="D440" s="90"/>
      <c r="E440" s="90"/>
      <c r="F440" s="90"/>
      <c r="G440" s="99">
        <v>0.0</v>
      </c>
      <c r="H440" s="99">
        <v>0.0</v>
      </c>
      <c r="I440" s="99">
        <v>0.0</v>
      </c>
      <c r="J440" s="254">
        <v>0.0</v>
      </c>
      <c r="K440" s="254">
        <v>0.0</v>
      </c>
      <c r="L440" s="254">
        <v>0.0</v>
      </c>
      <c r="M440" s="254">
        <v>0.0</v>
      </c>
      <c r="N440" s="254">
        <v>0.0</v>
      </c>
      <c r="O440" s="99">
        <v>0.0</v>
      </c>
      <c r="P440" s="99">
        <v>0.0</v>
      </c>
      <c r="Q440" s="99">
        <v>0.0</v>
      </c>
      <c r="R440" s="99">
        <v>0.0</v>
      </c>
      <c r="AT440" s="308">
        <v>0.0</v>
      </c>
      <c r="AU440" s="308">
        <v>0.0</v>
      </c>
      <c r="AV440" s="308">
        <v>0.0</v>
      </c>
      <c r="AW440" s="308">
        <v>0.0</v>
      </c>
      <c r="AX440" s="308">
        <v>0.0</v>
      </c>
      <c r="AY440" s="308">
        <v>0.0</v>
      </c>
      <c r="AZ440" s="308">
        <v>0.0</v>
      </c>
      <c r="BA440" s="308">
        <v>0.0</v>
      </c>
      <c r="BB440" s="308">
        <v>0.0</v>
      </c>
      <c r="BC440" s="308">
        <v>0.0</v>
      </c>
      <c r="BD440" s="308">
        <v>0.0</v>
      </c>
      <c r="BE440" s="308">
        <v>0.0</v>
      </c>
      <c r="BF440" s="308">
        <v>0.0</v>
      </c>
      <c r="BG440" s="308">
        <v>0.0</v>
      </c>
    </row>
    <row r="441" ht="12.75" customHeight="1" outlineLevel="1">
      <c r="A441" s="90"/>
      <c r="B441" s="90"/>
      <c r="C441" s="148" t="s">
        <v>491</v>
      </c>
      <c r="D441" s="148"/>
      <c r="E441" s="148"/>
      <c r="F441" s="148"/>
      <c r="G441" s="150">
        <f t="shared" ref="G441:R441" si="432">G434+G435+G439+G440</f>
        <v>0</v>
      </c>
      <c r="H441" s="150">
        <f t="shared" si="432"/>
        <v>250000</v>
      </c>
      <c r="I441" s="150">
        <f t="shared" si="432"/>
        <v>200000</v>
      </c>
      <c r="J441" s="150">
        <f t="shared" si="432"/>
        <v>150000</v>
      </c>
      <c r="K441" s="150">
        <f t="shared" si="432"/>
        <v>100000</v>
      </c>
      <c r="L441" s="150">
        <f t="shared" si="432"/>
        <v>50000</v>
      </c>
      <c r="M441" s="150">
        <f t="shared" si="432"/>
        <v>0</v>
      </c>
      <c r="N441" s="150">
        <f t="shared" si="432"/>
        <v>0</v>
      </c>
      <c r="O441" s="150">
        <f t="shared" si="432"/>
        <v>0</v>
      </c>
      <c r="P441" s="150">
        <f t="shared" si="432"/>
        <v>0</v>
      </c>
      <c r="Q441" s="150">
        <f t="shared" si="432"/>
        <v>0</v>
      </c>
      <c r="R441" s="150">
        <f t="shared" si="432"/>
        <v>0</v>
      </c>
      <c r="AT441" s="386">
        <f t="shared" ref="AT441:BG441" si="433">AT434+AT439</f>
        <v>0</v>
      </c>
      <c r="AU441" s="386">
        <f t="shared" si="433"/>
        <v>0</v>
      </c>
      <c r="AV441" s="386">
        <f t="shared" si="433"/>
        <v>0</v>
      </c>
      <c r="AW441" s="386">
        <f t="shared" si="433"/>
        <v>0</v>
      </c>
      <c r="AX441" s="386">
        <f t="shared" si="433"/>
        <v>0</v>
      </c>
      <c r="AY441" s="386">
        <f t="shared" si="433"/>
        <v>0</v>
      </c>
      <c r="AZ441" s="386">
        <f t="shared" si="433"/>
        <v>0</v>
      </c>
      <c r="BA441" s="386">
        <f t="shared" si="433"/>
        <v>0</v>
      </c>
      <c r="BB441" s="386">
        <f t="shared" si="433"/>
        <v>0</v>
      </c>
      <c r="BC441" s="386">
        <f t="shared" si="433"/>
        <v>0</v>
      </c>
      <c r="BD441" s="386">
        <f t="shared" si="433"/>
        <v>0</v>
      </c>
      <c r="BE441" s="386">
        <f t="shared" si="433"/>
        <v>0</v>
      </c>
      <c r="BF441" s="386">
        <f t="shared" si="433"/>
        <v>0</v>
      </c>
      <c r="BG441" s="386">
        <f t="shared" si="433"/>
        <v>0</v>
      </c>
    </row>
    <row r="442" ht="12.75" customHeight="1" outlineLevel="1">
      <c r="A442" s="90"/>
      <c r="B442" s="90"/>
      <c r="C442" s="90"/>
      <c r="D442" s="90"/>
      <c r="E442" s="90"/>
      <c r="F442" s="90"/>
      <c r="G442" s="99"/>
      <c r="H442" s="99"/>
      <c r="I442" s="99"/>
      <c r="J442" s="99"/>
      <c r="K442" s="99"/>
      <c r="L442" s="99"/>
      <c r="M442" s="99"/>
      <c r="N442" s="99"/>
      <c r="O442" s="99"/>
      <c r="P442" s="99"/>
      <c r="Q442" s="99"/>
      <c r="R442" s="99"/>
      <c r="AT442" s="308"/>
      <c r="AU442" s="308"/>
      <c r="AV442" s="308"/>
      <c r="AW442" s="308"/>
      <c r="AX442" s="308"/>
      <c r="AY442" s="308"/>
      <c r="AZ442" s="308"/>
      <c r="BA442" s="308"/>
      <c r="BB442" s="308"/>
      <c r="BC442" s="308"/>
      <c r="BD442" s="308"/>
      <c r="BE442" s="308"/>
      <c r="BF442" s="308"/>
      <c r="BG442" s="308"/>
    </row>
    <row r="443" ht="12.75" customHeight="1" outlineLevel="1">
      <c r="A443" s="90"/>
      <c r="B443" s="67" t="s">
        <v>148</v>
      </c>
      <c r="C443" s="90"/>
      <c r="D443" s="90"/>
      <c r="E443" s="90"/>
      <c r="F443" s="90"/>
      <c r="G443" s="90"/>
      <c r="H443" s="90"/>
      <c r="I443" s="90"/>
      <c r="J443" s="90"/>
      <c r="K443" s="90"/>
      <c r="L443" s="90"/>
      <c r="M443" s="90"/>
      <c r="N443" s="90"/>
      <c r="O443" s="90"/>
      <c r="P443" s="90"/>
      <c r="Q443" s="90"/>
      <c r="R443" s="90"/>
      <c r="AT443" s="313"/>
      <c r="AU443" s="313"/>
      <c r="AV443" s="313"/>
      <c r="AW443" s="313"/>
      <c r="AX443" s="313"/>
      <c r="AY443" s="313"/>
      <c r="AZ443" s="313"/>
      <c r="BA443" s="313"/>
      <c r="BB443" s="313"/>
      <c r="BC443" s="313"/>
      <c r="BD443" s="313"/>
      <c r="BE443" s="313"/>
      <c r="BF443" s="313"/>
      <c r="BG443" s="313"/>
    </row>
    <row r="444" ht="12.75" customHeight="1" outlineLevel="1">
      <c r="A444" s="90"/>
      <c r="B444" s="90"/>
      <c r="C444" s="90" t="s">
        <v>487</v>
      </c>
      <c r="D444" s="90"/>
      <c r="E444" s="90"/>
      <c r="F444" s="90"/>
      <c r="G444" s="99">
        <v>0.0</v>
      </c>
      <c r="H444" s="99">
        <f t="shared" ref="H444:R444" si="434">G451</f>
        <v>0</v>
      </c>
      <c r="I444" s="99">
        <f t="shared" si="434"/>
        <v>0</v>
      </c>
      <c r="J444" s="99">
        <f t="shared" si="434"/>
        <v>288677.284</v>
      </c>
      <c r="K444" s="99">
        <f t="shared" si="434"/>
        <v>324595.8097</v>
      </c>
      <c r="L444" s="99">
        <f t="shared" si="434"/>
        <v>337478.9982</v>
      </c>
      <c r="M444" s="99">
        <f t="shared" si="434"/>
        <v>338347.1382</v>
      </c>
      <c r="N444" s="99">
        <f t="shared" si="434"/>
        <v>337603.0182</v>
      </c>
      <c r="O444" s="99">
        <f t="shared" si="434"/>
        <v>336920.9082</v>
      </c>
      <c r="P444" s="99">
        <f t="shared" si="434"/>
        <v>336269.8032</v>
      </c>
      <c r="Q444" s="99">
        <f t="shared" si="434"/>
        <v>335618.6982</v>
      </c>
      <c r="R444" s="99">
        <f t="shared" si="434"/>
        <v>335277.6432</v>
      </c>
      <c r="AT444" s="99" t="str">
        <f t="shared" ref="AT444:BG444" si="435">AS451</f>
        <v/>
      </c>
      <c r="AU444" s="99">
        <f t="shared" si="435"/>
        <v>0</v>
      </c>
      <c r="AV444" s="99">
        <f t="shared" si="435"/>
        <v>0</v>
      </c>
      <c r="AW444" s="99">
        <f t="shared" si="435"/>
        <v>0</v>
      </c>
      <c r="AX444" s="99">
        <f t="shared" si="435"/>
        <v>0</v>
      </c>
      <c r="AY444" s="99">
        <f t="shared" si="435"/>
        <v>0</v>
      </c>
      <c r="AZ444" s="99">
        <f t="shared" si="435"/>
        <v>0</v>
      </c>
      <c r="BA444" s="99">
        <f t="shared" si="435"/>
        <v>0</v>
      </c>
      <c r="BB444" s="99">
        <f t="shared" si="435"/>
        <v>0</v>
      </c>
      <c r="BC444" s="99">
        <f t="shared" si="435"/>
        <v>0</v>
      </c>
      <c r="BD444" s="99">
        <f t="shared" si="435"/>
        <v>0</v>
      </c>
      <c r="BE444" s="99">
        <f t="shared" si="435"/>
        <v>0</v>
      </c>
      <c r="BF444" s="99">
        <f t="shared" si="435"/>
        <v>0</v>
      </c>
      <c r="BG444" s="99">
        <f t="shared" si="435"/>
        <v>0</v>
      </c>
    </row>
    <row r="445" ht="12.75" customHeight="1" outlineLevel="1">
      <c r="A445" s="393"/>
      <c r="B445" s="90"/>
      <c r="C445" s="90" t="s">
        <v>488</v>
      </c>
      <c r="D445" s="90"/>
      <c r="E445" s="90"/>
      <c r="F445" s="90"/>
      <c r="G445" s="99">
        <f>IF(G455&gt;G453,0,IF(G453-G455&lt;F451,0,MIN(G454-F451,G453-F451-G455)))</f>
        <v>0</v>
      </c>
      <c r="H445" s="99">
        <f t="shared" ref="H445:R445" si="436">IF(H455&gt;H453,0,IF(H453-H455&lt;G451,0,MAX(0,MIN(H454-G451,H453-G451-H455))))</f>
        <v>0</v>
      </c>
      <c r="I445" s="99">
        <f t="shared" si="436"/>
        <v>288677.284</v>
      </c>
      <c r="J445" s="99">
        <f t="shared" si="436"/>
        <v>35918.52576</v>
      </c>
      <c r="K445" s="99">
        <f t="shared" si="436"/>
        <v>12883.18847</v>
      </c>
      <c r="L445" s="99">
        <f t="shared" si="436"/>
        <v>868.14</v>
      </c>
      <c r="M445" s="99">
        <f t="shared" si="436"/>
        <v>0</v>
      </c>
      <c r="N445" s="99">
        <f t="shared" si="436"/>
        <v>0</v>
      </c>
      <c r="O445" s="99">
        <f t="shared" si="436"/>
        <v>0</v>
      </c>
      <c r="P445" s="99">
        <f t="shared" si="436"/>
        <v>0</v>
      </c>
      <c r="Q445" s="99">
        <f t="shared" si="436"/>
        <v>0</v>
      </c>
      <c r="R445" s="99">
        <f t="shared" si="436"/>
        <v>0</v>
      </c>
      <c r="AT445" s="308">
        <v>0.0</v>
      </c>
      <c r="AU445" s="308">
        <v>0.0</v>
      </c>
      <c r="AV445" s="308">
        <v>0.0</v>
      </c>
      <c r="AW445" s="308">
        <v>0.0</v>
      </c>
      <c r="AX445" s="308">
        <v>0.0</v>
      </c>
      <c r="AY445" s="308">
        <v>0.0</v>
      </c>
      <c r="AZ445" s="308">
        <v>0.0</v>
      </c>
      <c r="BA445" s="308">
        <v>0.0</v>
      </c>
      <c r="BB445" s="308">
        <v>0.0</v>
      </c>
      <c r="BC445" s="308">
        <v>0.0</v>
      </c>
      <c r="BD445" s="308">
        <v>0.0</v>
      </c>
      <c r="BE445" s="308">
        <v>0.0</v>
      </c>
      <c r="BF445" s="308">
        <v>0.0</v>
      </c>
      <c r="BG445" s="308">
        <v>0.0</v>
      </c>
    </row>
    <row r="446" ht="12.75" customHeight="1" outlineLevel="1">
      <c r="A446" s="90"/>
      <c r="B446" s="90"/>
      <c r="C446" s="90" t="s">
        <v>490</v>
      </c>
      <c r="D446" s="90"/>
      <c r="E446" s="90"/>
      <c r="F446" s="90"/>
      <c r="G446" s="99"/>
      <c r="H446" s="99"/>
      <c r="I446" s="99"/>
      <c r="J446" s="99"/>
      <c r="K446" s="99"/>
      <c r="L446" s="99"/>
      <c r="M446" s="99"/>
      <c r="N446" s="99"/>
      <c r="O446" s="99"/>
      <c r="P446" s="99"/>
      <c r="Q446" s="99"/>
      <c r="R446" s="99"/>
      <c r="AT446" s="308"/>
      <c r="AU446" s="308"/>
      <c r="AV446" s="308"/>
      <c r="AW446" s="308"/>
      <c r="AX446" s="308"/>
      <c r="AY446" s="308"/>
      <c r="AZ446" s="308"/>
      <c r="BA446" s="308"/>
      <c r="BB446" s="308"/>
      <c r="BC446" s="308"/>
      <c r="BD446" s="308"/>
      <c r="BE446" s="308"/>
      <c r="BF446" s="308"/>
      <c r="BG446" s="308"/>
    </row>
    <row r="447" ht="12.75" customHeight="1" outlineLevel="1">
      <c r="A447" s="90"/>
      <c r="B447" s="90"/>
      <c r="C447" s="90"/>
      <c r="D447" s="90" t="s">
        <v>701</v>
      </c>
      <c r="E447" s="90"/>
      <c r="F447" s="90"/>
      <c r="G447" s="99">
        <f t="shared" ref="G447:R447" si="437">IF(G445&gt;0,0,IF(F451=0,0,IF(G455+F451&gt;G453,MAX(-F451,G453-G455-F451),IF(F451&gt;G454,G454-F451,0))))</f>
        <v>0</v>
      </c>
      <c r="H447" s="99">
        <f t="shared" si="437"/>
        <v>0</v>
      </c>
      <c r="I447" s="99">
        <f t="shared" si="437"/>
        <v>0</v>
      </c>
      <c r="J447" s="99">
        <f t="shared" si="437"/>
        <v>0</v>
      </c>
      <c r="K447" s="99">
        <f t="shared" si="437"/>
        <v>0</v>
      </c>
      <c r="L447" s="99">
        <f t="shared" si="437"/>
        <v>0</v>
      </c>
      <c r="M447" s="99">
        <f t="shared" si="437"/>
        <v>-744.12</v>
      </c>
      <c r="N447" s="99">
        <f t="shared" si="437"/>
        <v>-682.11</v>
      </c>
      <c r="O447" s="99">
        <f t="shared" si="437"/>
        <v>-651.105</v>
      </c>
      <c r="P447" s="99">
        <f t="shared" si="437"/>
        <v>-651.105</v>
      </c>
      <c r="Q447" s="99">
        <f t="shared" si="437"/>
        <v>-341.055</v>
      </c>
      <c r="R447" s="99">
        <f t="shared" si="437"/>
        <v>0</v>
      </c>
      <c r="AT447" s="308">
        <f t="shared" ref="AT447:BG447" si="438">MIN(AT449-AT448,0)</f>
        <v>0</v>
      </c>
      <c r="AU447" s="308">
        <f t="shared" si="438"/>
        <v>0</v>
      </c>
      <c r="AV447" s="308">
        <f t="shared" si="438"/>
        <v>0</v>
      </c>
      <c r="AW447" s="308">
        <f t="shared" si="438"/>
        <v>0</v>
      </c>
      <c r="AX447" s="308">
        <f t="shared" si="438"/>
        <v>0</v>
      </c>
      <c r="AY447" s="308">
        <f t="shared" si="438"/>
        <v>0</v>
      </c>
      <c r="AZ447" s="308">
        <f t="shared" si="438"/>
        <v>0</v>
      </c>
      <c r="BA447" s="308">
        <f t="shared" si="438"/>
        <v>0</v>
      </c>
      <c r="BB447" s="308">
        <f t="shared" si="438"/>
        <v>0</v>
      </c>
      <c r="BC447" s="308">
        <f t="shared" si="438"/>
        <v>0</v>
      </c>
      <c r="BD447" s="308">
        <f t="shared" si="438"/>
        <v>0</v>
      </c>
      <c r="BE447" s="308">
        <f t="shared" si="438"/>
        <v>0</v>
      </c>
      <c r="BF447" s="308">
        <f t="shared" si="438"/>
        <v>0</v>
      </c>
      <c r="BG447" s="308">
        <f t="shared" si="438"/>
        <v>0</v>
      </c>
    </row>
    <row r="448" ht="12.75" customHeight="1" outlineLevel="1">
      <c r="A448" s="90"/>
      <c r="B448" s="90"/>
      <c r="C448" s="90"/>
      <c r="D448" s="90" t="s">
        <v>489</v>
      </c>
      <c r="E448" s="90"/>
      <c r="F448" s="90"/>
      <c r="G448" s="99">
        <v>0.0</v>
      </c>
      <c r="H448" s="99">
        <v>0.0</v>
      </c>
      <c r="I448" s="99">
        <v>0.0</v>
      </c>
      <c r="J448" s="99">
        <v>0.0</v>
      </c>
      <c r="K448" s="99">
        <v>0.0</v>
      </c>
      <c r="L448" s="99">
        <v>0.0</v>
      </c>
      <c r="M448" s="99">
        <v>0.0</v>
      </c>
      <c r="N448" s="99">
        <v>0.0</v>
      </c>
      <c r="O448" s="99">
        <v>0.0</v>
      </c>
      <c r="P448" s="99">
        <v>0.0</v>
      </c>
      <c r="Q448" s="99">
        <v>0.0</v>
      </c>
      <c r="R448" s="99">
        <v>0.0</v>
      </c>
      <c r="AT448" s="308">
        <f t="shared" ref="AT448:BG448" si="439">-AT444*AT252</f>
        <v>0</v>
      </c>
      <c r="AU448" s="308">
        <f t="shared" si="439"/>
        <v>0</v>
      </c>
      <c r="AV448" s="308">
        <f t="shared" si="439"/>
        <v>0</v>
      </c>
      <c r="AW448" s="308">
        <f t="shared" si="439"/>
        <v>0</v>
      </c>
      <c r="AX448" s="308">
        <f t="shared" si="439"/>
        <v>0</v>
      </c>
      <c r="AY448" s="308">
        <f t="shared" si="439"/>
        <v>0</v>
      </c>
      <c r="AZ448" s="308">
        <f t="shared" si="439"/>
        <v>0</v>
      </c>
      <c r="BA448" s="308">
        <f t="shared" si="439"/>
        <v>0</v>
      </c>
      <c r="BB448" s="308">
        <f t="shared" si="439"/>
        <v>0</v>
      </c>
      <c r="BC448" s="308">
        <f t="shared" si="439"/>
        <v>0</v>
      </c>
      <c r="BD448" s="308">
        <f t="shared" si="439"/>
        <v>0</v>
      </c>
      <c r="BE448" s="308">
        <f t="shared" si="439"/>
        <v>0</v>
      </c>
      <c r="BF448" s="308">
        <f t="shared" si="439"/>
        <v>0</v>
      </c>
      <c r="BG448" s="308">
        <f t="shared" si="439"/>
        <v>0</v>
      </c>
    </row>
    <row r="449" ht="12.75" customHeight="1" outlineLevel="1">
      <c r="A449" s="90"/>
      <c r="B449" s="90"/>
      <c r="C449" s="148" t="s">
        <v>490</v>
      </c>
      <c r="D449" s="148"/>
      <c r="E449" s="148"/>
      <c r="F449" s="148"/>
      <c r="G449" s="394">
        <v>0.0</v>
      </c>
      <c r="H449" s="394">
        <v>0.0</v>
      </c>
      <c r="I449" s="394">
        <v>0.0</v>
      </c>
      <c r="J449" s="394">
        <v>0.0</v>
      </c>
      <c r="K449" s="394">
        <v>0.0</v>
      </c>
      <c r="L449" s="394">
        <v>0.0</v>
      </c>
      <c r="M449" s="394">
        <v>0.0</v>
      </c>
      <c r="N449" s="394">
        <v>0.0</v>
      </c>
      <c r="O449" s="394">
        <v>0.0</v>
      </c>
      <c r="P449" s="394">
        <v>0.0</v>
      </c>
      <c r="Q449" s="394">
        <v>0.0</v>
      </c>
      <c r="R449" s="394">
        <v>0.0</v>
      </c>
      <c r="AT449" s="395">
        <v>0.0</v>
      </c>
      <c r="AU449" s="395">
        <v>0.0</v>
      </c>
      <c r="AV449" s="395">
        <v>0.0</v>
      </c>
      <c r="AW449" s="395">
        <v>0.0</v>
      </c>
      <c r="AX449" s="395">
        <v>0.0</v>
      </c>
      <c r="AY449" s="395">
        <v>0.0</v>
      </c>
      <c r="AZ449" s="395">
        <v>0.0</v>
      </c>
      <c r="BA449" s="395">
        <v>0.0</v>
      </c>
      <c r="BB449" s="395">
        <v>0.0</v>
      </c>
      <c r="BC449" s="395">
        <v>0.0</v>
      </c>
      <c r="BD449" s="395">
        <v>0.0</v>
      </c>
      <c r="BE449" s="395">
        <v>0.0</v>
      </c>
      <c r="BF449" s="395">
        <v>0.0</v>
      </c>
      <c r="BG449" s="395">
        <v>0.0</v>
      </c>
    </row>
    <row r="450" ht="12.75" customHeight="1" outlineLevel="1">
      <c r="A450" s="393"/>
      <c r="B450" s="90"/>
      <c r="C450" s="90" t="s">
        <v>850</v>
      </c>
      <c r="D450" s="90"/>
      <c r="E450" s="90"/>
      <c r="F450" s="90"/>
      <c r="G450" s="99">
        <v>0.0</v>
      </c>
      <c r="H450" s="99">
        <v>0.0</v>
      </c>
      <c r="I450" s="99">
        <v>0.0</v>
      </c>
      <c r="J450" s="99">
        <v>0.0</v>
      </c>
      <c r="K450" s="99">
        <v>0.0</v>
      </c>
      <c r="L450" s="99">
        <v>0.0</v>
      </c>
      <c r="M450" s="99">
        <v>0.0</v>
      </c>
      <c r="N450" s="99">
        <v>0.0</v>
      </c>
      <c r="O450" s="99">
        <v>0.0</v>
      </c>
      <c r="P450" s="99">
        <v>0.0</v>
      </c>
      <c r="Q450" s="99">
        <v>0.0</v>
      </c>
      <c r="R450" s="99">
        <v>0.0</v>
      </c>
      <c r="AT450" s="308">
        <v>0.0</v>
      </c>
      <c r="AU450" s="308">
        <v>0.0</v>
      </c>
      <c r="AV450" s="308">
        <v>0.0</v>
      </c>
      <c r="AW450" s="308">
        <v>0.0</v>
      </c>
      <c r="AX450" s="308">
        <v>0.0</v>
      </c>
      <c r="AY450" s="308">
        <v>0.0</v>
      </c>
      <c r="AZ450" s="308">
        <v>0.0</v>
      </c>
      <c r="BA450" s="308">
        <v>0.0</v>
      </c>
      <c r="BB450" s="308">
        <v>0.0</v>
      </c>
      <c r="BC450" s="308">
        <v>0.0</v>
      </c>
      <c r="BD450" s="308">
        <v>0.0</v>
      </c>
      <c r="BE450" s="308">
        <v>0.0</v>
      </c>
      <c r="BF450" s="308">
        <v>0.0</v>
      </c>
      <c r="BG450" s="308">
        <v>0.0</v>
      </c>
    </row>
    <row r="451" ht="12.75" customHeight="1" outlineLevel="1">
      <c r="A451" s="90"/>
      <c r="B451" s="90"/>
      <c r="C451" s="148" t="s">
        <v>491</v>
      </c>
      <c r="D451" s="148"/>
      <c r="E451" s="148"/>
      <c r="F451" s="148"/>
      <c r="G451" s="150">
        <f t="shared" ref="G451:R451" si="440">+SUM(G444:G450)</f>
        <v>0</v>
      </c>
      <c r="H451" s="150">
        <f t="shared" si="440"/>
        <v>0</v>
      </c>
      <c r="I451" s="150">
        <f t="shared" si="440"/>
        <v>288677.284</v>
      </c>
      <c r="J451" s="150">
        <f t="shared" si="440"/>
        <v>324595.8097</v>
      </c>
      <c r="K451" s="150">
        <f t="shared" si="440"/>
        <v>337478.9982</v>
      </c>
      <c r="L451" s="150">
        <f t="shared" si="440"/>
        <v>338347.1382</v>
      </c>
      <c r="M451" s="150">
        <f t="shared" si="440"/>
        <v>337603.0182</v>
      </c>
      <c r="N451" s="150">
        <f t="shared" si="440"/>
        <v>336920.9082</v>
      </c>
      <c r="O451" s="150">
        <f t="shared" si="440"/>
        <v>336269.8032</v>
      </c>
      <c r="P451" s="150">
        <f t="shared" si="440"/>
        <v>335618.6982</v>
      </c>
      <c r="Q451" s="150">
        <f t="shared" si="440"/>
        <v>335277.6432</v>
      </c>
      <c r="R451" s="150">
        <f t="shared" si="440"/>
        <v>335277.6432</v>
      </c>
      <c r="AT451" s="386">
        <f t="shared" ref="AT451:BG451" si="441">+SUM(AT444:AT450)</f>
        <v>0</v>
      </c>
      <c r="AU451" s="386">
        <f t="shared" si="441"/>
        <v>0</v>
      </c>
      <c r="AV451" s="386">
        <f t="shared" si="441"/>
        <v>0</v>
      </c>
      <c r="AW451" s="386">
        <f t="shared" si="441"/>
        <v>0</v>
      </c>
      <c r="AX451" s="386">
        <f t="shared" si="441"/>
        <v>0</v>
      </c>
      <c r="AY451" s="386">
        <f t="shared" si="441"/>
        <v>0</v>
      </c>
      <c r="AZ451" s="386">
        <f t="shared" si="441"/>
        <v>0</v>
      </c>
      <c r="BA451" s="386">
        <f t="shared" si="441"/>
        <v>0</v>
      </c>
      <c r="BB451" s="386">
        <f t="shared" si="441"/>
        <v>0</v>
      </c>
      <c r="BC451" s="386">
        <f t="shared" si="441"/>
        <v>0</v>
      </c>
      <c r="BD451" s="386">
        <f t="shared" si="441"/>
        <v>0</v>
      </c>
      <c r="BE451" s="386">
        <f t="shared" si="441"/>
        <v>0</v>
      </c>
      <c r="BF451" s="386">
        <f t="shared" si="441"/>
        <v>0</v>
      </c>
      <c r="BG451" s="386">
        <f t="shared" si="441"/>
        <v>0</v>
      </c>
    </row>
    <row r="452" ht="12.75" customHeight="1" outlineLevel="1">
      <c r="A452" s="90"/>
      <c r="B452" s="90"/>
      <c r="C452" s="90"/>
      <c r="D452" s="90"/>
      <c r="E452" s="90"/>
      <c r="F452" s="90"/>
      <c r="G452" s="99"/>
      <c r="H452" s="99"/>
      <c r="I452" s="99"/>
      <c r="J452" s="99"/>
      <c r="K452" s="99"/>
      <c r="L452" s="99"/>
      <c r="M452" s="99"/>
      <c r="N452" s="99"/>
      <c r="O452" s="99"/>
      <c r="P452" s="99"/>
      <c r="Q452" s="99"/>
      <c r="R452" s="99"/>
      <c r="AT452" s="308"/>
      <c r="AU452" s="308"/>
      <c r="AV452" s="308"/>
      <c r="AW452" s="308"/>
      <c r="AX452" s="308"/>
      <c r="AY452" s="308"/>
      <c r="AZ452" s="308"/>
      <c r="BA452" s="308"/>
      <c r="BB452" s="308"/>
      <c r="BC452" s="308"/>
      <c r="BD452" s="308"/>
      <c r="BE452" s="308"/>
      <c r="BF452" s="308"/>
      <c r="BG452" s="308"/>
    </row>
    <row r="453" ht="12.75" customHeight="1" outlineLevel="1">
      <c r="A453" s="90"/>
      <c r="B453" s="396">
        <f>Assumptions!H32</f>
        <v>2</v>
      </c>
      <c r="C453" s="90" t="s">
        <v>152</v>
      </c>
      <c r="D453" s="90"/>
      <c r="E453" s="90"/>
      <c r="F453" s="90"/>
      <c r="G453" s="99">
        <f t="shared" ref="G453:R453" si="442">$B$453*(G319+G330+G339+G383+G386+G389)/12</f>
        <v>0</v>
      </c>
      <c r="H453" s="99">
        <f t="shared" si="442"/>
        <v>25516.76674</v>
      </c>
      <c r="I453" s="99">
        <f t="shared" si="442"/>
        <v>484597.6345</v>
      </c>
      <c r="J453" s="99">
        <f t="shared" si="442"/>
        <v>546501.8366</v>
      </c>
      <c r="K453" s="99">
        <f t="shared" si="442"/>
        <v>569279.1072</v>
      </c>
      <c r="L453" s="99">
        <f t="shared" si="442"/>
        <v>567471.6805</v>
      </c>
      <c r="M453" s="99">
        <f t="shared" si="442"/>
        <v>566680.4272</v>
      </c>
      <c r="N453" s="99">
        <f t="shared" si="442"/>
        <v>565927.3338</v>
      </c>
      <c r="O453" s="99">
        <f t="shared" si="442"/>
        <v>565526.6538</v>
      </c>
      <c r="P453" s="99">
        <f t="shared" si="442"/>
        <v>565125.9738</v>
      </c>
      <c r="Q453" s="99">
        <f t="shared" si="442"/>
        <v>564916.0938</v>
      </c>
      <c r="R453" s="99">
        <f t="shared" si="442"/>
        <v>564916.0938</v>
      </c>
      <c r="AT453" s="308"/>
      <c r="AU453" s="308"/>
      <c r="AV453" s="308"/>
      <c r="AW453" s="308"/>
      <c r="AX453" s="308"/>
      <c r="AY453" s="308"/>
      <c r="AZ453" s="308"/>
      <c r="BA453" s="308"/>
      <c r="BB453" s="308"/>
      <c r="BC453" s="308"/>
      <c r="BD453" s="308"/>
      <c r="BE453" s="308"/>
      <c r="BF453" s="308"/>
      <c r="BG453" s="308"/>
    </row>
    <row r="454" ht="12.75" customHeight="1" outlineLevel="1">
      <c r="A454" s="90"/>
      <c r="B454" s="152">
        <f>Assumptions!H31</f>
        <v>0.65</v>
      </c>
      <c r="C454" s="90" t="s">
        <v>851</v>
      </c>
      <c r="D454" s="90"/>
      <c r="E454" s="90"/>
      <c r="F454" s="90"/>
      <c r="G454" s="99">
        <f t="shared" ref="G454:R454" si="443">$B$454*G475</f>
        <v>0</v>
      </c>
      <c r="H454" s="99">
        <f t="shared" si="443"/>
        <v>19500</v>
      </c>
      <c r="I454" s="99">
        <f t="shared" si="443"/>
        <v>288677.284</v>
      </c>
      <c r="J454" s="99">
        <f t="shared" si="443"/>
        <v>324595.8097</v>
      </c>
      <c r="K454" s="99">
        <f t="shared" si="443"/>
        <v>337478.9982</v>
      </c>
      <c r="L454" s="99">
        <f t="shared" si="443"/>
        <v>338347.1382</v>
      </c>
      <c r="M454" s="99">
        <f t="shared" si="443"/>
        <v>337603.0182</v>
      </c>
      <c r="N454" s="99">
        <f t="shared" si="443"/>
        <v>336920.9082</v>
      </c>
      <c r="O454" s="99">
        <f t="shared" si="443"/>
        <v>336269.8032</v>
      </c>
      <c r="P454" s="99">
        <f t="shared" si="443"/>
        <v>335618.6982</v>
      </c>
      <c r="Q454" s="99">
        <f t="shared" si="443"/>
        <v>335277.6432</v>
      </c>
      <c r="R454" s="99">
        <f t="shared" si="443"/>
        <v>335277.6432</v>
      </c>
      <c r="AT454" s="313"/>
      <c r="AU454" s="313"/>
      <c r="AV454" s="313"/>
      <c r="AW454" s="313"/>
      <c r="AX454" s="313"/>
      <c r="AY454" s="313"/>
      <c r="AZ454" s="313"/>
      <c r="BA454" s="313"/>
      <c r="BB454" s="313"/>
      <c r="BC454" s="313"/>
      <c r="BD454" s="313"/>
      <c r="BE454" s="313"/>
      <c r="BF454" s="313"/>
      <c r="BG454" s="313"/>
    </row>
    <row r="455" ht="12.75" customHeight="1" outlineLevel="1">
      <c r="A455" s="90"/>
      <c r="B455" s="152"/>
      <c r="C455" s="90" t="s">
        <v>852</v>
      </c>
      <c r="D455" s="90"/>
      <c r="E455" s="90"/>
      <c r="F455" s="90"/>
      <c r="G455" s="99">
        <f>(G296-G319-G330-G339-G383-G386-G389)+G404+G409+G415+G421+F455</f>
        <v>0</v>
      </c>
      <c r="H455" s="99">
        <f t="shared" ref="H455:I455" si="444">(H296-H319-H330-H339-H383-H386-H389)+H404+H409+H415+H421+G455-G391-G392</f>
        <v>74630.97988</v>
      </c>
      <c r="I455" s="99">
        <f t="shared" si="444"/>
        <v>-198710.5727</v>
      </c>
      <c r="J455" s="99">
        <f>(J296-J319-J330-J339-J383-J386-J389)+J404+J409+J415+J421+I455-I391-2*I392</f>
        <v>-292610.4593</v>
      </c>
      <c r="K455" s="99">
        <f t="shared" ref="K455:R455" si="445">(K296-K319-K330-K339-K383-K386-K389)+K404+K409+K415+K421+J455-J391-J392</f>
        <v>-354146.1854</v>
      </c>
      <c r="L455" s="99">
        <f t="shared" si="445"/>
        <v>-387747.2727</v>
      </c>
      <c r="M455" s="99">
        <f t="shared" si="445"/>
        <v>-421875.4515</v>
      </c>
      <c r="N455" s="99">
        <f t="shared" si="445"/>
        <v>-408555.3827</v>
      </c>
      <c r="O455" s="99">
        <f t="shared" si="445"/>
        <v>-199375.0783</v>
      </c>
      <c r="P455" s="99">
        <f t="shared" si="445"/>
        <v>-194417.3067</v>
      </c>
      <c r="Q455" s="99">
        <f t="shared" si="445"/>
        <v>-192067.3577</v>
      </c>
      <c r="R455" s="99">
        <f t="shared" si="445"/>
        <v>-190139.2579</v>
      </c>
      <c r="AT455" s="313"/>
      <c r="AU455" s="313"/>
      <c r="AV455" s="313"/>
      <c r="AW455" s="313"/>
      <c r="AX455" s="313"/>
      <c r="AY455" s="313"/>
      <c r="AZ455" s="313"/>
      <c r="BA455" s="313"/>
      <c r="BB455" s="313"/>
      <c r="BC455" s="313"/>
      <c r="BD455" s="313"/>
      <c r="BE455" s="313"/>
      <c r="BF455" s="313"/>
      <c r="BG455" s="313"/>
    </row>
    <row r="456" ht="12.75" customHeight="1" outlineLevel="1">
      <c r="A456" s="90"/>
      <c r="B456" s="90"/>
      <c r="C456" s="90"/>
      <c r="D456" s="90"/>
      <c r="E456" s="90"/>
      <c r="F456" s="90"/>
      <c r="G456" s="99"/>
      <c r="H456" s="99"/>
      <c r="I456" s="99"/>
      <c r="J456" s="99"/>
      <c r="K456" s="99"/>
      <c r="L456" s="99"/>
      <c r="M456" s="99"/>
      <c r="N456" s="99"/>
      <c r="O456" s="99"/>
      <c r="P456" s="99"/>
      <c r="Q456" s="99"/>
      <c r="R456" s="99"/>
      <c r="AT456" s="308"/>
      <c r="AU456" s="308"/>
      <c r="AV456" s="308"/>
      <c r="AW456" s="308"/>
      <c r="AX456" s="308"/>
      <c r="AY456" s="308"/>
      <c r="AZ456" s="308"/>
      <c r="BA456" s="308"/>
      <c r="BB456" s="308"/>
      <c r="BC456" s="308"/>
      <c r="BD456" s="308"/>
      <c r="BE456" s="308"/>
      <c r="BF456" s="308"/>
      <c r="BG456" s="308"/>
    </row>
    <row r="457" ht="12.75" customHeight="1" outlineLevel="1">
      <c r="A457" s="90"/>
      <c r="B457" s="67" t="s">
        <v>479</v>
      </c>
      <c r="C457" s="90"/>
      <c r="D457" s="90"/>
      <c r="E457" s="90"/>
      <c r="F457" s="90"/>
      <c r="G457" s="90"/>
      <c r="H457" s="90"/>
      <c r="I457" s="90"/>
      <c r="J457" s="90"/>
      <c r="K457" s="90"/>
      <c r="L457" s="90"/>
      <c r="M457" s="90"/>
      <c r="N457" s="90"/>
      <c r="O457" s="90"/>
      <c r="P457" s="90"/>
      <c r="Q457" s="90"/>
      <c r="R457" s="90"/>
      <c r="AT457" s="313"/>
      <c r="AU457" s="313"/>
      <c r="AV457" s="313"/>
      <c r="AW457" s="313"/>
      <c r="AX457" s="313"/>
      <c r="AY457" s="313"/>
      <c r="AZ457" s="313"/>
      <c r="BA457" s="313"/>
      <c r="BB457" s="313"/>
      <c r="BC457" s="313"/>
      <c r="BD457" s="313"/>
      <c r="BE457" s="313"/>
      <c r="BF457" s="313"/>
      <c r="BG457" s="313"/>
    </row>
    <row r="458" ht="12.75" customHeight="1" outlineLevel="1">
      <c r="A458" s="90"/>
      <c r="B458" s="67"/>
      <c r="C458" s="90" t="s">
        <v>487</v>
      </c>
      <c r="D458" s="90"/>
      <c r="E458" s="90"/>
      <c r="F458" s="90"/>
      <c r="G458" s="99">
        <v>0.0</v>
      </c>
      <c r="H458" s="99">
        <f t="shared" ref="H458:R458" si="446">+G465</f>
        <v>0</v>
      </c>
      <c r="I458" s="99">
        <f t="shared" si="446"/>
        <v>0</v>
      </c>
      <c r="J458" s="99">
        <f t="shared" si="446"/>
        <v>0</v>
      </c>
      <c r="K458" s="99">
        <f t="shared" si="446"/>
        <v>0</v>
      </c>
      <c r="L458" s="99">
        <f t="shared" si="446"/>
        <v>177051.6847</v>
      </c>
      <c r="M458" s="99">
        <f t="shared" si="446"/>
        <v>177051.6847</v>
      </c>
      <c r="N458" s="99">
        <f t="shared" si="446"/>
        <v>177051.6847</v>
      </c>
      <c r="O458" s="99">
        <f t="shared" si="446"/>
        <v>177051.6847</v>
      </c>
      <c r="P458" s="99">
        <f t="shared" si="446"/>
        <v>22819.51606</v>
      </c>
      <c r="Q458" s="99">
        <f t="shared" si="446"/>
        <v>18362.59444</v>
      </c>
      <c r="R458" s="99">
        <f t="shared" si="446"/>
        <v>16262.59342</v>
      </c>
      <c r="AT458" s="308" t="str">
        <f t="shared" ref="AT458:BG458" si="447">+AS465</f>
        <v/>
      </c>
      <c r="AU458" s="308">
        <f t="shared" si="447"/>
        <v>0</v>
      </c>
      <c r="AV458" s="308">
        <f t="shared" si="447"/>
        <v>0</v>
      </c>
      <c r="AW458" s="308">
        <f t="shared" si="447"/>
        <v>0</v>
      </c>
      <c r="AX458" s="308">
        <f t="shared" si="447"/>
        <v>0</v>
      </c>
      <c r="AY458" s="308">
        <f t="shared" si="447"/>
        <v>0</v>
      </c>
      <c r="AZ458" s="308">
        <f t="shared" si="447"/>
        <v>0</v>
      </c>
      <c r="BA458" s="308">
        <f t="shared" si="447"/>
        <v>0</v>
      </c>
      <c r="BB458" s="308">
        <f t="shared" si="447"/>
        <v>0</v>
      </c>
      <c r="BC458" s="308">
        <f t="shared" si="447"/>
        <v>0</v>
      </c>
      <c r="BD458" s="308">
        <f t="shared" si="447"/>
        <v>0</v>
      </c>
      <c r="BE458" s="308">
        <f t="shared" si="447"/>
        <v>0</v>
      </c>
      <c r="BF458" s="308">
        <f t="shared" si="447"/>
        <v>0</v>
      </c>
      <c r="BG458" s="308">
        <f t="shared" si="447"/>
        <v>0</v>
      </c>
    </row>
    <row r="459" ht="12.75" customHeight="1" outlineLevel="1">
      <c r="A459" s="90"/>
      <c r="B459" s="90"/>
      <c r="C459" s="90" t="s">
        <v>488</v>
      </c>
      <c r="D459" s="90"/>
      <c r="E459" s="90"/>
      <c r="F459" s="90"/>
      <c r="G459" s="99"/>
      <c r="H459" s="99">
        <f>IF(H455+H451&lt;0,-(H451+H455),0)</f>
        <v>0</v>
      </c>
      <c r="I459" s="99">
        <f t="shared" ref="I459:R459" si="448">IF(I406+I411+SUM(I415:I416,I418:I422,I424,I427)&lt;0,-(I406+I411+SUM(I415:I416,I418:I422,I424,I427)-I453/4),0)</f>
        <v>0</v>
      </c>
      <c r="J459" s="99">
        <f t="shared" si="448"/>
        <v>0</v>
      </c>
      <c r="K459" s="99">
        <f t="shared" si="448"/>
        <v>177051.6847</v>
      </c>
      <c r="L459" s="99">
        <f t="shared" si="448"/>
        <v>0</v>
      </c>
      <c r="M459" s="99">
        <f t="shared" si="448"/>
        <v>0</v>
      </c>
      <c r="N459" s="99">
        <f t="shared" si="448"/>
        <v>0</v>
      </c>
      <c r="O459" s="99">
        <f t="shared" si="448"/>
        <v>0</v>
      </c>
      <c r="P459" s="99">
        <f t="shared" si="448"/>
        <v>0</v>
      </c>
      <c r="Q459" s="99">
        <f t="shared" si="448"/>
        <v>0</v>
      </c>
      <c r="R459" s="99">
        <f t="shared" si="448"/>
        <v>0</v>
      </c>
      <c r="AT459" s="308">
        <v>0.0</v>
      </c>
      <c r="AU459" s="308">
        <v>0.0</v>
      </c>
      <c r="AV459" s="308">
        <v>0.0</v>
      </c>
      <c r="AW459" s="308">
        <v>0.0</v>
      </c>
      <c r="AX459" s="308">
        <v>0.0</v>
      </c>
      <c r="AY459" s="308">
        <v>0.0</v>
      </c>
      <c r="AZ459" s="308">
        <v>0.0</v>
      </c>
      <c r="BA459" s="308">
        <v>0.0</v>
      </c>
      <c r="BB459" s="308">
        <v>0.0</v>
      </c>
      <c r="BC459" s="308">
        <v>0.0</v>
      </c>
      <c r="BD459" s="308">
        <v>0.0</v>
      </c>
      <c r="BE459" s="308">
        <v>0.0</v>
      </c>
      <c r="BF459" s="308">
        <v>0.0</v>
      </c>
      <c r="BG459" s="308">
        <v>0.0</v>
      </c>
    </row>
    <row r="460" ht="12.75" customHeight="1" outlineLevel="1">
      <c r="A460" s="90"/>
      <c r="B460" s="90"/>
      <c r="C460" s="90" t="s">
        <v>490</v>
      </c>
      <c r="D460" s="90"/>
      <c r="E460" s="90"/>
      <c r="F460" s="90"/>
      <c r="G460" s="99"/>
      <c r="H460" s="99"/>
      <c r="I460" s="99"/>
      <c r="J460" s="99"/>
      <c r="K460" s="99"/>
      <c r="L460" s="99"/>
      <c r="M460" s="99"/>
      <c r="N460" s="99"/>
      <c r="O460" s="99"/>
      <c r="P460" s="99"/>
      <c r="Q460" s="99"/>
      <c r="R460" s="99"/>
      <c r="AT460" s="308"/>
      <c r="AU460" s="308"/>
      <c r="AV460" s="308"/>
      <c r="AW460" s="308"/>
      <c r="AX460" s="308"/>
      <c r="AY460" s="308"/>
      <c r="AZ460" s="308"/>
      <c r="BA460" s="308"/>
      <c r="BB460" s="308"/>
      <c r="BC460" s="308"/>
      <c r="BD460" s="308"/>
      <c r="BE460" s="308"/>
      <c r="BF460" s="308"/>
      <c r="BG460" s="308"/>
    </row>
    <row r="461" ht="12.75" customHeight="1" outlineLevel="1">
      <c r="A461" s="90"/>
      <c r="B461" s="90"/>
      <c r="C461" s="90"/>
      <c r="D461" s="90" t="s">
        <v>701</v>
      </c>
      <c r="E461" s="90"/>
      <c r="F461" s="90"/>
      <c r="G461" s="99">
        <f t="shared" ref="G461:H461" si="449">MIN(G463-G462,0)</f>
        <v>0</v>
      </c>
      <c r="H461" s="99">
        <f t="shared" si="449"/>
        <v>0</v>
      </c>
      <c r="I461" s="99"/>
      <c r="J461" s="99">
        <f t="shared" ref="J461:R461" si="450">MIN(J463-J462,0)</f>
        <v>0</v>
      </c>
      <c r="K461" s="99">
        <f t="shared" si="450"/>
        <v>0</v>
      </c>
      <c r="L461" s="99">
        <f t="shared" si="450"/>
        <v>0</v>
      </c>
      <c r="M461" s="99">
        <f t="shared" si="450"/>
        <v>0</v>
      </c>
      <c r="N461" s="99">
        <f t="shared" si="450"/>
        <v>0</v>
      </c>
      <c r="O461" s="99">
        <f t="shared" si="450"/>
        <v>0</v>
      </c>
      <c r="P461" s="99">
        <f t="shared" si="450"/>
        <v>0</v>
      </c>
      <c r="Q461" s="99">
        <f t="shared" si="450"/>
        <v>0</v>
      </c>
      <c r="R461" s="99">
        <f t="shared" si="450"/>
        <v>0</v>
      </c>
      <c r="AT461" s="308">
        <f t="shared" ref="AT461:BG461" si="451">MIN(AT463-AT462,0)</f>
        <v>0</v>
      </c>
      <c r="AU461" s="308">
        <f t="shared" si="451"/>
        <v>0</v>
      </c>
      <c r="AV461" s="308">
        <f t="shared" si="451"/>
        <v>0</v>
      </c>
      <c r="AW461" s="308">
        <f t="shared" si="451"/>
        <v>0</v>
      </c>
      <c r="AX461" s="308">
        <f t="shared" si="451"/>
        <v>0</v>
      </c>
      <c r="AY461" s="308">
        <f t="shared" si="451"/>
        <v>0</v>
      </c>
      <c r="AZ461" s="308">
        <f t="shared" si="451"/>
        <v>0</v>
      </c>
      <c r="BA461" s="308">
        <f t="shared" si="451"/>
        <v>0</v>
      </c>
      <c r="BB461" s="308">
        <f t="shared" si="451"/>
        <v>0</v>
      </c>
      <c r="BC461" s="308">
        <f t="shared" si="451"/>
        <v>0</v>
      </c>
      <c r="BD461" s="308">
        <f t="shared" si="451"/>
        <v>0</v>
      </c>
      <c r="BE461" s="308">
        <f t="shared" si="451"/>
        <v>0</v>
      </c>
      <c r="BF461" s="308">
        <f t="shared" si="451"/>
        <v>0</v>
      </c>
      <c r="BG461" s="308">
        <f t="shared" si="451"/>
        <v>0</v>
      </c>
    </row>
    <row r="462" ht="12.75" customHeight="1" outlineLevel="1">
      <c r="A462" s="90"/>
      <c r="B462" s="90"/>
      <c r="C462" s="90"/>
      <c r="D462" s="90" t="s">
        <v>489</v>
      </c>
      <c r="E462" s="90"/>
      <c r="F462" s="90"/>
      <c r="G462" s="99">
        <f t="shared" ref="G462:H462" si="452">-G458*G253</f>
        <v>0</v>
      </c>
      <c r="H462" s="99">
        <f t="shared" si="452"/>
        <v>0</v>
      </c>
      <c r="I462" s="99">
        <v>0.0</v>
      </c>
      <c r="J462" s="99">
        <v>0.0</v>
      </c>
      <c r="K462" s="99">
        <v>0.0</v>
      </c>
      <c r="L462" s="99">
        <v>0.0</v>
      </c>
      <c r="M462" s="99">
        <v>0.0</v>
      </c>
      <c r="N462" s="99">
        <v>0.0</v>
      </c>
      <c r="O462" s="99">
        <v>0.0</v>
      </c>
      <c r="P462" s="99">
        <v>0.0</v>
      </c>
      <c r="Q462" s="99">
        <v>0.0</v>
      </c>
      <c r="R462" s="99">
        <v>0.0</v>
      </c>
      <c r="AT462" s="308">
        <f t="shared" ref="AT462:BG462" si="453">-AT458*AT253</f>
        <v>0</v>
      </c>
      <c r="AU462" s="308">
        <f t="shared" si="453"/>
        <v>0</v>
      </c>
      <c r="AV462" s="308">
        <f t="shared" si="453"/>
        <v>0</v>
      </c>
      <c r="AW462" s="308">
        <f t="shared" si="453"/>
        <v>0</v>
      </c>
      <c r="AX462" s="308">
        <f t="shared" si="453"/>
        <v>0</v>
      </c>
      <c r="AY462" s="308">
        <f t="shared" si="453"/>
        <v>0</v>
      </c>
      <c r="AZ462" s="308">
        <f t="shared" si="453"/>
        <v>0</v>
      </c>
      <c r="BA462" s="308">
        <f t="shared" si="453"/>
        <v>0</v>
      </c>
      <c r="BB462" s="308">
        <f t="shared" si="453"/>
        <v>0</v>
      </c>
      <c r="BC462" s="308">
        <f t="shared" si="453"/>
        <v>0</v>
      </c>
      <c r="BD462" s="308">
        <f t="shared" si="453"/>
        <v>0</v>
      </c>
      <c r="BE462" s="308">
        <f t="shared" si="453"/>
        <v>0</v>
      </c>
      <c r="BF462" s="308">
        <f t="shared" si="453"/>
        <v>0</v>
      </c>
      <c r="BG462" s="308">
        <f t="shared" si="453"/>
        <v>0</v>
      </c>
    </row>
    <row r="463" ht="12.75" customHeight="1" outlineLevel="1">
      <c r="A463" s="90"/>
      <c r="B463" s="90"/>
      <c r="C463" s="148" t="s">
        <v>490</v>
      </c>
      <c r="D463" s="148"/>
      <c r="E463" s="148"/>
      <c r="F463" s="148"/>
      <c r="G463" s="150">
        <v>0.0</v>
      </c>
      <c r="H463" s="150">
        <v>0.0</v>
      </c>
      <c r="I463" s="150">
        <v>0.0</v>
      </c>
      <c r="J463" s="150">
        <v>0.0</v>
      </c>
      <c r="K463" s="150">
        <v>0.0</v>
      </c>
      <c r="L463" s="150">
        <v>0.0</v>
      </c>
      <c r="M463" s="150">
        <v>0.0</v>
      </c>
      <c r="N463" s="150">
        <v>0.0</v>
      </c>
      <c r="O463" s="150">
        <v>0.0</v>
      </c>
      <c r="P463" s="150">
        <v>0.0</v>
      </c>
      <c r="Q463" s="150">
        <v>0.0</v>
      </c>
      <c r="R463" s="150">
        <v>0.0</v>
      </c>
      <c r="AT463" s="386">
        <v>0.0</v>
      </c>
      <c r="AU463" s="386">
        <v>0.0</v>
      </c>
      <c r="AV463" s="386">
        <v>0.0</v>
      </c>
      <c r="AW463" s="386">
        <v>0.0</v>
      </c>
      <c r="AX463" s="386">
        <v>0.0</v>
      </c>
      <c r="AY463" s="386">
        <v>0.0</v>
      </c>
      <c r="AZ463" s="386">
        <v>0.0</v>
      </c>
      <c r="BA463" s="386">
        <v>0.0</v>
      </c>
      <c r="BB463" s="386">
        <v>0.0</v>
      </c>
      <c r="BC463" s="386">
        <v>0.0</v>
      </c>
      <c r="BD463" s="386">
        <v>0.0</v>
      </c>
      <c r="BE463" s="386">
        <v>0.0</v>
      </c>
      <c r="BF463" s="386">
        <v>0.0</v>
      </c>
      <c r="BG463" s="386">
        <v>0.0</v>
      </c>
    </row>
    <row r="464" ht="12.75" customHeight="1" outlineLevel="1">
      <c r="A464" s="393"/>
      <c r="B464" s="90"/>
      <c r="C464" s="90" t="s">
        <v>850</v>
      </c>
      <c r="D464" s="90"/>
      <c r="E464" s="90"/>
      <c r="F464" s="90"/>
      <c r="G464" s="397">
        <v>0.0</v>
      </c>
      <c r="H464" s="397">
        <f t="shared" ref="H464:J464" si="454">IF(G465=0,0,IF(H406+H411+SUM(H415:H416,H418:H422,H424,H427)+H459&gt;H453/4,MAX(-G465,-(H406+H411+SUM(H415:H416,H418:H422,H424,H427+H459)-H453/4)),0))</f>
        <v>0</v>
      </c>
      <c r="I464" s="397">
        <f t="shared" si="454"/>
        <v>0</v>
      </c>
      <c r="J464" s="397">
        <f t="shared" si="454"/>
        <v>0</v>
      </c>
      <c r="K464" s="397">
        <v>0.0</v>
      </c>
      <c r="L464" s="397">
        <f t="shared" ref="L464:Q464" si="455">IF(K465=0,0,IF(L406+L411+SUM(L415:L416,L418:L422,L424,L427)+L459&gt;L453/4,MAX(-K465,-(L406+L411+SUM(L415:L416,L418:L422,L424,L427+L459)-L453/4)),0))</f>
        <v>0</v>
      </c>
      <c r="M464" s="397">
        <f t="shared" si="455"/>
        <v>0</v>
      </c>
      <c r="N464" s="397">
        <f t="shared" si="455"/>
        <v>0</v>
      </c>
      <c r="O464" s="397">
        <f t="shared" si="455"/>
        <v>-154232.1687</v>
      </c>
      <c r="P464" s="397">
        <f t="shared" si="455"/>
        <v>-4456.92162</v>
      </c>
      <c r="Q464" s="397">
        <f t="shared" si="455"/>
        <v>-2100.00102</v>
      </c>
      <c r="R464" s="397">
        <f>IF(Q465=0,0,IF(R406+R411+SUM(R415:R416,R418:R422,R424,R427)+R459&gt;R453/4,-(R406+R411+SUM(R415:R416,R418:R422,R424,R427+R459)-R453/4),0))</f>
        <v>-1941.74196</v>
      </c>
      <c r="AT464" s="398">
        <f t="shared" ref="AT464:BG464" si="456">+IF(AT458+AT459+AT463=0,0,IF($A$464="N",0,IF(#REF!&gt;0,-MIN(SUM(AT458:AT463),#REF!),0)))</f>
        <v>0</v>
      </c>
      <c r="AU464" s="398">
        <f t="shared" si="456"/>
        <v>0</v>
      </c>
      <c r="AV464" s="398">
        <f t="shared" si="456"/>
        <v>0</v>
      </c>
      <c r="AW464" s="398">
        <f t="shared" si="456"/>
        <v>0</v>
      </c>
      <c r="AX464" s="398">
        <f t="shared" si="456"/>
        <v>0</v>
      </c>
      <c r="AY464" s="398">
        <f t="shared" si="456"/>
        <v>0</v>
      </c>
      <c r="AZ464" s="398">
        <f t="shared" si="456"/>
        <v>0</v>
      </c>
      <c r="BA464" s="398">
        <f t="shared" si="456"/>
        <v>0</v>
      </c>
      <c r="BB464" s="398">
        <f t="shared" si="456"/>
        <v>0</v>
      </c>
      <c r="BC464" s="398">
        <f t="shared" si="456"/>
        <v>0</v>
      </c>
      <c r="BD464" s="398">
        <f t="shared" si="456"/>
        <v>0</v>
      </c>
      <c r="BE464" s="398">
        <f t="shared" si="456"/>
        <v>0</v>
      </c>
      <c r="BF464" s="398">
        <f t="shared" si="456"/>
        <v>0</v>
      </c>
      <c r="BG464" s="398">
        <f t="shared" si="456"/>
        <v>0</v>
      </c>
    </row>
    <row r="465" ht="12.75" customHeight="1" outlineLevel="1">
      <c r="A465" s="90"/>
      <c r="B465" s="90"/>
      <c r="C465" s="148" t="s">
        <v>491</v>
      </c>
      <c r="D465" s="148"/>
      <c r="E465" s="148"/>
      <c r="F465" s="148"/>
      <c r="G465" s="150">
        <f t="shared" ref="G465:R465" si="457">SUM(G458:G464)</f>
        <v>0</v>
      </c>
      <c r="H465" s="150">
        <f t="shared" si="457"/>
        <v>0</v>
      </c>
      <c r="I465" s="150">
        <f t="shared" si="457"/>
        <v>0</v>
      </c>
      <c r="J465" s="150">
        <f t="shared" si="457"/>
        <v>0</v>
      </c>
      <c r="K465" s="150">
        <f t="shared" si="457"/>
        <v>177051.6847</v>
      </c>
      <c r="L465" s="150">
        <f t="shared" si="457"/>
        <v>177051.6847</v>
      </c>
      <c r="M465" s="150">
        <f t="shared" si="457"/>
        <v>177051.6847</v>
      </c>
      <c r="N465" s="150">
        <f t="shared" si="457"/>
        <v>177051.6847</v>
      </c>
      <c r="O465" s="150">
        <f t="shared" si="457"/>
        <v>22819.51606</v>
      </c>
      <c r="P465" s="150">
        <f t="shared" si="457"/>
        <v>18362.59444</v>
      </c>
      <c r="Q465" s="150">
        <f t="shared" si="457"/>
        <v>16262.59342</v>
      </c>
      <c r="R465" s="150">
        <f t="shared" si="457"/>
        <v>14320.85146</v>
      </c>
      <c r="AT465" s="386">
        <v>0.0</v>
      </c>
      <c r="AU465" s="386">
        <v>0.0</v>
      </c>
      <c r="AV465" s="386">
        <v>0.0</v>
      </c>
      <c r="AW465" s="386">
        <v>0.0</v>
      </c>
      <c r="AX465" s="386">
        <v>0.0</v>
      </c>
      <c r="AY465" s="386">
        <v>0.0</v>
      </c>
      <c r="AZ465" s="386">
        <v>0.0</v>
      </c>
      <c r="BA465" s="386">
        <v>0.0</v>
      </c>
      <c r="BB465" s="386">
        <v>0.0</v>
      </c>
      <c r="BC465" s="386">
        <v>0.0</v>
      </c>
      <c r="BD465" s="386">
        <v>0.0</v>
      </c>
      <c r="BE465" s="386">
        <v>0.0</v>
      </c>
      <c r="BF465" s="386">
        <v>0.0</v>
      </c>
      <c r="BG465" s="386">
        <v>0.0</v>
      </c>
    </row>
    <row r="466" ht="12.75" customHeight="1" outlineLevel="1">
      <c r="A466" s="90"/>
      <c r="B466" s="90"/>
      <c r="C466" s="90"/>
      <c r="D466" s="90"/>
      <c r="E466" s="90"/>
      <c r="F466" s="90"/>
      <c r="G466" s="90"/>
      <c r="H466" s="90"/>
      <c r="I466" s="90"/>
      <c r="J466" s="90"/>
      <c r="K466" s="90"/>
      <c r="L466" s="90"/>
      <c r="M466" s="90"/>
      <c r="N466" s="90"/>
      <c r="O466" s="90"/>
      <c r="P466" s="90"/>
      <c r="Q466" s="90"/>
      <c r="R466" s="90"/>
      <c r="AT466" s="313"/>
      <c r="AU466" s="313"/>
      <c r="AV466" s="313"/>
      <c r="AW466" s="313"/>
      <c r="AX466" s="313"/>
      <c r="AY466" s="313"/>
      <c r="AZ466" s="313"/>
      <c r="BA466" s="313"/>
      <c r="BB466" s="313"/>
      <c r="BC466" s="313"/>
      <c r="BD466" s="313"/>
      <c r="BE466" s="313"/>
      <c r="BF466" s="313"/>
      <c r="BG466" s="313"/>
    </row>
    <row r="467" ht="12.75" customHeight="1" outlineLevel="1">
      <c r="A467" s="90"/>
      <c r="B467" s="67" t="s">
        <v>494</v>
      </c>
      <c r="C467" s="90"/>
      <c r="D467" s="90"/>
      <c r="E467" s="90"/>
      <c r="F467" s="90"/>
      <c r="G467" s="99">
        <f t="shared" ref="G467:R467" si="458">+G465+G451+G441</f>
        <v>0</v>
      </c>
      <c r="H467" s="99">
        <f t="shared" si="458"/>
        <v>250000</v>
      </c>
      <c r="I467" s="99">
        <f t="shared" si="458"/>
        <v>488677.284</v>
      </c>
      <c r="J467" s="99">
        <f t="shared" si="458"/>
        <v>474595.8097</v>
      </c>
      <c r="K467" s="99">
        <f t="shared" si="458"/>
        <v>614530.6829</v>
      </c>
      <c r="L467" s="99">
        <f t="shared" si="458"/>
        <v>565398.8229</v>
      </c>
      <c r="M467" s="99">
        <f t="shared" si="458"/>
        <v>514654.7029</v>
      </c>
      <c r="N467" s="99">
        <f t="shared" si="458"/>
        <v>513972.5929</v>
      </c>
      <c r="O467" s="99">
        <f t="shared" si="458"/>
        <v>359089.3193</v>
      </c>
      <c r="P467" s="99">
        <f t="shared" si="458"/>
        <v>353981.2926</v>
      </c>
      <c r="Q467" s="99">
        <f t="shared" si="458"/>
        <v>351540.2366</v>
      </c>
      <c r="R467" s="99">
        <f t="shared" si="458"/>
        <v>349598.4947</v>
      </c>
      <c r="AT467" s="308">
        <f t="shared" ref="AT467:BG467" si="459">+AT465+AT451+AT441</f>
        <v>0</v>
      </c>
      <c r="AU467" s="308">
        <f t="shared" si="459"/>
        <v>0</v>
      </c>
      <c r="AV467" s="308">
        <f t="shared" si="459"/>
        <v>0</v>
      </c>
      <c r="AW467" s="308">
        <f t="shared" si="459"/>
        <v>0</v>
      </c>
      <c r="AX467" s="308">
        <f t="shared" si="459"/>
        <v>0</v>
      </c>
      <c r="AY467" s="308">
        <f t="shared" si="459"/>
        <v>0</v>
      </c>
      <c r="AZ467" s="308">
        <f t="shared" si="459"/>
        <v>0</v>
      </c>
      <c r="BA467" s="308">
        <f t="shared" si="459"/>
        <v>0</v>
      </c>
      <c r="BB467" s="308">
        <f t="shared" si="459"/>
        <v>0</v>
      </c>
      <c r="BC467" s="308">
        <f t="shared" si="459"/>
        <v>0</v>
      </c>
      <c r="BD467" s="308">
        <f t="shared" si="459"/>
        <v>0</v>
      </c>
      <c r="BE467" s="308">
        <f t="shared" si="459"/>
        <v>0</v>
      </c>
      <c r="BF467" s="308">
        <f t="shared" si="459"/>
        <v>0</v>
      </c>
      <c r="BG467" s="308">
        <f t="shared" si="459"/>
        <v>0</v>
      </c>
    </row>
    <row r="468" ht="12.75" customHeight="1" outlineLevel="1">
      <c r="A468" s="90"/>
      <c r="B468" s="90"/>
      <c r="C468" s="90"/>
      <c r="D468" s="90"/>
      <c r="E468" s="90"/>
      <c r="F468" s="90"/>
      <c r="G468" s="90"/>
      <c r="H468" s="90"/>
      <c r="I468" s="90"/>
      <c r="J468" s="90"/>
      <c r="K468" s="90"/>
      <c r="L468" s="90"/>
      <c r="M468" s="90"/>
      <c r="N468" s="90"/>
      <c r="O468" s="90"/>
      <c r="P468" s="90"/>
      <c r="Q468" s="90"/>
      <c r="R468" s="90"/>
      <c r="AT468" s="313"/>
      <c r="AU468" s="313"/>
      <c r="AV468" s="313"/>
      <c r="AW468" s="313"/>
      <c r="AX468" s="313"/>
      <c r="AY468" s="313"/>
      <c r="AZ468" s="313"/>
      <c r="BA468" s="313"/>
      <c r="BB468" s="313"/>
      <c r="BC468" s="313"/>
      <c r="BD468" s="313"/>
      <c r="BE468" s="313"/>
      <c r="BF468" s="313"/>
      <c r="BG468" s="313"/>
    </row>
    <row r="469" ht="12.75" customHeight="1">
      <c r="A469" s="90"/>
      <c r="B469" s="90"/>
      <c r="C469" s="90"/>
      <c r="D469" s="90"/>
      <c r="E469" s="90"/>
      <c r="F469" s="90"/>
      <c r="G469" s="90"/>
      <c r="H469" s="90"/>
      <c r="I469" s="90"/>
      <c r="J469" s="90"/>
      <c r="K469" s="90"/>
      <c r="L469" s="90"/>
      <c r="M469" s="90"/>
      <c r="N469" s="90"/>
      <c r="O469" s="90"/>
      <c r="P469" s="90"/>
      <c r="Q469" s="90"/>
      <c r="R469" s="90"/>
      <c r="AT469" s="313"/>
      <c r="AU469" s="313"/>
      <c r="AV469" s="313"/>
      <c r="AW469" s="313"/>
      <c r="AX469" s="313"/>
      <c r="AY469" s="313"/>
      <c r="AZ469" s="313"/>
      <c r="BA469" s="313"/>
      <c r="BB469" s="313"/>
      <c r="BC469" s="313"/>
      <c r="BD469" s="313"/>
      <c r="BE469" s="313"/>
      <c r="BF469" s="313"/>
      <c r="BG469" s="313"/>
    </row>
    <row r="470" ht="12.75" customHeight="1">
      <c r="A470" s="106" t="s">
        <v>496</v>
      </c>
      <c r="B470" s="253"/>
      <c r="C470" s="253"/>
      <c r="D470" s="253"/>
      <c r="E470" s="253"/>
      <c r="F470" s="253"/>
      <c r="G470" s="253"/>
      <c r="H470" s="253"/>
      <c r="I470" s="253"/>
      <c r="J470" s="253"/>
      <c r="K470" s="253"/>
      <c r="L470" s="253"/>
      <c r="M470" s="253"/>
      <c r="N470" s="253"/>
      <c r="O470" s="253"/>
      <c r="P470" s="253"/>
      <c r="Q470" s="253"/>
      <c r="R470" s="253"/>
      <c r="AT470" s="314"/>
      <c r="AU470" s="314"/>
      <c r="AV470" s="314"/>
      <c r="AW470" s="314"/>
      <c r="AX470" s="314"/>
      <c r="AY470" s="314"/>
      <c r="AZ470" s="314"/>
      <c r="BA470" s="314"/>
      <c r="BB470" s="314"/>
      <c r="BC470" s="314"/>
      <c r="BD470" s="314"/>
      <c r="BE470" s="314"/>
      <c r="BF470" s="314"/>
      <c r="BG470" s="314"/>
    </row>
    <row r="471" ht="12.75" customHeight="1" outlineLevel="1">
      <c r="A471" s="90"/>
      <c r="B471" s="90"/>
      <c r="C471" s="90"/>
      <c r="D471" s="90"/>
      <c r="E471" s="90"/>
      <c r="F471" s="90"/>
      <c r="G471" s="90"/>
      <c r="H471" s="90"/>
      <c r="I471" s="90"/>
      <c r="J471" s="90"/>
      <c r="K471" s="90"/>
      <c r="L471" s="90"/>
      <c r="M471" s="90"/>
      <c r="N471" s="90"/>
      <c r="O471" s="90"/>
      <c r="P471" s="90"/>
      <c r="Q471" s="90"/>
      <c r="R471" s="90"/>
      <c r="AT471" s="313"/>
      <c r="AU471" s="313"/>
      <c r="AV471" s="313"/>
      <c r="AW471" s="313"/>
      <c r="AX471" s="313"/>
      <c r="AY471" s="313"/>
      <c r="AZ471" s="313"/>
      <c r="BA471" s="313"/>
      <c r="BB471" s="313"/>
      <c r="BC471" s="313"/>
      <c r="BD471" s="313"/>
      <c r="BE471" s="313"/>
      <c r="BF471" s="313"/>
      <c r="BG471" s="313"/>
    </row>
    <row r="472" ht="12.75" customHeight="1" outlineLevel="1">
      <c r="A472" s="90"/>
      <c r="B472" s="90" t="s">
        <v>242</v>
      </c>
      <c r="C472" s="90"/>
      <c r="D472" s="90"/>
      <c r="E472" s="90"/>
      <c r="F472" s="90"/>
      <c r="G472" s="90"/>
      <c r="H472" s="90"/>
      <c r="I472" s="90"/>
      <c r="J472" s="90"/>
      <c r="K472" s="90"/>
      <c r="L472" s="90"/>
      <c r="M472" s="90"/>
      <c r="N472" s="90"/>
      <c r="O472" s="90"/>
      <c r="P472" s="90"/>
      <c r="Q472" s="90"/>
      <c r="R472" s="90"/>
      <c r="AT472" s="313"/>
      <c r="AU472" s="313"/>
      <c r="AV472" s="313"/>
      <c r="AW472" s="313"/>
      <c r="AX472" s="313"/>
      <c r="AY472" s="313"/>
      <c r="AZ472" s="313"/>
      <c r="BA472" s="313"/>
      <c r="BB472" s="313"/>
      <c r="BC472" s="313"/>
      <c r="BD472" s="313"/>
      <c r="BE472" s="313"/>
      <c r="BF472" s="313"/>
      <c r="BG472" s="313"/>
    </row>
    <row r="473" ht="12.75" customHeight="1" outlineLevel="1">
      <c r="A473" s="90"/>
      <c r="B473" s="90"/>
      <c r="C473" s="90" t="s">
        <v>243</v>
      </c>
      <c r="D473" s="90"/>
      <c r="E473" s="90"/>
      <c r="F473" s="90"/>
      <c r="G473" s="99">
        <f t="shared" ref="G473:R473" si="460">G428</f>
        <v>0</v>
      </c>
      <c r="H473" s="99">
        <f t="shared" si="460"/>
        <v>73099.97388</v>
      </c>
      <c r="I473" s="99">
        <f t="shared" si="460"/>
        <v>60890.8532</v>
      </c>
      <c r="J473" s="99">
        <f t="shared" si="460"/>
        <v>16724.00694</v>
      </c>
      <c r="K473" s="99">
        <f t="shared" si="460"/>
        <v>142319.7768</v>
      </c>
      <c r="L473" s="99">
        <f t="shared" si="460"/>
        <v>109179.9476</v>
      </c>
      <c r="M473" s="99">
        <f t="shared" si="460"/>
        <v>74320.39835</v>
      </c>
      <c r="N473" s="99">
        <f t="shared" si="460"/>
        <v>87033.3075</v>
      </c>
      <c r="O473" s="99">
        <f t="shared" si="460"/>
        <v>141381.6635</v>
      </c>
      <c r="P473" s="99">
        <f t="shared" si="460"/>
        <v>141281.4935</v>
      </c>
      <c r="Q473" s="99">
        <f t="shared" si="460"/>
        <v>141229.0235</v>
      </c>
      <c r="R473" s="99">
        <f t="shared" si="460"/>
        <v>141229.0235</v>
      </c>
      <c r="AT473" s="308" t="str">
        <f t="shared" ref="AT473:BG473" si="461">AT428</f>
        <v>#REF!</v>
      </c>
      <c r="AU473" s="308" t="str">
        <f t="shared" si="461"/>
        <v>#REF!</v>
      </c>
      <c r="AV473" s="308" t="str">
        <f t="shared" si="461"/>
        <v>#REF!</v>
      </c>
      <c r="AW473" s="308" t="str">
        <f t="shared" si="461"/>
        <v>#REF!</v>
      </c>
      <c r="AX473" s="308" t="str">
        <f t="shared" si="461"/>
        <v>#REF!</v>
      </c>
      <c r="AY473" s="308" t="str">
        <f t="shared" si="461"/>
        <v>#REF!</v>
      </c>
      <c r="AZ473" s="308" t="str">
        <f t="shared" si="461"/>
        <v>#REF!</v>
      </c>
      <c r="BA473" s="308" t="str">
        <f t="shared" si="461"/>
        <v>#REF!</v>
      </c>
      <c r="BB473" s="308" t="str">
        <f t="shared" si="461"/>
        <v>#REF!</v>
      </c>
      <c r="BC473" s="308" t="str">
        <f t="shared" si="461"/>
        <v>#REF!</v>
      </c>
      <c r="BD473" s="308" t="str">
        <f t="shared" si="461"/>
        <v>#REF!</v>
      </c>
      <c r="BE473" s="308" t="str">
        <f t="shared" si="461"/>
        <v>#REF!</v>
      </c>
      <c r="BF473" s="308" t="str">
        <f t="shared" si="461"/>
        <v>#REF!</v>
      </c>
      <c r="BG473" s="308" t="str">
        <f t="shared" si="461"/>
        <v>#REF!</v>
      </c>
    </row>
    <row r="474" ht="12.75" customHeight="1" outlineLevel="1">
      <c r="A474" s="90"/>
      <c r="B474" s="90"/>
      <c r="C474" s="90" t="s">
        <v>499</v>
      </c>
      <c r="D474" s="90"/>
      <c r="E474" s="90"/>
      <c r="F474" s="90"/>
      <c r="G474" s="99">
        <f t="shared" ref="G474:R474" si="462">F474-G409</f>
        <v>0</v>
      </c>
      <c r="H474" s="99">
        <f t="shared" si="462"/>
        <v>200000</v>
      </c>
      <c r="I474" s="99">
        <f t="shared" si="462"/>
        <v>200000</v>
      </c>
      <c r="J474" s="99">
        <f t="shared" si="462"/>
        <v>200000</v>
      </c>
      <c r="K474" s="99">
        <f t="shared" si="462"/>
        <v>200000</v>
      </c>
      <c r="L474" s="99">
        <f t="shared" si="462"/>
        <v>200000</v>
      </c>
      <c r="M474" s="99">
        <f t="shared" si="462"/>
        <v>200000</v>
      </c>
      <c r="N474" s="99">
        <f t="shared" si="462"/>
        <v>200000</v>
      </c>
      <c r="O474" s="99">
        <f t="shared" si="462"/>
        <v>0</v>
      </c>
      <c r="P474" s="99">
        <f t="shared" si="462"/>
        <v>0</v>
      </c>
      <c r="Q474" s="99">
        <f t="shared" si="462"/>
        <v>0</v>
      </c>
      <c r="R474" s="99">
        <f t="shared" si="462"/>
        <v>0</v>
      </c>
      <c r="AT474" s="99">
        <f t="shared" ref="AT474:BG474" si="463">AS474-AT409</f>
        <v>0</v>
      </c>
      <c r="AU474" s="99">
        <f t="shared" si="463"/>
        <v>0</v>
      </c>
      <c r="AV474" s="99">
        <f t="shared" si="463"/>
        <v>0</v>
      </c>
      <c r="AW474" s="99">
        <f t="shared" si="463"/>
        <v>0</v>
      </c>
      <c r="AX474" s="99">
        <f t="shared" si="463"/>
        <v>0</v>
      </c>
      <c r="AY474" s="99">
        <f t="shared" si="463"/>
        <v>0</v>
      </c>
      <c r="AZ474" s="99">
        <f t="shared" si="463"/>
        <v>0</v>
      </c>
      <c r="BA474" s="99">
        <f t="shared" si="463"/>
        <v>0</v>
      </c>
      <c r="BB474" s="99">
        <f t="shared" si="463"/>
        <v>0</v>
      </c>
      <c r="BC474" s="99">
        <f t="shared" si="463"/>
        <v>0</v>
      </c>
      <c r="BD474" s="99">
        <f t="shared" si="463"/>
        <v>0</v>
      </c>
      <c r="BE474" s="99">
        <f t="shared" si="463"/>
        <v>0</v>
      </c>
      <c r="BF474" s="99">
        <f t="shared" si="463"/>
        <v>0</v>
      </c>
      <c r="BG474" s="99">
        <f t="shared" si="463"/>
        <v>0</v>
      </c>
    </row>
    <row r="475" ht="12.75" customHeight="1" outlineLevel="1">
      <c r="A475" s="90"/>
      <c r="B475" s="257">
        <f>Assumptions!H28</f>
        <v>0.15</v>
      </c>
      <c r="C475" s="90" t="s">
        <v>142</v>
      </c>
      <c r="D475" s="90"/>
      <c r="E475" s="90"/>
      <c r="F475" s="90"/>
      <c r="G475" s="99">
        <f>$B$475*(G273+G282)</f>
        <v>0</v>
      </c>
      <c r="H475" s="99">
        <f t="shared" ref="H475:R475" si="464">$B475*H296</f>
        <v>30000</v>
      </c>
      <c r="I475" s="99">
        <f t="shared" si="464"/>
        <v>444118.8984</v>
      </c>
      <c r="J475" s="99">
        <f t="shared" si="464"/>
        <v>499378.1688</v>
      </c>
      <c r="K475" s="99">
        <f t="shared" si="464"/>
        <v>519198.4588</v>
      </c>
      <c r="L475" s="99">
        <f t="shared" si="464"/>
        <v>520534.0588</v>
      </c>
      <c r="M475" s="99">
        <f t="shared" si="464"/>
        <v>519389.2588</v>
      </c>
      <c r="N475" s="99">
        <f t="shared" si="464"/>
        <v>518339.8588</v>
      </c>
      <c r="O475" s="99">
        <f t="shared" si="464"/>
        <v>517338.1588</v>
      </c>
      <c r="P475" s="99">
        <f t="shared" si="464"/>
        <v>516336.4588</v>
      </c>
      <c r="Q475" s="99">
        <f t="shared" si="464"/>
        <v>515811.7588</v>
      </c>
      <c r="R475" s="99">
        <f t="shared" si="464"/>
        <v>515811.7588</v>
      </c>
      <c r="AT475" s="99">
        <f t="shared" ref="AT475:BG475" si="465">$B475*AT296</f>
        <v>0</v>
      </c>
      <c r="AU475" s="99" t="str">
        <f t="shared" si="465"/>
        <v>#REF!</v>
      </c>
      <c r="AV475" s="99" t="str">
        <f t="shared" si="465"/>
        <v>#REF!</v>
      </c>
      <c r="AW475" s="99" t="str">
        <f t="shared" si="465"/>
        <v>#REF!</v>
      </c>
      <c r="AX475" s="99" t="str">
        <f t="shared" si="465"/>
        <v>#REF!</v>
      </c>
      <c r="AY475" s="99" t="str">
        <f t="shared" si="465"/>
        <v>#REF!</v>
      </c>
      <c r="AZ475" s="99" t="str">
        <f t="shared" si="465"/>
        <v>#REF!</v>
      </c>
      <c r="BA475" s="99" t="str">
        <f t="shared" si="465"/>
        <v>#REF!</v>
      </c>
      <c r="BB475" s="99" t="str">
        <f t="shared" si="465"/>
        <v>#REF!</v>
      </c>
      <c r="BC475" s="99" t="str">
        <f t="shared" si="465"/>
        <v>#REF!</v>
      </c>
      <c r="BD475" s="99" t="str">
        <f t="shared" si="465"/>
        <v>#REF!</v>
      </c>
      <c r="BE475" s="99" t="str">
        <f t="shared" si="465"/>
        <v>#REF!</v>
      </c>
      <c r="BF475" s="99" t="str">
        <f t="shared" si="465"/>
        <v>#REF!</v>
      </c>
      <c r="BG475" s="99" t="str">
        <f t="shared" si="465"/>
        <v>#REF!</v>
      </c>
    </row>
    <row r="476" ht="12.75" customHeight="1" outlineLevel="1">
      <c r="A476" s="90"/>
      <c r="B476" s="87"/>
      <c r="C476" s="87" t="s">
        <v>248</v>
      </c>
      <c r="D476" s="87"/>
      <c r="E476" s="87"/>
      <c r="F476" s="87"/>
      <c r="G476" s="125">
        <v>0.0</v>
      </c>
      <c r="H476" s="125">
        <v>0.0</v>
      </c>
      <c r="I476" s="125">
        <v>0.0</v>
      </c>
      <c r="J476" s="125">
        <v>0.0</v>
      </c>
      <c r="K476" s="125">
        <v>0.0</v>
      </c>
      <c r="L476" s="125">
        <v>0.0</v>
      </c>
      <c r="M476" s="125">
        <v>0.0</v>
      </c>
      <c r="N476" s="125">
        <v>0.0</v>
      </c>
      <c r="O476" s="125">
        <v>0.0</v>
      </c>
      <c r="P476" s="125">
        <v>0.0</v>
      </c>
      <c r="Q476" s="125">
        <v>0.0</v>
      </c>
      <c r="R476" s="125">
        <v>0.0</v>
      </c>
      <c r="AT476" s="377">
        <v>0.0</v>
      </c>
      <c r="AU476" s="377">
        <v>0.0</v>
      </c>
      <c r="AV476" s="377">
        <v>0.0</v>
      </c>
      <c r="AW476" s="377">
        <v>0.0</v>
      </c>
      <c r="AX476" s="377">
        <v>0.0</v>
      </c>
      <c r="AY476" s="377">
        <v>0.0</v>
      </c>
      <c r="AZ476" s="377">
        <v>0.0</v>
      </c>
      <c r="BA476" s="377">
        <v>0.0</v>
      </c>
      <c r="BB476" s="377">
        <v>0.0</v>
      </c>
      <c r="BC476" s="377">
        <v>0.0</v>
      </c>
      <c r="BD476" s="377">
        <v>0.0</v>
      </c>
      <c r="BE476" s="377">
        <v>0.0</v>
      </c>
      <c r="BF476" s="377">
        <v>0.0</v>
      </c>
      <c r="BG476" s="377">
        <v>0.0</v>
      </c>
    </row>
    <row r="477" ht="12.75" customHeight="1" outlineLevel="1">
      <c r="A477" s="90"/>
      <c r="B477" s="90" t="s">
        <v>249</v>
      </c>
      <c r="C477" s="90"/>
      <c r="D477" s="90"/>
      <c r="E477" s="90"/>
      <c r="F477" s="90"/>
      <c r="G477" s="99">
        <f t="shared" ref="G477:R477" si="466">SUM(G473:G476)</f>
        <v>0</v>
      </c>
      <c r="H477" s="99">
        <f t="shared" si="466"/>
        <v>303099.9739</v>
      </c>
      <c r="I477" s="99">
        <f t="shared" si="466"/>
        <v>705009.7516</v>
      </c>
      <c r="J477" s="99">
        <f t="shared" si="466"/>
        <v>716102.1757</v>
      </c>
      <c r="K477" s="99">
        <f t="shared" si="466"/>
        <v>861518.2356</v>
      </c>
      <c r="L477" s="99">
        <f t="shared" si="466"/>
        <v>829714.0063</v>
      </c>
      <c r="M477" s="99">
        <f t="shared" si="466"/>
        <v>793709.6571</v>
      </c>
      <c r="N477" s="99">
        <f t="shared" si="466"/>
        <v>805373.1663</v>
      </c>
      <c r="O477" s="99">
        <f t="shared" si="466"/>
        <v>658719.8222</v>
      </c>
      <c r="P477" s="99">
        <f t="shared" si="466"/>
        <v>657617.9522</v>
      </c>
      <c r="Q477" s="99">
        <f t="shared" si="466"/>
        <v>657040.7822</v>
      </c>
      <c r="R477" s="99">
        <f t="shared" si="466"/>
        <v>657040.7822</v>
      </c>
      <c r="AT477" s="308" t="str">
        <f t="shared" ref="AT477:BG477" si="467">SUM(AT473:AT476)</f>
        <v>#REF!</v>
      </c>
      <c r="AU477" s="308" t="str">
        <f t="shared" si="467"/>
        <v>#REF!</v>
      </c>
      <c r="AV477" s="308" t="str">
        <f t="shared" si="467"/>
        <v>#REF!</v>
      </c>
      <c r="AW477" s="308" t="str">
        <f t="shared" si="467"/>
        <v>#REF!</v>
      </c>
      <c r="AX477" s="308" t="str">
        <f t="shared" si="467"/>
        <v>#REF!</v>
      </c>
      <c r="AY477" s="308" t="str">
        <f t="shared" si="467"/>
        <v>#REF!</v>
      </c>
      <c r="AZ477" s="308" t="str">
        <f t="shared" si="467"/>
        <v>#REF!</v>
      </c>
      <c r="BA477" s="308" t="str">
        <f t="shared" si="467"/>
        <v>#REF!</v>
      </c>
      <c r="BB477" s="308" t="str">
        <f t="shared" si="467"/>
        <v>#REF!</v>
      </c>
      <c r="BC477" s="308" t="str">
        <f t="shared" si="467"/>
        <v>#REF!</v>
      </c>
      <c r="BD477" s="308" t="str">
        <f t="shared" si="467"/>
        <v>#REF!</v>
      </c>
      <c r="BE477" s="308" t="str">
        <f t="shared" si="467"/>
        <v>#REF!</v>
      </c>
      <c r="BF477" s="308" t="str">
        <f t="shared" si="467"/>
        <v>#REF!</v>
      </c>
      <c r="BG477" s="308" t="str">
        <f t="shared" si="467"/>
        <v>#REF!</v>
      </c>
    </row>
    <row r="478" ht="12.75" customHeight="1" outlineLevel="1">
      <c r="A478" s="90"/>
      <c r="B478" s="90"/>
      <c r="C478" s="90"/>
      <c r="D478" s="90"/>
      <c r="E478" s="90"/>
      <c r="F478" s="90"/>
      <c r="G478" s="99"/>
      <c r="H478" s="99"/>
      <c r="I478" s="99"/>
      <c r="J478" s="99"/>
      <c r="K478" s="99"/>
      <c r="L478" s="99"/>
      <c r="M478" s="99"/>
      <c r="N478" s="99"/>
      <c r="O478" s="99"/>
      <c r="P478" s="99"/>
      <c r="Q478" s="99"/>
      <c r="R478" s="99"/>
      <c r="AT478" s="308"/>
      <c r="AU478" s="308"/>
      <c r="AV478" s="308"/>
      <c r="AW478" s="308"/>
      <c r="AX478" s="308"/>
      <c r="AY478" s="308"/>
      <c r="AZ478" s="308"/>
      <c r="BA478" s="308"/>
      <c r="BB478" s="308"/>
      <c r="BC478" s="308"/>
      <c r="BD478" s="308"/>
      <c r="BE478" s="308"/>
      <c r="BF478" s="308"/>
      <c r="BG478" s="308"/>
    </row>
    <row r="479" ht="12.75" customHeight="1" outlineLevel="1">
      <c r="A479" s="90"/>
      <c r="B479" s="90" t="s">
        <v>250</v>
      </c>
      <c r="C479" s="90"/>
      <c r="D479" s="90"/>
      <c r="E479" s="90"/>
      <c r="F479" s="90"/>
      <c r="G479" s="99"/>
      <c r="H479" s="99"/>
      <c r="I479" s="99"/>
      <c r="J479" s="99"/>
      <c r="K479" s="99"/>
      <c r="L479" s="99"/>
      <c r="M479" s="99"/>
      <c r="N479" s="99"/>
      <c r="O479" s="99"/>
      <c r="P479" s="99"/>
      <c r="Q479" s="99"/>
      <c r="R479" s="99"/>
      <c r="AT479" s="308"/>
      <c r="AU479" s="308"/>
      <c r="AV479" s="308"/>
      <c r="AW479" s="308"/>
      <c r="AX479" s="308"/>
      <c r="AY479" s="308"/>
      <c r="AZ479" s="308"/>
      <c r="BA479" s="308"/>
      <c r="BB479" s="308"/>
      <c r="BC479" s="308"/>
      <c r="BD479" s="308"/>
      <c r="BE479" s="308"/>
      <c r="BF479" s="308"/>
      <c r="BG479" s="308"/>
    </row>
    <row r="480" ht="12.75" customHeight="1" outlineLevel="1">
      <c r="A480" s="90"/>
      <c r="B480" s="257">
        <f>Assumptions!H29</f>
        <v>0.05</v>
      </c>
      <c r="C480" s="90" t="s">
        <v>145</v>
      </c>
      <c r="D480" s="90"/>
      <c r="E480" s="90"/>
      <c r="F480" s="90"/>
      <c r="G480" s="99">
        <v>0.0</v>
      </c>
      <c r="H480" s="99">
        <f t="shared" ref="H480:R480" si="468">$B$480*H395</f>
        <v>7731.580322</v>
      </c>
      <c r="I480" s="99">
        <f t="shared" si="468"/>
        <v>146833.0833</v>
      </c>
      <c r="J480" s="99">
        <f t="shared" si="468"/>
        <v>166167.4111</v>
      </c>
      <c r="K480" s="99">
        <f t="shared" si="468"/>
        <v>173140.7611</v>
      </c>
      <c r="L480" s="99">
        <f t="shared" si="468"/>
        <v>172618.8772</v>
      </c>
      <c r="M480" s="99">
        <f t="shared" si="468"/>
        <v>172380.8637</v>
      </c>
      <c r="N480" s="99">
        <f t="shared" si="468"/>
        <v>172151.1882</v>
      </c>
      <c r="O480" s="99">
        <f t="shared" si="468"/>
        <v>172028.4179</v>
      </c>
      <c r="P480" s="99">
        <f t="shared" si="468"/>
        <v>171905.7097</v>
      </c>
      <c r="Q480" s="99">
        <f t="shared" si="468"/>
        <v>171840.8138</v>
      </c>
      <c r="R480" s="99">
        <f t="shared" si="468"/>
        <v>171840.1317</v>
      </c>
      <c r="AT480" s="308" t="str">
        <f t="shared" ref="AT480:BG480" si="469">$B$480*AT395</f>
        <v>#REF!</v>
      </c>
      <c r="AU480" s="308" t="str">
        <f t="shared" si="469"/>
        <v>#REF!</v>
      </c>
      <c r="AV480" s="308" t="str">
        <f t="shared" si="469"/>
        <v>#REF!</v>
      </c>
      <c r="AW480" s="308" t="str">
        <f t="shared" si="469"/>
        <v>#REF!</v>
      </c>
      <c r="AX480" s="308" t="str">
        <f t="shared" si="469"/>
        <v>#REF!</v>
      </c>
      <c r="AY480" s="308" t="str">
        <f t="shared" si="469"/>
        <v>#REF!</v>
      </c>
      <c r="AZ480" s="308" t="str">
        <f t="shared" si="469"/>
        <v>#REF!</v>
      </c>
      <c r="BA480" s="308" t="str">
        <f t="shared" si="469"/>
        <v>#REF!</v>
      </c>
      <c r="BB480" s="308" t="str">
        <f t="shared" si="469"/>
        <v>#REF!</v>
      </c>
      <c r="BC480" s="308" t="str">
        <f t="shared" si="469"/>
        <v>#REF!</v>
      </c>
      <c r="BD480" s="308" t="str">
        <f t="shared" si="469"/>
        <v>#REF!</v>
      </c>
      <c r="BE480" s="308" t="str">
        <f t="shared" si="469"/>
        <v>#REF!</v>
      </c>
      <c r="BF480" s="308" t="str">
        <f t="shared" si="469"/>
        <v>#REF!</v>
      </c>
      <c r="BG480" s="308" t="str">
        <f t="shared" si="469"/>
        <v>#REF!</v>
      </c>
    </row>
    <row r="481" ht="12.75" customHeight="1" outlineLevel="1">
      <c r="A481" s="90"/>
      <c r="B481" s="90"/>
      <c r="C481" s="90" t="s">
        <v>251</v>
      </c>
      <c r="D481" s="90"/>
      <c r="E481" s="90"/>
      <c r="F481" s="90"/>
      <c r="G481" s="99">
        <f t="shared" ref="G481:R481" si="470">G467</f>
        <v>0</v>
      </c>
      <c r="H481" s="99">
        <f t="shared" si="470"/>
        <v>250000</v>
      </c>
      <c r="I481" s="99">
        <f t="shared" si="470"/>
        <v>488677.284</v>
      </c>
      <c r="J481" s="99">
        <f t="shared" si="470"/>
        <v>474595.8097</v>
      </c>
      <c r="K481" s="99">
        <f t="shared" si="470"/>
        <v>614530.6829</v>
      </c>
      <c r="L481" s="99">
        <f t="shared" si="470"/>
        <v>565398.8229</v>
      </c>
      <c r="M481" s="99">
        <f t="shared" si="470"/>
        <v>514654.7029</v>
      </c>
      <c r="N481" s="99">
        <f t="shared" si="470"/>
        <v>513972.5929</v>
      </c>
      <c r="O481" s="99">
        <f t="shared" si="470"/>
        <v>359089.3193</v>
      </c>
      <c r="P481" s="99">
        <f t="shared" si="470"/>
        <v>353981.2926</v>
      </c>
      <c r="Q481" s="99">
        <f t="shared" si="470"/>
        <v>351540.2366</v>
      </c>
      <c r="R481" s="99">
        <f t="shared" si="470"/>
        <v>349598.4947</v>
      </c>
      <c r="AT481" s="308">
        <f t="shared" ref="AT481:BG481" si="471">AT467</f>
        <v>0</v>
      </c>
      <c r="AU481" s="308">
        <f t="shared" si="471"/>
        <v>0</v>
      </c>
      <c r="AV481" s="308">
        <f t="shared" si="471"/>
        <v>0</v>
      </c>
      <c r="AW481" s="308">
        <f t="shared" si="471"/>
        <v>0</v>
      </c>
      <c r="AX481" s="308">
        <f t="shared" si="471"/>
        <v>0</v>
      </c>
      <c r="AY481" s="308">
        <f t="shared" si="471"/>
        <v>0</v>
      </c>
      <c r="AZ481" s="308">
        <f t="shared" si="471"/>
        <v>0</v>
      </c>
      <c r="BA481" s="308">
        <f t="shared" si="471"/>
        <v>0</v>
      </c>
      <c r="BB481" s="308">
        <f t="shared" si="471"/>
        <v>0</v>
      </c>
      <c r="BC481" s="308">
        <f t="shared" si="471"/>
        <v>0</v>
      </c>
      <c r="BD481" s="308">
        <f t="shared" si="471"/>
        <v>0</v>
      </c>
      <c r="BE481" s="308">
        <f t="shared" si="471"/>
        <v>0</v>
      </c>
      <c r="BF481" s="308">
        <f t="shared" si="471"/>
        <v>0</v>
      </c>
      <c r="BG481" s="308">
        <f t="shared" si="471"/>
        <v>0</v>
      </c>
    </row>
    <row r="482" ht="12.75" customHeight="1" outlineLevel="1">
      <c r="A482" s="90"/>
      <c r="B482" s="87"/>
      <c r="C482" s="87" t="s">
        <v>253</v>
      </c>
      <c r="D482" s="87"/>
      <c r="E482" s="87"/>
      <c r="F482" s="87"/>
      <c r="G482" s="125">
        <f>G397</f>
        <v>0</v>
      </c>
      <c r="H482" s="125">
        <f t="shared" ref="H482:R482" si="472">G482+H397</f>
        <v>45368.39356</v>
      </c>
      <c r="I482" s="125">
        <f t="shared" si="472"/>
        <v>69499.38438</v>
      </c>
      <c r="J482" s="125">
        <f t="shared" si="472"/>
        <v>75338.95495</v>
      </c>
      <c r="K482" s="125">
        <f t="shared" si="472"/>
        <v>73846.79156</v>
      </c>
      <c r="L482" s="125">
        <f t="shared" si="472"/>
        <v>91696.30623</v>
      </c>
      <c r="M482" s="125">
        <f t="shared" si="472"/>
        <v>106674.0905</v>
      </c>
      <c r="N482" s="125">
        <f t="shared" si="472"/>
        <v>119249.3852</v>
      </c>
      <c r="O482" s="125">
        <f t="shared" si="472"/>
        <v>127602.085</v>
      </c>
      <c r="P482" s="125">
        <f t="shared" si="472"/>
        <v>131730.9499</v>
      </c>
      <c r="Q482" s="125">
        <f t="shared" si="472"/>
        <v>133659.7318</v>
      </c>
      <c r="R482" s="125">
        <f t="shared" si="472"/>
        <v>135602.1559</v>
      </c>
      <c r="AT482" s="125" t="str">
        <f t="shared" ref="AT482:BG482" si="473">AS482+AT397</f>
        <v>#REF!</v>
      </c>
      <c r="AU482" s="125" t="str">
        <f t="shared" si="473"/>
        <v>#REF!</v>
      </c>
      <c r="AV482" s="125" t="str">
        <f t="shared" si="473"/>
        <v>#REF!</v>
      </c>
      <c r="AW482" s="125" t="str">
        <f t="shared" si="473"/>
        <v>#REF!</v>
      </c>
      <c r="AX482" s="125" t="str">
        <f t="shared" si="473"/>
        <v>#REF!</v>
      </c>
      <c r="AY482" s="125" t="str">
        <f t="shared" si="473"/>
        <v>#REF!</v>
      </c>
      <c r="AZ482" s="125" t="str">
        <f t="shared" si="473"/>
        <v>#REF!</v>
      </c>
      <c r="BA482" s="125" t="str">
        <f t="shared" si="473"/>
        <v>#REF!</v>
      </c>
      <c r="BB482" s="125" t="str">
        <f t="shared" si="473"/>
        <v>#REF!</v>
      </c>
      <c r="BC482" s="125" t="str">
        <f t="shared" si="473"/>
        <v>#REF!</v>
      </c>
      <c r="BD482" s="125" t="str">
        <f t="shared" si="473"/>
        <v>#REF!</v>
      </c>
      <c r="BE482" s="125" t="str">
        <f t="shared" si="473"/>
        <v>#REF!</v>
      </c>
      <c r="BF482" s="125" t="str">
        <f t="shared" si="473"/>
        <v>#REF!</v>
      </c>
      <c r="BG482" s="125" t="str">
        <f t="shared" si="473"/>
        <v>#REF!</v>
      </c>
    </row>
    <row r="483" ht="12.75" customHeight="1" outlineLevel="1">
      <c r="A483" s="90"/>
      <c r="B483" s="90" t="s">
        <v>254</v>
      </c>
      <c r="C483" s="90"/>
      <c r="D483" s="90"/>
      <c r="E483" s="90"/>
      <c r="F483" s="90"/>
      <c r="G483" s="99">
        <f t="shared" ref="G483:R483" si="474">SUM(G480:G482)</f>
        <v>0</v>
      </c>
      <c r="H483" s="99">
        <f t="shared" si="474"/>
        <v>303099.9739</v>
      </c>
      <c r="I483" s="99">
        <f t="shared" si="474"/>
        <v>705009.7516</v>
      </c>
      <c r="J483" s="99">
        <f t="shared" si="474"/>
        <v>716102.1757</v>
      </c>
      <c r="K483" s="99">
        <f t="shared" si="474"/>
        <v>861518.2356</v>
      </c>
      <c r="L483" s="99">
        <f t="shared" si="474"/>
        <v>829714.0063</v>
      </c>
      <c r="M483" s="99">
        <f t="shared" si="474"/>
        <v>793709.6571</v>
      </c>
      <c r="N483" s="99">
        <f t="shared" si="474"/>
        <v>805373.1663</v>
      </c>
      <c r="O483" s="99">
        <f t="shared" si="474"/>
        <v>658719.8222</v>
      </c>
      <c r="P483" s="99">
        <f t="shared" si="474"/>
        <v>657617.9522</v>
      </c>
      <c r="Q483" s="99">
        <f t="shared" si="474"/>
        <v>657040.7822</v>
      </c>
      <c r="R483" s="99">
        <f t="shared" si="474"/>
        <v>657040.7822</v>
      </c>
      <c r="AT483" s="99" t="str">
        <f t="shared" ref="AT483:BG483" si="475">SUM(AT480:AT482)</f>
        <v>#REF!</v>
      </c>
      <c r="AU483" s="99" t="str">
        <f t="shared" si="475"/>
        <v>#REF!</v>
      </c>
      <c r="AV483" s="99" t="str">
        <f t="shared" si="475"/>
        <v>#REF!</v>
      </c>
      <c r="AW483" s="99" t="str">
        <f t="shared" si="475"/>
        <v>#REF!</v>
      </c>
      <c r="AX483" s="99" t="str">
        <f t="shared" si="475"/>
        <v>#REF!</v>
      </c>
      <c r="AY483" s="99" t="str">
        <f t="shared" si="475"/>
        <v>#REF!</v>
      </c>
      <c r="AZ483" s="99" t="str">
        <f t="shared" si="475"/>
        <v>#REF!</v>
      </c>
      <c r="BA483" s="99" t="str">
        <f t="shared" si="475"/>
        <v>#REF!</v>
      </c>
      <c r="BB483" s="99" t="str">
        <f t="shared" si="475"/>
        <v>#REF!</v>
      </c>
      <c r="BC483" s="99" t="str">
        <f t="shared" si="475"/>
        <v>#REF!</v>
      </c>
      <c r="BD483" s="99" t="str">
        <f t="shared" si="475"/>
        <v>#REF!</v>
      </c>
      <c r="BE483" s="99" t="str">
        <f t="shared" si="475"/>
        <v>#REF!</v>
      </c>
      <c r="BF483" s="99" t="str">
        <f t="shared" si="475"/>
        <v>#REF!</v>
      </c>
      <c r="BG483" s="99" t="str">
        <f t="shared" si="475"/>
        <v>#REF!</v>
      </c>
    </row>
    <row r="484" ht="12.75" customHeight="1" outlineLevel="1">
      <c r="A484" s="274"/>
      <c r="B484" s="274"/>
      <c r="C484" s="274"/>
      <c r="D484" s="274"/>
      <c r="E484" s="274"/>
      <c r="F484" s="274"/>
      <c r="G484" s="275">
        <f t="shared" ref="G484:R484" si="476">G483-G477</f>
        <v>0</v>
      </c>
      <c r="H484" s="275">
        <f t="shared" si="476"/>
        <v>0</v>
      </c>
      <c r="I484" s="275">
        <f t="shared" si="476"/>
        <v>0</v>
      </c>
      <c r="J484" s="275">
        <f t="shared" si="476"/>
        <v>0</v>
      </c>
      <c r="K484" s="275">
        <f t="shared" si="476"/>
        <v>-0.0000000001164153218</v>
      </c>
      <c r="L484" s="275">
        <f t="shared" si="476"/>
        <v>0</v>
      </c>
      <c r="M484" s="275">
        <f t="shared" si="476"/>
        <v>0</v>
      </c>
      <c r="N484" s="275">
        <f t="shared" si="476"/>
        <v>0</v>
      </c>
      <c r="O484" s="275">
        <f t="shared" si="476"/>
        <v>0</v>
      </c>
      <c r="P484" s="275">
        <f t="shared" si="476"/>
        <v>0.0000000001164153218</v>
      </c>
      <c r="Q484" s="275">
        <f t="shared" si="476"/>
        <v>0</v>
      </c>
      <c r="R484" s="275">
        <f t="shared" si="476"/>
        <v>0</v>
      </c>
      <c r="AT484" s="275" t="str">
        <f t="shared" ref="AT484:BG484" si="477">AT483-AT477</f>
        <v>#REF!</v>
      </c>
      <c r="AU484" s="275" t="str">
        <f t="shared" si="477"/>
        <v>#REF!</v>
      </c>
      <c r="AV484" s="275" t="str">
        <f t="shared" si="477"/>
        <v>#REF!</v>
      </c>
      <c r="AW484" s="275" t="str">
        <f t="shared" si="477"/>
        <v>#REF!</v>
      </c>
      <c r="AX484" s="275" t="str">
        <f t="shared" si="477"/>
        <v>#REF!</v>
      </c>
      <c r="AY484" s="275" t="str">
        <f t="shared" si="477"/>
        <v>#REF!</v>
      </c>
      <c r="AZ484" s="275" t="str">
        <f t="shared" si="477"/>
        <v>#REF!</v>
      </c>
      <c r="BA484" s="275" t="str">
        <f t="shared" si="477"/>
        <v>#REF!</v>
      </c>
      <c r="BB484" s="275" t="str">
        <f t="shared" si="477"/>
        <v>#REF!</v>
      </c>
      <c r="BC484" s="275" t="str">
        <f t="shared" si="477"/>
        <v>#REF!</v>
      </c>
      <c r="BD484" s="275" t="str">
        <f t="shared" si="477"/>
        <v>#REF!</v>
      </c>
      <c r="BE484" s="275" t="str">
        <f t="shared" si="477"/>
        <v>#REF!</v>
      </c>
      <c r="BF484" s="275" t="str">
        <f t="shared" si="477"/>
        <v>#REF!</v>
      </c>
      <c r="BG484" s="275" t="str">
        <f t="shared" si="477"/>
        <v>#REF!</v>
      </c>
    </row>
    <row r="485" ht="12.75" customHeight="1">
      <c r="A485" s="90"/>
      <c r="G485" s="90"/>
      <c r="H485" s="90"/>
      <c r="I485" s="90"/>
      <c r="J485" s="90"/>
      <c r="K485" s="90"/>
      <c r="L485" s="90"/>
      <c r="M485" s="90"/>
      <c r="N485" s="90"/>
      <c r="O485" s="90"/>
      <c r="P485" s="90"/>
      <c r="Q485" s="90"/>
      <c r="R485" s="90"/>
      <c r="AT485" s="313"/>
      <c r="AU485" s="313"/>
      <c r="AV485" s="313"/>
      <c r="AW485" s="313"/>
      <c r="AX485" s="313"/>
      <c r="AY485" s="313"/>
      <c r="AZ485" s="313"/>
      <c r="BA485" s="313"/>
      <c r="BB485" s="313"/>
      <c r="BC485" s="313"/>
      <c r="BD485" s="313"/>
      <c r="BE485" s="313"/>
      <c r="BF485" s="313"/>
      <c r="BG485" s="313"/>
    </row>
    <row r="486" ht="12.75" customHeight="1">
      <c r="A486" s="90"/>
    </row>
    <row r="487" ht="12.75" customHeight="1">
      <c r="A487" s="90"/>
    </row>
    <row r="488" ht="12.75" customHeight="1">
      <c r="A488" s="90"/>
    </row>
    <row r="489" ht="12.75" customHeight="1">
      <c r="A489" s="90"/>
    </row>
    <row r="490" ht="12.75" customHeight="1">
      <c r="A490" s="90"/>
    </row>
    <row r="491" ht="12.75" customHeight="1">
      <c r="A491" s="90"/>
    </row>
    <row r="492" ht="12.75" customHeight="1">
      <c r="A492" s="90"/>
    </row>
    <row r="493" ht="12.75" customHeight="1">
      <c r="A493" s="90"/>
    </row>
    <row r="494" ht="12.75" customHeight="1">
      <c r="A494" s="90"/>
    </row>
    <row r="495" ht="12.75" customHeight="1">
      <c r="A495" s="90"/>
    </row>
    <row r="496" ht="12.75" customHeight="1">
      <c r="A496" s="90"/>
    </row>
    <row r="497" ht="12.75" customHeight="1">
      <c r="A497" s="90"/>
    </row>
    <row r="498" ht="12.75" customHeight="1">
      <c r="A498" s="90"/>
    </row>
    <row r="499" ht="12.75" customHeight="1">
      <c r="A499" s="90"/>
    </row>
    <row r="500" ht="12.75" customHeight="1">
      <c r="A500" s="90"/>
    </row>
    <row r="501" ht="12.75" customHeight="1">
      <c r="A501" s="90"/>
    </row>
    <row r="502" ht="12.75" customHeight="1">
      <c r="A502" s="90"/>
    </row>
    <row r="503" ht="12.75" customHeight="1">
      <c r="A503" s="90"/>
    </row>
    <row r="504" ht="12.75" customHeight="1">
      <c r="A504" s="90"/>
    </row>
    <row r="505" ht="12.75" customHeight="1">
      <c r="A505" s="90"/>
    </row>
    <row r="506" ht="12.75" customHeight="1">
      <c r="A506" s="90"/>
    </row>
    <row r="507" ht="12.75" customHeight="1">
      <c r="A507" s="90"/>
    </row>
    <row r="508" ht="12.75" customHeight="1">
      <c r="A508" s="90"/>
    </row>
    <row r="509" ht="12.75" customHeight="1">
      <c r="A509" s="90"/>
    </row>
    <row r="510" ht="12.75" customHeight="1">
      <c r="A510" s="90"/>
    </row>
    <row r="511" ht="12.75" customHeight="1">
      <c r="A511" s="90"/>
    </row>
    <row r="512" ht="12.75" customHeight="1">
      <c r="A512" s="90"/>
    </row>
    <row r="513" ht="12.75" customHeight="1">
      <c r="A513" s="90"/>
    </row>
    <row r="514" ht="12.75" customHeight="1">
      <c r="A514" s="90"/>
    </row>
    <row r="515" ht="12.75" customHeight="1">
      <c r="A515" s="90"/>
    </row>
    <row r="516" ht="12.75" customHeight="1">
      <c r="A516" s="90"/>
    </row>
    <row r="517" ht="12.75" customHeight="1">
      <c r="A517" s="90"/>
    </row>
    <row r="518" ht="12.75" customHeight="1">
      <c r="A518" s="90"/>
    </row>
    <row r="519" ht="12.75" customHeight="1">
      <c r="A519" s="90"/>
    </row>
    <row r="520" ht="12.75" customHeight="1">
      <c r="A520" s="90"/>
    </row>
    <row r="521" ht="12.75" customHeight="1">
      <c r="A521" s="90"/>
    </row>
    <row r="522" ht="12.75" customHeight="1">
      <c r="A522" s="90"/>
    </row>
    <row r="523" ht="12.75" customHeight="1">
      <c r="A523" s="90"/>
    </row>
    <row r="524" ht="12.75" customHeight="1">
      <c r="A524" s="90"/>
    </row>
    <row r="525" ht="12.75" customHeight="1">
      <c r="A525" s="90"/>
    </row>
    <row r="526" ht="12.75" customHeight="1">
      <c r="A526" s="90"/>
    </row>
    <row r="527" ht="12.75" customHeight="1">
      <c r="A527" s="90"/>
    </row>
    <row r="528" ht="12.75" customHeight="1">
      <c r="A528" s="90"/>
    </row>
    <row r="529" ht="12.75" customHeight="1">
      <c r="A529" s="90"/>
    </row>
    <row r="530" ht="12.75" customHeight="1">
      <c r="A530" s="90"/>
    </row>
    <row r="531" ht="12.75" customHeight="1">
      <c r="A531" s="90"/>
    </row>
    <row r="532" ht="12.75" customHeight="1">
      <c r="A532" s="90"/>
    </row>
    <row r="533" ht="12.75" customHeight="1">
      <c r="A533" s="90"/>
    </row>
    <row r="534" ht="12.75" customHeight="1">
      <c r="A534" s="90"/>
    </row>
    <row r="535" ht="12.75" customHeight="1">
      <c r="A535" s="90"/>
    </row>
    <row r="536" ht="12.75" customHeight="1">
      <c r="A536" s="90"/>
    </row>
    <row r="537" ht="12.75" customHeight="1">
      <c r="A537" s="90"/>
    </row>
    <row r="538" ht="12.75" customHeight="1">
      <c r="A538" s="90"/>
    </row>
    <row r="539" ht="12.75" customHeight="1">
      <c r="A539" s="90"/>
    </row>
    <row r="540" ht="12.75" customHeight="1">
      <c r="A540" s="90"/>
    </row>
    <row r="541" ht="12.75" customHeight="1">
      <c r="A541" s="90"/>
    </row>
  </sheetData>
  <printOptions/>
  <pageMargins bottom="0.35" footer="0.0" header="0.0" left="0.629861111111111" right="0.390277777777778" top="1.04027777777778"/>
  <pageSetup paperSize="5" orientation="landscape"/>
  <headerFooter>
    <oddHeader>&amp;CGeneric School Model (Schools 8+)</oddHeader>
    <oddFooter>&amp;C&amp;A&amp;R&amp;P</oddFooter>
  </headerFooter>
  <rowBreaks count="4" manualBreakCount="4">
    <brk id="33" man="1"/>
    <brk id="340" man="1"/>
    <brk id="297" man="1"/>
    <brk id="397" man="1"/>
  </rowBreaks>
  <colBreaks count="1" manualBreakCount="1">
    <brk id="18" man="1"/>
  </colBreak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CC00"/>
    <pageSetUpPr/>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2.63" defaultRowHeight="15.0" outlineLevelCol="1" outlineLevelRow="1"/>
  <cols>
    <col customWidth="1" min="1" max="3" width="1.75"/>
    <col customWidth="1" min="4" max="4" width="32.13"/>
    <col customWidth="1" hidden="1" min="5" max="5" width="2.38" outlineLevel="1"/>
    <col customWidth="1" min="6" max="6" width="0.75"/>
    <col customWidth="1" min="7" max="7" width="9.75"/>
    <col customWidth="1" min="8" max="8" width="10.13"/>
    <col customWidth="1" min="9" max="18" width="11.5"/>
    <col customWidth="1" min="19" max="38" width="13.0"/>
  </cols>
  <sheetData>
    <row r="1" ht="12.75" customHeight="1">
      <c r="A1" s="158"/>
      <c r="B1" s="95"/>
      <c r="C1" s="95"/>
      <c r="D1" s="95"/>
      <c r="E1" s="95"/>
      <c r="F1" s="95"/>
      <c r="G1" s="317" t="s">
        <v>624</v>
      </c>
      <c r="H1" s="317"/>
      <c r="I1" s="317"/>
      <c r="J1" s="317"/>
      <c r="K1" s="317"/>
      <c r="L1" s="317"/>
      <c r="M1" s="317"/>
      <c r="N1" s="317"/>
      <c r="O1" s="317"/>
      <c r="P1" s="317"/>
      <c r="Q1" s="317"/>
      <c r="R1" s="317"/>
    </row>
    <row r="2" ht="12.75" customHeight="1">
      <c r="A2" s="96"/>
      <c r="B2" s="97"/>
      <c r="C2" s="97"/>
      <c r="D2" s="97"/>
      <c r="E2" s="97"/>
      <c r="F2" s="97"/>
      <c r="G2" s="280">
        <v>-1.0</v>
      </c>
      <c r="H2" s="280">
        <v>0.0</v>
      </c>
      <c r="I2" s="165">
        <f t="shared" ref="I2:R2" si="1">H2+1</f>
        <v>1</v>
      </c>
      <c r="J2" s="165">
        <f t="shared" si="1"/>
        <v>2</v>
      </c>
      <c r="K2" s="165">
        <f t="shared" si="1"/>
        <v>3</v>
      </c>
      <c r="L2" s="165">
        <f t="shared" si="1"/>
        <v>4</v>
      </c>
      <c r="M2" s="165">
        <f t="shared" si="1"/>
        <v>5</v>
      </c>
      <c r="N2" s="165">
        <f t="shared" si="1"/>
        <v>6</v>
      </c>
      <c r="O2" s="165">
        <f t="shared" si="1"/>
        <v>7</v>
      </c>
      <c r="P2" s="165">
        <f t="shared" si="1"/>
        <v>8</v>
      </c>
      <c r="Q2" s="319">
        <f t="shared" si="1"/>
        <v>9</v>
      </c>
      <c r="R2" s="319">
        <f t="shared" si="1"/>
        <v>10</v>
      </c>
    </row>
    <row r="3" ht="12.75" customHeight="1">
      <c r="A3" s="321" t="s">
        <v>191</v>
      </c>
      <c r="B3" s="322"/>
      <c r="C3" s="322"/>
      <c r="D3" s="322"/>
      <c r="E3" s="322"/>
      <c r="F3" s="322"/>
      <c r="G3" s="323"/>
      <c r="H3" s="324"/>
      <c r="I3" s="325"/>
      <c r="J3" s="325"/>
      <c r="K3" s="325"/>
      <c r="L3" s="325"/>
      <c r="M3" s="325"/>
      <c r="N3" s="325"/>
      <c r="O3" s="325"/>
      <c r="P3" s="325"/>
      <c r="Q3" s="325"/>
      <c r="R3" s="326"/>
    </row>
    <row r="4" ht="12.75" customHeight="1">
      <c r="A4" s="328"/>
      <c r="B4" s="329"/>
      <c r="C4" s="329"/>
      <c r="D4" s="329" t="s">
        <v>165</v>
      </c>
      <c r="E4" s="329"/>
      <c r="F4" s="329"/>
      <c r="G4" s="330">
        <f t="shared" ref="G4:R4" si="2">G47</f>
        <v>0</v>
      </c>
      <c r="H4" s="330">
        <f t="shared" si="2"/>
        <v>0</v>
      </c>
      <c r="I4" s="330">
        <f t="shared" si="2"/>
        <v>392</v>
      </c>
      <c r="J4" s="330">
        <f t="shared" si="2"/>
        <v>464</v>
      </c>
      <c r="K4" s="330">
        <f t="shared" si="2"/>
        <v>500</v>
      </c>
      <c r="L4" s="330">
        <f t="shared" si="2"/>
        <v>500</v>
      </c>
      <c r="M4" s="330">
        <f t="shared" si="2"/>
        <v>500</v>
      </c>
      <c r="N4" s="330">
        <f t="shared" si="2"/>
        <v>500</v>
      </c>
      <c r="O4" s="330">
        <f t="shared" si="2"/>
        <v>500</v>
      </c>
      <c r="P4" s="330">
        <f t="shared" si="2"/>
        <v>500</v>
      </c>
      <c r="Q4" s="330">
        <f t="shared" si="2"/>
        <v>500</v>
      </c>
      <c r="R4" s="495">
        <f t="shared" si="2"/>
        <v>500</v>
      </c>
      <c r="S4" s="67"/>
      <c r="T4" s="67"/>
      <c r="U4" s="67"/>
      <c r="V4" s="67"/>
      <c r="W4" s="67"/>
      <c r="X4" s="67"/>
      <c r="Y4" s="67"/>
      <c r="Z4" s="67"/>
      <c r="AA4" s="67"/>
      <c r="AB4" s="67"/>
      <c r="AC4" s="67"/>
      <c r="AD4" s="67"/>
      <c r="AE4" s="67"/>
      <c r="AF4" s="67"/>
      <c r="AG4" s="67"/>
      <c r="AH4" s="67"/>
      <c r="AI4" s="67"/>
      <c r="AJ4" s="67"/>
      <c r="AK4" s="67"/>
      <c r="AL4" s="67"/>
    </row>
    <row r="5" ht="3.75" customHeight="1">
      <c r="A5" s="328"/>
      <c r="B5" s="323"/>
      <c r="C5" s="323"/>
      <c r="D5" s="323"/>
      <c r="E5" s="323"/>
      <c r="F5" s="323"/>
      <c r="G5" s="323"/>
      <c r="H5" s="324"/>
      <c r="I5" s="324"/>
      <c r="J5" s="324"/>
      <c r="K5" s="324"/>
      <c r="L5" s="324"/>
      <c r="M5" s="324"/>
      <c r="N5" s="324"/>
      <c r="O5" s="324"/>
      <c r="P5" s="324"/>
      <c r="Q5" s="324"/>
      <c r="R5" s="332"/>
    </row>
    <row r="6" ht="12.75" customHeight="1">
      <c r="A6" s="328"/>
      <c r="B6" s="323"/>
      <c r="C6" s="329" t="s">
        <v>226</v>
      </c>
      <c r="D6" s="323"/>
      <c r="E6" s="323"/>
      <c r="F6" s="323"/>
      <c r="G6" s="323"/>
      <c r="H6" s="324"/>
      <c r="I6" s="324"/>
      <c r="J6" s="324"/>
      <c r="K6" s="324"/>
      <c r="L6" s="324"/>
      <c r="M6" s="324"/>
      <c r="N6" s="324"/>
      <c r="O6" s="324"/>
      <c r="P6" s="324"/>
      <c r="Q6" s="324"/>
      <c r="R6" s="332"/>
    </row>
    <row r="7" ht="12.75" customHeight="1">
      <c r="A7" s="328"/>
      <c r="B7" s="323"/>
      <c r="C7" s="323"/>
      <c r="D7" s="333" t="s">
        <v>544</v>
      </c>
      <c r="E7" s="323"/>
      <c r="F7" s="323"/>
      <c r="G7" s="496">
        <f t="shared" ref="G7:R7" si="3">G273</f>
        <v>0</v>
      </c>
      <c r="H7" s="496">
        <f t="shared" si="3"/>
        <v>0</v>
      </c>
      <c r="I7" s="496">
        <f t="shared" si="3"/>
        <v>2414555.856</v>
      </c>
      <c r="J7" s="496">
        <f t="shared" si="3"/>
        <v>2827914.192</v>
      </c>
      <c r="K7" s="496">
        <f t="shared" si="3"/>
        <v>3064891.2</v>
      </c>
      <c r="L7" s="496">
        <f t="shared" si="3"/>
        <v>3073795.2</v>
      </c>
      <c r="M7" s="496">
        <f t="shared" si="3"/>
        <v>3066163.2</v>
      </c>
      <c r="N7" s="496">
        <f t="shared" si="3"/>
        <v>3059167.2</v>
      </c>
      <c r="O7" s="496">
        <f t="shared" si="3"/>
        <v>3052489.2</v>
      </c>
      <c r="P7" s="496">
        <f t="shared" si="3"/>
        <v>3045811.2</v>
      </c>
      <c r="Q7" s="496">
        <f t="shared" si="3"/>
        <v>3042313.2</v>
      </c>
      <c r="R7" s="497">
        <f t="shared" si="3"/>
        <v>3042313.2</v>
      </c>
    </row>
    <row r="8" ht="12.75" customHeight="1">
      <c r="A8" s="328"/>
      <c r="B8" s="323"/>
      <c r="C8" s="323"/>
      <c r="D8" s="333" t="s">
        <v>545</v>
      </c>
      <c r="E8" s="323"/>
      <c r="F8" s="323"/>
      <c r="G8" s="496">
        <f t="shared" ref="G8:R8" si="4">G282</f>
        <v>0</v>
      </c>
      <c r="H8" s="496">
        <f t="shared" si="4"/>
        <v>200000</v>
      </c>
      <c r="I8" s="496">
        <f t="shared" si="4"/>
        <v>487401.6</v>
      </c>
      <c r="J8" s="496">
        <f t="shared" si="4"/>
        <v>429795.2</v>
      </c>
      <c r="K8" s="496">
        <f t="shared" si="4"/>
        <v>313631.8584</v>
      </c>
      <c r="L8" s="496">
        <f t="shared" si="4"/>
        <v>313631.8584</v>
      </c>
      <c r="M8" s="496">
        <f t="shared" si="4"/>
        <v>313631.8584</v>
      </c>
      <c r="N8" s="496">
        <f t="shared" si="4"/>
        <v>313631.8584</v>
      </c>
      <c r="O8" s="496">
        <f t="shared" si="4"/>
        <v>313631.8584</v>
      </c>
      <c r="P8" s="496">
        <f t="shared" si="4"/>
        <v>313631.8584</v>
      </c>
      <c r="Q8" s="496">
        <f t="shared" si="4"/>
        <v>313631.8584</v>
      </c>
      <c r="R8" s="497">
        <f t="shared" si="4"/>
        <v>313631.8584</v>
      </c>
    </row>
    <row r="9" ht="12.75" customHeight="1">
      <c r="A9" s="328"/>
      <c r="B9" s="323"/>
      <c r="C9" s="323"/>
      <c r="D9" s="333" t="s">
        <v>625</v>
      </c>
      <c r="E9" s="323"/>
      <c r="F9" s="323"/>
      <c r="G9" s="496">
        <f t="shared" ref="G9:R9" si="5">G289</f>
        <v>125000</v>
      </c>
      <c r="H9" s="496">
        <f t="shared" si="5"/>
        <v>0</v>
      </c>
      <c r="I9" s="496">
        <f t="shared" si="5"/>
        <v>375000</v>
      </c>
      <c r="J9" s="496">
        <f t="shared" si="5"/>
        <v>0</v>
      </c>
      <c r="K9" s="496">
        <f t="shared" si="5"/>
        <v>0</v>
      </c>
      <c r="L9" s="496">
        <f t="shared" si="5"/>
        <v>0</v>
      </c>
      <c r="M9" s="496">
        <f t="shared" si="5"/>
        <v>0</v>
      </c>
      <c r="N9" s="496">
        <f t="shared" si="5"/>
        <v>0</v>
      </c>
      <c r="O9" s="496">
        <f t="shared" si="5"/>
        <v>0</v>
      </c>
      <c r="P9" s="496">
        <f t="shared" si="5"/>
        <v>0</v>
      </c>
      <c r="Q9" s="496">
        <f t="shared" si="5"/>
        <v>0</v>
      </c>
      <c r="R9" s="497">
        <f t="shared" si="5"/>
        <v>0</v>
      </c>
    </row>
    <row r="10" ht="12.75" customHeight="1">
      <c r="A10" s="328"/>
      <c r="B10" s="323"/>
      <c r="C10" s="323"/>
      <c r="D10" s="336" t="s">
        <v>509</v>
      </c>
      <c r="E10" s="337"/>
      <c r="F10" s="337"/>
      <c r="G10" s="498">
        <f t="shared" ref="G10:R10" si="6">G294</f>
        <v>0</v>
      </c>
      <c r="H10" s="498">
        <f t="shared" si="6"/>
        <v>0</v>
      </c>
      <c r="I10" s="498">
        <f t="shared" si="6"/>
        <v>58835.2</v>
      </c>
      <c r="J10" s="498">
        <f t="shared" si="6"/>
        <v>71478.4</v>
      </c>
      <c r="K10" s="498">
        <f t="shared" si="6"/>
        <v>82800</v>
      </c>
      <c r="L10" s="498">
        <f t="shared" si="6"/>
        <v>82800</v>
      </c>
      <c r="M10" s="498">
        <f t="shared" si="6"/>
        <v>82800</v>
      </c>
      <c r="N10" s="498">
        <f t="shared" si="6"/>
        <v>82800</v>
      </c>
      <c r="O10" s="498">
        <f t="shared" si="6"/>
        <v>82800</v>
      </c>
      <c r="P10" s="498">
        <f t="shared" si="6"/>
        <v>82800</v>
      </c>
      <c r="Q10" s="498">
        <f t="shared" si="6"/>
        <v>82800</v>
      </c>
      <c r="R10" s="499">
        <f t="shared" si="6"/>
        <v>82800</v>
      </c>
    </row>
    <row r="11" ht="12.75" customHeight="1">
      <c r="A11" s="328"/>
      <c r="B11" s="323"/>
      <c r="C11" s="329" t="s">
        <v>209</v>
      </c>
      <c r="D11" s="323"/>
      <c r="E11" s="323"/>
      <c r="F11" s="323"/>
      <c r="G11" s="500">
        <f t="shared" ref="G11:R11" si="7">SUM(G7:G10)</f>
        <v>125000</v>
      </c>
      <c r="H11" s="500">
        <f t="shared" si="7"/>
        <v>200000</v>
      </c>
      <c r="I11" s="500">
        <f t="shared" si="7"/>
        <v>3335792.656</v>
      </c>
      <c r="J11" s="500">
        <f t="shared" si="7"/>
        <v>3329187.792</v>
      </c>
      <c r="K11" s="500">
        <f t="shared" si="7"/>
        <v>3461323.058</v>
      </c>
      <c r="L11" s="500">
        <f t="shared" si="7"/>
        <v>3470227.058</v>
      </c>
      <c r="M11" s="500">
        <f t="shared" si="7"/>
        <v>3462595.058</v>
      </c>
      <c r="N11" s="500">
        <f t="shared" si="7"/>
        <v>3455599.058</v>
      </c>
      <c r="O11" s="500">
        <f t="shared" si="7"/>
        <v>3448921.058</v>
      </c>
      <c r="P11" s="500">
        <f t="shared" si="7"/>
        <v>3442243.058</v>
      </c>
      <c r="Q11" s="500">
        <f t="shared" si="7"/>
        <v>3438745.058</v>
      </c>
      <c r="R11" s="501">
        <f t="shared" si="7"/>
        <v>3438745.058</v>
      </c>
    </row>
    <row r="12" ht="12.75" customHeight="1">
      <c r="A12" s="328"/>
      <c r="B12" s="323"/>
      <c r="C12" s="323"/>
      <c r="D12" s="323"/>
      <c r="E12" s="323"/>
      <c r="F12" s="323"/>
      <c r="G12" s="502"/>
      <c r="H12" s="324"/>
      <c r="I12" s="324"/>
      <c r="J12" s="324"/>
      <c r="K12" s="324"/>
      <c r="L12" s="324"/>
      <c r="M12" s="324"/>
      <c r="N12" s="324"/>
      <c r="O12" s="324"/>
      <c r="P12" s="324"/>
      <c r="Q12" s="324"/>
      <c r="R12" s="332"/>
    </row>
    <row r="13" ht="12.75" customHeight="1">
      <c r="A13" s="328"/>
      <c r="B13" s="323"/>
      <c r="C13" s="342" t="s">
        <v>178</v>
      </c>
      <c r="D13" s="323"/>
      <c r="E13" s="323"/>
      <c r="F13" s="323"/>
      <c r="G13" s="496"/>
      <c r="H13" s="324"/>
      <c r="I13" s="324"/>
      <c r="J13" s="324"/>
      <c r="K13" s="324"/>
      <c r="L13" s="324"/>
      <c r="M13" s="324"/>
      <c r="N13" s="324"/>
      <c r="O13" s="324"/>
      <c r="P13" s="324"/>
      <c r="Q13" s="324"/>
      <c r="R13" s="332"/>
    </row>
    <row r="14" ht="12.75" customHeight="1">
      <c r="A14" s="328"/>
      <c r="B14" s="323"/>
      <c r="C14" s="323"/>
      <c r="D14" s="342" t="s">
        <v>278</v>
      </c>
      <c r="E14" s="323"/>
      <c r="F14" s="323"/>
      <c r="G14" s="496">
        <f t="shared" ref="G14:R14" si="8">G319</f>
        <v>0</v>
      </c>
      <c r="H14" s="496">
        <f t="shared" si="8"/>
        <v>111400</v>
      </c>
      <c r="I14" s="496">
        <f t="shared" si="8"/>
        <v>894400</v>
      </c>
      <c r="J14" s="496">
        <f t="shared" si="8"/>
        <v>968375</v>
      </c>
      <c r="K14" s="496">
        <f t="shared" si="8"/>
        <v>968375</v>
      </c>
      <c r="L14" s="496">
        <f t="shared" si="8"/>
        <v>968375</v>
      </c>
      <c r="M14" s="496">
        <f t="shared" si="8"/>
        <v>968375</v>
      </c>
      <c r="N14" s="496">
        <f t="shared" si="8"/>
        <v>968375</v>
      </c>
      <c r="O14" s="496">
        <f t="shared" si="8"/>
        <v>968375</v>
      </c>
      <c r="P14" s="496">
        <f t="shared" si="8"/>
        <v>968375</v>
      </c>
      <c r="Q14" s="496">
        <f t="shared" si="8"/>
        <v>968375</v>
      </c>
      <c r="R14" s="497">
        <f t="shared" si="8"/>
        <v>968375</v>
      </c>
    </row>
    <row r="15" ht="12.75" customHeight="1">
      <c r="A15" s="328"/>
      <c r="B15" s="323"/>
      <c r="C15" s="323"/>
      <c r="D15" s="342" t="s">
        <v>133</v>
      </c>
      <c r="E15" s="323"/>
      <c r="F15" s="323"/>
      <c r="G15" s="496">
        <f t="shared" ref="G15:R15" si="9">G330</f>
        <v>0</v>
      </c>
      <c r="H15" s="496">
        <f t="shared" si="9"/>
        <v>23970.60044</v>
      </c>
      <c r="I15" s="496">
        <f t="shared" si="9"/>
        <v>230437.1833</v>
      </c>
      <c r="J15" s="496">
        <f t="shared" si="9"/>
        <v>224603.6508</v>
      </c>
      <c r="K15" s="496">
        <f t="shared" si="9"/>
        <v>224603.6508</v>
      </c>
      <c r="L15" s="496">
        <f t="shared" si="9"/>
        <v>224603.6508</v>
      </c>
      <c r="M15" s="496">
        <f t="shared" si="9"/>
        <v>224603.6508</v>
      </c>
      <c r="N15" s="496">
        <f t="shared" si="9"/>
        <v>224603.6508</v>
      </c>
      <c r="O15" s="496">
        <f t="shared" si="9"/>
        <v>224603.6508</v>
      </c>
      <c r="P15" s="496">
        <f t="shared" si="9"/>
        <v>224603.6508</v>
      </c>
      <c r="Q15" s="496">
        <f t="shared" si="9"/>
        <v>224603.6508</v>
      </c>
      <c r="R15" s="497">
        <f t="shared" si="9"/>
        <v>224603.6508</v>
      </c>
    </row>
    <row r="16" ht="12.75" customHeight="1">
      <c r="A16" s="328"/>
      <c r="B16" s="323"/>
      <c r="C16" s="323"/>
      <c r="D16" s="342" t="s">
        <v>451</v>
      </c>
      <c r="E16" s="323"/>
      <c r="F16" s="323"/>
      <c r="G16" s="496">
        <f t="shared" ref="G16:R16" si="10">G339</f>
        <v>0</v>
      </c>
      <c r="H16" s="496">
        <f t="shared" si="10"/>
        <v>3950</v>
      </c>
      <c r="I16" s="496">
        <f t="shared" si="10"/>
        <v>507673.3</v>
      </c>
      <c r="J16" s="496">
        <f t="shared" si="10"/>
        <v>335903.6</v>
      </c>
      <c r="K16" s="496">
        <f t="shared" si="10"/>
        <v>350000</v>
      </c>
      <c r="L16" s="496">
        <f t="shared" si="10"/>
        <v>338700</v>
      </c>
      <c r="M16" s="496">
        <f t="shared" si="10"/>
        <v>338700</v>
      </c>
      <c r="N16" s="496">
        <f t="shared" si="10"/>
        <v>338700</v>
      </c>
      <c r="O16" s="496">
        <f t="shared" si="10"/>
        <v>338700</v>
      </c>
      <c r="P16" s="496">
        <f t="shared" si="10"/>
        <v>338700</v>
      </c>
      <c r="Q16" s="496">
        <f t="shared" si="10"/>
        <v>338700</v>
      </c>
      <c r="R16" s="497">
        <f t="shared" si="10"/>
        <v>338700</v>
      </c>
    </row>
    <row r="17" ht="12.75" customHeight="1">
      <c r="A17" s="328"/>
      <c r="B17" s="323"/>
      <c r="C17" s="323"/>
      <c r="D17" s="342" t="s">
        <v>626</v>
      </c>
      <c r="E17" s="323"/>
      <c r="F17" s="323"/>
      <c r="G17" s="496"/>
      <c r="H17" s="496"/>
      <c r="I17" s="496"/>
      <c r="J17" s="496"/>
      <c r="K17" s="496"/>
      <c r="L17" s="496"/>
      <c r="M17" s="496"/>
      <c r="N17" s="496"/>
      <c r="O17" s="496"/>
      <c r="P17" s="496"/>
      <c r="Q17" s="496"/>
      <c r="R17" s="497"/>
    </row>
    <row r="18" ht="12.75" customHeight="1">
      <c r="A18" s="328"/>
      <c r="B18" s="323"/>
      <c r="C18" s="323"/>
      <c r="D18" s="342" t="s">
        <v>627</v>
      </c>
      <c r="E18" s="323"/>
      <c r="F18" s="323"/>
      <c r="G18" s="496">
        <f t="shared" ref="G18:R18" si="11">G378</f>
        <v>25000</v>
      </c>
      <c r="H18" s="496">
        <f t="shared" si="11"/>
        <v>24000</v>
      </c>
      <c r="I18" s="496">
        <f t="shared" si="11"/>
        <v>378332.6227</v>
      </c>
      <c r="J18" s="496">
        <f t="shared" si="11"/>
        <v>373285.703</v>
      </c>
      <c r="K18" s="496">
        <f t="shared" si="11"/>
        <v>386414.767</v>
      </c>
      <c r="L18" s="496">
        <f t="shared" si="11"/>
        <v>387483.247</v>
      </c>
      <c r="M18" s="496">
        <f t="shared" si="11"/>
        <v>386567.407</v>
      </c>
      <c r="N18" s="496">
        <f t="shared" si="11"/>
        <v>385727.887</v>
      </c>
      <c r="O18" s="496">
        <f t="shared" si="11"/>
        <v>384926.527</v>
      </c>
      <c r="P18" s="496">
        <f t="shared" si="11"/>
        <v>384125.167</v>
      </c>
      <c r="Q18" s="496">
        <f t="shared" si="11"/>
        <v>383705.407</v>
      </c>
      <c r="R18" s="497">
        <f t="shared" si="11"/>
        <v>383705.407</v>
      </c>
    </row>
    <row r="19" ht="12.75" customHeight="1">
      <c r="A19" s="328"/>
      <c r="B19" s="323"/>
      <c r="C19" s="323"/>
      <c r="D19" s="342" t="s">
        <v>628</v>
      </c>
      <c r="E19" s="323"/>
      <c r="F19" s="323"/>
      <c r="G19" s="496">
        <f t="shared" ref="G19:R19" si="12">G380</f>
        <v>6250</v>
      </c>
      <c r="H19" s="496">
        <f t="shared" si="12"/>
        <v>6000</v>
      </c>
      <c r="I19" s="496">
        <f t="shared" si="12"/>
        <v>94583.15568</v>
      </c>
      <c r="J19" s="496">
        <f t="shared" si="12"/>
        <v>93321.42576</v>
      </c>
      <c r="K19" s="496">
        <f t="shared" si="12"/>
        <v>96603.69175</v>
      </c>
      <c r="L19" s="496">
        <f t="shared" si="12"/>
        <v>96870.81175</v>
      </c>
      <c r="M19" s="496">
        <f t="shared" si="12"/>
        <v>96641.85175</v>
      </c>
      <c r="N19" s="496">
        <f t="shared" si="12"/>
        <v>96431.97175</v>
      </c>
      <c r="O19" s="496">
        <f t="shared" si="12"/>
        <v>96231.63175</v>
      </c>
      <c r="P19" s="496">
        <f t="shared" si="12"/>
        <v>96031.29175</v>
      </c>
      <c r="Q19" s="496">
        <f t="shared" si="12"/>
        <v>95926.35175</v>
      </c>
      <c r="R19" s="497">
        <f t="shared" si="12"/>
        <v>95926.35175</v>
      </c>
    </row>
    <row r="20" ht="12.75" customHeight="1">
      <c r="A20" s="328"/>
      <c r="B20" s="323"/>
      <c r="C20" s="323"/>
      <c r="D20" s="342" t="s">
        <v>629</v>
      </c>
      <c r="E20" s="323"/>
      <c r="F20" s="323"/>
      <c r="G20" s="496">
        <f t="shared" ref="G20:R20" si="13">G379</f>
        <v>0</v>
      </c>
      <c r="H20" s="496">
        <f t="shared" si="13"/>
        <v>0</v>
      </c>
      <c r="I20" s="496">
        <f t="shared" si="13"/>
        <v>630554.3712</v>
      </c>
      <c r="J20" s="496">
        <f t="shared" si="13"/>
        <v>622142.8384</v>
      </c>
      <c r="K20" s="496">
        <f t="shared" si="13"/>
        <v>644024.6117</v>
      </c>
      <c r="L20" s="496">
        <f t="shared" si="13"/>
        <v>645805.4117</v>
      </c>
      <c r="M20" s="496">
        <f t="shared" si="13"/>
        <v>644279.0117</v>
      </c>
      <c r="N20" s="496">
        <f t="shared" si="13"/>
        <v>642879.8117</v>
      </c>
      <c r="O20" s="496">
        <f t="shared" si="13"/>
        <v>641544.2117</v>
      </c>
      <c r="P20" s="496">
        <f t="shared" si="13"/>
        <v>640208.6117</v>
      </c>
      <c r="Q20" s="496">
        <f t="shared" si="13"/>
        <v>639509.0117</v>
      </c>
      <c r="R20" s="497">
        <f t="shared" si="13"/>
        <v>639509.0117</v>
      </c>
    </row>
    <row r="21" ht="12.75" customHeight="1">
      <c r="A21" s="328"/>
      <c r="B21" s="323"/>
      <c r="C21" s="323"/>
      <c r="D21" s="342" t="s">
        <v>314</v>
      </c>
      <c r="E21" s="323"/>
      <c r="F21" s="323"/>
      <c r="G21" s="496">
        <f t="shared" ref="G21:R21" si="14">G383-SUM(G18:G20)</f>
        <v>0</v>
      </c>
      <c r="H21" s="496">
        <f t="shared" si="14"/>
        <v>7780</v>
      </c>
      <c r="I21" s="496">
        <f t="shared" si="14"/>
        <v>410323.8943</v>
      </c>
      <c r="J21" s="496">
        <f t="shared" si="14"/>
        <v>628325.9819</v>
      </c>
      <c r="K21" s="496">
        <f t="shared" si="14"/>
        <v>712480.6497</v>
      </c>
      <c r="L21" s="496">
        <f t="shared" si="14"/>
        <v>711730.6497</v>
      </c>
      <c r="M21" s="496">
        <f t="shared" si="14"/>
        <v>711730.6497</v>
      </c>
      <c r="N21" s="496">
        <f t="shared" si="14"/>
        <v>711730.6497</v>
      </c>
      <c r="O21" s="496">
        <f t="shared" si="14"/>
        <v>711730.6497</v>
      </c>
      <c r="P21" s="496">
        <f t="shared" si="14"/>
        <v>711730.6497</v>
      </c>
      <c r="Q21" s="496">
        <f t="shared" si="14"/>
        <v>711730.6497</v>
      </c>
      <c r="R21" s="497">
        <f t="shared" si="14"/>
        <v>711730.6497</v>
      </c>
    </row>
    <row r="22" ht="12.75" customHeight="1">
      <c r="A22" s="328"/>
      <c r="B22" s="323"/>
      <c r="C22" s="323"/>
      <c r="D22" s="343" t="s">
        <v>555</v>
      </c>
      <c r="E22" s="337"/>
      <c r="F22" s="337"/>
      <c r="G22" s="498">
        <f t="shared" ref="G22:R22" si="15">G393</f>
        <v>0</v>
      </c>
      <c r="H22" s="498">
        <f t="shared" si="15"/>
        <v>1771.006004</v>
      </c>
      <c r="I22" s="498">
        <f t="shared" si="15"/>
        <v>76206.70816</v>
      </c>
      <c r="J22" s="498">
        <f t="shared" si="15"/>
        <v>78826.76259</v>
      </c>
      <c r="K22" s="498">
        <f t="shared" si="15"/>
        <v>80828.17836</v>
      </c>
      <c r="L22" s="498">
        <f t="shared" si="15"/>
        <v>78843.49836</v>
      </c>
      <c r="M22" s="498">
        <f t="shared" si="15"/>
        <v>76689.93836</v>
      </c>
      <c r="N22" s="498">
        <f t="shared" si="15"/>
        <v>74547.50836</v>
      </c>
      <c r="O22" s="498">
        <f t="shared" si="15"/>
        <v>74430.64336</v>
      </c>
      <c r="P22" s="498">
        <f t="shared" si="15"/>
        <v>74313.77836</v>
      </c>
      <c r="Q22" s="498">
        <f t="shared" si="15"/>
        <v>74252.56336</v>
      </c>
      <c r="R22" s="499">
        <f t="shared" si="15"/>
        <v>74252.56336</v>
      </c>
    </row>
    <row r="23" ht="12.75" customHeight="1">
      <c r="A23" s="328"/>
      <c r="B23" s="329"/>
      <c r="C23" s="329" t="s">
        <v>231</v>
      </c>
      <c r="D23" s="329"/>
      <c r="E23" s="329"/>
      <c r="F23" s="329"/>
      <c r="G23" s="500">
        <f t="shared" ref="G23:R23" si="16">SUM(G14:G22)</f>
        <v>31250</v>
      </c>
      <c r="H23" s="500">
        <f t="shared" si="16"/>
        <v>178871.6064</v>
      </c>
      <c r="I23" s="500">
        <f t="shared" si="16"/>
        <v>3222511.235</v>
      </c>
      <c r="J23" s="500">
        <f t="shared" si="16"/>
        <v>3324784.962</v>
      </c>
      <c r="K23" s="500">
        <f t="shared" si="16"/>
        <v>3463330.549</v>
      </c>
      <c r="L23" s="500">
        <f t="shared" si="16"/>
        <v>3452412.269</v>
      </c>
      <c r="M23" s="500">
        <f t="shared" si="16"/>
        <v>3447587.509</v>
      </c>
      <c r="N23" s="500">
        <f t="shared" si="16"/>
        <v>3442996.479</v>
      </c>
      <c r="O23" s="500">
        <f t="shared" si="16"/>
        <v>3440542.314</v>
      </c>
      <c r="P23" s="500">
        <f t="shared" si="16"/>
        <v>3438088.149</v>
      </c>
      <c r="Q23" s="500">
        <f t="shared" si="16"/>
        <v>3436802.634</v>
      </c>
      <c r="R23" s="501">
        <f t="shared" si="16"/>
        <v>3436802.634</v>
      </c>
    </row>
    <row r="24" ht="12.75" customHeight="1">
      <c r="A24" s="328"/>
      <c r="B24" s="323"/>
      <c r="C24" s="323"/>
      <c r="D24" s="323"/>
      <c r="E24" s="323"/>
      <c r="F24" s="323"/>
      <c r="G24" s="502"/>
      <c r="H24" s="324"/>
      <c r="I24" s="340"/>
      <c r="J24" s="340"/>
      <c r="K24" s="340"/>
      <c r="L24" s="340"/>
      <c r="M24" s="340"/>
      <c r="N24" s="324"/>
      <c r="O24" s="324"/>
      <c r="P24" s="324"/>
      <c r="Q24" s="324"/>
      <c r="R24" s="332"/>
    </row>
    <row r="25" ht="12.75" customHeight="1">
      <c r="A25" s="328"/>
      <c r="B25" s="323"/>
      <c r="C25" s="329" t="s">
        <v>194</v>
      </c>
      <c r="D25" s="323"/>
      <c r="E25" s="323"/>
      <c r="F25" s="323"/>
      <c r="G25" s="340">
        <f t="shared" ref="G25:R25" si="17">G11-G23</f>
        <v>93750</v>
      </c>
      <c r="H25" s="340">
        <f t="shared" si="17"/>
        <v>21128.39356</v>
      </c>
      <c r="I25" s="340">
        <f t="shared" si="17"/>
        <v>113281.4207</v>
      </c>
      <c r="J25" s="340">
        <f t="shared" si="17"/>
        <v>4402.829541</v>
      </c>
      <c r="K25" s="340">
        <f t="shared" si="17"/>
        <v>-2007.49093</v>
      </c>
      <c r="L25" s="340">
        <f t="shared" si="17"/>
        <v>17814.78907</v>
      </c>
      <c r="M25" s="340">
        <f t="shared" si="17"/>
        <v>15007.54907</v>
      </c>
      <c r="N25" s="340">
        <f t="shared" si="17"/>
        <v>12602.57907</v>
      </c>
      <c r="O25" s="340">
        <f t="shared" si="17"/>
        <v>8378.74407</v>
      </c>
      <c r="P25" s="340">
        <f t="shared" si="17"/>
        <v>4154.90907</v>
      </c>
      <c r="Q25" s="340">
        <f t="shared" si="17"/>
        <v>1942.42407</v>
      </c>
      <c r="R25" s="341">
        <f t="shared" si="17"/>
        <v>1942.42407</v>
      </c>
    </row>
    <row r="26" ht="12.75" customHeight="1">
      <c r="A26" s="328"/>
      <c r="B26" s="323"/>
      <c r="C26" s="329" t="s">
        <v>195</v>
      </c>
      <c r="D26" s="323"/>
      <c r="E26" s="323"/>
      <c r="F26" s="323"/>
      <c r="G26" s="340">
        <f>G25</f>
        <v>93750</v>
      </c>
      <c r="H26" s="340">
        <f t="shared" ref="H26:R26" si="18">H25+G26</f>
        <v>114878.3936</v>
      </c>
      <c r="I26" s="340">
        <f t="shared" si="18"/>
        <v>228159.8143</v>
      </c>
      <c r="J26" s="340">
        <f t="shared" si="18"/>
        <v>232562.6438</v>
      </c>
      <c r="K26" s="340">
        <f t="shared" si="18"/>
        <v>230555.1529</v>
      </c>
      <c r="L26" s="340">
        <f t="shared" si="18"/>
        <v>248369.942</v>
      </c>
      <c r="M26" s="340">
        <f t="shared" si="18"/>
        <v>263377.491</v>
      </c>
      <c r="N26" s="340">
        <f t="shared" si="18"/>
        <v>275980.0701</v>
      </c>
      <c r="O26" s="340">
        <f t="shared" si="18"/>
        <v>284358.8142</v>
      </c>
      <c r="P26" s="340">
        <f t="shared" si="18"/>
        <v>288513.7233</v>
      </c>
      <c r="Q26" s="340">
        <f t="shared" si="18"/>
        <v>290456.1473</v>
      </c>
      <c r="R26" s="341">
        <f t="shared" si="18"/>
        <v>292398.5714</v>
      </c>
    </row>
    <row r="27" ht="12.75" customHeight="1">
      <c r="A27" s="328"/>
      <c r="B27" s="323"/>
      <c r="C27" s="329" t="s">
        <v>630</v>
      </c>
      <c r="D27" s="323"/>
      <c r="E27" s="323"/>
      <c r="F27" s="323"/>
      <c r="G27" s="344">
        <f t="shared" ref="G27:R27" si="19">G26/G23</f>
        <v>3</v>
      </c>
      <c r="H27" s="344">
        <f t="shared" si="19"/>
        <v>0.642239402</v>
      </c>
      <c r="I27" s="344">
        <f t="shared" si="19"/>
        <v>0.07080186775</v>
      </c>
      <c r="J27" s="344">
        <f t="shared" si="19"/>
        <v>0.06994817603</v>
      </c>
      <c r="K27" s="344">
        <f t="shared" si="19"/>
        <v>0.06657035753</v>
      </c>
      <c r="L27" s="344">
        <f t="shared" si="19"/>
        <v>0.07194098578</v>
      </c>
      <c r="M27" s="344">
        <f t="shared" si="19"/>
        <v>0.07639472249</v>
      </c>
      <c r="N27" s="344">
        <f t="shared" si="19"/>
        <v>0.08015694229</v>
      </c>
      <c r="O27" s="344">
        <f t="shared" si="19"/>
        <v>0.08264941634</v>
      </c>
      <c r="P27" s="344">
        <f t="shared" si="19"/>
        <v>0.08391690693</v>
      </c>
      <c r="Q27" s="344">
        <f t="shared" si="19"/>
        <v>0.08451347902</v>
      </c>
      <c r="R27" s="345">
        <f t="shared" si="19"/>
        <v>0.0850786625</v>
      </c>
    </row>
    <row r="28" ht="12.75" customHeight="1">
      <c r="A28" s="328"/>
      <c r="B28" s="323"/>
      <c r="C28" s="329"/>
      <c r="D28" s="323"/>
      <c r="E28" s="323"/>
      <c r="F28" s="323"/>
      <c r="G28" s="340"/>
      <c r="H28" s="344"/>
      <c r="I28" s="340"/>
      <c r="J28" s="340"/>
      <c r="K28" s="340"/>
      <c r="L28" s="340"/>
      <c r="M28" s="340"/>
      <c r="N28" s="340"/>
      <c r="O28" s="340"/>
      <c r="P28" s="340"/>
      <c r="Q28" s="340"/>
      <c r="R28" s="341"/>
    </row>
    <row r="29" ht="12.75" customHeight="1">
      <c r="A29" s="328"/>
      <c r="B29" s="323"/>
      <c r="C29" s="329" t="s">
        <v>631</v>
      </c>
      <c r="D29" s="323"/>
      <c r="E29" s="323"/>
      <c r="F29" s="323"/>
      <c r="G29" s="500">
        <f>G392</f>
        <v>0</v>
      </c>
      <c r="H29" s="500">
        <f t="shared" ref="H29:R29" si="20">H392+G29</f>
        <v>1771.006004</v>
      </c>
      <c r="I29" s="500">
        <f t="shared" si="20"/>
        <v>33548.25</v>
      </c>
      <c r="J29" s="500">
        <f t="shared" si="20"/>
        <v>66338.3602</v>
      </c>
      <c r="K29" s="500">
        <f t="shared" si="20"/>
        <v>100495.1066</v>
      </c>
      <c r="L29" s="500">
        <f t="shared" si="20"/>
        <v>134543.4075</v>
      </c>
      <c r="M29" s="500">
        <f t="shared" si="20"/>
        <v>168544.2331</v>
      </c>
      <c r="N29" s="500">
        <f t="shared" si="20"/>
        <v>202499.8731</v>
      </c>
      <c r="O29" s="500">
        <f t="shared" si="20"/>
        <v>236431.4724</v>
      </c>
      <c r="P29" s="500">
        <f t="shared" si="20"/>
        <v>270339.0308</v>
      </c>
      <c r="Q29" s="500">
        <f t="shared" si="20"/>
        <v>304233.9964</v>
      </c>
      <c r="R29" s="501">
        <f t="shared" si="20"/>
        <v>338128.962</v>
      </c>
    </row>
    <row r="30" ht="12.75" customHeight="1">
      <c r="A30" s="328"/>
      <c r="B30" s="323"/>
      <c r="C30" s="329"/>
      <c r="D30" s="329" t="s">
        <v>632</v>
      </c>
      <c r="E30" s="323"/>
      <c r="F30" s="323"/>
      <c r="G30" s="344">
        <f t="shared" ref="G30:R30" si="21">(G29+G26)/G23</f>
        <v>3</v>
      </c>
      <c r="H30" s="344">
        <f t="shared" si="21"/>
        <v>0.6521403921</v>
      </c>
      <c r="I30" s="344">
        <f t="shared" si="21"/>
        <v>0.08121245985</v>
      </c>
      <c r="J30" s="344">
        <f t="shared" si="21"/>
        <v>0.08990085296</v>
      </c>
      <c r="K30" s="344">
        <f t="shared" si="21"/>
        <v>0.09558725476</v>
      </c>
      <c r="L30" s="344">
        <f t="shared" si="21"/>
        <v>0.1109118262</v>
      </c>
      <c r="M30" s="344">
        <f t="shared" si="21"/>
        <v>0.1252823091</v>
      </c>
      <c r="N30" s="344">
        <f t="shared" si="21"/>
        <v>0.1389719525</v>
      </c>
      <c r="O30" s="344">
        <f t="shared" si="21"/>
        <v>0.151368662</v>
      </c>
      <c r="P30" s="344">
        <f t="shared" si="21"/>
        <v>0.1625475351</v>
      </c>
      <c r="Q30" s="344">
        <f t="shared" si="21"/>
        <v>0.1730358729</v>
      </c>
      <c r="R30" s="345">
        <f t="shared" si="21"/>
        <v>0.1834634108</v>
      </c>
    </row>
    <row r="31" ht="12.75" customHeight="1">
      <c r="A31" s="328"/>
      <c r="B31" s="323"/>
      <c r="C31" s="329"/>
      <c r="D31" s="323"/>
      <c r="E31" s="323"/>
      <c r="F31" s="323"/>
      <c r="G31" s="344"/>
      <c r="H31" s="344"/>
      <c r="I31" s="344"/>
      <c r="J31" s="344"/>
      <c r="K31" s="344"/>
      <c r="L31" s="344"/>
      <c r="M31" s="344"/>
      <c r="N31" s="344"/>
      <c r="O31" s="344"/>
      <c r="P31" s="344"/>
      <c r="Q31" s="344"/>
      <c r="R31" s="345"/>
    </row>
    <row r="32" ht="12.75" customHeight="1">
      <c r="A32" s="328"/>
      <c r="B32" s="323"/>
      <c r="C32" s="329" t="s">
        <v>196</v>
      </c>
      <c r="D32" s="323"/>
      <c r="E32" s="323"/>
      <c r="F32" s="323"/>
      <c r="G32" s="500">
        <f t="shared" ref="G32:R32" si="22">G428</f>
        <v>343750</v>
      </c>
      <c r="H32" s="500">
        <f t="shared" si="22"/>
        <v>393733.4236</v>
      </c>
      <c r="I32" s="500">
        <f t="shared" si="22"/>
        <v>211916.9198</v>
      </c>
      <c r="J32" s="500">
        <f t="shared" si="22"/>
        <v>171730.8357</v>
      </c>
      <c r="K32" s="500">
        <f t="shared" si="22"/>
        <v>119619.4245</v>
      </c>
      <c r="L32" s="500">
        <f t="shared" si="22"/>
        <v>86424.52556</v>
      </c>
      <c r="M32" s="500">
        <f t="shared" si="22"/>
        <v>51595.37863</v>
      </c>
      <c r="N32" s="500">
        <f t="shared" si="22"/>
        <v>64339.3197</v>
      </c>
      <c r="O32" s="500">
        <f t="shared" si="22"/>
        <v>272948.4548</v>
      </c>
      <c r="P32" s="500">
        <f t="shared" si="22"/>
        <v>277333.7548</v>
      </c>
      <c r="Q32" s="500">
        <f t="shared" si="22"/>
        <v>279396.8599</v>
      </c>
      <c r="R32" s="501">
        <f t="shared" si="22"/>
        <v>281339.284</v>
      </c>
    </row>
    <row r="33" ht="12.75" customHeight="1">
      <c r="A33" s="346"/>
      <c r="B33" s="347"/>
      <c r="C33" s="348"/>
      <c r="D33" s="348" t="s">
        <v>633</v>
      </c>
      <c r="E33" s="347"/>
      <c r="F33" s="347"/>
      <c r="G33" s="503">
        <f t="shared" ref="G33:R33" si="23">G461</f>
        <v>0</v>
      </c>
      <c r="H33" s="503">
        <f t="shared" si="23"/>
        <v>0</v>
      </c>
      <c r="I33" s="503">
        <f t="shared" si="23"/>
        <v>325239.784</v>
      </c>
      <c r="J33" s="503">
        <f t="shared" si="23"/>
        <v>324595.8097</v>
      </c>
      <c r="K33" s="503">
        <f t="shared" si="23"/>
        <v>337478.9982</v>
      </c>
      <c r="L33" s="503">
        <f t="shared" si="23"/>
        <v>338347.1382</v>
      </c>
      <c r="M33" s="503">
        <f t="shared" si="23"/>
        <v>337603.0182</v>
      </c>
      <c r="N33" s="503">
        <f t="shared" si="23"/>
        <v>336920.9082</v>
      </c>
      <c r="O33" s="503">
        <f t="shared" si="23"/>
        <v>336269.8032</v>
      </c>
      <c r="P33" s="503">
        <f t="shared" si="23"/>
        <v>335618.6982</v>
      </c>
      <c r="Q33" s="503">
        <f t="shared" si="23"/>
        <v>335277.6432</v>
      </c>
      <c r="R33" s="504">
        <f t="shared" si="23"/>
        <v>335277.6432</v>
      </c>
    </row>
    <row r="34" ht="12.75" customHeight="1">
      <c r="A34" s="316"/>
      <c r="B34" s="90"/>
      <c r="C34" s="90"/>
      <c r="D34" s="90"/>
      <c r="E34" s="90"/>
      <c r="F34" s="90"/>
      <c r="G34" s="90"/>
      <c r="H34" s="90"/>
      <c r="I34" s="90"/>
      <c r="J34" s="90"/>
      <c r="K34" s="90"/>
      <c r="L34" s="90"/>
      <c r="M34" s="90"/>
      <c r="N34" s="90"/>
      <c r="O34" s="90"/>
      <c r="P34" s="90"/>
      <c r="Q34" s="90"/>
      <c r="R34" s="90"/>
    </row>
    <row r="35" ht="12.75" customHeight="1">
      <c r="A35" s="106" t="s">
        <v>634</v>
      </c>
      <c r="B35" s="253"/>
      <c r="C35" s="253"/>
      <c r="D35" s="253"/>
      <c r="E35" s="253"/>
      <c r="F35" s="253"/>
      <c r="G35" s="253"/>
      <c r="H35" s="253"/>
      <c r="I35" s="253"/>
      <c r="J35" s="253"/>
      <c r="K35" s="253"/>
      <c r="L35" s="253"/>
      <c r="M35" s="253"/>
      <c r="N35" s="253"/>
      <c r="O35" s="253"/>
      <c r="P35" s="253"/>
      <c r="Q35" s="253"/>
      <c r="R35" s="253"/>
    </row>
    <row r="36" ht="12.75" customHeight="1" outlineLevel="1">
      <c r="A36" s="67"/>
      <c r="B36" s="90"/>
      <c r="C36" s="90"/>
      <c r="D36" s="90"/>
      <c r="E36" s="90"/>
      <c r="F36" s="90"/>
      <c r="G36" s="90"/>
      <c r="H36" s="90"/>
      <c r="I36" s="90"/>
      <c r="J36" s="90"/>
      <c r="K36" s="90"/>
      <c r="L36" s="90"/>
      <c r="M36" s="90"/>
      <c r="N36" s="90"/>
      <c r="O36" s="90"/>
      <c r="P36" s="90"/>
      <c r="Q36" s="90"/>
      <c r="R36" s="90"/>
    </row>
    <row r="37" ht="12.75" customHeight="1" outlineLevel="1">
      <c r="A37" s="67"/>
      <c r="B37" s="90" t="s">
        <v>635</v>
      </c>
      <c r="C37" s="90"/>
      <c r="D37" s="90"/>
      <c r="E37" s="90"/>
      <c r="F37" s="90"/>
      <c r="G37" s="102" t="str">
        <f>'RS3'!J36</f>
        <v/>
      </c>
      <c r="H37" s="102">
        <f>'RS3'!K36</f>
        <v>0</v>
      </c>
      <c r="I37" s="102">
        <f>'RS3'!L36</f>
        <v>180</v>
      </c>
      <c r="J37" s="102">
        <f>'RS3'!M36</f>
        <v>180</v>
      </c>
      <c r="K37" s="102">
        <f>'RS3'!N36</f>
        <v>180</v>
      </c>
      <c r="L37" s="102">
        <f>'RS3'!O36</f>
        <v>180</v>
      </c>
      <c r="M37" s="102">
        <f>'RS3'!P36</f>
        <v>180</v>
      </c>
      <c r="N37" s="102">
        <f>'RS3'!Q36</f>
        <v>180</v>
      </c>
      <c r="O37" s="102">
        <f>'RS3'!R36</f>
        <v>180</v>
      </c>
      <c r="P37" s="102">
        <f>'RS3'!S36</f>
        <v>180</v>
      </c>
      <c r="Q37" s="102">
        <f>'RS3'!T36</f>
        <v>180</v>
      </c>
      <c r="R37" s="102">
        <f>'RS3'!U36</f>
        <v>180</v>
      </c>
    </row>
    <row r="38" ht="12.75" customHeight="1" outlineLevel="1">
      <c r="A38" s="67"/>
      <c r="B38" s="90" t="s">
        <v>636</v>
      </c>
      <c r="C38" s="90"/>
      <c r="D38" s="90"/>
      <c r="E38" s="90"/>
      <c r="F38" s="90"/>
      <c r="G38" s="102" t="str">
        <f>'RS3'!J37</f>
        <v/>
      </c>
      <c r="H38" s="102">
        <f>'RS3'!K37</f>
        <v>0</v>
      </c>
      <c r="I38" s="102">
        <f>'RS3'!L37</f>
        <v>2</v>
      </c>
      <c r="J38" s="102">
        <f>'RS3'!M37</f>
        <v>2</v>
      </c>
      <c r="K38" s="102">
        <f>'RS3'!N37</f>
        <v>2</v>
      </c>
      <c r="L38" s="102">
        <f>'RS3'!O37</f>
        <v>2</v>
      </c>
      <c r="M38" s="102">
        <f>'RS3'!P37</f>
        <v>2</v>
      </c>
      <c r="N38" s="102">
        <f>'RS3'!Q37</f>
        <v>2</v>
      </c>
      <c r="O38" s="102">
        <f>'RS3'!R37</f>
        <v>2</v>
      </c>
      <c r="P38" s="102">
        <f>'RS3'!S37</f>
        <v>2</v>
      </c>
      <c r="Q38" s="102">
        <f>'RS3'!T37</f>
        <v>2</v>
      </c>
      <c r="R38" s="102">
        <f>'RS3'!U37</f>
        <v>2</v>
      </c>
    </row>
    <row r="39" ht="12.75" customHeight="1" outlineLevel="1">
      <c r="A39" s="67"/>
      <c r="B39" s="90"/>
      <c r="C39" s="90"/>
      <c r="D39" s="90"/>
      <c r="E39" s="90"/>
      <c r="F39" s="90"/>
      <c r="G39" s="90"/>
      <c r="H39" s="90"/>
      <c r="I39" s="90"/>
      <c r="J39" s="90"/>
      <c r="K39" s="90"/>
      <c r="L39" s="90"/>
      <c r="M39" s="90"/>
      <c r="N39" s="90"/>
      <c r="O39" s="90"/>
      <c r="P39" s="90"/>
      <c r="Q39" s="90"/>
      <c r="R39" s="90"/>
    </row>
    <row r="40" ht="12.75" customHeight="1" outlineLevel="1">
      <c r="A40" s="67"/>
      <c r="B40" s="90" t="s">
        <v>165</v>
      </c>
      <c r="C40" s="90"/>
      <c r="D40" s="90"/>
      <c r="E40" s="90"/>
      <c r="F40" s="90"/>
      <c r="G40" s="90"/>
      <c r="H40" s="90"/>
      <c r="I40" s="90"/>
      <c r="J40" s="90"/>
      <c r="K40" s="90"/>
      <c r="L40" s="90"/>
      <c r="M40" s="90"/>
      <c r="N40" s="90"/>
      <c r="O40" s="90"/>
      <c r="P40" s="90"/>
      <c r="Q40" s="90"/>
      <c r="R40" s="90"/>
    </row>
    <row r="41" ht="12.75" customHeight="1" outlineLevel="1">
      <c r="A41" s="67"/>
      <c r="B41" s="90"/>
      <c r="C41" s="90" t="s">
        <v>166</v>
      </c>
      <c r="D41" s="90"/>
      <c r="E41" s="90"/>
      <c r="F41" s="90"/>
      <c r="G41" s="102" t="str">
        <f>'RS3'!J40</f>
        <v/>
      </c>
      <c r="H41" s="102">
        <f>'RS3'!K40</f>
        <v>0</v>
      </c>
      <c r="I41" s="102">
        <f>Assumptions!E39</f>
        <v>120</v>
      </c>
      <c r="J41" s="102">
        <f>Assumptions!F39</f>
        <v>120</v>
      </c>
      <c r="K41" s="102">
        <f>Assumptions!G39</f>
        <v>105</v>
      </c>
      <c r="L41" s="102">
        <f>Assumptions!H39</f>
        <v>105</v>
      </c>
      <c r="M41" s="102">
        <f>Assumptions!I39</f>
        <v>105</v>
      </c>
      <c r="N41" s="102">
        <f>Assumptions!J39</f>
        <v>105</v>
      </c>
      <c r="O41" s="102">
        <f>Assumptions!K39</f>
        <v>105</v>
      </c>
      <c r="P41" s="102">
        <f>Assumptions!L39</f>
        <v>105</v>
      </c>
      <c r="Q41" s="102">
        <f t="shared" ref="Q41:R41" si="24">P41</f>
        <v>105</v>
      </c>
      <c r="R41" s="102">
        <f t="shared" si="24"/>
        <v>105</v>
      </c>
    </row>
    <row r="42" ht="12.75" customHeight="1" outlineLevel="1">
      <c r="A42" s="67"/>
      <c r="B42" s="90"/>
      <c r="C42" s="90" t="s">
        <v>167</v>
      </c>
      <c r="D42" s="90"/>
      <c r="E42" s="90"/>
      <c r="F42" s="90"/>
      <c r="G42" s="102" t="str">
        <f>'RS3'!J41</f>
        <v/>
      </c>
      <c r="H42" s="102">
        <f>'RS3'!K41</f>
        <v>0</v>
      </c>
      <c r="I42" s="102">
        <f>Assumptions!E40</f>
        <v>112</v>
      </c>
      <c r="J42" s="102">
        <f>Assumptions!F40</f>
        <v>112</v>
      </c>
      <c r="K42" s="102">
        <f>Assumptions!G40</f>
        <v>100</v>
      </c>
      <c r="L42" s="102">
        <f>Assumptions!H40</f>
        <v>100</v>
      </c>
      <c r="M42" s="102">
        <f>Assumptions!I40</f>
        <v>100</v>
      </c>
      <c r="N42" s="102">
        <f>Assumptions!J40</f>
        <v>100</v>
      </c>
      <c r="O42" s="102">
        <f>Assumptions!K40</f>
        <v>100</v>
      </c>
      <c r="P42" s="102">
        <f>Assumptions!L40</f>
        <v>100</v>
      </c>
      <c r="Q42" s="102">
        <f t="shared" ref="Q42:R42" si="25">P42</f>
        <v>100</v>
      </c>
      <c r="R42" s="102">
        <f t="shared" si="25"/>
        <v>100</v>
      </c>
    </row>
    <row r="43" ht="12.75" customHeight="1" outlineLevel="1">
      <c r="A43" s="67"/>
      <c r="B43" s="90"/>
      <c r="C43" s="90" t="s">
        <v>168</v>
      </c>
      <c r="D43" s="90"/>
      <c r="E43" s="90"/>
      <c r="F43" s="90"/>
      <c r="G43" s="102" t="str">
        <f>'RS3'!J42</f>
        <v/>
      </c>
      <c r="H43" s="102">
        <f>'RS3'!K42</f>
        <v>0</v>
      </c>
      <c r="I43" s="102">
        <f>Assumptions!E41</f>
        <v>80</v>
      </c>
      <c r="J43" s="102">
        <f>Assumptions!F41</f>
        <v>80</v>
      </c>
      <c r="K43" s="102">
        <f>Assumptions!G41</f>
        <v>80</v>
      </c>
      <c r="L43" s="102">
        <f>Assumptions!H41</f>
        <v>80</v>
      </c>
      <c r="M43" s="102">
        <f>Assumptions!I41</f>
        <v>80</v>
      </c>
      <c r="N43" s="102">
        <f>Assumptions!J41</f>
        <v>80</v>
      </c>
      <c r="O43" s="102">
        <f>Assumptions!K41</f>
        <v>80</v>
      </c>
      <c r="P43" s="102">
        <f>Assumptions!L41</f>
        <v>80</v>
      </c>
      <c r="Q43" s="102">
        <f t="shared" ref="Q43:R43" si="26">P43</f>
        <v>80</v>
      </c>
      <c r="R43" s="102">
        <f t="shared" si="26"/>
        <v>80</v>
      </c>
    </row>
    <row r="44" ht="12.75" customHeight="1" outlineLevel="1">
      <c r="A44" s="67"/>
      <c r="B44" s="90"/>
      <c r="C44" s="90" t="s">
        <v>169</v>
      </c>
      <c r="D44" s="90"/>
      <c r="E44" s="90"/>
      <c r="F44" s="90"/>
      <c r="G44" s="102" t="str">
        <f>'RS3'!J43</f>
        <v/>
      </c>
      <c r="H44" s="102">
        <f>'RS3'!K43</f>
        <v>0</v>
      </c>
      <c r="I44" s="102">
        <f>Assumptions!E42</f>
        <v>80</v>
      </c>
      <c r="J44" s="102">
        <f>Assumptions!F42</f>
        <v>80</v>
      </c>
      <c r="K44" s="102">
        <f>Assumptions!G42</f>
        <v>80</v>
      </c>
      <c r="L44" s="102">
        <f>Assumptions!H42</f>
        <v>80</v>
      </c>
      <c r="M44" s="102">
        <f>Assumptions!I42</f>
        <v>80</v>
      </c>
      <c r="N44" s="102">
        <f>Assumptions!J42</f>
        <v>80</v>
      </c>
      <c r="O44" s="102">
        <f>Assumptions!K42</f>
        <v>80</v>
      </c>
      <c r="P44" s="102">
        <f>Assumptions!L42</f>
        <v>80</v>
      </c>
      <c r="Q44" s="102">
        <f t="shared" ref="Q44:R44" si="27">P44</f>
        <v>80</v>
      </c>
      <c r="R44" s="102">
        <f t="shared" si="27"/>
        <v>80</v>
      </c>
    </row>
    <row r="45" ht="12.75" customHeight="1" outlineLevel="1">
      <c r="A45" s="67"/>
      <c r="B45" s="90"/>
      <c r="C45" s="90" t="s">
        <v>170</v>
      </c>
      <c r="D45" s="90"/>
      <c r="E45" s="90"/>
      <c r="F45" s="90"/>
      <c r="G45" s="102" t="str">
        <f>'RS3'!J44</f>
        <v/>
      </c>
      <c r="H45" s="102">
        <f>'RS3'!K44</f>
        <v>0</v>
      </c>
      <c r="I45" s="102">
        <f>Assumptions!E43</f>
        <v>0</v>
      </c>
      <c r="J45" s="102">
        <f>Assumptions!F43</f>
        <v>72</v>
      </c>
      <c r="K45" s="102">
        <f>Assumptions!G43</f>
        <v>75</v>
      </c>
      <c r="L45" s="102">
        <f>Assumptions!H43</f>
        <v>75</v>
      </c>
      <c r="M45" s="102">
        <f>Assumptions!I43</f>
        <v>75</v>
      </c>
      <c r="N45" s="102">
        <f>Assumptions!J43</f>
        <v>75</v>
      </c>
      <c r="O45" s="102">
        <f>Assumptions!K43</f>
        <v>75</v>
      </c>
      <c r="P45" s="102">
        <f>Assumptions!L43</f>
        <v>75</v>
      </c>
      <c r="Q45" s="102">
        <f t="shared" ref="Q45:R45" si="28">P45</f>
        <v>75</v>
      </c>
      <c r="R45" s="102">
        <f t="shared" si="28"/>
        <v>75</v>
      </c>
    </row>
    <row r="46" ht="12.75" customHeight="1" outlineLevel="1">
      <c r="A46" s="67"/>
      <c r="B46" s="87"/>
      <c r="C46" s="87" t="s">
        <v>171</v>
      </c>
      <c r="D46" s="87"/>
      <c r="E46" s="87"/>
      <c r="F46" s="87"/>
      <c r="G46" s="102" t="str">
        <f>'RS3'!J45</f>
        <v/>
      </c>
      <c r="H46" s="102">
        <f>'RS3'!K45</f>
        <v>0</v>
      </c>
      <c r="I46" s="102">
        <f>Assumptions!E44</f>
        <v>0</v>
      </c>
      <c r="J46" s="102">
        <f>Assumptions!F44</f>
        <v>0</v>
      </c>
      <c r="K46" s="102">
        <f>Assumptions!G44</f>
        <v>60</v>
      </c>
      <c r="L46" s="102">
        <f>Assumptions!H44</f>
        <v>60</v>
      </c>
      <c r="M46" s="102">
        <f>Assumptions!I44</f>
        <v>60</v>
      </c>
      <c r="N46" s="102">
        <f>Assumptions!J44</f>
        <v>60</v>
      </c>
      <c r="O46" s="102">
        <f>Assumptions!K44</f>
        <v>60</v>
      </c>
      <c r="P46" s="102">
        <f>Assumptions!L44</f>
        <v>60</v>
      </c>
      <c r="Q46" s="102">
        <f t="shared" ref="Q46:R46" si="29">P46</f>
        <v>60</v>
      </c>
      <c r="R46" s="102">
        <f t="shared" si="29"/>
        <v>60</v>
      </c>
    </row>
    <row r="47" ht="12.75" customHeight="1" outlineLevel="1">
      <c r="A47" s="67"/>
      <c r="B47" s="90" t="s">
        <v>619</v>
      </c>
      <c r="C47" s="90"/>
      <c r="D47" s="90"/>
      <c r="E47" s="90"/>
      <c r="F47" s="90"/>
      <c r="G47" s="285">
        <f t="shared" ref="G47:P47" si="30">SUM(G41:G46)</f>
        <v>0</v>
      </c>
      <c r="H47" s="285">
        <f t="shared" si="30"/>
        <v>0</v>
      </c>
      <c r="I47" s="285">
        <f t="shared" si="30"/>
        <v>392</v>
      </c>
      <c r="J47" s="285">
        <f t="shared" si="30"/>
        <v>464</v>
      </c>
      <c r="K47" s="285">
        <f t="shared" si="30"/>
        <v>500</v>
      </c>
      <c r="L47" s="285">
        <f t="shared" si="30"/>
        <v>500</v>
      </c>
      <c r="M47" s="285">
        <f t="shared" si="30"/>
        <v>500</v>
      </c>
      <c r="N47" s="285">
        <f t="shared" si="30"/>
        <v>500</v>
      </c>
      <c r="O47" s="285">
        <f t="shared" si="30"/>
        <v>500</v>
      </c>
      <c r="P47" s="285">
        <f t="shared" si="30"/>
        <v>500</v>
      </c>
      <c r="Q47" s="285">
        <f t="shared" ref="Q47:R47" si="31">P47</f>
        <v>500</v>
      </c>
      <c r="R47" s="285">
        <f t="shared" si="31"/>
        <v>500</v>
      </c>
    </row>
    <row r="48" ht="12.75" customHeight="1" outlineLevel="1">
      <c r="A48" s="67"/>
      <c r="B48" s="90"/>
      <c r="C48" s="90"/>
      <c r="D48" s="90"/>
      <c r="E48" s="90"/>
      <c r="F48" s="90"/>
      <c r="G48" s="90"/>
      <c r="H48" s="90"/>
      <c r="I48" s="90"/>
      <c r="J48" s="90"/>
      <c r="K48" s="90"/>
      <c r="L48" s="90"/>
      <c r="M48" s="90"/>
      <c r="N48" s="90"/>
      <c r="O48" s="90"/>
      <c r="P48" s="90"/>
      <c r="Q48" s="90"/>
      <c r="R48" s="90"/>
    </row>
    <row r="49" ht="12.75" customHeight="1" outlineLevel="1">
      <c r="A49" s="67"/>
      <c r="B49" s="90" t="s">
        <v>637</v>
      </c>
      <c r="C49" s="90"/>
      <c r="D49" s="90"/>
      <c r="E49" s="90"/>
      <c r="F49" s="90"/>
      <c r="G49" s="102">
        <v>0.0</v>
      </c>
      <c r="H49" s="102">
        <v>0.0</v>
      </c>
      <c r="I49" s="102">
        <f>I47</f>
        <v>392</v>
      </c>
      <c r="J49" s="102">
        <f t="shared" ref="J49:R49" si="32">J47-I47</f>
        <v>72</v>
      </c>
      <c r="K49" s="102">
        <f t="shared" si="32"/>
        <v>36</v>
      </c>
      <c r="L49" s="102">
        <f t="shared" si="32"/>
        <v>0</v>
      </c>
      <c r="M49" s="102">
        <f t="shared" si="32"/>
        <v>0</v>
      </c>
      <c r="N49" s="102">
        <f t="shared" si="32"/>
        <v>0</v>
      </c>
      <c r="O49" s="102">
        <f t="shared" si="32"/>
        <v>0</v>
      </c>
      <c r="P49" s="102">
        <f t="shared" si="32"/>
        <v>0</v>
      </c>
      <c r="Q49" s="102">
        <f t="shared" si="32"/>
        <v>0</v>
      </c>
      <c r="R49" s="102">
        <f t="shared" si="32"/>
        <v>0</v>
      </c>
    </row>
    <row r="50" ht="12.75" customHeight="1" outlineLevel="1">
      <c r="A50" s="67"/>
      <c r="B50" s="90"/>
      <c r="C50" s="90"/>
      <c r="D50" s="90"/>
      <c r="E50" s="90"/>
      <c r="F50" s="90"/>
      <c r="G50" s="90"/>
      <c r="H50" s="90"/>
      <c r="I50" s="90"/>
      <c r="J50" s="90"/>
      <c r="K50" s="90"/>
      <c r="L50" s="90"/>
      <c r="M50" s="90"/>
      <c r="N50" s="90"/>
      <c r="O50" s="90"/>
      <c r="P50" s="90"/>
      <c r="Q50" s="90"/>
      <c r="R50" s="90"/>
    </row>
    <row r="51" ht="12.75" customHeight="1" outlineLevel="1">
      <c r="A51" s="67"/>
      <c r="B51" s="90" t="s">
        <v>638</v>
      </c>
      <c r="C51" s="90"/>
      <c r="D51" s="90"/>
      <c r="E51" s="90"/>
      <c r="F51" s="90"/>
      <c r="G51" s="152"/>
      <c r="H51" s="152"/>
      <c r="I51" s="152">
        <f>1-Assumptions!$H$35</f>
        <v>1</v>
      </c>
      <c r="J51" s="152">
        <f>1-Assumptions!$H$35</f>
        <v>1</v>
      </c>
      <c r="K51" s="152">
        <f>1-Assumptions!$H$35</f>
        <v>1</v>
      </c>
      <c r="L51" s="152">
        <f>1-Assumptions!$H$35</f>
        <v>1</v>
      </c>
      <c r="M51" s="152">
        <f>1-Assumptions!$H$35</f>
        <v>1</v>
      </c>
      <c r="N51" s="152">
        <f>1-Assumptions!$H$35</f>
        <v>1</v>
      </c>
      <c r="O51" s="152">
        <f>1-Assumptions!$H$35</f>
        <v>1</v>
      </c>
      <c r="P51" s="152">
        <f>1-Assumptions!$H$35</f>
        <v>1</v>
      </c>
      <c r="Q51" s="152">
        <f>1-Assumptions!$H$35</f>
        <v>1</v>
      </c>
      <c r="R51" s="152">
        <f>1-Assumptions!$H$35</f>
        <v>1</v>
      </c>
    </row>
    <row r="52" ht="12.75" customHeight="1" outlineLevel="1">
      <c r="A52" s="67"/>
      <c r="B52" s="90"/>
      <c r="C52" s="90"/>
      <c r="D52" s="90"/>
      <c r="E52" s="90"/>
      <c r="F52" s="90"/>
      <c r="G52" s="90"/>
      <c r="H52" s="90"/>
      <c r="I52" s="90"/>
      <c r="J52" s="90"/>
      <c r="K52" s="90"/>
      <c r="L52" s="90"/>
      <c r="M52" s="90"/>
      <c r="N52" s="90"/>
      <c r="O52" s="90"/>
      <c r="P52" s="90"/>
      <c r="Q52" s="90"/>
      <c r="R52" s="90"/>
    </row>
    <row r="53" ht="12.75" customHeight="1" outlineLevel="1">
      <c r="A53" s="67"/>
      <c r="B53" s="90" t="s">
        <v>639</v>
      </c>
      <c r="C53" s="90"/>
      <c r="D53" s="90"/>
      <c r="E53" s="90"/>
      <c r="F53" s="90"/>
      <c r="G53" s="152" t="str">
        <f>'RS3'!J52</f>
        <v/>
      </c>
      <c r="H53" s="152">
        <f>'RS3'!K52</f>
        <v>0</v>
      </c>
      <c r="I53" s="152">
        <v>0.96</v>
      </c>
      <c r="J53" s="152">
        <v>0.96</v>
      </c>
      <c r="K53" s="152">
        <v>0.96</v>
      </c>
      <c r="L53" s="152">
        <v>0.96</v>
      </c>
      <c r="M53" s="152">
        <v>0.96</v>
      </c>
      <c r="N53" s="152">
        <v>0.96</v>
      </c>
      <c r="O53" s="152">
        <v>0.96</v>
      </c>
      <c r="P53" s="152">
        <v>0.96</v>
      </c>
      <c r="Q53" s="152">
        <v>0.96</v>
      </c>
      <c r="R53" s="152">
        <v>0.96</v>
      </c>
    </row>
    <row r="54" ht="12.75" customHeight="1" outlineLevel="1">
      <c r="A54" s="67"/>
      <c r="B54" s="90"/>
      <c r="C54" s="90" t="s">
        <v>640</v>
      </c>
      <c r="D54" s="90"/>
      <c r="E54" s="90"/>
      <c r="F54" s="90"/>
      <c r="G54" s="102">
        <f t="shared" ref="G54:R54" si="33">G51*G53*SUM(G41:G44)</f>
        <v>0</v>
      </c>
      <c r="H54" s="102">
        <f t="shared" si="33"/>
        <v>0</v>
      </c>
      <c r="I54" s="102">
        <f t="shared" si="33"/>
        <v>376.32</v>
      </c>
      <c r="J54" s="102">
        <f t="shared" si="33"/>
        <v>376.32</v>
      </c>
      <c r="K54" s="102">
        <f t="shared" si="33"/>
        <v>350.4</v>
      </c>
      <c r="L54" s="102">
        <f t="shared" si="33"/>
        <v>350.4</v>
      </c>
      <c r="M54" s="102">
        <f t="shared" si="33"/>
        <v>350.4</v>
      </c>
      <c r="N54" s="102">
        <f t="shared" si="33"/>
        <v>350.4</v>
      </c>
      <c r="O54" s="102">
        <f t="shared" si="33"/>
        <v>350.4</v>
      </c>
      <c r="P54" s="102">
        <f t="shared" si="33"/>
        <v>350.4</v>
      </c>
      <c r="Q54" s="102">
        <f t="shared" si="33"/>
        <v>350.4</v>
      </c>
      <c r="R54" s="102">
        <f t="shared" si="33"/>
        <v>350.4</v>
      </c>
    </row>
    <row r="55" ht="12.75" customHeight="1" outlineLevel="1">
      <c r="A55" s="67"/>
      <c r="B55" s="90"/>
      <c r="C55" s="90" t="s">
        <v>641</v>
      </c>
      <c r="D55" s="90"/>
      <c r="E55" s="90"/>
      <c r="F55" s="90"/>
      <c r="G55" s="102">
        <f t="shared" ref="G55:R55" si="34">G51*G53*(G45+G46)</f>
        <v>0</v>
      </c>
      <c r="H55" s="102">
        <f t="shared" si="34"/>
        <v>0</v>
      </c>
      <c r="I55" s="102">
        <f t="shared" si="34"/>
        <v>0</v>
      </c>
      <c r="J55" s="102">
        <f t="shared" si="34"/>
        <v>69.12</v>
      </c>
      <c r="K55" s="102">
        <f t="shared" si="34"/>
        <v>129.6</v>
      </c>
      <c r="L55" s="102">
        <f t="shared" si="34"/>
        <v>129.6</v>
      </c>
      <c r="M55" s="102">
        <f t="shared" si="34"/>
        <v>129.6</v>
      </c>
      <c r="N55" s="102">
        <f t="shared" si="34"/>
        <v>129.6</v>
      </c>
      <c r="O55" s="102">
        <f t="shared" si="34"/>
        <v>129.6</v>
      </c>
      <c r="P55" s="102">
        <f t="shared" si="34"/>
        <v>129.6</v>
      </c>
      <c r="Q55" s="102">
        <f t="shared" si="34"/>
        <v>129.6</v>
      </c>
      <c r="R55" s="102">
        <f t="shared" si="34"/>
        <v>129.6</v>
      </c>
    </row>
    <row r="56" ht="12.75" customHeight="1" outlineLevel="1">
      <c r="A56" s="67"/>
      <c r="B56" s="148" t="s">
        <v>538</v>
      </c>
      <c r="C56" s="148"/>
      <c r="D56" s="148"/>
      <c r="E56" s="148"/>
      <c r="F56" s="148"/>
      <c r="G56" s="285">
        <f t="shared" ref="G56:R56" si="35">G51*G53*G47</f>
        <v>0</v>
      </c>
      <c r="H56" s="285">
        <f t="shared" si="35"/>
        <v>0</v>
      </c>
      <c r="I56" s="285">
        <f t="shared" si="35"/>
        <v>376.32</v>
      </c>
      <c r="J56" s="285">
        <f t="shared" si="35"/>
        <v>445.44</v>
      </c>
      <c r="K56" s="285">
        <f t="shared" si="35"/>
        <v>480</v>
      </c>
      <c r="L56" s="285">
        <f t="shared" si="35"/>
        <v>480</v>
      </c>
      <c r="M56" s="285">
        <f t="shared" si="35"/>
        <v>480</v>
      </c>
      <c r="N56" s="285">
        <f t="shared" si="35"/>
        <v>480</v>
      </c>
      <c r="O56" s="285">
        <f t="shared" si="35"/>
        <v>480</v>
      </c>
      <c r="P56" s="285">
        <f t="shared" si="35"/>
        <v>480</v>
      </c>
      <c r="Q56" s="285">
        <f t="shared" si="35"/>
        <v>480</v>
      </c>
      <c r="R56" s="285">
        <f t="shared" si="35"/>
        <v>480</v>
      </c>
    </row>
    <row r="57" ht="12.75" customHeight="1" outlineLevel="1">
      <c r="A57" s="67"/>
      <c r="B57" s="195"/>
      <c r="C57" s="90"/>
      <c r="D57" s="90"/>
      <c r="E57" s="90"/>
      <c r="F57" s="90"/>
      <c r="G57" s="90"/>
      <c r="H57" s="90"/>
      <c r="I57" s="90"/>
      <c r="J57" s="90"/>
      <c r="K57" s="90"/>
      <c r="L57" s="90"/>
      <c r="M57" s="90"/>
      <c r="N57" s="90"/>
      <c r="O57" s="90"/>
      <c r="P57" s="90"/>
      <c r="Q57" s="90"/>
      <c r="R57" s="90"/>
    </row>
    <row r="58" ht="12.75" customHeight="1" outlineLevel="1">
      <c r="A58" s="67"/>
      <c r="B58" s="90" t="s">
        <v>642</v>
      </c>
      <c r="C58" s="90"/>
      <c r="D58" s="90"/>
      <c r="E58" s="90"/>
      <c r="F58" s="90"/>
      <c r="G58" s="152" t="str">
        <f>'RS3'!J57</f>
        <v/>
      </c>
      <c r="H58" s="152">
        <f>'RS3'!K57</f>
        <v>0</v>
      </c>
      <c r="I58" s="152">
        <v>0.7</v>
      </c>
      <c r="J58" s="152">
        <v>0.7</v>
      </c>
      <c r="K58" s="152">
        <v>0.7</v>
      </c>
      <c r="L58" s="152">
        <v>0.7</v>
      </c>
      <c r="M58" s="152">
        <v>0.7</v>
      </c>
      <c r="N58" s="152">
        <v>0.7</v>
      </c>
      <c r="O58" s="152">
        <v>0.7</v>
      </c>
      <c r="P58" s="152">
        <v>0.7</v>
      </c>
      <c r="Q58" s="152">
        <v>0.7</v>
      </c>
      <c r="R58" s="152">
        <v>0.7</v>
      </c>
    </row>
    <row r="59" ht="12.75" customHeight="1" outlineLevel="1">
      <c r="A59" s="67"/>
      <c r="B59" s="90" t="s">
        <v>643</v>
      </c>
      <c r="C59" s="90"/>
      <c r="D59" s="90"/>
      <c r="E59" s="90"/>
      <c r="F59" s="90"/>
      <c r="G59" s="102">
        <f t="shared" ref="G59:R59" si="36">ROUND(G51*G58*G47,0)</f>
        <v>0</v>
      </c>
      <c r="H59" s="102">
        <f t="shared" si="36"/>
        <v>0</v>
      </c>
      <c r="I59" s="102">
        <f t="shared" si="36"/>
        <v>274</v>
      </c>
      <c r="J59" s="102">
        <f t="shared" si="36"/>
        <v>325</v>
      </c>
      <c r="K59" s="102">
        <f t="shared" si="36"/>
        <v>350</v>
      </c>
      <c r="L59" s="102">
        <f t="shared" si="36"/>
        <v>350</v>
      </c>
      <c r="M59" s="102">
        <f t="shared" si="36"/>
        <v>350</v>
      </c>
      <c r="N59" s="102">
        <f t="shared" si="36"/>
        <v>350</v>
      </c>
      <c r="O59" s="102">
        <f t="shared" si="36"/>
        <v>350</v>
      </c>
      <c r="P59" s="102">
        <f t="shared" si="36"/>
        <v>350</v>
      </c>
      <c r="Q59" s="102">
        <f t="shared" si="36"/>
        <v>350</v>
      </c>
      <c r="R59" s="102">
        <f t="shared" si="36"/>
        <v>350</v>
      </c>
    </row>
    <row r="60" ht="12.75" customHeight="1" outlineLevel="1">
      <c r="A60" s="67"/>
      <c r="B60" s="90" t="s">
        <v>644</v>
      </c>
      <c r="C60" s="90"/>
      <c r="D60" s="90"/>
      <c r="E60" s="90"/>
      <c r="F60" s="90"/>
      <c r="G60" s="152">
        <v>0.0</v>
      </c>
      <c r="H60" s="152">
        <v>0.0</v>
      </c>
      <c r="I60" s="152">
        <v>0.06</v>
      </c>
      <c r="J60" s="152">
        <v>0.06</v>
      </c>
      <c r="K60" s="152">
        <v>0.06</v>
      </c>
      <c r="L60" s="152">
        <v>0.06</v>
      </c>
      <c r="M60" s="152">
        <v>0.06</v>
      </c>
      <c r="N60" s="152">
        <v>0.06</v>
      </c>
      <c r="O60" s="152">
        <v>0.06</v>
      </c>
      <c r="P60" s="152">
        <v>0.06</v>
      </c>
      <c r="Q60" s="152">
        <v>0.06</v>
      </c>
      <c r="R60" s="152">
        <v>0.06</v>
      </c>
    </row>
    <row r="61" ht="12.75" customHeight="1" outlineLevel="1">
      <c r="A61" s="67"/>
      <c r="B61" s="90" t="s">
        <v>645</v>
      </c>
      <c r="C61" s="90"/>
      <c r="D61" s="90"/>
      <c r="E61" s="90"/>
      <c r="F61" s="90"/>
      <c r="G61" s="152">
        <v>0.0</v>
      </c>
      <c r="H61" s="152">
        <v>0.0</v>
      </c>
      <c r="I61" s="152">
        <v>0.8</v>
      </c>
      <c r="J61" s="152">
        <v>0.8</v>
      </c>
      <c r="K61" s="152">
        <v>0.8</v>
      </c>
      <c r="L61" s="152">
        <v>0.8</v>
      </c>
      <c r="M61" s="152">
        <v>0.8</v>
      </c>
      <c r="N61" s="152">
        <v>0.8</v>
      </c>
      <c r="O61" s="152">
        <v>0.8</v>
      </c>
      <c r="P61" s="152">
        <v>0.8</v>
      </c>
      <c r="Q61" s="152">
        <v>0.8</v>
      </c>
      <c r="R61" s="152">
        <v>0.8</v>
      </c>
    </row>
    <row r="62" ht="12.75" customHeight="1" outlineLevel="1">
      <c r="A62" s="67"/>
      <c r="B62" s="90" t="s">
        <v>646</v>
      </c>
      <c r="C62" s="90"/>
      <c r="D62" s="90"/>
      <c r="E62" s="90"/>
      <c r="F62" s="90"/>
      <c r="G62" s="102">
        <v>0.0</v>
      </c>
      <c r="H62" s="102">
        <v>0.0</v>
      </c>
      <c r="I62" s="102">
        <v>16.44</v>
      </c>
      <c r="J62" s="102">
        <v>19.5</v>
      </c>
      <c r="K62" s="102">
        <v>21.0</v>
      </c>
      <c r="L62" s="102">
        <v>21.0</v>
      </c>
      <c r="M62" s="102">
        <v>21.0</v>
      </c>
      <c r="N62" s="102">
        <v>21.0</v>
      </c>
      <c r="O62" s="102">
        <v>21.0</v>
      </c>
      <c r="P62" s="102">
        <v>21.0</v>
      </c>
      <c r="Q62" s="102">
        <v>21.0</v>
      </c>
      <c r="R62" s="102">
        <v>21.0</v>
      </c>
    </row>
    <row r="63" ht="12.75" customHeight="1" outlineLevel="1">
      <c r="A63" s="90"/>
      <c r="B63" s="90" t="s">
        <v>647</v>
      </c>
      <c r="C63" s="90"/>
      <c r="D63" s="90"/>
      <c r="E63" s="90"/>
      <c r="F63" s="90"/>
      <c r="G63" s="102">
        <v>0.0</v>
      </c>
      <c r="H63" s="102">
        <v>0.0</v>
      </c>
      <c r="I63" s="102">
        <v>15.7824</v>
      </c>
      <c r="J63" s="102">
        <v>18.72</v>
      </c>
      <c r="K63" s="102">
        <v>20.16</v>
      </c>
      <c r="L63" s="102">
        <v>20.16</v>
      </c>
      <c r="M63" s="102">
        <v>20.16</v>
      </c>
      <c r="N63" s="102">
        <v>20.16</v>
      </c>
      <c r="O63" s="102">
        <v>20.16</v>
      </c>
      <c r="P63" s="102">
        <v>20.16</v>
      </c>
      <c r="Q63" s="102">
        <v>20.16</v>
      </c>
      <c r="R63" s="102">
        <v>20.16</v>
      </c>
    </row>
    <row r="64" ht="12.75" customHeight="1" outlineLevel="1">
      <c r="A64" s="67"/>
      <c r="B64" s="90" t="s">
        <v>648</v>
      </c>
      <c r="C64" s="90"/>
      <c r="D64" s="90"/>
      <c r="E64" s="90"/>
      <c r="F64" s="90"/>
      <c r="G64" s="102">
        <v>0.0</v>
      </c>
      <c r="H64" s="102">
        <v>0.0</v>
      </c>
      <c r="I64" s="102">
        <v>263.04</v>
      </c>
      <c r="J64" s="102">
        <v>312.0</v>
      </c>
      <c r="K64" s="102">
        <v>336.0</v>
      </c>
      <c r="L64" s="102">
        <v>336.0</v>
      </c>
      <c r="M64" s="102">
        <v>336.0</v>
      </c>
      <c r="N64" s="102">
        <v>336.0</v>
      </c>
      <c r="O64" s="102">
        <v>336.0</v>
      </c>
      <c r="P64" s="102">
        <v>336.0</v>
      </c>
      <c r="Q64" s="102">
        <v>336.0</v>
      </c>
      <c r="R64" s="102">
        <v>336.0</v>
      </c>
    </row>
    <row r="65" ht="12.75" customHeight="1" outlineLevel="1">
      <c r="A65" s="67"/>
      <c r="B65" s="90" t="s">
        <v>649</v>
      </c>
      <c r="C65" s="90"/>
      <c r="D65" s="90"/>
      <c r="E65" s="90"/>
      <c r="F65" s="90"/>
      <c r="G65" s="102">
        <v>0.0</v>
      </c>
      <c r="H65" s="102">
        <v>0.0</v>
      </c>
      <c r="I65" s="102">
        <v>219.2</v>
      </c>
      <c r="J65" s="102">
        <v>260.0</v>
      </c>
      <c r="K65" s="102">
        <v>280.0</v>
      </c>
      <c r="L65" s="102">
        <v>280.0</v>
      </c>
      <c r="M65" s="102">
        <v>280.0</v>
      </c>
      <c r="N65" s="102">
        <v>280.0</v>
      </c>
      <c r="O65" s="102">
        <v>280.0</v>
      </c>
      <c r="P65" s="102">
        <v>280.0</v>
      </c>
      <c r="Q65" s="102">
        <v>280.0</v>
      </c>
      <c r="R65" s="102">
        <v>280.0</v>
      </c>
    </row>
    <row r="66" ht="12.75" customHeight="1" outlineLevel="1">
      <c r="A66" s="90"/>
      <c r="B66" s="90" t="s">
        <v>650</v>
      </c>
      <c r="C66" s="90"/>
      <c r="D66" s="90"/>
      <c r="E66" s="90"/>
      <c r="F66" s="90"/>
      <c r="G66" s="102">
        <v>0.0</v>
      </c>
      <c r="H66" s="102">
        <v>0.0</v>
      </c>
      <c r="I66" s="102">
        <v>210.432</v>
      </c>
      <c r="J66" s="102">
        <v>249.6</v>
      </c>
      <c r="K66" s="102">
        <v>268.8</v>
      </c>
      <c r="L66" s="102">
        <v>268.8</v>
      </c>
      <c r="M66" s="102">
        <v>268.8</v>
      </c>
      <c r="N66" s="102">
        <v>268.8</v>
      </c>
      <c r="O66" s="102">
        <v>268.8</v>
      </c>
      <c r="P66" s="102">
        <v>268.8</v>
      </c>
      <c r="Q66" s="102">
        <v>268.8</v>
      </c>
      <c r="R66" s="102">
        <v>268.8</v>
      </c>
    </row>
    <row r="67" ht="12.75" customHeight="1" outlineLevel="1">
      <c r="A67" s="67"/>
      <c r="B67" s="90" t="s">
        <v>651</v>
      </c>
      <c r="C67" s="90"/>
      <c r="D67" s="90"/>
      <c r="E67" s="90"/>
      <c r="F67" s="90"/>
      <c r="G67" s="102">
        <v>0.0</v>
      </c>
      <c r="H67" s="102">
        <v>0.0</v>
      </c>
      <c r="I67" s="102">
        <v>263.04</v>
      </c>
      <c r="J67" s="102">
        <v>312.0</v>
      </c>
      <c r="K67" s="102">
        <v>336.0</v>
      </c>
      <c r="L67" s="102">
        <v>336.0</v>
      </c>
      <c r="M67" s="102">
        <v>336.0</v>
      </c>
      <c r="N67" s="102">
        <v>336.0</v>
      </c>
      <c r="O67" s="102">
        <v>336.0</v>
      </c>
      <c r="P67" s="102">
        <v>336.0</v>
      </c>
      <c r="Q67" s="102">
        <v>336.0</v>
      </c>
      <c r="R67" s="102">
        <v>336.0</v>
      </c>
    </row>
    <row r="68" ht="12.75" customHeight="1" outlineLevel="1">
      <c r="A68" s="67"/>
      <c r="B68" s="90"/>
      <c r="C68" s="90"/>
      <c r="D68" s="90"/>
      <c r="E68" s="90"/>
      <c r="F68" s="90"/>
      <c r="G68" s="353"/>
      <c r="H68" s="353"/>
      <c r="I68" s="353"/>
      <c r="J68" s="353"/>
      <c r="K68" s="353"/>
      <c r="L68" s="353"/>
      <c r="M68" s="353"/>
      <c r="N68" s="353"/>
      <c r="O68" s="353"/>
      <c r="P68" s="353"/>
      <c r="Q68" s="353"/>
      <c r="R68" s="353"/>
    </row>
    <row r="69" ht="12.75" customHeight="1" outlineLevel="1">
      <c r="A69" s="67"/>
      <c r="B69" s="90" t="s">
        <v>652</v>
      </c>
      <c r="C69" s="90"/>
      <c r="D69" s="90"/>
      <c r="E69" s="90"/>
      <c r="F69" s="90"/>
      <c r="G69" s="152" t="str">
        <f>'RS3'!J68</f>
        <v/>
      </c>
      <c r="H69" s="152">
        <f>'RS3'!K68</f>
        <v>0</v>
      </c>
      <c r="I69" s="152">
        <v>0.5</v>
      </c>
      <c r="J69" s="152">
        <v>0.5</v>
      </c>
      <c r="K69" s="152">
        <v>0.5</v>
      </c>
      <c r="L69" s="152">
        <v>0.5</v>
      </c>
      <c r="M69" s="152">
        <v>0.5</v>
      </c>
      <c r="N69" s="152">
        <v>0.5</v>
      </c>
      <c r="O69" s="152">
        <v>0.5</v>
      </c>
      <c r="P69" s="152">
        <v>0.5</v>
      </c>
      <c r="Q69" s="152">
        <v>0.5</v>
      </c>
      <c r="R69" s="152">
        <v>0.5</v>
      </c>
    </row>
    <row r="70" ht="12.75" customHeight="1" outlineLevel="1">
      <c r="A70" s="67"/>
      <c r="B70" s="90" t="s">
        <v>653</v>
      </c>
      <c r="C70" s="90"/>
      <c r="D70" s="90"/>
      <c r="E70" s="90"/>
      <c r="F70" s="90"/>
      <c r="G70" s="102">
        <f t="shared" ref="G70:R70" si="37">ROUND(G51*G69*G47,0)</f>
        <v>0</v>
      </c>
      <c r="H70" s="102">
        <f t="shared" si="37"/>
        <v>0</v>
      </c>
      <c r="I70" s="102">
        <f t="shared" si="37"/>
        <v>196</v>
      </c>
      <c r="J70" s="102">
        <f t="shared" si="37"/>
        <v>232</v>
      </c>
      <c r="K70" s="102">
        <f t="shared" si="37"/>
        <v>250</v>
      </c>
      <c r="L70" s="102">
        <f t="shared" si="37"/>
        <v>250</v>
      </c>
      <c r="M70" s="102">
        <f t="shared" si="37"/>
        <v>250</v>
      </c>
      <c r="N70" s="102">
        <f t="shared" si="37"/>
        <v>250</v>
      </c>
      <c r="O70" s="102">
        <f t="shared" si="37"/>
        <v>250</v>
      </c>
      <c r="P70" s="102">
        <f t="shared" si="37"/>
        <v>250</v>
      </c>
      <c r="Q70" s="102">
        <f t="shared" si="37"/>
        <v>250</v>
      </c>
      <c r="R70" s="102">
        <f t="shared" si="37"/>
        <v>250</v>
      </c>
    </row>
    <row r="71" ht="12.75" customHeight="1" outlineLevel="1">
      <c r="A71" s="67"/>
      <c r="B71" s="90" t="s">
        <v>654</v>
      </c>
      <c r="C71" s="90"/>
      <c r="D71" s="90"/>
      <c r="E71" s="90"/>
      <c r="F71" s="90"/>
      <c r="G71" s="102">
        <f t="shared" ref="G71:R71" si="38">G70*G53</f>
        <v>0</v>
      </c>
      <c r="H71" s="102">
        <f t="shared" si="38"/>
        <v>0</v>
      </c>
      <c r="I71" s="102">
        <f t="shared" si="38"/>
        <v>188.16</v>
      </c>
      <c r="J71" s="102">
        <f t="shared" si="38"/>
        <v>222.72</v>
      </c>
      <c r="K71" s="102">
        <f t="shared" si="38"/>
        <v>240</v>
      </c>
      <c r="L71" s="102">
        <f t="shared" si="38"/>
        <v>240</v>
      </c>
      <c r="M71" s="102">
        <f t="shared" si="38"/>
        <v>240</v>
      </c>
      <c r="N71" s="102">
        <f t="shared" si="38"/>
        <v>240</v>
      </c>
      <c r="O71" s="102">
        <f t="shared" si="38"/>
        <v>240</v>
      </c>
      <c r="P71" s="102">
        <f t="shared" si="38"/>
        <v>240</v>
      </c>
      <c r="Q71" s="102">
        <f t="shared" si="38"/>
        <v>240</v>
      </c>
      <c r="R71" s="102">
        <f t="shared" si="38"/>
        <v>240</v>
      </c>
    </row>
    <row r="72" ht="12.75" customHeight="1" outlineLevel="1">
      <c r="A72" s="67"/>
      <c r="B72" s="90"/>
      <c r="C72" s="90"/>
      <c r="D72" s="90"/>
      <c r="E72" s="90"/>
      <c r="F72" s="90"/>
      <c r="G72" s="90"/>
      <c r="H72" s="90"/>
      <c r="I72" s="90"/>
      <c r="J72" s="90"/>
      <c r="K72" s="90"/>
      <c r="L72" s="90"/>
      <c r="M72" s="90"/>
      <c r="N72" s="90"/>
      <c r="O72" s="90"/>
      <c r="P72" s="90"/>
      <c r="Q72" s="90"/>
      <c r="R72" s="90"/>
    </row>
    <row r="73" ht="12.75" customHeight="1" outlineLevel="1">
      <c r="A73" s="67"/>
      <c r="B73" s="90" t="s">
        <v>655</v>
      </c>
      <c r="C73" s="90"/>
      <c r="D73" s="90"/>
      <c r="E73" s="90"/>
      <c r="F73" s="90"/>
      <c r="G73" s="152" t="str">
        <f>'RS3'!J72</f>
        <v/>
      </c>
      <c r="H73" s="152">
        <f>'RS3'!K72</f>
        <v>0</v>
      </c>
      <c r="I73" s="152">
        <v>0.7</v>
      </c>
      <c r="J73" s="152">
        <f t="shared" ref="J73:R73" si="39">MAX(I73*0.95,0.5)</f>
        <v>0.665</v>
      </c>
      <c r="K73" s="152">
        <f t="shared" si="39"/>
        <v>0.63175</v>
      </c>
      <c r="L73" s="152">
        <f t="shared" si="39"/>
        <v>0.6001625</v>
      </c>
      <c r="M73" s="152">
        <f t="shared" si="39"/>
        <v>0.570154375</v>
      </c>
      <c r="N73" s="152">
        <f t="shared" si="39"/>
        <v>0.5416466563</v>
      </c>
      <c r="O73" s="152">
        <f t="shared" si="39"/>
        <v>0.5145643234</v>
      </c>
      <c r="P73" s="152">
        <f t="shared" si="39"/>
        <v>0.5</v>
      </c>
      <c r="Q73" s="152">
        <f t="shared" si="39"/>
        <v>0.5</v>
      </c>
      <c r="R73" s="152">
        <f t="shared" si="39"/>
        <v>0.5</v>
      </c>
    </row>
    <row r="74" ht="12.75" customHeight="1" outlineLevel="1">
      <c r="A74" s="67"/>
      <c r="B74" s="90" t="s">
        <v>656</v>
      </c>
      <c r="C74" s="90"/>
      <c r="D74" s="90"/>
      <c r="E74" s="90"/>
      <c r="F74" s="90"/>
      <c r="G74" s="102">
        <f t="shared" ref="G74:R74" si="40">ROUND(G51*G73*G$47,0)</f>
        <v>0</v>
      </c>
      <c r="H74" s="102">
        <f t="shared" si="40"/>
        <v>0</v>
      </c>
      <c r="I74" s="102">
        <f t="shared" si="40"/>
        <v>274</v>
      </c>
      <c r="J74" s="102">
        <f t="shared" si="40"/>
        <v>309</v>
      </c>
      <c r="K74" s="102">
        <f t="shared" si="40"/>
        <v>316</v>
      </c>
      <c r="L74" s="102">
        <f t="shared" si="40"/>
        <v>300</v>
      </c>
      <c r="M74" s="102">
        <f t="shared" si="40"/>
        <v>285</v>
      </c>
      <c r="N74" s="102">
        <f t="shared" si="40"/>
        <v>271</v>
      </c>
      <c r="O74" s="102">
        <f t="shared" si="40"/>
        <v>257</v>
      </c>
      <c r="P74" s="102">
        <f t="shared" si="40"/>
        <v>250</v>
      </c>
      <c r="Q74" s="102">
        <f t="shared" si="40"/>
        <v>250</v>
      </c>
      <c r="R74" s="102">
        <f t="shared" si="40"/>
        <v>250</v>
      </c>
    </row>
    <row r="75" ht="12.75" customHeight="1" outlineLevel="1">
      <c r="A75" s="67"/>
      <c r="B75" s="90" t="s">
        <v>657</v>
      </c>
      <c r="C75" s="90"/>
      <c r="D75" s="90"/>
      <c r="E75" s="90"/>
      <c r="F75" s="90"/>
      <c r="G75" s="102">
        <f t="shared" ref="G75:R75" si="41">G74*G$53</f>
        <v>0</v>
      </c>
      <c r="H75" s="102">
        <f t="shared" si="41"/>
        <v>0</v>
      </c>
      <c r="I75" s="102">
        <f t="shared" si="41"/>
        <v>263.04</v>
      </c>
      <c r="J75" s="102">
        <f t="shared" si="41"/>
        <v>296.64</v>
      </c>
      <c r="K75" s="102">
        <f t="shared" si="41"/>
        <v>303.36</v>
      </c>
      <c r="L75" s="102">
        <f t="shared" si="41"/>
        <v>288</v>
      </c>
      <c r="M75" s="102">
        <f t="shared" si="41"/>
        <v>273.6</v>
      </c>
      <c r="N75" s="102">
        <f t="shared" si="41"/>
        <v>260.16</v>
      </c>
      <c r="O75" s="102">
        <f t="shared" si="41"/>
        <v>246.72</v>
      </c>
      <c r="P75" s="102">
        <f t="shared" si="41"/>
        <v>240</v>
      </c>
      <c r="Q75" s="102">
        <f t="shared" si="41"/>
        <v>240</v>
      </c>
      <c r="R75" s="102">
        <f t="shared" si="41"/>
        <v>240</v>
      </c>
    </row>
    <row r="76" ht="12.75" customHeight="1" outlineLevel="1">
      <c r="A76" s="67"/>
      <c r="B76" s="90"/>
      <c r="C76" s="90"/>
      <c r="D76" s="90"/>
      <c r="E76" s="90"/>
      <c r="F76" s="90"/>
      <c r="G76" s="90"/>
      <c r="H76" s="90"/>
      <c r="I76" s="90"/>
      <c r="J76" s="90"/>
      <c r="K76" s="90"/>
      <c r="L76" s="90"/>
      <c r="M76" s="90"/>
      <c r="N76" s="90"/>
      <c r="O76" s="90"/>
      <c r="P76" s="90"/>
      <c r="Q76" s="90"/>
      <c r="R76" s="90"/>
    </row>
    <row r="77" ht="12.75" customHeight="1" outlineLevel="1">
      <c r="A77" s="67"/>
      <c r="B77" s="90" t="s">
        <v>658</v>
      </c>
      <c r="C77" s="90"/>
      <c r="D77" s="90"/>
      <c r="E77" s="90"/>
      <c r="F77" s="90"/>
      <c r="G77" s="102">
        <f t="shared" ref="G77:H77" si="42">ROUND(G70+E74+IF(G70+E74-E47/2&gt;0,0.5*(G70+E74-E47/2),0),0)</f>
        <v>0</v>
      </c>
      <c r="H77" s="102">
        <f t="shared" si="42"/>
        <v>0</v>
      </c>
      <c r="I77" s="102">
        <f>ROUND(I70+I74+IF(I70+I74-I47/2&gt;0,0.5*(I70+I74-I47/2),0),0)</f>
        <v>607</v>
      </c>
      <c r="J77" s="102">
        <f t="shared" ref="J77:R77" si="43">ROUND(I70+I74+IF(I70+I74-I47/2&gt;0,0.5*(I70+I74-I47/2),0),0)</f>
        <v>607</v>
      </c>
      <c r="K77" s="102">
        <f t="shared" si="43"/>
        <v>696</v>
      </c>
      <c r="L77" s="102">
        <f t="shared" si="43"/>
        <v>724</v>
      </c>
      <c r="M77" s="102">
        <f t="shared" si="43"/>
        <v>700</v>
      </c>
      <c r="N77" s="102">
        <f t="shared" si="43"/>
        <v>678</v>
      </c>
      <c r="O77" s="102">
        <f t="shared" si="43"/>
        <v>657</v>
      </c>
      <c r="P77" s="102">
        <f t="shared" si="43"/>
        <v>636</v>
      </c>
      <c r="Q77" s="102">
        <f t="shared" si="43"/>
        <v>625</v>
      </c>
      <c r="R77" s="102">
        <f t="shared" si="43"/>
        <v>625</v>
      </c>
    </row>
    <row r="78" ht="12.75" customHeight="1" outlineLevel="1">
      <c r="A78" s="67"/>
      <c r="B78" s="90"/>
      <c r="C78" s="90"/>
      <c r="D78" s="90"/>
      <c r="E78" s="90"/>
      <c r="F78" s="90"/>
      <c r="G78" s="90"/>
      <c r="H78" s="90"/>
      <c r="I78" s="90"/>
      <c r="J78" s="90"/>
      <c r="K78" s="90"/>
      <c r="L78" s="90"/>
      <c r="M78" s="90"/>
      <c r="N78" s="90"/>
      <c r="O78" s="90"/>
      <c r="P78" s="90"/>
      <c r="Q78" s="90"/>
      <c r="R78" s="90"/>
    </row>
    <row r="79" ht="12.75" customHeight="1" outlineLevel="1">
      <c r="A79" s="67"/>
      <c r="B79" s="90" t="s">
        <v>659</v>
      </c>
      <c r="C79" s="90"/>
      <c r="D79" s="90"/>
      <c r="E79" s="90"/>
      <c r="F79" s="90"/>
      <c r="G79" s="152" t="str">
        <f>'RS3'!J78</f>
        <v/>
      </c>
      <c r="H79" s="152">
        <f>'RS3'!K78</f>
        <v>0</v>
      </c>
      <c r="I79" s="152">
        <f>'RS3'!L78</f>
        <v>0.08</v>
      </c>
      <c r="J79" s="152">
        <f>'RS3'!M78</f>
        <v>0.08</v>
      </c>
      <c r="K79" s="152">
        <f>'RS3'!N78</f>
        <v>0.08</v>
      </c>
      <c r="L79" s="152">
        <f>'RS3'!O78</f>
        <v>0.08</v>
      </c>
      <c r="M79" s="152">
        <f>'RS3'!P78</f>
        <v>0.08</v>
      </c>
      <c r="N79" s="152">
        <f>'RS3'!Q78</f>
        <v>0.08</v>
      </c>
      <c r="O79" s="152">
        <f>'RS3'!R78</f>
        <v>0.08</v>
      </c>
      <c r="P79" s="152">
        <f>'RS3'!S78</f>
        <v>0.08</v>
      </c>
      <c r="Q79" s="152">
        <f>'RS3'!T78</f>
        <v>0.08</v>
      </c>
      <c r="R79" s="152">
        <f>'RS3'!U78</f>
        <v>0.08</v>
      </c>
    </row>
    <row r="80" ht="12.75" customHeight="1" outlineLevel="1">
      <c r="A80" s="67"/>
      <c r="B80" s="90" t="s">
        <v>660</v>
      </c>
      <c r="C80" s="90"/>
      <c r="D80" s="90"/>
      <c r="E80" s="90"/>
      <c r="F80" s="90"/>
      <c r="G80" s="102">
        <f t="shared" ref="G80:R80" si="44">ROUND(G51*G79*G$47,0)</f>
        <v>0</v>
      </c>
      <c r="H80" s="102">
        <f t="shared" si="44"/>
        <v>0</v>
      </c>
      <c r="I80" s="102">
        <f t="shared" si="44"/>
        <v>31</v>
      </c>
      <c r="J80" s="102">
        <f t="shared" si="44"/>
        <v>37</v>
      </c>
      <c r="K80" s="102">
        <f t="shared" si="44"/>
        <v>40</v>
      </c>
      <c r="L80" s="102">
        <f t="shared" si="44"/>
        <v>40</v>
      </c>
      <c r="M80" s="102">
        <f t="shared" si="44"/>
        <v>40</v>
      </c>
      <c r="N80" s="102">
        <f t="shared" si="44"/>
        <v>40</v>
      </c>
      <c r="O80" s="102">
        <f t="shared" si="44"/>
        <v>40</v>
      </c>
      <c r="P80" s="102">
        <f t="shared" si="44"/>
        <v>40</v>
      </c>
      <c r="Q80" s="102">
        <f t="shared" si="44"/>
        <v>40</v>
      </c>
      <c r="R80" s="102">
        <f t="shared" si="44"/>
        <v>40</v>
      </c>
    </row>
    <row r="81" ht="12.75" customHeight="1" outlineLevel="1">
      <c r="A81" s="67"/>
      <c r="B81" s="90" t="s">
        <v>661</v>
      </c>
      <c r="C81" s="90"/>
      <c r="D81" s="90"/>
      <c r="E81" s="90"/>
      <c r="F81" s="90"/>
      <c r="G81" s="102">
        <f t="shared" ref="G81:R81" si="45">G80*G$53</f>
        <v>0</v>
      </c>
      <c r="H81" s="102">
        <f t="shared" si="45"/>
        <v>0</v>
      </c>
      <c r="I81" s="102">
        <f t="shared" si="45"/>
        <v>29.76</v>
      </c>
      <c r="J81" s="102">
        <f t="shared" si="45"/>
        <v>35.52</v>
      </c>
      <c r="K81" s="102">
        <f t="shared" si="45"/>
        <v>38.4</v>
      </c>
      <c r="L81" s="102">
        <f t="shared" si="45"/>
        <v>38.4</v>
      </c>
      <c r="M81" s="102">
        <f t="shared" si="45"/>
        <v>38.4</v>
      </c>
      <c r="N81" s="102">
        <f t="shared" si="45"/>
        <v>38.4</v>
      </c>
      <c r="O81" s="102">
        <f t="shared" si="45"/>
        <v>38.4</v>
      </c>
      <c r="P81" s="102">
        <f t="shared" si="45"/>
        <v>38.4</v>
      </c>
      <c r="Q81" s="102">
        <f t="shared" si="45"/>
        <v>38.4</v>
      </c>
      <c r="R81" s="102">
        <f t="shared" si="45"/>
        <v>38.4</v>
      </c>
    </row>
    <row r="82" ht="12.75" customHeight="1" outlineLevel="1">
      <c r="A82" s="67"/>
      <c r="B82" s="90"/>
      <c r="C82" s="90"/>
      <c r="D82" s="90"/>
      <c r="E82" s="90"/>
      <c r="F82" s="90"/>
      <c r="G82" s="102"/>
      <c r="H82" s="102"/>
      <c r="I82" s="102"/>
      <c r="J82" s="102"/>
      <c r="K82" s="102"/>
      <c r="L82" s="102"/>
      <c r="M82" s="102"/>
      <c r="N82" s="102"/>
      <c r="O82" s="102"/>
      <c r="P82" s="102"/>
      <c r="Q82" s="102"/>
      <c r="R82" s="102"/>
    </row>
    <row r="83" ht="12.75" customHeight="1" outlineLevel="1">
      <c r="A83" s="67"/>
      <c r="B83" s="90" t="s">
        <v>662</v>
      </c>
      <c r="C83" s="90"/>
      <c r="D83" s="90"/>
      <c r="E83" s="90"/>
      <c r="F83" s="90"/>
      <c r="G83" s="102">
        <f t="shared" ref="G83:R83" si="46">0.25*G56</f>
        <v>0</v>
      </c>
      <c r="H83" s="102">
        <f t="shared" si="46"/>
        <v>0</v>
      </c>
      <c r="I83" s="102">
        <f t="shared" si="46"/>
        <v>94.08</v>
      </c>
      <c r="J83" s="102">
        <f t="shared" si="46"/>
        <v>111.36</v>
      </c>
      <c r="K83" s="102">
        <f t="shared" si="46"/>
        <v>120</v>
      </c>
      <c r="L83" s="102">
        <f t="shared" si="46"/>
        <v>120</v>
      </c>
      <c r="M83" s="102">
        <f t="shared" si="46"/>
        <v>120</v>
      </c>
      <c r="N83" s="102">
        <f t="shared" si="46"/>
        <v>120</v>
      </c>
      <c r="O83" s="102">
        <f t="shared" si="46"/>
        <v>120</v>
      </c>
      <c r="P83" s="102">
        <f t="shared" si="46"/>
        <v>120</v>
      </c>
      <c r="Q83" s="102">
        <f t="shared" si="46"/>
        <v>120</v>
      </c>
      <c r="R83" s="102">
        <f t="shared" si="46"/>
        <v>120</v>
      </c>
    </row>
    <row r="84" ht="12.75" customHeight="1" outlineLevel="1">
      <c r="A84" s="67"/>
      <c r="B84" s="90" t="s">
        <v>663</v>
      </c>
      <c r="C84" s="90"/>
      <c r="D84" s="90"/>
      <c r="E84" s="90"/>
      <c r="F84" s="90"/>
      <c r="G84" s="102" t="str">
        <f>'RS3'!J83</f>
        <v/>
      </c>
      <c r="H84" s="102">
        <f>'RS3'!K83</f>
        <v>0</v>
      </c>
      <c r="I84" s="102">
        <f>'RS3'!L83</f>
        <v>360</v>
      </c>
      <c r="J84" s="102">
        <f>'RS3'!M83</f>
        <v>360</v>
      </c>
      <c r="K84" s="102">
        <f>'RS3'!N83</f>
        <v>360</v>
      </c>
      <c r="L84" s="102">
        <f>'RS3'!O83</f>
        <v>360</v>
      </c>
      <c r="M84" s="102">
        <f>'RS3'!P83</f>
        <v>360</v>
      </c>
      <c r="N84" s="102">
        <f>'RS3'!Q83</f>
        <v>360</v>
      </c>
      <c r="O84" s="102">
        <f>'RS3'!R83</f>
        <v>360</v>
      </c>
      <c r="P84" s="102">
        <f>'RS3'!S83</f>
        <v>360</v>
      </c>
      <c r="Q84" s="102">
        <f>'RS3'!T83</f>
        <v>360</v>
      </c>
      <c r="R84" s="102">
        <f>'RS3'!U83</f>
        <v>360</v>
      </c>
    </row>
    <row r="85" ht="12.75" customHeight="1" outlineLevel="1">
      <c r="A85" s="67"/>
      <c r="B85" s="90" t="s">
        <v>664</v>
      </c>
      <c r="C85" s="90"/>
      <c r="D85" s="90"/>
      <c r="E85" s="90"/>
      <c r="F85" s="90"/>
      <c r="G85" s="102">
        <f t="shared" ref="G85:R85" si="47">G84*G83</f>
        <v>0</v>
      </c>
      <c r="H85" s="102">
        <f t="shared" si="47"/>
        <v>0</v>
      </c>
      <c r="I85" s="102">
        <f t="shared" si="47"/>
        <v>33868.8</v>
      </c>
      <c r="J85" s="102">
        <f t="shared" si="47"/>
        <v>40089.6</v>
      </c>
      <c r="K85" s="102">
        <f t="shared" si="47"/>
        <v>43200</v>
      </c>
      <c r="L85" s="102">
        <f t="shared" si="47"/>
        <v>43200</v>
      </c>
      <c r="M85" s="102">
        <f t="shared" si="47"/>
        <v>43200</v>
      </c>
      <c r="N85" s="102">
        <f t="shared" si="47"/>
        <v>43200</v>
      </c>
      <c r="O85" s="102">
        <f t="shared" si="47"/>
        <v>43200</v>
      </c>
      <c r="P85" s="102">
        <f t="shared" si="47"/>
        <v>43200</v>
      </c>
      <c r="Q85" s="102">
        <f t="shared" si="47"/>
        <v>43200</v>
      </c>
      <c r="R85" s="102">
        <f t="shared" si="47"/>
        <v>43200</v>
      </c>
    </row>
    <row r="86" ht="12.75" customHeight="1">
      <c r="A86" s="67"/>
      <c r="B86" s="90"/>
      <c r="C86" s="90"/>
      <c r="D86" s="90"/>
      <c r="E86" s="90"/>
      <c r="F86" s="90"/>
      <c r="G86" s="102"/>
      <c r="H86" s="102"/>
      <c r="I86" s="102"/>
      <c r="J86" s="102"/>
      <c r="K86" s="102"/>
      <c r="L86" s="102"/>
      <c r="M86" s="102"/>
      <c r="N86" s="102"/>
      <c r="O86" s="102"/>
      <c r="P86" s="102"/>
      <c r="Q86" s="102"/>
      <c r="R86" s="102"/>
    </row>
    <row r="87" ht="12.75" customHeight="1">
      <c r="A87" s="106" t="s">
        <v>665</v>
      </c>
      <c r="B87" s="253"/>
      <c r="C87" s="253"/>
      <c r="D87" s="253"/>
      <c r="E87" s="253"/>
      <c r="F87" s="253"/>
      <c r="G87" s="253"/>
      <c r="H87" s="253"/>
      <c r="I87" s="253"/>
      <c r="J87" s="253"/>
      <c r="K87" s="253"/>
      <c r="L87" s="253"/>
      <c r="M87" s="253"/>
      <c r="N87" s="253"/>
      <c r="O87" s="253"/>
      <c r="P87" s="253"/>
      <c r="Q87" s="253"/>
      <c r="R87" s="253"/>
    </row>
    <row r="88" ht="12.75" hidden="1" customHeight="1" outlineLevel="1">
      <c r="A88" s="67"/>
      <c r="B88" s="90"/>
      <c r="C88" s="90"/>
      <c r="D88" s="90"/>
      <c r="E88" s="90"/>
      <c r="F88" s="90"/>
      <c r="G88" s="90"/>
      <c r="H88" s="90"/>
      <c r="I88" s="90"/>
      <c r="J88" s="90"/>
      <c r="K88" s="90"/>
      <c r="L88" s="90"/>
      <c r="M88" s="90"/>
      <c r="N88" s="90"/>
      <c r="O88" s="90"/>
      <c r="P88" s="90"/>
      <c r="Q88" s="90"/>
      <c r="R88" s="90"/>
    </row>
    <row r="89" ht="12.75" hidden="1" customHeight="1" outlineLevel="1">
      <c r="A89" s="90"/>
      <c r="B89" s="67" t="s">
        <v>666</v>
      </c>
      <c r="C89" s="90"/>
      <c r="D89" s="90"/>
      <c r="E89" s="90"/>
      <c r="F89" s="90"/>
      <c r="G89" s="90"/>
      <c r="H89" s="90"/>
      <c r="I89" s="90"/>
      <c r="J89" s="90"/>
      <c r="K89" s="90"/>
      <c r="L89" s="90"/>
      <c r="M89" s="90"/>
      <c r="N89" s="90"/>
      <c r="O89" s="90"/>
      <c r="P89" s="90"/>
      <c r="Q89" s="90"/>
      <c r="R89" s="90"/>
    </row>
    <row r="90" ht="12.75" hidden="1" customHeight="1" outlineLevel="1">
      <c r="A90" s="90"/>
      <c r="B90" s="90"/>
      <c r="C90" s="90" t="s">
        <v>573</v>
      </c>
      <c r="D90" s="90"/>
      <c r="E90" s="90"/>
      <c r="F90" s="90"/>
      <c r="G90" s="178"/>
      <c r="H90" s="178"/>
      <c r="I90" s="178"/>
      <c r="J90" s="178"/>
      <c r="K90" s="178"/>
      <c r="L90" s="178"/>
      <c r="M90" s="178"/>
      <c r="N90" s="178"/>
      <c r="O90" s="178"/>
      <c r="P90" s="178"/>
      <c r="Q90" s="178"/>
      <c r="R90" s="178"/>
    </row>
    <row r="91" ht="12.75" hidden="1" customHeight="1" outlineLevel="1">
      <c r="A91" s="90"/>
      <c r="B91" s="90"/>
      <c r="C91" s="90" t="s">
        <v>667</v>
      </c>
      <c r="D91" s="90"/>
      <c r="E91" s="90"/>
      <c r="F91" s="90"/>
      <c r="G91" s="99"/>
      <c r="H91" s="99"/>
      <c r="I91" s="99">
        <v>4778.0</v>
      </c>
      <c r="J91" s="99">
        <f t="shared" ref="J91:R91" si="48">I91*(1+J$90)</f>
        <v>4778</v>
      </c>
      <c r="K91" s="99">
        <f t="shared" si="48"/>
        <v>4778</v>
      </c>
      <c r="L91" s="99">
        <f t="shared" si="48"/>
        <v>4778</v>
      </c>
      <c r="M91" s="99">
        <f t="shared" si="48"/>
        <v>4778</v>
      </c>
      <c r="N91" s="99">
        <f t="shared" si="48"/>
        <v>4778</v>
      </c>
      <c r="O91" s="99">
        <f t="shared" si="48"/>
        <v>4778</v>
      </c>
      <c r="P91" s="99">
        <f t="shared" si="48"/>
        <v>4778</v>
      </c>
      <c r="Q91" s="99">
        <f t="shared" si="48"/>
        <v>4778</v>
      </c>
      <c r="R91" s="99">
        <f t="shared" si="48"/>
        <v>4778</v>
      </c>
    </row>
    <row r="92" ht="12.75" hidden="1" customHeight="1" outlineLevel="1">
      <c r="A92" s="90"/>
      <c r="B92" s="90"/>
      <c r="C92" s="90" t="s">
        <v>668</v>
      </c>
      <c r="D92" s="90"/>
      <c r="E92" s="90"/>
      <c r="F92" s="90"/>
      <c r="G92" s="99"/>
      <c r="H92" s="99"/>
      <c r="I92" s="99">
        <v>4855.0</v>
      </c>
      <c r="J92" s="99">
        <f t="shared" ref="J92:R92" si="49">I92*(1+J$90)</f>
        <v>4855</v>
      </c>
      <c r="K92" s="99">
        <f t="shared" si="49"/>
        <v>4855</v>
      </c>
      <c r="L92" s="99">
        <f t="shared" si="49"/>
        <v>4855</v>
      </c>
      <c r="M92" s="99">
        <f t="shared" si="49"/>
        <v>4855</v>
      </c>
      <c r="N92" s="99">
        <f t="shared" si="49"/>
        <v>4855</v>
      </c>
      <c r="O92" s="99">
        <f t="shared" si="49"/>
        <v>4855</v>
      </c>
      <c r="P92" s="99">
        <f t="shared" si="49"/>
        <v>4855</v>
      </c>
      <c r="Q92" s="99">
        <f t="shared" si="49"/>
        <v>4855</v>
      </c>
      <c r="R92" s="99">
        <f t="shared" si="49"/>
        <v>4855</v>
      </c>
    </row>
    <row r="93" ht="12.75" hidden="1" customHeight="1" outlineLevel="1">
      <c r="A93" s="90"/>
      <c r="B93" s="90"/>
      <c r="C93" s="90" t="s">
        <v>669</v>
      </c>
      <c r="D93" s="90"/>
      <c r="E93" s="90"/>
      <c r="F93" s="90"/>
      <c r="G93" s="99"/>
      <c r="H93" s="99"/>
      <c r="I93" s="99">
        <v>401.0</v>
      </c>
      <c r="J93" s="99">
        <f t="shared" ref="J93:R93" si="50">I93*(1+J$90)</f>
        <v>401</v>
      </c>
      <c r="K93" s="99">
        <f t="shared" si="50"/>
        <v>401</v>
      </c>
      <c r="L93" s="99">
        <f t="shared" si="50"/>
        <v>401</v>
      </c>
      <c r="M93" s="99">
        <f t="shared" si="50"/>
        <v>401</v>
      </c>
      <c r="N93" s="99">
        <f t="shared" si="50"/>
        <v>401</v>
      </c>
      <c r="O93" s="99">
        <f t="shared" si="50"/>
        <v>401</v>
      </c>
      <c r="P93" s="99">
        <f t="shared" si="50"/>
        <v>401</v>
      </c>
      <c r="Q93" s="99">
        <f t="shared" si="50"/>
        <v>401</v>
      </c>
      <c r="R93" s="99">
        <f t="shared" si="50"/>
        <v>401</v>
      </c>
    </row>
    <row r="94" ht="12.75" hidden="1" customHeight="1" outlineLevel="1">
      <c r="A94" s="90"/>
      <c r="B94" s="90"/>
      <c r="C94" s="90" t="s">
        <v>670</v>
      </c>
      <c r="D94" s="90"/>
      <c r="E94" s="90"/>
      <c r="F94" s="90"/>
      <c r="G94" s="99"/>
      <c r="H94" s="99"/>
      <c r="I94" s="99">
        <v>318.0</v>
      </c>
      <c r="J94" s="99">
        <f t="shared" ref="J94:R94" si="51">I94*(1+J$90)</f>
        <v>318</v>
      </c>
      <c r="K94" s="99">
        <f t="shared" si="51"/>
        <v>318</v>
      </c>
      <c r="L94" s="99">
        <f t="shared" si="51"/>
        <v>318</v>
      </c>
      <c r="M94" s="99">
        <f t="shared" si="51"/>
        <v>318</v>
      </c>
      <c r="N94" s="99">
        <f t="shared" si="51"/>
        <v>318</v>
      </c>
      <c r="O94" s="99">
        <f t="shared" si="51"/>
        <v>318</v>
      </c>
      <c r="P94" s="99">
        <f t="shared" si="51"/>
        <v>318</v>
      </c>
      <c r="Q94" s="99">
        <f t="shared" si="51"/>
        <v>318</v>
      </c>
      <c r="R94" s="99">
        <f t="shared" si="51"/>
        <v>318</v>
      </c>
    </row>
    <row r="95" ht="12.75" hidden="1" customHeight="1" outlineLevel="1">
      <c r="A95" s="237"/>
      <c r="B95" s="237"/>
      <c r="C95" s="237" t="s">
        <v>671</v>
      </c>
      <c r="D95" s="237"/>
      <c r="E95" s="237"/>
      <c r="F95" s="237"/>
      <c r="G95" s="356"/>
      <c r="H95" s="356"/>
      <c r="I95" s="357">
        <v>0.0</v>
      </c>
      <c r="J95" s="356">
        <f t="shared" ref="J95:R95" si="52">I95</f>
        <v>0</v>
      </c>
      <c r="K95" s="356">
        <f t="shared" si="52"/>
        <v>0</v>
      </c>
      <c r="L95" s="356">
        <f t="shared" si="52"/>
        <v>0</v>
      </c>
      <c r="M95" s="356">
        <f t="shared" si="52"/>
        <v>0</v>
      </c>
      <c r="N95" s="356">
        <f t="shared" si="52"/>
        <v>0</v>
      </c>
      <c r="O95" s="356">
        <f t="shared" si="52"/>
        <v>0</v>
      </c>
      <c r="P95" s="356">
        <f t="shared" si="52"/>
        <v>0</v>
      </c>
      <c r="Q95" s="356">
        <f t="shared" si="52"/>
        <v>0</v>
      </c>
      <c r="R95" s="356">
        <f t="shared" si="52"/>
        <v>0</v>
      </c>
    </row>
    <row r="96" ht="12.75" hidden="1" customHeight="1" outlineLevel="1">
      <c r="A96" s="237"/>
      <c r="B96" s="237"/>
      <c r="C96" s="237"/>
      <c r="D96" s="237" t="s">
        <v>672</v>
      </c>
      <c r="E96" s="237"/>
      <c r="F96" s="237"/>
      <c r="G96" s="356"/>
      <c r="H96" s="356"/>
      <c r="I96" s="356">
        <v>0.0</v>
      </c>
      <c r="J96" s="356">
        <f t="shared" ref="J96:R96" si="53">J95</f>
        <v>0</v>
      </c>
      <c r="K96" s="356">
        <f t="shared" si="53"/>
        <v>0</v>
      </c>
      <c r="L96" s="356">
        <f t="shared" si="53"/>
        <v>0</v>
      </c>
      <c r="M96" s="356">
        <f t="shared" si="53"/>
        <v>0</v>
      </c>
      <c r="N96" s="356">
        <f t="shared" si="53"/>
        <v>0</v>
      </c>
      <c r="O96" s="356">
        <f t="shared" si="53"/>
        <v>0</v>
      </c>
      <c r="P96" s="356">
        <f t="shared" si="53"/>
        <v>0</v>
      </c>
      <c r="Q96" s="356">
        <f t="shared" si="53"/>
        <v>0</v>
      </c>
      <c r="R96" s="356">
        <f t="shared" si="53"/>
        <v>0</v>
      </c>
    </row>
    <row r="97" ht="12.75" hidden="1" customHeight="1" outlineLevel="1">
      <c r="A97" s="237"/>
      <c r="B97" s="237"/>
      <c r="C97" s="237"/>
      <c r="D97" s="237" t="s">
        <v>673</v>
      </c>
      <c r="E97" s="237"/>
      <c r="F97" s="237"/>
      <c r="G97" s="356"/>
      <c r="H97" s="356"/>
      <c r="I97" s="356">
        <v>0.0</v>
      </c>
      <c r="J97" s="356">
        <f t="shared" ref="J97:R97" si="54">J96</f>
        <v>0</v>
      </c>
      <c r="K97" s="356">
        <f t="shared" si="54"/>
        <v>0</v>
      </c>
      <c r="L97" s="356">
        <f t="shared" si="54"/>
        <v>0</v>
      </c>
      <c r="M97" s="356">
        <f t="shared" si="54"/>
        <v>0</v>
      </c>
      <c r="N97" s="356">
        <f t="shared" si="54"/>
        <v>0</v>
      </c>
      <c r="O97" s="356">
        <f t="shared" si="54"/>
        <v>0</v>
      </c>
      <c r="P97" s="356">
        <f t="shared" si="54"/>
        <v>0</v>
      </c>
      <c r="Q97" s="356">
        <f t="shared" si="54"/>
        <v>0</v>
      </c>
      <c r="R97" s="356">
        <f t="shared" si="54"/>
        <v>0</v>
      </c>
    </row>
    <row r="98" ht="12.75" hidden="1" customHeight="1" outlineLevel="1">
      <c r="A98" s="237"/>
      <c r="B98" s="237"/>
      <c r="C98" s="237"/>
      <c r="D98" s="237" t="s">
        <v>674</v>
      </c>
      <c r="E98" s="237"/>
      <c r="F98" s="237"/>
      <c r="G98" s="356"/>
      <c r="H98" s="356"/>
      <c r="I98" s="356">
        <v>0.0</v>
      </c>
      <c r="J98" s="356">
        <f t="shared" ref="J98:R98" si="55">J97</f>
        <v>0</v>
      </c>
      <c r="K98" s="356">
        <f t="shared" si="55"/>
        <v>0</v>
      </c>
      <c r="L98" s="356">
        <f t="shared" si="55"/>
        <v>0</v>
      </c>
      <c r="M98" s="356">
        <f t="shared" si="55"/>
        <v>0</v>
      </c>
      <c r="N98" s="356">
        <f t="shared" si="55"/>
        <v>0</v>
      </c>
      <c r="O98" s="356">
        <f t="shared" si="55"/>
        <v>0</v>
      </c>
      <c r="P98" s="356">
        <f t="shared" si="55"/>
        <v>0</v>
      </c>
      <c r="Q98" s="356">
        <f t="shared" si="55"/>
        <v>0</v>
      </c>
      <c r="R98" s="356">
        <f t="shared" si="55"/>
        <v>0</v>
      </c>
    </row>
    <row r="99" ht="12.75" hidden="1" customHeight="1" outlineLevel="1">
      <c r="A99" s="237"/>
      <c r="B99" s="237"/>
      <c r="C99" s="237"/>
      <c r="D99" s="237" t="s">
        <v>675</v>
      </c>
      <c r="E99" s="237"/>
      <c r="F99" s="237"/>
      <c r="G99" s="356"/>
      <c r="H99" s="356"/>
      <c r="I99" s="356">
        <v>0.0</v>
      </c>
      <c r="J99" s="356">
        <f t="shared" ref="J99:R99" si="56">J98</f>
        <v>0</v>
      </c>
      <c r="K99" s="356">
        <f t="shared" si="56"/>
        <v>0</v>
      </c>
      <c r="L99" s="356">
        <f t="shared" si="56"/>
        <v>0</v>
      </c>
      <c r="M99" s="356">
        <f t="shared" si="56"/>
        <v>0</v>
      </c>
      <c r="N99" s="356">
        <f t="shared" si="56"/>
        <v>0</v>
      </c>
      <c r="O99" s="356">
        <f t="shared" si="56"/>
        <v>0</v>
      </c>
      <c r="P99" s="356">
        <f t="shared" si="56"/>
        <v>0</v>
      </c>
      <c r="Q99" s="356">
        <f t="shared" si="56"/>
        <v>0</v>
      </c>
      <c r="R99" s="356">
        <f t="shared" si="56"/>
        <v>0</v>
      </c>
    </row>
    <row r="100" ht="12.75" hidden="1" customHeight="1" outlineLevel="1">
      <c r="A100" s="90"/>
      <c r="B100" s="90"/>
      <c r="C100" s="90" t="s">
        <v>676</v>
      </c>
      <c r="D100" s="90"/>
      <c r="E100" s="90"/>
      <c r="F100" s="90"/>
      <c r="G100" s="301"/>
      <c r="H100" s="301"/>
      <c r="I100" s="358">
        <v>0.0</v>
      </c>
      <c r="J100" s="301">
        <f t="shared" ref="J100:R100" si="57">I100*(1+J$90)</f>
        <v>0</v>
      </c>
      <c r="K100" s="301">
        <f t="shared" si="57"/>
        <v>0</v>
      </c>
      <c r="L100" s="301">
        <f t="shared" si="57"/>
        <v>0</v>
      </c>
      <c r="M100" s="301">
        <f t="shared" si="57"/>
        <v>0</v>
      </c>
      <c r="N100" s="301">
        <f t="shared" si="57"/>
        <v>0</v>
      </c>
      <c r="O100" s="301">
        <f t="shared" si="57"/>
        <v>0</v>
      </c>
      <c r="P100" s="301">
        <f t="shared" si="57"/>
        <v>0</v>
      </c>
      <c r="Q100" s="301">
        <f t="shared" si="57"/>
        <v>0</v>
      </c>
      <c r="R100" s="301">
        <f t="shared" si="57"/>
        <v>0</v>
      </c>
    </row>
    <row r="101" ht="12.75" hidden="1" customHeight="1" outlineLevel="1">
      <c r="A101" s="90"/>
      <c r="B101" s="90"/>
      <c r="C101" s="90" t="s">
        <v>677</v>
      </c>
      <c r="D101" s="90"/>
      <c r="E101" s="90"/>
      <c r="F101" s="90"/>
      <c r="G101" s="99"/>
      <c r="H101" s="99"/>
      <c r="I101" s="99">
        <v>111.0</v>
      </c>
      <c r="J101" s="99">
        <f t="shared" ref="J101:R101" si="58">I101*(1+J$90)</f>
        <v>111</v>
      </c>
      <c r="K101" s="99">
        <f t="shared" si="58"/>
        <v>111</v>
      </c>
      <c r="L101" s="99">
        <f t="shared" si="58"/>
        <v>111</v>
      </c>
      <c r="M101" s="99">
        <f t="shared" si="58"/>
        <v>111</v>
      </c>
      <c r="N101" s="99">
        <f t="shared" si="58"/>
        <v>111</v>
      </c>
      <c r="O101" s="99">
        <f t="shared" si="58"/>
        <v>111</v>
      </c>
      <c r="P101" s="99">
        <f t="shared" si="58"/>
        <v>111</v>
      </c>
      <c r="Q101" s="99">
        <f t="shared" si="58"/>
        <v>111</v>
      </c>
      <c r="R101" s="99">
        <f t="shared" si="58"/>
        <v>111</v>
      </c>
    </row>
    <row r="102" ht="12.75" hidden="1" customHeight="1" outlineLevel="1">
      <c r="A102" s="90"/>
      <c r="B102" s="90"/>
      <c r="C102" s="90" t="s">
        <v>678</v>
      </c>
      <c r="D102" s="90"/>
      <c r="E102" s="90"/>
      <c r="F102" s="90"/>
      <c r="G102" s="99"/>
      <c r="H102" s="99"/>
      <c r="I102" s="99">
        <v>13.3</v>
      </c>
      <c r="J102" s="99">
        <f t="shared" ref="J102:R102" si="59">I102*(1+J$90)</f>
        <v>13.3</v>
      </c>
      <c r="K102" s="99">
        <f t="shared" si="59"/>
        <v>13.3</v>
      </c>
      <c r="L102" s="99">
        <f t="shared" si="59"/>
        <v>13.3</v>
      </c>
      <c r="M102" s="99">
        <f t="shared" si="59"/>
        <v>13.3</v>
      </c>
      <c r="N102" s="99">
        <f t="shared" si="59"/>
        <v>13.3</v>
      </c>
      <c r="O102" s="99">
        <f t="shared" si="59"/>
        <v>13.3</v>
      </c>
      <c r="P102" s="99">
        <f t="shared" si="59"/>
        <v>13.3</v>
      </c>
      <c r="Q102" s="99">
        <f t="shared" si="59"/>
        <v>13.3</v>
      </c>
      <c r="R102" s="99">
        <f t="shared" si="59"/>
        <v>13.3</v>
      </c>
    </row>
    <row r="103" ht="12.75" hidden="1" customHeight="1" outlineLevel="1">
      <c r="A103" s="90"/>
      <c r="B103" s="90"/>
      <c r="C103" s="90" t="s">
        <v>679</v>
      </c>
      <c r="D103" s="90"/>
      <c r="E103" s="90"/>
      <c r="F103" s="90"/>
      <c r="G103" s="99"/>
      <c r="H103" s="99"/>
      <c r="I103" s="152"/>
      <c r="J103" s="99"/>
      <c r="K103" s="99"/>
      <c r="L103" s="99"/>
      <c r="M103" s="99"/>
      <c r="N103" s="99"/>
      <c r="O103" s="99"/>
      <c r="P103" s="99"/>
      <c r="Q103" s="99"/>
      <c r="R103" s="99"/>
    </row>
    <row r="104" ht="12.75" hidden="1" customHeight="1" outlineLevel="1">
      <c r="A104" s="237"/>
      <c r="B104" s="237"/>
      <c r="C104" s="237" t="s">
        <v>680</v>
      </c>
      <c r="D104" s="237"/>
      <c r="E104" s="237"/>
      <c r="F104" s="237"/>
      <c r="G104" s="356"/>
      <c r="H104" s="356"/>
      <c r="I104" s="356">
        <v>600.0</v>
      </c>
      <c r="J104" s="356">
        <f t="shared" ref="J104:R104" si="60">I104*(1+J$90)</f>
        <v>600</v>
      </c>
      <c r="K104" s="356">
        <f t="shared" si="60"/>
        <v>600</v>
      </c>
      <c r="L104" s="356">
        <f t="shared" si="60"/>
        <v>600</v>
      </c>
      <c r="M104" s="356">
        <f t="shared" si="60"/>
        <v>600</v>
      </c>
      <c r="N104" s="356">
        <f t="shared" si="60"/>
        <v>600</v>
      </c>
      <c r="O104" s="356">
        <f t="shared" si="60"/>
        <v>600</v>
      </c>
      <c r="P104" s="356">
        <f t="shared" si="60"/>
        <v>600</v>
      </c>
      <c r="Q104" s="356">
        <f t="shared" si="60"/>
        <v>600</v>
      </c>
      <c r="R104" s="356">
        <f t="shared" si="60"/>
        <v>600</v>
      </c>
    </row>
    <row r="105" ht="12.75" hidden="1" customHeight="1" outlineLevel="1">
      <c r="A105" s="90"/>
      <c r="B105" s="90"/>
      <c r="C105" s="90" t="s">
        <v>681</v>
      </c>
      <c r="D105" s="90"/>
      <c r="E105" s="90"/>
      <c r="F105" s="90"/>
      <c r="G105" s="99"/>
      <c r="H105" s="99"/>
      <c r="I105" s="99">
        <v>0.0</v>
      </c>
      <c r="J105" s="99">
        <f t="shared" ref="J105:R105" si="61">I105*(1+J$90)</f>
        <v>0</v>
      </c>
      <c r="K105" s="99">
        <f t="shared" si="61"/>
        <v>0</v>
      </c>
      <c r="L105" s="99">
        <f t="shared" si="61"/>
        <v>0</v>
      </c>
      <c r="M105" s="99">
        <f t="shared" si="61"/>
        <v>0</v>
      </c>
      <c r="N105" s="99">
        <f t="shared" si="61"/>
        <v>0</v>
      </c>
      <c r="O105" s="99">
        <f t="shared" si="61"/>
        <v>0</v>
      </c>
      <c r="P105" s="99">
        <f t="shared" si="61"/>
        <v>0</v>
      </c>
      <c r="Q105" s="99">
        <f t="shared" si="61"/>
        <v>0</v>
      </c>
      <c r="R105" s="99">
        <f t="shared" si="61"/>
        <v>0</v>
      </c>
    </row>
    <row r="106" ht="12.75" hidden="1" customHeight="1" outlineLevel="1">
      <c r="A106" s="90"/>
      <c r="B106" s="90"/>
      <c r="C106" s="90" t="s">
        <v>682</v>
      </c>
      <c r="D106" s="90"/>
      <c r="E106" s="90"/>
      <c r="F106" s="90"/>
      <c r="G106" s="99"/>
      <c r="H106" s="99"/>
      <c r="I106" s="99">
        <v>0.0</v>
      </c>
      <c r="J106" s="99">
        <f t="shared" ref="J106:R106" si="62">I106*(1+J$90)</f>
        <v>0</v>
      </c>
      <c r="K106" s="99">
        <f t="shared" si="62"/>
        <v>0</v>
      </c>
      <c r="L106" s="99">
        <f t="shared" si="62"/>
        <v>0</v>
      </c>
      <c r="M106" s="99">
        <f t="shared" si="62"/>
        <v>0</v>
      </c>
      <c r="N106" s="99">
        <f t="shared" si="62"/>
        <v>0</v>
      </c>
      <c r="O106" s="99">
        <f t="shared" si="62"/>
        <v>0</v>
      </c>
      <c r="P106" s="99">
        <f t="shared" si="62"/>
        <v>0</v>
      </c>
      <c r="Q106" s="99">
        <f t="shared" si="62"/>
        <v>0</v>
      </c>
      <c r="R106" s="99">
        <f t="shared" si="62"/>
        <v>0</v>
      </c>
    </row>
    <row r="107" ht="12.75" hidden="1" customHeight="1" outlineLevel="1">
      <c r="A107" s="90"/>
      <c r="B107" s="90"/>
      <c r="C107" s="90" t="s">
        <v>683</v>
      </c>
      <c r="D107" s="90"/>
      <c r="E107" s="90"/>
      <c r="F107" s="90"/>
      <c r="G107" s="99"/>
      <c r="H107" s="99"/>
      <c r="I107" s="99">
        <v>0.0</v>
      </c>
      <c r="J107" s="99">
        <f t="shared" ref="J107:R107" si="63">I107*(1+J$90)</f>
        <v>0</v>
      </c>
      <c r="K107" s="99">
        <f t="shared" si="63"/>
        <v>0</v>
      </c>
      <c r="L107" s="99">
        <f t="shared" si="63"/>
        <v>0</v>
      </c>
      <c r="M107" s="99">
        <f t="shared" si="63"/>
        <v>0</v>
      </c>
      <c r="N107" s="99">
        <f t="shared" si="63"/>
        <v>0</v>
      </c>
      <c r="O107" s="99">
        <f t="shared" si="63"/>
        <v>0</v>
      </c>
      <c r="P107" s="99">
        <f t="shared" si="63"/>
        <v>0</v>
      </c>
      <c r="Q107" s="99">
        <f t="shared" si="63"/>
        <v>0</v>
      </c>
      <c r="R107" s="99">
        <f t="shared" si="63"/>
        <v>0</v>
      </c>
    </row>
    <row r="108" ht="12.75" hidden="1" customHeight="1" outlineLevel="1">
      <c r="A108" s="90"/>
      <c r="B108" s="90"/>
      <c r="C108" s="90" t="s">
        <v>684</v>
      </c>
      <c r="D108" s="90"/>
      <c r="E108" s="90"/>
      <c r="F108" s="90"/>
      <c r="G108" s="99"/>
      <c r="H108" s="99"/>
      <c r="I108" s="99">
        <v>0.0</v>
      </c>
      <c r="J108" s="99">
        <f t="shared" ref="J108:R108" si="64">I108*(1+J$90)</f>
        <v>0</v>
      </c>
      <c r="K108" s="99">
        <f t="shared" si="64"/>
        <v>0</v>
      </c>
      <c r="L108" s="99">
        <f t="shared" si="64"/>
        <v>0</v>
      </c>
      <c r="M108" s="99">
        <f t="shared" si="64"/>
        <v>0</v>
      </c>
      <c r="N108" s="99">
        <f t="shared" si="64"/>
        <v>0</v>
      </c>
      <c r="O108" s="99">
        <f t="shared" si="64"/>
        <v>0</v>
      </c>
      <c r="P108" s="99">
        <f t="shared" si="64"/>
        <v>0</v>
      </c>
      <c r="Q108" s="99">
        <f t="shared" si="64"/>
        <v>0</v>
      </c>
      <c r="R108" s="99">
        <f t="shared" si="64"/>
        <v>0</v>
      </c>
    </row>
    <row r="109" ht="12.75" hidden="1" customHeight="1" outlineLevel="1">
      <c r="A109" s="90"/>
      <c r="B109" s="90"/>
      <c r="C109" s="90"/>
      <c r="D109" s="90"/>
      <c r="E109" s="90"/>
      <c r="F109" s="90"/>
      <c r="G109" s="99"/>
      <c r="H109" s="99"/>
      <c r="I109" s="99"/>
      <c r="J109" s="99"/>
      <c r="K109" s="99"/>
      <c r="L109" s="99"/>
      <c r="M109" s="99"/>
      <c r="N109" s="99"/>
      <c r="O109" s="99"/>
      <c r="P109" s="99"/>
      <c r="Q109" s="99"/>
      <c r="R109" s="99"/>
    </row>
    <row r="110" ht="12.75" hidden="1" customHeight="1" outlineLevel="1">
      <c r="A110" s="90"/>
      <c r="B110" s="67" t="s">
        <v>685</v>
      </c>
      <c r="C110" s="90"/>
      <c r="D110" s="90"/>
      <c r="E110" s="90"/>
      <c r="F110" s="90"/>
      <c r="G110" s="99"/>
      <c r="H110" s="99"/>
      <c r="I110" s="90"/>
      <c r="J110" s="90"/>
      <c r="K110" s="90"/>
      <c r="L110" s="90"/>
      <c r="M110" s="90"/>
      <c r="N110" s="90"/>
      <c r="O110" s="90"/>
      <c r="P110" s="90"/>
      <c r="Q110" s="90"/>
      <c r="R110" s="90"/>
    </row>
    <row r="111" ht="12.75" hidden="1" customHeight="1" outlineLevel="1">
      <c r="A111" s="90"/>
      <c r="B111" s="90"/>
      <c r="C111" s="90" t="s">
        <v>574</v>
      </c>
      <c r="D111" s="90"/>
      <c r="E111" s="90"/>
      <c r="F111" s="90"/>
      <c r="G111" s="178"/>
      <c r="H111" s="178"/>
      <c r="I111" s="178"/>
      <c r="J111" s="178"/>
      <c r="K111" s="178"/>
      <c r="L111" s="178"/>
      <c r="M111" s="178"/>
      <c r="N111" s="178"/>
      <c r="O111" s="178"/>
      <c r="P111" s="178"/>
      <c r="Q111" s="178"/>
      <c r="R111" s="178"/>
    </row>
    <row r="112" ht="12.75" hidden="1" customHeight="1" outlineLevel="1">
      <c r="A112" s="90"/>
      <c r="B112" s="90"/>
      <c r="C112" s="90" t="s">
        <v>686</v>
      </c>
      <c r="D112" s="90"/>
      <c r="E112" s="90"/>
      <c r="F112" s="90"/>
      <c r="G112" s="99"/>
      <c r="H112" s="99"/>
      <c r="I112" s="99">
        <v>400.0</v>
      </c>
      <c r="J112" s="99">
        <v>400.0</v>
      </c>
      <c r="K112" s="99">
        <v>400.0</v>
      </c>
      <c r="L112" s="99">
        <v>400.0</v>
      </c>
      <c r="M112" s="99">
        <v>400.0</v>
      </c>
      <c r="N112" s="99">
        <v>400.0</v>
      </c>
      <c r="O112" s="99">
        <v>400.0</v>
      </c>
      <c r="P112" s="99">
        <v>400.0</v>
      </c>
      <c r="Q112" s="99">
        <v>400.0</v>
      </c>
      <c r="R112" s="99">
        <v>400.0</v>
      </c>
    </row>
    <row r="113" ht="12.75" hidden="1" customHeight="1" outlineLevel="1">
      <c r="A113" s="90"/>
      <c r="B113" s="90"/>
      <c r="C113" s="90" t="s">
        <v>687</v>
      </c>
      <c r="D113" s="90"/>
      <c r="E113" s="90"/>
      <c r="F113" s="90"/>
      <c r="G113" s="99"/>
      <c r="H113" s="99"/>
      <c r="I113" s="152">
        <v>0.75</v>
      </c>
      <c r="J113" s="152">
        <v>0.75</v>
      </c>
      <c r="K113" s="152">
        <v>0.75</v>
      </c>
      <c r="L113" s="152">
        <v>0.75</v>
      </c>
      <c r="M113" s="152">
        <v>0.75</v>
      </c>
      <c r="N113" s="152">
        <v>0.75</v>
      </c>
      <c r="O113" s="152">
        <v>0.75</v>
      </c>
      <c r="P113" s="152">
        <v>0.75</v>
      </c>
      <c r="Q113" s="152">
        <v>0.75</v>
      </c>
      <c r="R113" s="152">
        <v>0.75</v>
      </c>
    </row>
    <row r="114" ht="12.75" hidden="1" customHeight="1" outlineLevel="1">
      <c r="A114" s="90"/>
      <c r="B114" s="90"/>
      <c r="C114" s="90" t="s">
        <v>688</v>
      </c>
      <c r="D114" s="90"/>
      <c r="E114" s="90"/>
      <c r="F114" s="90"/>
      <c r="G114" s="99"/>
      <c r="H114" s="99"/>
      <c r="I114" s="99"/>
      <c r="J114" s="99"/>
      <c r="K114" s="99"/>
      <c r="L114" s="99"/>
      <c r="M114" s="99"/>
      <c r="N114" s="99"/>
      <c r="O114" s="99"/>
      <c r="P114" s="99"/>
      <c r="Q114" s="99"/>
      <c r="R114" s="99"/>
    </row>
    <row r="115" ht="12.75" hidden="1" customHeight="1" outlineLevel="1">
      <c r="A115" s="90"/>
      <c r="B115" s="90"/>
      <c r="C115" s="90" t="s">
        <v>689</v>
      </c>
      <c r="D115" s="90"/>
      <c r="E115" s="90"/>
      <c r="F115" s="90"/>
      <c r="G115" s="99"/>
      <c r="H115" s="99"/>
      <c r="I115" s="99">
        <v>0.0</v>
      </c>
      <c r="J115" s="99">
        <f t="shared" ref="J115:J117" si="66">I115*(1+J$111)</f>
        <v>0</v>
      </c>
      <c r="K115" s="505">
        <v>26.7330383480826</v>
      </c>
      <c r="L115" s="99">
        <f t="shared" ref="L115:R115" si="65">K115*(1+L$111)</f>
        <v>26.73303835</v>
      </c>
      <c r="M115" s="99">
        <f t="shared" si="65"/>
        <v>26.73303835</v>
      </c>
      <c r="N115" s="99">
        <f t="shared" si="65"/>
        <v>26.73303835</v>
      </c>
      <c r="O115" s="99">
        <f t="shared" si="65"/>
        <v>26.73303835</v>
      </c>
      <c r="P115" s="99">
        <f t="shared" si="65"/>
        <v>26.73303835</v>
      </c>
      <c r="Q115" s="99">
        <f t="shared" si="65"/>
        <v>26.73303835</v>
      </c>
      <c r="R115" s="99">
        <f t="shared" si="65"/>
        <v>26.73303835</v>
      </c>
    </row>
    <row r="116" ht="12.75" hidden="1" customHeight="1" outlineLevel="1">
      <c r="A116" s="90"/>
      <c r="B116" s="90"/>
      <c r="C116" s="90" t="s">
        <v>690</v>
      </c>
      <c r="D116" s="90"/>
      <c r="E116" s="90"/>
      <c r="F116" s="90"/>
      <c r="G116" s="99"/>
      <c r="H116" s="99"/>
      <c r="I116" s="99">
        <v>0.0</v>
      </c>
      <c r="J116" s="99">
        <f t="shared" si="66"/>
        <v>0</v>
      </c>
      <c r="K116" s="99">
        <f t="shared" ref="K116:R116" si="67">J116*(1+K$111)</f>
        <v>0</v>
      </c>
      <c r="L116" s="99">
        <f t="shared" si="67"/>
        <v>0</v>
      </c>
      <c r="M116" s="99">
        <f t="shared" si="67"/>
        <v>0</v>
      </c>
      <c r="N116" s="99">
        <f t="shared" si="67"/>
        <v>0</v>
      </c>
      <c r="O116" s="99">
        <f t="shared" si="67"/>
        <v>0</v>
      </c>
      <c r="P116" s="99">
        <f t="shared" si="67"/>
        <v>0</v>
      </c>
      <c r="Q116" s="99">
        <f t="shared" si="67"/>
        <v>0</v>
      </c>
      <c r="R116" s="99">
        <f t="shared" si="67"/>
        <v>0</v>
      </c>
    </row>
    <row r="117" ht="12.75" hidden="1" customHeight="1" outlineLevel="1">
      <c r="A117" s="90"/>
      <c r="B117" s="90"/>
      <c r="C117" s="90" t="s">
        <v>691</v>
      </c>
      <c r="D117" s="90"/>
      <c r="E117" s="90"/>
      <c r="F117" s="90"/>
      <c r="G117" s="99"/>
      <c r="H117" s="99"/>
      <c r="I117" s="99">
        <v>0.0</v>
      </c>
      <c r="J117" s="99">
        <f t="shared" si="66"/>
        <v>0</v>
      </c>
      <c r="K117" s="99">
        <f t="shared" ref="K117:R117" si="68">J117*(1+K$111)</f>
        <v>0</v>
      </c>
      <c r="L117" s="99">
        <f t="shared" si="68"/>
        <v>0</v>
      </c>
      <c r="M117" s="99">
        <f t="shared" si="68"/>
        <v>0</v>
      </c>
      <c r="N117" s="99">
        <f t="shared" si="68"/>
        <v>0</v>
      </c>
      <c r="O117" s="99">
        <f t="shared" si="68"/>
        <v>0</v>
      </c>
      <c r="P117" s="99">
        <f t="shared" si="68"/>
        <v>0</v>
      </c>
      <c r="Q117" s="99">
        <f t="shared" si="68"/>
        <v>0</v>
      </c>
      <c r="R117" s="99">
        <f t="shared" si="68"/>
        <v>0</v>
      </c>
    </row>
    <row r="118" ht="12.75" hidden="1" customHeight="1" outlineLevel="1">
      <c r="A118" s="90"/>
      <c r="B118" s="90"/>
      <c r="C118" s="90"/>
      <c r="D118" s="90"/>
      <c r="E118" s="90"/>
      <c r="F118" s="90"/>
      <c r="G118" s="99"/>
      <c r="H118" s="99"/>
      <c r="I118" s="90"/>
      <c r="J118" s="90"/>
      <c r="K118" s="90"/>
      <c r="L118" s="90"/>
      <c r="M118" s="90"/>
      <c r="N118" s="90"/>
      <c r="O118" s="90"/>
      <c r="P118" s="90"/>
      <c r="Q118" s="90"/>
      <c r="R118" s="90"/>
    </row>
    <row r="119" ht="12.75" hidden="1" customHeight="1" outlineLevel="1">
      <c r="A119" s="90"/>
      <c r="B119" s="67" t="s">
        <v>692</v>
      </c>
      <c r="C119" s="90"/>
      <c r="D119" s="90"/>
      <c r="E119" s="90"/>
      <c r="F119" s="90"/>
      <c r="G119" s="99"/>
      <c r="H119" s="99"/>
      <c r="I119" s="90"/>
      <c r="J119" s="90"/>
      <c r="K119" s="90"/>
      <c r="L119" s="90"/>
      <c r="M119" s="90"/>
      <c r="N119" s="90"/>
      <c r="O119" s="90"/>
      <c r="P119" s="90"/>
      <c r="Q119" s="90"/>
      <c r="R119" s="90"/>
    </row>
    <row r="120" ht="12.75" hidden="1" customHeight="1" outlineLevel="1">
      <c r="A120" s="90"/>
      <c r="B120" s="90"/>
      <c r="C120" s="90" t="s">
        <v>693</v>
      </c>
      <c r="D120" s="90"/>
      <c r="E120" s="90"/>
      <c r="F120" s="90"/>
      <c r="G120" s="99"/>
      <c r="H120" s="99"/>
      <c r="I120" s="99">
        <v>10000.0</v>
      </c>
      <c r="J120" s="99">
        <f t="shared" ref="J120:J121" si="69">I120</f>
        <v>10000</v>
      </c>
      <c r="K120" s="99">
        <v>5000.0</v>
      </c>
      <c r="L120" s="99">
        <v>5000.0</v>
      </c>
      <c r="M120" s="99">
        <v>5000.0</v>
      </c>
      <c r="N120" s="99">
        <v>5000.0</v>
      </c>
      <c r="O120" s="99">
        <v>5000.0</v>
      </c>
      <c r="P120" s="99">
        <v>5000.0</v>
      </c>
      <c r="Q120" s="99">
        <v>5000.0</v>
      </c>
      <c r="R120" s="99">
        <v>5000.0</v>
      </c>
    </row>
    <row r="121" ht="12.75" hidden="1" customHeight="1" outlineLevel="1">
      <c r="A121" s="90"/>
      <c r="B121" s="90"/>
      <c r="C121" s="90" t="s">
        <v>694</v>
      </c>
      <c r="D121" s="90"/>
      <c r="E121" s="90"/>
      <c r="F121" s="90"/>
      <c r="G121" s="99"/>
      <c r="H121" s="99"/>
      <c r="I121" s="99">
        <v>0.0</v>
      </c>
      <c r="J121" s="99">
        <f t="shared" si="69"/>
        <v>0</v>
      </c>
      <c r="K121" s="99">
        <f t="shared" ref="K121:R121" si="70">J121</f>
        <v>0</v>
      </c>
      <c r="L121" s="99">
        <f t="shared" si="70"/>
        <v>0</v>
      </c>
      <c r="M121" s="99">
        <f t="shared" si="70"/>
        <v>0</v>
      </c>
      <c r="N121" s="99">
        <f t="shared" si="70"/>
        <v>0</v>
      </c>
      <c r="O121" s="99">
        <f t="shared" si="70"/>
        <v>0</v>
      </c>
      <c r="P121" s="99">
        <f t="shared" si="70"/>
        <v>0</v>
      </c>
      <c r="Q121" s="99">
        <f t="shared" si="70"/>
        <v>0</v>
      </c>
      <c r="R121" s="99">
        <f t="shared" si="70"/>
        <v>0</v>
      </c>
    </row>
    <row r="122" ht="12.75" hidden="1" customHeight="1" outlineLevel="1">
      <c r="A122" s="90"/>
      <c r="B122" s="90"/>
      <c r="C122" s="90" t="s">
        <v>695</v>
      </c>
      <c r="D122" s="90"/>
      <c r="E122" s="90"/>
      <c r="F122" s="90"/>
      <c r="G122" s="99"/>
      <c r="H122" s="99"/>
      <c r="I122" s="99">
        <v>70.0</v>
      </c>
      <c r="J122" s="99">
        <v>70.0</v>
      </c>
      <c r="K122" s="99">
        <v>70.0</v>
      </c>
      <c r="L122" s="99">
        <v>70.0</v>
      </c>
      <c r="M122" s="99">
        <v>70.0</v>
      </c>
      <c r="N122" s="99">
        <v>70.0</v>
      </c>
      <c r="O122" s="99">
        <v>70.0</v>
      </c>
      <c r="P122" s="99">
        <v>70.0</v>
      </c>
      <c r="Q122" s="99">
        <v>70.0</v>
      </c>
      <c r="R122" s="99">
        <v>70.0</v>
      </c>
    </row>
    <row r="123" ht="12.75" hidden="1" customHeight="1" outlineLevel="1">
      <c r="A123" s="90"/>
      <c r="B123" s="90"/>
      <c r="C123" s="90" t="s">
        <v>696</v>
      </c>
      <c r="D123" s="90"/>
      <c r="E123" s="90"/>
      <c r="F123" s="90"/>
      <c r="G123" s="178" t="str">
        <f>'RS2'!I122</f>
        <v/>
      </c>
      <c r="H123" s="178" t="str">
        <f>'RS2'!J122</f>
        <v/>
      </c>
      <c r="I123" s="178">
        <v>0.041</v>
      </c>
      <c r="J123" s="178">
        <f t="shared" ref="J123:R123" si="71">I123</f>
        <v>0.041</v>
      </c>
      <c r="K123" s="178">
        <f t="shared" si="71"/>
        <v>0.041</v>
      </c>
      <c r="L123" s="178">
        <f t="shared" si="71"/>
        <v>0.041</v>
      </c>
      <c r="M123" s="178">
        <f t="shared" si="71"/>
        <v>0.041</v>
      </c>
      <c r="N123" s="178">
        <f t="shared" si="71"/>
        <v>0.041</v>
      </c>
      <c r="O123" s="178">
        <f t="shared" si="71"/>
        <v>0.041</v>
      </c>
      <c r="P123" s="178">
        <f t="shared" si="71"/>
        <v>0.041</v>
      </c>
      <c r="Q123" s="178">
        <f t="shared" si="71"/>
        <v>0.041</v>
      </c>
      <c r="R123" s="178">
        <f t="shared" si="71"/>
        <v>0.041</v>
      </c>
    </row>
    <row r="124" ht="12.75" customHeight="1">
      <c r="A124" s="90"/>
      <c r="B124" s="90"/>
      <c r="C124" s="90"/>
      <c r="D124" s="90"/>
      <c r="E124" s="90"/>
      <c r="F124" s="90"/>
      <c r="G124" s="90"/>
      <c r="H124" s="90"/>
      <c r="I124" s="90"/>
      <c r="J124" s="90"/>
      <c r="K124" s="90"/>
      <c r="L124" s="90"/>
      <c r="M124" s="90"/>
      <c r="N124" s="90"/>
      <c r="O124" s="90"/>
      <c r="P124" s="90"/>
      <c r="Q124" s="90"/>
      <c r="R124" s="90"/>
    </row>
    <row r="125" ht="12.75" customHeight="1">
      <c r="A125" s="106" t="s">
        <v>697</v>
      </c>
      <c r="B125" s="253"/>
      <c r="C125" s="253"/>
      <c r="D125" s="253"/>
      <c r="E125" s="253"/>
      <c r="F125" s="253"/>
      <c r="G125" s="253"/>
      <c r="H125" s="253"/>
      <c r="I125" s="253"/>
      <c r="J125" s="253"/>
      <c r="K125" s="253"/>
      <c r="L125" s="253"/>
      <c r="M125" s="253"/>
      <c r="N125" s="253"/>
      <c r="O125" s="253"/>
      <c r="P125" s="253"/>
      <c r="Q125" s="253"/>
      <c r="R125" s="253"/>
    </row>
    <row r="126" ht="12.75" customHeight="1" outlineLevel="1">
      <c r="A126" s="90"/>
      <c r="B126" s="90"/>
      <c r="C126" s="90"/>
      <c r="D126" s="90"/>
      <c r="E126" s="90"/>
      <c r="F126" s="90"/>
      <c r="G126" s="90"/>
      <c r="H126" s="90"/>
      <c r="I126" s="90"/>
      <c r="J126" s="90"/>
      <c r="K126" s="90"/>
      <c r="L126" s="90"/>
      <c r="M126" s="90"/>
      <c r="N126" s="90"/>
      <c r="O126" s="90"/>
      <c r="P126" s="90"/>
      <c r="Q126" s="90"/>
      <c r="R126" s="90"/>
    </row>
    <row r="127" ht="12.75" customHeight="1" outlineLevel="1">
      <c r="A127" s="90"/>
      <c r="B127" s="67" t="s">
        <v>698</v>
      </c>
      <c r="C127" s="90"/>
      <c r="D127" s="90"/>
      <c r="E127" s="90"/>
      <c r="F127" s="90"/>
      <c r="G127" s="223"/>
      <c r="H127" s="223"/>
      <c r="I127" s="223"/>
      <c r="J127" s="223"/>
      <c r="K127" s="223"/>
      <c r="L127" s="223"/>
      <c r="M127" s="223"/>
      <c r="N127" s="223"/>
      <c r="O127" s="223"/>
      <c r="P127" s="223"/>
      <c r="Q127" s="223"/>
      <c r="R127" s="223"/>
    </row>
    <row r="128" ht="12.75" customHeight="1" outlineLevel="1">
      <c r="A128" s="90"/>
      <c r="B128" s="90"/>
      <c r="C128" s="90"/>
      <c r="D128" s="90"/>
      <c r="E128" s="90"/>
      <c r="F128" s="90"/>
      <c r="G128" s="223"/>
      <c r="H128" s="223"/>
      <c r="I128" s="223"/>
      <c r="J128" s="223"/>
      <c r="K128" s="223"/>
      <c r="L128" s="223"/>
      <c r="M128" s="223"/>
      <c r="N128" s="223"/>
      <c r="O128" s="223"/>
      <c r="P128" s="223"/>
      <c r="Q128" s="223"/>
      <c r="R128" s="223"/>
    </row>
    <row r="129" ht="12.75" customHeight="1" outlineLevel="1">
      <c r="A129" s="90"/>
      <c r="B129" s="90"/>
      <c r="C129" s="90" t="s">
        <v>173</v>
      </c>
      <c r="D129" s="90"/>
      <c r="E129" s="90"/>
      <c r="F129" s="90"/>
      <c r="G129" s="223"/>
      <c r="H129" s="223"/>
      <c r="I129" s="223"/>
      <c r="J129" s="223"/>
      <c r="K129" s="223"/>
      <c r="L129" s="223"/>
      <c r="M129" s="223"/>
      <c r="N129" s="223"/>
      <c r="O129" s="223"/>
      <c r="P129" s="223"/>
      <c r="Q129" s="223"/>
      <c r="R129" s="223"/>
    </row>
    <row r="130" ht="12.75" customHeight="1" outlineLevel="1">
      <c r="A130" s="90"/>
      <c r="B130" s="90"/>
      <c r="C130" s="90"/>
      <c r="D130" s="90" t="s">
        <v>699</v>
      </c>
      <c r="E130" s="90"/>
      <c r="F130" s="90"/>
      <c r="G130" s="361"/>
      <c r="H130" s="361"/>
      <c r="I130" s="223">
        <v>3.0</v>
      </c>
      <c r="J130" s="223">
        <f>Assumptions!F48</f>
        <v>3</v>
      </c>
      <c r="K130" s="223">
        <f>Assumptions!G48</f>
        <v>3</v>
      </c>
      <c r="L130" s="223">
        <f>Assumptions!H48</f>
        <v>3</v>
      </c>
      <c r="M130" s="223">
        <f>Assumptions!I48</f>
        <v>3</v>
      </c>
      <c r="N130" s="223">
        <f>Assumptions!J48</f>
        <v>3</v>
      </c>
      <c r="O130" s="223">
        <f>Assumptions!K48</f>
        <v>3</v>
      </c>
      <c r="P130" s="223">
        <f>Assumptions!L48</f>
        <v>3</v>
      </c>
      <c r="Q130" s="223">
        <f t="shared" ref="Q130:R130" si="72">P130</f>
        <v>3</v>
      </c>
      <c r="R130" s="223">
        <f t="shared" si="72"/>
        <v>3</v>
      </c>
    </row>
    <row r="131" ht="12.75" customHeight="1" outlineLevel="1">
      <c r="A131" s="90"/>
      <c r="B131" s="90"/>
      <c r="C131" s="90"/>
      <c r="D131" s="64">
        <v>1.0</v>
      </c>
      <c r="E131" s="90"/>
      <c r="F131" s="90"/>
      <c r="G131" s="361"/>
      <c r="H131" s="361"/>
      <c r="I131" s="223">
        <v>3.0</v>
      </c>
      <c r="J131" s="223">
        <f>Assumptions!F49</f>
        <v>3</v>
      </c>
      <c r="K131" s="223">
        <f>Assumptions!G49</f>
        <v>3</v>
      </c>
      <c r="L131" s="223">
        <f>Assumptions!H49</f>
        <v>3</v>
      </c>
      <c r="M131" s="223">
        <f>Assumptions!I49</f>
        <v>3</v>
      </c>
      <c r="N131" s="223">
        <f>Assumptions!J49</f>
        <v>3</v>
      </c>
      <c r="O131" s="223">
        <f>Assumptions!K49</f>
        <v>3</v>
      </c>
      <c r="P131" s="223">
        <f>Assumptions!L49</f>
        <v>3</v>
      </c>
      <c r="Q131" s="223">
        <f t="shared" ref="Q131:R131" si="73">P131</f>
        <v>3</v>
      </c>
      <c r="R131" s="223">
        <f t="shared" si="73"/>
        <v>3</v>
      </c>
    </row>
    <row r="132" ht="12.75" customHeight="1" outlineLevel="1">
      <c r="A132" s="90"/>
      <c r="B132" s="90"/>
      <c r="C132" s="90"/>
      <c r="D132" s="64">
        <v>2.0</v>
      </c>
      <c r="E132" s="90"/>
      <c r="F132" s="90"/>
      <c r="G132" s="361"/>
      <c r="H132" s="361"/>
      <c r="I132" s="223">
        <v>3.0</v>
      </c>
      <c r="J132" s="223">
        <f>Assumptions!F50</f>
        <v>3</v>
      </c>
      <c r="K132" s="223">
        <f>Assumptions!G50</f>
        <v>3</v>
      </c>
      <c r="L132" s="223">
        <f>Assumptions!H50</f>
        <v>3</v>
      </c>
      <c r="M132" s="223">
        <f>Assumptions!I50</f>
        <v>3</v>
      </c>
      <c r="N132" s="223">
        <f>Assumptions!J50</f>
        <v>3</v>
      </c>
      <c r="O132" s="223">
        <f>Assumptions!K50</f>
        <v>3</v>
      </c>
      <c r="P132" s="223">
        <f>Assumptions!L50</f>
        <v>3</v>
      </c>
      <c r="Q132" s="223">
        <f t="shared" ref="Q132:R132" si="74">P132</f>
        <v>3</v>
      </c>
      <c r="R132" s="223">
        <f t="shared" si="74"/>
        <v>3</v>
      </c>
    </row>
    <row r="133" ht="12.75" customHeight="1" outlineLevel="1">
      <c r="A133" s="90"/>
      <c r="B133" s="90"/>
      <c r="C133" s="90"/>
      <c r="D133" s="64">
        <v>3.0</v>
      </c>
      <c r="E133" s="90"/>
      <c r="F133" s="90"/>
      <c r="G133" s="361"/>
      <c r="H133" s="361"/>
      <c r="I133" s="223">
        <v>3.0</v>
      </c>
      <c r="J133" s="223">
        <f>Assumptions!F51</f>
        <v>3</v>
      </c>
      <c r="K133" s="223">
        <f>Assumptions!G51</f>
        <v>3</v>
      </c>
      <c r="L133" s="223">
        <f>Assumptions!H51</f>
        <v>3</v>
      </c>
      <c r="M133" s="223">
        <f>Assumptions!I51</f>
        <v>3</v>
      </c>
      <c r="N133" s="223">
        <f>Assumptions!J51</f>
        <v>3</v>
      </c>
      <c r="O133" s="223">
        <f>Assumptions!K51</f>
        <v>3</v>
      </c>
      <c r="P133" s="223">
        <f>Assumptions!L51</f>
        <v>3</v>
      </c>
      <c r="Q133" s="223">
        <f t="shared" ref="Q133:R133" si="75">P133</f>
        <v>3</v>
      </c>
      <c r="R133" s="223">
        <f t="shared" si="75"/>
        <v>3</v>
      </c>
    </row>
    <row r="134" ht="12.75" customHeight="1" outlineLevel="1">
      <c r="A134" s="90"/>
      <c r="B134" s="90"/>
      <c r="C134" s="90"/>
      <c r="D134" s="64">
        <v>4.0</v>
      </c>
      <c r="E134" s="90"/>
      <c r="F134" s="90"/>
      <c r="G134" s="361"/>
      <c r="H134" s="361"/>
      <c r="I134" s="223">
        <v>0.0</v>
      </c>
      <c r="J134" s="223">
        <f>Assumptions!F52</f>
        <v>3</v>
      </c>
      <c r="K134" s="223">
        <f>Assumptions!G52</f>
        <v>3</v>
      </c>
      <c r="L134" s="223">
        <f>Assumptions!H52</f>
        <v>3</v>
      </c>
      <c r="M134" s="223">
        <f>Assumptions!I52</f>
        <v>3</v>
      </c>
      <c r="N134" s="223">
        <f>Assumptions!J52</f>
        <v>3</v>
      </c>
      <c r="O134" s="223">
        <f>Assumptions!K52</f>
        <v>3</v>
      </c>
      <c r="P134" s="223">
        <f>Assumptions!L52</f>
        <v>3</v>
      </c>
      <c r="Q134" s="223">
        <f t="shared" ref="Q134:R134" si="76">P134</f>
        <v>3</v>
      </c>
      <c r="R134" s="223">
        <f t="shared" si="76"/>
        <v>3</v>
      </c>
    </row>
    <row r="135" ht="12.75" customHeight="1" outlineLevel="1">
      <c r="A135" s="90"/>
      <c r="B135" s="90"/>
      <c r="C135" s="90"/>
      <c r="D135" s="64">
        <v>5.0</v>
      </c>
      <c r="E135" s="90"/>
      <c r="F135" s="90"/>
      <c r="G135" s="361"/>
      <c r="H135" s="361"/>
      <c r="I135" s="223">
        <v>0.0</v>
      </c>
      <c r="J135" s="223">
        <f>Assumptions!F53</f>
        <v>0</v>
      </c>
      <c r="K135" s="223">
        <f>Assumptions!G53</f>
        <v>1</v>
      </c>
      <c r="L135" s="223">
        <f>Assumptions!H53</f>
        <v>1</v>
      </c>
      <c r="M135" s="223">
        <f>Assumptions!I53</f>
        <v>1</v>
      </c>
      <c r="N135" s="223">
        <f>Assumptions!J53</f>
        <v>1</v>
      </c>
      <c r="O135" s="223">
        <f>Assumptions!K53</f>
        <v>1</v>
      </c>
      <c r="P135" s="223">
        <f>Assumptions!L53</f>
        <v>1</v>
      </c>
      <c r="Q135" s="223">
        <f t="shared" ref="Q135:R135" si="77">P135</f>
        <v>1</v>
      </c>
      <c r="R135" s="223">
        <f t="shared" si="77"/>
        <v>1</v>
      </c>
    </row>
    <row r="136" ht="12.75" customHeight="1" outlineLevel="1">
      <c r="A136" s="90"/>
      <c r="B136" s="90"/>
      <c r="C136" s="148" t="s">
        <v>173</v>
      </c>
      <c r="D136" s="362"/>
      <c r="E136" s="148"/>
      <c r="F136" s="148"/>
      <c r="G136" s="363"/>
      <c r="H136" s="363"/>
      <c r="I136" s="364">
        <v>12.0</v>
      </c>
      <c r="J136" s="364">
        <f t="shared" ref="J136:R136" si="78">SUM(J130:J135)</f>
        <v>15</v>
      </c>
      <c r="K136" s="364">
        <f t="shared" si="78"/>
        <v>16</v>
      </c>
      <c r="L136" s="364">
        <f t="shared" si="78"/>
        <v>16</v>
      </c>
      <c r="M136" s="364">
        <f t="shared" si="78"/>
        <v>16</v>
      </c>
      <c r="N136" s="364">
        <f t="shared" si="78"/>
        <v>16</v>
      </c>
      <c r="O136" s="364">
        <f t="shared" si="78"/>
        <v>16</v>
      </c>
      <c r="P136" s="364">
        <f t="shared" si="78"/>
        <v>16</v>
      </c>
      <c r="Q136" s="364">
        <f t="shared" si="78"/>
        <v>16</v>
      </c>
      <c r="R136" s="364">
        <f t="shared" si="78"/>
        <v>16</v>
      </c>
    </row>
    <row r="137" ht="12.75" customHeight="1" outlineLevel="1">
      <c r="A137" s="90"/>
      <c r="B137" s="90"/>
      <c r="C137" s="90"/>
      <c r="D137" s="90"/>
      <c r="E137" s="90"/>
      <c r="F137" s="90"/>
      <c r="G137" s="223"/>
      <c r="H137" s="223"/>
      <c r="I137" s="223"/>
      <c r="J137" s="223"/>
      <c r="K137" s="223"/>
      <c r="L137" s="223"/>
      <c r="M137" s="223"/>
      <c r="N137" s="223"/>
      <c r="O137" s="223"/>
      <c r="P137" s="223"/>
      <c r="Q137" s="223"/>
      <c r="R137" s="223"/>
    </row>
    <row r="138" ht="12.75" customHeight="1" outlineLevel="1">
      <c r="A138" s="90"/>
      <c r="B138" s="195"/>
      <c r="C138" s="90" t="s">
        <v>700</v>
      </c>
      <c r="D138" s="90"/>
      <c r="E138" s="90"/>
      <c r="F138" s="90"/>
      <c r="G138" s="223"/>
      <c r="H138" s="223"/>
      <c r="I138" s="223"/>
      <c r="J138" s="223"/>
      <c r="K138" s="223"/>
      <c r="L138" s="223"/>
      <c r="M138" s="223"/>
      <c r="N138" s="223"/>
      <c r="O138" s="223"/>
      <c r="P138" s="223"/>
      <c r="Q138" s="223"/>
      <c r="R138" s="223"/>
    </row>
    <row r="139" ht="12.75" customHeight="1" outlineLevel="1">
      <c r="A139" s="90"/>
      <c r="B139" s="195"/>
      <c r="C139" s="90"/>
      <c r="D139" s="90" t="s">
        <v>701</v>
      </c>
      <c r="E139" s="90"/>
      <c r="F139" s="90"/>
      <c r="G139" s="223" t="str">
        <f>'RS3'!J138</f>
        <v/>
      </c>
      <c r="H139" s="223">
        <v>1.0</v>
      </c>
      <c r="I139" s="223">
        <v>1.0</v>
      </c>
      <c r="J139" s="223">
        <v>1.0</v>
      </c>
      <c r="K139" s="223">
        <v>1.0</v>
      </c>
      <c r="L139" s="223">
        <v>1.0</v>
      </c>
      <c r="M139" s="223">
        <v>1.0</v>
      </c>
      <c r="N139" s="223">
        <v>1.0</v>
      </c>
      <c r="O139" s="223">
        <v>1.0</v>
      </c>
      <c r="P139" s="223">
        <v>1.0</v>
      </c>
      <c r="Q139" s="223">
        <v>1.0</v>
      </c>
      <c r="R139" s="223">
        <v>1.0</v>
      </c>
    </row>
    <row r="140" ht="12.75" customHeight="1" outlineLevel="1">
      <c r="A140" s="90"/>
      <c r="B140" s="195"/>
      <c r="C140" s="90"/>
      <c r="D140" s="90" t="s">
        <v>702</v>
      </c>
      <c r="E140" s="90"/>
      <c r="F140" s="90"/>
      <c r="G140" s="223" t="str">
        <f>'RS3'!J139</f>
        <v/>
      </c>
      <c r="H140" s="223">
        <v>0.0</v>
      </c>
      <c r="I140" s="223">
        <v>1.0</v>
      </c>
      <c r="J140" s="223">
        <v>1.0</v>
      </c>
      <c r="K140" s="223">
        <v>1.0</v>
      </c>
      <c r="L140" s="223">
        <v>1.0</v>
      </c>
      <c r="M140" s="223">
        <v>1.0</v>
      </c>
      <c r="N140" s="223">
        <v>1.0</v>
      </c>
      <c r="O140" s="223">
        <v>1.0</v>
      </c>
      <c r="P140" s="223">
        <v>1.0</v>
      </c>
      <c r="Q140" s="223">
        <v>1.0</v>
      </c>
      <c r="R140" s="223">
        <v>1.0</v>
      </c>
    </row>
    <row r="141" ht="12.75" customHeight="1" outlineLevel="1">
      <c r="A141" s="90"/>
      <c r="B141" s="195"/>
      <c r="C141" s="87"/>
      <c r="D141" s="87" t="s">
        <v>703</v>
      </c>
      <c r="E141" s="87"/>
      <c r="F141" s="87"/>
      <c r="G141" s="223" t="str">
        <f>'RS3'!J140</f>
        <v/>
      </c>
      <c r="H141" s="223">
        <v>0.0</v>
      </c>
      <c r="I141" s="223">
        <v>0.0</v>
      </c>
      <c r="J141" s="223">
        <v>0.0</v>
      </c>
      <c r="K141" s="223">
        <v>0.0</v>
      </c>
      <c r="L141" s="223">
        <v>0.0</v>
      </c>
      <c r="M141" s="223">
        <v>0.0</v>
      </c>
      <c r="N141" s="223">
        <v>0.0</v>
      </c>
      <c r="O141" s="223">
        <v>0.0</v>
      </c>
      <c r="P141" s="223">
        <v>0.0</v>
      </c>
      <c r="Q141" s="223">
        <v>0.0</v>
      </c>
      <c r="R141" s="223">
        <v>0.0</v>
      </c>
    </row>
    <row r="142" ht="12.75" customHeight="1" outlineLevel="1">
      <c r="A142" s="90"/>
      <c r="B142" s="195"/>
      <c r="C142" s="90" t="s">
        <v>704</v>
      </c>
      <c r="D142" s="90"/>
      <c r="E142" s="90"/>
      <c r="F142" s="90"/>
      <c r="G142" s="364">
        <f t="shared" ref="G142:H142" si="79">SUM(G139:G141)</f>
        <v>0</v>
      </c>
      <c r="H142" s="364">
        <f t="shared" si="79"/>
        <v>1</v>
      </c>
      <c r="I142" s="364">
        <v>2.0</v>
      </c>
      <c r="J142" s="364">
        <f t="shared" ref="J142:R142" si="80">SUM(J139:J141)</f>
        <v>2</v>
      </c>
      <c r="K142" s="364">
        <f t="shared" si="80"/>
        <v>2</v>
      </c>
      <c r="L142" s="364">
        <f t="shared" si="80"/>
        <v>2</v>
      </c>
      <c r="M142" s="364">
        <f t="shared" si="80"/>
        <v>2</v>
      </c>
      <c r="N142" s="364">
        <f t="shared" si="80"/>
        <v>2</v>
      </c>
      <c r="O142" s="364">
        <f t="shared" si="80"/>
        <v>2</v>
      </c>
      <c r="P142" s="364">
        <f t="shared" si="80"/>
        <v>2</v>
      </c>
      <c r="Q142" s="364">
        <f t="shared" si="80"/>
        <v>2</v>
      </c>
      <c r="R142" s="364">
        <f t="shared" si="80"/>
        <v>2</v>
      </c>
    </row>
    <row r="143" ht="12.75" customHeight="1" outlineLevel="1">
      <c r="A143" s="90"/>
      <c r="B143" s="195"/>
      <c r="C143" s="90"/>
      <c r="D143" s="90"/>
      <c r="E143" s="90"/>
      <c r="F143" s="90"/>
      <c r="G143" s="223"/>
      <c r="H143" s="223"/>
      <c r="I143" s="223"/>
      <c r="J143" s="223"/>
      <c r="K143" s="223"/>
      <c r="L143" s="223"/>
      <c r="M143" s="223"/>
      <c r="N143" s="223"/>
      <c r="O143" s="223"/>
      <c r="P143" s="223"/>
      <c r="Q143" s="223"/>
      <c r="R143" s="223"/>
    </row>
    <row r="144" ht="12.75" customHeight="1" outlineLevel="1">
      <c r="A144" s="90"/>
      <c r="B144" s="195"/>
      <c r="C144" s="90" t="s">
        <v>705</v>
      </c>
      <c r="D144" s="90"/>
      <c r="E144" s="90"/>
      <c r="F144" s="90"/>
      <c r="G144" s="223"/>
      <c r="H144" s="223"/>
      <c r="I144" s="223"/>
      <c r="J144" s="223"/>
      <c r="K144" s="223"/>
      <c r="L144" s="223"/>
      <c r="M144" s="223"/>
      <c r="N144" s="223"/>
      <c r="O144" s="223"/>
      <c r="P144" s="223"/>
      <c r="Q144" s="223"/>
      <c r="R144" s="223"/>
    </row>
    <row r="145" ht="12.75" customHeight="1" outlineLevel="1">
      <c r="A145" s="90"/>
      <c r="B145" s="195"/>
      <c r="C145" s="90"/>
      <c r="D145" s="90" t="s">
        <v>706</v>
      </c>
      <c r="E145" s="90"/>
      <c r="F145" s="90"/>
      <c r="G145" s="223" t="str">
        <f>'RS3'!J144</f>
        <v/>
      </c>
      <c r="H145" s="223">
        <f>'RS3'!K144</f>
        <v>0</v>
      </c>
      <c r="I145" s="223">
        <v>2.0</v>
      </c>
      <c r="J145" s="223">
        <v>5.0</v>
      </c>
      <c r="K145" s="223">
        <v>5.0</v>
      </c>
      <c r="L145" s="223">
        <v>5.0</v>
      </c>
      <c r="M145" s="223">
        <v>5.0</v>
      </c>
      <c r="N145" s="223">
        <v>5.0</v>
      </c>
      <c r="O145" s="223">
        <v>5.0</v>
      </c>
      <c r="P145" s="223">
        <v>5.0</v>
      </c>
      <c r="Q145" s="223">
        <v>5.0</v>
      </c>
      <c r="R145" s="223">
        <v>5.0</v>
      </c>
    </row>
    <row r="146" ht="12.75" customHeight="1" outlineLevel="1">
      <c r="A146" s="90"/>
      <c r="B146" s="195"/>
      <c r="C146" s="90"/>
      <c r="D146" s="90" t="s">
        <v>707</v>
      </c>
      <c r="E146" s="90"/>
      <c r="F146" s="90"/>
      <c r="G146" s="223" t="str">
        <f>'RS3'!J145</f>
        <v/>
      </c>
      <c r="H146" s="223">
        <f>'RS3'!K145</f>
        <v>0</v>
      </c>
      <c r="I146" s="366">
        <v>7.0</v>
      </c>
      <c r="J146" s="223">
        <v>5.0</v>
      </c>
      <c r="K146" s="223">
        <v>5.0</v>
      </c>
      <c r="L146" s="223">
        <v>5.0</v>
      </c>
      <c r="M146" s="223">
        <v>5.0</v>
      </c>
      <c r="N146" s="223">
        <v>5.0</v>
      </c>
      <c r="O146" s="223">
        <v>5.0</v>
      </c>
      <c r="P146" s="223">
        <v>5.0</v>
      </c>
      <c r="Q146" s="223">
        <v>5.0</v>
      </c>
      <c r="R146" s="223">
        <v>5.0</v>
      </c>
    </row>
    <row r="147" ht="12.75" customHeight="1" outlineLevel="1">
      <c r="A147" s="90"/>
      <c r="B147" s="195"/>
      <c r="C147" s="90"/>
      <c r="D147" s="90" t="s">
        <v>708</v>
      </c>
      <c r="E147" s="90"/>
      <c r="F147" s="90"/>
      <c r="G147" s="223" t="str">
        <f>'RS3'!J146</f>
        <v/>
      </c>
      <c r="H147" s="223">
        <f>'RS3'!K146</f>
        <v>0</v>
      </c>
      <c r="I147" s="223">
        <v>0.0</v>
      </c>
      <c r="J147" s="223">
        <v>0.0</v>
      </c>
      <c r="K147" s="223">
        <v>0.0</v>
      </c>
      <c r="L147" s="223">
        <v>0.0</v>
      </c>
      <c r="M147" s="223">
        <v>0.0</v>
      </c>
      <c r="N147" s="223">
        <v>0.0</v>
      </c>
      <c r="O147" s="223">
        <v>0.0</v>
      </c>
      <c r="P147" s="223">
        <v>0.0</v>
      </c>
      <c r="Q147" s="223">
        <v>0.0</v>
      </c>
      <c r="R147" s="223">
        <v>0.0</v>
      </c>
    </row>
    <row r="148" ht="12.75" customHeight="1" outlineLevel="1">
      <c r="A148" s="90"/>
      <c r="B148" s="195"/>
      <c r="C148" s="148" t="s">
        <v>709</v>
      </c>
      <c r="D148" s="148"/>
      <c r="E148" s="148"/>
      <c r="F148" s="148"/>
      <c r="G148" s="364">
        <f t="shared" ref="G148:R148" si="81">SUM(G145:G147)</f>
        <v>0</v>
      </c>
      <c r="H148" s="364">
        <f t="shared" si="81"/>
        <v>0</v>
      </c>
      <c r="I148" s="364">
        <f t="shared" si="81"/>
        <v>9</v>
      </c>
      <c r="J148" s="364">
        <f t="shared" si="81"/>
        <v>10</v>
      </c>
      <c r="K148" s="364">
        <f t="shared" si="81"/>
        <v>10</v>
      </c>
      <c r="L148" s="364">
        <f t="shared" si="81"/>
        <v>10</v>
      </c>
      <c r="M148" s="364">
        <f t="shared" si="81"/>
        <v>10</v>
      </c>
      <c r="N148" s="364">
        <f t="shared" si="81"/>
        <v>10</v>
      </c>
      <c r="O148" s="364">
        <f t="shared" si="81"/>
        <v>10</v>
      </c>
      <c r="P148" s="364">
        <f t="shared" si="81"/>
        <v>10</v>
      </c>
      <c r="Q148" s="364">
        <f t="shared" si="81"/>
        <v>10</v>
      </c>
      <c r="R148" s="364">
        <f t="shared" si="81"/>
        <v>10</v>
      </c>
    </row>
    <row r="149" ht="12.75" customHeight="1" outlineLevel="1">
      <c r="A149" s="90"/>
      <c r="B149" s="195"/>
      <c r="C149" s="90"/>
      <c r="D149" s="90"/>
      <c r="E149" s="90"/>
      <c r="F149" s="90"/>
      <c r="G149" s="223"/>
      <c r="H149" s="223"/>
      <c r="I149" s="223"/>
      <c r="J149" s="223"/>
      <c r="K149" s="223"/>
      <c r="L149" s="223"/>
      <c r="M149" s="223"/>
      <c r="N149" s="223"/>
      <c r="O149" s="223"/>
      <c r="P149" s="223"/>
      <c r="Q149" s="223"/>
      <c r="R149" s="223"/>
    </row>
    <row r="150" ht="12.75" customHeight="1" outlineLevel="1">
      <c r="A150" s="90"/>
      <c r="B150" s="195"/>
      <c r="C150" s="90" t="s">
        <v>710</v>
      </c>
      <c r="D150" s="90"/>
      <c r="E150" s="90"/>
      <c r="F150" s="90"/>
      <c r="G150" s="223"/>
      <c r="H150" s="223"/>
      <c r="I150" s="223"/>
      <c r="J150" s="223"/>
      <c r="K150" s="223"/>
      <c r="L150" s="223"/>
      <c r="M150" s="223"/>
      <c r="N150" s="223"/>
      <c r="O150" s="223"/>
      <c r="P150" s="223"/>
      <c r="Q150" s="223"/>
      <c r="R150" s="223"/>
    </row>
    <row r="151" ht="12.75" customHeight="1" outlineLevel="1">
      <c r="A151" s="90"/>
      <c r="B151" s="195"/>
      <c r="C151" s="90"/>
      <c r="D151" s="90" t="s">
        <v>711</v>
      </c>
      <c r="E151" s="90"/>
      <c r="F151" s="90"/>
      <c r="G151" s="223" t="str">
        <f>'RS3'!J150</f>
        <v/>
      </c>
      <c r="H151" s="223">
        <v>0.5</v>
      </c>
      <c r="I151" s="223">
        <v>1.0</v>
      </c>
      <c r="J151" s="223">
        <v>1.0</v>
      </c>
      <c r="K151" s="223">
        <v>1.0</v>
      </c>
      <c r="L151" s="223">
        <v>1.0</v>
      </c>
      <c r="M151" s="223">
        <v>1.0</v>
      </c>
      <c r="N151" s="223">
        <v>1.0</v>
      </c>
      <c r="O151" s="223">
        <v>1.0</v>
      </c>
      <c r="P151" s="223">
        <v>1.0</v>
      </c>
      <c r="Q151" s="223">
        <v>1.0</v>
      </c>
      <c r="R151" s="223">
        <v>1.0</v>
      </c>
    </row>
    <row r="152" ht="12.75" customHeight="1" outlineLevel="1">
      <c r="A152" s="90"/>
      <c r="B152" s="195"/>
      <c r="C152" s="90"/>
      <c r="D152" s="90" t="s">
        <v>712</v>
      </c>
      <c r="E152" s="90"/>
      <c r="F152" s="90"/>
      <c r="G152" s="223" t="str">
        <f>'RS3'!J151</f>
        <v/>
      </c>
      <c r="H152" s="223">
        <f>'RS3'!K151</f>
        <v>0</v>
      </c>
      <c r="I152" s="223">
        <v>2.0</v>
      </c>
      <c r="J152" s="223">
        <f t="shared" ref="J152:R152" si="82">I152</f>
        <v>2</v>
      </c>
      <c r="K152" s="223">
        <f t="shared" si="82"/>
        <v>2</v>
      </c>
      <c r="L152" s="223">
        <f t="shared" si="82"/>
        <v>2</v>
      </c>
      <c r="M152" s="223">
        <f t="shared" si="82"/>
        <v>2</v>
      </c>
      <c r="N152" s="223">
        <f t="shared" si="82"/>
        <v>2</v>
      </c>
      <c r="O152" s="223">
        <f t="shared" si="82"/>
        <v>2</v>
      </c>
      <c r="P152" s="223">
        <f t="shared" si="82"/>
        <v>2</v>
      </c>
      <c r="Q152" s="223">
        <f t="shared" si="82"/>
        <v>2</v>
      </c>
      <c r="R152" s="223">
        <f t="shared" si="82"/>
        <v>2</v>
      </c>
    </row>
    <row r="153" ht="12.75" customHeight="1" outlineLevel="1">
      <c r="A153" s="90"/>
      <c r="B153" s="195"/>
      <c r="C153" s="90"/>
      <c r="D153" s="90" t="s">
        <v>713</v>
      </c>
      <c r="E153" s="90"/>
      <c r="F153" s="90"/>
      <c r="G153" s="223" t="str">
        <f>'RS3'!J152</f>
        <v/>
      </c>
      <c r="H153" s="223" t="str">
        <f>'RS3'!K152</f>
        <v/>
      </c>
      <c r="I153" s="223">
        <v>1.5</v>
      </c>
      <c r="J153" s="223">
        <v>1.5</v>
      </c>
      <c r="K153" s="223">
        <v>1.5</v>
      </c>
      <c r="L153" s="223">
        <f t="shared" ref="L153:R153" si="83">K153</f>
        <v>1.5</v>
      </c>
      <c r="M153" s="223">
        <f t="shared" si="83"/>
        <v>1.5</v>
      </c>
      <c r="N153" s="223">
        <f t="shared" si="83"/>
        <v>1.5</v>
      </c>
      <c r="O153" s="223">
        <f t="shared" si="83"/>
        <v>1.5</v>
      </c>
      <c r="P153" s="223">
        <f t="shared" si="83"/>
        <v>1.5</v>
      </c>
      <c r="Q153" s="223">
        <f t="shared" si="83"/>
        <v>1.5</v>
      </c>
      <c r="R153" s="223">
        <f t="shared" si="83"/>
        <v>1.5</v>
      </c>
    </row>
    <row r="154" ht="12.75" customHeight="1" outlineLevel="1">
      <c r="A154" s="90"/>
      <c r="B154" s="195"/>
      <c r="C154" s="87"/>
      <c r="D154" s="87" t="s">
        <v>714</v>
      </c>
      <c r="E154" s="87"/>
      <c r="F154" s="87"/>
      <c r="G154" s="223" t="str">
        <f>'RS3'!J153</f>
        <v/>
      </c>
      <c r="H154" s="223" t="str">
        <f>'RS3'!K153</f>
        <v/>
      </c>
      <c r="I154" s="223">
        <v>2.75</v>
      </c>
      <c r="J154" s="223">
        <v>2.75</v>
      </c>
      <c r="K154" s="223">
        <v>2.75</v>
      </c>
      <c r="L154" s="223">
        <f t="shared" ref="L154:R154" si="84">K154</f>
        <v>2.75</v>
      </c>
      <c r="M154" s="223">
        <f t="shared" si="84"/>
        <v>2.75</v>
      </c>
      <c r="N154" s="223">
        <f t="shared" si="84"/>
        <v>2.75</v>
      </c>
      <c r="O154" s="223">
        <f t="shared" si="84"/>
        <v>2.75</v>
      </c>
      <c r="P154" s="223">
        <f t="shared" si="84"/>
        <v>2.75</v>
      </c>
      <c r="Q154" s="223">
        <f t="shared" si="84"/>
        <v>2.75</v>
      </c>
      <c r="R154" s="223">
        <f t="shared" si="84"/>
        <v>2.75</v>
      </c>
    </row>
    <row r="155" ht="12.75" customHeight="1" outlineLevel="1">
      <c r="A155" s="90"/>
      <c r="B155" s="195"/>
      <c r="C155" s="90" t="s">
        <v>715</v>
      </c>
      <c r="D155" s="90"/>
      <c r="E155" s="90"/>
      <c r="F155" s="90"/>
      <c r="G155" s="364">
        <f t="shared" ref="G155:H155" si="85">SUM(G150:G154)</f>
        <v>0</v>
      </c>
      <c r="H155" s="364">
        <f t="shared" si="85"/>
        <v>0.5</v>
      </c>
      <c r="I155" s="364">
        <v>7.25</v>
      </c>
      <c r="J155" s="364">
        <f t="shared" ref="J155:R155" si="86">SUM(J150:J154)</f>
        <v>7.25</v>
      </c>
      <c r="K155" s="364">
        <f t="shared" si="86"/>
        <v>7.25</v>
      </c>
      <c r="L155" s="364">
        <f t="shared" si="86"/>
        <v>7.25</v>
      </c>
      <c r="M155" s="364">
        <f t="shared" si="86"/>
        <v>7.25</v>
      </c>
      <c r="N155" s="364">
        <f t="shared" si="86"/>
        <v>7.25</v>
      </c>
      <c r="O155" s="364">
        <f t="shared" si="86"/>
        <v>7.25</v>
      </c>
      <c r="P155" s="364">
        <f t="shared" si="86"/>
        <v>7.25</v>
      </c>
      <c r="Q155" s="364">
        <f t="shared" si="86"/>
        <v>7.25</v>
      </c>
      <c r="R155" s="364">
        <f t="shared" si="86"/>
        <v>7.25</v>
      </c>
    </row>
    <row r="156" ht="12.75" customHeight="1" outlineLevel="1">
      <c r="A156" s="90"/>
      <c r="B156" s="195"/>
      <c r="C156" s="90"/>
      <c r="D156" s="90"/>
      <c r="E156" s="90"/>
      <c r="F156" s="90"/>
      <c r="G156" s="223"/>
      <c r="H156" s="223"/>
      <c r="I156" s="223"/>
      <c r="J156" s="223"/>
      <c r="K156" s="223"/>
      <c r="L156" s="223"/>
      <c r="M156" s="223"/>
      <c r="N156" s="223"/>
      <c r="O156" s="223"/>
      <c r="P156" s="223"/>
      <c r="Q156" s="223"/>
      <c r="R156" s="223"/>
    </row>
    <row r="157" ht="12.75" customHeight="1" outlineLevel="1">
      <c r="A157" s="90"/>
      <c r="B157" s="195"/>
      <c r="C157" s="90" t="s">
        <v>716</v>
      </c>
      <c r="D157" s="90"/>
      <c r="E157" s="90"/>
      <c r="F157" s="90"/>
      <c r="G157" s="223">
        <f t="shared" ref="G157:R157" si="87">G142+G148</f>
        <v>0</v>
      </c>
      <c r="H157" s="223">
        <f t="shared" si="87"/>
        <v>1</v>
      </c>
      <c r="I157" s="223">
        <f t="shared" si="87"/>
        <v>11</v>
      </c>
      <c r="J157" s="223">
        <f t="shared" si="87"/>
        <v>12</v>
      </c>
      <c r="K157" s="223">
        <f t="shared" si="87"/>
        <v>12</v>
      </c>
      <c r="L157" s="223">
        <f t="shared" si="87"/>
        <v>12</v>
      </c>
      <c r="M157" s="223">
        <f t="shared" si="87"/>
        <v>12</v>
      </c>
      <c r="N157" s="223">
        <f t="shared" si="87"/>
        <v>12</v>
      </c>
      <c r="O157" s="223">
        <f t="shared" si="87"/>
        <v>12</v>
      </c>
      <c r="P157" s="223">
        <f t="shared" si="87"/>
        <v>12</v>
      </c>
      <c r="Q157" s="223">
        <f t="shared" si="87"/>
        <v>12</v>
      </c>
      <c r="R157" s="223">
        <f t="shared" si="87"/>
        <v>12</v>
      </c>
    </row>
    <row r="158" ht="12.75" customHeight="1" outlineLevel="1">
      <c r="A158" s="90"/>
      <c r="B158" s="195"/>
      <c r="C158" s="87" t="s">
        <v>717</v>
      </c>
      <c r="D158" s="87"/>
      <c r="E158" s="87"/>
      <c r="F158" s="87"/>
      <c r="G158" s="367">
        <f t="shared" ref="G158:H158" si="88">G155</f>
        <v>0</v>
      </c>
      <c r="H158" s="367">
        <f t="shared" si="88"/>
        <v>0.5</v>
      </c>
      <c r="I158" s="367">
        <v>7.25</v>
      </c>
      <c r="J158" s="367">
        <f t="shared" ref="J158:R158" si="89">J155</f>
        <v>7.25</v>
      </c>
      <c r="K158" s="367">
        <f t="shared" si="89"/>
        <v>7.25</v>
      </c>
      <c r="L158" s="367">
        <f t="shared" si="89"/>
        <v>7.25</v>
      </c>
      <c r="M158" s="367">
        <f t="shared" si="89"/>
        <v>7.25</v>
      </c>
      <c r="N158" s="367">
        <f t="shared" si="89"/>
        <v>7.25</v>
      </c>
      <c r="O158" s="367">
        <f t="shared" si="89"/>
        <v>7.25</v>
      </c>
      <c r="P158" s="367">
        <f t="shared" si="89"/>
        <v>7.25</v>
      </c>
      <c r="Q158" s="367">
        <f t="shared" si="89"/>
        <v>7.25</v>
      </c>
      <c r="R158" s="367">
        <f t="shared" si="89"/>
        <v>7.25</v>
      </c>
    </row>
    <row r="159" ht="12.75" customHeight="1" outlineLevel="1">
      <c r="A159" s="90"/>
      <c r="B159" s="195"/>
      <c r="C159" s="90" t="s">
        <v>718</v>
      </c>
      <c r="D159" s="67"/>
      <c r="E159" s="67"/>
      <c r="F159" s="67"/>
      <c r="G159" s="223">
        <f t="shared" ref="G159:R159" si="90">G157+G158</f>
        <v>0</v>
      </c>
      <c r="H159" s="223">
        <f t="shared" si="90"/>
        <v>1.5</v>
      </c>
      <c r="I159" s="223">
        <f t="shared" si="90"/>
        <v>18.25</v>
      </c>
      <c r="J159" s="223">
        <f t="shared" si="90"/>
        <v>19.25</v>
      </c>
      <c r="K159" s="223">
        <f t="shared" si="90"/>
        <v>19.25</v>
      </c>
      <c r="L159" s="223">
        <f t="shared" si="90"/>
        <v>19.25</v>
      </c>
      <c r="M159" s="223">
        <f t="shared" si="90"/>
        <v>19.25</v>
      </c>
      <c r="N159" s="223">
        <f t="shared" si="90"/>
        <v>19.25</v>
      </c>
      <c r="O159" s="223">
        <f t="shared" si="90"/>
        <v>19.25</v>
      </c>
      <c r="P159" s="223">
        <f t="shared" si="90"/>
        <v>19.25</v>
      </c>
      <c r="Q159" s="223">
        <f t="shared" si="90"/>
        <v>19.25</v>
      </c>
      <c r="R159" s="223">
        <f t="shared" si="90"/>
        <v>19.25</v>
      </c>
    </row>
    <row r="160" ht="12.75" customHeight="1" outlineLevel="1">
      <c r="A160" s="90"/>
      <c r="B160" s="195"/>
      <c r="C160" s="90" t="s">
        <v>719</v>
      </c>
      <c r="D160" s="67"/>
      <c r="E160" s="67"/>
      <c r="F160" s="67"/>
      <c r="G160" s="223">
        <f t="shared" ref="G160:H160" si="91">G159-E159</f>
        <v>0</v>
      </c>
      <c r="H160" s="223">
        <f t="shared" si="91"/>
        <v>1.5</v>
      </c>
      <c r="I160" s="223">
        <v>19.75</v>
      </c>
      <c r="J160" s="223">
        <f t="shared" ref="J160:R160" si="92">J159-I159</f>
        <v>1</v>
      </c>
      <c r="K160" s="223">
        <f t="shared" si="92"/>
        <v>0</v>
      </c>
      <c r="L160" s="223">
        <f t="shared" si="92"/>
        <v>0</v>
      </c>
      <c r="M160" s="223">
        <f t="shared" si="92"/>
        <v>0</v>
      </c>
      <c r="N160" s="223">
        <f t="shared" si="92"/>
        <v>0</v>
      </c>
      <c r="O160" s="223">
        <f t="shared" si="92"/>
        <v>0</v>
      </c>
      <c r="P160" s="223">
        <f t="shared" si="92"/>
        <v>0</v>
      </c>
      <c r="Q160" s="223">
        <f t="shared" si="92"/>
        <v>0</v>
      </c>
      <c r="R160" s="223">
        <f t="shared" si="92"/>
        <v>0</v>
      </c>
    </row>
    <row r="161" ht="12.75" customHeight="1" outlineLevel="1">
      <c r="A161" s="90"/>
      <c r="B161" s="195"/>
      <c r="C161" s="90"/>
      <c r="D161" s="67"/>
      <c r="E161" s="67"/>
      <c r="F161" s="67"/>
      <c r="G161" s="369"/>
      <c r="H161" s="369"/>
      <c r="I161" s="369"/>
      <c r="J161" s="369"/>
      <c r="K161" s="369"/>
      <c r="L161" s="369"/>
      <c r="M161" s="369"/>
      <c r="N161" s="369"/>
      <c r="O161" s="369"/>
      <c r="P161" s="369"/>
      <c r="Q161" s="369"/>
      <c r="R161" s="369"/>
    </row>
    <row r="162" ht="12.75" customHeight="1" outlineLevel="1">
      <c r="A162" s="90"/>
      <c r="B162" s="67" t="s">
        <v>278</v>
      </c>
      <c r="C162" s="90"/>
      <c r="D162" s="90"/>
      <c r="E162" s="90"/>
      <c r="F162" s="90"/>
      <c r="G162" s="90"/>
      <c r="H162" s="90"/>
      <c r="I162" s="90"/>
      <c r="J162" s="90"/>
      <c r="K162" s="90"/>
      <c r="L162" s="90"/>
      <c r="M162" s="90"/>
      <c r="N162" s="90"/>
      <c r="O162" s="90"/>
      <c r="P162" s="90"/>
      <c r="Q162" s="90"/>
      <c r="R162" s="90"/>
    </row>
    <row r="163" ht="12.75" customHeight="1" outlineLevel="1">
      <c r="A163" s="90"/>
      <c r="B163" s="90"/>
      <c r="C163" s="90" t="s">
        <v>720</v>
      </c>
      <c r="D163" s="90"/>
      <c r="E163" s="90"/>
      <c r="F163" s="90"/>
      <c r="G163" s="178">
        <v>0.0</v>
      </c>
      <c r="H163" s="178"/>
      <c r="I163" s="178"/>
      <c r="J163" s="178"/>
      <c r="K163" s="178"/>
      <c r="L163" s="178"/>
      <c r="M163" s="178"/>
      <c r="N163" s="178"/>
      <c r="O163" s="178"/>
      <c r="P163" s="178"/>
      <c r="Q163" s="178"/>
      <c r="R163" s="178"/>
    </row>
    <row r="164" ht="12.75" customHeight="1" outlineLevel="1">
      <c r="A164" s="90"/>
      <c r="B164" s="90"/>
      <c r="C164" s="90"/>
      <c r="D164" s="90"/>
      <c r="E164" s="90"/>
      <c r="F164" s="90"/>
      <c r="G164" s="90"/>
      <c r="H164" s="90"/>
      <c r="I164" s="99"/>
      <c r="J164" s="99"/>
      <c r="K164" s="99"/>
      <c r="L164" s="99"/>
      <c r="M164" s="99"/>
      <c r="N164" s="90"/>
      <c r="O164" s="90"/>
      <c r="P164" s="90"/>
      <c r="Q164" s="90"/>
      <c r="R164" s="90"/>
    </row>
    <row r="165" ht="12.75" customHeight="1" outlineLevel="1">
      <c r="A165" s="90"/>
      <c r="B165" s="371"/>
      <c r="C165" s="90" t="s">
        <v>701</v>
      </c>
      <c r="D165" s="90"/>
      <c r="E165" s="90"/>
      <c r="F165" s="90"/>
      <c r="G165" s="99">
        <v>0.0</v>
      </c>
      <c r="H165" s="99">
        <v>70833.3333333333</v>
      </c>
      <c r="I165" s="99">
        <v>83333.3333333333</v>
      </c>
      <c r="J165" s="99">
        <v>100000.0</v>
      </c>
      <c r="K165" s="99">
        <v>100000.0</v>
      </c>
      <c r="L165" s="99">
        <v>100000.0</v>
      </c>
      <c r="M165" s="99">
        <v>100000.0</v>
      </c>
      <c r="N165" s="99">
        <v>100000.0</v>
      </c>
      <c r="O165" s="99">
        <v>100000.0</v>
      </c>
      <c r="P165" s="99">
        <v>100000.0</v>
      </c>
      <c r="Q165" s="99">
        <v>100000.0</v>
      </c>
      <c r="R165" s="99">
        <v>100000.0</v>
      </c>
    </row>
    <row r="166" ht="12.75" customHeight="1" outlineLevel="1">
      <c r="A166" s="90"/>
      <c r="B166" s="195"/>
      <c r="C166" s="90" t="s">
        <v>721</v>
      </c>
      <c r="D166" s="90"/>
      <c r="E166" s="90"/>
      <c r="F166" s="90"/>
      <c r="G166" s="99">
        <v>0.0</v>
      </c>
      <c r="H166" s="99">
        <v>0.0</v>
      </c>
      <c r="I166" s="99">
        <v>0.0</v>
      </c>
      <c r="J166" s="99">
        <v>0.0</v>
      </c>
      <c r="K166" s="99">
        <v>0.0</v>
      </c>
      <c r="L166" s="99">
        <v>0.0</v>
      </c>
      <c r="M166" s="99">
        <v>0.0</v>
      </c>
      <c r="N166" s="99">
        <v>0.0</v>
      </c>
      <c r="O166" s="99">
        <v>0.0</v>
      </c>
      <c r="P166" s="99">
        <v>0.0</v>
      </c>
      <c r="Q166" s="99">
        <v>0.0</v>
      </c>
      <c r="R166" s="99">
        <v>0.0</v>
      </c>
    </row>
    <row r="167" ht="12.75" customHeight="1" outlineLevel="1">
      <c r="A167" s="90"/>
      <c r="B167" s="195"/>
      <c r="C167" s="90" t="s">
        <v>703</v>
      </c>
      <c r="D167" s="90"/>
      <c r="E167" s="90"/>
      <c r="F167" s="90"/>
      <c r="G167" s="99">
        <v>0.0</v>
      </c>
      <c r="H167" s="99">
        <v>0.0</v>
      </c>
      <c r="I167" s="99">
        <v>0.0</v>
      </c>
      <c r="J167" s="99">
        <v>0.0</v>
      </c>
      <c r="K167" s="99">
        <v>0.0</v>
      </c>
      <c r="L167" s="99">
        <v>0.0</v>
      </c>
      <c r="M167" s="99">
        <v>0.0</v>
      </c>
      <c r="N167" s="99">
        <v>0.0</v>
      </c>
      <c r="O167" s="99">
        <v>0.0</v>
      </c>
      <c r="P167" s="99">
        <v>0.0</v>
      </c>
      <c r="Q167" s="99">
        <v>0.0</v>
      </c>
      <c r="R167" s="99">
        <v>0.0</v>
      </c>
    </row>
    <row r="168" ht="12.75" customHeight="1" outlineLevel="1">
      <c r="A168" s="90"/>
      <c r="B168" s="195"/>
      <c r="C168" s="90" t="s">
        <v>722</v>
      </c>
      <c r="D168" s="90"/>
      <c r="E168" s="90"/>
      <c r="F168" s="90"/>
      <c r="G168" s="99">
        <v>0.0</v>
      </c>
      <c r="H168" s="99">
        <v>0.0</v>
      </c>
      <c r="I168" s="99">
        <v>47000.0</v>
      </c>
      <c r="J168" s="99">
        <v>48250.0</v>
      </c>
      <c r="K168" s="99">
        <v>48250.0</v>
      </c>
      <c r="L168" s="99">
        <v>48250.0</v>
      </c>
      <c r="M168" s="99">
        <v>48250.0</v>
      </c>
      <c r="N168" s="99">
        <v>48250.0</v>
      </c>
      <c r="O168" s="99">
        <v>48250.0</v>
      </c>
      <c r="P168" s="99">
        <v>48250.0</v>
      </c>
      <c r="Q168" s="99">
        <v>48250.0</v>
      </c>
      <c r="R168" s="99">
        <v>48250.0</v>
      </c>
    </row>
    <row r="169" ht="12.75" customHeight="1" outlineLevel="1">
      <c r="A169" s="90"/>
      <c r="B169" s="195"/>
      <c r="C169" s="90" t="s">
        <v>707</v>
      </c>
      <c r="D169" s="90"/>
      <c r="E169" s="90"/>
      <c r="F169" s="90"/>
      <c r="G169" s="99">
        <v>0.0</v>
      </c>
      <c r="H169" s="99">
        <v>0.0</v>
      </c>
      <c r="I169" s="99">
        <v>58000.0</v>
      </c>
      <c r="J169" s="99">
        <v>58000.0</v>
      </c>
      <c r="K169" s="99">
        <v>58000.0</v>
      </c>
      <c r="L169" s="99">
        <v>58000.0</v>
      </c>
      <c r="M169" s="99">
        <v>58000.0</v>
      </c>
      <c r="N169" s="99">
        <v>58000.0</v>
      </c>
      <c r="O169" s="99">
        <v>58000.0</v>
      </c>
      <c r="P169" s="99">
        <v>58000.0</v>
      </c>
      <c r="Q169" s="99">
        <v>58000.0</v>
      </c>
      <c r="R169" s="99">
        <v>58000.0</v>
      </c>
    </row>
    <row r="170" ht="12.75" customHeight="1" outlineLevel="1">
      <c r="A170" s="90"/>
      <c r="B170" s="195"/>
      <c r="C170" s="90" t="s">
        <v>702</v>
      </c>
      <c r="D170" s="90"/>
      <c r="E170" s="90"/>
      <c r="F170" s="90"/>
      <c r="G170" s="99">
        <v>0.0</v>
      </c>
      <c r="H170" s="99">
        <v>0.0</v>
      </c>
      <c r="I170" s="99">
        <v>67000.0</v>
      </c>
      <c r="J170" s="99">
        <v>83333.3333333333</v>
      </c>
      <c r="K170" s="99">
        <v>83333.3333333333</v>
      </c>
      <c r="L170" s="99">
        <v>83333.3333333333</v>
      </c>
      <c r="M170" s="99">
        <v>83333.3333333333</v>
      </c>
      <c r="N170" s="99">
        <v>83333.3333333333</v>
      </c>
      <c r="O170" s="99">
        <v>83333.3333333333</v>
      </c>
      <c r="P170" s="99">
        <v>83333.3333333333</v>
      </c>
      <c r="Q170" s="99">
        <v>83333.3333333333</v>
      </c>
      <c r="R170" s="99">
        <v>83333.3333333333</v>
      </c>
    </row>
    <row r="171" ht="12.75" customHeight="1" outlineLevel="1">
      <c r="A171" s="90"/>
      <c r="B171" s="195"/>
      <c r="C171" s="90" t="s">
        <v>723</v>
      </c>
      <c r="D171" s="90"/>
      <c r="E171" s="90"/>
      <c r="F171" s="90"/>
      <c r="G171" s="99"/>
      <c r="H171" s="99"/>
      <c r="I171" s="99"/>
      <c r="J171" s="99"/>
      <c r="K171" s="99"/>
      <c r="L171" s="99"/>
      <c r="M171" s="99"/>
      <c r="N171" s="99"/>
      <c r="O171" s="99"/>
      <c r="P171" s="99"/>
      <c r="Q171" s="99"/>
      <c r="R171" s="99"/>
    </row>
    <row r="172" ht="12.75" customHeight="1" outlineLevel="1">
      <c r="A172" s="90"/>
      <c r="B172" s="195"/>
      <c r="C172" s="90" t="s">
        <v>711</v>
      </c>
      <c r="D172" s="90"/>
      <c r="E172" s="90"/>
      <c r="F172" s="90"/>
      <c r="G172" s="99">
        <v>0.0</v>
      </c>
      <c r="H172" s="99">
        <v>48000.0</v>
      </c>
      <c r="I172" s="99">
        <v>48000.0</v>
      </c>
      <c r="J172" s="99">
        <v>48000.0</v>
      </c>
      <c r="K172" s="99">
        <v>48000.0</v>
      </c>
      <c r="L172" s="99">
        <v>48000.0</v>
      </c>
      <c r="M172" s="99">
        <v>48000.0</v>
      </c>
      <c r="N172" s="99">
        <v>48000.0</v>
      </c>
      <c r="O172" s="99">
        <v>48000.0</v>
      </c>
      <c r="P172" s="99">
        <v>48000.0</v>
      </c>
      <c r="Q172" s="99">
        <v>48000.0</v>
      </c>
      <c r="R172" s="99">
        <v>48000.0</v>
      </c>
    </row>
    <row r="173" ht="12.75" customHeight="1" outlineLevel="1">
      <c r="A173" s="90"/>
      <c r="B173" s="195"/>
      <c r="C173" s="90" t="s">
        <v>724</v>
      </c>
      <c r="D173" s="90"/>
      <c r="E173" s="90"/>
      <c r="F173" s="90"/>
      <c r="G173" s="99">
        <v>0.0</v>
      </c>
      <c r="H173" s="99">
        <v>0.0</v>
      </c>
      <c r="I173" s="99">
        <v>25000.0</v>
      </c>
      <c r="J173" s="99">
        <v>25000.0</v>
      </c>
      <c r="K173" s="99">
        <v>25000.0</v>
      </c>
      <c r="L173" s="99">
        <v>25000.0</v>
      </c>
      <c r="M173" s="99">
        <v>25000.0</v>
      </c>
      <c r="N173" s="99">
        <v>25000.0</v>
      </c>
      <c r="O173" s="99">
        <v>25000.0</v>
      </c>
      <c r="P173" s="99">
        <v>25000.0</v>
      </c>
      <c r="Q173" s="99">
        <v>25000.0</v>
      </c>
      <c r="R173" s="99">
        <v>25000.0</v>
      </c>
    </row>
    <row r="174" ht="12.75" customHeight="1" outlineLevel="1">
      <c r="A174" s="90"/>
      <c r="B174" s="195"/>
      <c r="C174" s="90" t="s">
        <v>713</v>
      </c>
      <c r="D174" s="90"/>
      <c r="E174" s="90"/>
      <c r="F174" s="90"/>
      <c r="G174" s="99">
        <v>0.0</v>
      </c>
      <c r="H174" s="99">
        <v>0.0</v>
      </c>
      <c r="I174" s="99">
        <v>14400.0</v>
      </c>
      <c r="J174" s="99">
        <v>14400.0</v>
      </c>
      <c r="K174" s="99">
        <v>14400.0</v>
      </c>
      <c r="L174" s="99">
        <v>14400.0</v>
      </c>
      <c r="M174" s="99">
        <v>14400.0</v>
      </c>
      <c r="N174" s="99">
        <v>14400.0</v>
      </c>
      <c r="O174" s="99">
        <v>14400.0</v>
      </c>
      <c r="P174" s="99">
        <v>14400.0</v>
      </c>
      <c r="Q174" s="99">
        <v>14400.0</v>
      </c>
      <c r="R174" s="99">
        <v>14400.0</v>
      </c>
    </row>
    <row r="175" ht="12.75" customHeight="1" outlineLevel="1">
      <c r="A175" s="90"/>
      <c r="B175" s="195"/>
      <c r="C175" s="90" t="s">
        <v>714</v>
      </c>
      <c r="D175" s="90"/>
      <c r="E175" s="90"/>
      <c r="F175" s="90"/>
      <c r="G175" s="99">
        <v>0.0</v>
      </c>
      <c r="H175" s="99">
        <v>0.0</v>
      </c>
      <c r="I175" s="99">
        <v>14400.0</v>
      </c>
      <c r="J175" s="99">
        <v>14400.0</v>
      </c>
      <c r="K175" s="99">
        <v>14400.0</v>
      </c>
      <c r="L175" s="99">
        <v>14400.0</v>
      </c>
      <c r="M175" s="99">
        <v>14400.0</v>
      </c>
      <c r="N175" s="99">
        <v>14400.0</v>
      </c>
      <c r="O175" s="99">
        <v>14400.0</v>
      </c>
      <c r="P175" s="99">
        <v>14400.0</v>
      </c>
      <c r="Q175" s="99">
        <v>14400.0</v>
      </c>
      <c r="R175" s="99">
        <v>14400.0</v>
      </c>
    </row>
    <row r="176" ht="12.75" customHeight="1" outlineLevel="1">
      <c r="A176" s="90"/>
      <c r="B176" s="195"/>
      <c r="C176" s="90"/>
      <c r="D176" s="90"/>
      <c r="E176" s="90"/>
      <c r="F176" s="90"/>
      <c r="G176" s="99"/>
      <c r="H176" s="99"/>
      <c r="I176" s="99"/>
      <c r="J176" s="99"/>
      <c r="K176" s="99"/>
      <c r="L176" s="99"/>
      <c r="M176" s="99"/>
      <c r="N176" s="99"/>
      <c r="O176" s="99"/>
      <c r="P176" s="99"/>
      <c r="Q176" s="99"/>
      <c r="R176" s="99"/>
    </row>
    <row r="177" ht="12.75" customHeight="1" outlineLevel="1">
      <c r="A177" s="90"/>
      <c r="B177" s="67" t="s">
        <v>725</v>
      </c>
      <c r="C177" s="90"/>
      <c r="D177" s="90"/>
      <c r="E177" s="90"/>
      <c r="F177" s="90"/>
      <c r="G177" s="99"/>
      <c r="H177" s="99"/>
      <c r="I177" s="99"/>
      <c r="J177" s="99"/>
      <c r="K177" s="99"/>
      <c r="L177" s="99"/>
      <c r="M177" s="99"/>
      <c r="N177" s="99"/>
      <c r="O177" s="99"/>
      <c r="P177" s="99"/>
      <c r="Q177" s="99"/>
      <c r="R177" s="99"/>
    </row>
    <row r="178" ht="12.75" customHeight="1" outlineLevel="1">
      <c r="A178" s="90"/>
      <c r="B178" s="195"/>
      <c r="C178" s="90" t="s">
        <v>726</v>
      </c>
      <c r="D178" s="90"/>
      <c r="E178" s="90"/>
      <c r="F178" s="90"/>
      <c r="G178" s="152" t="str">
        <f>'RS3'!J177</f>
        <v/>
      </c>
      <c r="H178" s="152">
        <f>'RS3'!K177</f>
        <v>0.1</v>
      </c>
      <c r="I178" s="152">
        <v>0.1</v>
      </c>
      <c r="J178" s="152">
        <f>'RS3'!M177</f>
        <v>0.1</v>
      </c>
      <c r="K178" s="152">
        <f>'RS3'!N177</f>
        <v>0.1</v>
      </c>
      <c r="L178" s="152">
        <f>'RS3'!O177</f>
        <v>0.1</v>
      </c>
      <c r="M178" s="152">
        <f>'RS3'!P177</f>
        <v>0.1</v>
      </c>
      <c r="N178" s="152">
        <f>'RS3'!Q177</f>
        <v>0.1</v>
      </c>
      <c r="O178" s="152">
        <f>'RS3'!R177</f>
        <v>0.1</v>
      </c>
      <c r="P178" s="152">
        <f>'RS3'!S177</f>
        <v>0.1</v>
      </c>
      <c r="Q178" s="152">
        <f>'RS3'!T177</f>
        <v>0.1</v>
      </c>
      <c r="R178" s="152">
        <f>'RS3'!U177</f>
        <v>0.1</v>
      </c>
    </row>
    <row r="179" ht="12.75" customHeight="1" outlineLevel="1">
      <c r="A179" s="90"/>
      <c r="B179" s="195"/>
      <c r="C179" s="90" t="s">
        <v>727</v>
      </c>
      <c r="D179" s="90"/>
      <c r="E179" s="90"/>
      <c r="F179" s="90"/>
      <c r="G179" s="152" t="str">
        <f>'RS3'!J178</f>
        <v/>
      </c>
      <c r="H179" s="152">
        <v>1.0</v>
      </c>
      <c r="I179" s="152">
        <v>1.0</v>
      </c>
      <c r="J179" s="152">
        <v>1.0</v>
      </c>
      <c r="K179" s="152">
        <v>1.0</v>
      </c>
      <c r="L179" s="152">
        <v>1.0</v>
      </c>
      <c r="M179" s="152">
        <v>1.0</v>
      </c>
      <c r="N179" s="152">
        <v>1.0</v>
      </c>
      <c r="O179" s="152">
        <v>1.0</v>
      </c>
      <c r="P179" s="152">
        <v>1.0</v>
      </c>
      <c r="Q179" s="152">
        <v>1.0</v>
      </c>
      <c r="R179" s="152">
        <v>1.0</v>
      </c>
    </row>
    <row r="180" ht="12.75" customHeight="1" outlineLevel="1">
      <c r="A180" s="353"/>
      <c r="B180" s="372"/>
      <c r="C180" s="353" t="s">
        <v>728</v>
      </c>
      <c r="D180" s="353"/>
      <c r="E180" s="353"/>
      <c r="F180" s="353"/>
      <c r="G180" s="99" t="str">
        <f>'RS3'!J179</f>
        <v/>
      </c>
      <c r="H180" s="99">
        <f>(H170+H165)*0.1</f>
        <v>7083.333333</v>
      </c>
      <c r="I180" s="99">
        <v>15033.3333333333</v>
      </c>
      <c r="J180" s="99">
        <f t="shared" ref="J180:R180" si="93">(J170+J165)*0.1</f>
        <v>18333.33333</v>
      </c>
      <c r="K180" s="99">
        <f t="shared" si="93"/>
        <v>18333.33333</v>
      </c>
      <c r="L180" s="99">
        <f t="shared" si="93"/>
        <v>18333.33333</v>
      </c>
      <c r="M180" s="99">
        <f t="shared" si="93"/>
        <v>18333.33333</v>
      </c>
      <c r="N180" s="99">
        <f t="shared" si="93"/>
        <v>18333.33333</v>
      </c>
      <c r="O180" s="99">
        <f t="shared" si="93"/>
        <v>18333.33333</v>
      </c>
      <c r="P180" s="99">
        <f t="shared" si="93"/>
        <v>18333.33333</v>
      </c>
      <c r="Q180" s="99">
        <f t="shared" si="93"/>
        <v>18333.33333</v>
      </c>
      <c r="R180" s="99">
        <f t="shared" si="93"/>
        <v>18333.33333</v>
      </c>
    </row>
    <row r="181" ht="12.75" customHeight="1" outlineLevel="1">
      <c r="A181" s="353"/>
      <c r="B181" s="372"/>
      <c r="C181" s="353"/>
      <c r="D181" s="353"/>
      <c r="E181" s="353"/>
      <c r="F181" s="353"/>
      <c r="G181" s="99"/>
      <c r="H181" s="99"/>
      <c r="I181" s="99"/>
      <c r="J181" s="99"/>
      <c r="K181" s="99"/>
      <c r="L181" s="99"/>
      <c r="M181" s="99"/>
      <c r="N181" s="99"/>
      <c r="O181" s="99"/>
      <c r="P181" s="99"/>
      <c r="Q181" s="99"/>
      <c r="R181" s="99"/>
    </row>
    <row r="182" ht="12.75" customHeight="1" outlineLevel="1">
      <c r="A182" s="90"/>
      <c r="B182" s="67" t="s">
        <v>133</v>
      </c>
      <c r="C182" s="67"/>
      <c r="D182" s="67"/>
      <c r="E182" s="67"/>
      <c r="F182" s="67"/>
      <c r="G182" s="90"/>
      <c r="H182" s="90"/>
      <c r="I182" s="90"/>
      <c r="J182" s="90"/>
      <c r="K182" s="90"/>
      <c r="L182" s="90"/>
      <c r="M182" s="90"/>
      <c r="N182" s="90"/>
      <c r="O182" s="90"/>
      <c r="P182" s="90"/>
      <c r="Q182" s="90"/>
      <c r="R182" s="90"/>
    </row>
    <row r="183" ht="12.75" customHeight="1" outlineLevel="1">
      <c r="A183" s="90"/>
      <c r="B183" s="90"/>
      <c r="C183" s="90" t="s">
        <v>577</v>
      </c>
      <c r="D183" s="90"/>
      <c r="E183" s="90"/>
      <c r="F183" s="90"/>
      <c r="G183" s="152">
        <v>0.0</v>
      </c>
      <c r="H183" s="152"/>
      <c r="I183" s="152"/>
      <c r="J183" s="152"/>
      <c r="K183" s="152"/>
      <c r="L183" s="152"/>
      <c r="M183" s="152"/>
      <c r="N183" s="152"/>
      <c r="O183" s="152"/>
      <c r="P183" s="152"/>
      <c r="Q183" s="152"/>
      <c r="R183" s="152"/>
    </row>
    <row r="184" ht="12.75" customHeight="1" outlineLevel="1">
      <c r="A184" s="90"/>
      <c r="B184" s="195"/>
      <c r="C184" s="90" t="s">
        <v>729</v>
      </c>
      <c r="D184" s="90"/>
      <c r="E184" s="90"/>
      <c r="F184" s="90"/>
      <c r="G184" s="99" t="str">
        <f>'RS3'!J183</f>
        <v/>
      </c>
      <c r="H184" s="99">
        <v>7200.0</v>
      </c>
      <c r="I184" s="99">
        <v>7200.0</v>
      </c>
      <c r="J184" s="99">
        <v>7200.0</v>
      </c>
      <c r="K184" s="99">
        <v>7200.0</v>
      </c>
      <c r="L184" s="99">
        <v>7200.0</v>
      </c>
      <c r="M184" s="99">
        <v>7200.0</v>
      </c>
      <c r="N184" s="99">
        <v>7200.0</v>
      </c>
      <c r="O184" s="99">
        <v>7200.0</v>
      </c>
      <c r="P184" s="99">
        <v>7200.0</v>
      </c>
      <c r="Q184" s="99">
        <v>7200.0</v>
      </c>
      <c r="R184" s="99">
        <v>7200.0</v>
      </c>
    </row>
    <row r="185" ht="12.75" customHeight="1" outlineLevel="1">
      <c r="A185" s="90"/>
      <c r="B185" s="195"/>
      <c r="C185" s="90" t="s">
        <v>730</v>
      </c>
      <c r="D185" s="90"/>
      <c r="E185" s="90"/>
      <c r="F185" s="90"/>
      <c r="G185" s="102">
        <f>ROUNDDOWN(G159,0)</f>
        <v>0</v>
      </c>
      <c r="H185" s="102">
        <f>H142+H148+H151+H152</f>
        <v>1.5</v>
      </c>
      <c r="I185" s="102">
        <v>17.0</v>
      </c>
      <c r="J185" s="102">
        <f t="shared" ref="J185:R185" si="94">J142+J148+J151+J152</f>
        <v>15</v>
      </c>
      <c r="K185" s="102">
        <f t="shared" si="94"/>
        <v>15</v>
      </c>
      <c r="L185" s="102">
        <f t="shared" si="94"/>
        <v>15</v>
      </c>
      <c r="M185" s="102">
        <f t="shared" si="94"/>
        <v>15</v>
      </c>
      <c r="N185" s="102">
        <f t="shared" si="94"/>
        <v>15</v>
      </c>
      <c r="O185" s="102">
        <f t="shared" si="94"/>
        <v>15</v>
      </c>
      <c r="P185" s="102">
        <f t="shared" si="94"/>
        <v>15</v>
      </c>
      <c r="Q185" s="102">
        <f t="shared" si="94"/>
        <v>15</v>
      </c>
      <c r="R185" s="102">
        <f t="shared" si="94"/>
        <v>15</v>
      </c>
    </row>
    <row r="186" ht="12.75" customHeight="1" outlineLevel="1">
      <c r="A186" s="90"/>
      <c r="B186" s="195"/>
      <c r="C186" s="90" t="s">
        <v>731</v>
      </c>
      <c r="D186" s="90"/>
      <c r="E186" s="90"/>
      <c r="F186" s="90"/>
      <c r="G186" s="89" t="str">
        <f>'RS3'!J185</f>
        <v/>
      </c>
      <c r="H186" s="89">
        <v>0.016</v>
      </c>
      <c r="I186" s="89">
        <v>0.016</v>
      </c>
      <c r="J186" s="89">
        <v>0.016</v>
      </c>
      <c r="K186" s="89">
        <v>0.016</v>
      </c>
      <c r="L186" s="89">
        <v>0.016</v>
      </c>
      <c r="M186" s="89">
        <v>0.016</v>
      </c>
      <c r="N186" s="89">
        <v>0.016</v>
      </c>
      <c r="O186" s="89">
        <v>0.016</v>
      </c>
      <c r="P186" s="89">
        <v>0.016</v>
      </c>
      <c r="Q186" s="89">
        <v>0.016</v>
      </c>
      <c r="R186" s="89">
        <v>0.016</v>
      </c>
    </row>
    <row r="187" ht="12.75" customHeight="1" outlineLevel="1">
      <c r="A187" s="90"/>
      <c r="B187" s="195"/>
      <c r="C187" s="90" t="s">
        <v>732</v>
      </c>
      <c r="D187" s="90"/>
      <c r="E187" s="90"/>
      <c r="F187" s="90"/>
      <c r="G187" s="89">
        <v>0.0</v>
      </c>
      <c r="H187" s="89">
        <v>0.011</v>
      </c>
      <c r="I187" s="89">
        <v>0.011</v>
      </c>
      <c r="J187" s="89">
        <v>0.011</v>
      </c>
      <c r="K187" s="89">
        <v>0.011</v>
      </c>
      <c r="L187" s="89">
        <v>0.011</v>
      </c>
      <c r="M187" s="89">
        <v>0.011</v>
      </c>
      <c r="N187" s="89">
        <v>0.011</v>
      </c>
      <c r="O187" s="89">
        <v>0.011</v>
      </c>
      <c r="P187" s="89">
        <v>0.011</v>
      </c>
      <c r="Q187" s="89">
        <v>0.011</v>
      </c>
      <c r="R187" s="89">
        <v>0.011</v>
      </c>
    </row>
    <row r="188" ht="12.75" customHeight="1" outlineLevel="1">
      <c r="A188" s="90"/>
      <c r="B188" s="195"/>
      <c r="C188" s="90" t="s">
        <v>733</v>
      </c>
      <c r="D188" s="90"/>
      <c r="E188" s="90"/>
      <c r="F188" s="90"/>
      <c r="G188" s="89">
        <v>0.0</v>
      </c>
      <c r="H188" s="89">
        <v>0.0145</v>
      </c>
      <c r="I188" s="89">
        <v>0.0145</v>
      </c>
      <c r="J188" s="89">
        <v>0.0145</v>
      </c>
      <c r="K188" s="89">
        <v>0.0145</v>
      </c>
      <c r="L188" s="89">
        <v>0.0145</v>
      </c>
      <c r="M188" s="89">
        <v>0.0145</v>
      </c>
      <c r="N188" s="89">
        <v>0.0145</v>
      </c>
      <c r="O188" s="89">
        <v>0.0145</v>
      </c>
      <c r="P188" s="89">
        <v>0.0145</v>
      </c>
      <c r="Q188" s="89">
        <v>0.0145</v>
      </c>
      <c r="R188" s="89">
        <v>0.0145</v>
      </c>
    </row>
    <row r="189" ht="12.75" customHeight="1" outlineLevel="1">
      <c r="A189" s="230"/>
      <c r="B189" s="374"/>
      <c r="C189" s="90" t="s">
        <v>734</v>
      </c>
      <c r="D189" s="230"/>
      <c r="E189" s="230"/>
      <c r="F189" s="230"/>
      <c r="G189" s="89">
        <v>0.0</v>
      </c>
      <c r="H189" s="89">
        <v>0.0825</v>
      </c>
      <c r="I189" s="89">
        <v>0.0825</v>
      </c>
      <c r="J189" s="89">
        <v>0.0825</v>
      </c>
      <c r="K189" s="89">
        <v>0.0825</v>
      </c>
      <c r="L189" s="89">
        <v>0.0825</v>
      </c>
      <c r="M189" s="89">
        <v>0.0825</v>
      </c>
      <c r="N189" s="89">
        <v>0.0825</v>
      </c>
      <c r="O189" s="89">
        <v>0.0825</v>
      </c>
      <c r="P189" s="89">
        <v>0.0825</v>
      </c>
      <c r="Q189" s="89">
        <v>0.0825</v>
      </c>
      <c r="R189" s="89">
        <v>0.0825</v>
      </c>
    </row>
    <row r="190" ht="12.75" customHeight="1" outlineLevel="1">
      <c r="A190" s="90"/>
      <c r="B190" s="195"/>
      <c r="C190" s="90" t="s">
        <v>735</v>
      </c>
      <c r="D190" s="90"/>
      <c r="E190" s="90"/>
      <c r="F190" s="90"/>
      <c r="G190" s="89">
        <v>0.0</v>
      </c>
      <c r="H190" s="89">
        <v>0.102</v>
      </c>
      <c r="I190" s="89">
        <v>0.102</v>
      </c>
      <c r="J190" s="89">
        <v>0.102</v>
      </c>
      <c r="K190" s="89">
        <v>0.102</v>
      </c>
      <c r="L190" s="89">
        <v>0.102</v>
      </c>
      <c r="M190" s="89">
        <v>0.102</v>
      </c>
      <c r="N190" s="89">
        <v>0.102</v>
      </c>
      <c r="O190" s="89">
        <v>0.102</v>
      </c>
      <c r="P190" s="89">
        <v>0.102</v>
      </c>
      <c r="Q190" s="89">
        <v>0.102</v>
      </c>
      <c r="R190" s="89">
        <v>0.102</v>
      </c>
    </row>
    <row r="191" ht="12.75" customHeight="1" outlineLevel="1">
      <c r="A191" s="90"/>
      <c r="B191" s="90"/>
      <c r="C191" s="90" t="s">
        <v>736</v>
      </c>
      <c r="D191" s="90"/>
      <c r="E191" s="90"/>
      <c r="F191" s="90"/>
      <c r="G191" s="89">
        <v>0.0</v>
      </c>
      <c r="H191" s="89">
        <v>0.005</v>
      </c>
      <c r="I191" s="89">
        <v>0.005</v>
      </c>
      <c r="J191" s="89">
        <v>0.005</v>
      </c>
      <c r="K191" s="89">
        <v>0.005</v>
      </c>
      <c r="L191" s="89">
        <v>0.005</v>
      </c>
      <c r="M191" s="89">
        <v>0.005</v>
      </c>
      <c r="N191" s="89">
        <v>0.005</v>
      </c>
      <c r="O191" s="89">
        <v>0.005</v>
      </c>
      <c r="P191" s="89">
        <v>0.005</v>
      </c>
      <c r="Q191" s="89">
        <v>0.005</v>
      </c>
      <c r="R191" s="89">
        <v>0.005</v>
      </c>
    </row>
    <row r="192" ht="12.75" customHeight="1" outlineLevel="1">
      <c r="A192" s="90"/>
      <c r="B192" s="90"/>
      <c r="C192" s="90" t="s">
        <v>737</v>
      </c>
      <c r="D192" s="90"/>
      <c r="E192" s="90"/>
      <c r="F192" s="90"/>
      <c r="G192" s="89">
        <v>0.0</v>
      </c>
      <c r="H192" s="89">
        <v>0.005</v>
      </c>
      <c r="I192" s="89">
        <v>0.005</v>
      </c>
      <c r="J192" s="89">
        <v>0.005</v>
      </c>
      <c r="K192" s="89">
        <v>0.005</v>
      </c>
      <c r="L192" s="89">
        <v>0.005</v>
      </c>
      <c r="M192" s="89">
        <v>0.005</v>
      </c>
      <c r="N192" s="89">
        <v>0.005</v>
      </c>
      <c r="O192" s="89">
        <v>0.005</v>
      </c>
      <c r="P192" s="89">
        <v>0.005</v>
      </c>
      <c r="Q192" s="89">
        <v>0.005</v>
      </c>
      <c r="R192" s="89">
        <v>0.005</v>
      </c>
    </row>
    <row r="193" ht="12.75" customHeight="1">
      <c r="A193" s="90"/>
      <c r="B193" s="90"/>
      <c r="C193" s="90"/>
      <c r="D193" s="90"/>
      <c r="E193" s="90"/>
      <c r="F193" s="90"/>
      <c r="G193" s="90"/>
      <c r="H193" s="90"/>
      <c r="I193" s="90"/>
      <c r="J193" s="90"/>
      <c r="K193" s="90"/>
      <c r="L193" s="90"/>
      <c r="M193" s="90"/>
      <c r="N193" s="90"/>
      <c r="O193" s="90"/>
      <c r="P193" s="90"/>
      <c r="Q193" s="90"/>
      <c r="R193" s="90"/>
    </row>
    <row r="194" ht="12.75" customHeight="1">
      <c r="A194" s="106" t="s">
        <v>738</v>
      </c>
      <c r="B194" s="253"/>
      <c r="C194" s="253"/>
      <c r="D194" s="253"/>
      <c r="E194" s="253"/>
      <c r="F194" s="253"/>
      <c r="G194" s="253"/>
      <c r="H194" s="253"/>
      <c r="I194" s="253"/>
      <c r="J194" s="253"/>
      <c r="K194" s="253"/>
      <c r="L194" s="253"/>
      <c r="M194" s="253"/>
      <c r="N194" s="253"/>
      <c r="O194" s="253"/>
      <c r="P194" s="253"/>
      <c r="Q194" s="253"/>
      <c r="R194" s="253"/>
    </row>
    <row r="195" ht="12.75" hidden="1" customHeight="1" outlineLevel="1">
      <c r="A195" s="67"/>
      <c r="B195" s="90"/>
      <c r="C195" s="90"/>
      <c r="D195" s="90"/>
      <c r="E195" s="90"/>
      <c r="F195" s="90"/>
      <c r="G195" s="90"/>
      <c r="H195" s="90"/>
      <c r="I195" s="90"/>
      <c r="J195" s="90"/>
      <c r="K195" s="90"/>
      <c r="L195" s="90"/>
      <c r="M195" s="90"/>
      <c r="N195" s="90"/>
      <c r="O195" s="90"/>
      <c r="P195" s="90"/>
      <c r="Q195" s="90"/>
      <c r="R195" s="90"/>
    </row>
    <row r="196" ht="12.75" hidden="1" customHeight="1" outlineLevel="1">
      <c r="A196" s="90"/>
      <c r="B196" s="90" t="s">
        <v>739</v>
      </c>
      <c r="C196" s="90"/>
      <c r="D196" s="90"/>
      <c r="E196" s="90"/>
      <c r="F196" s="90"/>
      <c r="G196" s="223"/>
      <c r="H196" s="178"/>
      <c r="I196" s="178"/>
      <c r="J196" s="178"/>
      <c r="K196" s="178"/>
      <c r="L196" s="178"/>
      <c r="M196" s="178"/>
      <c r="N196" s="178"/>
      <c r="O196" s="178"/>
      <c r="P196" s="178"/>
      <c r="Q196" s="178"/>
      <c r="R196" s="178"/>
    </row>
    <row r="197" ht="12.75" hidden="1" customHeight="1" outlineLevel="1">
      <c r="A197" s="90"/>
      <c r="B197" s="90"/>
      <c r="C197" s="90"/>
      <c r="D197" s="90"/>
      <c r="E197" s="90"/>
      <c r="F197" s="90"/>
      <c r="G197" s="90"/>
      <c r="H197" s="90"/>
      <c r="I197" s="90"/>
      <c r="J197" s="90"/>
      <c r="K197" s="90"/>
      <c r="L197" s="90"/>
      <c r="M197" s="90"/>
      <c r="N197" s="90"/>
      <c r="O197" s="90"/>
      <c r="P197" s="90"/>
      <c r="Q197" s="90"/>
      <c r="R197" s="90"/>
    </row>
    <row r="198" ht="12.75" hidden="1" customHeight="1" outlineLevel="1">
      <c r="A198" s="90"/>
      <c r="B198" s="67" t="s">
        <v>550</v>
      </c>
      <c r="C198" s="90"/>
      <c r="D198" s="90"/>
      <c r="E198" s="90"/>
      <c r="F198" s="90"/>
      <c r="G198" s="90"/>
      <c r="H198" s="90"/>
      <c r="I198" s="90"/>
      <c r="J198" s="90"/>
      <c r="K198" s="90"/>
      <c r="L198" s="90"/>
      <c r="M198" s="90"/>
      <c r="N198" s="90"/>
      <c r="O198" s="90"/>
      <c r="P198" s="90"/>
      <c r="Q198" s="90"/>
      <c r="R198" s="90"/>
    </row>
    <row r="199" ht="12.75" hidden="1" customHeight="1" outlineLevel="1">
      <c r="A199" s="90"/>
      <c r="B199" s="90"/>
      <c r="C199" s="90" t="s">
        <v>740</v>
      </c>
      <c r="D199" s="90"/>
      <c r="E199" s="90"/>
      <c r="F199" s="90"/>
      <c r="G199" s="99">
        <v>0.0</v>
      </c>
      <c r="H199" s="99">
        <v>0.0</v>
      </c>
      <c r="I199" s="99">
        <v>65.0</v>
      </c>
      <c r="J199" s="99">
        <f t="shared" ref="J199:R199" si="95">I199</f>
        <v>65</v>
      </c>
      <c r="K199" s="99">
        <f t="shared" si="95"/>
        <v>65</v>
      </c>
      <c r="L199" s="99">
        <f t="shared" si="95"/>
        <v>65</v>
      </c>
      <c r="M199" s="99">
        <f t="shared" si="95"/>
        <v>65</v>
      </c>
      <c r="N199" s="99">
        <f t="shared" si="95"/>
        <v>65</v>
      </c>
      <c r="O199" s="99">
        <f t="shared" si="95"/>
        <v>65</v>
      </c>
      <c r="P199" s="99">
        <f t="shared" si="95"/>
        <v>65</v>
      </c>
      <c r="Q199" s="99">
        <f t="shared" si="95"/>
        <v>65</v>
      </c>
      <c r="R199" s="99">
        <f t="shared" si="95"/>
        <v>65</v>
      </c>
    </row>
    <row r="200" ht="12.75" hidden="1" customHeight="1" outlineLevel="1">
      <c r="A200" s="90"/>
      <c r="B200" s="90"/>
      <c r="C200" s="90" t="s">
        <v>741</v>
      </c>
      <c r="D200" s="90"/>
      <c r="E200" s="90"/>
      <c r="F200" s="90"/>
      <c r="G200" s="99">
        <v>25.0</v>
      </c>
      <c r="H200" s="99">
        <v>25.0</v>
      </c>
      <c r="I200" s="99">
        <v>25.0</v>
      </c>
      <c r="J200" s="99">
        <v>25.0</v>
      </c>
      <c r="K200" s="99">
        <v>25.0</v>
      </c>
      <c r="L200" s="99">
        <v>25.0</v>
      </c>
      <c r="M200" s="99">
        <v>25.0</v>
      </c>
      <c r="N200" s="99">
        <v>25.0</v>
      </c>
      <c r="O200" s="99">
        <v>25.0</v>
      </c>
      <c r="P200" s="99">
        <v>25.0</v>
      </c>
      <c r="Q200" s="99">
        <v>25.0</v>
      </c>
      <c r="R200" s="99">
        <v>25.0</v>
      </c>
    </row>
    <row r="201" ht="12.75" hidden="1" customHeight="1" outlineLevel="1">
      <c r="A201" s="90"/>
      <c r="B201" s="90"/>
      <c r="C201" s="90" t="s">
        <v>742</v>
      </c>
      <c r="D201" s="90"/>
      <c r="E201" s="90"/>
      <c r="F201" s="90"/>
      <c r="G201" s="99">
        <v>0.0</v>
      </c>
      <c r="H201" s="99">
        <v>0.0</v>
      </c>
      <c r="I201" s="99">
        <v>1000.0</v>
      </c>
      <c r="J201" s="99">
        <f t="shared" ref="J201:R201" si="96">I201</f>
        <v>1000</v>
      </c>
      <c r="K201" s="99">
        <f t="shared" si="96"/>
        <v>1000</v>
      </c>
      <c r="L201" s="99">
        <f t="shared" si="96"/>
        <v>1000</v>
      </c>
      <c r="M201" s="99">
        <f t="shared" si="96"/>
        <v>1000</v>
      </c>
      <c r="N201" s="99">
        <f t="shared" si="96"/>
        <v>1000</v>
      </c>
      <c r="O201" s="99">
        <f t="shared" si="96"/>
        <v>1000</v>
      </c>
      <c r="P201" s="99">
        <f t="shared" si="96"/>
        <v>1000</v>
      </c>
      <c r="Q201" s="99">
        <f t="shared" si="96"/>
        <v>1000</v>
      </c>
      <c r="R201" s="99">
        <f t="shared" si="96"/>
        <v>1000</v>
      </c>
    </row>
    <row r="202" ht="12.75" hidden="1" customHeight="1" outlineLevel="1">
      <c r="A202" s="90"/>
      <c r="B202" s="90"/>
      <c r="C202" s="90" t="s">
        <v>743</v>
      </c>
      <c r="D202" s="90"/>
      <c r="E202" s="90"/>
      <c r="F202" s="90"/>
      <c r="G202" s="99"/>
      <c r="H202" s="99"/>
      <c r="I202" s="99"/>
      <c r="J202" s="99"/>
      <c r="K202" s="99"/>
      <c r="L202" s="99"/>
      <c r="M202" s="99"/>
      <c r="N202" s="99"/>
      <c r="O202" s="99"/>
      <c r="P202" s="99"/>
      <c r="Q202" s="99"/>
      <c r="R202" s="99"/>
    </row>
    <row r="203" ht="12.75" hidden="1" customHeight="1" outlineLevel="1">
      <c r="A203" s="90"/>
      <c r="B203" s="90"/>
      <c r="C203" s="90" t="s">
        <v>744</v>
      </c>
      <c r="D203" s="90"/>
      <c r="E203" s="90"/>
      <c r="F203" s="90"/>
      <c r="G203" s="99">
        <v>125.0</v>
      </c>
      <c r="H203" s="99">
        <v>125.0</v>
      </c>
      <c r="I203" s="99">
        <v>150.0</v>
      </c>
      <c r="J203" s="99">
        <v>150.0</v>
      </c>
      <c r="K203" s="99">
        <v>150.0</v>
      </c>
      <c r="L203" s="99">
        <v>150.0</v>
      </c>
      <c r="M203" s="99">
        <v>150.0</v>
      </c>
      <c r="N203" s="99">
        <v>150.0</v>
      </c>
      <c r="O203" s="99">
        <v>150.0</v>
      </c>
      <c r="P203" s="99">
        <v>150.0</v>
      </c>
      <c r="Q203" s="99">
        <v>150.0</v>
      </c>
      <c r="R203" s="99">
        <v>150.0</v>
      </c>
    </row>
    <row r="204" ht="12.75" hidden="1" customHeight="1" outlineLevel="1">
      <c r="A204" s="90"/>
      <c r="B204" s="90"/>
      <c r="C204" s="90" t="s">
        <v>745</v>
      </c>
      <c r="D204" s="90"/>
      <c r="E204" s="90"/>
      <c r="F204" s="90"/>
      <c r="G204" s="99">
        <v>0.0</v>
      </c>
      <c r="H204" s="99">
        <v>0.0</v>
      </c>
      <c r="I204" s="99">
        <v>50000.0</v>
      </c>
      <c r="J204" s="99">
        <v>5000.0</v>
      </c>
      <c r="K204" s="99">
        <v>5000.0</v>
      </c>
      <c r="L204" s="99">
        <v>0.0</v>
      </c>
      <c r="M204" s="99">
        <v>0.0</v>
      </c>
      <c r="N204" s="99">
        <v>0.0</v>
      </c>
      <c r="O204" s="99">
        <v>0.0</v>
      </c>
      <c r="P204" s="99">
        <v>0.0</v>
      </c>
      <c r="Q204" s="99">
        <v>0.0</v>
      </c>
      <c r="R204" s="99">
        <v>0.0</v>
      </c>
    </row>
    <row r="205" ht="12.75" hidden="1" customHeight="1" outlineLevel="1">
      <c r="A205" s="90"/>
      <c r="B205" s="90"/>
      <c r="C205" s="90" t="s">
        <v>746</v>
      </c>
      <c r="D205" s="90"/>
      <c r="E205" s="90"/>
      <c r="F205" s="90"/>
      <c r="G205" s="99">
        <v>0.0</v>
      </c>
      <c r="H205" s="99">
        <v>0.0</v>
      </c>
      <c r="I205" s="99">
        <v>15000.0</v>
      </c>
      <c r="J205" s="99">
        <f t="shared" ref="J205:R205" si="97">I205</f>
        <v>15000</v>
      </c>
      <c r="K205" s="99">
        <f t="shared" si="97"/>
        <v>15000</v>
      </c>
      <c r="L205" s="99">
        <f t="shared" si="97"/>
        <v>15000</v>
      </c>
      <c r="M205" s="99">
        <f t="shared" si="97"/>
        <v>15000</v>
      </c>
      <c r="N205" s="99">
        <f t="shared" si="97"/>
        <v>15000</v>
      </c>
      <c r="O205" s="99">
        <f t="shared" si="97"/>
        <v>15000</v>
      </c>
      <c r="P205" s="99">
        <f t="shared" si="97"/>
        <v>15000</v>
      </c>
      <c r="Q205" s="99">
        <f t="shared" si="97"/>
        <v>15000</v>
      </c>
      <c r="R205" s="99">
        <f t="shared" si="97"/>
        <v>15000</v>
      </c>
    </row>
    <row r="206" ht="12.75" hidden="1" customHeight="1" outlineLevel="1">
      <c r="A206" s="90"/>
      <c r="B206" s="90"/>
      <c r="C206" s="90" t="s">
        <v>747</v>
      </c>
      <c r="D206" s="90"/>
      <c r="E206" s="90"/>
      <c r="F206" s="90"/>
      <c r="G206" s="99"/>
      <c r="H206" s="99"/>
      <c r="I206" s="99">
        <v>100.0</v>
      </c>
      <c r="J206" s="99">
        <v>100.0</v>
      </c>
      <c r="K206" s="99">
        <v>100.0</v>
      </c>
      <c r="L206" s="99">
        <v>100.0</v>
      </c>
      <c r="M206" s="99">
        <v>100.0</v>
      </c>
      <c r="N206" s="99">
        <v>100.0</v>
      </c>
      <c r="O206" s="99">
        <v>100.0</v>
      </c>
      <c r="P206" s="99">
        <v>100.0</v>
      </c>
      <c r="Q206" s="99">
        <v>100.0</v>
      </c>
      <c r="R206" s="99">
        <v>100.0</v>
      </c>
    </row>
    <row r="207" ht="12.75" hidden="1" customHeight="1" outlineLevel="1">
      <c r="A207" s="90"/>
      <c r="B207" s="90"/>
      <c r="C207" s="90" t="s">
        <v>748</v>
      </c>
      <c r="D207" s="90"/>
      <c r="E207" s="90"/>
      <c r="F207" s="90"/>
      <c r="G207" s="99">
        <v>0.0</v>
      </c>
      <c r="H207" s="99">
        <v>0.0</v>
      </c>
      <c r="I207" s="99">
        <v>110000.0</v>
      </c>
      <c r="J207" s="99">
        <v>10000.0</v>
      </c>
      <c r="K207" s="99">
        <v>10000.0</v>
      </c>
      <c r="L207" s="99">
        <v>10000.0</v>
      </c>
      <c r="M207" s="99">
        <v>10000.0</v>
      </c>
      <c r="N207" s="99">
        <v>10000.0</v>
      </c>
      <c r="O207" s="99">
        <v>10000.0</v>
      </c>
      <c r="P207" s="99">
        <v>10000.0</v>
      </c>
      <c r="Q207" s="99">
        <v>10000.0</v>
      </c>
      <c r="R207" s="99">
        <v>10000.0</v>
      </c>
    </row>
    <row r="208" ht="12.75" hidden="1" customHeight="1" outlineLevel="1">
      <c r="A208" s="90"/>
      <c r="B208" s="90"/>
      <c r="C208" s="90" t="s">
        <v>749</v>
      </c>
      <c r="D208" s="90"/>
      <c r="E208" s="90"/>
      <c r="F208" s="90"/>
      <c r="G208" s="99">
        <v>750.0</v>
      </c>
      <c r="H208" s="99">
        <v>750.0</v>
      </c>
      <c r="I208" s="99">
        <v>750.0</v>
      </c>
      <c r="J208" s="99">
        <v>750.0</v>
      </c>
      <c r="K208" s="99">
        <v>750.0</v>
      </c>
      <c r="L208" s="99">
        <v>750.0</v>
      </c>
      <c r="M208" s="99">
        <v>750.0</v>
      </c>
      <c r="N208" s="99">
        <v>750.0</v>
      </c>
      <c r="O208" s="99">
        <v>750.0</v>
      </c>
      <c r="P208" s="99">
        <v>750.0</v>
      </c>
      <c r="Q208" s="99">
        <v>750.0</v>
      </c>
      <c r="R208" s="99">
        <v>750.0</v>
      </c>
    </row>
    <row r="209" ht="12.75" hidden="1" customHeight="1" outlineLevel="1">
      <c r="A209" s="90"/>
      <c r="B209" s="90"/>
      <c r="C209" s="90" t="s">
        <v>750</v>
      </c>
      <c r="D209" s="90"/>
      <c r="E209" s="90"/>
      <c r="F209" s="90"/>
      <c r="G209" s="99">
        <v>0.0</v>
      </c>
      <c r="H209" s="99">
        <v>0.0</v>
      </c>
      <c r="I209" s="99">
        <v>440.0</v>
      </c>
      <c r="J209" s="99">
        <v>440.0</v>
      </c>
      <c r="K209" s="99">
        <v>440.0</v>
      </c>
      <c r="L209" s="99">
        <v>440.0</v>
      </c>
      <c r="M209" s="99">
        <v>440.0</v>
      </c>
      <c r="N209" s="99">
        <v>440.0</v>
      </c>
      <c r="O209" s="99">
        <v>440.0</v>
      </c>
      <c r="P209" s="99">
        <v>440.0</v>
      </c>
      <c r="Q209" s="99">
        <v>440.0</v>
      </c>
      <c r="R209" s="99">
        <v>440.0</v>
      </c>
    </row>
    <row r="210" ht="12.75" hidden="1" customHeight="1" outlineLevel="1">
      <c r="A210" s="90"/>
      <c r="B210" s="90"/>
      <c r="C210" s="90"/>
      <c r="D210" s="90"/>
      <c r="E210" s="90"/>
      <c r="F210" s="90"/>
      <c r="G210" s="90"/>
      <c r="H210" s="90"/>
      <c r="I210" s="90"/>
      <c r="J210" s="90"/>
      <c r="K210" s="90"/>
      <c r="L210" s="90"/>
      <c r="M210" s="90"/>
      <c r="N210" s="90"/>
      <c r="O210" s="90"/>
      <c r="P210" s="90"/>
      <c r="Q210" s="90"/>
      <c r="R210" s="90"/>
    </row>
    <row r="211" ht="12.75" hidden="1" customHeight="1" outlineLevel="1">
      <c r="A211" s="90"/>
      <c r="B211" s="67" t="s">
        <v>626</v>
      </c>
      <c r="C211" s="90"/>
      <c r="D211" s="90"/>
      <c r="E211" s="90"/>
      <c r="F211" s="90"/>
      <c r="G211" s="99"/>
      <c r="H211" s="99"/>
      <c r="I211" s="99"/>
      <c r="J211" s="99"/>
      <c r="K211" s="99"/>
      <c r="L211" s="99"/>
      <c r="M211" s="99"/>
      <c r="N211" s="99"/>
      <c r="O211" s="99"/>
      <c r="P211" s="99"/>
      <c r="Q211" s="99"/>
      <c r="R211" s="99"/>
    </row>
    <row r="212" ht="12.75" hidden="1" customHeight="1" outlineLevel="1">
      <c r="A212" s="90"/>
      <c r="B212" s="90"/>
      <c r="C212" s="90" t="s">
        <v>751</v>
      </c>
      <c r="D212" s="90"/>
      <c r="E212" s="90"/>
      <c r="F212" s="90"/>
      <c r="G212" s="99" t="str">
        <f>'RS3'!J211</f>
        <v/>
      </c>
      <c r="H212" s="99">
        <v>0.0</v>
      </c>
      <c r="I212" s="99">
        <v>3500.0</v>
      </c>
      <c r="J212" s="99">
        <v>3500.0</v>
      </c>
      <c r="K212" s="99">
        <v>3500.0</v>
      </c>
      <c r="L212" s="99">
        <v>3500.0</v>
      </c>
      <c r="M212" s="99">
        <v>3500.0</v>
      </c>
      <c r="N212" s="99">
        <v>3500.0</v>
      </c>
      <c r="O212" s="99">
        <v>3500.0</v>
      </c>
      <c r="P212" s="99">
        <v>3500.0</v>
      </c>
      <c r="Q212" s="99">
        <v>3500.0</v>
      </c>
      <c r="R212" s="99">
        <v>3500.0</v>
      </c>
    </row>
    <row r="213" ht="12.75" hidden="1" customHeight="1" outlineLevel="1">
      <c r="A213" s="90"/>
      <c r="B213" s="90"/>
      <c r="C213" s="90" t="s">
        <v>752</v>
      </c>
      <c r="D213" s="90"/>
      <c r="E213" s="90"/>
      <c r="F213" s="90"/>
      <c r="G213" s="99" t="str">
        <f>'RS3'!J212</f>
        <v/>
      </c>
      <c r="H213" s="99">
        <v>700.0</v>
      </c>
      <c r="I213" s="99">
        <v>700.0</v>
      </c>
      <c r="J213" s="99">
        <v>700.0</v>
      </c>
      <c r="K213" s="99">
        <v>700.0</v>
      </c>
      <c r="L213" s="99">
        <v>700.0</v>
      </c>
      <c r="M213" s="99">
        <v>700.0</v>
      </c>
      <c r="N213" s="99">
        <v>700.0</v>
      </c>
      <c r="O213" s="99">
        <v>700.0</v>
      </c>
      <c r="P213" s="99">
        <v>700.0</v>
      </c>
      <c r="Q213" s="99">
        <v>700.0</v>
      </c>
      <c r="R213" s="99">
        <v>700.0</v>
      </c>
    </row>
    <row r="214" ht="12.75" hidden="1" customHeight="1" outlineLevel="1">
      <c r="A214" s="90"/>
      <c r="B214" s="90"/>
      <c r="C214" s="90"/>
      <c r="D214" s="90"/>
      <c r="E214" s="90"/>
      <c r="F214" s="90"/>
      <c r="G214" s="99"/>
      <c r="H214" s="99"/>
      <c r="I214" s="99"/>
      <c r="J214" s="99"/>
      <c r="K214" s="99"/>
      <c r="L214" s="99"/>
      <c r="M214" s="99"/>
      <c r="N214" s="99"/>
      <c r="O214" s="99"/>
      <c r="P214" s="99"/>
      <c r="Q214" s="99"/>
      <c r="R214" s="99"/>
    </row>
    <row r="215" ht="12.75" hidden="1" customHeight="1" outlineLevel="1">
      <c r="A215" s="90"/>
      <c r="B215" s="90"/>
      <c r="C215" s="90" t="s">
        <v>754</v>
      </c>
      <c r="D215" s="90"/>
      <c r="E215" s="90"/>
      <c r="F215" s="90"/>
      <c r="G215" s="99" t="str">
        <f>'RS3'!J214</f>
        <v/>
      </c>
      <c r="H215" s="99">
        <v>0.0</v>
      </c>
      <c r="I215" s="99">
        <v>25000.0</v>
      </c>
      <c r="J215" s="99">
        <v>25000.0</v>
      </c>
      <c r="K215" s="99">
        <v>25000.0</v>
      </c>
      <c r="L215" s="99">
        <v>25000.0</v>
      </c>
      <c r="M215" s="99">
        <v>25000.0</v>
      </c>
      <c r="N215" s="99">
        <v>25000.0</v>
      </c>
      <c r="O215" s="99">
        <v>25000.0</v>
      </c>
      <c r="P215" s="99">
        <v>25000.0</v>
      </c>
      <c r="Q215" s="99">
        <v>25000.0</v>
      </c>
      <c r="R215" s="99">
        <v>25000.0</v>
      </c>
    </row>
    <row r="216" ht="12.75" hidden="1" customHeight="1" outlineLevel="1">
      <c r="A216" s="90"/>
      <c r="B216" s="90"/>
      <c r="C216" s="90" t="s">
        <v>755</v>
      </c>
      <c r="D216" s="90"/>
      <c r="E216" s="90"/>
      <c r="F216" s="90"/>
      <c r="G216" s="99" t="str">
        <f>'RS3'!J215</f>
        <v/>
      </c>
      <c r="H216" s="99">
        <v>0.0</v>
      </c>
      <c r="I216" s="99">
        <v>55000.0</v>
      </c>
      <c r="J216" s="99">
        <v>65000.0</v>
      </c>
      <c r="K216" s="99">
        <v>65000.0</v>
      </c>
      <c r="L216" s="99">
        <v>65000.0</v>
      </c>
      <c r="M216" s="99">
        <v>65000.0</v>
      </c>
      <c r="N216" s="99">
        <v>65000.0</v>
      </c>
      <c r="O216" s="99">
        <v>65000.0</v>
      </c>
      <c r="P216" s="99">
        <v>65000.0</v>
      </c>
      <c r="Q216" s="99">
        <v>65000.0</v>
      </c>
      <c r="R216" s="99">
        <v>65000.0</v>
      </c>
    </row>
    <row r="217" ht="12.75" hidden="1" customHeight="1" outlineLevel="1">
      <c r="A217" s="90"/>
      <c r="B217" s="90"/>
      <c r="C217" s="90" t="s">
        <v>756</v>
      </c>
      <c r="D217" s="90"/>
      <c r="E217" s="90"/>
      <c r="F217" s="90"/>
      <c r="G217" s="99"/>
      <c r="H217" s="99">
        <v>2000.0</v>
      </c>
      <c r="I217" s="99">
        <v>2000.0</v>
      </c>
      <c r="J217" s="99">
        <v>2000.0</v>
      </c>
      <c r="K217" s="99">
        <v>2000.0</v>
      </c>
      <c r="L217" s="99">
        <v>2000.0</v>
      </c>
      <c r="M217" s="99">
        <v>2000.0</v>
      </c>
      <c r="N217" s="99">
        <v>2000.0</v>
      </c>
      <c r="O217" s="99">
        <v>2000.0</v>
      </c>
      <c r="P217" s="99">
        <v>2000.0</v>
      </c>
      <c r="Q217" s="99">
        <v>2000.0</v>
      </c>
      <c r="R217" s="99">
        <v>2000.0</v>
      </c>
    </row>
    <row r="218" ht="12.75" hidden="1" customHeight="1" outlineLevel="1">
      <c r="A218" s="90"/>
      <c r="B218" s="90"/>
      <c r="C218" s="90" t="s">
        <v>757</v>
      </c>
      <c r="D218" s="90"/>
      <c r="E218" s="90"/>
      <c r="F218" s="90"/>
      <c r="G218" s="99"/>
      <c r="H218" s="99"/>
      <c r="I218" s="99"/>
      <c r="J218" s="99"/>
      <c r="K218" s="99"/>
      <c r="L218" s="99"/>
      <c r="M218" s="99"/>
      <c r="N218" s="99"/>
      <c r="O218" s="99"/>
      <c r="P218" s="99"/>
      <c r="Q218" s="99"/>
      <c r="R218" s="99"/>
    </row>
    <row r="219" ht="12.75" hidden="1" customHeight="1" outlineLevel="1">
      <c r="A219" s="90"/>
      <c r="B219" s="90"/>
      <c r="C219" s="90"/>
      <c r="D219" s="90" t="s">
        <v>339</v>
      </c>
      <c r="E219" s="90"/>
      <c r="F219" s="90"/>
      <c r="G219" s="99" t="str">
        <f>'RS3'!J218</f>
        <v/>
      </c>
      <c r="H219" s="99">
        <v>3280.0</v>
      </c>
      <c r="I219" s="99">
        <v>3280.0</v>
      </c>
      <c r="J219" s="99">
        <v>600.0</v>
      </c>
      <c r="K219" s="99">
        <v>600.0</v>
      </c>
      <c r="L219" s="99">
        <v>600.0</v>
      </c>
      <c r="M219" s="99">
        <v>600.0</v>
      </c>
      <c r="N219" s="99">
        <v>600.0</v>
      </c>
      <c r="O219" s="99">
        <v>600.0</v>
      </c>
      <c r="P219" s="99">
        <v>600.0</v>
      </c>
      <c r="Q219" s="99">
        <v>600.0</v>
      </c>
      <c r="R219" s="99">
        <v>600.0</v>
      </c>
    </row>
    <row r="220" ht="12.75" hidden="1" customHeight="1" outlineLevel="1">
      <c r="A220" s="90"/>
      <c r="B220" s="90"/>
      <c r="C220" s="90"/>
      <c r="D220" s="90" t="s">
        <v>758</v>
      </c>
      <c r="E220" s="90"/>
      <c r="F220" s="90"/>
      <c r="G220" s="99" t="str">
        <f>'RS3'!J219</f>
        <v/>
      </c>
      <c r="H220" s="99">
        <v>0.0</v>
      </c>
      <c r="I220" s="99">
        <v>20000.0</v>
      </c>
      <c r="J220" s="99">
        <v>30000.0</v>
      </c>
      <c r="K220" s="99">
        <v>30000.0</v>
      </c>
      <c r="L220" s="99">
        <v>30000.0</v>
      </c>
      <c r="M220" s="99">
        <v>30000.0</v>
      </c>
      <c r="N220" s="99">
        <v>30000.0</v>
      </c>
      <c r="O220" s="99">
        <v>30000.0</v>
      </c>
      <c r="P220" s="93">
        <v>30000.0</v>
      </c>
      <c r="Q220" s="93">
        <v>30000.0</v>
      </c>
      <c r="R220" s="93">
        <v>30000.0</v>
      </c>
      <c r="S220" s="93"/>
      <c r="T220" s="93"/>
      <c r="U220" s="93"/>
      <c r="V220" s="93"/>
      <c r="W220" s="93"/>
      <c r="X220" s="93"/>
      <c r="Y220" s="93"/>
      <c r="Z220" s="93"/>
      <c r="AA220" s="93"/>
      <c r="AB220" s="93"/>
      <c r="AC220" s="93"/>
      <c r="AD220" s="93"/>
      <c r="AE220" s="93"/>
      <c r="AF220" s="93"/>
      <c r="AG220" s="93"/>
      <c r="AH220" s="93"/>
      <c r="AI220" s="93"/>
      <c r="AJ220" s="93"/>
      <c r="AK220" s="93"/>
      <c r="AL220" s="93"/>
    </row>
    <row r="221" ht="12.75" hidden="1" customHeight="1" outlineLevel="1">
      <c r="A221" s="90"/>
      <c r="B221" s="90"/>
      <c r="C221" s="90"/>
      <c r="D221" s="90" t="s">
        <v>376</v>
      </c>
      <c r="E221" s="90"/>
      <c r="F221" s="90"/>
      <c r="G221" s="99" t="str">
        <f>'RS3'!J220</f>
        <v/>
      </c>
      <c r="H221" s="99">
        <v>0.0</v>
      </c>
      <c r="I221" s="99">
        <v>8000.0</v>
      </c>
      <c r="J221" s="99">
        <v>8000.0</v>
      </c>
      <c r="K221" s="99">
        <v>8000.0</v>
      </c>
      <c r="L221" s="99">
        <v>8000.0</v>
      </c>
      <c r="M221" s="99">
        <v>8000.0</v>
      </c>
      <c r="N221" s="99">
        <v>8000.0</v>
      </c>
      <c r="O221" s="99">
        <v>8000.0</v>
      </c>
      <c r="P221" s="93">
        <v>8000.0</v>
      </c>
      <c r="Q221" s="93">
        <v>8000.0</v>
      </c>
      <c r="R221" s="93">
        <v>8000.0</v>
      </c>
      <c r="S221" s="93"/>
      <c r="T221" s="93"/>
      <c r="U221" s="93"/>
      <c r="V221" s="93"/>
      <c r="W221" s="93"/>
      <c r="X221" s="93"/>
      <c r="Y221" s="93"/>
      <c r="Z221" s="93"/>
      <c r="AA221" s="93"/>
      <c r="AB221" s="93"/>
      <c r="AC221" s="93"/>
      <c r="AD221" s="93"/>
      <c r="AE221" s="93"/>
      <c r="AF221" s="93"/>
      <c r="AG221" s="93"/>
      <c r="AH221" s="93"/>
      <c r="AI221" s="93"/>
      <c r="AJ221" s="93"/>
      <c r="AK221" s="93"/>
      <c r="AL221" s="93"/>
    </row>
    <row r="222" ht="12.75" hidden="1" customHeight="1" outlineLevel="1">
      <c r="A222" s="90"/>
      <c r="B222" s="90"/>
      <c r="C222" s="90"/>
      <c r="D222" s="90" t="s">
        <v>759</v>
      </c>
      <c r="E222" s="90"/>
      <c r="F222" s="90"/>
      <c r="G222" s="99" t="str">
        <f>'RS3'!J221</f>
        <v/>
      </c>
      <c r="H222" s="99">
        <v>2500.0</v>
      </c>
      <c r="I222" s="99">
        <v>1000.0</v>
      </c>
      <c r="J222" s="99">
        <v>1000.0</v>
      </c>
      <c r="K222" s="99">
        <v>1000.0</v>
      </c>
      <c r="L222" s="99">
        <v>1000.0</v>
      </c>
      <c r="M222" s="99">
        <v>1000.0</v>
      </c>
      <c r="N222" s="99">
        <v>1000.0</v>
      </c>
      <c r="O222" s="99">
        <v>1000.0</v>
      </c>
      <c r="P222" s="93">
        <v>1000.0</v>
      </c>
      <c r="Q222" s="93">
        <v>1000.0</v>
      </c>
      <c r="R222" s="93">
        <v>1000.0</v>
      </c>
      <c r="S222" s="93"/>
      <c r="T222" s="93"/>
      <c r="U222" s="93"/>
      <c r="V222" s="93"/>
      <c r="W222" s="93"/>
      <c r="X222" s="93"/>
      <c r="Y222" s="93"/>
      <c r="Z222" s="93"/>
      <c r="AA222" s="93"/>
      <c r="AB222" s="93"/>
      <c r="AC222" s="93"/>
      <c r="AD222" s="93"/>
      <c r="AE222" s="93"/>
      <c r="AF222" s="93"/>
      <c r="AG222" s="93"/>
      <c r="AH222" s="93"/>
      <c r="AI222" s="93"/>
      <c r="AJ222" s="93"/>
      <c r="AK222" s="93"/>
      <c r="AL222" s="93"/>
    </row>
    <row r="223" ht="12.75" hidden="1" customHeight="1" outlineLevel="1">
      <c r="A223" s="90"/>
      <c r="B223" s="90"/>
      <c r="C223" s="90"/>
      <c r="D223" s="90" t="s">
        <v>760</v>
      </c>
      <c r="E223" s="90"/>
      <c r="F223" s="90"/>
      <c r="G223" s="99" t="str">
        <f>'RS3'!J222</f>
        <v/>
      </c>
      <c r="H223" s="99">
        <v>0.0</v>
      </c>
      <c r="I223" s="99">
        <v>5000.0</v>
      </c>
      <c r="J223" s="99">
        <v>5000.0</v>
      </c>
      <c r="K223" s="99">
        <v>5000.0</v>
      </c>
      <c r="L223" s="99">
        <v>5000.0</v>
      </c>
      <c r="M223" s="99">
        <v>5000.0</v>
      </c>
      <c r="N223" s="99">
        <v>5000.0</v>
      </c>
      <c r="O223" s="99">
        <v>5000.0</v>
      </c>
      <c r="P223" s="93">
        <v>5000.0</v>
      </c>
      <c r="Q223" s="93">
        <v>5000.0</v>
      </c>
      <c r="R223" s="93">
        <v>5000.0</v>
      </c>
      <c r="S223" s="93"/>
      <c r="T223" s="93"/>
      <c r="U223" s="93"/>
      <c r="V223" s="93"/>
      <c r="W223" s="93"/>
      <c r="X223" s="93"/>
      <c r="Y223" s="93"/>
      <c r="Z223" s="93"/>
      <c r="AA223" s="93"/>
      <c r="AB223" s="93"/>
      <c r="AC223" s="93"/>
      <c r="AD223" s="93"/>
      <c r="AE223" s="93"/>
      <c r="AF223" s="93"/>
      <c r="AG223" s="93"/>
      <c r="AH223" s="93"/>
      <c r="AI223" s="93"/>
      <c r="AJ223" s="93"/>
      <c r="AK223" s="93"/>
      <c r="AL223" s="93"/>
    </row>
    <row r="224" ht="12.75" hidden="1" customHeight="1" outlineLevel="1">
      <c r="A224" s="90"/>
      <c r="B224" s="90"/>
      <c r="C224" s="90"/>
      <c r="D224" s="90" t="s">
        <v>761</v>
      </c>
      <c r="E224" s="90"/>
      <c r="F224" s="90"/>
      <c r="G224" s="99" t="str">
        <f>'RS3'!J223</f>
        <v/>
      </c>
      <c r="H224" s="99">
        <v>2000.0</v>
      </c>
      <c r="I224" s="99"/>
      <c r="J224" s="99"/>
      <c r="K224" s="99"/>
      <c r="L224" s="99"/>
      <c r="M224" s="99"/>
      <c r="N224" s="99"/>
      <c r="O224" s="99"/>
      <c r="P224" s="93"/>
      <c r="Q224" s="93"/>
      <c r="R224" s="93"/>
      <c r="S224" s="93"/>
      <c r="T224" s="93"/>
      <c r="U224" s="93"/>
      <c r="V224" s="93"/>
      <c r="W224" s="93"/>
      <c r="X224" s="93"/>
      <c r="Y224" s="93"/>
      <c r="Z224" s="93"/>
      <c r="AA224" s="93"/>
      <c r="AB224" s="93"/>
      <c r="AC224" s="93"/>
      <c r="AD224" s="93"/>
      <c r="AE224" s="93"/>
      <c r="AF224" s="93"/>
      <c r="AG224" s="93"/>
      <c r="AH224" s="93"/>
      <c r="AI224" s="93"/>
      <c r="AJ224" s="93"/>
      <c r="AK224" s="93"/>
      <c r="AL224" s="93"/>
    </row>
    <row r="225" ht="12.75" hidden="1" customHeight="1" outlineLevel="1">
      <c r="A225" s="90"/>
      <c r="B225" s="90"/>
      <c r="C225" s="90"/>
      <c r="D225" s="90" t="s">
        <v>762</v>
      </c>
      <c r="E225" s="90"/>
      <c r="F225" s="90"/>
      <c r="G225" s="99" t="str">
        <f>'RS3'!J224</f>
        <v/>
      </c>
      <c r="H225" s="99">
        <v>0.0</v>
      </c>
      <c r="I225" s="99">
        <v>6000.0</v>
      </c>
      <c r="J225" s="99">
        <v>6000.0</v>
      </c>
      <c r="K225" s="99">
        <v>6000.0</v>
      </c>
      <c r="L225" s="99">
        <v>6000.0</v>
      </c>
      <c r="M225" s="99">
        <v>6000.0</v>
      </c>
      <c r="N225" s="99">
        <v>6000.0</v>
      </c>
      <c r="O225" s="99">
        <v>6000.0</v>
      </c>
      <c r="P225" s="93">
        <v>6000.0</v>
      </c>
      <c r="Q225" s="93">
        <v>6000.0</v>
      </c>
      <c r="R225" s="93">
        <v>6000.0</v>
      </c>
      <c r="S225" s="93"/>
      <c r="T225" s="93"/>
      <c r="U225" s="93"/>
      <c r="V225" s="93"/>
      <c r="W225" s="93"/>
      <c r="X225" s="93"/>
      <c r="Y225" s="93"/>
      <c r="Z225" s="93"/>
      <c r="AA225" s="93"/>
      <c r="AB225" s="93"/>
      <c r="AC225" s="93"/>
      <c r="AD225" s="93"/>
      <c r="AE225" s="93"/>
      <c r="AF225" s="93"/>
      <c r="AG225" s="93"/>
      <c r="AH225" s="93"/>
      <c r="AI225" s="93"/>
      <c r="AJ225" s="93"/>
      <c r="AK225" s="93"/>
      <c r="AL225" s="93"/>
    </row>
    <row r="226" ht="12.75" hidden="1" customHeight="1" outlineLevel="1">
      <c r="A226" s="90"/>
      <c r="B226" s="90"/>
      <c r="C226" s="90"/>
      <c r="D226" s="90" t="s">
        <v>763</v>
      </c>
      <c r="E226" s="90"/>
      <c r="F226" s="90"/>
      <c r="G226" s="99" t="str">
        <f>'RS3'!J225</f>
        <v/>
      </c>
      <c r="H226" s="99"/>
      <c r="I226" s="99"/>
      <c r="J226" s="99"/>
      <c r="K226" s="99"/>
      <c r="L226" s="99"/>
      <c r="M226" s="99"/>
      <c r="N226" s="99"/>
      <c r="O226" s="99"/>
      <c r="P226" s="93"/>
      <c r="Q226" s="93"/>
      <c r="R226" s="93"/>
      <c r="S226" s="93"/>
      <c r="T226" s="93"/>
      <c r="U226" s="93"/>
      <c r="V226" s="93"/>
      <c r="W226" s="93"/>
      <c r="X226" s="93"/>
      <c r="Y226" s="93"/>
      <c r="Z226" s="93"/>
      <c r="AA226" s="93"/>
      <c r="AB226" s="93"/>
      <c r="AC226" s="93"/>
      <c r="AD226" s="93"/>
      <c r="AE226" s="93"/>
      <c r="AF226" s="93"/>
      <c r="AG226" s="93"/>
      <c r="AH226" s="93"/>
      <c r="AI226" s="93"/>
      <c r="AJ226" s="93"/>
      <c r="AK226" s="93"/>
      <c r="AL226" s="93"/>
    </row>
    <row r="227" ht="12.75" hidden="1" customHeight="1" outlineLevel="1">
      <c r="A227" s="90"/>
      <c r="B227" s="90"/>
      <c r="C227" s="90"/>
      <c r="D227" s="90" t="s">
        <v>764</v>
      </c>
      <c r="E227" s="90"/>
      <c r="F227" s="90"/>
      <c r="G227" s="99" t="str">
        <f>'RS3'!J226</f>
        <v/>
      </c>
      <c r="H227" s="99">
        <v>0.0</v>
      </c>
      <c r="I227" s="99">
        <v>300.0</v>
      </c>
      <c r="J227" s="99">
        <v>300.0</v>
      </c>
      <c r="K227" s="99">
        <v>300.0</v>
      </c>
      <c r="L227" s="99">
        <v>300.0</v>
      </c>
      <c r="M227" s="99">
        <v>300.0</v>
      </c>
      <c r="N227" s="99">
        <v>300.0</v>
      </c>
      <c r="O227" s="99">
        <v>300.0</v>
      </c>
      <c r="P227" s="93">
        <v>300.0</v>
      </c>
      <c r="Q227" s="93">
        <v>300.0</v>
      </c>
      <c r="R227" s="93">
        <v>300.0</v>
      </c>
      <c r="S227" s="93"/>
      <c r="T227" s="93"/>
      <c r="U227" s="93"/>
      <c r="V227" s="93"/>
      <c r="W227" s="93"/>
      <c r="X227" s="93"/>
      <c r="Y227" s="93"/>
      <c r="Z227" s="93"/>
      <c r="AA227" s="93"/>
      <c r="AB227" s="93"/>
      <c r="AC227" s="93"/>
      <c r="AD227" s="93"/>
      <c r="AE227" s="93"/>
      <c r="AF227" s="93"/>
      <c r="AG227" s="93"/>
      <c r="AH227" s="93"/>
      <c r="AI227" s="93"/>
      <c r="AJ227" s="93"/>
      <c r="AK227" s="93"/>
      <c r="AL227" s="93"/>
    </row>
    <row r="228" ht="12.75" hidden="1" customHeight="1" outlineLevel="1">
      <c r="A228" s="90"/>
      <c r="B228" s="90"/>
      <c r="C228" s="90"/>
      <c r="D228" s="90" t="s">
        <v>765</v>
      </c>
      <c r="E228" s="90"/>
      <c r="F228" s="90"/>
      <c r="G228" s="99" t="str">
        <f>'RS3'!J227</f>
        <v/>
      </c>
      <c r="H228" s="99">
        <v>0.0</v>
      </c>
      <c r="I228" s="99">
        <v>1500.0</v>
      </c>
      <c r="J228" s="99">
        <v>1500.0</v>
      </c>
      <c r="K228" s="99">
        <v>1500.0</v>
      </c>
      <c r="L228" s="99">
        <v>1500.0</v>
      </c>
      <c r="M228" s="99">
        <v>1500.0</v>
      </c>
      <c r="N228" s="99">
        <v>1500.0</v>
      </c>
      <c r="O228" s="99">
        <v>1500.0</v>
      </c>
      <c r="P228" s="93">
        <v>1500.0</v>
      </c>
      <c r="Q228" s="93">
        <v>1500.0</v>
      </c>
      <c r="R228" s="93">
        <v>1500.0</v>
      </c>
      <c r="S228" s="93"/>
      <c r="T228" s="93"/>
      <c r="U228" s="93"/>
      <c r="V228" s="93"/>
      <c r="W228" s="93"/>
      <c r="X228" s="93"/>
      <c r="Y228" s="93"/>
      <c r="Z228" s="93"/>
      <c r="AA228" s="93"/>
      <c r="AB228" s="93"/>
      <c r="AC228" s="93"/>
      <c r="AD228" s="93"/>
      <c r="AE228" s="93"/>
      <c r="AF228" s="93"/>
      <c r="AG228" s="93"/>
      <c r="AH228" s="93"/>
      <c r="AI228" s="93"/>
      <c r="AJ228" s="93"/>
      <c r="AK228" s="93"/>
      <c r="AL228" s="93"/>
    </row>
    <row r="229" ht="12.75" hidden="1" customHeight="1" outlineLevel="1">
      <c r="A229" s="90"/>
      <c r="B229" s="90"/>
      <c r="C229" s="90"/>
      <c r="D229" s="90" t="s">
        <v>766</v>
      </c>
      <c r="E229" s="90"/>
      <c r="F229" s="90"/>
      <c r="G229" s="99" t="str">
        <f>'RS3'!J228</f>
        <v/>
      </c>
      <c r="H229" s="99">
        <v>0.0</v>
      </c>
      <c r="I229" s="99">
        <v>0.0</v>
      </c>
      <c r="J229" s="99">
        <v>0.0</v>
      </c>
      <c r="K229" s="99">
        <v>0.0</v>
      </c>
      <c r="L229" s="99">
        <v>0.0</v>
      </c>
      <c r="M229" s="99">
        <v>0.0</v>
      </c>
      <c r="N229" s="99">
        <v>0.0</v>
      </c>
      <c r="O229" s="99">
        <v>0.0</v>
      </c>
      <c r="P229" s="93">
        <v>0.0</v>
      </c>
      <c r="Q229" s="93">
        <v>0.0</v>
      </c>
      <c r="R229" s="93">
        <v>0.0</v>
      </c>
      <c r="S229" s="93"/>
      <c r="T229" s="93"/>
      <c r="U229" s="93"/>
      <c r="V229" s="93"/>
      <c r="W229" s="93"/>
      <c r="X229" s="93"/>
      <c r="Y229" s="93"/>
      <c r="Z229" s="93"/>
      <c r="AA229" s="93"/>
      <c r="AB229" s="93"/>
      <c r="AC229" s="93"/>
      <c r="AD229" s="93"/>
      <c r="AE229" s="93"/>
      <c r="AF229" s="93"/>
      <c r="AG229" s="93"/>
      <c r="AH229" s="93"/>
      <c r="AI229" s="93"/>
      <c r="AJ229" s="93"/>
      <c r="AK229" s="93"/>
      <c r="AL229" s="93"/>
    </row>
    <row r="230" ht="12.75" hidden="1" customHeight="1" outlineLevel="1">
      <c r="A230" s="90"/>
      <c r="B230" s="90"/>
      <c r="C230" s="90" t="s">
        <v>767</v>
      </c>
      <c r="D230" s="90"/>
      <c r="E230" s="90"/>
      <c r="F230" s="90"/>
      <c r="G230" s="99"/>
      <c r="H230" s="99"/>
      <c r="I230" s="99"/>
      <c r="J230" s="99"/>
      <c r="K230" s="99"/>
      <c r="L230" s="99"/>
      <c r="M230" s="99"/>
      <c r="N230" s="99"/>
      <c r="O230" s="99"/>
      <c r="P230" s="99"/>
      <c r="Q230" s="99"/>
      <c r="R230" s="99"/>
    </row>
    <row r="231" ht="12.75" hidden="1" customHeight="1" outlineLevel="1">
      <c r="A231" s="90"/>
      <c r="B231" s="90"/>
      <c r="C231" s="90"/>
      <c r="D231" s="90" t="s">
        <v>768</v>
      </c>
      <c r="E231" s="90"/>
      <c r="F231" s="90"/>
      <c r="G231" s="99" t="str">
        <f>'RS3'!J230</f>
        <v/>
      </c>
      <c r="H231" s="99">
        <v>3.0</v>
      </c>
      <c r="I231" s="99">
        <v>3.825</v>
      </c>
      <c r="J231" s="99">
        <v>3.825</v>
      </c>
      <c r="K231" s="99">
        <v>3.825</v>
      </c>
      <c r="L231" s="99">
        <v>3.825</v>
      </c>
      <c r="M231" s="99">
        <v>3.825</v>
      </c>
      <c r="N231" s="99">
        <v>3.825</v>
      </c>
      <c r="O231" s="99">
        <v>3.825</v>
      </c>
      <c r="P231" s="99">
        <v>3.825</v>
      </c>
      <c r="Q231" s="99">
        <v>3.825</v>
      </c>
      <c r="R231" s="99">
        <v>3.825</v>
      </c>
    </row>
    <row r="232" ht="12.75" hidden="1" customHeight="1" outlineLevel="1">
      <c r="A232" s="90"/>
      <c r="B232" s="90"/>
      <c r="C232" s="90"/>
      <c r="D232" s="90" t="s">
        <v>769</v>
      </c>
      <c r="E232" s="90"/>
      <c r="F232" s="90"/>
      <c r="G232" s="99" t="str">
        <f>'RS3'!J231</f>
        <v/>
      </c>
      <c r="H232" s="99">
        <v>0.0</v>
      </c>
      <c r="I232" s="99">
        <v>52.0</v>
      </c>
      <c r="J232" s="99">
        <v>52.0</v>
      </c>
      <c r="K232" s="99">
        <v>52.0</v>
      </c>
      <c r="L232" s="99">
        <v>52.0</v>
      </c>
      <c r="M232" s="99">
        <v>52.0</v>
      </c>
      <c r="N232" s="99">
        <v>52.0</v>
      </c>
      <c r="O232" s="99">
        <v>52.0</v>
      </c>
      <c r="P232" s="99">
        <v>52.0</v>
      </c>
      <c r="Q232" s="99">
        <v>52.0</v>
      </c>
      <c r="R232" s="99">
        <v>52.0</v>
      </c>
    </row>
    <row r="233" ht="12.75" hidden="1" customHeight="1" outlineLevel="1">
      <c r="A233" s="90"/>
      <c r="B233" s="90"/>
      <c r="C233" s="90"/>
      <c r="D233" s="90" t="s">
        <v>770</v>
      </c>
      <c r="E233" s="90"/>
      <c r="F233" s="90"/>
      <c r="G233" s="99" t="str">
        <f>'RS3'!J232</f>
        <v/>
      </c>
      <c r="H233" s="99">
        <v>0.0</v>
      </c>
      <c r="I233" s="99">
        <v>9.5625</v>
      </c>
      <c r="J233" s="99">
        <v>9.5625</v>
      </c>
      <c r="K233" s="99">
        <v>9.5625</v>
      </c>
      <c r="L233" s="99">
        <v>9.5625</v>
      </c>
      <c r="M233" s="99">
        <v>9.5625</v>
      </c>
      <c r="N233" s="99">
        <v>9.5625</v>
      </c>
      <c r="O233" s="99">
        <v>9.5625</v>
      </c>
      <c r="P233" s="99">
        <v>9.5625</v>
      </c>
      <c r="Q233" s="99">
        <v>9.5625</v>
      </c>
      <c r="R233" s="99">
        <v>9.5625</v>
      </c>
    </row>
    <row r="234" ht="12.75" hidden="1" customHeight="1" outlineLevel="1">
      <c r="A234" s="90"/>
      <c r="B234" s="90"/>
      <c r="C234" s="90"/>
      <c r="D234" s="90" t="s">
        <v>771</v>
      </c>
      <c r="E234" s="90"/>
      <c r="F234" s="90"/>
      <c r="G234" s="99" t="str">
        <f>'RS3'!J233</f>
        <v/>
      </c>
      <c r="H234" s="99">
        <v>0.0</v>
      </c>
      <c r="I234" s="99">
        <v>3.1875</v>
      </c>
      <c r="J234" s="99">
        <v>3.1875</v>
      </c>
      <c r="K234" s="99">
        <v>3.1875</v>
      </c>
      <c r="L234" s="99">
        <v>3.1875</v>
      </c>
      <c r="M234" s="99">
        <v>3.1875</v>
      </c>
      <c r="N234" s="99">
        <v>3.1875</v>
      </c>
      <c r="O234" s="99">
        <v>3.1875</v>
      </c>
      <c r="P234" s="99">
        <v>3.1875</v>
      </c>
      <c r="Q234" s="99">
        <v>3.1875</v>
      </c>
      <c r="R234" s="99">
        <v>3.1875</v>
      </c>
    </row>
    <row r="235" ht="12.75" hidden="1" customHeight="1" outlineLevel="1">
      <c r="A235" s="90"/>
      <c r="B235" s="90"/>
      <c r="C235" s="90"/>
      <c r="D235" s="90" t="s">
        <v>772</v>
      </c>
      <c r="E235" s="90"/>
      <c r="F235" s="90"/>
      <c r="G235" s="99"/>
      <c r="H235" s="99"/>
      <c r="I235" s="99"/>
      <c r="J235" s="99"/>
      <c r="K235" s="99"/>
      <c r="L235" s="99"/>
      <c r="M235" s="99"/>
      <c r="N235" s="99"/>
      <c r="O235" s="99"/>
      <c r="P235" s="99"/>
      <c r="Q235" s="99"/>
      <c r="R235" s="99"/>
    </row>
    <row r="236" ht="12.75" hidden="1" customHeight="1" outlineLevel="1">
      <c r="A236" s="90"/>
      <c r="B236" s="90"/>
      <c r="C236" s="90"/>
      <c r="D236" s="90" t="s">
        <v>773</v>
      </c>
      <c r="E236" s="90"/>
      <c r="F236" s="90"/>
      <c r="G236" s="99" t="str">
        <f>'RS3'!J235</f>
        <v/>
      </c>
      <c r="H236" s="99">
        <v>0.0</v>
      </c>
      <c r="I236" s="99">
        <v>5.0</v>
      </c>
      <c r="J236" s="99">
        <v>5.0</v>
      </c>
      <c r="K236" s="99">
        <v>5.0</v>
      </c>
      <c r="L236" s="99">
        <v>5.0</v>
      </c>
      <c r="M236" s="99">
        <v>5.0</v>
      </c>
      <c r="N236" s="99">
        <v>5.0</v>
      </c>
      <c r="O236" s="99">
        <v>5.0</v>
      </c>
      <c r="P236" s="99">
        <v>5.0</v>
      </c>
      <c r="Q236" s="99">
        <v>5.0</v>
      </c>
      <c r="R236" s="99">
        <v>5.0</v>
      </c>
    </row>
    <row r="237" ht="12.75" hidden="1" customHeight="1" outlineLevel="1">
      <c r="A237" s="90"/>
      <c r="B237" s="90"/>
      <c r="C237" s="90"/>
      <c r="D237" s="90" t="s">
        <v>774</v>
      </c>
      <c r="E237" s="90"/>
      <c r="F237" s="90"/>
      <c r="G237" s="99"/>
      <c r="H237" s="99"/>
      <c r="I237" s="99"/>
      <c r="J237" s="99"/>
      <c r="K237" s="99"/>
      <c r="L237" s="99"/>
      <c r="M237" s="99"/>
      <c r="N237" s="99"/>
      <c r="O237" s="99"/>
      <c r="P237" s="99"/>
      <c r="Q237" s="99"/>
      <c r="R237" s="99"/>
    </row>
    <row r="238" ht="12.75" hidden="1" customHeight="1" outlineLevel="1">
      <c r="A238" s="90"/>
      <c r="B238" s="90"/>
      <c r="C238" s="90"/>
      <c r="D238" s="90"/>
      <c r="E238" s="90"/>
      <c r="F238" s="90"/>
      <c r="G238" s="99"/>
      <c r="H238" s="99"/>
      <c r="I238" s="99"/>
      <c r="J238" s="99"/>
      <c r="K238" s="99"/>
      <c r="L238" s="99"/>
      <c r="M238" s="99"/>
      <c r="N238" s="99"/>
      <c r="O238" s="99"/>
      <c r="P238" s="99"/>
      <c r="Q238" s="99"/>
      <c r="R238" s="99"/>
    </row>
    <row r="239" ht="12.75" hidden="1" customHeight="1" outlineLevel="1">
      <c r="A239" s="90"/>
      <c r="B239" s="67" t="s">
        <v>775</v>
      </c>
      <c r="C239" s="90"/>
      <c r="D239" s="90"/>
      <c r="E239" s="90"/>
      <c r="F239" s="90"/>
      <c r="G239" s="99" t="str">
        <f>'RS3'!J238</f>
        <v/>
      </c>
      <c r="H239" s="99">
        <f>'RS3'!K238</f>
        <v>0</v>
      </c>
      <c r="I239" s="99">
        <f>'RS3'!L238</f>
        <v>0</v>
      </c>
      <c r="J239" s="99">
        <f>'RS3'!M238</f>
        <v>0</v>
      </c>
      <c r="K239" s="99">
        <f>'RS3'!N238</f>
        <v>0</v>
      </c>
      <c r="L239" s="99">
        <f>'RS3'!O238</f>
        <v>0</v>
      </c>
      <c r="M239" s="99">
        <f>'RS3'!P238</f>
        <v>0</v>
      </c>
      <c r="N239" s="99">
        <f>'RS3'!Q238</f>
        <v>0</v>
      </c>
      <c r="O239" s="99">
        <f>'RS3'!R238</f>
        <v>0</v>
      </c>
      <c r="P239" s="99">
        <f>'RS3'!S238</f>
        <v>0</v>
      </c>
      <c r="Q239" s="99">
        <f>'RS3'!T238</f>
        <v>0</v>
      </c>
      <c r="R239" s="99">
        <f>'RS3'!U238</f>
        <v>0</v>
      </c>
    </row>
    <row r="240" ht="12.75" hidden="1" customHeight="1" outlineLevel="1">
      <c r="A240" s="90"/>
      <c r="B240" s="90"/>
      <c r="C240" s="90"/>
      <c r="D240" s="90"/>
      <c r="E240" s="90"/>
      <c r="F240" s="90"/>
      <c r="G240" s="99"/>
      <c r="H240" s="99"/>
      <c r="I240" s="99"/>
      <c r="J240" s="99"/>
      <c r="K240" s="99"/>
      <c r="L240" s="99"/>
      <c r="M240" s="99"/>
      <c r="N240" s="99"/>
      <c r="O240" s="99"/>
      <c r="P240" s="99"/>
      <c r="Q240" s="99"/>
      <c r="R240" s="99"/>
    </row>
    <row r="241" ht="12.75" hidden="1" customHeight="1" outlineLevel="1">
      <c r="A241" s="90"/>
      <c r="B241" s="67" t="s">
        <v>555</v>
      </c>
      <c r="C241" s="90"/>
      <c r="D241" s="90"/>
      <c r="E241" s="90"/>
      <c r="F241" s="90"/>
      <c r="G241" s="90"/>
      <c r="H241" s="90"/>
      <c r="I241" s="90"/>
      <c r="J241" s="90"/>
      <c r="K241" s="90"/>
      <c r="L241" s="90"/>
      <c r="M241" s="90"/>
      <c r="N241" s="90"/>
      <c r="O241" s="90"/>
      <c r="P241" s="90"/>
      <c r="Q241" s="90"/>
      <c r="R241" s="90"/>
    </row>
    <row r="242" ht="12.75" hidden="1" customHeight="1" outlineLevel="1">
      <c r="A242" s="90"/>
      <c r="B242" s="67"/>
      <c r="C242" s="90" t="s">
        <v>776</v>
      </c>
      <c r="D242" s="90"/>
      <c r="E242" s="90"/>
      <c r="F242" s="90"/>
      <c r="G242" s="90"/>
      <c r="H242" s="90"/>
      <c r="I242" s="90"/>
      <c r="J242" s="90"/>
      <c r="K242" s="90"/>
      <c r="L242" s="90"/>
      <c r="M242" s="90"/>
      <c r="N242" s="90"/>
      <c r="O242" s="90"/>
      <c r="P242" s="90"/>
      <c r="Q242" s="90"/>
      <c r="R242" s="90"/>
    </row>
    <row r="243" ht="12.75" hidden="1" customHeight="1" outlineLevel="1">
      <c r="A243" s="90"/>
      <c r="B243" s="90"/>
      <c r="C243" s="90"/>
      <c r="D243" s="90" t="s">
        <v>182</v>
      </c>
      <c r="E243" s="90"/>
      <c r="F243" s="90"/>
      <c r="G243" s="302">
        <f>Assumptions!D63</f>
        <v>0.2</v>
      </c>
      <c r="H243" s="302">
        <f>Assumptions!E63</f>
        <v>0.12</v>
      </c>
      <c r="I243" s="302">
        <f>Assumptions!F63</f>
        <v>0.12</v>
      </c>
      <c r="J243" s="302">
        <f>Assumptions!G63</f>
        <v>0.12</v>
      </c>
      <c r="K243" s="302">
        <f>Assumptions!H63</f>
        <v>0.12</v>
      </c>
      <c r="L243" s="302">
        <f>Assumptions!I63</f>
        <v>0.12</v>
      </c>
      <c r="M243" s="302">
        <f>Assumptions!J63</f>
        <v>0.12</v>
      </c>
      <c r="N243" s="185">
        <f>Assumptions!K63</f>
        <v>0.12</v>
      </c>
      <c r="O243" s="185">
        <f>Assumptions!L63</f>
        <v>0.12</v>
      </c>
      <c r="P243" s="185">
        <f>Assumptions!M63</f>
        <v>0.12</v>
      </c>
      <c r="Q243" s="185">
        <f t="shared" ref="Q243:R243" si="98">P243</f>
        <v>0.12</v>
      </c>
      <c r="R243" s="185">
        <f t="shared" si="98"/>
        <v>0.12</v>
      </c>
    </row>
    <row r="244" ht="12.75" hidden="1" customHeight="1" outlineLevel="1">
      <c r="A244" s="90"/>
      <c r="B244" s="90"/>
      <c r="C244" s="90"/>
      <c r="D244" s="90" t="s">
        <v>183</v>
      </c>
      <c r="E244" s="90"/>
      <c r="F244" s="90"/>
      <c r="G244" s="302">
        <f>Assumptions!D64</f>
        <v>0</v>
      </c>
      <c r="H244" s="302">
        <f>Assumptions!E64</f>
        <v>0</v>
      </c>
      <c r="I244" s="302">
        <f>Assumptions!F64</f>
        <v>0.2</v>
      </c>
      <c r="J244" s="302">
        <f>Assumptions!G64</f>
        <v>0.2</v>
      </c>
      <c r="K244" s="302">
        <f>Assumptions!H64</f>
        <v>0.2</v>
      </c>
      <c r="L244" s="302">
        <f>Assumptions!I64</f>
        <v>0.2</v>
      </c>
      <c r="M244" s="302">
        <f>Assumptions!J64</f>
        <v>0.2</v>
      </c>
      <c r="N244" s="185">
        <f>Assumptions!K64</f>
        <v>0.2</v>
      </c>
      <c r="O244" s="185">
        <f>Assumptions!L64</f>
        <v>0.2</v>
      </c>
      <c r="P244" s="185">
        <f>Assumptions!M64</f>
        <v>0.2</v>
      </c>
      <c r="Q244" s="185">
        <f t="shared" ref="Q244:R244" si="99">P244</f>
        <v>0.2</v>
      </c>
      <c r="R244" s="185">
        <f t="shared" si="99"/>
        <v>0.2</v>
      </c>
    </row>
    <row r="245" ht="12.75" hidden="1" customHeight="1" outlineLevel="1">
      <c r="A245" s="90"/>
      <c r="B245" s="90"/>
      <c r="C245" s="90"/>
      <c r="D245" s="90" t="s">
        <v>184</v>
      </c>
      <c r="E245" s="90"/>
      <c r="F245" s="90"/>
      <c r="G245" s="302">
        <f>Assumptions!D65</f>
        <v>0.05</v>
      </c>
      <c r="H245" s="302">
        <f>Assumptions!E65</f>
        <v>0.03</v>
      </c>
      <c r="I245" s="302">
        <f>Assumptions!F65</f>
        <v>0.03</v>
      </c>
      <c r="J245" s="302">
        <f>Assumptions!G65</f>
        <v>0.03</v>
      </c>
      <c r="K245" s="302">
        <f>Assumptions!H65</f>
        <v>0.03</v>
      </c>
      <c r="L245" s="302">
        <f>Assumptions!I65</f>
        <v>0.03</v>
      </c>
      <c r="M245" s="302">
        <f>Assumptions!J65</f>
        <v>0.03</v>
      </c>
      <c r="N245" s="185">
        <f>Assumptions!K65</f>
        <v>0.03</v>
      </c>
      <c r="O245" s="185">
        <f>Assumptions!L65</f>
        <v>0.03</v>
      </c>
      <c r="P245" s="185">
        <f>Assumptions!M65</f>
        <v>0.03</v>
      </c>
      <c r="Q245" s="185">
        <f t="shared" ref="Q245:R245" si="100">P245</f>
        <v>0.03</v>
      </c>
      <c r="R245" s="185">
        <f t="shared" si="100"/>
        <v>0.03</v>
      </c>
    </row>
    <row r="246" ht="12.75" hidden="1" customHeight="1" outlineLevel="1">
      <c r="A246" s="90"/>
      <c r="B246" s="90"/>
      <c r="C246" s="148" t="s">
        <v>777</v>
      </c>
      <c r="D246" s="148"/>
      <c r="E246" s="148"/>
      <c r="F246" s="148"/>
      <c r="G246" s="375">
        <f t="shared" ref="G246:R246" si="101">SUM(G243:G245)</f>
        <v>0.25</v>
      </c>
      <c r="H246" s="375">
        <f t="shared" si="101"/>
        <v>0.15</v>
      </c>
      <c r="I246" s="375">
        <f t="shared" si="101"/>
        <v>0.35</v>
      </c>
      <c r="J246" s="375">
        <f t="shared" si="101"/>
        <v>0.35</v>
      </c>
      <c r="K246" s="375">
        <f t="shared" si="101"/>
        <v>0.35</v>
      </c>
      <c r="L246" s="375">
        <f t="shared" si="101"/>
        <v>0.35</v>
      </c>
      <c r="M246" s="375">
        <f t="shared" si="101"/>
        <v>0.35</v>
      </c>
      <c r="N246" s="375">
        <f t="shared" si="101"/>
        <v>0.35</v>
      </c>
      <c r="O246" s="375">
        <f t="shared" si="101"/>
        <v>0.35</v>
      </c>
      <c r="P246" s="375">
        <f t="shared" si="101"/>
        <v>0.35</v>
      </c>
      <c r="Q246" s="375">
        <f t="shared" si="101"/>
        <v>0.35</v>
      </c>
      <c r="R246" s="375">
        <f t="shared" si="101"/>
        <v>0.35</v>
      </c>
    </row>
    <row r="247" ht="12.75" hidden="1" customHeight="1" outlineLevel="1">
      <c r="A247" s="90"/>
      <c r="B247" s="90"/>
      <c r="C247" s="90"/>
      <c r="D247" s="90"/>
      <c r="E247" s="90"/>
      <c r="F247" s="90"/>
      <c r="G247" s="152"/>
      <c r="H247" s="152"/>
      <c r="I247" s="152"/>
      <c r="J247" s="152"/>
      <c r="K247" s="152"/>
      <c r="L247" s="152"/>
      <c r="M247" s="152"/>
      <c r="N247" s="152"/>
      <c r="O247" s="152"/>
      <c r="P247" s="152"/>
      <c r="Q247" s="152"/>
      <c r="R247" s="152"/>
    </row>
    <row r="248" ht="12.75" hidden="1" customHeight="1" outlineLevel="1">
      <c r="A248" s="90"/>
      <c r="B248" s="90"/>
      <c r="C248" s="90" t="s">
        <v>778</v>
      </c>
      <c r="D248" s="90"/>
      <c r="E248" s="90"/>
      <c r="F248" s="90"/>
      <c r="G248" s="152">
        <v>0.0</v>
      </c>
      <c r="H248" s="152">
        <v>0.0</v>
      </c>
      <c r="I248" s="152">
        <v>0.0</v>
      </c>
      <c r="J248" s="152">
        <v>0.0</v>
      </c>
      <c r="K248" s="152">
        <v>0.0</v>
      </c>
      <c r="L248" s="152">
        <v>0.0</v>
      </c>
      <c r="M248" s="152">
        <v>0.0</v>
      </c>
      <c r="N248" s="152">
        <v>0.0</v>
      </c>
      <c r="O248" s="152">
        <v>0.0</v>
      </c>
      <c r="P248" s="152">
        <v>0.0</v>
      </c>
      <c r="Q248" s="152">
        <v>0.0</v>
      </c>
      <c r="R248" s="152">
        <v>0.0</v>
      </c>
    </row>
    <row r="249" ht="12.75" hidden="1" customHeight="1" outlineLevel="1">
      <c r="A249" s="90"/>
      <c r="B249" s="90"/>
      <c r="C249" s="90" t="s">
        <v>779</v>
      </c>
      <c r="D249" s="90"/>
      <c r="E249" s="90"/>
      <c r="F249" s="90"/>
      <c r="G249" s="152">
        <v>0.0</v>
      </c>
      <c r="H249" s="152">
        <v>0.01</v>
      </c>
      <c r="I249" s="152">
        <v>0.01</v>
      </c>
      <c r="J249" s="152">
        <v>0.01</v>
      </c>
      <c r="K249" s="152">
        <v>0.01</v>
      </c>
      <c r="L249" s="152">
        <v>0.01</v>
      </c>
      <c r="M249" s="152">
        <v>0.01</v>
      </c>
      <c r="N249" s="152">
        <v>0.01</v>
      </c>
      <c r="O249" s="152">
        <v>0.01</v>
      </c>
      <c r="P249" s="152">
        <v>0.01</v>
      </c>
      <c r="Q249" s="152">
        <v>0.01</v>
      </c>
      <c r="R249" s="152">
        <v>0.01</v>
      </c>
    </row>
    <row r="250" ht="12.75" hidden="1" customHeight="1" outlineLevel="1">
      <c r="A250" s="90"/>
      <c r="B250" s="90"/>
      <c r="C250" s="90" t="s">
        <v>780</v>
      </c>
      <c r="D250" s="90"/>
      <c r="E250" s="90"/>
      <c r="F250" s="90"/>
      <c r="G250" s="152">
        <v>0.0</v>
      </c>
      <c r="H250" s="152">
        <v>0.04</v>
      </c>
      <c r="I250" s="152">
        <v>0.04</v>
      </c>
      <c r="J250" s="152">
        <v>0.04</v>
      </c>
      <c r="K250" s="152">
        <v>0.04</v>
      </c>
      <c r="L250" s="152">
        <v>0.04</v>
      </c>
      <c r="M250" s="152">
        <v>0.04</v>
      </c>
      <c r="N250" s="152">
        <v>0.04</v>
      </c>
      <c r="O250" s="152">
        <v>0.04</v>
      </c>
      <c r="P250" s="152">
        <v>0.04</v>
      </c>
      <c r="Q250" s="152">
        <v>0.04</v>
      </c>
      <c r="R250" s="152">
        <v>0.04</v>
      </c>
    </row>
    <row r="251" ht="12.75" hidden="1" customHeight="1" outlineLevel="1">
      <c r="A251" s="90"/>
      <c r="B251" s="90"/>
      <c r="C251" s="90"/>
      <c r="D251" s="90" t="s">
        <v>781</v>
      </c>
      <c r="E251" s="90"/>
      <c r="F251" s="90"/>
      <c r="G251" s="99">
        <v>0.0</v>
      </c>
      <c r="H251" s="99">
        <v>250000.0</v>
      </c>
      <c r="I251" s="99">
        <v>0.0</v>
      </c>
      <c r="J251" s="99">
        <v>0.0</v>
      </c>
      <c r="K251" s="99">
        <v>0.0</v>
      </c>
      <c r="L251" s="99">
        <v>0.0</v>
      </c>
      <c r="M251" s="99">
        <v>0.0</v>
      </c>
      <c r="N251" s="99">
        <v>0.0</v>
      </c>
      <c r="O251" s="99">
        <v>0.0</v>
      </c>
      <c r="P251" s="99">
        <v>0.0</v>
      </c>
      <c r="Q251" s="99">
        <v>0.0</v>
      </c>
      <c r="R251" s="99">
        <v>0.0</v>
      </c>
    </row>
    <row r="252" ht="12.75" hidden="1" customHeight="1" outlineLevel="1">
      <c r="A252" s="90"/>
      <c r="B252" s="90"/>
      <c r="C252" s="90" t="s">
        <v>782</v>
      </c>
      <c r="D252" s="90"/>
      <c r="E252" s="90"/>
      <c r="F252" s="90"/>
      <c r="G252" s="152">
        <v>0.0</v>
      </c>
      <c r="H252" s="152">
        <v>0.04</v>
      </c>
      <c r="I252" s="152">
        <v>0.04</v>
      </c>
      <c r="J252" s="152">
        <v>0.04</v>
      </c>
      <c r="K252" s="152">
        <v>0.04</v>
      </c>
      <c r="L252" s="152">
        <v>0.04</v>
      </c>
      <c r="M252" s="152">
        <v>0.04</v>
      </c>
      <c r="N252" s="152">
        <v>0.04</v>
      </c>
      <c r="O252" s="152">
        <v>0.04</v>
      </c>
      <c r="P252" s="152">
        <v>0.04</v>
      </c>
      <c r="Q252" s="152">
        <v>0.04</v>
      </c>
      <c r="R252" s="152">
        <v>0.04</v>
      </c>
    </row>
    <row r="253" ht="12.75" hidden="1" customHeight="1" outlineLevel="1">
      <c r="A253" s="90"/>
      <c r="B253" s="90"/>
      <c r="C253" s="90" t="s">
        <v>783</v>
      </c>
      <c r="D253" s="90"/>
      <c r="E253" s="90"/>
      <c r="F253" s="90"/>
      <c r="G253" s="152">
        <v>0.0</v>
      </c>
      <c r="H253" s="152">
        <v>0.05</v>
      </c>
      <c r="I253" s="152">
        <v>0.04</v>
      </c>
      <c r="J253" s="152">
        <v>0.04</v>
      </c>
      <c r="K253" s="152">
        <v>0.04</v>
      </c>
      <c r="L253" s="152">
        <v>0.04</v>
      </c>
      <c r="M253" s="152">
        <v>0.04</v>
      </c>
      <c r="N253" s="152">
        <v>0.04</v>
      </c>
      <c r="O253" s="152">
        <v>0.04</v>
      </c>
      <c r="P253" s="152">
        <v>0.04</v>
      </c>
      <c r="Q253" s="152">
        <v>0.04</v>
      </c>
      <c r="R253" s="152">
        <v>0.04</v>
      </c>
    </row>
    <row r="254" ht="12.75" hidden="1" customHeight="1" outlineLevel="1">
      <c r="A254" s="90"/>
      <c r="B254" s="90"/>
      <c r="C254" s="90" t="s">
        <v>784</v>
      </c>
      <c r="D254" s="90"/>
      <c r="E254" s="90"/>
      <c r="F254" s="90"/>
      <c r="G254" s="152">
        <v>0.0</v>
      </c>
      <c r="H254" s="152">
        <v>0.01</v>
      </c>
      <c r="I254" s="152">
        <v>0.01</v>
      </c>
      <c r="J254" s="152">
        <v>0.01</v>
      </c>
      <c r="K254" s="152">
        <v>0.01</v>
      </c>
      <c r="L254" s="152">
        <v>0.01</v>
      </c>
      <c r="M254" s="152">
        <v>0.01</v>
      </c>
      <c r="N254" s="152">
        <v>0.01</v>
      </c>
      <c r="O254" s="152">
        <v>0.01</v>
      </c>
      <c r="P254" s="152">
        <v>0.01</v>
      </c>
      <c r="Q254" s="152">
        <v>0.01</v>
      </c>
      <c r="R254" s="152">
        <v>0.01</v>
      </c>
    </row>
    <row r="255" ht="12.75" hidden="1" customHeight="1" outlineLevel="1">
      <c r="A255" s="90"/>
      <c r="B255" s="90"/>
      <c r="C255" s="90"/>
      <c r="D255" s="90"/>
      <c r="E255" s="90"/>
      <c r="F255" s="90"/>
      <c r="G255" s="152"/>
      <c r="H255" s="152"/>
      <c r="I255" s="152"/>
      <c r="J255" s="152"/>
      <c r="K255" s="152"/>
      <c r="L255" s="152"/>
      <c r="M255" s="152"/>
      <c r="N255" s="152"/>
      <c r="O255" s="152"/>
      <c r="P255" s="152"/>
      <c r="Q255" s="152"/>
      <c r="R255" s="152"/>
    </row>
    <row r="256" ht="12.75" customHeight="1">
      <c r="A256" s="90"/>
      <c r="B256" s="90"/>
      <c r="C256" s="90"/>
      <c r="D256" s="90"/>
      <c r="E256" s="90"/>
      <c r="F256" s="90"/>
      <c r="G256" s="90"/>
      <c r="H256" s="90"/>
      <c r="I256" s="90"/>
      <c r="J256" s="90"/>
      <c r="K256" s="90"/>
      <c r="L256" s="90"/>
      <c r="M256" s="90"/>
      <c r="N256" s="90"/>
      <c r="O256" s="90"/>
      <c r="P256" s="90"/>
      <c r="Q256" s="90"/>
      <c r="R256" s="90"/>
    </row>
    <row r="257" ht="12.75" customHeight="1">
      <c r="A257" s="106" t="s">
        <v>539</v>
      </c>
      <c r="B257" s="253"/>
      <c r="C257" s="253"/>
      <c r="D257" s="253"/>
      <c r="E257" s="253"/>
      <c r="F257" s="253"/>
      <c r="G257" s="253"/>
      <c r="H257" s="253"/>
      <c r="I257" s="253"/>
      <c r="J257" s="253"/>
      <c r="K257" s="253"/>
      <c r="L257" s="253"/>
      <c r="M257" s="253"/>
      <c r="N257" s="253"/>
      <c r="O257" s="253"/>
      <c r="P257" s="253"/>
      <c r="Q257" s="253"/>
      <c r="R257" s="253"/>
    </row>
    <row r="258" ht="12.75" customHeight="1" outlineLevel="1">
      <c r="A258" s="67"/>
      <c r="B258" s="90"/>
      <c r="C258" s="90"/>
      <c r="D258" s="90"/>
      <c r="E258" s="90"/>
      <c r="F258" s="90"/>
      <c r="G258" s="90"/>
      <c r="H258" s="90"/>
      <c r="I258" s="90"/>
      <c r="J258" s="90"/>
      <c r="K258" s="90"/>
      <c r="L258" s="90"/>
      <c r="M258" s="90"/>
      <c r="N258" s="90"/>
      <c r="O258" s="90"/>
      <c r="P258" s="90"/>
      <c r="Q258" s="90"/>
      <c r="R258" s="90"/>
    </row>
    <row r="259" ht="12.75" customHeight="1" outlineLevel="1">
      <c r="A259" s="67" t="s">
        <v>275</v>
      </c>
      <c r="B259" s="90"/>
      <c r="C259" s="90"/>
      <c r="D259" s="90"/>
      <c r="E259" s="90"/>
      <c r="F259" s="90"/>
      <c r="G259" s="90"/>
      <c r="H259" s="90"/>
      <c r="I259" s="90"/>
      <c r="J259" s="90"/>
      <c r="K259" s="90"/>
      <c r="L259" s="90"/>
      <c r="M259" s="90"/>
      <c r="N259" s="90"/>
      <c r="O259" s="90"/>
      <c r="P259" s="90"/>
      <c r="Q259" s="90"/>
      <c r="R259" s="90"/>
    </row>
    <row r="260" ht="12.75" customHeight="1" outlineLevel="1">
      <c r="A260" s="90"/>
      <c r="B260" s="67" t="s">
        <v>544</v>
      </c>
      <c r="C260" s="90"/>
      <c r="D260" s="90"/>
      <c r="E260" s="90"/>
      <c r="F260" s="90"/>
      <c r="G260" s="152"/>
      <c r="H260" s="152"/>
      <c r="I260" s="152"/>
      <c r="J260" s="152"/>
      <c r="K260" s="152"/>
      <c r="L260" s="152"/>
      <c r="M260" s="152"/>
      <c r="N260" s="90"/>
      <c r="O260" s="90"/>
      <c r="P260" s="90"/>
      <c r="Q260" s="90"/>
      <c r="R260" s="90"/>
    </row>
    <row r="261" ht="12.75" customHeight="1" outlineLevel="1">
      <c r="A261" s="90"/>
      <c r="B261" s="90"/>
      <c r="C261" s="90" t="s">
        <v>785</v>
      </c>
      <c r="D261" s="90"/>
      <c r="E261" s="90"/>
      <c r="F261" s="90"/>
      <c r="G261" s="99">
        <f t="shared" ref="G261:R261" si="102">G91*G54+G92*G55</f>
        <v>0</v>
      </c>
      <c r="H261" s="99">
        <f t="shared" si="102"/>
        <v>0</v>
      </c>
      <c r="I261" s="99">
        <f t="shared" si="102"/>
        <v>1798056.96</v>
      </c>
      <c r="J261" s="99">
        <f t="shared" si="102"/>
        <v>2133634.56</v>
      </c>
      <c r="K261" s="99">
        <f t="shared" si="102"/>
        <v>2303419.2</v>
      </c>
      <c r="L261" s="99">
        <f t="shared" si="102"/>
        <v>2303419.2</v>
      </c>
      <c r="M261" s="99">
        <f t="shared" si="102"/>
        <v>2303419.2</v>
      </c>
      <c r="N261" s="99">
        <f t="shared" si="102"/>
        <v>2303419.2</v>
      </c>
      <c r="O261" s="99">
        <f t="shared" si="102"/>
        <v>2303419.2</v>
      </c>
      <c r="P261" s="99">
        <f t="shared" si="102"/>
        <v>2303419.2</v>
      </c>
      <c r="Q261" s="99">
        <f t="shared" si="102"/>
        <v>2303419.2</v>
      </c>
      <c r="R261" s="99">
        <f t="shared" si="102"/>
        <v>2303419.2</v>
      </c>
    </row>
    <row r="262" ht="12.75" customHeight="1" outlineLevel="1">
      <c r="A262" s="90"/>
      <c r="B262" s="90"/>
      <c r="C262" s="90" t="s">
        <v>669</v>
      </c>
      <c r="D262" s="90"/>
      <c r="E262" s="90"/>
      <c r="F262" s="90"/>
      <c r="G262" s="99">
        <f t="shared" ref="G262:R262" si="103">G93*G56</f>
        <v>0</v>
      </c>
      <c r="H262" s="99">
        <f t="shared" si="103"/>
        <v>0</v>
      </c>
      <c r="I262" s="99">
        <f t="shared" si="103"/>
        <v>150904.32</v>
      </c>
      <c r="J262" s="99">
        <f t="shared" si="103"/>
        <v>178621.44</v>
      </c>
      <c r="K262" s="99">
        <f t="shared" si="103"/>
        <v>192480</v>
      </c>
      <c r="L262" s="99">
        <f t="shared" si="103"/>
        <v>192480</v>
      </c>
      <c r="M262" s="99">
        <f t="shared" si="103"/>
        <v>192480</v>
      </c>
      <c r="N262" s="99">
        <f t="shared" si="103"/>
        <v>192480</v>
      </c>
      <c r="O262" s="99">
        <f t="shared" si="103"/>
        <v>192480</v>
      </c>
      <c r="P262" s="99">
        <f t="shared" si="103"/>
        <v>192480</v>
      </c>
      <c r="Q262" s="99">
        <f t="shared" si="103"/>
        <v>192480</v>
      </c>
      <c r="R262" s="99">
        <f t="shared" si="103"/>
        <v>192480</v>
      </c>
    </row>
    <row r="263" ht="12.75" customHeight="1" outlineLevel="1">
      <c r="A263" s="90"/>
      <c r="B263" s="90"/>
      <c r="C263" s="90" t="s">
        <v>670</v>
      </c>
      <c r="D263" s="90"/>
      <c r="E263" s="90"/>
      <c r="F263" s="90"/>
      <c r="G263" s="99">
        <f t="shared" ref="G263:R263" si="104">G77*G94</f>
        <v>0</v>
      </c>
      <c r="H263" s="99">
        <f t="shared" si="104"/>
        <v>0</v>
      </c>
      <c r="I263" s="99">
        <f t="shared" si="104"/>
        <v>193026</v>
      </c>
      <c r="J263" s="99">
        <f t="shared" si="104"/>
        <v>193026</v>
      </c>
      <c r="K263" s="99">
        <f t="shared" si="104"/>
        <v>221328</v>
      </c>
      <c r="L263" s="99">
        <f t="shared" si="104"/>
        <v>230232</v>
      </c>
      <c r="M263" s="99">
        <f t="shared" si="104"/>
        <v>222600</v>
      </c>
      <c r="N263" s="99">
        <f t="shared" si="104"/>
        <v>215604</v>
      </c>
      <c r="O263" s="99">
        <f t="shared" si="104"/>
        <v>208926</v>
      </c>
      <c r="P263" s="99">
        <f t="shared" si="104"/>
        <v>202248</v>
      </c>
      <c r="Q263" s="99">
        <f t="shared" si="104"/>
        <v>198750</v>
      </c>
      <c r="R263" s="99">
        <f t="shared" si="104"/>
        <v>198750</v>
      </c>
    </row>
    <row r="264" ht="12.75" customHeight="1" outlineLevel="1">
      <c r="A264" s="90"/>
      <c r="B264" s="90"/>
      <c r="C264" s="90" t="s">
        <v>671</v>
      </c>
      <c r="D264" s="90"/>
      <c r="E264" s="90"/>
      <c r="F264" s="90"/>
      <c r="G264" s="99">
        <f t="shared" ref="G264:H264" si="105">G95*G54</f>
        <v>0</v>
      </c>
      <c r="H264" s="99">
        <f t="shared" si="105"/>
        <v>0</v>
      </c>
      <c r="I264" s="99">
        <v>0.0</v>
      </c>
      <c r="J264" s="99">
        <v>0.0</v>
      </c>
      <c r="K264" s="99">
        <v>0.0</v>
      </c>
      <c r="L264" s="99">
        <f t="shared" ref="L264:R264" si="106">L95*L54</f>
        <v>0</v>
      </c>
      <c r="M264" s="99">
        <f t="shared" si="106"/>
        <v>0</v>
      </c>
      <c r="N264" s="99">
        <f t="shared" si="106"/>
        <v>0</v>
      </c>
      <c r="O264" s="99">
        <f t="shared" si="106"/>
        <v>0</v>
      </c>
      <c r="P264" s="99">
        <f t="shared" si="106"/>
        <v>0</v>
      </c>
      <c r="Q264" s="99">
        <f t="shared" si="106"/>
        <v>0</v>
      </c>
      <c r="R264" s="99">
        <f t="shared" si="106"/>
        <v>0</v>
      </c>
    </row>
    <row r="265" ht="12.75" customHeight="1" outlineLevel="1">
      <c r="A265" s="90"/>
      <c r="B265" s="90"/>
      <c r="C265" s="90" t="s">
        <v>676</v>
      </c>
      <c r="D265" s="90"/>
      <c r="E265" s="90"/>
      <c r="F265" s="90"/>
      <c r="G265" s="99">
        <f t="shared" ref="G265:R265" si="107">G85*G100</f>
        <v>0</v>
      </c>
      <c r="H265" s="99">
        <f t="shared" si="107"/>
        <v>0</v>
      </c>
      <c r="I265" s="99">
        <f t="shared" si="107"/>
        <v>0</v>
      </c>
      <c r="J265" s="99">
        <f t="shared" si="107"/>
        <v>0</v>
      </c>
      <c r="K265" s="99">
        <f t="shared" si="107"/>
        <v>0</v>
      </c>
      <c r="L265" s="99">
        <f t="shared" si="107"/>
        <v>0</v>
      </c>
      <c r="M265" s="99">
        <f t="shared" si="107"/>
        <v>0</v>
      </c>
      <c r="N265" s="99">
        <f t="shared" si="107"/>
        <v>0</v>
      </c>
      <c r="O265" s="99">
        <f t="shared" si="107"/>
        <v>0</v>
      </c>
      <c r="P265" s="99">
        <f t="shared" si="107"/>
        <v>0</v>
      </c>
      <c r="Q265" s="99">
        <f t="shared" si="107"/>
        <v>0</v>
      </c>
      <c r="R265" s="99">
        <f t="shared" si="107"/>
        <v>0</v>
      </c>
    </row>
    <row r="266" ht="12.75" customHeight="1" outlineLevel="1">
      <c r="A266" s="90"/>
      <c r="B266" s="90"/>
      <c r="C266" s="90" t="s">
        <v>786</v>
      </c>
      <c r="D266" s="90"/>
      <c r="E266" s="90"/>
      <c r="F266" s="90"/>
      <c r="G266" s="99">
        <f t="shared" ref="G266:H266" si="108">(G101+G102)*E56</f>
        <v>0</v>
      </c>
      <c r="H266" s="99">
        <f t="shared" si="108"/>
        <v>0</v>
      </c>
      <c r="I266" s="99">
        <f t="shared" ref="I266:R266" si="109">(I101+I102)*I56</f>
        <v>46776.576</v>
      </c>
      <c r="J266" s="99">
        <f t="shared" si="109"/>
        <v>55368.192</v>
      </c>
      <c r="K266" s="99">
        <f t="shared" si="109"/>
        <v>59664</v>
      </c>
      <c r="L266" s="99">
        <f t="shared" si="109"/>
        <v>59664</v>
      </c>
      <c r="M266" s="99">
        <f t="shared" si="109"/>
        <v>59664</v>
      </c>
      <c r="N266" s="99">
        <f t="shared" si="109"/>
        <v>59664</v>
      </c>
      <c r="O266" s="99">
        <f t="shared" si="109"/>
        <v>59664</v>
      </c>
      <c r="P266" s="99">
        <f t="shared" si="109"/>
        <v>59664</v>
      </c>
      <c r="Q266" s="99">
        <f t="shared" si="109"/>
        <v>59664</v>
      </c>
      <c r="R266" s="99">
        <f t="shared" si="109"/>
        <v>59664</v>
      </c>
    </row>
    <row r="267" ht="12.75" customHeight="1" outlineLevel="1">
      <c r="A267" s="90"/>
      <c r="B267" s="90"/>
      <c r="C267" s="90" t="s">
        <v>787</v>
      </c>
      <c r="D267" s="90"/>
      <c r="E267" s="90"/>
      <c r="F267" s="90"/>
      <c r="G267" s="99"/>
      <c r="H267" s="99"/>
      <c r="I267" s="99"/>
      <c r="J267" s="99"/>
      <c r="K267" s="99"/>
      <c r="L267" s="99"/>
      <c r="M267" s="99"/>
      <c r="N267" s="99"/>
      <c r="O267" s="99"/>
      <c r="P267" s="99"/>
      <c r="Q267" s="99"/>
      <c r="R267" s="99"/>
    </row>
    <row r="268" ht="12.75" customHeight="1" outlineLevel="1">
      <c r="A268" s="90"/>
      <c r="B268" s="90"/>
      <c r="C268" s="90" t="s">
        <v>680</v>
      </c>
      <c r="D268" s="90"/>
      <c r="E268" s="90"/>
      <c r="F268" s="90"/>
      <c r="G268" s="99">
        <v>0.0</v>
      </c>
      <c r="H268" s="99">
        <v>0.0</v>
      </c>
      <c r="I268" s="99">
        <f>MIN(I104*I56,0.75*(650000))</f>
        <v>225792</v>
      </c>
      <c r="J268" s="99">
        <f t="shared" ref="J268:R268" si="110">MIN(J104*J56,0.75*(I379))</f>
        <v>267264</v>
      </c>
      <c r="K268" s="99">
        <f t="shared" si="110"/>
        <v>288000</v>
      </c>
      <c r="L268" s="99">
        <f t="shared" si="110"/>
        <v>288000</v>
      </c>
      <c r="M268" s="99">
        <f t="shared" si="110"/>
        <v>288000</v>
      </c>
      <c r="N268" s="99">
        <f t="shared" si="110"/>
        <v>288000</v>
      </c>
      <c r="O268" s="99">
        <f t="shared" si="110"/>
        <v>288000</v>
      </c>
      <c r="P268" s="99">
        <f t="shared" si="110"/>
        <v>288000</v>
      </c>
      <c r="Q268" s="99">
        <f t="shared" si="110"/>
        <v>288000</v>
      </c>
      <c r="R268" s="99">
        <f t="shared" si="110"/>
        <v>288000</v>
      </c>
    </row>
    <row r="269" ht="12.75" customHeight="1" outlineLevel="1">
      <c r="A269" s="90"/>
      <c r="B269" s="90"/>
      <c r="C269" s="90" t="s">
        <v>681</v>
      </c>
      <c r="D269" s="90"/>
      <c r="E269" s="90"/>
      <c r="F269" s="90"/>
      <c r="G269" s="99">
        <f t="shared" ref="G269:R269" si="111">G105*G$56</f>
        <v>0</v>
      </c>
      <c r="H269" s="99">
        <f t="shared" si="111"/>
        <v>0</v>
      </c>
      <c r="I269" s="99">
        <f t="shared" si="111"/>
        <v>0</v>
      </c>
      <c r="J269" s="99">
        <f t="shared" si="111"/>
        <v>0</v>
      </c>
      <c r="K269" s="99">
        <f t="shared" si="111"/>
        <v>0</v>
      </c>
      <c r="L269" s="99">
        <f t="shared" si="111"/>
        <v>0</v>
      </c>
      <c r="M269" s="99">
        <f t="shared" si="111"/>
        <v>0</v>
      </c>
      <c r="N269" s="99">
        <f t="shared" si="111"/>
        <v>0</v>
      </c>
      <c r="O269" s="99">
        <f t="shared" si="111"/>
        <v>0</v>
      </c>
      <c r="P269" s="99">
        <f t="shared" si="111"/>
        <v>0</v>
      </c>
      <c r="Q269" s="99">
        <f t="shared" si="111"/>
        <v>0</v>
      </c>
      <c r="R269" s="99">
        <f t="shared" si="111"/>
        <v>0</v>
      </c>
    </row>
    <row r="270" ht="12.75" customHeight="1" outlineLevel="1">
      <c r="A270" s="90"/>
      <c r="B270" s="90"/>
      <c r="C270" s="90" t="s">
        <v>682</v>
      </c>
      <c r="D270" s="90"/>
      <c r="E270" s="90"/>
      <c r="F270" s="90"/>
      <c r="G270" s="99">
        <f t="shared" ref="G270:R270" si="112">G106*G$56</f>
        <v>0</v>
      </c>
      <c r="H270" s="99">
        <f t="shared" si="112"/>
        <v>0</v>
      </c>
      <c r="I270" s="99">
        <f t="shared" si="112"/>
        <v>0</v>
      </c>
      <c r="J270" s="99">
        <f t="shared" si="112"/>
        <v>0</v>
      </c>
      <c r="K270" s="99">
        <f t="shared" si="112"/>
        <v>0</v>
      </c>
      <c r="L270" s="99">
        <f t="shared" si="112"/>
        <v>0</v>
      </c>
      <c r="M270" s="99">
        <f t="shared" si="112"/>
        <v>0</v>
      </c>
      <c r="N270" s="99">
        <f t="shared" si="112"/>
        <v>0</v>
      </c>
      <c r="O270" s="99">
        <f t="shared" si="112"/>
        <v>0</v>
      </c>
      <c r="P270" s="99">
        <f t="shared" si="112"/>
        <v>0</v>
      </c>
      <c r="Q270" s="99">
        <f t="shared" si="112"/>
        <v>0</v>
      </c>
      <c r="R270" s="99">
        <f t="shared" si="112"/>
        <v>0</v>
      </c>
    </row>
    <row r="271" ht="12.75" customHeight="1" outlineLevel="1">
      <c r="A271" s="90"/>
      <c r="B271" s="90"/>
      <c r="C271" s="90" t="s">
        <v>683</v>
      </c>
      <c r="D271" s="90"/>
      <c r="E271" s="90"/>
      <c r="F271" s="90"/>
      <c r="G271" s="99">
        <f t="shared" ref="G271:R271" si="113">G107*G$56</f>
        <v>0</v>
      </c>
      <c r="H271" s="99">
        <f t="shared" si="113"/>
        <v>0</v>
      </c>
      <c r="I271" s="99">
        <f t="shared" si="113"/>
        <v>0</v>
      </c>
      <c r="J271" s="99">
        <f t="shared" si="113"/>
        <v>0</v>
      </c>
      <c r="K271" s="99">
        <f t="shared" si="113"/>
        <v>0</v>
      </c>
      <c r="L271" s="99">
        <f t="shared" si="113"/>
        <v>0</v>
      </c>
      <c r="M271" s="99">
        <f t="shared" si="113"/>
        <v>0</v>
      </c>
      <c r="N271" s="99">
        <f t="shared" si="113"/>
        <v>0</v>
      </c>
      <c r="O271" s="99">
        <f t="shared" si="113"/>
        <v>0</v>
      </c>
      <c r="P271" s="99">
        <f t="shared" si="113"/>
        <v>0</v>
      </c>
      <c r="Q271" s="99">
        <f t="shared" si="113"/>
        <v>0</v>
      </c>
      <c r="R271" s="99">
        <f t="shared" si="113"/>
        <v>0</v>
      </c>
    </row>
    <row r="272" ht="12.75" customHeight="1" outlineLevel="1">
      <c r="A272" s="90"/>
      <c r="B272" s="87"/>
      <c r="C272" s="87" t="s">
        <v>684</v>
      </c>
      <c r="D272" s="87"/>
      <c r="E272" s="87"/>
      <c r="F272" s="87"/>
      <c r="G272" s="125">
        <f t="shared" ref="G272:R272" si="114">G108*G$56</f>
        <v>0</v>
      </c>
      <c r="H272" s="125">
        <f t="shared" si="114"/>
        <v>0</v>
      </c>
      <c r="I272" s="125">
        <f t="shared" si="114"/>
        <v>0</v>
      </c>
      <c r="J272" s="125">
        <f t="shared" si="114"/>
        <v>0</v>
      </c>
      <c r="K272" s="125">
        <f t="shared" si="114"/>
        <v>0</v>
      </c>
      <c r="L272" s="125">
        <f t="shared" si="114"/>
        <v>0</v>
      </c>
      <c r="M272" s="125">
        <f t="shared" si="114"/>
        <v>0</v>
      </c>
      <c r="N272" s="125">
        <f t="shared" si="114"/>
        <v>0</v>
      </c>
      <c r="O272" s="125">
        <f t="shared" si="114"/>
        <v>0</v>
      </c>
      <c r="P272" s="125">
        <f t="shared" si="114"/>
        <v>0</v>
      </c>
      <c r="Q272" s="125">
        <f t="shared" si="114"/>
        <v>0</v>
      </c>
      <c r="R272" s="125">
        <f t="shared" si="114"/>
        <v>0</v>
      </c>
    </row>
    <row r="273" ht="12.75" customHeight="1" outlineLevel="1">
      <c r="A273" s="90"/>
      <c r="B273" s="67" t="s">
        <v>590</v>
      </c>
      <c r="C273" s="90"/>
      <c r="D273" s="90"/>
      <c r="E273" s="90"/>
      <c r="F273" s="90"/>
      <c r="G273" s="79">
        <f t="shared" ref="G273:R273" si="115">SUM(G261:G272)</f>
        <v>0</v>
      </c>
      <c r="H273" s="79">
        <f t="shared" si="115"/>
        <v>0</v>
      </c>
      <c r="I273" s="79">
        <f t="shared" si="115"/>
        <v>2414555.856</v>
      </c>
      <c r="J273" s="79">
        <f t="shared" si="115"/>
        <v>2827914.192</v>
      </c>
      <c r="K273" s="79">
        <f t="shared" si="115"/>
        <v>3064891.2</v>
      </c>
      <c r="L273" s="79">
        <f t="shared" si="115"/>
        <v>3073795.2</v>
      </c>
      <c r="M273" s="79">
        <f t="shared" si="115"/>
        <v>3066163.2</v>
      </c>
      <c r="N273" s="79">
        <f t="shared" si="115"/>
        <v>3059167.2</v>
      </c>
      <c r="O273" s="79">
        <f t="shared" si="115"/>
        <v>3052489.2</v>
      </c>
      <c r="P273" s="79">
        <f t="shared" si="115"/>
        <v>3045811.2</v>
      </c>
      <c r="Q273" s="79">
        <f t="shared" si="115"/>
        <v>3042313.2</v>
      </c>
      <c r="R273" s="79">
        <f t="shared" si="115"/>
        <v>3042313.2</v>
      </c>
    </row>
    <row r="274" ht="12.75" customHeight="1" outlineLevel="1">
      <c r="A274" s="90"/>
      <c r="B274" s="67"/>
      <c r="C274" s="90"/>
      <c r="D274" s="90"/>
      <c r="E274" s="90"/>
      <c r="F274" s="90"/>
      <c r="G274" s="79"/>
      <c r="H274" s="79"/>
      <c r="I274" s="79"/>
      <c r="J274" s="79"/>
      <c r="K274" s="79"/>
      <c r="L274" s="79"/>
      <c r="M274" s="79"/>
      <c r="N274" s="79"/>
      <c r="O274" s="79"/>
      <c r="P274" s="79"/>
      <c r="Q274" s="79"/>
      <c r="R274" s="79"/>
    </row>
    <row r="275" ht="12.75" customHeight="1" outlineLevel="1">
      <c r="A275" s="90"/>
      <c r="B275" s="67" t="s">
        <v>545</v>
      </c>
      <c r="C275" s="90"/>
      <c r="D275" s="90"/>
      <c r="E275" s="90"/>
      <c r="F275" s="90"/>
      <c r="G275" s="90"/>
      <c r="H275" s="90"/>
      <c r="I275" s="90"/>
      <c r="J275" s="90"/>
      <c r="K275" s="99"/>
      <c r="L275" s="99"/>
      <c r="M275" s="99"/>
      <c r="N275" s="90"/>
      <c r="O275" s="90"/>
      <c r="P275" s="90"/>
      <c r="Q275" s="90"/>
      <c r="R275" s="90"/>
    </row>
    <row r="276" ht="12.75" customHeight="1" outlineLevel="1">
      <c r="A276" s="90"/>
      <c r="B276" s="90"/>
      <c r="C276" s="90" t="s">
        <v>788</v>
      </c>
      <c r="D276" s="90"/>
      <c r="E276" s="90"/>
      <c r="F276" s="90"/>
      <c r="G276" s="99">
        <f t="shared" ref="G276:R276" si="116">G112*G64</f>
        <v>0</v>
      </c>
      <c r="H276" s="99">
        <f t="shared" si="116"/>
        <v>0</v>
      </c>
      <c r="I276" s="99">
        <f t="shared" si="116"/>
        <v>105216</v>
      </c>
      <c r="J276" s="99">
        <f t="shared" si="116"/>
        <v>124800</v>
      </c>
      <c r="K276" s="99">
        <f t="shared" si="116"/>
        <v>134400</v>
      </c>
      <c r="L276" s="99">
        <f t="shared" si="116"/>
        <v>134400</v>
      </c>
      <c r="M276" s="99">
        <f t="shared" si="116"/>
        <v>134400</v>
      </c>
      <c r="N276" s="99">
        <f t="shared" si="116"/>
        <v>134400</v>
      </c>
      <c r="O276" s="99">
        <f t="shared" si="116"/>
        <v>134400</v>
      </c>
      <c r="P276" s="99">
        <f t="shared" si="116"/>
        <v>134400</v>
      </c>
      <c r="Q276" s="99">
        <f t="shared" si="116"/>
        <v>134400</v>
      </c>
      <c r="R276" s="99">
        <f t="shared" si="116"/>
        <v>134400</v>
      </c>
    </row>
    <row r="277" ht="12.75" customHeight="1" outlineLevel="1">
      <c r="A277" s="90"/>
      <c r="B277" s="90"/>
      <c r="C277" s="90" t="s">
        <v>789</v>
      </c>
      <c r="D277" s="90"/>
      <c r="E277" s="90"/>
      <c r="F277" s="90"/>
      <c r="G277" s="99">
        <f t="shared" ref="G277:H277" si="117">G113*G66</f>
        <v>0</v>
      </c>
      <c r="H277" s="99">
        <f t="shared" si="117"/>
        <v>0</v>
      </c>
      <c r="I277" s="99">
        <f t="shared" ref="I277:R277" si="118">I113*I338</f>
        <v>124185.6</v>
      </c>
      <c r="J277" s="99">
        <f t="shared" si="118"/>
        <v>146995.2</v>
      </c>
      <c r="K277" s="99">
        <f t="shared" si="118"/>
        <v>158400</v>
      </c>
      <c r="L277" s="99">
        <f t="shared" si="118"/>
        <v>158400</v>
      </c>
      <c r="M277" s="99">
        <f t="shared" si="118"/>
        <v>158400</v>
      </c>
      <c r="N277" s="99">
        <f t="shared" si="118"/>
        <v>158400</v>
      </c>
      <c r="O277" s="99">
        <f t="shared" si="118"/>
        <v>158400</v>
      </c>
      <c r="P277" s="99">
        <f t="shared" si="118"/>
        <v>158400</v>
      </c>
      <c r="Q277" s="99">
        <f t="shared" si="118"/>
        <v>158400</v>
      </c>
      <c r="R277" s="99">
        <f t="shared" si="118"/>
        <v>158400</v>
      </c>
    </row>
    <row r="278" ht="12.75" customHeight="1" outlineLevel="1">
      <c r="A278" s="90"/>
      <c r="B278" s="90"/>
      <c r="C278" s="90" t="s">
        <v>790</v>
      </c>
      <c r="D278" s="90"/>
      <c r="E278" s="90"/>
      <c r="F278" s="90"/>
      <c r="G278" s="99">
        <v>0.0</v>
      </c>
      <c r="H278" s="99">
        <v>0.0</v>
      </c>
      <c r="I278" s="99">
        <v>8000.0</v>
      </c>
      <c r="J278" s="99">
        <v>8000.0</v>
      </c>
      <c r="K278" s="99">
        <v>8000.0</v>
      </c>
      <c r="L278" s="99">
        <v>8000.0</v>
      </c>
      <c r="M278" s="99">
        <v>8000.0</v>
      </c>
      <c r="N278" s="99">
        <v>8000.0</v>
      </c>
      <c r="O278" s="99">
        <v>8000.0</v>
      </c>
      <c r="P278" s="99">
        <v>8000.0</v>
      </c>
      <c r="Q278" s="99">
        <v>8000.0</v>
      </c>
      <c r="R278" s="99">
        <v>8000.0</v>
      </c>
    </row>
    <row r="279" ht="12.75" customHeight="1" outlineLevel="1">
      <c r="A279" s="90"/>
      <c r="B279" s="90"/>
      <c r="C279" s="90" t="s">
        <v>689</v>
      </c>
      <c r="D279" s="90"/>
      <c r="E279" s="90"/>
      <c r="F279" s="90"/>
      <c r="G279" s="99">
        <f t="shared" ref="G279:R279" si="119">G115*G$56</f>
        <v>0</v>
      </c>
      <c r="H279" s="99">
        <f t="shared" si="119"/>
        <v>0</v>
      </c>
      <c r="I279" s="99">
        <f t="shared" si="119"/>
        <v>0</v>
      </c>
      <c r="J279" s="99">
        <f t="shared" si="119"/>
        <v>0</v>
      </c>
      <c r="K279" s="99">
        <f t="shared" si="119"/>
        <v>12831.85841</v>
      </c>
      <c r="L279" s="99">
        <f t="shared" si="119"/>
        <v>12831.85841</v>
      </c>
      <c r="M279" s="99">
        <f t="shared" si="119"/>
        <v>12831.85841</v>
      </c>
      <c r="N279" s="99">
        <f t="shared" si="119"/>
        <v>12831.85841</v>
      </c>
      <c r="O279" s="99">
        <f t="shared" si="119"/>
        <v>12831.85841</v>
      </c>
      <c r="P279" s="99">
        <f t="shared" si="119"/>
        <v>12831.85841</v>
      </c>
      <c r="Q279" s="99">
        <f t="shared" si="119"/>
        <v>12831.85841</v>
      </c>
      <c r="R279" s="99">
        <f t="shared" si="119"/>
        <v>12831.85841</v>
      </c>
    </row>
    <row r="280" ht="12.75" customHeight="1" outlineLevel="1">
      <c r="A280" s="90"/>
      <c r="B280" s="90"/>
      <c r="C280" s="90" t="s">
        <v>791</v>
      </c>
      <c r="D280" s="90"/>
      <c r="E280" s="90"/>
      <c r="F280" s="90"/>
      <c r="G280" s="99">
        <f t="shared" ref="G280:G281" si="121">G116*G$56</f>
        <v>0</v>
      </c>
      <c r="H280" s="99">
        <v>200000.0</v>
      </c>
      <c r="I280" s="99">
        <f>450000-H280</f>
        <v>250000</v>
      </c>
      <c r="J280" s="99">
        <v>150000.0</v>
      </c>
      <c r="K280" s="99">
        <f t="shared" ref="K280:R280" si="120">K116*K$56</f>
        <v>0</v>
      </c>
      <c r="L280" s="99">
        <f t="shared" si="120"/>
        <v>0</v>
      </c>
      <c r="M280" s="99">
        <f t="shared" si="120"/>
        <v>0</v>
      </c>
      <c r="N280" s="99">
        <f t="shared" si="120"/>
        <v>0</v>
      </c>
      <c r="O280" s="99">
        <f t="shared" si="120"/>
        <v>0</v>
      </c>
      <c r="P280" s="99">
        <f t="shared" si="120"/>
        <v>0</v>
      </c>
      <c r="Q280" s="99">
        <f t="shared" si="120"/>
        <v>0</v>
      </c>
      <c r="R280" s="99">
        <f t="shared" si="120"/>
        <v>0</v>
      </c>
    </row>
    <row r="281" ht="12.75" customHeight="1" outlineLevel="1">
      <c r="A281" s="90"/>
      <c r="B281" s="87"/>
      <c r="C281" s="87" t="s">
        <v>691</v>
      </c>
      <c r="D281" s="87"/>
      <c r="E281" s="87"/>
      <c r="F281" s="87"/>
      <c r="G281" s="125">
        <f t="shared" si="121"/>
        <v>0</v>
      </c>
      <c r="H281" s="125">
        <f t="shared" ref="H281:R281" si="122">H117*H$56</f>
        <v>0</v>
      </c>
      <c r="I281" s="125">
        <f t="shared" si="122"/>
        <v>0</v>
      </c>
      <c r="J281" s="125">
        <f t="shared" si="122"/>
        <v>0</v>
      </c>
      <c r="K281" s="125">
        <f t="shared" si="122"/>
        <v>0</v>
      </c>
      <c r="L281" s="125">
        <f t="shared" si="122"/>
        <v>0</v>
      </c>
      <c r="M281" s="125">
        <f t="shared" si="122"/>
        <v>0</v>
      </c>
      <c r="N281" s="125">
        <f t="shared" si="122"/>
        <v>0</v>
      </c>
      <c r="O281" s="125">
        <f t="shared" si="122"/>
        <v>0</v>
      </c>
      <c r="P281" s="125">
        <f t="shared" si="122"/>
        <v>0</v>
      </c>
      <c r="Q281" s="125">
        <f t="shared" si="122"/>
        <v>0</v>
      </c>
      <c r="R281" s="125">
        <f t="shared" si="122"/>
        <v>0</v>
      </c>
    </row>
    <row r="282" ht="12.75" customHeight="1" outlineLevel="1">
      <c r="A282" s="90"/>
      <c r="B282" s="67" t="s">
        <v>792</v>
      </c>
      <c r="C282" s="90"/>
      <c r="D282" s="90"/>
      <c r="E282" s="90"/>
      <c r="F282" s="90"/>
      <c r="G282" s="79">
        <f t="shared" ref="G282:R282" si="123">SUM(G276:G281)</f>
        <v>0</v>
      </c>
      <c r="H282" s="79">
        <f t="shared" si="123"/>
        <v>200000</v>
      </c>
      <c r="I282" s="79">
        <f t="shared" si="123"/>
        <v>487401.6</v>
      </c>
      <c r="J282" s="79">
        <f t="shared" si="123"/>
        <v>429795.2</v>
      </c>
      <c r="K282" s="79">
        <f t="shared" si="123"/>
        <v>313631.8584</v>
      </c>
      <c r="L282" s="79">
        <f t="shared" si="123"/>
        <v>313631.8584</v>
      </c>
      <c r="M282" s="79">
        <f t="shared" si="123"/>
        <v>313631.8584</v>
      </c>
      <c r="N282" s="79">
        <f t="shared" si="123"/>
        <v>313631.8584</v>
      </c>
      <c r="O282" s="79">
        <f t="shared" si="123"/>
        <v>313631.8584</v>
      </c>
      <c r="P282" s="79">
        <f t="shared" si="123"/>
        <v>313631.8584</v>
      </c>
      <c r="Q282" s="79">
        <f t="shared" si="123"/>
        <v>313631.8584</v>
      </c>
      <c r="R282" s="79">
        <f t="shared" si="123"/>
        <v>313631.8584</v>
      </c>
    </row>
    <row r="283" ht="12.75" customHeight="1" outlineLevel="1">
      <c r="A283" s="90"/>
      <c r="B283" s="67"/>
      <c r="C283" s="90"/>
      <c r="D283" s="90"/>
      <c r="E283" s="90"/>
      <c r="F283" s="90"/>
      <c r="G283" s="79"/>
      <c r="H283" s="79"/>
      <c r="I283" s="79"/>
      <c r="J283" s="79"/>
      <c r="K283" s="79"/>
      <c r="L283" s="79"/>
      <c r="M283" s="79"/>
      <c r="N283" s="79"/>
      <c r="O283" s="79"/>
      <c r="P283" s="79"/>
      <c r="Q283" s="79"/>
      <c r="R283" s="79"/>
    </row>
    <row r="284" ht="12.75" customHeight="1" outlineLevel="1">
      <c r="A284" s="90"/>
      <c r="B284" s="67" t="s">
        <v>1166</v>
      </c>
      <c r="C284" s="90"/>
      <c r="D284" s="90"/>
      <c r="E284" s="90"/>
      <c r="F284" s="90"/>
      <c r="G284" s="90"/>
      <c r="H284" s="90"/>
      <c r="I284" s="90"/>
      <c r="J284" s="90"/>
      <c r="K284" s="90"/>
      <c r="L284" s="90"/>
      <c r="M284" s="90"/>
      <c r="N284" s="90"/>
      <c r="O284" s="90"/>
      <c r="P284" s="90"/>
      <c r="Q284" s="90"/>
      <c r="R284" s="90"/>
    </row>
    <row r="285" ht="12.75" customHeight="1" outlineLevel="1">
      <c r="A285" s="90"/>
      <c r="B285" s="90"/>
      <c r="C285" s="90" t="s">
        <v>791</v>
      </c>
      <c r="D285" s="90"/>
      <c r="E285" s="90"/>
      <c r="F285" s="90"/>
      <c r="G285" s="99">
        <v>0.0</v>
      </c>
      <c r="H285" s="99">
        <v>0.0</v>
      </c>
      <c r="I285" s="99">
        <v>0.0</v>
      </c>
      <c r="J285" s="99">
        <v>0.0</v>
      </c>
      <c r="K285" s="99">
        <v>0.0</v>
      </c>
      <c r="L285" s="99">
        <v>0.0</v>
      </c>
      <c r="M285" s="99">
        <v>0.0</v>
      </c>
      <c r="N285" s="99">
        <v>0.0</v>
      </c>
      <c r="O285" s="99">
        <v>0.0</v>
      </c>
      <c r="P285" s="99">
        <v>0.0</v>
      </c>
      <c r="Q285" s="99">
        <v>0.0</v>
      </c>
      <c r="R285" s="99">
        <v>0.0</v>
      </c>
    </row>
    <row r="286" ht="12.75" customHeight="1" outlineLevel="1">
      <c r="A286" s="90"/>
      <c r="B286" s="90"/>
      <c r="C286" s="90" t="s">
        <v>794</v>
      </c>
      <c r="D286" s="90"/>
      <c r="E286" s="90"/>
      <c r="F286" s="90"/>
      <c r="G286" s="99">
        <v>0.0</v>
      </c>
      <c r="H286" s="99">
        <v>0.0</v>
      </c>
      <c r="I286" s="99">
        <v>250000.0</v>
      </c>
      <c r="J286" s="99">
        <v>0.0</v>
      </c>
      <c r="K286" s="99">
        <v>0.0</v>
      </c>
      <c r="L286" s="99">
        <v>0.0</v>
      </c>
      <c r="M286" s="99">
        <v>0.0</v>
      </c>
      <c r="N286" s="99">
        <v>0.0</v>
      </c>
      <c r="O286" s="99">
        <v>0.0</v>
      </c>
      <c r="P286" s="99">
        <v>0.0</v>
      </c>
      <c r="Q286" s="99">
        <v>0.0</v>
      </c>
      <c r="R286" s="99">
        <v>0.0</v>
      </c>
    </row>
    <row r="287" ht="12.75" customHeight="1" outlineLevel="1">
      <c r="A287" s="90"/>
      <c r="B287" s="90"/>
      <c r="C287" s="90" t="s">
        <v>795</v>
      </c>
      <c r="D287" s="90"/>
      <c r="E287" s="90"/>
      <c r="F287" s="90"/>
      <c r="G287" s="99">
        <v>125000.0</v>
      </c>
      <c r="H287" s="99">
        <v>0.0</v>
      </c>
      <c r="I287" s="99">
        <v>125000.0</v>
      </c>
      <c r="J287" s="99">
        <v>0.0</v>
      </c>
      <c r="K287" s="99">
        <v>0.0</v>
      </c>
      <c r="L287" s="99">
        <v>0.0</v>
      </c>
      <c r="M287" s="99">
        <v>0.0</v>
      </c>
      <c r="N287" s="99">
        <v>0.0</v>
      </c>
      <c r="O287" s="99">
        <v>0.0</v>
      </c>
      <c r="P287" s="99">
        <v>0.0</v>
      </c>
      <c r="Q287" s="99">
        <v>0.0</v>
      </c>
      <c r="R287" s="99">
        <v>0.0</v>
      </c>
    </row>
    <row r="288" ht="12.75" customHeight="1" outlineLevel="1">
      <c r="A288" s="90"/>
      <c r="B288" s="87"/>
      <c r="C288" s="87" t="s">
        <v>796</v>
      </c>
      <c r="D288" s="87"/>
      <c r="E288" s="87"/>
      <c r="F288" s="87"/>
      <c r="G288" s="99">
        <v>0.0</v>
      </c>
      <c r="H288" s="99">
        <v>0.0</v>
      </c>
      <c r="I288" s="99">
        <v>0.0</v>
      </c>
      <c r="J288" s="99">
        <v>0.0</v>
      </c>
      <c r="K288" s="99">
        <v>0.0</v>
      </c>
      <c r="L288" s="125">
        <v>0.0</v>
      </c>
      <c r="M288" s="125">
        <v>0.0</v>
      </c>
      <c r="N288" s="125">
        <v>0.0</v>
      </c>
      <c r="O288" s="125">
        <v>0.0</v>
      </c>
      <c r="P288" s="125">
        <v>0.0</v>
      </c>
      <c r="Q288" s="125">
        <v>0.0</v>
      </c>
      <c r="R288" s="125">
        <v>0.0</v>
      </c>
    </row>
    <row r="289" ht="12.75" customHeight="1" outlineLevel="1">
      <c r="A289" s="90"/>
      <c r="B289" s="67" t="s">
        <v>797</v>
      </c>
      <c r="C289" s="90"/>
      <c r="D289" s="90"/>
      <c r="E289" s="90"/>
      <c r="F289" s="90"/>
      <c r="G289" s="379">
        <f t="shared" ref="G289:R289" si="124">SUM(G285:G288)</f>
        <v>125000</v>
      </c>
      <c r="H289" s="379">
        <f t="shared" si="124"/>
        <v>0</v>
      </c>
      <c r="I289" s="379">
        <f t="shared" si="124"/>
        <v>375000</v>
      </c>
      <c r="J289" s="379">
        <f t="shared" si="124"/>
        <v>0</v>
      </c>
      <c r="K289" s="379">
        <f t="shared" si="124"/>
        <v>0</v>
      </c>
      <c r="L289" s="79">
        <f t="shared" si="124"/>
        <v>0</v>
      </c>
      <c r="M289" s="79">
        <f t="shared" si="124"/>
        <v>0</v>
      </c>
      <c r="N289" s="79">
        <f t="shared" si="124"/>
        <v>0</v>
      </c>
      <c r="O289" s="79">
        <f t="shared" si="124"/>
        <v>0</v>
      </c>
      <c r="P289" s="79">
        <f t="shared" si="124"/>
        <v>0</v>
      </c>
      <c r="Q289" s="79">
        <f t="shared" si="124"/>
        <v>0</v>
      </c>
      <c r="R289" s="79">
        <f t="shared" si="124"/>
        <v>0</v>
      </c>
    </row>
    <row r="290" ht="12.75" customHeight="1" outlineLevel="1">
      <c r="A290" s="90"/>
      <c r="B290" s="67"/>
      <c r="C290" s="90"/>
      <c r="D290" s="90"/>
      <c r="E290" s="90"/>
      <c r="F290" s="90"/>
      <c r="G290" s="79"/>
      <c r="H290" s="79"/>
      <c r="I290" s="79"/>
      <c r="J290" s="79"/>
      <c r="K290" s="79"/>
      <c r="L290" s="79"/>
      <c r="M290" s="79"/>
      <c r="N290" s="79"/>
      <c r="O290" s="79"/>
      <c r="P290" s="79"/>
      <c r="Q290" s="79"/>
      <c r="R290" s="79"/>
    </row>
    <row r="291" ht="12.75" customHeight="1" outlineLevel="1">
      <c r="A291" s="90"/>
      <c r="B291" s="67" t="s">
        <v>509</v>
      </c>
      <c r="C291" s="90"/>
      <c r="D291" s="90"/>
      <c r="E291" s="90"/>
      <c r="F291" s="90"/>
      <c r="G291" s="304"/>
      <c r="H291" s="304"/>
      <c r="I291" s="304"/>
      <c r="J291" s="304"/>
      <c r="K291" s="304"/>
      <c r="L291" s="304"/>
      <c r="M291" s="304"/>
      <c r="N291" s="304"/>
      <c r="O291" s="79"/>
      <c r="P291" s="79"/>
      <c r="Q291" s="79"/>
      <c r="R291" s="79"/>
    </row>
    <row r="292" ht="12.75" customHeight="1" outlineLevel="1">
      <c r="A292" s="90"/>
      <c r="B292" s="67"/>
      <c r="C292" s="90" t="s">
        <v>1167</v>
      </c>
      <c r="D292" s="90"/>
      <c r="E292" s="90"/>
      <c r="F292" s="90"/>
      <c r="G292" s="99">
        <v>0.0</v>
      </c>
      <c r="H292" s="99">
        <v>0.0</v>
      </c>
      <c r="I292" s="99">
        <f t="shared" ref="I292:R292" si="125">I122*I47</f>
        <v>27440</v>
      </c>
      <c r="J292" s="99">
        <f t="shared" si="125"/>
        <v>32480</v>
      </c>
      <c r="K292" s="99">
        <f t="shared" si="125"/>
        <v>35000</v>
      </c>
      <c r="L292" s="99">
        <f t="shared" si="125"/>
        <v>35000</v>
      </c>
      <c r="M292" s="99">
        <f t="shared" si="125"/>
        <v>35000</v>
      </c>
      <c r="N292" s="99">
        <f t="shared" si="125"/>
        <v>35000</v>
      </c>
      <c r="O292" s="99">
        <f t="shared" si="125"/>
        <v>35000</v>
      </c>
      <c r="P292" s="99">
        <f t="shared" si="125"/>
        <v>35000</v>
      </c>
      <c r="Q292" s="99">
        <f t="shared" si="125"/>
        <v>35000</v>
      </c>
      <c r="R292" s="99">
        <f t="shared" si="125"/>
        <v>35000</v>
      </c>
    </row>
    <row r="293" ht="12.75" customHeight="1" outlineLevel="1">
      <c r="A293" s="90"/>
      <c r="B293" s="67"/>
      <c r="C293" s="90" t="s">
        <v>1168</v>
      </c>
      <c r="D293" s="90"/>
      <c r="E293" s="90"/>
      <c r="F293" s="90"/>
      <c r="G293" s="99">
        <f t="shared" ref="G293:H293" si="126">G121+G122+((G47-G67)*G120)</f>
        <v>0</v>
      </c>
      <c r="H293" s="99">
        <f t="shared" si="126"/>
        <v>0</v>
      </c>
      <c r="I293" s="99">
        <f t="shared" ref="I293:R293" si="127">I338-I277-I120</f>
        <v>31395.2</v>
      </c>
      <c r="J293" s="99">
        <f t="shared" si="127"/>
        <v>38998.4</v>
      </c>
      <c r="K293" s="99">
        <f t="shared" si="127"/>
        <v>47800</v>
      </c>
      <c r="L293" s="99">
        <f t="shared" si="127"/>
        <v>47800</v>
      </c>
      <c r="M293" s="99">
        <f t="shared" si="127"/>
        <v>47800</v>
      </c>
      <c r="N293" s="99">
        <f t="shared" si="127"/>
        <v>47800</v>
      </c>
      <c r="O293" s="99">
        <f t="shared" si="127"/>
        <v>47800</v>
      </c>
      <c r="P293" s="99">
        <f t="shared" si="127"/>
        <v>47800</v>
      </c>
      <c r="Q293" s="99">
        <f t="shared" si="127"/>
        <v>47800</v>
      </c>
      <c r="R293" s="99">
        <f t="shared" si="127"/>
        <v>47800</v>
      </c>
    </row>
    <row r="294" ht="12.75" customHeight="1" outlineLevel="1">
      <c r="A294" s="90"/>
      <c r="B294" s="134" t="s">
        <v>799</v>
      </c>
      <c r="C294" s="148"/>
      <c r="D294" s="148"/>
      <c r="E294" s="148"/>
      <c r="F294" s="148"/>
      <c r="G294" s="379">
        <f t="shared" ref="G294:R294" si="128">SUM(G292:G293)</f>
        <v>0</v>
      </c>
      <c r="H294" s="379">
        <f t="shared" si="128"/>
        <v>0</v>
      </c>
      <c r="I294" s="379">
        <f t="shared" si="128"/>
        <v>58835.2</v>
      </c>
      <c r="J294" s="379">
        <f t="shared" si="128"/>
        <v>71478.4</v>
      </c>
      <c r="K294" s="379">
        <f t="shared" si="128"/>
        <v>82800</v>
      </c>
      <c r="L294" s="379">
        <f t="shared" si="128"/>
        <v>82800</v>
      </c>
      <c r="M294" s="379">
        <f t="shared" si="128"/>
        <v>82800</v>
      </c>
      <c r="N294" s="379">
        <f t="shared" si="128"/>
        <v>82800</v>
      </c>
      <c r="O294" s="379">
        <f t="shared" si="128"/>
        <v>82800</v>
      </c>
      <c r="P294" s="379">
        <f t="shared" si="128"/>
        <v>82800</v>
      </c>
      <c r="Q294" s="379">
        <f t="shared" si="128"/>
        <v>82800</v>
      </c>
      <c r="R294" s="379">
        <f t="shared" si="128"/>
        <v>82800</v>
      </c>
    </row>
    <row r="295" ht="12.75" customHeight="1" outlineLevel="1">
      <c r="A295" s="90"/>
      <c r="B295" s="90"/>
      <c r="C295" s="90"/>
      <c r="D295" s="90"/>
      <c r="E295" s="90"/>
      <c r="F295" s="90"/>
      <c r="G295" s="90"/>
      <c r="H295" s="90"/>
      <c r="I295" s="90"/>
      <c r="J295" s="90"/>
      <c r="K295" s="90"/>
      <c r="L295" s="90"/>
      <c r="M295" s="90"/>
      <c r="N295" s="90"/>
      <c r="O295" s="90"/>
      <c r="P295" s="90"/>
      <c r="Q295" s="90"/>
      <c r="R295" s="90"/>
    </row>
    <row r="296" ht="12.75" customHeight="1" outlineLevel="1">
      <c r="A296" s="109" t="s">
        <v>800</v>
      </c>
      <c r="B296" s="109"/>
      <c r="C296" s="109"/>
      <c r="D296" s="143"/>
      <c r="E296" s="143"/>
      <c r="F296" s="143"/>
      <c r="G296" s="293">
        <f t="shared" ref="G296:R296" si="129">G289+G282+G273+G294</f>
        <v>125000</v>
      </c>
      <c r="H296" s="293">
        <f t="shared" si="129"/>
        <v>200000</v>
      </c>
      <c r="I296" s="293">
        <f t="shared" si="129"/>
        <v>3335792.656</v>
      </c>
      <c r="J296" s="293">
        <f t="shared" si="129"/>
        <v>3329187.792</v>
      </c>
      <c r="K296" s="293">
        <f t="shared" si="129"/>
        <v>3461323.058</v>
      </c>
      <c r="L296" s="293">
        <f t="shared" si="129"/>
        <v>3470227.058</v>
      </c>
      <c r="M296" s="293">
        <f t="shared" si="129"/>
        <v>3462595.058</v>
      </c>
      <c r="N296" s="293">
        <f t="shared" si="129"/>
        <v>3455599.058</v>
      </c>
      <c r="O296" s="293">
        <f t="shared" si="129"/>
        <v>3448921.058</v>
      </c>
      <c r="P296" s="293">
        <f t="shared" si="129"/>
        <v>3442243.058</v>
      </c>
      <c r="Q296" s="293">
        <f t="shared" si="129"/>
        <v>3438745.058</v>
      </c>
      <c r="R296" s="293">
        <f t="shared" si="129"/>
        <v>3438745.058</v>
      </c>
    </row>
    <row r="297" ht="12.75" customHeight="1" outlineLevel="1">
      <c r="A297" s="67"/>
      <c r="B297" s="67"/>
      <c r="C297" s="67"/>
      <c r="D297" s="90"/>
      <c r="E297" s="90"/>
      <c r="F297" s="90"/>
      <c r="G297" s="79"/>
      <c r="H297" s="79"/>
      <c r="I297" s="79"/>
      <c r="J297" s="79"/>
      <c r="K297" s="79"/>
      <c r="L297" s="79"/>
      <c r="M297" s="79"/>
      <c r="N297" s="79"/>
      <c r="O297" s="79"/>
      <c r="P297" s="79"/>
      <c r="Q297" s="79"/>
      <c r="R297" s="79"/>
    </row>
    <row r="298" ht="12.75" customHeight="1" outlineLevel="1">
      <c r="A298" s="67" t="s">
        <v>304</v>
      </c>
      <c r="B298" s="90"/>
      <c r="C298" s="90"/>
      <c r="D298" s="90"/>
      <c r="E298" s="90"/>
      <c r="F298" s="90"/>
      <c r="G298" s="90"/>
      <c r="H298" s="90"/>
      <c r="I298" s="90"/>
      <c r="J298" s="90"/>
      <c r="K298" s="99"/>
      <c r="L298" s="90"/>
      <c r="M298" s="90"/>
      <c r="N298" s="90"/>
      <c r="O298" s="90"/>
      <c r="P298" s="90"/>
      <c r="Q298" s="90"/>
      <c r="R298" s="90"/>
    </row>
    <row r="299" ht="12.75" customHeight="1" outlineLevel="1">
      <c r="A299" s="90"/>
      <c r="B299" s="67" t="s">
        <v>278</v>
      </c>
      <c r="C299" s="90"/>
      <c r="D299" s="90"/>
      <c r="E299" s="90"/>
      <c r="F299" s="90"/>
      <c r="G299" s="90"/>
      <c r="H299" s="90"/>
      <c r="I299" s="90"/>
      <c r="J299" s="90"/>
      <c r="K299" s="90"/>
      <c r="L299" s="90"/>
      <c r="M299" s="90"/>
      <c r="N299" s="90"/>
      <c r="O299" s="90"/>
      <c r="P299" s="90"/>
      <c r="Q299" s="90"/>
      <c r="R299" s="90"/>
    </row>
    <row r="300" ht="12.75" customHeight="1" outlineLevel="1">
      <c r="A300" s="90"/>
      <c r="B300" s="67"/>
      <c r="C300" s="90" t="s">
        <v>801</v>
      </c>
      <c r="D300" s="90"/>
      <c r="E300" s="90"/>
      <c r="F300" s="90"/>
      <c r="G300" s="90"/>
      <c r="H300" s="90"/>
      <c r="I300" s="99"/>
      <c r="J300" s="90"/>
      <c r="K300" s="90"/>
      <c r="L300" s="90"/>
      <c r="M300" s="90"/>
      <c r="N300" s="90"/>
      <c r="O300" s="90"/>
      <c r="P300" s="90"/>
      <c r="Q300" s="90"/>
      <c r="R300" s="90"/>
    </row>
    <row r="301" ht="12.75" customHeight="1" outlineLevel="1">
      <c r="A301" s="90"/>
      <c r="B301" s="67"/>
      <c r="C301" s="90"/>
      <c r="D301" s="90" t="s">
        <v>701</v>
      </c>
      <c r="E301" s="90"/>
      <c r="F301" s="90"/>
      <c r="G301" s="99">
        <f t="shared" ref="G301:R301" si="130">G139*G165</f>
        <v>0</v>
      </c>
      <c r="H301" s="99">
        <f t="shared" si="130"/>
        <v>70833.33333</v>
      </c>
      <c r="I301" s="99">
        <f t="shared" si="130"/>
        <v>83333.33333</v>
      </c>
      <c r="J301" s="99">
        <f t="shared" si="130"/>
        <v>100000</v>
      </c>
      <c r="K301" s="99">
        <f t="shared" si="130"/>
        <v>100000</v>
      </c>
      <c r="L301" s="99">
        <f t="shared" si="130"/>
        <v>100000</v>
      </c>
      <c r="M301" s="99">
        <f t="shared" si="130"/>
        <v>100000</v>
      </c>
      <c r="N301" s="99">
        <f t="shared" si="130"/>
        <v>100000</v>
      </c>
      <c r="O301" s="99">
        <f t="shared" si="130"/>
        <v>100000</v>
      </c>
      <c r="P301" s="99">
        <f t="shared" si="130"/>
        <v>100000</v>
      </c>
      <c r="Q301" s="99">
        <f t="shared" si="130"/>
        <v>100000</v>
      </c>
      <c r="R301" s="99">
        <f t="shared" si="130"/>
        <v>100000</v>
      </c>
    </row>
    <row r="302" ht="12.75" customHeight="1" outlineLevel="1">
      <c r="A302" s="90"/>
      <c r="B302" s="67"/>
      <c r="C302" s="90"/>
      <c r="D302" s="90" t="s">
        <v>721</v>
      </c>
      <c r="E302" s="90"/>
      <c r="F302" s="90"/>
      <c r="G302" s="99">
        <f t="shared" ref="G302:R302" si="131">G140*G166</f>
        <v>0</v>
      </c>
      <c r="H302" s="99">
        <f t="shared" si="131"/>
        <v>0</v>
      </c>
      <c r="I302" s="99">
        <f t="shared" si="131"/>
        <v>0</v>
      </c>
      <c r="J302" s="99">
        <f t="shared" si="131"/>
        <v>0</v>
      </c>
      <c r="K302" s="99">
        <f t="shared" si="131"/>
        <v>0</v>
      </c>
      <c r="L302" s="99">
        <f t="shared" si="131"/>
        <v>0</v>
      </c>
      <c r="M302" s="99">
        <f t="shared" si="131"/>
        <v>0</v>
      </c>
      <c r="N302" s="99">
        <f t="shared" si="131"/>
        <v>0</v>
      </c>
      <c r="O302" s="99">
        <f t="shared" si="131"/>
        <v>0</v>
      </c>
      <c r="P302" s="99">
        <f t="shared" si="131"/>
        <v>0</v>
      </c>
      <c r="Q302" s="99">
        <f t="shared" si="131"/>
        <v>0</v>
      </c>
      <c r="R302" s="99">
        <f t="shared" si="131"/>
        <v>0</v>
      </c>
    </row>
    <row r="303" ht="12.75" customHeight="1" outlineLevel="1">
      <c r="A303" s="90"/>
      <c r="B303" s="67"/>
      <c r="C303" s="90"/>
      <c r="D303" s="90" t="s">
        <v>802</v>
      </c>
      <c r="E303" s="90"/>
      <c r="F303" s="90"/>
      <c r="G303" s="99">
        <f t="shared" ref="G303:R303" si="132">G141*G167</f>
        <v>0</v>
      </c>
      <c r="H303" s="99">
        <f t="shared" si="132"/>
        <v>0</v>
      </c>
      <c r="I303" s="99">
        <f t="shared" si="132"/>
        <v>0</v>
      </c>
      <c r="J303" s="99">
        <f t="shared" si="132"/>
        <v>0</v>
      </c>
      <c r="K303" s="99">
        <f t="shared" si="132"/>
        <v>0</v>
      </c>
      <c r="L303" s="99">
        <f t="shared" si="132"/>
        <v>0</v>
      </c>
      <c r="M303" s="99">
        <f t="shared" si="132"/>
        <v>0</v>
      </c>
      <c r="N303" s="99">
        <f t="shared" si="132"/>
        <v>0</v>
      </c>
      <c r="O303" s="99">
        <f t="shared" si="132"/>
        <v>0</v>
      </c>
      <c r="P303" s="99">
        <f t="shared" si="132"/>
        <v>0</v>
      </c>
      <c r="Q303" s="99">
        <f t="shared" si="132"/>
        <v>0</v>
      </c>
      <c r="R303" s="99">
        <f t="shared" si="132"/>
        <v>0</v>
      </c>
    </row>
    <row r="304" ht="12.75" customHeight="1" outlineLevel="1">
      <c r="A304" s="90"/>
      <c r="B304" s="67"/>
      <c r="C304" s="90"/>
      <c r="D304" s="90" t="s">
        <v>722</v>
      </c>
      <c r="E304" s="90"/>
      <c r="F304" s="90"/>
      <c r="G304" s="99">
        <f t="shared" ref="G304:R304" si="133">G145*G168</f>
        <v>0</v>
      </c>
      <c r="H304" s="99">
        <f t="shared" si="133"/>
        <v>0</v>
      </c>
      <c r="I304" s="99">
        <f t="shared" si="133"/>
        <v>94000</v>
      </c>
      <c r="J304" s="99">
        <f t="shared" si="133"/>
        <v>241250</v>
      </c>
      <c r="K304" s="99">
        <f t="shared" si="133"/>
        <v>241250</v>
      </c>
      <c r="L304" s="99">
        <f t="shared" si="133"/>
        <v>241250</v>
      </c>
      <c r="M304" s="99">
        <f t="shared" si="133"/>
        <v>241250</v>
      </c>
      <c r="N304" s="99">
        <f t="shared" si="133"/>
        <v>241250</v>
      </c>
      <c r="O304" s="99">
        <f t="shared" si="133"/>
        <v>241250</v>
      </c>
      <c r="P304" s="99">
        <f t="shared" si="133"/>
        <v>241250</v>
      </c>
      <c r="Q304" s="99">
        <f t="shared" si="133"/>
        <v>241250</v>
      </c>
      <c r="R304" s="99">
        <f t="shared" si="133"/>
        <v>241250</v>
      </c>
    </row>
    <row r="305" ht="12.75" customHeight="1" outlineLevel="1">
      <c r="A305" s="90"/>
      <c r="B305" s="67"/>
      <c r="C305" s="90"/>
      <c r="D305" s="90" t="s">
        <v>707</v>
      </c>
      <c r="E305" s="90"/>
      <c r="F305" s="90"/>
      <c r="G305" s="99">
        <f t="shared" ref="G305:R305" si="134">G146*G169</f>
        <v>0</v>
      </c>
      <c r="H305" s="99">
        <f t="shared" si="134"/>
        <v>0</v>
      </c>
      <c r="I305" s="99">
        <f t="shared" si="134"/>
        <v>406000</v>
      </c>
      <c r="J305" s="99">
        <f t="shared" si="134"/>
        <v>290000</v>
      </c>
      <c r="K305" s="99">
        <f t="shared" si="134"/>
        <v>290000</v>
      </c>
      <c r="L305" s="99">
        <f t="shared" si="134"/>
        <v>290000</v>
      </c>
      <c r="M305" s="99">
        <f t="shared" si="134"/>
        <v>290000</v>
      </c>
      <c r="N305" s="99">
        <f t="shared" si="134"/>
        <v>290000</v>
      </c>
      <c r="O305" s="99">
        <f t="shared" si="134"/>
        <v>290000</v>
      </c>
      <c r="P305" s="99">
        <f t="shared" si="134"/>
        <v>290000</v>
      </c>
      <c r="Q305" s="99">
        <f t="shared" si="134"/>
        <v>290000</v>
      </c>
      <c r="R305" s="99">
        <f t="shared" si="134"/>
        <v>290000</v>
      </c>
    </row>
    <row r="306" ht="12.75" customHeight="1" outlineLevel="1">
      <c r="A306" s="90"/>
      <c r="B306" s="67"/>
      <c r="C306" s="90"/>
      <c r="D306" s="90" t="s">
        <v>702</v>
      </c>
      <c r="E306" s="90"/>
      <c r="F306" s="90"/>
      <c r="G306" s="99">
        <f t="shared" ref="G306:R306" si="135">G140*G170</f>
        <v>0</v>
      </c>
      <c r="H306" s="99">
        <f t="shared" si="135"/>
        <v>0</v>
      </c>
      <c r="I306" s="99">
        <f t="shared" si="135"/>
        <v>67000</v>
      </c>
      <c r="J306" s="99">
        <f t="shared" si="135"/>
        <v>83333.33333</v>
      </c>
      <c r="K306" s="99">
        <f t="shared" si="135"/>
        <v>83333.33333</v>
      </c>
      <c r="L306" s="99">
        <f t="shared" si="135"/>
        <v>83333.33333</v>
      </c>
      <c r="M306" s="99">
        <f t="shared" si="135"/>
        <v>83333.33333</v>
      </c>
      <c r="N306" s="99">
        <f t="shared" si="135"/>
        <v>83333.33333</v>
      </c>
      <c r="O306" s="99">
        <f t="shared" si="135"/>
        <v>83333.33333</v>
      </c>
      <c r="P306" s="99">
        <f t="shared" si="135"/>
        <v>83333.33333</v>
      </c>
      <c r="Q306" s="99">
        <f t="shared" si="135"/>
        <v>83333.33333</v>
      </c>
      <c r="R306" s="99">
        <f t="shared" si="135"/>
        <v>83333.33333</v>
      </c>
      <c r="T306" s="99"/>
    </row>
    <row r="307" ht="12.75" customHeight="1" outlineLevel="1">
      <c r="A307" s="90"/>
      <c r="B307" s="67"/>
      <c r="C307" s="87"/>
      <c r="D307" s="87" t="s">
        <v>803</v>
      </c>
      <c r="E307" s="87"/>
      <c r="F307" s="87"/>
      <c r="G307" s="125">
        <f t="shared" ref="G307:R307" si="136">10*G171*G148</f>
        <v>0</v>
      </c>
      <c r="H307" s="125">
        <f t="shared" si="136"/>
        <v>0</v>
      </c>
      <c r="I307" s="125">
        <f t="shared" si="136"/>
        <v>0</v>
      </c>
      <c r="J307" s="125">
        <f t="shared" si="136"/>
        <v>0</v>
      </c>
      <c r="K307" s="125">
        <f t="shared" si="136"/>
        <v>0</v>
      </c>
      <c r="L307" s="125">
        <f t="shared" si="136"/>
        <v>0</v>
      </c>
      <c r="M307" s="125">
        <f t="shared" si="136"/>
        <v>0</v>
      </c>
      <c r="N307" s="125">
        <f t="shared" si="136"/>
        <v>0</v>
      </c>
      <c r="O307" s="125">
        <f t="shared" si="136"/>
        <v>0</v>
      </c>
      <c r="P307" s="125">
        <f t="shared" si="136"/>
        <v>0</v>
      </c>
      <c r="Q307" s="125">
        <f t="shared" si="136"/>
        <v>0</v>
      </c>
      <c r="R307" s="125">
        <f t="shared" si="136"/>
        <v>0</v>
      </c>
    </row>
    <row r="308" ht="12.75" customHeight="1" outlineLevel="1">
      <c r="A308" s="90"/>
      <c r="B308" s="67"/>
      <c r="C308" s="90" t="s">
        <v>804</v>
      </c>
      <c r="D308" s="90"/>
      <c r="E308" s="90"/>
      <c r="F308" s="90"/>
      <c r="G308" s="99">
        <f t="shared" ref="G308:R308" si="137">SUM(G301:G307)</f>
        <v>0</v>
      </c>
      <c r="H308" s="99">
        <f t="shared" si="137"/>
        <v>70833.33333</v>
      </c>
      <c r="I308" s="99">
        <f t="shared" si="137"/>
        <v>650333.3333</v>
      </c>
      <c r="J308" s="99">
        <f t="shared" si="137"/>
        <v>714583.3333</v>
      </c>
      <c r="K308" s="99">
        <f t="shared" si="137"/>
        <v>714583.3333</v>
      </c>
      <c r="L308" s="99">
        <f t="shared" si="137"/>
        <v>714583.3333</v>
      </c>
      <c r="M308" s="99">
        <f t="shared" si="137"/>
        <v>714583.3333</v>
      </c>
      <c r="N308" s="99">
        <f t="shared" si="137"/>
        <v>714583.3333</v>
      </c>
      <c r="O308" s="99">
        <f t="shared" si="137"/>
        <v>714583.3333</v>
      </c>
      <c r="P308" s="99">
        <f t="shared" si="137"/>
        <v>714583.3333</v>
      </c>
      <c r="Q308" s="99">
        <f t="shared" si="137"/>
        <v>714583.3333</v>
      </c>
      <c r="R308" s="99">
        <f t="shared" si="137"/>
        <v>714583.3333</v>
      </c>
    </row>
    <row r="309" ht="12.75" customHeight="1" outlineLevel="1">
      <c r="A309" s="90"/>
      <c r="B309" s="67"/>
      <c r="C309" s="90"/>
      <c r="D309" s="90"/>
      <c r="E309" s="90"/>
      <c r="F309" s="90"/>
      <c r="G309" s="99"/>
      <c r="H309" s="99"/>
      <c r="I309" s="99"/>
      <c r="J309" s="99"/>
      <c r="K309" s="99"/>
      <c r="L309" s="99"/>
      <c r="M309" s="99"/>
      <c r="N309" s="99"/>
      <c r="O309" s="99"/>
      <c r="P309" s="99"/>
      <c r="Q309" s="99"/>
      <c r="R309" s="99"/>
    </row>
    <row r="310" ht="12.75" customHeight="1" outlineLevel="1">
      <c r="A310" s="90"/>
      <c r="B310" s="67"/>
      <c r="C310" s="90" t="s">
        <v>805</v>
      </c>
      <c r="D310" s="90"/>
      <c r="E310" s="90"/>
      <c r="F310" s="90"/>
      <c r="G310" s="99"/>
      <c r="H310" s="99"/>
      <c r="I310" s="99"/>
      <c r="J310" s="99"/>
      <c r="K310" s="99"/>
      <c r="L310" s="99"/>
      <c r="M310" s="99"/>
      <c r="N310" s="99"/>
      <c r="O310" s="99"/>
      <c r="P310" s="99"/>
      <c r="Q310" s="99"/>
      <c r="R310" s="99"/>
    </row>
    <row r="311" ht="12.75" customHeight="1" outlineLevel="1">
      <c r="A311" s="90"/>
      <c r="B311" s="90"/>
      <c r="C311" s="90"/>
      <c r="D311" s="90" t="s">
        <v>711</v>
      </c>
      <c r="E311" s="90"/>
      <c r="F311" s="90"/>
      <c r="G311" s="99">
        <f t="shared" ref="G311:R311" si="138">G151*G172</f>
        <v>0</v>
      </c>
      <c r="H311" s="99">
        <f t="shared" si="138"/>
        <v>24000</v>
      </c>
      <c r="I311" s="99">
        <f t="shared" si="138"/>
        <v>48000</v>
      </c>
      <c r="J311" s="99">
        <f t="shared" si="138"/>
        <v>48000</v>
      </c>
      <c r="K311" s="99">
        <f t="shared" si="138"/>
        <v>48000</v>
      </c>
      <c r="L311" s="99">
        <f t="shared" si="138"/>
        <v>48000</v>
      </c>
      <c r="M311" s="99">
        <f t="shared" si="138"/>
        <v>48000</v>
      </c>
      <c r="N311" s="99">
        <f t="shared" si="138"/>
        <v>48000</v>
      </c>
      <c r="O311" s="99">
        <f t="shared" si="138"/>
        <v>48000</v>
      </c>
      <c r="P311" s="99">
        <f t="shared" si="138"/>
        <v>48000</v>
      </c>
      <c r="Q311" s="99">
        <f t="shared" si="138"/>
        <v>48000</v>
      </c>
      <c r="R311" s="99">
        <f t="shared" si="138"/>
        <v>48000</v>
      </c>
    </row>
    <row r="312" ht="12.75" customHeight="1" outlineLevel="1">
      <c r="A312" s="90"/>
      <c r="B312" s="90"/>
      <c r="C312" s="90"/>
      <c r="D312" s="90" t="s">
        <v>712</v>
      </c>
      <c r="E312" s="90"/>
      <c r="F312" s="90"/>
      <c r="G312" s="99">
        <f t="shared" ref="G312:R312" si="139">G152*G173</f>
        <v>0</v>
      </c>
      <c r="H312" s="99">
        <f t="shared" si="139"/>
        <v>0</v>
      </c>
      <c r="I312" s="99">
        <f t="shared" si="139"/>
        <v>50000</v>
      </c>
      <c r="J312" s="99">
        <f t="shared" si="139"/>
        <v>50000</v>
      </c>
      <c r="K312" s="99">
        <f t="shared" si="139"/>
        <v>50000</v>
      </c>
      <c r="L312" s="99">
        <f t="shared" si="139"/>
        <v>50000</v>
      </c>
      <c r="M312" s="99">
        <f t="shared" si="139"/>
        <v>50000</v>
      </c>
      <c r="N312" s="99">
        <f t="shared" si="139"/>
        <v>50000</v>
      </c>
      <c r="O312" s="99">
        <f t="shared" si="139"/>
        <v>50000</v>
      </c>
      <c r="P312" s="99">
        <f t="shared" si="139"/>
        <v>50000</v>
      </c>
      <c r="Q312" s="99">
        <f t="shared" si="139"/>
        <v>50000</v>
      </c>
      <c r="R312" s="99">
        <f t="shared" si="139"/>
        <v>50000</v>
      </c>
    </row>
    <row r="313" ht="12.75" customHeight="1" outlineLevel="1">
      <c r="A313" s="90"/>
      <c r="B313" s="67"/>
      <c r="C313" s="90"/>
      <c r="D313" s="90" t="s">
        <v>713</v>
      </c>
      <c r="E313" s="90"/>
      <c r="F313" s="90"/>
      <c r="G313" s="99">
        <f t="shared" ref="G313:H313" si="140">G153*G174</f>
        <v>0</v>
      </c>
      <c r="H313" s="99">
        <f t="shared" si="140"/>
        <v>0</v>
      </c>
      <c r="I313" s="99">
        <f t="shared" ref="I313:R313" si="141">I174*I153</f>
        <v>21600</v>
      </c>
      <c r="J313" s="99">
        <f t="shared" si="141"/>
        <v>21600</v>
      </c>
      <c r="K313" s="99">
        <f t="shared" si="141"/>
        <v>21600</v>
      </c>
      <c r="L313" s="99">
        <f t="shared" si="141"/>
        <v>21600</v>
      </c>
      <c r="M313" s="99">
        <f t="shared" si="141"/>
        <v>21600</v>
      </c>
      <c r="N313" s="99">
        <f t="shared" si="141"/>
        <v>21600</v>
      </c>
      <c r="O313" s="99">
        <f t="shared" si="141"/>
        <v>21600</v>
      </c>
      <c r="P313" s="99">
        <f t="shared" si="141"/>
        <v>21600</v>
      </c>
      <c r="Q313" s="99">
        <f t="shared" si="141"/>
        <v>21600</v>
      </c>
      <c r="R313" s="99">
        <f t="shared" si="141"/>
        <v>21600</v>
      </c>
    </row>
    <row r="314" ht="12.75" customHeight="1" outlineLevel="1">
      <c r="A314" s="90"/>
      <c r="B314" s="67"/>
      <c r="C314" s="87"/>
      <c r="D314" s="87" t="s">
        <v>714</v>
      </c>
      <c r="E314" s="87"/>
      <c r="F314" s="87"/>
      <c r="G314" s="125">
        <f t="shared" ref="G314:H314" si="142">G154*G175</f>
        <v>0</v>
      </c>
      <c r="H314" s="125">
        <f t="shared" si="142"/>
        <v>0</v>
      </c>
      <c r="I314" s="125">
        <f t="shared" ref="I314:R314" si="143">I175*I154</f>
        <v>39600</v>
      </c>
      <c r="J314" s="125">
        <f t="shared" si="143"/>
        <v>39600</v>
      </c>
      <c r="K314" s="125">
        <f t="shared" si="143"/>
        <v>39600</v>
      </c>
      <c r="L314" s="125">
        <f t="shared" si="143"/>
        <v>39600</v>
      </c>
      <c r="M314" s="125">
        <f t="shared" si="143"/>
        <v>39600</v>
      </c>
      <c r="N314" s="125">
        <f t="shared" si="143"/>
        <v>39600</v>
      </c>
      <c r="O314" s="125">
        <f t="shared" si="143"/>
        <v>39600</v>
      </c>
      <c r="P314" s="125">
        <f t="shared" si="143"/>
        <v>39600</v>
      </c>
      <c r="Q314" s="125">
        <f t="shared" si="143"/>
        <v>39600</v>
      </c>
      <c r="R314" s="125">
        <f t="shared" si="143"/>
        <v>39600</v>
      </c>
    </row>
    <row r="315" ht="12.75" customHeight="1" outlineLevel="1">
      <c r="A315" s="90"/>
      <c r="B315" s="67"/>
      <c r="C315" s="90" t="s">
        <v>806</v>
      </c>
      <c r="D315" s="90"/>
      <c r="E315" s="90"/>
      <c r="F315" s="90"/>
      <c r="G315" s="99">
        <f t="shared" ref="G315:R315" si="144">SUM(G311:G314)</f>
        <v>0</v>
      </c>
      <c r="H315" s="99">
        <f t="shared" si="144"/>
        <v>24000</v>
      </c>
      <c r="I315" s="99">
        <f t="shared" si="144"/>
        <v>159200</v>
      </c>
      <c r="J315" s="99">
        <f t="shared" si="144"/>
        <v>159200</v>
      </c>
      <c r="K315" s="99">
        <f t="shared" si="144"/>
        <v>159200</v>
      </c>
      <c r="L315" s="99">
        <f t="shared" si="144"/>
        <v>159200</v>
      </c>
      <c r="M315" s="99">
        <f t="shared" si="144"/>
        <v>159200</v>
      </c>
      <c r="N315" s="99">
        <f t="shared" si="144"/>
        <v>159200</v>
      </c>
      <c r="O315" s="99">
        <f t="shared" si="144"/>
        <v>159200</v>
      </c>
      <c r="P315" s="99">
        <f t="shared" si="144"/>
        <v>159200</v>
      </c>
      <c r="Q315" s="99">
        <f t="shared" si="144"/>
        <v>159200</v>
      </c>
      <c r="R315" s="99">
        <f t="shared" si="144"/>
        <v>159200</v>
      </c>
    </row>
    <row r="316" ht="12.75" customHeight="1" outlineLevel="1">
      <c r="A316" s="90"/>
      <c r="B316" s="67"/>
      <c r="C316" s="90"/>
      <c r="D316" s="90"/>
      <c r="E316" s="90"/>
      <c r="F316" s="90"/>
      <c r="G316" s="99"/>
      <c r="H316" s="99"/>
      <c r="I316" s="99"/>
      <c r="J316" s="99"/>
      <c r="K316" s="99"/>
      <c r="L316" s="99"/>
      <c r="M316" s="99"/>
      <c r="N316" s="99"/>
      <c r="O316" s="99"/>
      <c r="P316" s="99"/>
      <c r="Q316" s="99"/>
      <c r="R316" s="99"/>
    </row>
    <row r="317" ht="12.75" customHeight="1" outlineLevel="1">
      <c r="A317" s="90"/>
      <c r="B317" s="67"/>
      <c r="C317" s="90" t="s">
        <v>807</v>
      </c>
      <c r="D317" s="90"/>
      <c r="E317" s="90"/>
      <c r="F317" s="90"/>
      <c r="G317" s="99">
        <f>SUM(G308+G315)*G178*G179+G180</f>
        <v>0</v>
      </c>
      <c r="H317" s="99">
        <f t="shared" ref="H317:R317" si="145">SUM(H308+H311)*H178*H179+H180</f>
        <v>16566.66667</v>
      </c>
      <c r="I317" s="99">
        <f t="shared" si="145"/>
        <v>84866.66667</v>
      </c>
      <c r="J317" s="99">
        <f t="shared" si="145"/>
        <v>94591.66667</v>
      </c>
      <c r="K317" s="99">
        <f t="shared" si="145"/>
        <v>94591.66667</v>
      </c>
      <c r="L317" s="99">
        <f t="shared" si="145"/>
        <v>94591.66667</v>
      </c>
      <c r="M317" s="99">
        <f t="shared" si="145"/>
        <v>94591.66667</v>
      </c>
      <c r="N317" s="99">
        <f t="shared" si="145"/>
        <v>94591.66667</v>
      </c>
      <c r="O317" s="99">
        <f t="shared" si="145"/>
        <v>94591.66667</v>
      </c>
      <c r="P317" s="99">
        <f t="shared" si="145"/>
        <v>94591.66667</v>
      </c>
      <c r="Q317" s="99">
        <f t="shared" si="145"/>
        <v>94591.66667</v>
      </c>
      <c r="R317" s="99">
        <f t="shared" si="145"/>
        <v>94591.66667</v>
      </c>
    </row>
    <row r="318" ht="12.75" customHeight="1" outlineLevel="1">
      <c r="A318" s="90"/>
      <c r="B318" s="87"/>
      <c r="C318" s="87"/>
      <c r="D318" s="87"/>
      <c r="E318" s="87"/>
      <c r="F318" s="87"/>
      <c r="G318" s="125"/>
      <c r="H318" s="125"/>
      <c r="I318" s="125"/>
      <c r="J318" s="125"/>
      <c r="K318" s="125"/>
      <c r="L318" s="125"/>
      <c r="M318" s="125"/>
      <c r="N318" s="125"/>
      <c r="O318" s="125"/>
      <c r="P318" s="125"/>
      <c r="Q318" s="125"/>
      <c r="R318" s="125"/>
    </row>
    <row r="319" ht="12.75" customHeight="1" outlineLevel="1">
      <c r="A319" s="90"/>
      <c r="B319" s="67" t="s">
        <v>312</v>
      </c>
      <c r="C319" s="90"/>
      <c r="D319" s="90"/>
      <c r="E319" s="90"/>
      <c r="F319" s="90"/>
      <c r="G319" s="79">
        <f t="shared" ref="G319:R319" si="146">G315+G308+G317</f>
        <v>0</v>
      </c>
      <c r="H319" s="79">
        <f t="shared" si="146"/>
        <v>111400</v>
      </c>
      <c r="I319" s="79">
        <f t="shared" si="146"/>
        <v>894400</v>
      </c>
      <c r="J319" s="79">
        <f t="shared" si="146"/>
        <v>968375</v>
      </c>
      <c r="K319" s="79">
        <f t="shared" si="146"/>
        <v>968375</v>
      </c>
      <c r="L319" s="79">
        <f t="shared" si="146"/>
        <v>968375</v>
      </c>
      <c r="M319" s="79">
        <f t="shared" si="146"/>
        <v>968375</v>
      </c>
      <c r="N319" s="79">
        <f t="shared" si="146"/>
        <v>968375</v>
      </c>
      <c r="O319" s="79">
        <f t="shared" si="146"/>
        <v>968375</v>
      </c>
      <c r="P319" s="79">
        <f t="shared" si="146"/>
        <v>968375</v>
      </c>
      <c r="Q319" s="79">
        <f t="shared" si="146"/>
        <v>968375</v>
      </c>
      <c r="R319" s="79">
        <f t="shared" si="146"/>
        <v>968375</v>
      </c>
    </row>
    <row r="320" ht="12.75" customHeight="1" outlineLevel="1">
      <c r="A320" s="90"/>
      <c r="B320" s="90"/>
      <c r="C320" s="90"/>
      <c r="D320" s="90"/>
      <c r="E320" s="90"/>
      <c r="F320" s="90"/>
      <c r="G320" s="91"/>
      <c r="H320" s="91"/>
      <c r="I320" s="91"/>
      <c r="J320" s="91"/>
      <c r="K320" s="91"/>
      <c r="L320" s="91"/>
      <c r="M320" s="91"/>
      <c r="N320" s="91"/>
      <c r="O320" s="91"/>
      <c r="P320" s="91"/>
      <c r="Q320" s="91"/>
      <c r="R320" s="91"/>
    </row>
    <row r="321" ht="12.75" customHeight="1" outlineLevel="1">
      <c r="A321" s="90"/>
      <c r="B321" s="67" t="s">
        <v>808</v>
      </c>
      <c r="C321" s="90"/>
      <c r="D321" s="90"/>
      <c r="E321" s="90"/>
      <c r="F321" s="90"/>
      <c r="G321" s="90"/>
      <c r="H321" s="90"/>
      <c r="I321" s="90"/>
      <c r="J321" s="383"/>
      <c r="K321" s="90"/>
      <c r="L321" s="90"/>
      <c r="M321" s="90"/>
      <c r="N321" s="90"/>
      <c r="O321" s="90"/>
      <c r="P321" s="90"/>
      <c r="Q321" s="90"/>
      <c r="R321" s="90"/>
    </row>
    <row r="322" ht="12.75" customHeight="1" outlineLevel="1">
      <c r="A322" s="90"/>
      <c r="B322" s="90"/>
      <c r="C322" s="90" t="s">
        <v>809</v>
      </c>
      <c r="D322" s="90"/>
      <c r="E322" s="90"/>
      <c r="F322" s="90"/>
      <c r="G322" s="99">
        <f t="shared" ref="G322:R322" si="147">G184*G185</f>
        <v>0</v>
      </c>
      <c r="H322" s="99">
        <f t="shared" si="147"/>
        <v>10800</v>
      </c>
      <c r="I322" s="99">
        <f t="shared" si="147"/>
        <v>122400</v>
      </c>
      <c r="J322" s="99">
        <f t="shared" si="147"/>
        <v>108000</v>
      </c>
      <c r="K322" s="99">
        <f t="shared" si="147"/>
        <v>108000</v>
      </c>
      <c r="L322" s="99">
        <f t="shared" si="147"/>
        <v>108000</v>
      </c>
      <c r="M322" s="99">
        <f t="shared" si="147"/>
        <v>108000</v>
      </c>
      <c r="N322" s="99">
        <f t="shared" si="147"/>
        <v>108000</v>
      </c>
      <c r="O322" s="99">
        <f t="shared" si="147"/>
        <v>108000</v>
      </c>
      <c r="P322" s="99">
        <f t="shared" si="147"/>
        <v>108000</v>
      </c>
      <c r="Q322" s="99">
        <f t="shared" si="147"/>
        <v>108000</v>
      </c>
      <c r="R322" s="99">
        <f t="shared" si="147"/>
        <v>108000</v>
      </c>
    </row>
    <row r="323" ht="12.75" customHeight="1" outlineLevel="1">
      <c r="A323" s="90"/>
      <c r="B323" s="90"/>
      <c r="C323" s="90" t="s">
        <v>731</v>
      </c>
      <c r="D323" s="90"/>
      <c r="E323" s="90"/>
      <c r="F323" s="90"/>
      <c r="G323" s="99">
        <f t="shared" ref="G323:G325" si="149">G186*G$319</f>
        <v>0</v>
      </c>
      <c r="H323" s="99">
        <f>H$319*H186</f>
        <v>1782.4</v>
      </c>
      <c r="I323" s="99">
        <f t="shared" ref="I323:R323" si="148">I186*I$319</f>
        <v>14310.4</v>
      </c>
      <c r="J323" s="99">
        <f t="shared" si="148"/>
        <v>15494</v>
      </c>
      <c r="K323" s="99">
        <f t="shared" si="148"/>
        <v>15494</v>
      </c>
      <c r="L323" s="99">
        <f t="shared" si="148"/>
        <v>15494</v>
      </c>
      <c r="M323" s="99">
        <f t="shared" si="148"/>
        <v>15494</v>
      </c>
      <c r="N323" s="99">
        <f t="shared" si="148"/>
        <v>15494</v>
      </c>
      <c r="O323" s="99">
        <f t="shared" si="148"/>
        <v>15494</v>
      </c>
      <c r="P323" s="99">
        <f t="shared" si="148"/>
        <v>15494</v>
      </c>
      <c r="Q323" s="99">
        <f t="shared" si="148"/>
        <v>15494</v>
      </c>
      <c r="R323" s="99">
        <f t="shared" si="148"/>
        <v>15494</v>
      </c>
    </row>
    <row r="324" ht="12.75" customHeight="1" outlineLevel="1">
      <c r="A324" s="90"/>
      <c r="B324" s="90"/>
      <c r="C324" s="90" t="s">
        <v>810</v>
      </c>
      <c r="D324" s="90"/>
      <c r="E324" s="90"/>
      <c r="F324" s="90"/>
      <c r="G324" s="99">
        <f t="shared" si="149"/>
        <v>0</v>
      </c>
      <c r="H324" s="99">
        <f t="shared" ref="H324:R324" si="150">H187*H319</f>
        <v>1225.4</v>
      </c>
      <c r="I324" s="99">
        <f t="shared" si="150"/>
        <v>9838.4</v>
      </c>
      <c r="J324" s="99">
        <f t="shared" si="150"/>
        <v>10652.125</v>
      </c>
      <c r="K324" s="99">
        <f t="shared" si="150"/>
        <v>10652.125</v>
      </c>
      <c r="L324" s="99">
        <f t="shared" si="150"/>
        <v>10652.125</v>
      </c>
      <c r="M324" s="99">
        <f t="shared" si="150"/>
        <v>10652.125</v>
      </c>
      <c r="N324" s="99">
        <f t="shared" si="150"/>
        <v>10652.125</v>
      </c>
      <c r="O324" s="99">
        <f t="shared" si="150"/>
        <v>10652.125</v>
      </c>
      <c r="P324" s="99">
        <f t="shared" si="150"/>
        <v>10652.125</v>
      </c>
      <c r="Q324" s="99">
        <f t="shared" si="150"/>
        <v>10652.125</v>
      </c>
      <c r="R324" s="99">
        <f t="shared" si="150"/>
        <v>10652.125</v>
      </c>
    </row>
    <row r="325" ht="12.75" customHeight="1" outlineLevel="1">
      <c r="A325" s="90"/>
      <c r="B325" s="90"/>
      <c r="C325" s="90" t="s">
        <v>733</v>
      </c>
      <c r="D325" s="90"/>
      <c r="E325" s="90"/>
      <c r="F325" s="90"/>
      <c r="G325" s="99">
        <f t="shared" si="149"/>
        <v>0</v>
      </c>
      <c r="H325" s="99">
        <f t="shared" ref="H325:R325" si="151">0.0745*(H315+H317*H315/(H315+H308))+0.0165*(H308+H317*H308/(H308+H315))</f>
        <v>3473.27188</v>
      </c>
      <c r="I325" s="99">
        <f t="shared" si="151"/>
        <v>24959.19578</v>
      </c>
      <c r="J325" s="99">
        <f t="shared" si="151"/>
        <v>26211.37353</v>
      </c>
      <c r="K325" s="99">
        <f t="shared" si="151"/>
        <v>26211.37353</v>
      </c>
      <c r="L325" s="99">
        <f t="shared" si="151"/>
        <v>26211.37353</v>
      </c>
      <c r="M325" s="99">
        <f t="shared" si="151"/>
        <v>26211.37353</v>
      </c>
      <c r="N325" s="99">
        <f t="shared" si="151"/>
        <v>26211.37353</v>
      </c>
      <c r="O325" s="99">
        <f t="shared" si="151"/>
        <v>26211.37353</v>
      </c>
      <c r="P325" s="99">
        <f t="shared" si="151"/>
        <v>26211.37353</v>
      </c>
      <c r="Q325" s="99">
        <f t="shared" si="151"/>
        <v>26211.37353</v>
      </c>
      <c r="R325" s="99">
        <f t="shared" si="151"/>
        <v>26211.37353</v>
      </c>
    </row>
    <row r="326" ht="12.75" customHeight="1" outlineLevel="1">
      <c r="A326" s="90"/>
      <c r="B326" s="90"/>
      <c r="C326" s="90" t="s">
        <v>734</v>
      </c>
      <c r="D326" s="90"/>
      <c r="E326" s="90"/>
      <c r="F326" s="90"/>
      <c r="G326" s="99">
        <f>G308*G189</f>
        <v>0</v>
      </c>
      <c r="H326" s="99">
        <f t="shared" ref="H326:R326" si="152">(H308-H307)*H189</f>
        <v>5843.75</v>
      </c>
      <c r="I326" s="99">
        <f t="shared" si="152"/>
        <v>53652.5</v>
      </c>
      <c r="J326" s="99">
        <f t="shared" si="152"/>
        <v>58953.125</v>
      </c>
      <c r="K326" s="99">
        <f t="shared" si="152"/>
        <v>58953.125</v>
      </c>
      <c r="L326" s="99">
        <f t="shared" si="152"/>
        <v>58953.125</v>
      </c>
      <c r="M326" s="99">
        <f t="shared" si="152"/>
        <v>58953.125</v>
      </c>
      <c r="N326" s="99">
        <f t="shared" si="152"/>
        <v>58953.125</v>
      </c>
      <c r="O326" s="99">
        <f t="shared" si="152"/>
        <v>58953.125</v>
      </c>
      <c r="P326" s="99">
        <f t="shared" si="152"/>
        <v>58953.125</v>
      </c>
      <c r="Q326" s="99">
        <f t="shared" si="152"/>
        <v>58953.125</v>
      </c>
      <c r="R326" s="99">
        <f t="shared" si="152"/>
        <v>58953.125</v>
      </c>
    </row>
    <row r="327" ht="12.75" customHeight="1" outlineLevel="1">
      <c r="A327" s="90"/>
      <c r="B327" s="90"/>
      <c r="C327" s="90" t="s">
        <v>735</v>
      </c>
      <c r="D327" s="90"/>
      <c r="E327" s="90"/>
      <c r="F327" s="90"/>
      <c r="G327" s="99">
        <f>G315*G190</f>
        <v>0</v>
      </c>
      <c r="H327" s="99">
        <f t="shared" ref="H327:R327" si="153">0.03*H315+0.03*H317*H315/(H315+H308)</f>
        <v>845.7785589</v>
      </c>
      <c r="I327" s="99">
        <f t="shared" si="153"/>
        <v>5276.687474</v>
      </c>
      <c r="J327" s="99">
        <f t="shared" si="153"/>
        <v>5293.027257</v>
      </c>
      <c r="K327" s="99">
        <f t="shared" si="153"/>
        <v>5293.027257</v>
      </c>
      <c r="L327" s="99">
        <f t="shared" si="153"/>
        <v>5293.027257</v>
      </c>
      <c r="M327" s="99">
        <f t="shared" si="153"/>
        <v>5293.027257</v>
      </c>
      <c r="N327" s="99">
        <f t="shared" si="153"/>
        <v>5293.027257</v>
      </c>
      <c r="O327" s="99">
        <f t="shared" si="153"/>
        <v>5293.027257</v>
      </c>
      <c r="P327" s="99">
        <f t="shared" si="153"/>
        <v>5293.027257</v>
      </c>
      <c r="Q327" s="99">
        <f t="shared" si="153"/>
        <v>5293.027257</v>
      </c>
      <c r="R327" s="99">
        <f t="shared" si="153"/>
        <v>5293.027257</v>
      </c>
    </row>
    <row r="328" ht="12.75" customHeight="1" outlineLevel="1">
      <c r="A328" s="90"/>
      <c r="B328" s="90"/>
      <c r="C328" s="90" t="s">
        <v>736</v>
      </c>
      <c r="D328" s="90"/>
      <c r="E328" s="90"/>
      <c r="F328" s="90"/>
      <c r="G328" s="99">
        <f t="shared" ref="G328:G329" si="154">G191*G$319</f>
        <v>0</v>
      </c>
      <c r="H328" s="99"/>
      <c r="I328" s="99"/>
      <c r="J328" s="99"/>
      <c r="K328" s="99"/>
      <c r="L328" s="99"/>
      <c r="M328" s="99"/>
      <c r="N328" s="99"/>
      <c r="O328" s="99"/>
      <c r="P328" s="99"/>
      <c r="Q328" s="99"/>
      <c r="R328" s="99"/>
    </row>
    <row r="329" ht="12.75" customHeight="1" outlineLevel="1">
      <c r="A329" s="90"/>
      <c r="B329" s="87"/>
      <c r="C329" s="87" t="s">
        <v>737</v>
      </c>
      <c r="D329" s="87"/>
      <c r="E329" s="87"/>
      <c r="F329" s="87"/>
      <c r="G329" s="125">
        <f t="shared" si="154"/>
        <v>0</v>
      </c>
      <c r="H329" s="125"/>
      <c r="I329" s="125"/>
      <c r="J329" s="125"/>
      <c r="K329" s="125"/>
      <c r="L329" s="125"/>
      <c r="M329" s="125"/>
      <c r="N329" s="125"/>
      <c r="O329" s="125"/>
      <c r="P329" s="125"/>
      <c r="Q329" s="125"/>
      <c r="R329" s="125"/>
    </row>
    <row r="330" ht="12.75" customHeight="1" outlineLevel="1">
      <c r="A330" s="90"/>
      <c r="B330" s="67" t="s">
        <v>313</v>
      </c>
      <c r="C330" s="90"/>
      <c r="D330" s="90"/>
      <c r="E330" s="90"/>
      <c r="F330" s="90"/>
      <c r="G330" s="79">
        <f t="shared" ref="G330:R330" si="155">SUM(G322:G329)</f>
        <v>0</v>
      </c>
      <c r="H330" s="79">
        <f t="shared" si="155"/>
        <v>23970.60044</v>
      </c>
      <c r="I330" s="79">
        <f t="shared" si="155"/>
        <v>230437.1833</v>
      </c>
      <c r="J330" s="79">
        <f t="shared" si="155"/>
        <v>224603.6508</v>
      </c>
      <c r="K330" s="79">
        <f t="shared" si="155"/>
        <v>224603.6508</v>
      </c>
      <c r="L330" s="79">
        <f t="shared" si="155"/>
        <v>224603.6508</v>
      </c>
      <c r="M330" s="79">
        <f t="shared" si="155"/>
        <v>224603.6508</v>
      </c>
      <c r="N330" s="79">
        <f t="shared" si="155"/>
        <v>224603.6508</v>
      </c>
      <c r="O330" s="79">
        <f t="shared" si="155"/>
        <v>224603.6508</v>
      </c>
      <c r="P330" s="79">
        <f t="shared" si="155"/>
        <v>224603.6508</v>
      </c>
      <c r="Q330" s="79">
        <f t="shared" si="155"/>
        <v>224603.6508</v>
      </c>
      <c r="R330" s="79">
        <f t="shared" si="155"/>
        <v>224603.6508</v>
      </c>
    </row>
    <row r="331" ht="12.75" customHeight="1" outlineLevel="1">
      <c r="A331" s="90"/>
      <c r="B331" s="90"/>
      <c r="C331" s="90"/>
      <c r="D331" s="90"/>
      <c r="E331" s="90"/>
      <c r="F331" s="90"/>
      <c r="G331" s="90"/>
      <c r="H331" s="90"/>
      <c r="I331" s="90"/>
      <c r="J331" s="90"/>
      <c r="K331" s="90"/>
      <c r="L331" s="90"/>
      <c r="M331" s="90"/>
      <c r="N331" s="90"/>
      <c r="O331" s="90"/>
      <c r="P331" s="90"/>
      <c r="Q331" s="90"/>
      <c r="R331" s="90"/>
    </row>
    <row r="332" ht="12.75" customHeight="1" outlineLevel="1">
      <c r="A332" s="90"/>
      <c r="B332" s="67" t="s">
        <v>811</v>
      </c>
      <c r="C332" s="90"/>
      <c r="D332" s="90"/>
      <c r="E332" s="90"/>
      <c r="F332" s="90"/>
      <c r="G332" s="90"/>
      <c r="H332" s="90"/>
      <c r="I332" s="90"/>
      <c r="J332" s="152"/>
      <c r="K332" s="152"/>
      <c r="L332" s="152"/>
      <c r="M332" s="152"/>
      <c r="N332" s="152"/>
      <c r="O332" s="152"/>
      <c r="P332" s="152"/>
      <c r="Q332" s="152"/>
      <c r="R332" s="90"/>
    </row>
    <row r="333" ht="12.75" customHeight="1" outlineLevel="1">
      <c r="A333" s="90"/>
      <c r="B333" s="90"/>
      <c r="C333" s="90" t="s">
        <v>812</v>
      </c>
      <c r="D333" s="90"/>
      <c r="E333" s="90"/>
      <c r="F333" s="90"/>
      <c r="G333" s="99">
        <v>0.0</v>
      </c>
      <c r="H333" s="99">
        <v>2000.0</v>
      </c>
      <c r="I333" s="99">
        <f t="shared" ref="I333:R333" si="156">I199*I47+I200*I49</f>
        <v>35280</v>
      </c>
      <c r="J333" s="99">
        <f t="shared" si="156"/>
        <v>31960</v>
      </c>
      <c r="K333" s="99">
        <f t="shared" si="156"/>
        <v>33400</v>
      </c>
      <c r="L333" s="99">
        <f t="shared" si="156"/>
        <v>32500</v>
      </c>
      <c r="M333" s="99">
        <f t="shared" si="156"/>
        <v>32500</v>
      </c>
      <c r="N333" s="99">
        <f t="shared" si="156"/>
        <v>32500</v>
      </c>
      <c r="O333" s="99">
        <f t="shared" si="156"/>
        <v>32500</v>
      </c>
      <c r="P333" s="99">
        <f t="shared" si="156"/>
        <v>32500</v>
      </c>
      <c r="Q333" s="99">
        <f t="shared" si="156"/>
        <v>32500</v>
      </c>
      <c r="R333" s="99">
        <f t="shared" si="156"/>
        <v>32500</v>
      </c>
    </row>
    <row r="334" ht="12.75" customHeight="1" outlineLevel="1">
      <c r="A334" s="90"/>
      <c r="B334" s="90"/>
      <c r="C334" s="90" t="s">
        <v>813</v>
      </c>
      <c r="D334" s="90"/>
      <c r="E334" s="90"/>
      <c r="F334" s="90"/>
      <c r="G334" s="99">
        <f t="shared" ref="G334:R334" si="157">G148*G201</f>
        <v>0</v>
      </c>
      <c r="H334" s="99">
        <f t="shared" si="157"/>
        <v>0</v>
      </c>
      <c r="I334" s="99">
        <f t="shared" si="157"/>
        <v>9000</v>
      </c>
      <c r="J334" s="99">
        <f t="shared" si="157"/>
        <v>10000</v>
      </c>
      <c r="K334" s="99">
        <f t="shared" si="157"/>
        <v>10000</v>
      </c>
      <c r="L334" s="99">
        <f t="shared" si="157"/>
        <v>10000</v>
      </c>
      <c r="M334" s="99">
        <f t="shared" si="157"/>
        <v>10000</v>
      </c>
      <c r="N334" s="99">
        <f t="shared" si="157"/>
        <v>10000</v>
      </c>
      <c r="O334" s="99">
        <f t="shared" si="157"/>
        <v>10000</v>
      </c>
      <c r="P334" s="99">
        <f t="shared" si="157"/>
        <v>10000</v>
      </c>
      <c r="Q334" s="99">
        <f t="shared" si="157"/>
        <v>10000</v>
      </c>
      <c r="R334" s="99">
        <f t="shared" si="157"/>
        <v>10000</v>
      </c>
    </row>
    <row r="335" ht="12.75" customHeight="1" outlineLevel="1">
      <c r="A335" s="90"/>
      <c r="B335" s="90"/>
      <c r="C335" s="90" t="s">
        <v>814</v>
      </c>
      <c r="D335" s="90"/>
      <c r="E335" s="90"/>
      <c r="F335" s="90"/>
      <c r="G335" s="99">
        <f t="shared" ref="G335:R335" si="158">G205+(G203)*G49+G204</f>
        <v>0</v>
      </c>
      <c r="H335" s="99">
        <f t="shared" si="158"/>
        <v>0</v>
      </c>
      <c r="I335" s="99">
        <f t="shared" si="158"/>
        <v>123800</v>
      </c>
      <c r="J335" s="99">
        <f t="shared" si="158"/>
        <v>30800</v>
      </c>
      <c r="K335" s="99">
        <f t="shared" si="158"/>
        <v>25400</v>
      </c>
      <c r="L335" s="99">
        <f t="shared" si="158"/>
        <v>15000</v>
      </c>
      <c r="M335" s="99">
        <f t="shared" si="158"/>
        <v>15000</v>
      </c>
      <c r="N335" s="99">
        <f t="shared" si="158"/>
        <v>15000</v>
      </c>
      <c r="O335" s="99">
        <f t="shared" si="158"/>
        <v>15000</v>
      </c>
      <c r="P335" s="99">
        <f t="shared" si="158"/>
        <v>15000</v>
      </c>
      <c r="Q335" s="99">
        <f t="shared" si="158"/>
        <v>15000</v>
      </c>
      <c r="R335" s="99">
        <f t="shared" si="158"/>
        <v>15000</v>
      </c>
    </row>
    <row r="336" ht="12.75" customHeight="1" outlineLevel="1">
      <c r="A336" s="90"/>
      <c r="B336" s="90"/>
      <c r="C336" s="90" t="s">
        <v>815</v>
      </c>
      <c r="D336" s="90"/>
      <c r="E336" s="90"/>
      <c r="F336" s="90"/>
      <c r="G336" s="99">
        <f t="shared" ref="G336:H336" si="159">G47*G206</f>
        <v>0</v>
      </c>
      <c r="H336" s="99">
        <f t="shared" si="159"/>
        <v>0</v>
      </c>
      <c r="I336" s="99">
        <f t="shared" ref="I336:R336" si="160">I47*I206+10000</f>
        <v>49200</v>
      </c>
      <c r="J336" s="99">
        <f t="shared" si="160"/>
        <v>56400</v>
      </c>
      <c r="K336" s="99">
        <f t="shared" si="160"/>
        <v>60000</v>
      </c>
      <c r="L336" s="99">
        <f t="shared" si="160"/>
        <v>60000</v>
      </c>
      <c r="M336" s="99">
        <f t="shared" si="160"/>
        <v>60000</v>
      </c>
      <c r="N336" s="99">
        <f t="shared" si="160"/>
        <v>60000</v>
      </c>
      <c r="O336" s="99">
        <f t="shared" si="160"/>
        <v>60000</v>
      </c>
      <c r="P336" s="99">
        <f t="shared" si="160"/>
        <v>60000</v>
      </c>
      <c r="Q336" s="99">
        <f t="shared" si="160"/>
        <v>60000</v>
      </c>
      <c r="R336" s="99">
        <f t="shared" si="160"/>
        <v>60000</v>
      </c>
    </row>
    <row r="337" ht="12.75" customHeight="1" outlineLevel="1">
      <c r="A337" s="90"/>
      <c r="B337" s="90"/>
      <c r="C337" s="90" t="s">
        <v>816</v>
      </c>
      <c r="D337" s="90"/>
      <c r="E337" s="90"/>
      <c r="F337" s="90"/>
      <c r="G337" s="99">
        <v>0.0</v>
      </c>
      <c r="H337" s="99">
        <f>H207+H208+H160*800</f>
        <v>1950</v>
      </c>
      <c r="I337" s="99">
        <f t="shared" ref="I337:R337" si="161">I207+I208*I160</f>
        <v>124812.5</v>
      </c>
      <c r="J337" s="99">
        <f t="shared" si="161"/>
        <v>10750</v>
      </c>
      <c r="K337" s="99">
        <f t="shared" si="161"/>
        <v>10000</v>
      </c>
      <c r="L337" s="99">
        <f t="shared" si="161"/>
        <v>10000</v>
      </c>
      <c r="M337" s="99">
        <f t="shared" si="161"/>
        <v>10000</v>
      </c>
      <c r="N337" s="99">
        <f t="shared" si="161"/>
        <v>10000</v>
      </c>
      <c r="O337" s="99">
        <f t="shared" si="161"/>
        <v>10000</v>
      </c>
      <c r="P337" s="99">
        <f t="shared" si="161"/>
        <v>10000</v>
      </c>
      <c r="Q337" s="99">
        <f t="shared" si="161"/>
        <v>10000</v>
      </c>
      <c r="R337" s="99">
        <f t="shared" si="161"/>
        <v>10000</v>
      </c>
    </row>
    <row r="338" ht="12.75" customHeight="1" outlineLevel="1">
      <c r="A338" s="90"/>
      <c r="B338" s="87"/>
      <c r="C338" s="87" t="s">
        <v>817</v>
      </c>
      <c r="D338" s="87"/>
      <c r="E338" s="87"/>
      <c r="F338" s="87"/>
      <c r="G338" s="125">
        <f t="shared" ref="G338:H338" si="162">G196*G57</f>
        <v>0</v>
      </c>
      <c r="H338" s="125">
        <f t="shared" si="162"/>
        <v>0</v>
      </c>
      <c r="I338" s="125">
        <f t="shared" ref="I338:R338" si="163">I209*I56</f>
        <v>165580.8</v>
      </c>
      <c r="J338" s="125">
        <f t="shared" si="163"/>
        <v>195993.6</v>
      </c>
      <c r="K338" s="125">
        <f t="shared" si="163"/>
        <v>211200</v>
      </c>
      <c r="L338" s="125">
        <f t="shared" si="163"/>
        <v>211200</v>
      </c>
      <c r="M338" s="125">
        <f t="shared" si="163"/>
        <v>211200</v>
      </c>
      <c r="N338" s="125">
        <f t="shared" si="163"/>
        <v>211200</v>
      </c>
      <c r="O338" s="125">
        <f t="shared" si="163"/>
        <v>211200</v>
      </c>
      <c r="P338" s="125">
        <f t="shared" si="163"/>
        <v>211200</v>
      </c>
      <c r="Q338" s="125">
        <f t="shared" si="163"/>
        <v>211200</v>
      </c>
      <c r="R338" s="125">
        <f t="shared" si="163"/>
        <v>211200</v>
      </c>
    </row>
    <row r="339" ht="12.75" customHeight="1" outlineLevel="1">
      <c r="A339" s="90"/>
      <c r="B339" s="67" t="s">
        <v>1169</v>
      </c>
      <c r="C339" s="90"/>
      <c r="D339" s="90"/>
      <c r="E339" s="90"/>
      <c r="F339" s="90"/>
      <c r="G339" s="79">
        <f t="shared" ref="G339:R339" si="164">SUM(G333:G338)</f>
        <v>0</v>
      </c>
      <c r="H339" s="79">
        <f t="shared" si="164"/>
        <v>3950</v>
      </c>
      <c r="I339" s="79">
        <f t="shared" si="164"/>
        <v>507673.3</v>
      </c>
      <c r="J339" s="79">
        <f t="shared" si="164"/>
        <v>335903.6</v>
      </c>
      <c r="K339" s="79">
        <f t="shared" si="164"/>
        <v>350000</v>
      </c>
      <c r="L339" s="79">
        <f t="shared" si="164"/>
        <v>338700</v>
      </c>
      <c r="M339" s="79">
        <f t="shared" si="164"/>
        <v>338700</v>
      </c>
      <c r="N339" s="79">
        <f t="shared" si="164"/>
        <v>338700</v>
      </c>
      <c r="O339" s="79">
        <f t="shared" si="164"/>
        <v>338700</v>
      </c>
      <c r="P339" s="79">
        <f t="shared" si="164"/>
        <v>338700</v>
      </c>
      <c r="Q339" s="79">
        <f t="shared" si="164"/>
        <v>338700</v>
      </c>
      <c r="R339" s="79">
        <f t="shared" si="164"/>
        <v>338700</v>
      </c>
    </row>
    <row r="340" ht="12.75" customHeight="1" outlineLevel="1">
      <c r="A340" s="90"/>
      <c r="B340" s="90"/>
      <c r="C340" s="90"/>
      <c r="D340" s="90"/>
      <c r="E340" s="90"/>
      <c r="F340" s="90"/>
      <c r="G340" s="99"/>
      <c r="H340" s="99"/>
      <c r="I340" s="99"/>
      <c r="J340" s="99"/>
      <c r="K340" s="99"/>
      <c r="L340" s="99"/>
      <c r="M340" s="99"/>
      <c r="N340" s="99"/>
      <c r="O340" s="152"/>
      <c r="P340" s="152"/>
      <c r="Q340" s="152"/>
      <c r="R340" s="152"/>
    </row>
    <row r="341" ht="12.75" customHeight="1" outlineLevel="1">
      <c r="A341" s="90"/>
      <c r="B341" s="67" t="s">
        <v>626</v>
      </c>
      <c r="C341" s="90"/>
      <c r="D341" s="90"/>
      <c r="E341" s="90"/>
      <c r="F341" s="90"/>
      <c r="G341" s="99"/>
      <c r="H341" s="99"/>
      <c r="I341" s="99"/>
      <c r="J341" s="99"/>
      <c r="K341" s="99"/>
      <c r="L341" s="99"/>
      <c r="M341" s="99"/>
      <c r="N341" s="99"/>
      <c r="O341" s="99"/>
      <c r="P341" s="99"/>
      <c r="Q341" s="99"/>
      <c r="R341" s="99"/>
    </row>
    <row r="342" ht="12.75" customHeight="1" outlineLevel="1">
      <c r="A342" s="90"/>
      <c r="B342" s="67"/>
      <c r="C342" s="90" t="s">
        <v>819</v>
      </c>
      <c r="D342" s="90"/>
      <c r="E342" s="90"/>
      <c r="F342" s="90"/>
      <c r="G342" s="99" t="str">
        <f t="shared" ref="G342:H342" si="165">G212</f>
        <v/>
      </c>
      <c r="H342" s="99">
        <f t="shared" si="165"/>
        <v>0</v>
      </c>
      <c r="I342" s="99">
        <f t="shared" ref="I342:R342" si="166">I212*I145</f>
        <v>7000</v>
      </c>
      <c r="J342" s="99">
        <f t="shared" si="166"/>
        <v>17500</v>
      </c>
      <c r="K342" s="99">
        <f t="shared" si="166"/>
        <v>17500</v>
      </c>
      <c r="L342" s="99">
        <f t="shared" si="166"/>
        <v>17500</v>
      </c>
      <c r="M342" s="99">
        <f t="shared" si="166"/>
        <v>17500</v>
      </c>
      <c r="N342" s="99">
        <f t="shared" si="166"/>
        <v>17500</v>
      </c>
      <c r="O342" s="99">
        <f t="shared" si="166"/>
        <v>17500</v>
      </c>
      <c r="P342" s="99">
        <f t="shared" si="166"/>
        <v>17500</v>
      </c>
      <c r="Q342" s="99">
        <f t="shared" si="166"/>
        <v>17500</v>
      </c>
      <c r="R342" s="99">
        <f t="shared" si="166"/>
        <v>17500</v>
      </c>
    </row>
    <row r="343" ht="12.75" customHeight="1" outlineLevel="1">
      <c r="A343" s="90"/>
      <c r="B343" s="90"/>
      <c r="C343" s="90" t="s">
        <v>820</v>
      </c>
      <c r="D343" s="90"/>
      <c r="E343" s="90"/>
      <c r="F343" s="90"/>
      <c r="G343" s="99">
        <f t="shared" ref="G343:R343" si="167">G213*G148</f>
        <v>0</v>
      </c>
      <c r="H343" s="99">
        <f t="shared" si="167"/>
        <v>0</v>
      </c>
      <c r="I343" s="99">
        <f t="shared" si="167"/>
        <v>6300</v>
      </c>
      <c r="J343" s="99">
        <f t="shared" si="167"/>
        <v>7000</v>
      </c>
      <c r="K343" s="99">
        <f t="shared" si="167"/>
        <v>7000</v>
      </c>
      <c r="L343" s="99">
        <f t="shared" si="167"/>
        <v>7000</v>
      </c>
      <c r="M343" s="99">
        <f t="shared" si="167"/>
        <v>7000</v>
      </c>
      <c r="N343" s="99">
        <f t="shared" si="167"/>
        <v>7000</v>
      </c>
      <c r="O343" s="99">
        <f t="shared" si="167"/>
        <v>7000</v>
      </c>
      <c r="P343" s="99">
        <f t="shared" si="167"/>
        <v>7000</v>
      </c>
      <c r="Q343" s="99">
        <f t="shared" si="167"/>
        <v>7000</v>
      </c>
      <c r="R343" s="99">
        <f t="shared" si="167"/>
        <v>7000</v>
      </c>
    </row>
    <row r="344" ht="12.75" customHeight="1" outlineLevel="1">
      <c r="A344" s="90"/>
      <c r="B344" s="90"/>
      <c r="C344" s="90" t="s">
        <v>821</v>
      </c>
      <c r="D344" s="90"/>
      <c r="E344" s="90"/>
      <c r="F344" s="90"/>
      <c r="G344" s="99">
        <f t="shared" ref="G344:R344" si="168">G214*G47</f>
        <v>0</v>
      </c>
      <c r="H344" s="99">
        <f t="shared" si="168"/>
        <v>0</v>
      </c>
      <c r="I344" s="99">
        <f t="shared" si="168"/>
        <v>0</v>
      </c>
      <c r="J344" s="99">
        <f t="shared" si="168"/>
        <v>0</v>
      </c>
      <c r="K344" s="99">
        <f t="shared" si="168"/>
        <v>0</v>
      </c>
      <c r="L344" s="99">
        <f t="shared" si="168"/>
        <v>0</v>
      </c>
      <c r="M344" s="99">
        <f t="shared" si="168"/>
        <v>0</v>
      </c>
      <c r="N344" s="99">
        <f t="shared" si="168"/>
        <v>0</v>
      </c>
      <c r="O344" s="99">
        <f t="shared" si="168"/>
        <v>0</v>
      </c>
      <c r="P344" s="99">
        <f t="shared" si="168"/>
        <v>0</v>
      </c>
      <c r="Q344" s="99">
        <f t="shared" si="168"/>
        <v>0</v>
      </c>
      <c r="R344" s="99">
        <f t="shared" si="168"/>
        <v>0</v>
      </c>
    </row>
    <row r="345" ht="12.75" customHeight="1" outlineLevel="1">
      <c r="A345" s="90"/>
      <c r="B345" s="90"/>
      <c r="C345" s="90" t="s">
        <v>754</v>
      </c>
      <c r="D345" s="90"/>
      <c r="E345" s="90"/>
      <c r="F345" s="90"/>
      <c r="G345" s="99" t="str">
        <f t="shared" ref="G345:R345" si="169">G215</f>
        <v/>
      </c>
      <c r="H345" s="99">
        <f t="shared" si="169"/>
        <v>0</v>
      </c>
      <c r="I345" s="99">
        <f t="shared" si="169"/>
        <v>25000</v>
      </c>
      <c r="J345" s="99">
        <f t="shared" si="169"/>
        <v>25000</v>
      </c>
      <c r="K345" s="99">
        <f t="shared" si="169"/>
        <v>25000</v>
      </c>
      <c r="L345" s="99">
        <f t="shared" si="169"/>
        <v>25000</v>
      </c>
      <c r="M345" s="99">
        <f t="shared" si="169"/>
        <v>25000</v>
      </c>
      <c r="N345" s="99">
        <f t="shared" si="169"/>
        <v>25000</v>
      </c>
      <c r="O345" s="99">
        <f t="shared" si="169"/>
        <v>25000</v>
      </c>
      <c r="P345" s="99">
        <f t="shared" si="169"/>
        <v>25000</v>
      </c>
      <c r="Q345" s="99">
        <f t="shared" si="169"/>
        <v>25000</v>
      </c>
      <c r="R345" s="99">
        <f t="shared" si="169"/>
        <v>25000</v>
      </c>
    </row>
    <row r="346" ht="12.75" customHeight="1" outlineLevel="1">
      <c r="A346" s="90"/>
      <c r="B346" s="90"/>
      <c r="C346" s="90" t="s">
        <v>755</v>
      </c>
      <c r="D346" s="90"/>
      <c r="E346" s="90"/>
      <c r="F346" s="90"/>
      <c r="G346" s="99" t="str">
        <f t="shared" ref="G346:R346" si="170">G216</f>
        <v/>
      </c>
      <c r="H346" s="99">
        <f t="shared" si="170"/>
        <v>0</v>
      </c>
      <c r="I346" s="99">
        <f t="shared" si="170"/>
        <v>55000</v>
      </c>
      <c r="J346" s="99">
        <f t="shared" si="170"/>
        <v>65000</v>
      </c>
      <c r="K346" s="99">
        <f t="shared" si="170"/>
        <v>65000</v>
      </c>
      <c r="L346" s="99">
        <f t="shared" si="170"/>
        <v>65000</v>
      </c>
      <c r="M346" s="99">
        <f t="shared" si="170"/>
        <v>65000</v>
      </c>
      <c r="N346" s="99">
        <f t="shared" si="170"/>
        <v>65000</v>
      </c>
      <c r="O346" s="99">
        <f t="shared" si="170"/>
        <v>65000</v>
      </c>
      <c r="P346" s="99">
        <f t="shared" si="170"/>
        <v>65000</v>
      </c>
      <c r="Q346" s="99">
        <f t="shared" si="170"/>
        <v>65000</v>
      </c>
      <c r="R346" s="99">
        <f t="shared" si="170"/>
        <v>65000</v>
      </c>
    </row>
    <row r="347" ht="12.75" customHeight="1" outlineLevel="1">
      <c r="A347" s="90"/>
      <c r="B347" s="90"/>
      <c r="C347" s="90" t="s">
        <v>822</v>
      </c>
      <c r="D347" s="90"/>
      <c r="E347" s="90"/>
      <c r="F347" s="90"/>
      <c r="G347" s="99">
        <f t="shared" ref="G347:R347" si="171">G217*G148</f>
        <v>0</v>
      </c>
      <c r="H347" s="99">
        <f t="shared" si="171"/>
        <v>0</v>
      </c>
      <c r="I347" s="99">
        <f t="shared" si="171"/>
        <v>18000</v>
      </c>
      <c r="J347" s="99">
        <f t="shared" si="171"/>
        <v>20000</v>
      </c>
      <c r="K347" s="99">
        <f t="shared" si="171"/>
        <v>20000</v>
      </c>
      <c r="L347" s="99">
        <f t="shared" si="171"/>
        <v>20000</v>
      </c>
      <c r="M347" s="99">
        <f t="shared" si="171"/>
        <v>20000</v>
      </c>
      <c r="N347" s="99">
        <f t="shared" si="171"/>
        <v>20000</v>
      </c>
      <c r="O347" s="99">
        <f t="shared" si="171"/>
        <v>20000</v>
      </c>
      <c r="P347" s="99">
        <f t="shared" si="171"/>
        <v>20000</v>
      </c>
      <c r="Q347" s="99">
        <f t="shared" si="171"/>
        <v>20000</v>
      </c>
      <c r="R347" s="99">
        <f t="shared" si="171"/>
        <v>20000</v>
      </c>
    </row>
    <row r="348" ht="12.75" customHeight="1" outlineLevel="1">
      <c r="A348" s="90"/>
      <c r="B348" s="90"/>
      <c r="C348" s="90" t="s">
        <v>332</v>
      </c>
      <c r="D348" s="90"/>
      <c r="E348" s="90"/>
      <c r="F348" s="90"/>
      <c r="G348" s="99">
        <v>0.0</v>
      </c>
      <c r="H348" s="99">
        <v>0.0</v>
      </c>
      <c r="I348" s="99">
        <v>20000.0</v>
      </c>
      <c r="J348" s="99">
        <v>20000.0</v>
      </c>
      <c r="K348" s="99">
        <v>20000.0</v>
      </c>
      <c r="L348" s="99">
        <v>20000.0</v>
      </c>
      <c r="M348" s="99">
        <v>20000.0</v>
      </c>
      <c r="N348" s="99">
        <v>20000.0</v>
      </c>
      <c r="O348" s="99">
        <v>20000.0</v>
      </c>
      <c r="P348" s="99">
        <v>20000.0</v>
      </c>
      <c r="Q348" s="99">
        <v>20000.0</v>
      </c>
      <c r="R348" s="99">
        <v>20000.0</v>
      </c>
    </row>
    <row r="349" ht="12.75" customHeight="1" outlineLevel="1">
      <c r="A349" s="90"/>
      <c r="B349" s="90"/>
      <c r="C349" s="90" t="s">
        <v>823</v>
      </c>
      <c r="D349" s="90"/>
      <c r="E349" s="90"/>
      <c r="F349" s="90"/>
      <c r="G349" s="99"/>
      <c r="H349" s="99"/>
      <c r="I349" s="99"/>
      <c r="J349" s="99"/>
      <c r="K349" s="99"/>
      <c r="L349" s="99"/>
      <c r="M349" s="99"/>
      <c r="N349" s="99"/>
      <c r="O349" s="99"/>
      <c r="P349" s="99"/>
      <c r="Q349" s="99"/>
      <c r="R349" s="99"/>
    </row>
    <row r="350" ht="12.75" customHeight="1" outlineLevel="1">
      <c r="A350" s="90"/>
      <c r="B350" s="90"/>
      <c r="C350" s="90"/>
      <c r="D350" s="90" t="s">
        <v>339</v>
      </c>
      <c r="E350" s="90"/>
      <c r="F350" s="90"/>
      <c r="G350" s="99" t="str">
        <f t="shared" ref="G350:R350" si="172">G219</f>
        <v/>
      </c>
      <c r="H350" s="99">
        <f t="shared" si="172"/>
        <v>3280</v>
      </c>
      <c r="I350" s="99">
        <f t="shared" si="172"/>
        <v>3280</v>
      </c>
      <c r="J350" s="99">
        <f t="shared" si="172"/>
        <v>600</v>
      </c>
      <c r="K350" s="99">
        <f t="shared" si="172"/>
        <v>600</v>
      </c>
      <c r="L350" s="99">
        <f t="shared" si="172"/>
        <v>600</v>
      </c>
      <c r="M350" s="99">
        <f t="shared" si="172"/>
        <v>600</v>
      </c>
      <c r="N350" s="99">
        <f t="shared" si="172"/>
        <v>600</v>
      </c>
      <c r="O350" s="99">
        <f t="shared" si="172"/>
        <v>600</v>
      </c>
      <c r="P350" s="99">
        <f t="shared" si="172"/>
        <v>600</v>
      </c>
      <c r="Q350" s="99">
        <f t="shared" si="172"/>
        <v>600</v>
      </c>
      <c r="R350" s="99">
        <f t="shared" si="172"/>
        <v>600</v>
      </c>
    </row>
    <row r="351" ht="12.75" customHeight="1" outlineLevel="1">
      <c r="A351" s="90"/>
      <c r="B351" s="90"/>
      <c r="C351" s="90"/>
      <c r="D351" s="90" t="s">
        <v>824</v>
      </c>
      <c r="E351" s="90"/>
      <c r="F351" s="90"/>
      <c r="G351" s="99" t="str">
        <f t="shared" ref="G351:R351" si="173">G220</f>
        <v/>
      </c>
      <c r="H351" s="99">
        <f t="shared" si="173"/>
        <v>0</v>
      </c>
      <c r="I351" s="99">
        <f t="shared" si="173"/>
        <v>20000</v>
      </c>
      <c r="J351" s="99">
        <f t="shared" si="173"/>
        <v>30000</v>
      </c>
      <c r="K351" s="99">
        <f t="shared" si="173"/>
        <v>30000</v>
      </c>
      <c r="L351" s="99">
        <f t="shared" si="173"/>
        <v>30000</v>
      </c>
      <c r="M351" s="99">
        <f t="shared" si="173"/>
        <v>30000</v>
      </c>
      <c r="N351" s="99">
        <f t="shared" si="173"/>
        <v>30000</v>
      </c>
      <c r="O351" s="99">
        <f t="shared" si="173"/>
        <v>30000</v>
      </c>
      <c r="P351" s="99">
        <f t="shared" si="173"/>
        <v>30000</v>
      </c>
      <c r="Q351" s="99">
        <f t="shared" si="173"/>
        <v>30000</v>
      </c>
      <c r="R351" s="99">
        <f t="shared" si="173"/>
        <v>30000</v>
      </c>
    </row>
    <row r="352" ht="12.75" customHeight="1" outlineLevel="1">
      <c r="A352" s="90"/>
      <c r="B352" s="90"/>
      <c r="C352" s="90"/>
      <c r="D352" s="90" t="s">
        <v>376</v>
      </c>
      <c r="E352" s="90"/>
      <c r="F352" s="90"/>
      <c r="G352" s="99" t="str">
        <f t="shared" ref="G352:R352" si="174">G221</f>
        <v/>
      </c>
      <c r="H352" s="99">
        <f t="shared" si="174"/>
        <v>0</v>
      </c>
      <c r="I352" s="99">
        <f t="shared" si="174"/>
        <v>8000</v>
      </c>
      <c r="J352" s="99">
        <f t="shared" si="174"/>
        <v>8000</v>
      </c>
      <c r="K352" s="99">
        <f t="shared" si="174"/>
        <v>8000</v>
      </c>
      <c r="L352" s="99">
        <f t="shared" si="174"/>
        <v>8000</v>
      </c>
      <c r="M352" s="99">
        <f t="shared" si="174"/>
        <v>8000</v>
      </c>
      <c r="N352" s="99">
        <f t="shared" si="174"/>
        <v>8000</v>
      </c>
      <c r="O352" s="99">
        <f t="shared" si="174"/>
        <v>8000</v>
      </c>
      <c r="P352" s="99">
        <f t="shared" si="174"/>
        <v>8000</v>
      </c>
      <c r="Q352" s="99">
        <f t="shared" si="174"/>
        <v>8000</v>
      </c>
      <c r="R352" s="99">
        <f t="shared" si="174"/>
        <v>8000</v>
      </c>
    </row>
    <row r="353" ht="12.75" customHeight="1" outlineLevel="1">
      <c r="A353" s="90"/>
      <c r="B353" s="90"/>
      <c r="C353" s="90"/>
      <c r="D353" s="90" t="s">
        <v>759</v>
      </c>
      <c r="E353" s="90"/>
      <c r="F353" s="90"/>
      <c r="G353" s="99" t="str">
        <f t="shared" ref="G353:R353" si="175">G222</f>
        <v/>
      </c>
      <c r="H353" s="99">
        <f t="shared" si="175"/>
        <v>2500</v>
      </c>
      <c r="I353" s="99">
        <f t="shared" si="175"/>
        <v>1000</v>
      </c>
      <c r="J353" s="99">
        <f t="shared" si="175"/>
        <v>1000</v>
      </c>
      <c r="K353" s="99">
        <f t="shared" si="175"/>
        <v>1000</v>
      </c>
      <c r="L353" s="99">
        <f t="shared" si="175"/>
        <v>1000</v>
      </c>
      <c r="M353" s="99">
        <f t="shared" si="175"/>
        <v>1000</v>
      </c>
      <c r="N353" s="99">
        <f t="shared" si="175"/>
        <v>1000</v>
      </c>
      <c r="O353" s="99">
        <f t="shared" si="175"/>
        <v>1000</v>
      </c>
      <c r="P353" s="99">
        <f t="shared" si="175"/>
        <v>1000</v>
      </c>
      <c r="Q353" s="99">
        <f t="shared" si="175"/>
        <v>1000</v>
      </c>
      <c r="R353" s="99">
        <f t="shared" si="175"/>
        <v>1000</v>
      </c>
    </row>
    <row r="354" ht="12.75" customHeight="1" outlineLevel="1">
      <c r="A354" s="90"/>
      <c r="B354" s="90"/>
      <c r="C354" s="90"/>
      <c r="D354" s="90" t="s">
        <v>760</v>
      </c>
      <c r="E354" s="90"/>
      <c r="F354" s="90"/>
      <c r="G354" s="99" t="str">
        <f t="shared" ref="G354:R354" si="176">G223</f>
        <v/>
      </c>
      <c r="H354" s="99">
        <f t="shared" si="176"/>
        <v>0</v>
      </c>
      <c r="I354" s="99">
        <f t="shared" si="176"/>
        <v>5000</v>
      </c>
      <c r="J354" s="99">
        <f t="shared" si="176"/>
        <v>5000</v>
      </c>
      <c r="K354" s="99">
        <f t="shared" si="176"/>
        <v>5000</v>
      </c>
      <c r="L354" s="99">
        <f t="shared" si="176"/>
        <v>5000</v>
      </c>
      <c r="M354" s="99">
        <f t="shared" si="176"/>
        <v>5000</v>
      </c>
      <c r="N354" s="99">
        <f t="shared" si="176"/>
        <v>5000</v>
      </c>
      <c r="O354" s="99">
        <f t="shared" si="176"/>
        <v>5000</v>
      </c>
      <c r="P354" s="99">
        <f t="shared" si="176"/>
        <v>5000</v>
      </c>
      <c r="Q354" s="99">
        <f t="shared" si="176"/>
        <v>5000</v>
      </c>
      <c r="R354" s="99">
        <f t="shared" si="176"/>
        <v>5000</v>
      </c>
    </row>
    <row r="355" ht="12.75" customHeight="1" outlineLevel="1">
      <c r="A355" s="90"/>
      <c r="B355" s="90"/>
      <c r="C355" s="90"/>
      <c r="D355" s="90" t="s">
        <v>761</v>
      </c>
      <c r="E355" s="90"/>
      <c r="F355" s="90"/>
      <c r="G355" s="99" t="str">
        <f t="shared" ref="G355:R355" si="177">G224</f>
        <v/>
      </c>
      <c r="H355" s="99">
        <f t="shared" si="177"/>
        <v>2000</v>
      </c>
      <c r="I355" s="99" t="str">
        <f t="shared" si="177"/>
        <v/>
      </c>
      <c r="J355" s="99" t="str">
        <f t="shared" si="177"/>
        <v/>
      </c>
      <c r="K355" s="99" t="str">
        <f t="shared" si="177"/>
        <v/>
      </c>
      <c r="L355" s="99" t="str">
        <f t="shared" si="177"/>
        <v/>
      </c>
      <c r="M355" s="99" t="str">
        <f t="shared" si="177"/>
        <v/>
      </c>
      <c r="N355" s="99" t="str">
        <f t="shared" si="177"/>
        <v/>
      </c>
      <c r="O355" s="99" t="str">
        <f t="shared" si="177"/>
        <v/>
      </c>
      <c r="P355" s="99" t="str">
        <f t="shared" si="177"/>
        <v/>
      </c>
      <c r="Q355" s="99" t="str">
        <f t="shared" si="177"/>
        <v/>
      </c>
      <c r="R355" s="99" t="str">
        <f t="shared" si="177"/>
        <v/>
      </c>
    </row>
    <row r="356" ht="12.75" customHeight="1" outlineLevel="1">
      <c r="A356" s="90"/>
      <c r="B356" s="90"/>
      <c r="C356" s="90"/>
      <c r="D356" s="90" t="s">
        <v>825</v>
      </c>
      <c r="E356" s="90"/>
      <c r="F356" s="90"/>
      <c r="G356" s="99" t="str">
        <f t="shared" ref="G356:R356" si="178">G225</f>
        <v/>
      </c>
      <c r="H356" s="99">
        <f t="shared" si="178"/>
        <v>0</v>
      </c>
      <c r="I356" s="99">
        <f t="shared" si="178"/>
        <v>6000</v>
      </c>
      <c r="J356" s="99">
        <f t="shared" si="178"/>
        <v>6000</v>
      </c>
      <c r="K356" s="99">
        <f t="shared" si="178"/>
        <v>6000</v>
      </c>
      <c r="L356" s="99">
        <f t="shared" si="178"/>
        <v>6000</v>
      </c>
      <c r="M356" s="99">
        <f t="shared" si="178"/>
        <v>6000</v>
      </c>
      <c r="N356" s="99">
        <f t="shared" si="178"/>
        <v>6000</v>
      </c>
      <c r="O356" s="99">
        <f t="shared" si="178"/>
        <v>6000</v>
      </c>
      <c r="P356" s="99">
        <f t="shared" si="178"/>
        <v>6000</v>
      </c>
      <c r="Q356" s="99">
        <f t="shared" si="178"/>
        <v>6000</v>
      </c>
      <c r="R356" s="99">
        <f t="shared" si="178"/>
        <v>6000</v>
      </c>
    </row>
    <row r="357" ht="12.75" customHeight="1" outlineLevel="1">
      <c r="A357" s="90"/>
      <c r="B357" s="90"/>
      <c r="C357" s="90"/>
      <c r="D357" s="90" t="s">
        <v>763</v>
      </c>
      <c r="E357" s="90"/>
      <c r="F357" s="90"/>
      <c r="G357" s="99" t="str">
        <f t="shared" ref="G357:R357" si="179">G226</f>
        <v/>
      </c>
      <c r="H357" s="99" t="str">
        <f t="shared" si="179"/>
        <v/>
      </c>
      <c r="I357" s="99" t="str">
        <f t="shared" si="179"/>
        <v/>
      </c>
      <c r="J357" s="99" t="str">
        <f t="shared" si="179"/>
        <v/>
      </c>
      <c r="K357" s="99" t="str">
        <f t="shared" si="179"/>
        <v/>
      </c>
      <c r="L357" s="99" t="str">
        <f t="shared" si="179"/>
        <v/>
      </c>
      <c r="M357" s="99" t="str">
        <f t="shared" si="179"/>
        <v/>
      </c>
      <c r="N357" s="99" t="str">
        <f t="shared" si="179"/>
        <v/>
      </c>
      <c r="O357" s="99" t="str">
        <f t="shared" si="179"/>
        <v/>
      </c>
      <c r="P357" s="99" t="str">
        <f t="shared" si="179"/>
        <v/>
      </c>
      <c r="Q357" s="99" t="str">
        <f t="shared" si="179"/>
        <v/>
      </c>
      <c r="R357" s="99" t="str">
        <f t="shared" si="179"/>
        <v/>
      </c>
    </row>
    <row r="358" ht="12.75" customHeight="1" outlineLevel="1">
      <c r="A358" s="90"/>
      <c r="B358" s="90"/>
      <c r="C358" s="90"/>
      <c r="D358" s="90" t="s">
        <v>826</v>
      </c>
      <c r="E358" s="90"/>
      <c r="F358" s="90"/>
      <c r="G358" s="99">
        <v>0.0</v>
      </c>
      <c r="H358" s="99">
        <v>0.0</v>
      </c>
      <c r="I358" s="99">
        <f t="shared" ref="I358:R358" si="180">I227</f>
        <v>300</v>
      </c>
      <c r="J358" s="99">
        <f t="shared" si="180"/>
        <v>300</v>
      </c>
      <c r="K358" s="99">
        <f t="shared" si="180"/>
        <v>300</v>
      </c>
      <c r="L358" s="99">
        <f t="shared" si="180"/>
        <v>300</v>
      </c>
      <c r="M358" s="99">
        <f t="shared" si="180"/>
        <v>300</v>
      </c>
      <c r="N358" s="99">
        <f t="shared" si="180"/>
        <v>300</v>
      </c>
      <c r="O358" s="99">
        <f t="shared" si="180"/>
        <v>300</v>
      </c>
      <c r="P358" s="99">
        <f t="shared" si="180"/>
        <v>300</v>
      </c>
      <c r="Q358" s="99">
        <f t="shared" si="180"/>
        <v>300</v>
      </c>
      <c r="R358" s="99">
        <f t="shared" si="180"/>
        <v>300</v>
      </c>
    </row>
    <row r="359" ht="12.75" customHeight="1" outlineLevel="1">
      <c r="A359" s="90"/>
      <c r="B359" s="90"/>
      <c r="C359" s="90"/>
      <c r="D359" s="90" t="s">
        <v>764</v>
      </c>
      <c r="E359" s="90"/>
      <c r="F359" s="90"/>
      <c r="G359" s="99" t="str">
        <f t="shared" ref="G359:H359" si="181">G227</f>
        <v/>
      </c>
      <c r="H359" s="99">
        <f t="shared" si="181"/>
        <v>0</v>
      </c>
      <c r="I359" s="99">
        <f t="shared" ref="I359:R359" si="182">I228</f>
        <v>1500</v>
      </c>
      <c r="J359" s="99">
        <f t="shared" si="182"/>
        <v>1500</v>
      </c>
      <c r="K359" s="99">
        <f t="shared" si="182"/>
        <v>1500</v>
      </c>
      <c r="L359" s="99">
        <f t="shared" si="182"/>
        <v>1500</v>
      </c>
      <c r="M359" s="99">
        <f t="shared" si="182"/>
        <v>1500</v>
      </c>
      <c r="N359" s="99">
        <f t="shared" si="182"/>
        <v>1500</v>
      </c>
      <c r="O359" s="99">
        <f t="shared" si="182"/>
        <v>1500</v>
      </c>
      <c r="P359" s="99">
        <f t="shared" si="182"/>
        <v>1500</v>
      </c>
      <c r="Q359" s="99">
        <f t="shared" si="182"/>
        <v>1500</v>
      </c>
      <c r="R359" s="99">
        <f t="shared" si="182"/>
        <v>1500</v>
      </c>
    </row>
    <row r="360" ht="12.75" customHeight="1" outlineLevel="1">
      <c r="A360" s="90"/>
      <c r="B360" s="90"/>
      <c r="C360" s="90"/>
      <c r="D360" s="90" t="s">
        <v>765</v>
      </c>
      <c r="E360" s="90"/>
      <c r="F360" s="90"/>
      <c r="G360" s="99" t="str">
        <f t="shared" ref="G360:H360" si="183">G228</f>
        <v/>
      </c>
      <c r="H360" s="99">
        <f t="shared" si="183"/>
        <v>0</v>
      </c>
      <c r="I360" s="99">
        <f t="shared" ref="I360:R360" si="184">I229</f>
        <v>0</v>
      </c>
      <c r="J360" s="99">
        <f t="shared" si="184"/>
        <v>0</v>
      </c>
      <c r="K360" s="99">
        <f t="shared" si="184"/>
        <v>0</v>
      </c>
      <c r="L360" s="99">
        <f t="shared" si="184"/>
        <v>0</v>
      </c>
      <c r="M360" s="99">
        <f t="shared" si="184"/>
        <v>0</v>
      </c>
      <c r="N360" s="99">
        <f t="shared" si="184"/>
        <v>0</v>
      </c>
      <c r="O360" s="99">
        <f t="shared" si="184"/>
        <v>0</v>
      </c>
      <c r="P360" s="99">
        <f t="shared" si="184"/>
        <v>0</v>
      </c>
      <c r="Q360" s="99">
        <f t="shared" si="184"/>
        <v>0</v>
      </c>
      <c r="R360" s="99">
        <f t="shared" si="184"/>
        <v>0</v>
      </c>
    </row>
    <row r="361" ht="12.75" customHeight="1" outlineLevel="1">
      <c r="A361" s="90"/>
      <c r="B361" s="90"/>
      <c r="C361" s="90"/>
      <c r="D361" s="90" t="s">
        <v>465</v>
      </c>
      <c r="E361" s="90"/>
      <c r="F361" s="90"/>
      <c r="G361" s="99">
        <v>0.0</v>
      </c>
      <c r="H361" s="99">
        <v>0.0</v>
      </c>
      <c r="I361" s="99" t="str">
        <f t="shared" ref="I361:R361" si="185">I230</f>
        <v/>
      </c>
      <c r="J361" s="99" t="str">
        <f t="shared" si="185"/>
        <v/>
      </c>
      <c r="K361" s="99" t="str">
        <f t="shared" si="185"/>
        <v/>
      </c>
      <c r="L361" s="99" t="str">
        <f t="shared" si="185"/>
        <v/>
      </c>
      <c r="M361" s="99" t="str">
        <f t="shared" si="185"/>
        <v/>
      </c>
      <c r="N361" s="99" t="str">
        <f t="shared" si="185"/>
        <v/>
      </c>
      <c r="O361" s="99" t="str">
        <f t="shared" si="185"/>
        <v/>
      </c>
      <c r="P361" s="99" t="str">
        <f t="shared" si="185"/>
        <v/>
      </c>
      <c r="Q361" s="99" t="str">
        <f t="shared" si="185"/>
        <v/>
      </c>
      <c r="R361" s="99" t="str">
        <f t="shared" si="185"/>
        <v/>
      </c>
    </row>
    <row r="362" ht="12.75" customHeight="1" outlineLevel="1">
      <c r="A362" s="90"/>
      <c r="B362" s="90"/>
      <c r="C362" s="90" t="s">
        <v>827</v>
      </c>
      <c r="D362" s="90"/>
      <c r="E362" s="90"/>
      <c r="F362" s="90"/>
      <c r="G362" s="99"/>
      <c r="H362" s="99"/>
      <c r="I362" s="99"/>
      <c r="J362" s="99"/>
      <c r="K362" s="99"/>
      <c r="L362" s="99"/>
      <c r="M362" s="99"/>
      <c r="N362" s="99"/>
      <c r="O362" s="99"/>
      <c r="P362" s="99"/>
      <c r="Q362" s="99"/>
      <c r="R362" s="99"/>
    </row>
    <row r="363" ht="12.75" customHeight="1" outlineLevel="1">
      <c r="A363" s="90"/>
      <c r="B363" s="90"/>
      <c r="C363" s="90"/>
      <c r="D363" s="90" t="s">
        <v>768</v>
      </c>
      <c r="E363" s="90"/>
      <c r="F363" s="90"/>
      <c r="G363" s="99">
        <f t="shared" ref="G363:H363" si="186">G231*G$47</f>
        <v>0</v>
      </c>
      <c r="H363" s="99">
        <f t="shared" si="186"/>
        <v>0</v>
      </c>
      <c r="I363" s="99">
        <f t="shared" ref="I363:R363" si="187">I$47*I231</f>
        <v>1499.4</v>
      </c>
      <c r="J363" s="99">
        <f t="shared" si="187"/>
        <v>1774.8</v>
      </c>
      <c r="K363" s="99">
        <f t="shared" si="187"/>
        <v>1912.5</v>
      </c>
      <c r="L363" s="99">
        <f t="shared" si="187"/>
        <v>1912.5</v>
      </c>
      <c r="M363" s="99">
        <f t="shared" si="187"/>
        <v>1912.5</v>
      </c>
      <c r="N363" s="99">
        <f t="shared" si="187"/>
        <v>1912.5</v>
      </c>
      <c r="O363" s="99">
        <f t="shared" si="187"/>
        <v>1912.5</v>
      </c>
      <c r="P363" s="99">
        <f t="shared" si="187"/>
        <v>1912.5</v>
      </c>
      <c r="Q363" s="99">
        <f t="shared" si="187"/>
        <v>1912.5</v>
      </c>
      <c r="R363" s="99">
        <f t="shared" si="187"/>
        <v>1912.5</v>
      </c>
    </row>
    <row r="364" ht="12.75" customHeight="1" outlineLevel="1">
      <c r="A364" s="90"/>
      <c r="B364" s="90"/>
      <c r="C364" s="90"/>
      <c r="D364" s="90" t="s">
        <v>769</v>
      </c>
      <c r="E364" s="90"/>
      <c r="F364" s="90"/>
      <c r="G364" s="99">
        <f t="shared" ref="G364:H364" si="188">G232*G$47</f>
        <v>0</v>
      </c>
      <c r="H364" s="99">
        <f t="shared" si="188"/>
        <v>0</v>
      </c>
      <c r="I364" s="99">
        <f t="shared" ref="I364:R364" si="189">I$47*I232</f>
        <v>20384</v>
      </c>
      <c r="J364" s="99">
        <f t="shared" si="189"/>
        <v>24128</v>
      </c>
      <c r="K364" s="99">
        <f t="shared" si="189"/>
        <v>26000</v>
      </c>
      <c r="L364" s="99">
        <f t="shared" si="189"/>
        <v>26000</v>
      </c>
      <c r="M364" s="99">
        <f t="shared" si="189"/>
        <v>26000</v>
      </c>
      <c r="N364" s="99">
        <f t="shared" si="189"/>
        <v>26000</v>
      </c>
      <c r="O364" s="99">
        <f t="shared" si="189"/>
        <v>26000</v>
      </c>
      <c r="P364" s="99">
        <f t="shared" si="189"/>
        <v>26000</v>
      </c>
      <c r="Q364" s="99">
        <f t="shared" si="189"/>
        <v>26000</v>
      </c>
      <c r="R364" s="99">
        <f t="shared" si="189"/>
        <v>26000</v>
      </c>
    </row>
    <row r="365" ht="12.75" customHeight="1" outlineLevel="1">
      <c r="A365" s="90"/>
      <c r="B365" s="90"/>
      <c r="C365" s="90"/>
      <c r="D365" s="90" t="s">
        <v>770</v>
      </c>
      <c r="E365" s="90"/>
      <c r="F365" s="90"/>
      <c r="G365" s="99">
        <f t="shared" ref="G365:H365" si="190">G233*G$47</f>
        <v>0</v>
      </c>
      <c r="H365" s="99">
        <f t="shared" si="190"/>
        <v>0</v>
      </c>
      <c r="I365" s="99">
        <f t="shared" ref="I365:R365" si="191">I$47*I233</f>
        <v>3748.5</v>
      </c>
      <c r="J365" s="99">
        <f t="shared" si="191"/>
        <v>4437</v>
      </c>
      <c r="K365" s="99">
        <f t="shared" si="191"/>
        <v>4781.25</v>
      </c>
      <c r="L365" s="99">
        <f t="shared" si="191"/>
        <v>4781.25</v>
      </c>
      <c r="M365" s="99">
        <f t="shared" si="191"/>
        <v>4781.25</v>
      </c>
      <c r="N365" s="99">
        <f t="shared" si="191"/>
        <v>4781.25</v>
      </c>
      <c r="O365" s="99">
        <f t="shared" si="191"/>
        <v>4781.25</v>
      </c>
      <c r="P365" s="99">
        <f t="shared" si="191"/>
        <v>4781.25</v>
      </c>
      <c r="Q365" s="99">
        <f t="shared" si="191"/>
        <v>4781.25</v>
      </c>
      <c r="R365" s="99">
        <f t="shared" si="191"/>
        <v>4781.25</v>
      </c>
    </row>
    <row r="366" ht="12.75" customHeight="1" outlineLevel="1">
      <c r="A366" s="90"/>
      <c r="B366" s="90"/>
      <c r="C366" s="90"/>
      <c r="D366" s="90" t="s">
        <v>771</v>
      </c>
      <c r="E366" s="90"/>
      <c r="F366" s="90"/>
      <c r="G366" s="99">
        <f t="shared" ref="G366:H366" si="192">G234*G$47</f>
        <v>0</v>
      </c>
      <c r="H366" s="99">
        <f t="shared" si="192"/>
        <v>0</v>
      </c>
      <c r="I366" s="99">
        <f t="shared" ref="I366:R366" si="193">I$47*I234</f>
        <v>1249.5</v>
      </c>
      <c r="J366" s="99">
        <f t="shared" si="193"/>
        <v>1479</v>
      </c>
      <c r="K366" s="99">
        <f t="shared" si="193"/>
        <v>1593.75</v>
      </c>
      <c r="L366" s="99">
        <f t="shared" si="193"/>
        <v>1593.75</v>
      </c>
      <c r="M366" s="99">
        <f t="shared" si="193"/>
        <v>1593.75</v>
      </c>
      <c r="N366" s="99">
        <f t="shared" si="193"/>
        <v>1593.75</v>
      </c>
      <c r="O366" s="99">
        <f t="shared" si="193"/>
        <v>1593.75</v>
      </c>
      <c r="P366" s="99">
        <f t="shared" si="193"/>
        <v>1593.75</v>
      </c>
      <c r="Q366" s="99">
        <f t="shared" si="193"/>
        <v>1593.75</v>
      </c>
      <c r="R366" s="99">
        <f t="shared" si="193"/>
        <v>1593.75</v>
      </c>
    </row>
    <row r="367" ht="12.75" customHeight="1" outlineLevel="1">
      <c r="A367" s="90"/>
      <c r="B367" s="90"/>
      <c r="C367" s="90"/>
      <c r="D367" s="90" t="s">
        <v>773</v>
      </c>
      <c r="E367" s="90"/>
      <c r="F367" s="90"/>
      <c r="G367" s="99">
        <f t="shared" ref="G367:H367" si="194">G236*G$47</f>
        <v>0</v>
      </c>
      <c r="H367" s="99">
        <f t="shared" si="194"/>
        <v>0</v>
      </c>
      <c r="I367" s="99">
        <f t="shared" ref="I367:R367" si="195">I$47*I236</f>
        <v>1960</v>
      </c>
      <c r="J367" s="99">
        <f t="shared" si="195"/>
        <v>2320</v>
      </c>
      <c r="K367" s="99">
        <f t="shared" si="195"/>
        <v>2500</v>
      </c>
      <c r="L367" s="99">
        <f t="shared" si="195"/>
        <v>2500</v>
      </c>
      <c r="M367" s="99">
        <f t="shared" si="195"/>
        <v>2500</v>
      </c>
      <c r="N367" s="99">
        <f t="shared" si="195"/>
        <v>2500</v>
      </c>
      <c r="O367" s="99">
        <f t="shared" si="195"/>
        <v>2500</v>
      </c>
      <c r="P367" s="99">
        <f t="shared" si="195"/>
        <v>2500</v>
      </c>
      <c r="Q367" s="99">
        <f t="shared" si="195"/>
        <v>2500</v>
      </c>
      <c r="R367" s="99">
        <f t="shared" si="195"/>
        <v>2500</v>
      </c>
    </row>
    <row r="368" ht="12.75" customHeight="1" outlineLevel="1">
      <c r="A368" s="90"/>
      <c r="B368" s="90"/>
      <c r="C368" s="90"/>
      <c r="D368" s="90" t="s">
        <v>828</v>
      </c>
      <c r="E368" s="90"/>
      <c r="F368" s="90"/>
      <c r="G368" s="99">
        <f t="shared" ref="G368:H368" si="196">G237*G$47</f>
        <v>0</v>
      </c>
      <c r="H368" s="99">
        <f t="shared" si="196"/>
        <v>0</v>
      </c>
      <c r="I368" s="99">
        <v>205102.494250302</v>
      </c>
      <c r="J368" s="99">
        <v>387287.181884243</v>
      </c>
      <c r="K368" s="99">
        <v>468793.149749626</v>
      </c>
      <c r="L368" s="99">
        <v>468043.149749626</v>
      </c>
      <c r="M368" s="99">
        <v>468043.149749625</v>
      </c>
      <c r="N368" s="99">
        <v>468043.149749627</v>
      </c>
      <c r="O368" s="99">
        <v>468043.149749625</v>
      </c>
      <c r="P368" s="99">
        <v>468043.149749627</v>
      </c>
      <c r="Q368" s="99">
        <v>468043.149749627</v>
      </c>
      <c r="R368" s="99">
        <v>468043.149749627</v>
      </c>
      <c r="S368" s="90"/>
      <c r="T368" s="90"/>
      <c r="U368" s="90"/>
      <c r="V368" s="90"/>
      <c r="W368" s="90"/>
      <c r="X368" s="90"/>
      <c r="Y368" s="90"/>
      <c r="Z368" s="90"/>
      <c r="AA368" s="90"/>
      <c r="AB368" s="90"/>
      <c r="AC368" s="90"/>
      <c r="AD368" s="90"/>
      <c r="AE368" s="90"/>
      <c r="AF368" s="90"/>
      <c r="AG368" s="90"/>
      <c r="AH368" s="90"/>
      <c r="AI368" s="90"/>
      <c r="AJ368" s="90"/>
      <c r="AK368" s="90"/>
      <c r="AL368" s="90"/>
    </row>
    <row r="369" ht="12.75" customHeight="1" outlineLevel="1">
      <c r="A369" s="90"/>
      <c r="B369" s="90"/>
      <c r="C369" s="90"/>
      <c r="D369" s="90" t="s">
        <v>829</v>
      </c>
      <c r="E369" s="90"/>
      <c r="F369" s="90"/>
      <c r="G369" s="99"/>
      <c r="H369" s="99"/>
      <c r="I369" s="99"/>
      <c r="J369" s="99"/>
      <c r="K369" s="99"/>
      <c r="L369" s="99"/>
      <c r="M369" s="99"/>
      <c r="N369" s="99"/>
      <c r="O369" s="99"/>
      <c r="P369" s="99"/>
      <c r="Q369" s="99"/>
      <c r="R369" s="99"/>
    </row>
    <row r="370" ht="12.75" customHeight="1" outlineLevel="1">
      <c r="A370" s="90"/>
      <c r="B370" s="90"/>
      <c r="C370" s="90"/>
      <c r="D370" s="64" t="s">
        <v>830</v>
      </c>
      <c r="E370" s="90"/>
      <c r="F370" s="90"/>
      <c r="G370" s="99">
        <v>0.0</v>
      </c>
      <c r="H370" s="99">
        <v>0.0</v>
      </c>
      <c r="I370" s="99">
        <v>0.0</v>
      </c>
      <c r="J370" s="99">
        <v>0.0</v>
      </c>
      <c r="K370" s="99">
        <v>0.0</v>
      </c>
      <c r="L370" s="99">
        <v>0.0</v>
      </c>
      <c r="M370" s="99">
        <v>0.0</v>
      </c>
      <c r="N370" s="99">
        <v>0.0</v>
      </c>
      <c r="O370" s="99">
        <v>0.0</v>
      </c>
      <c r="P370" s="99">
        <v>0.0</v>
      </c>
      <c r="Q370" s="99">
        <v>0.0</v>
      </c>
      <c r="R370" s="99">
        <v>0.0</v>
      </c>
    </row>
    <row r="371" ht="12.75" customHeight="1" outlineLevel="1">
      <c r="A371" s="90"/>
      <c r="B371" s="90"/>
      <c r="C371" s="90"/>
      <c r="D371" s="90" t="s">
        <v>831</v>
      </c>
      <c r="E371" s="90"/>
      <c r="F371" s="90"/>
      <c r="G371" s="99">
        <v>0.0</v>
      </c>
      <c r="H371" s="99">
        <v>0.0</v>
      </c>
      <c r="I371" s="99">
        <v>0.0</v>
      </c>
      <c r="J371" s="99">
        <v>0.0</v>
      </c>
      <c r="K371" s="99">
        <v>0.0</v>
      </c>
      <c r="L371" s="99">
        <v>0.0</v>
      </c>
      <c r="M371" s="99">
        <v>0.0</v>
      </c>
      <c r="N371" s="99">
        <v>0.0</v>
      </c>
      <c r="O371" s="99">
        <v>0.0</v>
      </c>
      <c r="P371" s="99">
        <v>0.0</v>
      </c>
      <c r="Q371" s="99">
        <v>0.0</v>
      </c>
      <c r="R371" s="99">
        <v>0.0</v>
      </c>
    </row>
    <row r="372" ht="12.75" customHeight="1" outlineLevel="1">
      <c r="A372" s="90"/>
      <c r="B372" s="90"/>
      <c r="C372" s="90"/>
      <c r="D372" s="90" t="s">
        <v>832</v>
      </c>
      <c r="E372" s="90"/>
      <c r="F372" s="90"/>
      <c r="G372" s="99">
        <v>0.0</v>
      </c>
      <c r="H372" s="99">
        <v>0.0</v>
      </c>
      <c r="I372" s="99">
        <v>0.0</v>
      </c>
      <c r="J372" s="99">
        <v>0.0</v>
      </c>
      <c r="K372" s="99">
        <v>0.0</v>
      </c>
      <c r="L372" s="99">
        <v>0.0</v>
      </c>
      <c r="M372" s="99">
        <v>0.0</v>
      </c>
      <c r="N372" s="99">
        <v>0.0</v>
      </c>
      <c r="O372" s="99">
        <v>0.0</v>
      </c>
      <c r="P372" s="99">
        <v>0.0</v>
      </c>
      <c r="Q372" s="99">
        <v>0.0</v>
      </c>
      <c r="R372" s="99">
        <v>0.0</v>
      </c>
    </row>
    <row r="373" ht="12.75" customHeight="1" outlineLevel="1">
      <c r="A373" s="90"/>
      <c r="B373" s="90"/>
      <c r="C373" s="90"/>
      <c r="D373" s="90" t="s">
        <v>833</v>
      </c>
      <c r="E373" s="90"/>
      <c r="F373" s="90"/>
      <c r="G373" s="99">
        <v>0.0</v>
      </c>
      <c r="H373" s="99">
        <v>0.0</v>
      </c>
      <c r="I373" s="99">
        <v>0.0</v>
      </c>
      <c r="J373" s="99">
        <v>0.0</v>
      </c>
      <c r="K373" s="99">
        <v>0.0</v>
      </c>
      <c r="L373" s="99">
        <v>0.0</v>
      </c>
      <c r="M373" s="99">
        <v>0.0</v>
      </c>
      <c r="N373" s="99">
        <v>0.0</v>
      </c>
      <c r="O373" s="99">
        <v>0.0</v>
      </c>
      <c r="P373" s="99">
        <v>0.0</v>
      </c>
      <c r="Q373" s="99">
        <v>0.0</v>
      </c>
      <c r="R373" s="99">
        <v>0.0</v>
      </c>
    </row>
    <row r="374" ht="12.75" customHeight="1" outlineLevel="1">
      <c r="A374" s="90"/>
      <c r="B374" s="90"/>
      <c r="C374" s="90"/>
      <c r="D374" s="90" t="s">
        <v>834</v>
      </c>
      <c r="E374" s="90"/>
      <c r="F374" s="90"/>
      <c r="G374" s="99">
        <v>0.0</v>
      </c>
      <c r="H374" s="99">
        <v>0.0</v>
      </c>
      <c r="I374" s="99">
        <v>0.0</v>
      </c>
      <c r="J374" s="99">
        <v>0.0</v>
      </c>
      <c r="K374" s="99">
        <v>0.0</v>
      </c>
      <c r="L374" s="99">
        <v>0.0</v>
      </c>
      <c r="M374" s="99">
        <v>0.0</v>
      </c>
      <c r="N374" s="99">
        <v>0.0</v>
      </c>
      <c r="O374" s="99">
        <v>0.0</v>
      </c>
      <c r="P374" s="99">
        <v>0.0</v>
      </c>
      <c r="Q374" s="99">
        <v>0.0</v>
      </c>
      <c r="R374" s="99">
        <v>0.0</v>
      </c>
    </row>
    <row r="375" ht="12.75" customHeight="1" outlineLevel="1">
      <c r="A375" s="90"/>
      <c r="B375" s="90"/>
      <c r="C375" s="90"/>
      <c r="D375" s="90" t="s">
        <v>835</v>
      </c>
      <c r="E375" s="90"/>
      <c r="F375" s="90"/>
      <c r="G375" s="99">
        <v>0.0</v>
      </c>
      <c r="H375" s="99">
        <v>0.0</v>
      </c>
      <c r="I375" s="99">
        <v>0.0</v>
      </c>
      <c r="J375" s="99">
        <v>0.0</v>
      </c>
      <c r="K375" s="99">
        <v>0.0</v>
      </c>
      <c r="L375" s="99">
        <v>0.0</v>
      </c>
      <c r="M375" s="99">
        <v>0.0</v>
      </c>
      <c r="N375" s="99">
        <v>0.0</v>
      </c>
      <c r="O375" s="99">
        <v>0.0</v>
      </c>
      <c r="P375" s="99">
        <v>0.0</v>
      </c>
      <c r="Q375" s="99">
        <v>0.0</v>
      </c>
      <c r="R375" s="99">
        <v>0.0</v>
      </c>
    </row>
    <row r="376" ht="12.75" customHeight="1" outlineLevel="1">
      <c r="A376" s="90"/>
      <c r="B376" s="90"/>
      <c r="C376" s="90"/>
      <c r="D376" s="90" t="s">
        <v>774</v>
      </c>
      <c r="E376" s="90"/>
      <c r="F376" s="90"/>
      <c r="G376" s="99">
        <v>0.0</v>
      </c>
      <c r="H376" s="99">
        <v>0.0</v>
      </c>
      <c r="I376" s="99">
        <v>0.0</v>
      </c>
      <c r="J376" s="99">
        <v>0.0</v>
      </c>
      <c r="K376" s="99">
        <v>0.0</v>
      </c>
      <c r="L376" s="99">
        <v>0.0</v>
      </c>
      <c r="M376" s="99">
        <v>0.0</v>
      </c>
      <c r="N376" s="99">
        <v>0.0</v>
      </c>
      <c r="O376" s="99">
        <v>0.0</v>
      </c>
      <c r="P376" s="99">
        <v>0.0</v>
      </c>
      <c r="Q376" s="99">
        <v>0.0</v>
      </c>
      <c r="R376" s="99">
        <v>0.0</v>
      </c>
    </row>
    <row r="377" ht="12.75" customHeight="1" outlineLevel="1">
      <c r="A377" s="90"/>
      <c r="B377" s="90"/>
      <c r="C377" s="90" t="s">
        <v>836</v>
      </c>
      <c r="D377" s="90"/>
      <c r="E377" s="90"/>
      <c r="F377" s="90"/>
      <c r="G377" s="152"/>
      <c r="H377" s="152"/>
      <c r="I377" s="152"/>
      <c r="J377" s="152"/>
      <c r="K377" s="152"/>
      <c r="L377" s="152"/>
      <c r="M377" s="152"/>
      <c r="N377" s="152"/>
      <c r="O377" s="152"/>
      <c r="P377" s="152"/>
      <c r="Q377" s="152"/>
      <c r="R377" s="152"/>
    </row>
    <row r="378" ht="12.75" customHeight="1" outlineLevel="1">
      <c r="A378" s="90"/>
      <c r="B378" s="90"/>
      <c r="C378" s="90"/>
      <c r="D378" s="90" t="s">
        <v>182</v>
      </c>
      <c r="E378" s="90"/>
      <c r="F378" s="90"/>
      <c r="G378" s="99">
        <f>(('RSGen 1-7'!G273+'RSGen 1-7'!G282+SUM('RSGen 1-7'!G285:G287)-G277))*G243</f>
        <v>25000</v>
      </c>
      <c r="H378" s="99">
        <f>(('RSGen 1-7'!H273+'RSGen 1-7'!H282+SUM('RSGen 1-7'!H285:H287)-H277))*H243</f>
        <v>24000</v>
      </c>
      <c r="I378" s="99">
        <f>(('RSGen 1-7'!I273+'RSGen 1-7'!I282+SUM('RSGen 1-7'!I285:I287)-I277))*I243</f>
        <v>378332.6227</v>
      </c>
      <c r="J378" s="99">
        <f>(('RSGen 1-7'!J273+'RSGen 1-7'!J282+SUM('RSGen 1-7'!J285:J287)-J277))*J243</f>
        <v>373285.703</v>
      </c>
      <c r="K378" s="99">
        <f>(('RSGen 1-7'!K273+'RSGen 1-7'!K282+SUM('RSGen 1-7'!K285:K287)-K277))*K243</f>
        <v>386414.767</v>
      </c>
      <c r="L378" s="99">
        <f>(('RSGen 1-7'!L273+'RSGen 1-7'!L282+SUM('RSGen 1-7'!L285:L287)-L277))*L243</f>
        <v>387483.247</v>
      </c>
      <c r="M378" s="99">
        <f>(('RSGen 1-7'!M273+'RSGen 1-7'!M282+SUM('RSGen 1-7'!M285:M287)-M277))*M243</f>
        <v>386567.407</v>
      </c>
      <c r="N378" s="99">
        <f>(('RSGen 1-7'!N273+'RSGen 1-7'!N282+SUM('RSGen 1-7'!N285:N287)-N277))*N243</f>
        <v>385727.887</v>
      </c>
      <c r="O378" s="99">
        <f>(('RSGen 1-7'!O273+'RSGen 1-7'!O282+SUM('RSGen 1-7'!O285:O287)-O277))*O243</f>
        <v>384926.527</v>
      </c>
      <c r="P378" s="99">
        <f>(('RSGen 1-7'!P273+'RSGen 1-7'!P282+SUM('RSGen 1-7'!P285:P287)-P277))*P243</f>
        <v>384125.167</v>
      </c>
      <c r="Q378" s="99">
        <f>(('RSGen 1-7'!Q273+'RSGen 1-7'!Q282+SUM('RSGen 1-7'!Q285:Q287)-Q277))*Q243</f>
        <v>383705.407</v>
      </c>
      <c r="R378" s="99">
        <f>(('RSGen 1-7'!R273+'RSGen 1-7'!R282+SUM('RSGen 1-7'!R285:R287)-R277))*R243</f>
        <v>383705.407</v>
      </c>
    </row>
    <row r="379" ht="12.75" customHeight="1" outlineLevel="1">
      <c r="A379" s="90"/>
      <c r="B379" s="90"/>
      <c r="C379" s="90"/>
      <c r="D379" s="90" t="s">
        <v>837</v>
      </c>
      <c r="E379" s="90"/>
      <c r="F379" s="90"/>
      <c r="G379" s="99">
        <v>0.0</v>
      </c>
      <c r="H379" s="384">
        <f>Assumptions!D29</f>
        <v>0</v>
      </c>
      <c r="I379" s="99">
        <f>(('RSGen 1-7'!I273+'RSGen 1-7'!I282+SUM('RSGen 1-7'!I285:I287)-I277)*I244)</f>
        <v>630554.3712</v>
      </c>
      <c r="J379" s="99">
        <f>(('RSGen 1-7'!J273+'RSGen 1-7'!J282+SUM('RSGen 1-7'!J285:J287)-J277)*J244)</f>
        <v>622142.8384</v>
      </c>
      <c r="K379" s="99">
        <f>(('RSGen 1-7'!K273+'RSGen 1-7'!K282+SUM('RSGen 1-7'!K285:K287)-K277)*K244)</f>
        <v>644024.6117</v>
      </c>
      <c r="L379" s="99">
        <f>(('RSGen 1-7'!L273+'RSGen 1-7'!L282+SUM('RSGen 1-7'!L285:L287)-L277)*L244)</f>
        <v>645805.4117</v>
      </c>
      <c r="M379" s="99">
        <f>(('RSGen 1-7'!M273+'RSGen 1-7'!M282+SUM('RSGen 1-7'!M285:M287)-M277)*M244)</f>
        <v>644279.0117</v>
      </c>
      <c r="N379" s="99">
        <f>(('RSGen 1-7'!N273+'RSGen 1-7'!N282+SUM('RSGen 1-7'!N285:N287)-N277)*N244)</f>
        <v>642879.8117</v>
      </c>
      <c r="O379" s="99">
        <f>(('RSGen 1-7'!O273+'RSGen 1-7'!O282+SUM('RSGen 1-7'!O285:O287)-O277)*O244)</f>
        <v>641544.2117</v>
      </c>
      <c r="P379" s="99">
        <f>(('RSGen 1-7'!P273+'RSGen 1-7'!P282+SUM('RSGen 1-7'!P285:P287)-P277)*P244)</f>
        <v>640208.6117</v>
      </c>
      <c r="Q379" s="99">
        <f>(('RSGen 1-7'!Q273+'RSGen 1-7'!Q282+SUM('RSGen 1-7'!Q285:Q287)-Q277)*Q244)</f>
        <v>639509.0117</v>
      </c>
      <c r="R379" s="99">
        <f>(('RSGen 1-7'!R273+'RSGen 1-7'!R282+SUM('RSGen 1-7'!R285:R287)-R277)*R244)</f>
        <v>639509.0117</v>
      </c>
    </row>
    <row r="380" ht="12.75" customHeight="1" outlineLevel="1">
      <c r="A380" s="90"/>
      <c r="B380" s="152"/>
      <c r="C380" s="152"/>
      <c r="D380" s="90" t="s">
        <v>184</v>
      </c>
      <c r="E380" s="90"/>
      <c r="F380" s="90"/>
      <c r="G380" s="99">
        <f>(('RSGen 1-7'!G273+'RSGen 1-7'!G282+SUM('RSGen 1-7'!G285:G287)-G277))*G245</f>
        <v>6250</v>
      </c>
      <c r="H380" s="99">
        <f>(('RSGen 1-7'!H273+'RSGen 1-7'!H282+SUM('RSGen 1-7'!H285:H287)-H277))*H245</f>
        <v>6000</v>
      </c>
      <c r="I380" s="99">
        <f>(('RSGen 1-7'!I273+'RSGen 1-7'!I282+SUM('RSGen 1-7'!I285:I287)-I277))*I245</f>
        <v>94583.15568</v>
      </c>
      <c r="J380" s="99">
        <f>(('RSGen 1-7'!J273+'RSGen 1-7'!J282+SUM('RSGen 1-7'!J285:J287)-J277))*J245</f>
        <v>93321.42576</v>
      </c>
      <c r="K380" s="99">
        <f>(('RSGen 1-7'!K273+'RSGen 1-7'!K282+SUM('RSGen 1-7'!K285:K287)-K277))*K245</f>
        <v>96603.69175</v>
      </c>
      <c r="L380" s="99">
        <f>(('RSGen 1-7'!L273+'RSGen 1-7'!L282+SUM('RSGen 1-7'!L285:L287)-L277))*L245</f>
        <v>96870.81175</v>
      </c>
      <c r="M380" s="99">
        <f>(('RSGen 1-7'!M273+'RSGen 1-7'!M282+SUM('RSGen 1-7'!M285:M287)-M277))*M245</f>
        <v>96641.85175</v>
      </c>
      <c r="N380" s="99">
        <f>(('RSGen 1-7'!N273+'RSGen 1-7'!N282+SUM('RSGen 1-7'!N285:N287)-N277))*N245</f>
        <v>96431.97175</v>
      </c>
      <c r="O380" s="99">
        <f>(('RSGen 1-7'!O273+'RSGen 1-7'!O282+SUM('RSGen 1-7'!O285:O287)-O277))*O245</f>
        <v>96231.63175</v>
      </c>
      <c r="P380" s="99">
        <f>(('RSGen 1-7'!P273+'RSGen 1-7'!P282+SUM('RSGen 1-7'!P285:P287)-P277))*P245</f>
        <v>96031.29175</v>
      </c>
      <c r="Q380" s="99">
        <f>(('RSGen 1-7'!Q273+'RSGen 1-7'!Q282+SUM('RSGen 1-7'!Q285:Q287)-Q277))*Q245</f>
        <v>95926.35175</v>
      </c>
      <c r="R380" s="99">
        <f>(('RSGen 1-7'!R273+'RSGen 1-7'!R282+SUM('RSGen 1-7'!R285:R287)-R277))*R245</f>
        <v>95926.35175</v>
      </c>
    </row>
    <row r="381" ht="12.75" customHeight="1" outlineLevel="1">
      <c r="A381" s="90"/>
      <c r="B381" s="152"/>
      <c r="C381" s="152"/>
      <c r="D381" s="90"/>
      <c r="E381" s="90"/>
      <c r="F381" s="90"/>
      <c r="G381" s="99"/>
      <c r="H381" s="99"/>
      <c r="I381" s="99"/>
      <c r="J381" s="99"/>
      <c r="K381" s="99"/>
      <c r="L381" s="99"/>
      <c r="M381" s="99"/>
      <c r="N381" s="99"/>
      <c r="O381" s="99"/>
      <c r="P381" s="99"/>
      <c r="Q381" s="99"/>
      <c r="R381" s="99"/>
    </row>
    <row r="382" ht="12.75" customHeight="1" outlineLevel="1">
      <c r="A382" s="385"/>
      <c r="B382" s="90"/>
      <c r="C382" s="148" t="s">
        <v>838</v>
      </c>
      <c r="D382" s="148"/>
      <c r="E382" s="148"/>
      <c r="F382" s="148"/>
      <c r="G382" s="150">
        <f t="shared" ref="G382:R382" si="197">SUM(G378:G381)</f>
        <v>31250</v>
      </c>
      <c r="H382" s="150">
        <f t="shared" si="197"/>
        <v>30000</v>
      </c>
      <c r="I382" s="150">
        <f t="shared" si="197"/>
        <v>1103470.15</v>
      </c>
      <c r="J382" s="150">
        <f t="shared" si="197"/>
        <v>1088749.967</v>
      </c>
      <c r="K382" s="150">
        <f t="shared" si="197"/>
        <v>1127043.07</v>
      </c>
      <c r="L382" s="150">
        <f t="shared" si="197"/>
        <v>1130159.47</v>
      </c>
      <c r="M382" s="150">
        <f t="shared" si="197"/>
        <v>1127488.27</v>
      </c>
      <c r="N382" s="150">
        <f t="shared" si="197"/>
        <v>1125039.67</v>
      </c>
      <c r="O382" s="150">
        <f t="shared" si="197"/>
        <v>1122702.37</v>
      </c>
      <c r="P382" s="150">
        <f t="shared" si="197"/>
        <v>1120365.07</v>
      </c>
      <c r="Q382" s="150">
        <f t="shared" si="197"/>
        <v>1119140.77</v>
      </c>
      <c r="R382" s="150">
        <f t="shared" si="197"/>
        <v>1119140.77</v>
      </c>
    </row>
    <row r="383" ht="12.75" customHeight="1" outlineLevel="1">
      <c r="A383" s="90"/>
      <c r="B383" s="67" t="s">
        <v>839</v>
      </c>
      <c r="C383" s="90"/>
      <c r="D383" s="90"/>
      <c r="E383" s="90"/>
      <c r="F383" s="90"/>
      <c r="G383" s="79">
        <f t="shared" ref="G383:R383" si="198">SUM(G342:G376)+G382</f>
        <v>31250</v>
      </c>
      <c r="H383" s="79">
        <f t="shared" si="198"/>
        <v>37780</v>
      </c>
      <c r="I383" s="79">
        <f t="shared" si="198"/>
        <v>1513794.044</v>
      </c>
      <c r="J383" s="79">
        <f t="shared" si="198"/>
        <v>1717075.949</v>
      </c>
      <c r="K383" s="79">
        <f t="shared" si="198"/>
        <v>1839523.72</v>
      </c>
      <c r="L383" s="79">
        <f t="shared" si="198"/>
        <v>1841890.12</v>
      </c>
      <c r="M383" s="79">
        <f t="shared" si="198"/>
        <v>1839218.92</v>
      </c>
      <c r="N383" s="79">
        <f t="shared" si="198"/>
        <v>1836770.32</v>
      </c>
      <c r="O383" s="79">
        <f t="shared" si="198"/>
        <v>1834433.02</v>
      </c>
      <c r="P383" s="79">
        <f t="shared" si="198"/>
        <v>1832095.72</v>
      </c>
      <c r="Q383" s="79">
        <f t="shared" si="198"/>
        <v>1830871.42</v>
      </c>
      <c r="R383" s="79">
        <f t="shared" si="198"/>
        <v>1830871.42</v>
      </c>
    </row>
    <row r="384" ht="12.75" customHeight="1" outlineLevel="1">
      <c r="A384" s="90"/>
      <c r="B384" s="90"/>
      <c r="C384" s="90"/>
      <c r="D384" s="90"/>
      <c r="E384" s="90"/>
      <c r="F384" s="90"/>
      <c r="G384" s="152"/>
      <c r="H384" s="152"/>
      <c r="I384" s="152"/>
      <c r="J384" s="152"/>
      <c r="K384" s="152"/>
      <c r="L384" s="152"/>
      <c r="M384" s="152"/>
      <c r="N384" s="152"/>
      <c r="O384" s="152"/>
      <c r="P384" s="152"/>
      <c r="Q384" s="152"/>
      <c r="R384" s="152"/>
    </row>
    <row r="385" ht="12.75" customHeight="1" outlineLevel="1">
      <c r="A385" s="90"/>
      <c r="B385" s="67" t="s">
        <v>555</v>
      </c>
      <c r="C385" s="90"/>
      <c r="D385" s="90"/>
      <c r="E385" s="90"/>
      <c r="F385" s="90"/>
      <c r="G385" s="90"/>
      <c r="H385" s="90"/>
      <c r="I385" s="90"/>
      <c r="J385" s="387"/>
      <c r="K385" s="90"/>
      <c r="L385" s="90"/>
      <c r="M385" s="90"/>
      <c r="N385" s="90"/>
      <c r="O385" s="90"/>
      <c r="P385" s="90"/>
      <c r="Q385" s="90"/>
      <c r="R385" s="90"/>
    </row>
    <row r="386" ht="12.75" customHeight="1" outlineLevel="1">
      <c r="A386" s="90"/>
      <c r="B386" s="90"/>
      <c r="C386" s="90" t="s">
        <v>840</v>
      </c>
      <c r="D386" s="90"/>
      <c r="E386" s="90"/>
      <c r="F386" s="90"/>
      <c r="G386" s="99">
        <f t="shared" ref="G386:R386" si="199">G249*(G261+G262+G263)</f>
        <v>0</v>
      </c>
      <c r="H386" s="99">
        <f t="shared" si="199"/>
        <v>0</v>
      </c>
      <c r="I386" s="99">
        <f t="shared" si="199"/>
        <v>21419.8728</v>
      </c>
      <c r="J386" s="99">
        <f t="shared" si="199"/>
        <v>25052.82</v>
      </c>
      <c r="K386" s="99">
        <f t="shared" si="199"/>
        <v>27172.272</v>
      </c>
      <c r="L386" s="99">
        <f t="shared" si="199"/>
        <v>27261.312</v>
      </c>
      <c r="M386" s="99">
        <f t="shared" si="199"/>
        <v>27184.992</v>
      </c>
      <c r="N386" s="99">
        <f t="shared" si="199"/>
        <v>27115.032</v>
      </c>
      <c r="O386" s="99">
        <f t="shared" si="199"/>
        <v>27048.252</v>
      </c>
      <c r="P386" s="99">
        <f t="shared" si="199"/>
        <v>26981.472</v>
      </c>
      <c r="Q386" s="99">
        <f t="shared" si="199"/>
        <v>26946.492</v>
      </c>
      <c r="R386" s="99">
        <f t="shared" si="199"/>
        <v>26946.492</v>
      </c>
    </row>
    <row r="387" ht="12.75" customHeight="1" outlineLevel="1">
      <c r="A387" s="90"/>
      <c r="B387" s="90"/>
      <c r="C387" s="90" t="s">
        <v>841</v>
      </c>
      <c r="D387" s="90"/>
      <c r="E387" s="90"/>
      <c r="F387" s="90"/>
      <c r="G387" s="99"/>
      <c r="H387" s="99"/>
      <c r="I387" s="99"/>
      <c r="J387" s="99"/>
      <c r="K387" s="99"/>
      <c r="L387" s="99"/>
      <c r="M387" s="99"/>
      <c r="N387" s="99"/>
      <c r="O387" s="99"/>
      <c r="P387" s="99"/>
      <c r="Q387" s="99"/>
      <c r="R387" s="99"/>
    </row>
    <row r="388" ht="12.75" customHeight="1" outlineLevel="1">
      <c r="A388" s="90"/>
      <c r="B388" s="90"/>
      <c r="C388" s="90" t="s">
        <v>556</v>
      </c>
      <c r="D388" s="90"/>
      <c r="E388" s="90"/>
      <c r="F388" s="90"/>
      <c r="G388" s="99"/>
      <c r="H388" s="99"/>
      <c r="I388" s="99"/>
      <c r="J388" s="99"/>
      <c r="K388" s="99"/>
      <c r="L388" s="99"/>
      <c r="M388" s="99"/>
      <c r="N388" s="99"/>
      <c r="O388" s="99"/>
      <c r="P388" s="99"/>
      <c r="Q388" s="99"/>
      <c r="R388" s="99"/>
    </row>
    <row r="389" ht="12.75" customHeight="1" outlineLevel="1">
      <c r="A389" s="90"/>
      <c r="B389" s="90"/>
      <c r="C389" s="90"/>
      <c r="D389" s="90" t="s">
        <v>557</v>
      </c>
      <c r="E389" s="90"/>
      <c r="F389" s="90"/>
      <c r="G389" s="99">
        <f t="shared" ref="G389:H389" si="200">-G438</f>
        <v>0</v>
      </c>
      <c r="H389" s="99">
        <f t="shared" si="200"/>
        <v>0</v>
      </c>
      <c r="I389" s="99">
        <f t="shared" ref="I389:O389" si="201">H250*H441</f>
        <v>10000</v>
      </c>
      <c r="J389" s="99">
        <f t="shared" si="201"/>
        <v>8000</v>
      </c>
      <c r="K389" s="99">
        <f t="shared" si="201"/>
        <v>6000</v>
      </c>
      <c r="L389" s="99">
        <f t="shared" si="201"/>
        <v>4000</v>
      </c>
      <c r="M389" s="99">
        <f t="shared" si="201"/>
        <v>2000</v>
      </c>
      <c r="N389" s="99">
        <f t="shared" si="201"/>
        <v>0</v>
      </c>
      <c r="O389" s="99">
        <f t="shared" si="201"/>
        <v>0</v>
      </c>
      <c r="P389" s="99">
        <f t="shared" ref="P389:R389" si="202">-P438</f>
        <v>0</v>
      </c>
      <c r="Q389" s="99">
        <f t="shared" si="202"/>
        <v>0</v>
      </c>
      <c r="R389" s="99">
        <f t="shared" si="202"/>
        <v>0</v>
      </c>
    </row>
    <row r="390" ht="12.75" customHeight="1" outlineLevel="1">
      <c r="A390" s="90"/>
      <c r="B390" s="90"/>
      <c r="C390" s="152"/>
      <c r="D390" s="90" t="s">
        <v>614</v>
      </c>
      <c r="E390" s="90"/>
      <c r="F390" s="90"/>
      <c r="G390" s="99">
        <v>0.0</v>
      </c>
      <c r="H390" s="99">
        <v>0.0</v>
      </c>
      <c r="I390" s="99">
        <v>0.0</v>
      </c>
      <c r="J390" s="99">
        <v>0.0</v>
      </c>
      <c r="K390" s="99">
        <v>0.0</v>
      </c>
      <c r="L390" s="99">
        <v>0.0</v>
      </c>
      <c r="M390" s="99">
        <v>0.0</v>
      </c>
      <c r="N390" s="99">
        <v>0.0</v>
      </c>
      <c r="O390" s="99">
        <v>0.0</v>
      </c>
      <c r="P390" s="99">
        <v>0.0</v>
      </c>
      <c r="Q390" s="99">
        <v>0.0</v>
      </c>
      <c r="R390" s="99">
        <v>0.0</v>
      </c>
    </row>
    <row r="391" ht="12.75" customHeight="1" outlineLevel="1">
      <c r="A391" s="90"/>
      <c r="B391" s="90"/>
      <c r="C391" s="90"/>
      <c r="D391" s="90" t="s">
        <v>148</v>
      </c>
      <c r="E391" s="90"/>
      <c r="F391" s="90"/>
      <c r="G391" s="99">
        <v>0.0</v>
      </c>
      <c r="H391" s="99">
        <f t="shared" ref="H391:R391" si="203">H461*H253</f>
        <v>0</v>
      </c>
      <c r="I391" s="99">
        <f t="shared" si="203"/>
        <v>13009.59136</v>
      </c>
      <c r="J391" s="99">
        <f t="shared" si="203"/>
        <v>12983.83239</v>
      </c>
      <c r="K391" s="99">
        <f t="shared" si="203"/>
        <v>13499.15993</v>
      </c>
      <c r="L391" s="99">
        <f t="shared" si="203"/>
        <v>13533.88553</v>
      </c>
      <c r="M391" s="99">
        <f t="shared" si="203"/>
        <v>13504.12073</v>
      </c>
      <c r="N391" s="99">
        <f t="shared" si="203"/>
        <v>13476.83633</v>
      </c>
      <c r="O391" s="99">
        <f t="shared" si="203"/>
        <v>13450.79213</v>
      </c>
      <c r="P391" s="99">
        <f t="shared" si="203"/>
        <v>13424.74793</v>
      </c>
      <c r="Q391" s="99">
        <f t="shared" si="203"/>
        <v>13411.10573</v>
      </c>
      <c r="R391" s="99">
        <f t="shared" si="203"/>
        <v>13411.10573</v>
      </c>
    </row>
    <row r="392" ht="12.75" customHeight="1" outlineLevel="1">
      <c r="A392" s="90"/>
      <c r="B392" s="87"/>
      <c r="C392" s="87" t="s">
        <v>559</v>
      </c>
      <c r="D392" s="87"/>
      <c r="E392" s="87"/>
      <c r="F392" s="87"/>
      <c r="G392" s="125">
        <f>G254*SUM(G319,G330,G339,G383,G386,G389,G391)</f>
        <v>0</v>
      </c>
      <c r="H392" s="125">
        <f t="shared" ref="H392:R392" si="204">H254*SUM(H319,H330,H339,H383,H386,H389)</f>
        <v>1771.006004</v>
      </c>
      <c r="I392" s="125">
        <f t="shared" si="204"/>
        <v>31777.244</v>
      </c>
      <c r="J392" s="125">
        <f t="shared" si="204"/>
        <v>32790.1102</v>
      </c>
      <c r="K392" s="125">
        <f t="shared" si="204"/>
        <v>34156.74643</v>
      </c>
      <c r="L392" s="125">
        <f t="shared" si="204"/>
        <v>34048.30083</v>
      </c>
      <c r="M392" s="125">
        <f t="shared" si="204"/>
        <v>34000.82563</v>
      </c>
      <c r="N392" s="125">
        <f t="shared" si="204"/>
        <v>33955.64003</v>
      </c>
      <c r="O392" s="125">
        <f t="shared" si="204"/>
        <v>33931.59923</v>
      </c>
      <c r="P392" s="125">
        <f t="shared" si="204"/>
        <v>33907.55843</v>
      </c>
      <c r="Q392" s="125">
        <f t="shared" si="204"/>
        <v>33894.96563</v>
      </c>
      <c r="R392" s="125">
        <f t="shared" si="204"/>
        <v>33894.96563</v>
      </c>
    </row>
    <row r="393" ht="12.75" customHeight="1" outlineLevel="1">
      <c r="A393" s="90"/>
      <c r="B393" s="67" t="s">
        <v>842</v>
      </c>
      <c r="C393" s="90"/>
      <c r="D393" s="90"/>
      <c r="E393" s="90"/>
      <c r="F393" s="90"/>
      <c r="G393" s="79">
        <f t="shared" ref="G393:R393" si="205">SUM(G386:G392)</f>
        <v>0</v>
      </c>
      <c r="H393" s="79">
        <f t="shared" si="205"/>
        <v>1771.006004</v>
      </c>
      <c r="I393" s="79">
        <f t="shared" si="205"/>
        <v>76206.70816</v>
      </c>
      <c r="J393" s="79">
        <f t="shared" si="205"/>
        <v>78826.76259</v>
      </c>
      <c r="K393" s="79">
        <f t="shared" si="205"/>
        <v>80828.17836</v>
      </c>
      <c r="L393" s="79">
        <f t="shared" si="205"/>
        <v>78843.49836</v>
      </c>
      <c r="M393" s="79">
        <f t="shared" si="205"/>
        <v>76689.93836</v>
      </c>
      <c r="N393" s="79">
        <f t="shared" si="205"/>
        <v>74547.50836</v>
      </c>
      <c r="O393" s="79">
        <f t="shared" si="205"/>
        <v>74430.64336</v>
      </c>
      <c r="P393" s="79">
        <f t="shared" si="205"/>
        <v>74313.77836</v>
      </c>
      <c r="Q393" s="79">
        <f t="shared" si="205"/>
        <v>74252.56336</v>
      </c>
      <c r="R393" s="79">
        <f t="shared" si="205"/>
        <v>74252.56336</v>
      </c>
    </row>
    <row r="394" ht="12.75" customHeight="1" outlineLevel="1">
      <c r="A394" s="90"/>
      <c r="B394" s="90"/>
      <c r="C394" s="90"/>
      <c r="D394" s="90"/>
      <c r="E394" s="90"/>
      <c r="F394" s="90"/>
      <c r="G394" s="147"/>
      <c r="H394" s="147"/>
      <c r="I394" s="147"/>
      <c r="J394" s="147"/>
      <c r="K394" s="147"/>
      <c r="L394" s="147"/>
      <c r="M394" s="147"/>
      <c r="N394" s="147"/>
      <c r="O394" s="147"/>
      <c r="P394" s="147"/>
      <c r="Q394" s="91"/>
      <c r="R394" s="91"/>
    </row>
    <row r="395" ht="12.75" customHeight="1" outlineLevel="1">
      <c r="A395" s="109" t="s">
        <v>843</v>
      </c>
      <c r="B395" s="143"/>
      <c r="C395" s="143"/>
      <c r="D395" s="143"/>
      <c r="E395" s="143"/>
      <c r="F395" s="143"/>
      <c r="G395" s="293">
        <f t="shared" ref="G395:R395" si="206">G393+G383+G339+G330+G319</f>
        <v>31250</v>
      </c>
      <c r="H395" s="293">
        <f t="shared" si="206"/>
        <v>178871.6064</v>
      </c>
      <c r="I395" s="293">
        <f t="shared" si="206"/>
        <v>3222511.235</v>
      </c>
      <c r="J395" s="293">
        <f t="shared" si="206"/>
        <v>3324784.962</v>
      </c>
      <c r="K395" s="293">
        <f t="shared" si="206"/>
        <v>3463330.549</v>
      </c>
      <c r="L395" s="293">
        <f t="shared" si="206"/>
        <v>3452412.269</v>
      </c>
      <c r="M395" s="293">
        <f t="shared" si="206"/>
        <v>3447587.509</v>
      </c>
      <c r="N395" s="293">
        <f t="shared" si="206"/>
        <v>3442996.479</v>
      </c>
      <c r="O395" s="293">
        <f t="shared" si="206"/>
        <v>3440542.314</v>
      </c>
      <c r="P395" s="293">
        <f t="shared" si="206"/>
        <v>3438088.149</v>
      </c>
      <c r="Q395" s="293">
        <f t="shared" si="206"/>
        <v>3436802.634</v>
      </c>
      <c r="R395" s="293">
        <f t="shared" si="206"/>
        <v>3436802.634</v>
      </c>
    </row>
    <row r="396" ht="12.75" customHeight="1" outlineLevel="1">
      <c r="A396" s="67"/>
      <c r="B396" s="90"/>
      <c r="C396" s="90"/>
      <c r="D396" s="90"/>
      <c r="E396" s="90"/>
      <c r="F396" s="90"/>
      <c r="G396" s="79"/>
      <c r="H396" s="79"/>
      <c r="I396" s="79"/>
      <c r="J396" s="79"/>
      <c r="K396" s="79"/>
      <c r="L396" s="79"/>
      <c r="M396" s="79"/>
      <c r="N396" s="79"/>
      <c r="O396" s="79"/>
      <c r="P396" s="79"/>
      <c r="Q396" s="79"/>
      <c r="R396" s="79"/>
    </row>
    <row r="397" ht="12.75" customHeight="1" outlineLevel="1">
      <c r="A397" s="126" t="s">
        <v>844</v>
      </c>
      <c r="B397" s="298"/>
      <c r="C397" s="298"/>
      <c r="D397" s="298"/>
      <c r="E397" s="298"/>
      <c r="F397" s="298"/>
      <c r="G397" s="128">
        <f t="shared" ref="G397:R397" si="207">G296-G395</f>
        <v>93750</v>
      </c>
      <c r="H397" s="128">
        <f t="shared" si="207"/>
        <v>21128.39356</v>
      </c>
      <c r="I397" s="128">
        <f t="shared" si="207"/>
        <v>113281.4207</v>
      </c>
      <c r="J397" s="128">
        <f t="shared" si="207"/>
        <v>4402.829541</v>
      </c>
      <c r="K397" s="128">
        <f t="shared" si="207"/>
        <v>-2007.49093</v>
      </c>
      <c r="L397" s="128">
        <f t="shared" si="207"/>
        <v>17814.78907</v>
      </c>
      <c r="M397" s="128">
        <f t="shared" si="207"/>
        <v>15007.54907</v>
      </c>
      <c r="N397" s="128">
        <f t="shared" si="207"/>
        <v>12602.57907</v>
      </c>
      <c r="O397" s="128">
        <f t="shared" si="207"/>
        <v>8378.74407</v>
      </c>
      <c r="P397" s="128">
        <f t="shared" si="207"/>
        <v>4154.90907</v>
      </c>
      <c r="Q397" s="128">
        <f t="shared" si="207"/>
        <v>1942.42407</v>
      </c>
      <c r="R397" s="128">
        <f t="shared" si="207"/>
        <v>1942.42407</v>
      </c>
    </row>
    <row r="398" ht="12.75" customHeight="1">
      <c r="A398" s="67"/>
      <c r="B398" s="90"/>
      <c r="C398" s="90"/>
      <c r="D398" s="90"/>
      <c r="E398" s="90"/>
      <c r="F398" s="90"/>
      <c r="G398" s="114"/>
      <c r="H398" s="114"/>
      <c r="I398" s="114"/>
      <c r="J398" s="114"/>
      <c r="K398" s="114"/>
      <c r="L398" s="114"/>
      <c r="M398" s="114"/>
      <c r="N398" s="114"/>
      <c r="O398" s="114"/>
      <c r="P398" s="114"/>
      <c r="Q398" s="91"/>
      <c r="R398" s="91"/>
    </row>
    <row r="399" ht="12.75" customHeight="1">
      <c r="A399" s="106" t="s">
        <v>845</v>
      </c>
      <c r="B399" s="253"/>
      <c r="C399" s="253"/>
      <c r="D399" s="253"/>
      <c r="E399" s="253"/>
      <c r="F399" s="253"/>
      <c r="G399" s="253"/>
      <c r="H399" s="253"/>
      <c r="I399" s="253"/>
      <c r="J399" s="253"/>
      <c r="K399" s="253"/>
      <c r="L399" s="253"/>
      <c r="M399" s="253"/>
      <c r="N399" s="253"/>
      <c r="O399" s="253"/>
      <c r="P399" s="253"/>
      <c r="Q399" s="253"/>
      <c r="R399" s="253"/>
    </row>
    <row r="400" ht="12.75" customHeight="1" outlineLevel="1">
      <c r="A400" s="206"/>
      <c r="B400" s="201" t="s">
        <v>464</v>
      </c>
      <c r="C400" s="201"/>
      <c r="D400" s="201"/>
      <c r="E400" s="201"/>
      <c r="F400" s="201"/>
      <c r="G400" s="114"/>
      <c r="H400" s="114"/>
      <c r="I400" s="114"/>
      <c r="J400" s="114"/>
      <c r="K400" s="114"/>
      <c r="L400" s="114"/>
      <c r="M400" s="114"/>
      <c r="N400" s="114"/>
      <c r="O400" s="114"/>
      <c r="P400" s="114"/>
      <c r="Q400" s="91"/>
      <c r="R400" s="91"/>
    </row>
    <row r="401" ht="12.75" customHeight="1" outlineLevel="1">
      <c r="A401" s="90"/>
      <c r="B401" s="90"/>
      <c r="C401" s="90" t="s">
        <v>194</v>
      </c>
      <c r="D401" s="90"/>
      <c r="E401" s="90"/>
      <c r="F401" s="90"/>
      <c r="G401" s="147">
        <f t="shared" ref="G401:R401" si="208">G397</f>
        <v>93750</v>
      </c>
      <c r="H401" s="147">
        <f t="shared" si="208"/>
        <v>21128.39356</v>
      </c>
      <c r="I401" s="147">
        <f t="shared" si="208"/>
        <v>113281.4207</v>
      </c>
      <c r="J401" s="147">
        <f t="shared" si="208"/>
        <v>4402.829541</v>
      </c>
      <c r="K401" s="147">
        <f t="shared" si="208"/>
        <v>-2007.49093</v>
      </c>
      <c r="L401" s="147">
        <f t="shared" si="208"/>
        <v>17814.78907</v>
      </c>
      <c r="M401" s="147">
        <f t="shared" si="208"/>
        <v>15007.54907</v>
      </c>
      <c r="N401" s="147">
        <f t="shared" si="208"/>
        <v>12602.57907</v>
      </c>
      <c r="O401" s="147">
        <f t="shared" si="208"/>
        <v>8378.74407</v>
      </c>
      <c r="P401" s="147">
        <f t="shared" si="208"/>
        <v>4154.90907</v>
      </c>
      <c r="Q401" s="147">
        <f t="shared" si="208"/>
        <v>1942.42407</v>
      </c>
      <c r="R401" s="147">
        <f t="shared" si="208"/>
        <v>1942.42407</v>
      </c>
    </row>
    <row r="402" ht="12.75" customHeight="1" outlineLevel="1">
      <c r="A402" s="90"/>
      <c r="B402" s="90"/>
      <c r="C402" s="90" t="s">
        <v>465</v>
      </c>
      <c r="D402" s="90"/>
      <c r="E402" s="90"/>
      <c r="F402" s="90"/>
      <c r="G402" s="147">
        <f t="shared" ref="G402:R402" si="209">G361</f>
        <v>0</v>
      </c>
      <c r="H402" s="147">
        <f t="shared" si="209"/>
        <v>0</v>
      </c>
      <c r="I402" s="147" t="str">
        <f t="shared" si="209"/>
        <v/>
      </c>
      <c r="J402" s="147" t="str">
        <f t="shared" si="209"/>
        <v/>
      </c>
      <c r="K402" s="147" t="str">
        <f t="shared" si="209"/>
        <v/>
      </c>
      <c r="L402" s="147" t="str">
        <f t="shared" si="209"/>
        <v/>
      </c>
      <c r="M402" s="147" t="str">
        <f t="shared" si="209"/>
        <v/>
      </c>
      <c r="N402" s="147" t="str">
        <f t="shared" si="209"/>
        <v/>
      </c>
      <c r="O402" s="147" t="str">
        <f t="shared" si="209"/>
        <v/>
      </c>
      <c r="P402" s="147" t="str">
        <f t="shared" si="209"/>
        <v/>
      </c>
      <c r="Q402" s="147" t="str">
        <f t="shared" si="209"/>
        <v/>
      </c>
      <c r="R402" s="147" t="str">
        <f t="shared" si="209"/>
        <v/>
      </c>
    </row>
    <row r="403" ht="12.75" customHeight="1" outlineLevel="1">
      <c r="A403" s="90"/>
      <c r="B403" s="90"/>
      <c r="C403" s="90" t="s">
        <v>466</v>
      </c>
      <c r="D403" s="90"/>
      <c r="E403" s="90"/>
      <c r="F403" s="90"/>
      <c r="G403" s="147">
        <v>0.0</v>
      </c>
      <c r="H403" s="147">
        <v>0.0</v>
      </c>
      <c r="I403" s="147">
        <v>0.0</v>
      </c>
      <c r="J403" s="147">
        <v>0.0</v>
      </c>
      <c r="K403" s="147">
        <v>0.0</v>
      </c>
      <c r="L403" s="147">
        <v>0.0</v>
      </c>
      <c r="M403" s="147">
        <v>0.0</v>
      </c>
      <c r="N403" s="147">
        <v>0.0</v>
      </c>
      <c r="O403" s="147">
        <v>0.0</v>
      </c>
      <c r="P403" s="147">
        <v>0.0</v>
      </c>
      <c r="Q403" s="147">
        <v>0.0</v>
      </c>
      <c r="R403" s="147">
        <v>0.0</v>
      </c>
    </row>
    <row r="404" ht="12.75" customHeight="1" outlineLevel="1">
      <c r="A404" s="90"/>
      <c r="B404" s="90"/>
      <c r="C404" s="90" t="s">
        <v>467</v>
      </c>
      <c r="D404" s="90"/>
      <c r="E404" s="90"/>
      <c r="F404" s="90"/>
      <c r="G404" s="99">
        <v>0.0</v>
      </c>
      <c r="H404" s="99">
        <f t="shared" ref="H404:R404" si="210">H480-G480+G475-H475</f>
        <v>-21144.96998</v>
      </c>
      <c r="I404" s="99">
        <f t="shared" si="210"/>
        <v>-320337.7084</v>
      </c>
      <c r="J404" s="99">
        <f t="shared" si="210"/>
        <v>6055.060598</v>
      </c>
      <c r="K404" s="99">
        <f t="shared" si="210"/>
        <v>-12987.10881</v>
      </c>
      <c r="L404" s="99">
        <f t="shared" si="210"/>
        <v>-1877.828</v>
      </c>
      <c r="M404" s="99">
        <f t="shared" si="210"/>
        <v>907.424</v>
      </c>
      <c r="N404" s="99">
        <f t="shared" si="210"/>
        <v>823.472</v>
      </c>
      <c r="O404" s="99">
        <f t="shared" si="210"/>
        <v>881.496</v>
      </c>
      <c r="P404" s="99">
        <f t="shared" si="210"/>
        <v>881.496</v>
      </c>
      <c r="Q404" s="99">
        <f t="shared" si="210"/>
        <v>461.736</v>
      </c>
      <c r="R404" s="99">
        <f t="shared" si="210"/>
        <v>0</v>
      </c>
    </row>
    <row r="405" ht="12.75" customHeight="1" outlineLevel="1">
      <c r="A405" s="90"/>
      <c r="B405" s="90"/>
      <c r="C405" s="90" t="s">
        <v>468</v>
      </c>
      <c r="D405" s="90"/>
      <c r="E405" s="90"/>
      <c r="F405" s="90"/>
      <c r="G405" s="147">
        <v>0.0</v>
      </c>
      <c r="H405" s="147">
        <v>0.0</v>
      </c>
      <c r="I405" s="147">
        <v>0.0</v>
      </c>
      <c r="J405" s="147">
        <v>0.0</v>
      </c>
      <c r="K405" s="147">
        <v>0.0</v>
      </c>
      <c r="L405" s="147">
        <v>0.0</v>
      </c>
      <c r="M405" s="147">
        <v>0.0</v>
      </c>
      <c r="N405" s="147">
        <v>0.0</v>
      </c>
      <c r="O405" s="147">
        <v>0.0</v>
      </c>
      <c r="P405" s="147">
        <v>0.0</v>
      </c>
      <c r="Q405" s="147">
        <v>0.0</v>
      </c>
      <c r="R405" s="147">
        <v>0.0</v>
      </c>
    </row>
    <row r="406" ht="12.75" customHeight="1" outlineLevel="1">
      <c r="A406" s="90"/>
      <c r="B406" s="148" t="s">
        <v>469</v>
      </c>
      <c r="C406" s="148"/>
      <c r="D406" s="148"/>
      <c r="E406" s="148"/>
      <c r="F406" s="148"/>
      <c r="G406" s="251">
        <f t="shared" ref="G406:R406" si="211">SUM(G401:G405)</f>
        <v>93750</v>
      </c>
      <c r="H406" s="251">
        <f t="shared" si="211"/>
        <v>-16.57642179</v>
      </c>
      <c r="I406" s="251">
        <f t="shared" si="211"/>
        <v>-207056.2877</v>
      </c>
      <c r="J406" s="251">
        <f t="shared" si="211"/>
        <v>10457.89014</v>
      </c>
      <c r="K406" s="251">
        <f t="shared" si="211"/>
        <v>-14994.59974</v>
      </c>
      <c r="L406" s="251">
        <f t="shared" si="211"/>
        <v>15936.96107</v>
      </c>
      <c r="M406" s="251">
        <f t="shared" si="211"/>
        <v>15914.97307</v>
      </c>
      <c r="N406" s="251">
        <f t="shared" si="211"/>
        <v>13426.05107</v>
      </c>
      <c r="O406" s="251">
        <f t="shared" si="211"/>
        <v>9260.24007</v>
      </c>
      <c r="P406" s="251">
        <f t="shared" si="211"/>
        <v>5036.40507</v>
      </c>
      <c r="Q406" s="251">
        <f t="shared" si="211"/>
        <v>2404.16007</v>
      </c>
      <c r="R406" s="251">
        <f t="shared" si="211"/>
        <v>1942.42407</v>
      </c>
    </row>
    <row r="407" ht="12.75" customHeight="1" outlineLevel="1">
      <c r="A407" s="90"/>
      <c r="B407" s="90"/>
      <c r="C407" s="90"/>
      <c r="D407" s="90"/>
      <c r="E407" s="90"/>
      <c r="F407" s="90"/>
      <c r="G407" s="114"/>
      <c r="H407" s="114"/>
      <c r="I407" s="114"/>
      <c r="J407" s="114"/>
      <c r="K407" s="114"/>
      <c r="L407" s="114"/>
      <c r="M407" s="114"/>
      <c r="N407" s="114"/>
      <c r="O407" s="114"/>
      <c r="P407" s="114"/>
      <c r="Q407" s="114"/>
      <c r="R407" s="114"/>
    </row>
    <row r="408" ht="12.75" customHeight="1" outlineLevel="1">
      <c r="A408" s="90"/>
      <c r="B408" s="201" t="s">
        <v>470</v>
      </c>
      <c r="C408" s="90"/>
      <c r="D408" s="90"/>
      <c r="E408" s="90"/>
      <c r="F408" s="90"/>
      <c r="G408" s="114"/>
      <c r="H408" s="114"/>
      <c r="I408" s="114"/>
      <c r="J408" s="114"/>
      <c r="K408" s="114"/>
      <c r="L408" s="114"/>
      <c r="M408" s="114"/>
      <c r="N408" s="114"/>
      <c r="O408" s="114"/>
      <c r="P408" s="114"/>
      <c r="Q408" s="114"/>
      <c r="R408" s="114"/>
    </row>
    <row r="409" ht="12.75" customHeight="1" outlineLevel="1">
      <c r="A409" s="90"/>
      <c r="B409" s="201"/>
      <c r="C409" s="90" t="s">
        <v>471</v>
      </c>
      <c r="D409" s="90"/>
      <c r="E409" s="90"/>
      <c r="F409" s="90"/>
      <c r="G409" s="114"/>
      <c r="H409" s="147">
        <f>-Assumptions!D30</f>
        <v>-200000</v>
      </c>
      <c r="I409" s="147">
        <v>0.0</v>
      </c>
      <c r="J409" s="147">
        <v>0.0</v>
      </c>
      <c r="K409" s="147">
        <v>0.0</v>
      </c>
      <c r="L409" s="147">
        <v>0.0</v>
      </c>
      <c r="M409" s="147">
        <v>0.0</v>
      </c>
      <c r="N409" s="147">
        <v>0.0</v>
      </c>
      <c r="O409" s="147">
        <f>-H409</f>
        <v>200000</v>
      </c>
      <c r="P409" s="147"/>
      <c r="Q409" s="147"/>
      <c r="R409" s="147"/>
      <c r="S409" s="90"/>
      <c r="T409" s="90"/>
      <c r="U409" s="90"/>
      <c r="V409" s="90"/>
      <c r="W409" s="90"/>
      <c r="X409" s="90"/>
      <c r="Y409" s="90"/>
      <c r="Z409" s="90"/>
      <c r="AA409" s="90"/>
      <c r="AB409" s="90"/>
      <c r="AC409" s="90"/>
      <c r="AD409" s="90"/>
      <c r="AE409" s="90"/>
      <c r="AF409" s="90"/>
      <c r="AG409" s="90"/>
      <c r="AH409" s="90"/>
      <c r="AI409" s="90"/>
      <c r="AJ409" s="90"/>
      <c r="AK409" s="90"/>
      <c r="AL409" s="90"/>
    </row>
    <row r="410" ht="12.75" customHeight="1" outlineLevel="1">
      <c r="A410" s="90"/>
      <c r="B410" s="90"/>
      <c r="C410" s="90" t="s">
        <v>472</v>
      </c>
      <c r="D410" s="90"/>
      <c r="E410" s="90"/>
      <c r="F410" s="90"/>
      <c r="G410" s="147">
        <f t="shared" ref="G410:R410" si="212">-G239</f>
        <v>0</v>
      </c>
      <c r="H410" s="147">
        <f t="shared" si="212"/>
        <v>0</v>
      </c>
      <c r="I410" s="147">
        <f t="shared" si="212"/>
        <v>0</v>
      </c>
      <c r="J410" s="147">
        <f t="shared" si="212"/>
        <v>0</v>
      </c>
      <c r="K410" s="147">
        <f t="shared" si="212"/>
        <v>0</v>
      </c>
      <c r="L410" s="147">
        <f t="shared" si="212"/>
        <v>0</v>
      </c>
      <c r="M410" s="147">
        <f t="shared" si="212"/>
        <v>0</v>
      </c>
      <c r="N410" s="147">
        <f t="shared" si="212"/>
        <v>0</v>
      </c>
      <c r="O410" s="147">
        <f t="shared" si="212"/>
        <v>0</v>
      </c>
      <c r="P410" s="147">
        <f t="shared" si="212"/>
        <v>0</v>
      </c>
      <c r="Q410" s="147">
        <f t="shared" si="212"/>
        <v>0</v>
      </c>
      <c r="R410" s="147">
        <f t="shared" si="212"/>
        <v>0</v>
      </c>
    </row>
    <row r="411" ht="12.75" customHeight="1" outlineLevel="1">
      <c r="A411" s="90"/>
      <c r="B411" s="148" t="s">
        <v>473</v>
      </c>
      <c r="C411" s="148"/>
      <c r="D411" s="148"/>
      <c r="E411" s="148"/>
      <c r="F411" s="148"/>
      <c r="G411" s="251">
        <f t="shared" ref="G411:R411" si="213">SUM(G409:G410)</f>
        <v>0</v>
      </c>
      <c r="H411" s="251">
        <f t="shared" si="213"/>
        <v>-200000</v>
      </c>
      <c r="I411" s="251">
        <f t="shared" si="213"/>
        <v>0</v>
      </c>
      <c r="J411" s="251">
        <f t="shared" si="213"/>
        <v>0</v>
      </c>
      <c r="K411" s="251">
        <f t="shared" si="213"/>
        <v>0</v>
      </c>
      <c r="L411" s="251">
        <f t="shared" si="213"/>
        <v>0</v>
      </c>
      <c r="M411" s="251">
        <f t="shared" si="213"/>
        <v>0</v>
      </c>
      <c r="N411" s="251">
        <f t="shared" si="213"/>
        <v>0</v>
      </c>
      <c r="O411" s="251">
        <f t="shared" si="213"/>
        <v>200000</v>
      </c>
      <c r="P411" s="251">
        <f t="shared" si="213"/>
        <v>0</v>
      </c>
      <c r="Q411" s="251">
        <f t="shared" si="213"/>
        <v>0</v>
      </c>
      <c r="R411" s="251">
        <f t="shared" si="213"/>
        <v>0</v>
      </c>
    </row>
    <row r="412" ht="12.75" customHeight="1" outlineLevel="1">
      <c r="A412" s="90"/>
      <c r="B412" s="90"/>
      <c r="C412" s="90"/>
      <c r="D412" s="90"/>
      <c r="E412" s="90"/>
      <c r="F412" s="90"/>
      <c r="G412" s="114"/>
      <c r="H412" s="114"/>
      <c r="I412" s="114"/>
      <c r="J412" s="114"/>
      <c r="K412" s="114"/>
      <c r="L412" s="114"/>
      <c r="M412" s="114"/>
      <c r="N412" s="114"/>
      <c r="O412" s="114"/>
      <c r="P412" s="114"/>
      <c r="Q412" s="114"/>
      <c r="R412" s="114"/>
    </row>
    <row r="413" ht="12.75" customHeight="1" outlineLevel="1">
      <c r="A413" s="90"/>
      <c r="B413" s="201" t="s">
        <v>474</v>
      </c>
      <c r="C413" s="90"/>
      <c r="D413" s="90"/>
      <c r="E413" s="90"/>
      <c r="F413" s="90"/>
      <c r="G413" s="114"/>
      <c r="H413" s="114"/>
      <c r="I413" s="114"/>
      <c r="J413" s="114"/>
      <c r="K413" s="114"/>
      <c r="L413" s="114"/>
      <c r="M413" s="114"/>
      <c r="N413" s="114"/>
      <c r="O413" s="114"/>
      <c r="P413" s="114"/>
      <c r="Q413" s="114"/>
      <c r="R413" s="114"/>
    </row>
    <row r="414" ht="12.75" customHeight="1" outlineLevel="1">
      <c r="A414" s="90"/>
      <c r="B414" s="90"/>
      <c r="C414" s="90" t="s">
        <v>846</v>
      </c>
      <c r="D414" s="90"/>
      <c r="E414" s="90"/>
      <c r="F414" s="90"/>
      <c r="G414" s="90"/>
      <c r="H414" s="90"/>
      <c r="I414" s="90"/>
      <c r="J414" s="90"/>
      <c r="K414" s="90"/>
      <c r="L414" s="90"/>
      <c r="M414" s="90"/>
      <c r="N414" s="90"/>
      <c r="O414" s="90"/>
      <c r="P414" s="90"/>
      <c r="Q414" s="90"/>
      <c r="R414" s="90"/>
    </row>
    <row r="415" ht="12.75" customHeight="1" outlineLevel="1">
      <c r="A415" s="90"/>
      <c r="B415" s="90"/>
      <c r="C415" s="90"/>
      <c r="D415" s="90" t="s">
        <v>557</v>
      </c>
      <c r="E415" s="90"/>
      <c r="F415" s="90"/>
      <c r="G415" s="99">
        <f>G435</f>
        <v>0</v>
      </c>
      <c r="H415" s="99">
        <v>250000.0</v>
      </c>
      <c r="I415" s="99">
        <v>0.0</v>
      </c>
      <c r="J415" s="99">
        <f t="shared" ref="J415:R415" si="214">J435</f>
        <v>0</v>
      </c>
      <c r="K415" s="99">
        <f t="shared" si="214"/>
        <v>0</v>
      </c>
      <c r="L415" s="99">
        <f t="shared" si="214"/>
        <v>0</v>
      </c>
      <c r="M415" s="99">
        <f t="shared" si="214"/>
        <v>0</v>
      </c>
      <c r="N415" s="99">
        <f t="shared" si="214"/>
        <v>0</v>
      </c>
      <c r="O415" s="99">
        <f t="shared" si="214"/>
        <v>0</v>
      </c>
      <c r="P415" s="99">
        <f t="shared" si="214"/>
        <v>0</v>
      </c>
      <c r="Q415" s="99">
        <f t="shared" si="214"/>
        <v>0</v>
      </c>
      <c r="R415" s="99">
        <f t="shared" si="214"/>
        <v>0</v>
      </c>
    </row>
    <row r="416" ht="12.75" customHeight="1" outlineLevel="1">
      <c r="A416" s="90"/>
      <c r="B416" s="90"/>
      <c r="C416" s="90"/>
      <c r="D416" s="90" t="s">
        <v>614</v>
      </c>
      <c r="E416" s="90"/>
      <c r="F416" s="90"/>
      <c r="G416" s="99">
        <f t="shared" ref="G416:R416" si="215">G445</f>
        <v>250000</v>
      </c>
      <c r="H416" s="99">
        <f t="shared" si="215"/>
        <v>0</v>
      </c>
      <c r="I416" s="99">
        <f t="shared" si="215"/>
        <v>0</v>
      </c>
      <c r="J416" s="99">
        <f t="shared" si="215"/>
        <v>0</v>
      </c>
      <c r="K416" s="99">
        <f t="shared" si="215"/>
        <v>0</v>
      </c>
      <c r="L416" s="99">
        <f t="shared" si="215"/>
        <v>0</v>
      </c>
      <c r="M416" s="99">
        <f t="shared" si="215"/>
        <v>0</v>
      </c>
      <c r="N416" s="99">
        <f t="shared" si="215"/>
        <v>0</v>
      </c>
      <c r="O416" s="99">
        <f t="shared" si="215"/>
        <v>0</v>
      </c>
      <c r="P416" s="99">
        <f t="shared" si="215"/>
        <v>0</v>
      </c>
      <c r="Q416" s="99">
        <f t="shared" si="215"/>
        <v>0</v>
      </c>
      <c r="R416" s="99">
        <f t="shared" si="215"/>
        <v>0</v>
      </c>
    </row>
    <row r="417" ht="12.75" customHeight="1" outlineLevel="1">
      <c r="A417" s="90"/>
      <c r="B417" s="90"/>
      <c r="C417" s="90"/>
      <c r="D417" s="90" t="s">
        <v>148</v>
      </c>
      <c r="E417" s="90"/>
      <c r="F417" s="90"/>
      <c r="G417" s="99">
        <f t="shared" ref="G417:R417" si="216">G455</f>
        <v>0</v>
      </c>
      <c r="H417" s="99">
        <f t="shared" si="216"/>
        <v>0</v>
      </c>
      <c r="I417" s="99">
        <f t="shared" si="216"/>
        <v>325239.784</v>
      </c>
      <c r="J417" s="99">
        <f t="shared" si="216"/>
        <v>0</v>
      </c>
      <c r="K417" s="99">
        <f t="shared" si="216"/>
        <v>12883.18847</v>
      </c>
      <c r="L417" s="99">
        <f t="shared" si="216"/>
        <v>868.14</v>
      </c>
      <c r="M417" s="99">
        <f t="shared" si="216"/>
        <v>0</v>
      </c>
      <c r="N417" s="99">
        <f t="shared" si="216"/>
        <v>0</v>
      </c>
      <c r="O417" s="99">
        <f t="shared" si="216"/>
        <v>0</v>
      </c>
      <c r="P417" s="99">
        <f t="shared" si="216"/>
        <v>0</v>
      </c>
      <c r="Q417" s="99">
        <f t="shared" si="216"/>
        <v>0</v>
      </c>
      <c r="R417" s="99">
        <f t="shared" si="216"/>
        <v>0</v>
      </c>
    </row>
    <row r="418" ht="12.75" customHeight="1" outlineLevel="1">
      <c r="A418" s="90"/>
      <c r="B418" s="90"/>
      <c r="C418" s="90"/>
      <c r="D418" s="90" t="s">
        <v>480</v>
      </c>
      <c r="E418" s="90"/>
      <c r="F418" s="90"/>
      <c r="G418" s="99">
        <v>0.0</v>
      </c>
      <c r="H418" s="99">
        <v>0.0</v>
      </c>
      <c r="I418" s="99">
        <v>0.0</v>
      </c>
      <c r="J418" s="99">
        <v>0.0</v>
      </c>
      <c r="K418" s="99">
        <v>0.0</v>
      </c>
      <c r="L418" s="99">
        <v>0.0</v>
      </c>
      <c r="M418" s="99">
        <v>0.0</v>
      </c>
      <c r="N418" s="99">
        <v>0.0</v>
      </c>
      <c r="O418" s="99">
        <v>0.0</v>
      </c>
      <c r="P418" s="99">
        <v>0.0</v>
      </c>
      <c r="Q418" s="99">
        <v>0.0</v>
      </c>
      <c r="R418" s="99">
        <v>0.0</v>
      </c>
    </row>
    <row r="419" ht="12.75" customHeight="1" outlineLevel="1">
      <c r="A419" s="90"/>
      <c r="B419" s="90"/>
      <c r="C419" s="90" t="s">
        <v>481</v>
      </c>
      <c r="D419" s="90"/>
      <c r="E419" s="90"/>
      <c r="F419" s="90"/>
      <c r="G419" s="99">
        <v>0.0</v>
      </c>
      <c r="H419" s="99">
        <v>0.0</v>
      </c>
      <c r="I419" s="99">
        <v>0.0</v>
      </c>
      <c r="J419" s="99">
        <v>0.0</v>
      </c>
      <c r="K419" s="99">
        <v>0.0</v>
      </c>
      <c r="L419" s="99">
        <v>0.0</v>
      </c>
      <c r="M419" s="99">
        <v>0.0</v>
      </c>
      <c r="N419" s="99">
        <v>0.0</v>
      </c>
      <c r="O419" s="99">
        <v>0.0</v>
      </c>
      <c r="P419" s="99">
        <v>0.0</v>
      </c>
      <c r="Q419" s="99">
        <v>0.0</v>
      </c>
      <c r="R419" s="99">
        <v>0.0</v>
      </c>
    </row>
    <row r="420" ht="12.75" customHeight="1" outlineLevel="1">
      <c r="A420" s="90"/>
      <c r="B420" s="90"/>
      <c r="C420" s="90" t="s">
        <v>847</v>
      </c>
      <c r="D420" s="90"/>
      <c r="E420" s="90"/>
      <c r="F420" s="90"/>
      <c r="G420" s="99"/>
      <c r="H420" s="99"/>
      <c r="I420" s="99"/>
      <c r="J420" s="99"/>
      <c r="K420" s="99"/>
      <c r="L420" s="99"/>
      <c r="M420" s="99"/>
      <c r="N420" s="99"/>
      <c r="O420" s="99"/>
      <c r="P420" s="99"/>
      <c r="Q420" s="99"/>
      <c r="R420" s="99"/>
    </row>
    <row r="421" ht="12.75" customHeight="1" outlineLevel="1">
      <c r="A421" s="90"/>
      <c r="B421" s="90"/>
      <c r="C421" s="90"/>
      <c r="D421" s="90" t="s">
        <v>557</v>
      </c>
      <c r="E421" s="90"/>
      <c r="F421" s="90"/>
      <c r="G421" s="99">
        <f t="shared" ref="G421:I421" si="217">G439+G440</f>
        <v>0</v>
      </c>
      <c r="H421" s="99">
        <f t="shared" si="217"/>
        <v>0</v>
      </c>
      <c r="I421" s="99">
        <f t="shared" si="217"/>
        <v>-50000</v>
      </c>
      <c r="J421" s="99">
        <v>-50000.0</v>
      </c>
      <c r="K421" s="99">
        <v>-50000.0</v>
      </c>
      <c r="L421" s="99">
        <v>-50000.0</v>
      </c>
      <c r="M421" s="99">
        <v>-50000.0</v>
      </c>
      <c r="N421" s="99">
        <v>0.0</v>
      </c>
      <c r="O421" s="99">
        <f t="shared" ref="O421:R421" si="218">O437</f>
        <v>0</v>
      </c>
      <c r="P421" s="99">
        <f t="shared" si="218"/>
        <v>0</v>
      </c>
      <c r="Q421" s="99">
        <f t="shared" si="218"/>
        <v>0</v>
      </c>
      <c r="R421" s="99">
        <f t="shared" si="218"/>
        <v>0</v>
      </c>
    </row>
    <row r="422" ht="12.75" customHeight="1" outlineLevel="1">
      <c r="A422" s="90"/>
      <c r="B422" s="90"/>
      <c r="C422" s="90"/>
      <c r="D422" s="90" t="s">
        <v>614</v>
      </c>
      <c r="E422" s="90"/>
      <c r="F422" s="90"/>
      <c r="G422" s="99">
        <f t="shared" ref="G422:M422" si="219">G447</f>
        <v>0</v>
      </c>
      <c r="H422" s="99">
        <f t="shared" si="219"/>
        <v>0</v>
      </c>
      <c r="I422" s="99">
        <f t="shared" si="219"/>
        <v>-250000</v>
      </c>
      <c r="J422" s="99">
        <f t="shared" si="219"/>
        <v>0</v>
      </c>
      <c r="K422" s="99">
        <f t="shared" si="219"/>
        <v>0</v>
      </c>
      <c r="L422" s="99">
        <f t="shared" si="219"/>
        <v>0</v>
      </c>
      <c r="M422" s="99">
        <f t="shared" si="219"/>
        <v>0</v>
      </c>
      <c r="N422" s="99">
        <f t="shared" ref="N422:R422" si="220">N448</f>
        <v>0</v>
      </c>
      <c r="O422" s="99">
        <f t="shared" si="220"/>
        <v>0</v>
      </c>
      <c r="P422" s="99">
        <f t="shared" si="220"/>
        <v>0</v>
      </c>
      <c r="Q422" s="99">
        <f t="shared" si="220"/>
        <v>0</v>
      </c>
      <c r="R422" s="99">
        <f t="shared" si="220"/>
        <v>0</v>
      </c>
    </row>
    <row r="423" ht="12.75" customHeight="1" outlineLevel="1">
      <c r="A423" s="90"/>
      <c r="B423" s="90"/>
      <c r="C423" s="90"/>
      <c r="D423" s="90" t="s">
        <v>148</v>
      </c>
      <c r="E423" s="90"/>
      <c r="F423" s="90"/>
      <c r="G423" s="99">
        <v>0.0</v>
      </c>
      <c r="H423" s="99">
        <f t="shared" ref="H423:R423" si="221">H457</f>
        <v>0</v>
      </c>
      <c r="I423" s="99">
        <f t="shared" si="221"/>
        <v>0</v>
      </c>
      <c r="J423" s="99">
        <f t="shared" si="221"/>
        <v>-643.97424</v>
      </c>
      <c r="K423" s="99">
        <f t="shared" si="221"/>
        <v>0</v>
      </c>
      <c r="L423" s="99">
        <f t="shared" si="221"/>
        <v>0</v>
      </c>
      <c r="M423" s="99">
        <f t="shared" si="221"/>
        <v>-744.12</v>
      </c>
      <c r="N423" s="99">
        <f t="shared" si="221"/>
        <v>-682.11</v>
      </c>
      <c r="O423" s="99">
        <f t="shared" si="221"/>
        <v>-651.105</v>
      </c>
      <c r="P423" s="99">
        <f t="shared" si="221"/>
        <v>-651.105</v>
      </c>
      <c r="Q423" s="99">
        <f t="shared" si="221"/>
        <v>-341.055</v>
      </c>
      <c r="R423" s="99">
        <f t="shared" si="221"/>
        <v>0</v>
      </c>
    </row>
    <row r="424" ht="12.75" customHeight="1" outlineLevel="1">
      <c r="A424" s="90"/>
      <c r="B424" s="90"/>
      <c r="C424" s="90"/>
      <c r="D424" s="90" t="s">
        <v>480</v>
      </c>
      <c r="E424" s="90"/>
      <c r="F424" s="90"/>
      <c r="G424" s="99">
        <v>0.0</v>
      </c>
      <c r="H424" s="99">
        <v>0.0</v>
      </c>
      <c r="I424" s="99">
        <v>0.0</v>
      </c>
      <c r="J424" s="99">
        <v>0.0</v>
      </c>
      <c r="K424" s="99">
        <v>0.0</v>
      </c>
      <c r="L424" s="99">
        <v>0.0</v>
      </c>
      <c r="M424" s="99">
        <v>0.0</v>
      </c>
      <c r="N424" s="99">
        <v>0.0</v>
      </c>
      <c r="O424" s="99">
        <v>0.0</v>
      </c>
      <c r="P424" s="99">
        <v>0.0</v>
      </c>
      <c r="Q424" s="99">
        <v>0.0</v>
      </c>
      <c r="R424" s="99">
        <v>0.0</v>
      </c>
    </row>
    <row r="425" ht="12.75" customHeight="1" outlineLevel="1">
      <c r="A425" s="90"/>
      <c r="B425" s="148" t="s">
        <v>482</v>
      </c>
      <c r="C425" s="148"/>
      <c r="D425" s="148"/>
      <c r="E425" s="148"/>
      <c r="F425" s="148"/>
      <c r="G425" s="150">
        <f t="shared" ref="G425:R425" si="222">SUM(G415:G424)</f>
        <v>250000</v>
      </c>
      <c r="H425" s="150">
        <f t="shared" si="222"/>
        <v>250000</v>
      </c>
      <c r="I425" s="150">
        <f t="shared" si="222"/>
        <v>25239.78396</v>
      </c>
      <c r="J425" s="150">
        <f t="shared" si="222"/>
        <v>-50643.97424</v>
      </c>
      <c r="K425" s="150">
        <f t="shared" si="222"/>
        <v>-37116.81153</v>
      </c>
      <c r="L425" s="150">
        <f t="shared" si="222"/>
        <v>-49131.86</v>
      </c>
      <c r="M425" s="150">
        <f t="shared" si="222"/>
        <v>-50744.12</v>
      </c>
      <c r="N425" s="150">
        <f t="shared" si="222"/>
        <v>-682.11</v>
      </c>
      <c r="O425" s="150">
        <f t="shared" si="222"/>
        <v>-651.105</v>
      </c>
      <c r="P425" s="150">
        <f t="shared" si="222"/>
        <v>-651.105</v>
      </c>
      <c r="Q425" s="150">
        <f t="shared" si="222"/>
        <v>-341.055</v>
      </c>
      <c r="R425" s="150">
        <f t="shared" si="222"/>
        <v>0</v>
      </c>
    </row>
    <row r="426" ht="12.75" customHeight="1" outlineLevel="1">
      <c r="A426" s="134" t="s">
        <v>483</v>
      </c>
      <c r="B426" s="134"/>
      <c r="C426" s="134"/>
      <c r="D426" s="134"/>
      <c r="E426" s="134"/>
      <c r="F426" s="134"/>
      <c r="G426" s="251">
        <f t="shared" ref="G426:R426" si="223">G406+G411+G425</f>
        <v>343750</v>
      </c>
      <c r="H426" s="251">
        <f t="shared" si="223"/>
        <v>49983.42358</v>
      </c>
      <c r="I426" s="251">
        <f t="shared" si="223"/>
        <v>-181816.5037</v>
      </c>
      <c r="J426" s="251">
        <f t="shared" si="223"/>
        <v>-40186.0841</v>
      </c>
      <c r="K426" s="251">
        <f t="shared" si="223"/>
        <v>-52111.41126</v>
      </c>
      <c r="L426" s="251">
        <f t="shared" si="223"/>
        <v>-33194.89893</v>
      </c>
      <c r="M426" s="251">
        <f t="shared" si="223"/>
        <v>-34829.14693</v>
      </c>
      <c r="N426" s="251">
        <f t="shared" si="223"/>
        <v>12743.94107</v>
      </c>
      <c r="O426" s="251">
        <f t="shared" si="223"/>
        <v>208609.1351</v>
      </c>
      <c r="P426" s="251">
        <f t="shared" si="223"/>
        <v>4385.30007</v>
      </c>
      <c r="Q426" s="251">
        <f t="shared" si="223"/>
        <v>2063.10507</v>
      </c>
      <c r="R426" s="251">
        <f t="shared" si="223"/>
        <v>1942.42407</v>
      </c>
    </row>
    <row r="427" ht="12.75" customHeight="1" outlineLevel="1">
      <c r="A427" s="67"/>
      <c r="B427" s="90" t="s">
        <v>216</v>
      </c>
      <c r="C427" s="67"/>
      <c r="D427" s="67"/>
      <c r="E427" s="67"/>
      <c r="F427" s="67"/>
      <c r="G427" s="147">
        <v>0.0</v>
      </c>
      <c r="H427" s="147">
        <f t="shared" ref="H427:R427" si="224">G428</f>
        <v>343750</v>
      </c>
      <c r="I427" s="147">
        <f t="shared" si="224"/>
        <v>393733.4236</v>
      </c>
      <c r="J427" s="147">
        <f t="shared" si="224"/>
        <v>211916.9198</v>
      </c>
      <c r="K427" s="147">
        <f t="shared" si="224"/>
        <v>171730.8357</v>
      </c>
      <c r="L427" s="147">
        <f t="shared" si="224"/>
        <v>119619.4245</v>
      </c>
      <c r="M427" s="147">
        <f t="shared" si="224"/>
        <v>86424.52556</v>
      </c>
      <c r="N427" s="147">
        <f t="shared" si="224"/>
        <v>51595.37863</v>
      </c>
      <c r="O427" s="147">
        <f t="shared" si="224"/>
        <v>64339.3197</v>
      </c>
      <c r="P427" s="147">
        <f t="shared" si="224"/>
        <v>272948.4548</v>
      </c>
      <c r="Q427" s="147">
        <f t="shared" si="224"/>
        <v>277333.7548</v>
      </c>
      <c r="R427" s="147">
        <f t="shared" si="224"/>
        <v>279396.8599</v>
      </c>
    </row>
    <row r="428" ht="12.75" customHeight="1" outlineLevel="1">
      <c r="A428" s="131" t="s">
        <v>484</v>
      </c>
      <c r="B428" s="131"/>
      <c r="C428" s="131"/>
      <c r="D428" s="131"/>
      <c r="E428" s="131"/>
      <c r="F428" s="131"/>
      <c r="G428" s="252">
        <f t="shared" ref="G428:R428" si="225">G426+G427</f>
        <v>343750</v>
      </c>
      <c r="H428" s="252">
        <f t="shared" si="225"/>
        <v>393733.4236</v>
      </c>
      <c r="I428" s="252">
        <f t="shared" si="225"/>
        <v>211916.9198</v>
      </c>
      <c r="J428" s="252">
        <f t="shared" si="225"/>
        <v>171730.8357</v>
      </c>
      <c r="K428" s="252">
        <f t="shared" si="225"/>
        <v>119619.4245</v>
      </c>
      <c r="L428" s="252">
        <f t="shared" si="225"/>
        <v>86424.52556</v>
      </c>
      <c r="M428" s="252">
        <f t="shared" si="225"/>
        <v>51595.37863</v>
      </c>
      <c r="N428" s="252">
        <f t="shared" si="225"/>
        <v>64339.3197</v>
      </c>
      <c r="O428" s="252">
        <f t="shared" si="225"/>
        <v>272948.4548</v>
      </c>
      <c r="P428" s="252">
        <f t="shared" si="225"/>
        <v>277333.7548</v>
      </c>
      <c r="Q428" s="252">
        <f t="shared" si="225"/>
        <v>279396.8599</v>
      </c>
      <c r="R428" s="252">
        <f t="shared" si="225"/>
        <v>281339.284</v>
      </c>
    </row>
    <row r="429" ht="12.75" customHeight="1" outlineLevel="1">
      <c r="A429" s="67"/>
      <c r="B429" s="90"/>
      <c r="C429" s="90"/>
      <c r="D429" s="90"/>
      <c r="E429" s="90"/>
      <c r="F429" s="90"/>
      <c r="G429" s="114"/>
      <c r="H429" s="114"/>
      <c r="I429" s="114"/>
      <c r="J429" s="114"/>
      <c r="K429" s="114"/>
      <c r="L429" s="114"/>
      <c r="M429" s="114"/>
      <c r="N429" s="114"/>
      <c r="O429" s="114"/>
      <c r="P429" s="114"/>
      <c r="Q429" s="91"/>
      <c r="R429" s="91"/>
    </row>
    <row r="430" ht="12.75" customHeight="1">
      <c r="A430" s="90"/>
      <c r="B430" s="90"/>
      <c r="C430" s="90"/>
      <c r="D430" s="90"/>
      <c r="E430" s="90"/>
      <c r="F430" s="90"/>
      <c r="G430" s="90"/>
      <c r="H430" s="90"/>
      <c r="I430" s="90"/>
      <c r="J430" s="90"/>
      <c r="K430" s="90"/>
      <c r="L430" s="90"/>
      <c r="M430" s="90"/>
      <c r="N430" s="90"/>
      <c r="O430" s="90"/>
      <c r="P430" s="90"/>
      <c r="Q430" s="90"/>
      <c r="R430" s="90"/>
    </row>
    <row r="431" ht="12.75" customHeight="1">
      <c r="A431" s="106" t="s">
        <v>848</v>
      </c>
      <c r="B431" s="253"/>
      <c r="C431" s="253"/>
      <c r="D431" s="253"/>
      <c r="E431" s="253"/>
      <c r="F431" s="253"/>
      <c r="G431" s="253"/>
      <c r="H431" s="253"/>
      <c r="I431" s="253"/>
      <c r="J431" s="253"/>
      <c r="K431" s="253"/>
      <c r="L431" s="253"/>
      <c r="M431" s="253"/>
      <c r="N431" s="253"/>
      <c r="O431" s="253"/>
      <c r="P431" s="253"/>
      <c r="Q431" s="253"/>
      <c r="R431" s="253"/>
    </row>
    <row r="432" ht="12.75" customHeight="1" outlineLevel="1">
      <c r="A432" s="90"/>
      <c r="B432" s="90"/>
      <c r="C432" s="90"/>
      <c r="D432" s="90"/>
      <c r="E432" s="90"/>
      <c r="F432" s="90"/>
      <c r="G432" s="90"/>
      <c r="H432" s="90"/>
      <c r="I432" s="90"/>
      <c r="J432" s="90"/>
      <c r="K432" s="90"/>
      <c r="L432" s="90"/>
      <c r="M432" s="90"/>
      <c r="N432" s="90"/>
      <c r="O432" s="90"/>
      <c r="P432" s="90"/>
      <c r="Q432" s="90"/>
      <c r="R432" s="90"/>
    </row>
    <row r="433" ht="12.75" customHeight="1" outlineLevel="1">
      <c r="A433" s="90"/>
      <c r="B433" s="67" t="s">
        <v>557</v>
      </c>
      <c r="C433" s="90"/>
      <c r="D433" s="90"/>
      <c r="E433" s="90"/>
      <c r="F433" s="90"/>
      <c r="G433" s="90"/>
      <c r="H433" s="90"/>
      <c r="I433" s="90"/>
      <c r="J433" s="90"/>
      <c r="K433" s="90"/>
      <c r="L433" s="90"/>
      <c r="M433" s="90"/>
      <c r="N433" s="90"/>
      <c r="O433" s="90"/>
      <c r="P433" s="90"/>
      <c r="Q433" s="90"/>
      <c r="R433" s="90"/>
    </row>
    <row r="434" ht="12.75" customHeight="1" outlineLevel="1">
      <c r="A434" s="90"/>
      <c r="B434" s="90"/>
      <c r="C434" s="90" t="s">
        <v>487</v>
      </c>
      <c r="D434" s="90"/>
      <c r="E434" s="90"/>
      <c r="F434" s="90"/>
      <c r="G434" s="99">
        <v>0.0</v>
      </c>
      <c r="H434" s="99">
        <v>0.0</v>
      </c>
      <c r="I434" s="99">
        <f t="shared" ref="I434:R434" si="226">+H441</f>
        <v>250000</v>
      </c>
      <c r="J434" s="99">
        <f t="shared" si="226"/>
        <v>200000</v>
      </c>
      <c r="K434" s="99">
        <f t="shared" si="226"/>
        <v>150000</v>
      </c>
      <c r="L434" s="99">
        <f t="shared" si="226"/>
        <v>100000</v>
      </c>
      <c r="M434" s="99">
        <f t="shared" si="226"/>
        <v>50000</v>
      </c>
      <c r="N434" s="99">
        <f t="shared" si="226"/>
        <v>0</v>
      </c>
      <c r="O434" s="99">
        <f t="shared" si="226"/>
        <v>0</v>
      </c>
      <c r="P434" s="99">
        <f t="shared" si="226"/>
        <v>0</v>
      </c>
      <c r="Q434" s="99">
        <f t="shared" si="226"/>
        <v>0</v>
      </c>
      <c r="R434" s="99">
        <f t="shared" si="226"/>
        <v>0</v>
      </c>
    </row>
    <row r="435" ht="12.75" customHeight="1" outlineLevel="1">
      <c r="A435" s="90"/>
      <c r="B435" s="90"/>
      <c r="C435" s="90" t="s">
        <v>488</v>
      </c>
      <c r="D435" s="90"/>
      <c r="E435" s="90"/>
      <c r="F435" s="90"/>
      <c r="G435" s="254">
        <v>0.0</v>
      </c>
      <c r="H435" s="254">
        <v>250000.0</v>
      </c>
      <c r="I435" s="254">
        <v>0.0</v>
      </c>
      <c r="J435" s="254">
        <v>0.0</v>
      </c>
      <c r="K435" s="254">
        <v>0.0</v>
      </c>
      <c r="L435" s="254">
        <v>0.0</v>
      </c>
      <c r="M435" s="254">
        <v>0.0</v>
      </c>
      <c r="N435" s="254">
        <v>0.0</v>
      </c>
      <c r="O435" s="99">
        <v>0.0</v>
      </c>
      <c r="P435" s="99">
        <v>0.0</v>
      </c>
      <c r="Q435" s="99">
        <v>0.0</v>
      </c>
      <c r="R435" s="99">
        <v>0.0</v>
      </c>
    </row>
    <row r="436" ht="12.75" customHeight="1" outlineLevel="1">
      <c r="A436" s="90"/>
      <c r="B436" s="90"/>
      <c r="C436" s="90" t="s">
        <v>490</v>
      </c>
      <c r="D436" s="90"/>
      <c r="E436" s="90"/>
      <c r="F436" s="90"/>
      <c r="G436" s="254"/>
      <c r="H436" s="254"/>
      <c r="I436" s="99"/>
      <c r="J436" s="254"/>
      <c r="K436" s="254"/>
      <c r="L436" s="254"/>
      <c r="M436" s="254"/>
      <c r="N436" s="254"/>
      <c r="O436" s="99"/>
      <c r="P436" s="99"/>
      <c r="Q436" s="99"/>
      <c r="R436" s="99"/>
    </row>
    <row r="437" ht="12.75" customHeight="1" outlineLevel="1">
      <c r="A437" s="90"/>
      <c r="B437" s="90"/>
      <c r="C437" s="90"/>
      <c r="D437" s="90" t="s">
        <v>701</v>
      </c>
      <c r="E437" s="90"/>
      <c r="F437" s="90"/>
      <c r="G437" s="99">
        <v>0.0</v>
      </c>
      <c r="H437" s="99">
        <v>0.0</v>
      </c>
      <c r="I437" s="99">
        <v>-50000.0</v>
      </c>
      <c r="J437" s="99">
        <v>-50000.0</v>
      </c>
      <c r="K437" s="99">
        <v>-50000.0</v>
      </c>
      <c r="L437" s="99">
        <v>-50000.0</v>
      </c>
      <c r="M437" s="99">
        <v>-50000.0</v>
      </c>
      <c r="N437" s="99">
        <v>0.0</v>
      </c>
      <c r="O437" s="99">
        <v>0.0</v>
      </c>
      <c r="P437" s="99">
        <v>0.0</v>
      </c>
      <c r="Q437" s="99">
        <v>0.0</v>
      </c>
      <c r="R437" s="99">
        <v>0.0</v>
      </c>
    </row>
    <row r="438" ht="12.75" customHeight="1" outlineLevel="1">
      <c r="A438" s="90"/>
      <c r="B438" s="90"/>
      <c r="C438" s="90"/>
      <c r="D438" s="90" t="s">
        <v>489</v>
      </c>
      <c r="E438" s="90"/>
      <c r="F438" s="90"/>
      <c r="G438" s="99">
        <v>0.0</v>
      </c>
      <c r="H438" s="99">
        <v>0.0</v>
      </c>
      <c r="I438" s="99">
        <v>0.0</v>
      </c>
      <c r="J438" s="99">
        <v>0.0</v>
      </c>
      <c r="K438" s="99">
        <v>0.0</v>
      </c>
      <c r="L438" s="99">
        <v>0.0</v>
      </c>
      <c r="M438" s="99">
        <v>0.0</v>
      </c>
      <c r="N438" s="99">
        <v>0.0</v>
      </c>
      <c r="O438" s="99">
        <v>0.0</v>
      </c>
      <c r="P438" s="99">
        <v>0.0</v>
      </c>
      <c r="Q438" s="99">
        <v>0.0</v>
      </c>
      <c r="R438" s="99">
        <v>0.0</v>
      </c>
    </row>
    <row r="439" ht="12.75" customHeight="1" outlineLevel="1">
      <c r="A439" s="90"/>
      <c r="B439" s="90"/>
      <c r="C439" s="148" t="s">
        <v>849</v>
      </c>
      <c r="D439" s="148"/>
      <c r="E439" s="148"/>
      <c r="F439" s="148"/>
      <c r="G439" s="150">
        <v>0.0</v>
      </c>
      <c r="H439" s="150">
        <v>0.0</v>
      </c>
      <c r="I439" s="150">
        <f t="shared" ref="I439:N439" si="227">I437</f>
        <v>-50000</v>
      </c>
      <c r="J439" s="150">
        <f t="shared" si="227"/>
        <v>-50000</v>
      </c>
      <c r="K439" s="150">
        <f t="shared" si="227"/>
        <v>-50000</v>
      </c>
      <c r="L439" s="150">
        <f t="shared" si="227"/>
        <v>-50000</v>
      </c>
      <c r="M439" s="150">
        <f t="shared" si="227"/>
        <v>-50000</v>
      </c>
      <c r="N439" s="150">
        <f t="shared" si="227"/>
        <v>0</v>
      </c>
      <c r="O439" s="150">
        <v>0.0</v>
      </c>
      <c r="P439" s="150">
        <v>0.0</v>
      </c>
      <c r="Q439" s="150">
        <v>0.0</v>
      </c>
      <c r="R439" s="150">
        <v>0.0</v>
      </c>
    </row>
    <row r="440" ht="12.75" customHeight="1" outlineLevel="1">
      <c r="A440" s="393"/>
      <c r="B440" s="90"/>
      <c r="C440" s="90" t="s">
        <v>850</v>
      </c>
      <c r="D440" s="90"/>
      <c r="E440" s="90"/>
      <c r="F440" s="90"/>
      <c r="G440" s="99">
        <v>0.0</v>
      </c>
      <c r="H440" s="99">
        <v>0.0</v>
      </c>
      <c r="I440" s="99">
        <v>0.0</v>
      </c>
      <c r="J440" s="254">
        <v>0.0</v>
      </c>
      <c r="K440" s="254">
        <v>0.0</v>
      </c>
      <c r="L440" s="254">
        <v>0.0</v>
      </c>
      <c r="M440" s="254">
        <v>0.0</v>
      </c>
      <c r="N440" s="254">
        <v>0.0</v>
      </c>
      <c r="O440" s="99">
        <v>0.0</v>
      </c>
      <c r="P440" s="99">
        <v>0.0</v>
      </c>
      <c r="Q440" s="99">
        <v>0.0</v>
      </c>
      <c r="R440" s="99">
        <v>0.0</v>
      </c>
    </row>
    <row r="441" ht="12.75" customHeight="1" outlineLevel="1">
      <c r="A441" s="90"/>
      <c r="B441" s="90"/>
      <c r="C441" s="148" t="s">
        <v>491</v>
      </c>
      <c r="D441" s="148"/>
      <c r="E441" s="148"/>
      <c r="F441" s="148"/>
      <c r="G441" s="150">
        <f t="shared" ref="G441:R441" si="228">G434+G435+G439+G440</f>
        <v>0</v>
      </c>
      <c r="H441" s="150">
        <f t="shared" si="228"/>
        <v>250000</v>
      </c>
      <c r="I441" s="150">
        <f t="shared" si="228"/>
        <v>200000</v>
      </c>
      <c r="J441" s="150">
        <f t="shared" si="228"/>
        <v>150000</v>
      </c>
      <c r="K441" s="150">
        <f t="shared" si="228"/>
        <v>100000</v>
      </c>
      <c r="L441" s="150">
        <f t="shared" si="228"/>
        <v>50000</v>
      </c>
      <c r="M441" s="150">
        <f t="shared" si="228"/>
        <v>0</v>
      </c>
      <c r="N441" s="150">
        <f t="shared" si="228"/>
        <v>0</v>
      </c>
      <c r="O441" s="150">
        <f t="shared" si="228"/>
        <v>0</v>
      </c>
      <c r="P441" s="150">
        <f t="shared" si="228"/>
        <v>0</v>
      </c>
      <c r="Q441" s="150">
        <f t="shared" si="228"/>
        <v>0</v>
      </c>
      <c r="R441" s="150">
        <f t="shared" si="228"/>
        <v>0</v>
      </c>
    </row>
    <row r="442" ht="12.75" customHeight="1" outlineLevel="1">
      <c r="A442" s="90"/>
      <c r="B442" s="90"/>
      <c r="C442" s="90"/>
      <c r="D442" s="90"/>
      <c r="E442" s="90"/>
      <c r="F442" s="90"/>
      <c r="G442" s="99"/>
      <c r="H442" s="99"/>
      <c r="I442" s="99"/>
      <c r="J442" s="99"/>
      <c r="K442" s="99"/>
      <c r="L442" s="99"/>
      <c r="M442" s="99"/>
      <c r="N442" s="99"/>
      <c r="O442" s="99"/>
      <c r="P442" s="99"/>
      <c r="Q442" s="99"/>
      <c r="R442" s="99"/>
    </row>
    <row r="443" ht="12.75" customHeight="1" outlineLevel="1">
      <c r="A443" s="90"/>
      <c r="B443" s="67" t="s">
        <v>614</v>
      </c>
      <c r="C443" s="90"/>
      <c r="D443" s="90"/>
      <c r="E443" s="90"/>
      <c r="F443" s="90"/>
      <c r="G443" s="90"/>
      <c r="H443" s="90"/>
      <c r="I443" s="90"/>
      <c r="J443" s="90"/>
      <c r="K443" s="90"/>
      <c r="L443" s="90"/>
      <c r="M443" s="90"/>
      <c r="N443" s="90"/>
      <c r="O443" s="90"/>
      <c r="P443" s="90"/>
      <c r="Q443" s="90"/>
      <c r="R443" s="90"/>
    </row>
    <row r="444" ht="12.75" customHeight="1" outlineLevel="1">
      <c r="A444" s="90"/>
      <c r="B444" s="90"/>
      <c r="C444" s="90" t="s">
        <v>487</v>
      </c>
      <c r="D444" s="90"/>
      <c r="E444" s="90"/>
      <c r="F444" s="90"/>
      <c r="G444" s="99">
        <v>0.0</v>
      </c>
      <c r="H444" s="99">
        <f t="shared" ref="H444:R444" si="229">G451</f>
        <v>250000</v>
      </c>
      <c r="I444" s="99">
        <f t="shared" si="229"/>
        <v>250000</v>
      </c>
      <c r="J444" s="99">
        <f t="shared" si="229"/>
        <v>0</v>
      </c>
      <c r="K444" s="99">
        <f t="shared" si="229"/>
        <v>0</v>
      </c>
      <c r="L444" s="99">
        <f t="shared" si="229"/>
        <v>0</v>
      </c>
      <c r="M444" s="99">
        <f t="shared" si="229"/>
        <v>0</v>
      </c>
      <c r="N444" s="99">
        <f t="shared" si="229"/>
        <v>0</v>
      </c>
      <c r="O444" s="99">
        <f t="shared" si="229"/>
        <v>0</v>
      </c>
      <c r="P444" s="99">
        <f t="shared" si="229"/>
        <v>0</v>
      </c>
      <c r="Q444" s="99">
        <f t="shared" si="229"/>
        <v>0</v>
      </c>
      <c r="R444" s="99">
        <f t="shared" si="229"/>
        <v>0</v>
      </c>
    </row>
    <row r="445" ht="12.75" customHeight="1" outlineLevel="1">
      <c r="A445" s="393"/>
      <c r="B445" s="90"/>
      <c r="C445" s="90" t="s">
        <v>488</v>
      </c>
      <c r="D445" s="90"/>
      <c r="E445" s="90"/>
      <c r="F445" s="90"/>
      <c r="G445" s="99">
        <v>250000.0</v>
      </c>
      <c r="H445" s="99">
        <v>0.0</v>
      </c>
      <c r="I445" s="99">
        <v>0.0</v>
      </c>
      <c r="J445" s="99">
        <v>0.0</v>
      </c>
      <c r="K445" s="99">
        <v>0.0</v>
      </c>
      <c r="L445" s="99">
        <v>0.0</v>
      </c>
      <c r="M445" s="99">
        <v>0.0</v>
      </c>
      <c r="N445" s="99">
        <v>0.0</v>
      </c>
      <c r="O445" s="99">
        <v>0.0</v>
      </c>
      <c r="P445" s="99">
        <v>0.0</v>
      </c>
      <c r="Q445" s="99">
        <v>0.0</v>
      </c>
      <c r="R445" s="99">
        <v>0.0</v>
      </c>
    </row>
    <row r="446" ht="12.75" customHeight="1" outlineLevel="1">
      <c r="A446" s="90"/>
      <c r="B446" s="90"/>
      <c r="C446" s="90" t="s">
        <v>490</v>
      </c>
      <c r="D446" s="90"/>
      <c r="E446" s="90"/>
      <c r="F446" s="90"/>
      <c r="G446" s="99"/>
      <c r="H446" s="99"/>
      <c r="I446" s="99"/>
      <c r="J446" s="99"/>
      <c r="K446" s="99"/>
      <c r="L446" s="99"/>
      <c r="M446" s="99"/>
      <c r="N446" s="99"/>
      <c r="O446" s="99"/>
      <c r="P446" s="99"/>
      <c r="Q446" s="99"/>
      <c r="R446" s="99"/>
    </row>
    <row r="447" ht="12.75" customHeight="1" outlineLevel="1">
      <c r="A447" s="90"/>
      <c r="B447" s="90"/>
      <c r="C447" s="90"/>
      <c r="D447" s="90" t="s">
        <v>701</v>
      </c>
      <c r="E447" s="90"/>
      <c r="F447" s="90"/>
      <c r="G447" s="99">
        <f t="shared" ref="G447:H447" si="230">MIN(G449-G448,0)</f>
        <v>0</v>
      </c>
      <c r="H447" s="99">
        <f t="shared" si="230"/>
        <v>0</v>
      </c>
      <c r="I447" s="99">
        <v>-250000.0</v>
      </c>
      <c r="J447" s="99">
        <f t="shared" ref="J447:R447" si="231">MIN(J449-J448,0)</f>
        <v>0</v>
      </c>
      <c r="K447" s="99">
        <f t="shared" si="231"/>
        <v>0</v>
      </c>
      <c r="L447" s="99">
        <f t="shared" si="231"/>
        <v>0</v>
      </c>
      <c r="M447" s="99">
        <f t="shared" si="231"/>
        <v>0</v>
      </c>
      <c r="N447" s="99">
        <f t="shared" si="231"/>
        <v>0</v>
      </c>
      <c r="O447" s="99">
        <f t="shared" si="231"/>
        <v>0</v>
      </c>
      <c r="P447" s="99">
        <f t="shared" si="231"/>
        <v>0</v>
      </c>
      <c r="Q447" s="99">
        <f t="shared" si="231"/>
        <v>0</v>
      </c>
      <c r="R447" s="99">
        <f t="shared" si="231"/>
        <v>0</v>
      </c>
    </row>
    <row r="448" ht="12.75" customHeight="1" outlineLevel="1">
      <c r="A448" s="90"/>
      <c r="B448" s="90"/>
      <c r="C448" s="90"/>
      <c r="D448" s="90" t="s">
        <v>489</v>
      </c>
      <c r="E448" s="90"/>
      <c r="F448" s="90"/>
      <c r="G448" s="99">
        <f>-G444*G252</f>
        <v>0</v>
      </c>
      <c r="H448" s="99">
        <v>0.0</v>
      </c>
      <c r="I448" s="99">
        <v>0.0</v>
      </c>
      <c r="J448" s="99">
        <f t="shared" ref="J448:R448" si="232">-J444*J252</f>
        <v>0</v>
      </c>
      <c r="K448" s="99">
        <f t="shared" si="232"/>
        <v>0</v>
      </c>
      <c r="L448" s="99">
        <f t="shared" si="232"/>
        <v>0</v>
      </c>
      <c r="M448" s="99">
        <f t="shared" si="232"/>
        <v>0</v>
      </c>
      <c r="N448" s="99">
        <f t="shared" si="232"/>
        <v>0</v>
      </c>
      <c r="O448" s="99">
        <f t="shared" si="232"/>
        <v>0</v>
      </c>
      <c r="P448" s="99">
        <f t="shared" si="232"/>
        <v>0</v>
      </c>
      <c r="Q448" s="99">
        <f t="shared" si="232"/>
        <v>0</v>
      </c>
      <c r="R448" s="99">
        <f t="shared" si="232"/>
        <v>0</v>
      </c>
    </row>
    <row r="449" ht="12.75" customHeight="1" outlineLevel="1">
      <c r="A449" s="90"/>
      <c r="B449" s="90"/>
      <c r="C449" s="148" t="s">
        <v>490</v>
      </c>
      <c r="D449" s="148"/>
      <c r="E449" s="148"/>
      <c r="F449" s="148"/>
      <c r="G449" s="394">
        <v>0.0</v>
      </c>
      <c r="H449" s="394">
        <v>0.0</v>
      </c>
      <c r="I449" s="394">
        <v>0.0</v>
      </c>
      <c r="J449" s="394">
        <v>0.0</v>
      </c>
      <c r="K449" s="394">
        <v>0.0</v>
      </c>
      <c r="L449" s="394">
        <v>0.0</v>
      </c>
      <c r="M449" s="394">
        <v>0.0</v>
      </c>
      <c r="N449" s="394">
        <v>0.0</v>
      </c>
      <c r="O449" s="394">
        <v>0.0</v>
      </c>
      <c r="P449" s="394">
        <v>0.0</v>
      </c>
      <c r="Q449" s="394">
        <v>0.0</v>
      </c>
      <c r="R449" s="394">
        <v>0.0</v>
      </c>
    </row>
    <row r="450" ht="12.75" customHeight="1" outlineLevel="1">
      <c r="A450" s="393"/>
      <c r="B450" s="90"/>
      <c r="C450" s="90" t="s">
        <v>850</v>
      </c>
      <c r="D450" s="90"/>
      <c r="E450" s="90"/>
      <c r="F450" s="90"/>
      <c r="G450" s="99">
        <v>0.0</v>
      </c>
      <c r="H450" s="99">
        <v>0.0</v>
      </c>
      <c r="I450" s="99">
        <v>0.0</v>
      </c>
      <c r="J450" s="99">
        <v>0.0</v>
      </c>
      <c r="K450" s="99">
        <v>0.0</v>
      </c>
      <c r="L450" s="99">
        <v>0.0</v>
      </c>
      <c r="M450" s="99">
        <v>0.0</v>
      </c>
      <c r="N450" s="99">
        <v>0.0</v>
      </c>
      <c r="O450" s="99">
        <v>0.0</v>
      </c>
      <c r="P450" s="99">
        <v>0.0</v>
      </c>
      <c r="Q450" s="99">
        <v>0.0</v>
      </c>
      <c r="R450" s="99">
        <v>0.0</v>
      </c>
    </row>
    <row r="451" ht="12.75" customHeight="1" outlineLevel="1">
      <c r="A451" s="90"/>
      <c r="B451" s="90"/>
      <c r="C451" s="148" t="s">
        <v>491</v>
      </c>
      <c r="D451" s="148"/>
      <c r="E451" s="148"/>
      <c r="F451" s="148"/>
      <c r="G451" s="150">
        <f t="shared" ref="G451:R451" si="233">+SUM(G444:G450)</f>
        <v>250000</v>
      </c>
      <c r="H451" s="150">
        <f t="shared" si="233"/>
        <v>250000</v>
      </c>
      <c r="I451" s="150">
        <f t="shared" si="233"/>
        <v>0</v>
      </c>
      <c r="J451" s="150">
        <f t="shared" si="233"/>
        <v>0</v>
      </c>
      <c r="K451" s="150">
        <f t="shared" si="233"/>
        <v>0</v>
      </c>
      <c r="L451" s="150">
        <f t="shared" si="233"/>
        <v>0</v>
      </c>
      <c r="M451" s="150">
        <f t="shared" si="233"/>
        <v>0</v>
      </c>
      <c r="N451" s="150">
        <f t="shared" si="233"/>
        <v>0</v>
      </c>
      <c r="O451" s="150">
        <f t="shared" si="233"/>
        <v>0</v>
      </c>
      <c r="P451" s="150">
        <f t="shared" si="233"/>
        <v>0</v>
      </c>
      <c r="Q451" s="150">
        <f t="shared" si="233"/>
        <v>0</v>
      </c>
      <c r="R451" s="150">
        <f t="shared" si="233"/>
        <v>0</v>
      </c>
    </row>
    <row r="452" ht="12.75" customHeight="1" outlineLevel="1">
      <c r="A452" s="90"/>
      <c r="B452" s="90"/>
      <c r="C452" s="90"/>
      <c r="D452" s="90"/>
      <c r="E452" s="90"/>
      <c r="F452" s="90"/>
      <c r="G452" s="99"/>
      <c r="H452" s="99"/>
      <c r="I452" s="99"/>
      <c r="J452" s="99"/>
      <c r="K452" s="99"/>
      <c r="L452" s="99"/>
      <c r="M452" s="99"/>
      <c r="N452" s="99"/>
      <c r="O452" s="99"/>
      <c r="P452" s="99"/>
      <c r="Q452" s="99"/>
      <c r="R452" s="99"/>
    </row>
    <row r="453" ht="12.75" customHeight="1" outlineLevel="1">
      <c r="A453" s="90"/>
      <c r="B453" s="67" t="s">
        <v>148</v>
      </c>
      <c r="C453" s="90"/>
      <c r="D453" s="90"/>
      <c r="E453" s="90"/>
      <c r="F453" s="90"/>
      <c r="G453" s="90"/>
      <c r="H453" s="90"/>
      <c r="I453" s="90"/>
      <c r="J453" s="90"/>
      <c r="K453" s="90"/>
      <c r="L453" s="90"/>
      <c r="M453" s="90"/>
      <c r="N453" s="90"/>
      <c r="O453" s="90"/>
      <c r="P453" s="90"/>
      <c r="Q453" s="90"/>
      <c r="R453" s="90"/>
    </row>
    <row r="454" ht="12.75" customHeight="1" outlineLevel="1">
      <c r="A454" s="90"/>
      <c r="B454" s="67"/>
      <c r="C454" s="90" t="s">
        <v>487</v>
      </c>
      <c r="D454" s="90"/>
      <c r="E454" s="90"/>
      <c r="F454" s="90"/>
      <c r="G454" s="99">
        <v>0.0</v>
      </c>
      <c r="H454" s="99">
        <f t="shared" ref="H454:R454" si="234">+G461</f>
        <v>0</v>
      </c>
      <c r="I454" s="99">
        <f t="shared" si="234"/>
        <v>0</v>
      </c>
      <c r="J454" s="99">
        <f t="shared" si="234"/>
        <v>325239.784</v>
      </c>
      <c r="K454" s="99">
        <f t="shared" si="234"/>
        <v>324595.8097</v>
      </c>
      <c r="L454" s="99">
        <f t="shared" si="234"/>
        <v>337478.9982</v>
      </c>
      <c r="M454" s="99">
        <f t="shared" si="234"/>
        <v>338347.1382</v>
      </c>
      <c r="N454" s="99">
        <f t="shared" si="234"/>
        <v>337603.0182</v>
      </c>
      <c r="O454" s="99">
        <f t="shared" si="234"/>
        <v>336920.9082</v>
      </c>
      <c r="P454" s="99">
        <f t="shared" si="234"/>
        <v>336269.8032</v>
      </c>
      <c r="Q454" s="99">
        <f t="shared" si="234"/>
        <v>335618.6982</v>
      </c>
      <c r="R454" s="99">
        <f t="shared" si="234"/>
        <v>335277.6432</v>
      </c>
    </row>
    <row r="455" ht="12.75" customHeight="1" outlineLevel="1">
      <c r="A455" s="90"/>
      <c r="C455" s="90" t="s">
        <v>488</v>
      </c>
      <c r="D455" s="90"/>
      <c r="E455" s="90"/>
      <c r="F455" s="90"/>
      <c r="G455" s="99">
        <v>0.0</v>
      </c>
      <c r="H455" s="99">
        <f t="shared" ref="H455:I455" si="235">IF(H465&gt;H463,0,IF(H463-H465&lt;G461,0,MIN(H464-G461,H464-G461-H465)))</f>
        <v>0</v>
      </c>
      <c r="I455" s="99">
        <f t="shared" si="235"/>
        <v>325239.784</v>
      </c>
      <c r="J455" s="99">
        <f>IF(J465&gt;J463,0,IF(J463-J465&lt;I461,0,MAX(0,MIN(J464-I461,J464-I461-J465))))</f>
        <v>0</v>
      </c>
      <c r="K455" s="99">
        <f t="shared" ref="K455:R455" si="236">IF(K465&gt;K463,0,IF(K463-K465&lt;J461,0,MAX(0,MIN(K464-J461,K463-K465-J461))))</f>
        <v>12883.18847</v>
      </c>
      <c r="L455" s="99">
        <f t="shared" si="236"/>
        <v>868.14</v>
      </c>
      <c r="M455" s="99">
        <f t="shared" si="236"/>
        <v>0</v>
      </c>
      <c r="N455" s="99">
        <f t="shared" si="236"/>
        <v>0</v>
      </c>
      <c r="O455" s="99">
        <f t="shared" si="236"/>
        <v>0</v>
      </c>
      <c r="P455" s="99">
        <f t="shared" si="236"/>
        <v>0</v>
      </c>
      <c r="Q455" s="99">
        <f t="shared" si="236"/>
        <v>0</v>
      </c>
      <c r="R455" s="99">
        <f t="shared" si="236"/>
        <v>0</v>
      </c>
    </row>
    <row r="456" ht="12.75" customHeight="1" outlineLevel="1">
      <c r="A456" s="90"/>
      <c r="B456" s="90"/>
      <c r="C456" s="90" t="s">
        <v>490</v>
      </c>
      <c r="D456" s="90"/>
      <c r="E456" s="90"/>
      <c r="F456" s="90"/>
      <c r="G456" s="99"/>
      <c r="H456" s="99"/>
      <c r="I456" s="99"/>
      <c r="J456" s="99"/>
      <c r="K456" s="99"/>
      <c r="L456" s="99"/>
      <c r="M456" s="99"/>
      <c r="N456" s="99"/>
      <c r="O456" s="99"/>
      <c r="P456" s="99"/>
      <c r="Q456" s="99"/>
      <c r="R456" s="99"/>
    </row>
    <row r="457" ht="12.75" customHeight="1" outlineLevel="1">
      <c r="A457" s="90"/>
      <c r="B457" s="90"/>
      <c r="C457" s="90"/>
      <c r="D457" s="90" t="s">
        <v>701</v>
      </c>
      <c r="E457" s="90"/>
      <c r="F457" s="90"/>
      <c r="G457" s="99">
        <f t="shared" ref="G457:R457" si="237">IF(G455&gt;0,0,IF(F461=0,0,IF(G465+F461&gt;G463,MAX(-F461,G463-F461-G465),IF(G464&lt;F461,G464-F461,0))))</f>
        <v>0</v>
      </c>
      <c r="H457" s="99">
        <f t="shared" si="237"/>
        <v>0</v>
      </c>
      <c r="I457" s="99">
        <f t="shared" si="237"/>
        <v>0</v>
      </c>
      <c r="J457" s="99">
        <f t="shared" si="237"/>
        <v>-643.97424</v>
      </c>
      <c r="K457" s="99">
        <f t="shared" si="237"/>
        <v>0</v>
      </c>
      <c r="L457" s="99">
        <f t="shared" si="237"/>
        <v>0</v>
      </c>
      <c r="M457" s="99">
        <f t="shared" si="237"/>
        <v>-744.12</v>
      </c>
      <c r="N457" s="99">
        <f t="shared" si="237"/>
        <v>-682.11</v>
      </c>
      <c r="O457" s="99">
        <f t="shared" si="237"/>
        <v>-651.105</v>
      </c>
      <c r="P457" s="99">
        <f t="shared" si="237"/>
        <v>-651.105</v>
      </c>
      <c r="Q457" s="99">
        <f t="shared" si="237"/>
        <v>-341.055</v>
      </c>
      <c r="R457" s="99">
        <f t="shared" si="237"/>
        <v>0</v>
      </c>
    </row>
    <row r="458" ht="12.75" customHeight="1" outlineLevel="1">
      <c r="A458" s="90"/>
      <c r="B458" s="90"/>
      <c r="C458" s="90"/>
      <c r="D458" s="90" t="s">
        <v>489</v>
      </c>
      <c r="E458" s="90"/>
      <c r="F458" s="90"/>
      <c r="G458" s="99">
        <f t="shared" ref="G458:H458" si="238">-G454*G253</f>
        <v>0</v>
      </c>
      <c r="H458" s="99">
        <f t="shared" si="238"/>
        <v>0</v>
      </c>
      <c r="I458" s="99">
        <v>0.0</v>
      </c>
      <c r="J458" s="99">
        <v>0.0</v>
      </c>
      <c r="K458" s="99">
        <v>0.0</v>
      </c>
      <c r="L458" s="99">
        <v>0.0</v>
      </c>
      <c r="M458" s="99">
        <v>0.0</v>
      </c>
      <c r="N458" s="99">
        <v>0.0</v>
      </c>
      <c r="O458" s="99">
        <v>0.0</v>
      </c>
      <c r="P458" s="99">
        <v>0.0</v>
      </c>
      <c r="Q458" s="99">
        <v>0.0</v>
      </c>
      <c r="R458" s="99">
        <v>0.0</v>
      </c>
    </row>
    <row r="459" ht="12.75" customHeight="1" outlineLevel="1">
      <c r="A459" s="90"/>
      <c r="B459" s="90"/>
      <c r="C459" s="148" t="s">
        <v>490</v>
      </c>
      <c r="D459" s="148"/>
      <c r="E459" s="148"/>
      <c r="F459" s="148"/>
      <c r="G459" s="150">
        <f>SUM(G457:G458)</f>
        <v>0</v>
      </c>
      <c r="H459" s="150">
        <v>0.0</v>
      </c>
      <c r="I459" s="150">
        <v>0.0</v>
      </c>
      <c r="J459" s="150">
        <v>0.0</v>
      </c>
      <c r="K459" s="150">
        <v>0.0</v>
      </c>
      <c r="L459" s="150">
        <v>0.0</v>
      </c>
      <c r="M459" s="150">
        <v>0.0</v>
      </c>
      <c r="N459" s="150">
        <v>0.0</v>
      </c>
      <c r="O459" s="150">
        <v>0.0</v>
      </c>
      <c r="P459" s="150">
        <v>0.0</v>
      </c>
      <c r="Q459" s="150">
        <v>0.0</v>
      </c>
      <c r="R459" s="150">
        <v>0.0</v>
      </c>
    </row>
    <row r="460" ht="12.75" customHeight="1" outlineLevel="1">
      <c r="A460" s="393"/>
      <c r="B460" s="90"/>
      <c r="C460" s="90" t="s">
        <v>850</v>
      </c>
      <c r="D460" s="90"/>
      <c r="E460" s="90"/>
      <c r="F460" s="90"/>
      <c r="G460" s="397">
        <v>0.0</v>
      </c>
      <c r="H460" s="397">
        <v>0.0</v>
      </c>
      <c r="I460" s="397">
        <v>0.0</v>
      </c>
      <c r="J460" s="397">
        <v>0.0</v>
      </c>
      <c r="K460" s="397">
        <v>0.0</v>
      </c>
      <c r="L460" s="397">
        <v>0.0</v>
      </c>
      <c r="M460" s="397">
        <v>0.0</v>
      </c>
      <c r="N460" s="397">
        <v>0.0</v>
      </c>
      <c r="O460" s="397">
        <v>0.0</v>
      </c>
      <c r="P460" s="397">
        <v>0.0</v>
      </c>
      <c r="Q460" s="397">
        <v>0.0</v>
      </c>
      <c r="R460" s="397">
        <v>0.0</v>
      </c>
    </row>
    <row r="461" ht="12.75" customHeight="1" outlineLevel="1">
      <c r="A461" s="90"/>
      <c r="B461" s="152">
        <f>Assumptions!H31</f>
        <v>0.65</v>
      </c>
      <c r="C461" s="148" t="s">
        <v>491</v>
      </c>
      <c r="D461" s="148"/>
      <c r="E461" s="148"/>
      <c r="F461" s="148"/>
      <c r="G461" s="150">
        <f t="shared" ref="G461:R461" si="239">SUM(G454:G460)</f>
        <v>0</v>
      </c>
      <c r="H461" s="150">
        <f t="shared" si="239"/>
        <v>0</v>
      </c>
      <c r="I461" s="150">
        <f t="shared" si="239"/>
        <v>325239.784</v>
      </c>
      <c r="J461" s="150">
        <f t="shared" si="239"/>
        <v>324595.8097</v>
      </c>
      <c r="K461" s="150">
        <f t="shared" si="239"/>
        <v>337478.9982</v>
      </c>
      <c r="L461" s="150">
        <f t="shared" si="239"/>
        <v>338347.1382</v>
      </c>
      <c r="M461" s="150">
        <f t="shared" si="239"/>
        <v>337603.0182</v>
      </c>
      <c r="N461" s="150">
        <f t="shared" si="239"/>
        <v>336920.9082</v>
      </c>
      <c r="O461" s="150">
        <f t="shared" si="239"/>
        <v>336269.8032</v>
      </c>
      <c r="P461" s="150">
        <f t="shared" si="239"/>
        <v>335618.6982</v>
      </c>
      <c r="Q461" s="150">
        <f t="shared" si="239"/>
        <v>335277.6432</v>
      </c>
      <c r="R461" s="150">
        <f t="shared" si="239"/>
        <v>335277.6432</v>
      </c>
    </row>
    <row r="462" ht="12.75" customHeight="1" outlineLevel="1">
      <c r="A462" s="90"/>
      <c r="B462" s="152"/>
      <c r="C462" s="90"/>
      <c r="D462" s="90"/>
      <c r="E462" s="90"/>
      <c r="F462" s="90"/>
      <c r="G462" s="99"/>
      <c r="H462" s="99"/>
      <c r="I462" s="99"/>
      <c r="J462" s="99"/>
      <c r="K462" s="99"/>
      <c r="L462" s="99"/>
      <c r="M462" s="99"/>
      <c r="N462" s="99"/>
      <c r="O462" s="99"/>
      <c r="P462" s="99"/>
      <c r="Q462" s="99"/>
      <c r="R462" s="99"/>
    </row>
    <row r="463" ht="12.75" customHeight="1" outlineLevel="1">
      <c r="A463" s="90"/>
      <c r="B463" s="396">
        <f>Assumptions!H32</f>
        <v>2</v>
      </c>
      <c r="C463" s="90" t="s">
        <v>152</v>
      </c>
      <c r="D463" s="90"/>
      <c r="E463" s="90"/>
      <c r="F463" s="90"/>
      <c r="G463" s="99">
        <f t="shared" ref="G463:R463" si="240">$B$463*(G390+G389+G383+G339+G330+G319)/12</f>
        <v>5208.333333</v>
      </c>
      <c r="H463" s="99">
        <f t="shared" si="240"/>
        <v>29516.76674</v>
      </c>
      <c r="I463" s="99">
        <f t="shared" si="240"/>
        <v>526050.7545</v>
      </c>
      <c r="J463" s="99">
        <f t="shared" si="240"/>
        <v>542326.3666</v>
      </c>
      <c r="K463" s="99">
        <f t="shared" si="240"/>
        <v>564750.3952</v>
      </c>
      <c r="L463" s="99">
        <f t="shared" si="240"/>
        <v>562928.1285</v>
      </c>
      <c r="M463" s="99">
        <f t="shared" si="240"/>
        <v>562149.5952</v>
      </c>
      <c r="N463" s="99">
        <f t="shared" si="240"/>
        <v>561408.1618</v>
      </c>
      <c r="O463" s="99">
        <f t="shared" si="240"/>
        <v>561018.6118</v>
      </c>
      <c r="P463" s="99">
        <f t="shared" si="240"/>
        <v>560629.0618</v>
      </c>
      <c r="Q463" s="99">
        <f t="shared" si="240"/>
        <v>560425.0118</v>
      </c>
      <c r="R463" s="99">
        <f t="shared" si="240"/>
        <v>560425.0118</v>
      </c>
    </row>
    <row r="464" ht="12.75" customHeight="1" outlineLevel="1">
      <c r="A464" s="90"/>
      <c r="B464" s="152">
        <f>Assumptions!H31</f>
        <v>0.65</v>
      </c>
      <c r="C464" s="90" t="s">
        <v>851</v>
      </c>
      <c r="D464" s="90"/>
      <c r="E464" s="90"/>
      <c r="F464" s="90"/>
      <c r="G464" s="99">
        <f t="shared" ref="G464:R464" si="241">$B$464*G475</f>
        <v>0</v>
      </c>
      <c r="H464" s="99">
        <f t="shared" si="241"/>
        <v>19500</v>
      </c>
      <c r="I464" s="99">
        <f t="shared" si="241"/>
        <v>325239.784</v>
      </c>
      <c r="J464" s="99">
        <f t="shared" si="241"/>
        <v>324595.8097</v>
      </c>
      <c r="K464" s="99">
        <f t="shared" si="241"/>
        <v>337478.9982</v>
      </c>
      <c r="L464" s="99">
        <f t="shared" si="241"/>
        <v>338347.1382</v>
      </c>
      <c r="M464" s="99">
        <f t="shared" si="241"/>
        <v>337603.0182</v>
      </c>
      <c r="N464" s="99">
        <f t="shared" si="241"/>
        <v>336920.9082</v>
      </c>
      <c r="O464" s="99">
        <f t="shared" si="241"/>
        <v>336269.8032</v>
      </c>
      <c r="P464" s="99">
        <f t="shared" si="241"/>
        <v>335618.6982</v>
      </c>
      <c r="Q464" s="99">
        <f t="shared" si="241"/>
        <v>335277.6432</v>
      </c>
      <c r="R464" s="99">
        <f t="shared" si="241"/>
        <v>335277.6432</v>
      </c>
    </row>
    <row r="465" ht="12.75" customHeight="1" outlineLevel="1">
      <c r="A465" s="90"/>
      <c r="B465" s="152"/>
      <c r="C465" s="90" t="s">
        <v>852</v>
      </c>
      <c r="D465" s="90"/>
      <c r="E465" s="90"/>
      <c r="F465" s="90"/>
      <c r="G465" s="99">
        <f>(G296-G319-G330-G339-G383-G386-G387-G389-G390+G404+G411+G415+G416+G421+G423)+F465</f>
        <v>343750</v>
      </c>
      <c r="H465" s="99">
        <f t="shared" ref="H465:R465" si="242">H11-SUM(H14:H21,H386,H389:H390,H392,G391)+H411+H404+SUM(H415:H416,H418:H422)+G465</f>
        <v>393733.4236</v>
      </c>
      <c r="I465" s="99">
        <f t="shared" si="242"/>
        <v>-100313.2728</v>
      </c>
      <c r="J465" s="99">
        <f t="shared" si="242"/>
        <v>-139881.1416</v>
      </c>
      <c r="K465" s="99">
        <f t="shared" si="242"/>
        <v>-204360.4138</v>
      </c>
      <c r="L465" s="99">
        <f t="shared" si="242"/>
        <v>-238388.7271</v>
      </c>
      <c r="M465" s="99">
        <f t="shared" si="242"/>
        <v>-272503.5188</v>
      </c>
      <c r="N465" s="99">
        <f t="shared" si="242"/>
        <v>-259104.7522</v>
      </c>
      <c r="O465" s="99">
        <f t="shared" si="242"/>
        <v>-49870.5563</v>
      </c>
      <c r="P465" s="99">
        <f t="shared" si="242"/>
        <v>-44860.19543</v>
      </c>
      <c r="Q465" s="99">
        <f t="shared" si="242"/>
        <v>-42469.67756</v>
      </c>
      <c r="R465" s="99">
        <f t="shared" si="242"/>
        <v>-40527.25349</v>
      </c>
    </row>
    <row r="466" ht="12.75" customHeight="1" outlineLevel="1">
      <c r="A466" s="90"/>
      <c r="B466" s="90"/>
      <c r="C466" s="90"/>
      <c r="D466" s="90"/>
      <c r="E466" s="90"/>
      <c r="F466" s="90"/>
      <c r="G466" s="90"/>
      <c r="H466" s="90"/>
      <c r="I466" s="90"/>
      <c r="J466" s="90"/>
      <c r="K466" s="90"/>
      <c r="L466" s="90"/>
      <c r="M466" s="90"/>
      <c r="N466" s="90"/>
      <c r="O466" s="90"/>
      <c r="P466" s="90"/>
      <c r="Q466" s="90"/>
      <c r="R466" s="90"/>
    </row>
    <row r="467" ht="12.75" customHeight="1" outlineLevel="1">
      <c r="A467" s="90"/>
      <c r="B467" s="67" t="s">
        <v>494</v>
      </c>
      <c r="C467" s="90"/>
      <c r="D467" s="90"/>
      <c r="E467" s="90"/>
      <c r="F467" s="90"/>
      <c r="G467" s="99">
        <f t="shared" ref="G467:R467" si="243">+G461+G451+G441</f>
        <v>250000</v>
      </c>
      <c r="H467" s="99">
        <f t="shared" si="243"/>
        <v>500000</v>
      </c>
      <c r="I467" s="99">
        <f t="shared" si="243"/>
        <v>525239.784</v>
      </c>
      <c r="J467" s="99">
        <f t="shared" si="243"/>
        <v>474595.8097</v>
      </c>
      <c r="K467" s="99">
        <f t="shared" si="243"/>
        <v>437478.9982</v>
      </c>
      <c r="L467" s="99">
        <f t="shared" si="243"/>
        <v>388347.1382</v>
      </c>
      <c r="M467" s="99">
        <f t="shared" si="243"/>
        <v>337603.0182</v>
      </c>
      <c r="N467" s="99">
        <f t="shared" si="243"/>
        <v>336920.9082</v>
      </c>
      <c r="O467" s="99">
        <f t="shared" si="243"/>
        <v>336269.8032</v>
      </c>
      <c r="P467" s="99">
        <f t="shared" si="243"/>
        <v>335618.6982</v>
      </c>
      <c r="Q467" s="99">
        <f t="shared" si="243"/>
        <v>335277.6432</v>
      </c>
      <c r="R467" s="99">
        <f t="shared" si="243"/>
        <v>335277.6432</v>
      </c>
    </row>
    <row r="468" ht="12.75" customHeight="1" outlineLevel="1">
      <c r="A468" s="90"/>
      <c r="B468" s="90"/>
      <c r="C468" s="90"/>
      <c r="D468" s="90"/>
      <c r="E468" s="90"/>
      <c r="F468" s="90"/>
      <c r="G468" s="90"/>
      <c r="H468" s="90"/>
      <c r="I468" s="90"/>
      <c r="J468" s="90"/>
      <c r="K468" s="90"/>
      <c r="L468" s="90"/>
      <c r="M468" s="90"/>
      <c r="N468" s="90"/>
      <c r="O468" s="90"/>
      <c r="P468" s="90"/>
      <c r="Q468" s="90"/>
      <c r="R468" s="90"/>
    </row>
    <row r="469" ht="12.75" customHeight="1">
      <c r="A469" s="90"/>
      <c r="B469" s="90"/>
      <c r="C469" s="90"/>
      <c r="D469" s="90"/>
      <c r="E469" s="90"/>
      <c r="F469" s="90"/>
      <c r="G469" s="90"/>
      <c r="H469" s="90"/>
      <c r="I469" s="90"/>
      <c r="J469" s="90"/>
      <c r="K469" s="90"/>
      <c r="L469" s="90"/>
      <c r="M469" s="90"/>
      <c r="N469" s="90"/>
      <c r="O469" s="90"/>
      <c r="P469" s="90"/>
      <c r="Q469" s="90"/>
      <c r="R469" s="90"/>
    </row>
    <row r="470" ht="12.75" customHeight="1">
      <c r="A470" s="106" t="s">
        <v>496</v>
      </c>
      <c r="B470" s="253"/>
      <c r="C470" s="253"/>
      <c r="D470" s="253"/>
      <c r="E470" s="253"/>
      <c r="F470" s="253"/>
      <c r="G470" s="253"/>
      <c r="H470" s="253"/>
      <c r="I470" s="253"/>
      <c r="J470" s="253"/>
      <c r="K470" s="253"/>
      <c r="L470" s="253"/>
      <c r="M470" s="253"/>
      <c r="N470" s="253"/>
      <c r="O470" s="253"/>
      <c r="P470" s="253"/>
      <c r="Q470" s="253"/>
      <c r="R470" s="253"/>
    </row>
    <row r="471" ht="12.75" customHeight="1" outlineLevel="1">
      <c r="A471" s="90"/>
      <c r="B471" s="90"/>
      <c r="C471" s="90"/>
      <c r="D471" s="90"/>
      <c r="E471" s="90"/>
      <c r="F471" s="90"/>
      <c r="G471" s="90"/>
      <c r="H471" s="90"/>
      <c r="I471" s="90"/>
      <c r="J471" s="90"/>
      <c r="K471" s="90"/>
      <c r="L471" s="90"/>
      <c r="M471" s="90"/>
      <c r="N471" s="90"/>
      <c r="O471" s="90"/>
      <c r="P471" s="90"/>
      <c r="Q471" s="90"/>
      <c r="R471" s="90"/>
    </row>
    <row r="472" ht="12.75" customHeight="1" outlineLevel="1">
      <c r="A472" s="90"/>
      <c r="B472" s="90" t="s">
        <v>242</v>
      </c>
      <c r="C472" s="90"/>
      <c r="D472" s="90"/>
      <c r="E472" s="90"/>
      <c r="F472" s="90"/>
      <c r="G472" s="90"/>
      <c r="H472" s="90"/>
      <c r="I472" s="90"/>
      <c r="J472" s="90"/>
      <c r="K472" s="90"/>
      <c r="L472" s="90"/>
      <c r="M472" s="90"/>
      <c r="N472" s="90"/>
      <c r="O472" s="90"/>
      <c r="P472" s="90"/>
      <c r="Q472" s="90"/>
      <c r="R472" s="90"/>
    </row>
    <row r="473" ht="12.75" customHeight="1" outlineLevel="1">
      <c r="A473" s="90"/>
      <c r="B473" s="90"/>
      <c r="C473" s="90" t="s">
        <v>243</v>
      </c>
      <c r="D473" s="90"/>
      <c r="E473" s="90"/>
      <c r="F473" s="90"/>
      <c r="G473" s="99">
        <f t="shared" ref="G473:R473" si="244">G428</f>
        <v>343750</v>
      </c>
      <c r="H473" s="99">
        <f t="shared" si="244"/>
        <v>393733.4236</v>
      </c>
      <c r="I473" s="99">
        <f t="shared" si="244"/>
        <v>211916.9198</v>
      </c>
      <c r="J473" s="99">
        <f t="shared" si="244"/>
        <v>171730.8357</v>
      </c>
      <c r="K473" s="99">
        <f t="shared" si="244"/>
        <v>119619.4245</v>
      </c>
      <c r="L473" s="99">
        <f t="shared" si="244"/>
        <v>86424.52556</v>
      </c>
      <c r="M473" s="99">
        <f t="shared" si="244"/>
        <v>51595.37863</v>
      </c>
      <c r="N473" s="99">
        <f t="shared" si="244"/>
        <v>64339.3197</v>
      </c>
      <c r="O473" s="99">
        <f t="shared" si="244"/>
        <v>272948.4548</v>
      </c>
      <c r="P473" s="99">
        <f t="shared" si="244"/>
        <v>277333.7548</v>
      </c>
      <c r="Q473" s="99">
        <f t="shared" si="244"/>
        <v>279396.8599</v>
      </c>
      <c r="R473" s="99">
        <f t="shared" si="244"/>
        <v>281339.284</v>
      </c>
    </row>
    <row r="474" ht="12.75" customHeight="1" outlineLevel="1">
      <c r="A474" s="90"/>
      <c r="B474" s="90"/>
      <c r="C474" s="90" t="s">
        <v>499</v>
      </c>
      <c r="D474" s="90"/>
      <c r="E474" s="90"/>
      <c r="F474" s="90"/>
      <c r="G474" s="99">
        <f t="shared" ref="G474:R474" si="245">F474-G409</f>
        <v>0</v>
      </c>
      <c r="H474" s="99">
        <f t="shared" si="245"/>
        <v>200000</v>
      </c>
      <c r="I474" s="99">
        <f t="shared" si="245"/>
        <v>200000</v>
      </c>
      <c r="J474" s="99">
        <f t="shared" si="245"/>
        <v>200000</v>
      </c>
      <c r="K474" s="99">
        <f t="shared" si="245"/>
        <v>200000</v>
      </c>
      <c r="L474" s="99">
        <f t="shared" si="245"/>
        <v>200000</v>
      </c>
      <c r="M474" s="99">
        <f t="shared" si="245"/>
        <v>200000</v>
      </c>
      <c r="N474" s="99">
        <f t="shared" si="245"/>
        <v>200000</v>
      </c>
      <c r="O474" s="99">
        <f t="shared" si="245"/>
        <v>0</v>
      </c>
      <c r="P474" s="99">
        <f t="shared" si="245"/>
        <v>0</v>
      </c>
      <c r="Q474" s="99">
        <f t="shared" si="245"/>
        <v>0</v>
      </c>
      <c r="R474" s="99">
        <f t="shared" si="245"/>
        <v>0</v>
      </c>
    </row>
    <row r="475" ht="12.75" customHeight="1" outlineLevel="1">
      <c r="A475" s="90"/>
      <c r="B475" s="257">
        <f>Assumptions!H28</f>
        <v>0.15</v>
      </c>
      <c r="C475" s="90" t="s">
        <v>142</v>
      </c>
      <c r="D475" s="90"/>
      <c r="E475" s="90"/>
      <c r="F475" s="90"/>
      <c r="G475" s="99">
        <f>$B$475*(G273+G282)</f>
        <v>0</v>
      </c>
      <c r="H475" s="99">
        <f t="shared" ref="H475:R475" si="246">$B475*H296</f>
        <v>30000</v>
      </c>
      <c r="I475" s="99">
        <f t="shared" si="246"/>
        <v>500368.8984</v>
      </c>
      <c r="J475" s="99">
        <f t="shared" si="246"/>
        <v>499378.1688</v>
      </c>
      <c r="K475" s="99">
        <f t="shared" si="246"/>
        <v>519198.4588</v>
      </c>
      <c r="L475" s="99">
        <f t="shared" si="246"/>
        <v>520534.0588</v>
      </c>
      <c r="M475" s="99">
        <f t="shared" si="246"/>
        <v>519389.2588</v>
      </c>
      <c r="N475" s="99">
        <f t="shared" si="246"/>
        <v>518339.8588</v>
      </c>
      <c r="O475" s="99">
        <f t="shared" si="246"/>
        <v>517338.1588</v>
      </c>
      <c r="P475" s="99">
        <f t="shared" si="246"/>
        <v>516336.4588</v>
      </c>
      <c r="Q475" s="99">
        <f t="shared" si="246"/>
        <v>515811.7588</v>
      </c>
      <c r="R475" s="99">
        <f t="shared" si="246"/>
        <v>515811.7588</v>
      </c>
    </row>
    <row r="476" ht="12.75" customHeight="1" outlineLevel="1">
      <c r="A476" s="90"/>
      <c r="B476" s="87"/>
      <c r="C476" s="87" t="s">
        <v>248</v>
      </c>
      <c r="D476" s="87"/>
      <c r="E476" s="87"/>
      <c r="F476" s="87"/>
      <c r="G476" s="125">
        <v>0.0</v>
      </c>
      <c r="H476" s="125">
        <v>0.0</v>
      </c>
      <c r="I476" s="125">
        <v>0.0</v>
      </c>
      <c r="J476" s="125">
        <v>0.0</v>
      </c>
      <c r="K476" s="125">
        <v>0.0</v>
      </c>
      <c r="L476" s="125">
        <v>0.0</v>
      </c>
      <c r="M476" s="125">
        <v>0.0</v>
      </c>
      <c r="N476" s="125">
        <v>0.0</v>
      </c>
      <c r="O476" s="125">
        <v>0.0</v>
      </c>
      <c r="P476" s="125">
        <v>0.0</v>
      </c>
      <c r="Q476" s="125">
        <v>0.0</v>
      </c>
      <c r="R476" s="125">
        <v>0.0</v>
      </c>
    </row>
    <row r="477" ht="12.75" customHeight="1" outlineLevel="1">
      <c r="A477" s="90"/>
      <c r="B477" s="90" t="s">
        <v>249</v>
      </c>
      <c r="C477" s="90"/>
      <c r="D477" s="90"/>
      <c r="E477" s="90"/>
      <c r="F477" s="90"/>
      <c r="G477" s="99">
        <f t="shared" ref="G477:R477" si="247">SUM(G473:G476)</f>
        <v>343750</v>
      </c>
      <c r="H477" s="99">
        <f t="shared" si="247"/>
        <v>623733.4236</v>
      </c>
      <c r="I477" s="99">
        <f t="shared" si="247"/>
        <v>912285.8182</v>
      </c>
      <c r="J477" s="99">
        <f t="shared" si="247"/>
        <v>871109.0045</v>
      </c>
      <c r="K477" s="99">
        <f t="shared" si="247"/>
        <v>838817.8832</v>
      </c>
      <c r="L477" s="99">
        <f t="shared" si="247"/>
        <v>806958.5843</v>
      </c>
      <c r="M477" s="99">
        <f t="shared" si="247"/>
        <v>770984.6374</v>
      </c>
      <c r="N477" s="99">
        <f t="shared" si="247"/>
        <v>782679.1785</v>
      </c>
      <c r="O477" s="99">
        <f t="shared" si="247"/>
        <v>790286.6135</v>
      </c>
      <c r="P477" s="99">
        <f t="shared" si="247"/>
        <v>793670.2136</v>
      </c>
      <c r="Q477" s="99">
        <f t="shared" si="247"/>
        <v>795208.6187</v>
      </c>
      <c r="R477" s="99">
        <f t="shared" si="247"/>
        <v>797151.0427</v>
      </c>
    </row>
    <row r="478" ht="12.75" customHeight="1" outlineLevel="1">
      <c r="A478" s="90"/>
      <c r="B478" s="90"/>
      <c r="C478" s="90"/>
      <c r="D478" s="90"/>
      <c r="E478" s="90"/>
      <c r="F478" s="90"/>
      <c r="G478" s="99"/>
      <c r="H478" s="99"/>
      <c r="I478" s="99"/>
      <c r="J478" s="99"/>
      <c r="K478" s="99"/>
      <c r="L478" s="99"/>
      <c r="M478" s="99"/>
      <c r="N478" s="99"/>
      <c r="O478" s="99"/>
      <c r="P478" s="99"/>
      <c r="Q478" s="99"/>
      <c r="R478" s="99"/>
    </row>
    <row r="479" ht="12.75" customHeight="1" outlineLevel="1">
      <c r="A479" s="90"/>
      <c r="B479" s="90" t="s">
        <v>250</v>
      </c>
      <c r="C479" s="90"/>
      <c r="D479" s="90"/>
      <c r="E479" s="90"/>
      <c r="F479" s="90"/>
      <c r="G479" s="99"/>
      <c r="H479" s="99"/>
      <c r="I479" s="99"/>
      <c r="J479" s="99"/>
      <c r="K479" s="99"/>
      <c r="L479" s="99"/>
      <c r="M479" s="99"/>
      <c r="N479" s="99"/>
      <c r="O479" s="99"/>
      <c r="P479" s="99"/>
      <c r="Q479" s="99"/>
      <c r="R479" s="99"/>
    </row>
    <row r="480" ht="12.75" customHeight="1" outlineLevel="1">
      <c r="A480" s="90"/>
      <c r="B480" s="257">
        <f>Assumptions!H29</f>
        <v>0.05</v>
      </c>
      <c r="C480" s="90" t="s">
        <v>145</v>
      </c>
      <c r="D480" s="90"/>
      <c r="E480" s="90"/>
      <c r="F480" s="90"/>
      <c r="G480" s="99">
        <v>0.0</v>
      </c>
      <c r="H480" s="99">
        <f t="shared" ref="H480:R480" si="248">$B$480*(H319+H330+H339+H383+H386+H389+H390)</f>
        <v>8855.030022</v>
      </c>
      <c r="I480" s="99">
        <f t="shared" si="248"/>
        <v>158886.22</v>
      </c>
      <c r="J480" s="99">
        <f t="shared" si="248"/>
        <v>163950.551</v>
      </c>
      <c r="K480" s="99">
        <f t="shared" si="248"/>
        <v>170783.7321</v>
      </c>
      <c r="L480" s="99">
        <f t="shared" si="248"/>
        <v>170241.5041</v>
      </c>
      <c r="M480" s="99">
        <f t="shared" si="248"/>
        <v>170004.1281</v>
      </c>
      <c r="N480" s="99">
        <f t="shared" si="248"/>
        <v>169778.2001</v>
      </c>
      <c r="O480" s="99">
        <f t="shared" si="248"/>
        <v>169657.9961</v>
      </c>
      <c r="P480" s="99">
        <f t="shared" si="248"/>
        <v>169537.7921</v>
      </c>
      <c r="Q480" s="99">
        <f t="shared" si="248"/>
        <v>169474.8281</v>
      </c>
      <c r="R480" s="99">
        <f t="shared" si="248"/>
        <v>169474.8281</v>
      </c>
    </row>
    <row r="481" ht="12.75" customHeight="1" outlineLevel="1">
      <c r="A481" s="90"/>
      <c r="B481" s="90"/>
      <c r="C481" s="90" t="s">
        <v>251</v>
      </c>
      <c r="D481" s="90"/>
      <c r="E481" s="90"/>
      <c r="F481" s="90"/>
      <c r="G481" s="99">
        <f t="shared" ref="G481:R481" si="249">G467</f>
        <v>250000</v>
      </c>
      <c r="H481" s="99">
        <f t="shared" si="249"/>
        <v>500000</v>
      </c>
      <c r="I481" s="99">
        <f t="shared" si="249"/>
        <v>525239.784</v>
      </c>
      <c r="J481" s="99">
        <f t="shared" si="249"/>
        <v>474595.8097</v>
      </c>
      <c r="K481" s="99">
        <f t="shared" si="249"/>
        <v>437478.9982</v>
      </c>
      <c r="L481" s="99">
        <f t="shared" si="249"/>
        <v>388347.1382</v>
      </c>
      <c r="M481" s="99">
        <f t="shared" si="249"/>
        <v>337603.0182</v>
      </c>
      <c r="N481" s="99">
        <f t="shared" si="249"/>
        <v>336920.9082</v>
      </c>
      <c r="O481" s="99">
        <f t="shared" si="249"/>
        <v>336269.8032</v>
      </c>
      <c r="P481" s="99">
        <f t="shared" si="249"/>
        <v>335618.6982</v>
      </c>
      <c r="Q481" s="99">
        <f t="shared" si="249"/>
        <v>335277.6432</v>
      </c>
      <c r="R481" s="99">
        <f t="shared" si="249"/>
        <v>335277.6432</v>
      </c>
    </row>
    <row r="482" ht="12.75" customHeight="1" outlineLevel="1">
      <c r="A482" s="90"/>
      <c r="B482" s="87"/>
      <c r="C482" s="87" t="s">
        <v>253</v>
      </c>
      <c r="D482" s="87"/>
      <c r="E482" s="87"/>
      <c r="F482" s="87"/>
      <c r="G482" s="125">
        <f>G397</f>
        <v>93750</v>
      </c>
      <c r="H482" s="125">
        <f t="shared" ref="H482:R482" si="250">G482+H397</f>
        <v>114878.3936</v>
      </c>
      <c r="I482" s="125">
        <f t="shared" si="250"/>
        <v>228159.8143</v>
      </c>
      <c r="J482" s="125">
        <f t="shared" si="250"/>
        <v>232562.6438</v>
      </c>
      <c r="K482" s="125">
        <f t="shared" si="250"/>
        <v>230555.1529</v>
      </c>
      <c r="L482" s="125">
        <f t="shared" si="250"/>
        <v>248369.942</v>
      </c>
      <c r="M482" s="125">
        <f t="shared" si="250"/>
        <v>263377.491</v>
      </c>
      <c r="N482" s="125">
        <f t="shared" si="250"/>
        <v>275980.0701</v>
      </c>
      <c r="O482" s="125">
        <f t="shared" si="250"/>
        <v>284358.8142</v>
      </c>
      <c r="P482" s="125">
        <f t="shared" si="250"/>
        <v>288513.7233</v>
      </c>
      <c r="Q482" s="125">
        <f t="shared" si="250"/>
        <v>290456.1473</v>
      </c>
      <c r="R482" s="125">
        <f t="shared" si="250"/>
        <v>292398.5714</v>
      </c>
    </row>
    <row r="483" ht="12.75" customHeight="1" outlineLevel="1">
      <c r="A483" s="90"/>
      <c r="B483" s="90" t="s">
        <v>254</v>
      </c>
      <c r="C483" s="90"/>
      <c r="D483" s="90"/>
      <c r="E483" s="90"/>
      <c r="F483" s="90"/>
      <c r="G483" s="99">
        <f t="shared" ref="G483:R483" si="251">SUM(G480:G482)</f>
        <v>343750</v>
      </c>
      <c r="H483" s="99">
        <f t="shared" si="251"/>
        <v>623733.4236</v>
      </c>
      <c r="I483" s="99">
        <f t="shared" si="251"/>
        <v>912285.8182</v>
      </c>
      <c r="J483" s="99">
        <f t="shared" si="251"/>
        <v>871109.0045</v>
      </c>
      <c r="K483" s="99">
        <f t="shared" si="251"/>
        <v>838817.8832</v>
      </c>
      <c r="L483" s="99">
        <f t="shared" si="251"/>
        <v>806958.5843</v>
      </c>
      <c r="M483" s="99">
        <f t="shared" si="251"/>
        <v>770984.6374</v>
      </c>
      <c r="N483" s="99">
        <f t="shared" si="251"/>
        <v>782679.1785</v>
      </c>
      <c r="O483" s="99">
        <f t="shared" si="251"/>
        <v>790286.6135</v>
      </c>
      <c r="P483" s="99">
        <f t="shared" si="251"/>
        <v>793670.2136</v>
      </c>
      <c r="Q483" s="99">
        <f t="shared" si="251"/>
        <v>795208.6187</v>
      </c>
      <c r="R483" s="99">
        <f t="shared" si="251"/>
        <v>797151.0427</v>
      </c>
    </row>
    <row r="484" ht="12.75" customHeight="1" outlineLevel="1">
      <c r="A484" s="274"/>
      <c r="B484" s="274"/>
      <c r="C484" s="274"/>
      <c r="D484" s="274"/>
      <c r="E484" s="274"/>
      <c r="F484" s="274"/>
      <c r="G484" s="275">
        <f t="shared" ref="G484:R484" si="252">G483-G477</f>
        <v>0</v>
      </c>
      <c r="H484" s="275">
        <f t="shared" si="252"/>
        <v>0</v>
      </c>
      <c r="I484" s="275">
        <f t="shared" si="252"/>
        <v>0</v>
      </c>
      <c r="J484" s="275">
        <f t="shared" si="252"/>
        <v>0</v>
      </c>
      <c r="K484" s="275">
        <f t="shared" si="252"/>
        <v>0</v>
      </c>
      <c r="L484" s="275">
        <f t="shared" si="252"/>
        <v>0</v>
      </c>
      <c r="M484" s="275">
        <f t="shared" si="252"/>
        <v>0</v>
      </c>
      <c r="N484" s="275">
        <f t="shared" si="252"/>
        <v>0</v>
      </c>
      <c r="O484" s="275">
        <f t="shared" si="252"/>
        <v>0</v>
      </c>
      <c r="P484" s="275">
        <f t="shared" si="252"/>
        <v>0</v>
      </c>
      <c r="Q484" s="275">
        <f t="shared" si="252"/>
        <v>0</v>
      </c>
      <c r="R484" s="275">
        <f t="shared" si="252"/>
        <v>0</v>
      </c>
    </row>
    <row r="485" ht="12.75" customHeight="1">
      <c r="A485" s="90"/>
      <c r="G485" s="90"/>
      <c r="H485" s="90"/>
      <c r="I485" s="90"/>
      <c r="J485" s="90"/>
      <c r="K485" s="90"/>
      <c r="L485" s="90"/>
      <c r="M485" s="90"/>
      <c r="N485" s="90"/>
      <c r="O485" s="90"/>
      <c r="P485" s="90"/>
      <c r="Q485" s="90"/>
      <c r="R485" s="90"/>
    </row>
    <row r="486" ht="12.75" customHeight="1">
      <c r="A486" s="90"/>
    </row>
    <row r="487" ht="12.75" customHeight="1">
      <c r="A487" s="90"/>
    </row>
    <row r="488" ht="12.75" customHeight="1">
      <c r="A488" s="90"/>
    </row>
    <row r="489" ht="12.75" customHeight="1">
      <c r="A489" s="90"/>
    </row>
    <row r="490" ht="12.75" customHeight="1">
      <c r="A490" s="90"/>
    </row>
    <row r="491" ht="12.75" customHeight="1">
      <c r="A491" s="90"/>
    </row>
    <row r="492" ht="12.75" customHeight="1">
      <c r="A492" s="90"/>
    </row>
    <row r="493" ht="12.75" customHeight="1">
      <c r="A493" s="90"/>
    </row>
    <row r="494" ht="12.75" customHeight="1">
      <c r="A494" s="90"/>
    </row>
    <row r="495" ht="12.75" customHeight="1">
      <c r="A495" s="90"/>
    </row>
    <row r="496" ht="12.75" customHeight="1">
      <c r="A496" s="90"/>
    </row>
    <row r="497" ht="12.75" customHeight="1">
      <c r="A497" s="90"/>
    </row>
    <row r="498" ht="12.75" customHeight="1">
      <c r="A498" s="90"/>
    </row>
    <row r="499" ht="12.75" customHeight="1">
      <c r="A499" s="90"/>
    </row>
    <row r="500" ht="12.75" customHeight="1">
      <c r="A500" s="90"/>
    </row>
    <row r="501" ht="12.75" customHeight="1">
      <c r="A501" s="90"/>
    </row>
    <row r="502" ht="12.75" customHeight="1">
      <c r="A502" s="90"/>
    </row>
    <row r="503" ht="12.75" customHeight="1">
      <c r="A503" s="90"/>
    </row>
    <row r="504" ht="12.75" customHeight="1">
      <c r="A504" s="90"/>
    </row>
    <row r="505" ht="12.75" customHeight="1">
      <c r="A505" s="90"/>
    </row>
    <row r="506" ht="12.75" customHeight="1">
      <c r="A506" s="90"/>
    </row>
    <row r="507" ht="12.75" customHeight="1">
      <c r="A507" s="90"/>
    </row>
    <row r="508" ht="12.75" customHeight="1">
      <c r="A508" s="90"/>
    </row>
    <row r="509" ht="12.75" customHeight="1">
      <c r="A509" s="90"/>
    </row>
    <row r="510" ht="12.75" customHeight="1">
      <c r="A510" s="90"/>
    </row>
    <row r="511" ht="12.75" customHeight="1">
      <c r="A511" s="90"/>
    </row>
    <row r="512" ht="12.75" customHeight="1">
      <c r="A512" s="90"/>
    </row>
    <row r="513" ht="12.75" customHeight="1">
      <c r="A513" s="90"/>
    </row>
    <row r="514" ht="12.75" customHeight="1">
      <c r="A514" s="90"/>
    </row>
    <row r="515" ht="12.75" customHeight="1">
      <c r="A515" s="90"/>
    </row>
    <row r="516" ht="12.75" customHeight="1">
      <c r="A516" s="90"/>
    </row>
    <row r="517" ht="12.75" customHeight="1">
      <c r="A517" s="90"/>
    </row>
    <row r="518" ht="12.75" customHeight="1">
      <c r="A518" s="90"/>
    </row>
    <row r="519" ht="12.75" customHeight="1">
      <c r="A519" s="90"/>
    </row>
    <row r="520" ht="12.75" customHeight="1">
      <c r="A520" s="90"/>
    </row>
    <row r="521" ht="12.75" customHeight="1">
      <c r="A521" s="90"/>
    </row>
    <row r="522" ht="12.75" customHeight="1">
      <c r="A522" s="90"/>
    </row>
    <row r="523" ht="12.75" customHeight="1">
      <c r="A523" s="90"/>
    </row>
    <row r="524" ht="12.75" customHeight="1">
      <c r="A524" s="90"/>
    </row>
    <row r="525" ht="12.75" customHeight="1">
      <c r="A525" s="90"/>
    </row>
    <row r="526" ht="12.75" customHeight="1">
      <c r="A526" s="90"/>
    </row>
    <row r="527" ht="12.75" customHeight="1">
      <c r="A527" s="90"/>
    </row>
    <row r="528" ht="12.75" customHeight="1">
      <c r="A528" s="90"/>
    </row>
    <row r="529" ht="12.75" customHeight="1">
      <c r="A529" s="90"/>
    </row>
    <row r="530" ht="12.75" customHeight="1">
      <c r="A530" s="90"/>
    </row>
    <row r="531" ht="12.75" customHeight="1">
      <c r="A531" s="90"/>
    </row>
    <row r="532" ht="12.75" customHeight="1">
      <c r="A532" s="90"/>
    </row>
    <row r="533" ht="12.75" customHeight="1">
      <c r="A533" s="90"/>
    </row>
    <row r="534" ht="12.75" customHeight="1">
      <c r="A534" s="90"/>
    </row>
    <row r="535" ht="12.75" customHeight="1">
      <c r="A535" s="90"/>
    </row>
    <row r="536" ht="12.75" customHeight="1">
      <c r="A536" s="90"/>
    </row>
    <row r="537" ht="12.75" customHeight="1">
      <c r="A537" s="90"/>
    </row>
    <row r="538" ht="12.75" customHeight="1">
      <c r="A538" s="90"/>
    </row>
    <row r="539" ht="12.75" customHeight="1">
      <c r="A539" s="90"/>
    </row>
    <row r="540" ht="12.75" customHeight="1">
      <c r="A540" s="90"/>
    </row>
    <row r="541" ht="12.75" customHeight="1">
      <c r="A541" s="90"/>
    </row>
    <row r="542" ht="12.75" customHeight="1">
      <c r="A542" s="90"/>
    </row>
    <row r="543" ht="12.75" customHeight="1">
      <c r="A543" s="90"/>
    </row>
    <row r="544" ht="12.75" customHeight="1">
      <c r="A544" s="90"/>
    </row>
    <row r="545" ht="12.75" customHeight="1">
      <c r="A545" s="90"/>
    </row>
    <row r="546" ht="12.75" customHeight="1">
      <c r="A546" s="90"/>
    </row>
    <row r="547" ht="12.75" customHeight="1">
      <c r="A547" s="90"/>
    </row>
    <row r="548" ht="12.75" customHeight="1">
      <c r="A548" s="90"/>
    </row>
    <row r="549" ht="12.75" customHeight="1">
      <c r="A549" s="90"/>
    </row>
    <row r="550" ht="12.75" customHeight="1">
      <c r="A550" s="90"/>
    </row>
    <row r="551" ht="12.75" customHeight="1">
      <c r="A551" s="90"/>
    </row>
    <row r="552" ht="12.75" customHeight="1">
      <c r="A552" s="90"/>
    </row>
    <row r="553" ht="12.75" customHeight="1">
      <c r="A553" s="90"/>
    </row>
    <row r="554" ht="12.75" customHeight="1">
      <c r="A554" s="90"/>
    </row>
    <row r="555" ht="12.75" customHeight="1">
      <c r="A555" s="90"/>
    </row>
    <row r="556" ht="12.75" customHeight="1">
      <c r="A556" s="90"/>
    </row>
    <row r="557" ht="12.75" customHeight="1">
      <c r="A557" s="90"/>
    </row>
    <row r="558" ht="12.75" customHeight="1">
      <c r="A558" s="90"/>
    </row>
    <row r="559" ht="12.75" customHeight="1">
      <c r="A559" s="90"/>
    </row>
    <row r="560" ht="12.75" customHeight="1">
      <c r="A560" s="90"/>
    </row>
    <row r="561" ht="12.75" customHeight="1">
      <c r="A561" s="90"/>
    </row>
    <row r="562" ht="12.75" customHeight="1">
      <c r="A562" s="90"/>
    </row>
    <row r="563" ht="12.75" customHeight="1">
      <c r="A563" s="90"/>
    </row>
    <row r="564" ht="12.75" customHeight="1">
      <c r="A564" s="90"/>
    </row>
    <row r="565" ht="12.75" customHeight="1">
      <c r="A565" s="90"/>
    </row>
    <row r="566" ht="12.75" customHeight="1">
      <c r="A566" s="90"/>
    </row>
    <row r="567" ht="12.75" customHeight="1">
      <c r="A567" s="90"/>
    </row>
    <row r="568" ht="12.75" customHeight="1">
      <c r="A568" s="90"/>
    </row>
    <row r="569" ht="12.75" customHeight="1">
      <c r="A569" s="90"/>
    </row>
    <row r="570" ht="12.75" customHeight="1">
      <c r="A570" s="90"/>
    </row>
    <row r="571" ht="12.75" customHeight="1">
      <c r="A571" s="90"/>
    </row>
    <row r="572" ht="12.75" customHeight="1">
      <c r="A572" s="90"/>
    </row>
    <row r="573" ht="12.75" customHeight="1">
      <c r="A573" s="90"/>
    </row>
    <row r="574" ht="12.75" customHeight="1">
      <c r="A574" s="90"/>
    </row>
    <row r="575" ht="12.75" customHeight="1">
      <c r="A575" s="90"/>
    </row>
    <row r="576" ht="12.75" customHeight="1">
      <c r="A576" s="90"/>
    </row>
    <row r="577" ht="12.75" customHeight="1">
      <c r="A577" s="90"/>
    </row>
    <row r="578" ht="12.75" customHeight="1">
      <c r="A578" s="90"/>
    </row>
    <row r="579" ht="12.75" customHeight="1">
      <c r="A579" s="90"/>
    </row>
    <row r="580" ht="12.75" customHeight="1">
      <c r="A580" s="90"/>
    </row>
    <row r="581" ht="12.75" customHeight="1">
      <c r="A581" s="90"/>
    </row>
    <row r="582" ht="12.75" customHeight="1">
      <c r="A582" s="90"/>
    </row>
    <row r="583" ht="12.75" customHeight="1">
      <c r="A583" s="90"/>
    </row>
    <row r="584" ht="12.75" customHeight="1">
      <c r="A584" s="90"/>
    </row>
    <row r="585" ht="12.75" customHeight="1">
      <c r="A585" s="90"/>
    </row>
    <row r="586" ht="12.75" customHeight="1">
      <c r="A586" s="90"/>
    </row>
    <row r="587" ht="12.75" customHeight="1">
      <c r="A587" s="90"/>
    </row>
    <row r="588" ht="12.75" customHeight="1">
      <c r="A588" s="90"/>
    </row>
    <row r="589" ht="12.75" customHeight="1">
      <c r="A589" s="90"/>
    </row>
    <row r="590" ht="12.75" customHeight="1">
      <c r="A590" s="90"/>
    </row>
    <row r="591" ht="12.75" customHeight="1">
      <c r="A591" s="90"/>
    </row>
    <row r="592" ht="12.75" customHeight="1">
      <c r="A592" s="90"/>
    </row>
    <row r="593" ht="12.75" customHeight="1">
      <c r="A593" s="90"/>
    </row>
    <row r="594" ht="12.75" customHeight="1">
      <c r="A594" s="90"/>
    </row>
    <row r="595" ht="12.75" customHeight="1">
      <c r="A595" s="90"/>
    </row>
    <row r="596" ht="12.75" customHeight="1">
      <c r="A596" s="90"/>
    </row>
    <row r="597" ht="12.75" customHeight="1">
      <c r="A597" s="90"/>
    </row>
    <row r="598" ht="12.75" customHeight="1">
      <c r="A598" s="90"/>
    </row>
    <row r="599" ht="12.75" customHeight="1">
      <c r="A599" s="90"/>
    </row>
    <row r="600" ht="12.75" customHeight="1">
      <c r="A600" s="90"/>
    </row>
    <row r="601" ht="12.75" customHeight="1">
      <c r="A601" s="90"/>
    </row>
    <row r="602" ht="12.75" customHeight="1">
      <c r="A602" s="90"/>
    </row>
    <row r="603" ht="12.75" customHeight="1">
      <c r="A603" s="90"/>
    </row>
    <row r="604" ht="12.75" customHeight="1">
      <c r="A604" s="90"/>
    </row>
    <row r="605" ht="12.75" customHeight="1">
      <c r="A605" s="90"/>
    </row>
    <row r="606" ht="12.75" customHeight="1">
      <c r="A606" s="90"/>
    </row>
    <row r="607" ht="12.75" customHeight="1">
      <c r="A607" s="90"/>
    </row>
    <row r="608" ht="12.75" customHeight="1">
      <c r="A608" s="90"/>
    </row>
    <row r="609" ht="12.75" customHeight="1">
      <c r="A609" s="90"/>
    </row>
    <row r="610" ht="12.75" customHeight="1">
      <c r="A610" s="90"/>
    </row>
    <row r="611" ht="12.75" customHeight="1">
      <c r="A611" s="90"/>
    </row>
    <row r="612" ht="12.75" customHeight="1">
      <c r="A612" s="90"/>
    </row>
    <row r="613" ht="12.75" customHeight="1">
      <c r="A613" s="90"/>
    </row>
    <row r="614" ht="12.75" customHeight="1">
      <c r="A614" s="90"/>
    </row>
    <row r="615" ht="12.75" customHeight="1">
      <c r="A615" s="90"/>
    </row>
    <row r="616" ht="12.75" customHeight="1">
      <c r="A616" s="90"/>
    </row>
    <row r="617" ht="12.75" customHeight="1">
      <c r="A617" s="90"/>
    </row>
    <row r="618" ht="12.75" customHeight="1">
      <c r="A618" s="90"/>
    </row>
    <row r="619" ht="12.75" customHeight="1">
      <c r="A619" s="90"/>
    </row>
    <row r="620" ht="12.75" customHeight="1">
      <c r="A620" s="90"/>
    </row>
    <row r="621" ht="12.75" customHeight="1">
      <c r="A621" s="90"/>
    </row>
    <row r="622" ht="12.75" customHeight="1">
      <c r="A622" s="90"/>
    </row>
    <row r="623" ht="12.75" customHeight="1">
      <c r="A623" s="90"/>
    </row>
    <row r="624" ht="12.75" customHeight="1">
      <c r="A624" s="90"/>
    </row>
    <row r="625" ht="12.75" customHeight="1">
      <c r="A625" s="90"/>
    </row>
    <row r="626" ht="12.75" customHeight="1">
      <c r="A626" s="90"/>
    </row>
    <row r="627" ht="12.75" customHeight="1">
      <c r="A627" s="90"/>
    </row>
    <row r="628" ht="12.75" customHeight="1">
      <c r="A628" s="90"/>
    </row>
    <row r="629" ht="12.75" customHeight="1">
      <c r="A629" s="90"/>
    </row>
    <row r="630" ht="12.75" customHeight="1">
      <c r="A630" s="90"/>
    </row>
    <row r="631" ht="12.75" customHeight="1">
      <c r="A631" s="90"/>
    </row>
    <row r="632" ht="12.75" customHeight="1">
      <c r="A632" s="90"/>
    </row>
    <row r="633" ht="12.75" customHeight="1">
      <c r="A633" s="90"/>
    </row>
    <row r="634" ht="12.75" customHeight="1">
      <c r="A634" s="90"/>
    </row>
    <row r="635" ht="12.75" customHeight="1">
      <c r="A635" s="90"/>
    </row>
    <row r="636" ht="12.75" customHeight="1">
      <c r="A636" s="90"/>
    </row>
    <row r="637" ht="12.75" customHeight="1">
      <c r="A637" s="90"/>
    </row>
    <row r="638" ht="12.75" customHeight="1">
      <c r="A638" s="90"/>
    </row>
    <row r="639" ht="12.75" customHeight="1">
      <c r="A639" s="90"/>
    </row>
    <row r="640" ht="12.75" customHeight="1">
      <c r="A640" s="90"/>
    </row>
    <row r="641" ht="12.75" customHeight="1">
      <c r="A641" s="90"/>
    </row>
    <row r="642" ht="12.75" customHeight="1">
      <c r="A642" s="90"/>
    </row>
    <row r="643" ht="12.75" customHeight="1">
      <c r="A643" s="90"/>
    </row>
    <row r="644" ht="12.75" customHeight="1">
      <c r="A644" s="90"/>
    </row>
    <row r="645" ht="12.75" customHeight="1">
      <c r="A645" s="90"/>
    </row>
    <row r="646" ht="12.75" customHeight="1">
      <c r="A646" s="90"/>
    </row>
    <row r="647" ht="12.75" customHeight="1">
      <c r="A647" s="90"/>
    </row>
    <row r="648" ht="12.75" customHeight="1">
      <c r="A648" s="90"/>
    </row>
    <row r="649" ht="12.75" customHeight="1">
      <c r="A649" s="90"/>
    </row>
    <row r="650" ht="12.75" customHeight="1">
      <c r="A650" s="90"/>
    </row>
    <row r="651" ht="12.75" customHeight="1">
      <c r="A651" s="90"/>
    </row>
    <row r="652" ht="12.75" customHeight="1">
      <c r="A652" s="90"/>
    </row>
    <row r="653" ht="12.75" customHeight="1">
      <c r="A653" s="90"/>
    </row>
    <row r="654" ht="12.75" customHeight="1">
      <c r="A654" s="90"/>
    </row>
    <row r="655" ht="12.75" customHeight="1">
      <c r="A655" s="90"/>
    </row>
    <row r="656" ht="12.75" customHeight="1">
      <c r="A656" s="90"/>
    </row>
    <row r="657" ht="12.75" customHeight="1">
      <c r="A657" s="90"/>
    </row>
    <row r="658" ht="12.75" customHeight="1">
      <c r="A658" s="90"/>
    </row>
    <row r="659" ht="12.75" customHeight="1">
      <c r="A659" s="90"/>
    </row>
    <row r="660" ht="12.75" customHeight="1">
      <c r="A660" s="90"/>
    </row>
    <row r="661" ht="12.75" customHeight="1">
      <c r="A661" s="90"/>
    </row>
    <row r="662" ht="12.75" customHeight="1">
      <c r="A662" s="90"/>
    </row>
    <row r="663" ht="12.75" customHeight="1">
      <c r="A663" s="90"/>
    </row>
    <row r="664" ht="12.75" customHeight="1">
      <c r="A664" s="90"/>
    </row>
    <row r="665" ht="12.75" customHeight="1">
      <c r="A665" s="90"/>
    </row>
    <row r="666" ht="12.75" customHeight="1">
      <c r="A666" s="90"/>
    </row>
    <row r="667" ht="12.75" customHeight="1">
      <c r="A667" s="90"/>
    </row>
    <row r="668" ht="12.75" customHeight="1">
      <c r="A668" s="90"/>
    </row>
    <row r="669" ht="12.75" customHeight="1">
      <c r="A669" s="90"/>
    </row>
    <row r="670" ht="12.75" customHeight="1">
      <c r="A670" s="90"/>
    </row>
    <row r="671" ht="12.75" customHeight="1">
      <c r="A671" s="90"/>
    </row>
    <row r="672" ht="12.75" customHeight="1">
      <c r="A672" s="90"/>
    </row>
    <row r="673" ht="12.75" customHeight="1">
      <c r="A673" s="90"/>
    </row>
    <row r="674" ht="12.75" customHeight="1">
      <c r="A674" s="90"/>
    </row>
    <row r="675" ht="12.75" customHeight="1">
      <c r="A675" s="90"/>
    </row>
    <row r="676" ht="12.75" customHeight="1">
      <c r="A676" s="90"/>
    </row>
    <row r="677" ht="12.75" customHeight="1">
      <c r="A677" s="90"/>
    </row>
    <row r="678" ht="12.75" customHeight="1">
      <c r="A678" s="90"/>
    </row>
    <row r="679" ht="12.75" customHeight="1">
      <c r="A679" s="90"/>
    </row>
    <row r="680" ht="12.75" customHeight="1">
      <c r="A680" s="90"/>
    </row>
    <row r="681" ht="12.75" customHeight="1">
      <c r="A681" s="90"/>
    </row>
    <row r="682" ht="12.75" customHeight="1">
      <c r="A682" s="90"/>
    </row>
    <row r="683" ht="12.75" customHeight="1">
      <c r="A683" s="90"/>
    </row>
    <row r="684" ht="12.75" customHeight="1">
      <c r="A684" s="90"/>
    </row>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35" footer="0.0" header="0.0" left="0.629861111111111" right="0.390277777777778" top="1.04027777777778"/>
  <pageSetup paperSize="5" orientation="landscape"/>
  <headerFooter>
    <oddHeader>&amp;CGeneric School Model  (Schools 4 - 7)</oddHeader>
    <oddFooter>&amp;C&amp;A&amp;R&amp;P</oddFooter>
  </headerFooter>
  <rowBreaks count="4" manualBreakCount="4">
    <brk id="33" man="1"/>
    <brk id="340" man="1"/>
    <brk id="297" man="1"/>
    <brk id="397" man="1"/>
  </rowBreaks>
  <colBreaks count="1" manualBreakCount="1">
    <brk id="18" man="1"/>
  </colBreak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CC00"/>
    <pageSetUpPr/>
  </sheetPr>
  <sheetViews>
    <sheetView workbookViewId="0">
      <pane xSplit="9.0" ySplit="3.0" topLeftCell="J4" activePane="bottomRight" state="frozen"/>
      <selection activeCell="J1" sqref="J1" pane="topRight"/>
      <selection activeCell="A4" sqref="A4" pane="bottomLeft"/>
      <selection activeCell="J4" sqref="J4" pane="bottomRight"/>
    </sheetView>
  </sheetViews>
  <sheetFormatPr customHeight="1" defaultColWidth="12.63" defaultRowHeight="15.0" outlineLevelCol="1" outlineLevelRow="1"/>
  <cols>
    <col customWidth="1" min="1" max="1" width="2.38"/>
    <col customWidth="1" min="2" max="2" width="4.38"/>
    <col customWidth="1" min="3" max="3" width="3.38"/>
    <col customWidth="1" min="4" max="4" width="28.38"/>
    <col customWidth="1" min="5" max="6" width="1.38"/>
    <col customWidth="1" hidden="1" min="7" max="9" width="14.75" outlineLevel="1"/>
    <col customWidth="1" min="10" max="10" width="15.88"/>
    <col customWidth="1" min="11" max="11" width="16.5"/>
    <col customWidth="1" min="12" max="13" width="16.25"/>
    <col customWidth="1" min="14" max="15" width="16.5"/>
    <col customWidth="1" min="16" max="16" width="15.88"/>
    <col customWidth="1" min="17" max="17" width="16.88"/>
    <col customWidth="1" min="18" max="18" width="16.25"/>
    <col customWidth="1" min="19" max="19" width="16.5"/>
    <col customWidth="1" min="20" max="20" width="16.88"/>
    <col customWidth="1" min="21" max="21" width="16.5"/>
    <col customWidth="1" min="22" max="31" width="14.38"/>
    <col customWidth="1" min="32" max="40" width="14.38" outlineLevel="1"/>
    <col customWidth="1" min="41" max="48" width="12.5" outlineLevel="1"/>
    <col customWidth="1" min="49" max="49" width="77.75"/>
    <col customWidth="1" min="50" max="50" width="10.88"/>
    <col customWidth="1" min="51" max="53" width="9.88"/>
    <col customWidth="1" min="54" max="54" width="8.88"/>
    <col customWidth="1" min="55" max="55" width="10.88"/>
    <col customWidth="1" min="56" max="59" width="8.88"/>
  </cols>
  <sheetData>
    <row r="1" ht="12.75" customHeight="1">
      <c r="A1" s="158" t="s">
        <v>1170</v>
      </c>
      <c r="B1" s="95"/>
      <c r="C1" s="95"/>
      <c r="D1" s="95"/>
      <c r="E1" s="95"/>
      <c r="F1" s="95"/>
      <c r="G1" s="506">
        <v>2006.0</v>
      </c>
      <c r="H1" s="160">
        <v>2007.0</v>
      </c>
      <c r="I1" s="507">
        <v>2008.0</v>
      </c>
      <c r="J1" s="160">
        <v>2009.0</v>
      </c>
      <c r="K1" s="160">
        <f t="shared" ref="K1:AV1" si="1">J1+1</f>
        <v>2010</v>
      </c>
      <c r="L1" s="160">
        <f t="shared" si="1"/>
        <v>2011</v>
      </c>
      <c r="M1" s="160">
        <f t="shared" si="1"/>
        <v>2012</v>
      </c>
      <c r="N1" s="160">
        <f t="shared" si="1"/>
        <v>2013</v>
      </c>
      <c r="O1" s="160">
        <f t="shared" si="1"/>
        <v>2014</v>
      </c>
      <c r="P1" s="160">
        <f t="shared" si="1"/>
        <v>2015</v>
      </c>
      <c r="Q1" s="160">
        <f t="shared" si="1"/>
        <v>2016</v>
      </c>
      <c r="R1" s="160">
        <f t="shared" si="1"/>
        <v>2017</v>
      </c>
      <c r="S1" s="160">
        <f t="shared" si="1"/>
        <v>2018</v>
      </c>
      <c r="T1" s="160">
        <f t="shared" si="1"/>
        <v>2019</v>
      </c>
      <c r="U1" s="160">
        <f t="shared" si="1"/>
        <v>2020</v>
      </c>
      <c r="V1" s="160">
        <f t="shared" si="1"/>
        <v>2021</v>
      </c>
      <c r="W1" s="160">
        <f t="shared" si="1"/>
        <v>2022</v>
      </c>
      <c r="X1" s="160">
        <f t="shared" si="1"/>
        <v>2023</v>
      </c>
      <c r="Y1" s="160">
        <f t="shared" si="1"/>
        <v>2024</v>
      </c>
      <c r="Z1" s="160">
        <f t="shared" si="1"/>
        <v>2025</v>
      </c>
      <c r="AA1" s="160">
        <f t="shared" si="1"/>
        <v>2026</v>
      </c>
      <c r="AB1" s="160">
        <f t="shared" si="1"/>
        <v>2027</v>
      </c>
      <c r="AC1" s="160">
        <f t="shared" si="1"/>
        <v>2028</v>
      </c>
      <c r="AD1" s="160">
        <f t="shared" si="1"/>
        <v>2029</v>
      </c>
      <c r="AE1" s="160">
        <f t="shared" si="1"/>
        <v>2030</v>
      </c>
      <c r="AF1" s="160">
        <f t="shared" si="1"/>
        <v>2031</v>
      </c>
      <c r="AG1" s="160">
        <f t="shared" si="1"/>
        <v>2032</v>
      </c>
      <c r="AH1" s="160">
        <f t="shared" si="1"/>
        <v>2033</v>
      </c>
      <c r="AI1" s="160">
        <f t="shared" si="1"/>
        <v>2034</v>
      </c>
      <c r="AJ1" s="160">
        <f t="shared" si="1"/>
        <v>2035</v>
      </c>
      <c r="AK1" s="160">
        <f t="shared" si="1"/>
        <v>2036</v>
      </c>
      <c r="AL1" s="160">
        <f t="shared" si="1"/>
        <v>2037</v>
      </c>
      <c r="AM1" s="160">
        <f t="shared" si="1"/>
        <v>2038</v>
      </c>
      <c r="AN1" s="160">
        <f t="shared" si="1"/>
        <v>2039</v>
      </c>
      <c r="AO1" s="160">
        <f t="shared" si="1"/>
        <v>2040</v>
      </c>
      <c r="AP1" s="160">
        <f t="shared" si="1"/>
        <v>2041</v>
      </c>
      <c r="AQ1" s="160">
        <f t="shared" si="1"/>
        <v>2042</v>
      </c>
      <c r="AR1" s="160">
        <f t="shared" si="1"/>
        <v>2043</v>
      </c>
      <c r="AS1" s="160">
        <f t="shared" si="1"/>
        <v>2044</v>
      </c>
      <c r="AT1" s="160">
        <f t="shared" si="1"/>
        <v>2045</v>
      </c>
      <c r="AU1" s="160">
        <f t="shared" si="1"/>
        <v>2046</v>
      </c>
      <c r="AV1" s="160">
        <f t="shared" si="1"/>
        <v>2047</v>
      </c>
      <c r="AW1" s="508" t="s">
        <v>256</v>
      </c>
      <c r="AX1" s="90"/>
      <c r="AY1" s="90"/>
      <c r="AZ1" s="90"/>
      <c r="BA1" s="90"/>
      <c r="BB1" s="90"/>
      <c r="BC1" s="90"/>
      <c r="BD1" s="90"/>
      <c r="BE1" s="90"/>
      <c r="BF1" s="90"/>
      <c r="BG1" s="90"/>
    </row>
    <row r="2" ht="12.75" customHeight="1">
      <c r="A2" s="96" t="s">
        <v>186</v>
      </c>
      <c r="B2" s="97"/>
      <c r="C2" s="97"/>
      <c r="D2" s="97"/>
      <c r="E2" s="97"/>
      <c r="F2" s="97"/>
      <c r="G2" s="509">
        <v>0.0</v>
      </c>
      <c r="H2" s="165">
        <f t="shared" ref="H2:AV2" si="2">G2+1</f>
        <v>1</v>
      </c>
      <c r="I2" s="165">
        <f t="shared" si="2"/>
        <v>2</v>
      </c>
      <c r="J2" s="165">
        <f t="shared" si="2"/>
        <v>3</v>
      </c>
      <c r="K2" s="165">
        <f t="shared" si="2"/>
        <v>4</v>
      </c>
      <c r="L2" s="165">
        <f t="shared" si="2"/>
        <v>5</v>
      </c>
      <c r="M2" s="165">
        <f t="shared" si="2"/>
        <v>6</v>
      </c>
      <c r="N2" s="165">
        <f t="shared" si="2"/>
        <v>7</v>
      </c>
      <c r="O2" s="165">
        <f t="shared" si="2"/>
        <v>8</v>
      </c>
      <c r="P2" s="165">
        <f t="shared" si="2"/>
        <v>9</v>
      </c>
      <c r="Q2" s="165">
        <f t="shared" si="2"/>
        <v>10</v>
      </c>
      <c r="R2" s="165">
        <f t="shared" si="2"/>
        <v>11</v>
      </c>
      <c r="S2" s="165">
        <f t="shared" si="2"/>
        <v>12</v>
      </c>
      <c r="T2" s="165">
        <f t="shared" si="2"/>
        <v>13</v>
      </c>
      <c r="U2" s="165">
        <f t="shared" si="2"/>
        <v>14</v>
      </c>
      <c r="V2" s="165">
        <f t="shared" si="2"/>
        <v>15</v>
      </c>
      <c r="W2" s="165">
        <f t="shared" si="2"/>
        <v>16</v>
      </c>
      <c r="X2" s="165">
        <f t="shared" si="2"/>
        <v>17</v>
      </c>
      <c r="Y2" s="165">
        <f t="shared" si="2"/>
        <v>18</v>
      </c>
      <c r="Z2" s="165">
        <f t="shared" si="2"/>
        <v>19</v>
      </c>
      <c r="AA2" s="165">
        <f t="shared" si="2"/>
        <v>20</v>
      </c>
      <c r="AB2" s="165">
        <f t="shared" si="2"/>
        <v>21</v>
      </c>
      <c r="AC2" s="165">
        <f t="shared" si="2"/>
        <v>22</v>
      </c>
      <c r="AD2" s="165">
        <f t="shared" si="2"/>
        <v>23</v>
      </c>
      <c r="AE2" s="165">
        <f t="shared" si="2"/>
        <v>24</v>
      </c>
      <c r="AF2" s="165">
        <f t="shared" si="2"/>
        <v>25</v>
      </c>
      <c r="AG2" s="165">
        <f t="shared" si="2"/>
        <v>26</v>
      </c>
      <c r="AH2" s="165">
        <f t="shared" si="2"/>
        <v>27</v>
      </c>
      <c r="AI2" s="165">
        <f t="shared" si="2"/>
        <v>28</v>
      </c>
      <c r="AJ2" s="165">
        <f t="shared" si="2"/>
        <v>29</v>
      </c>
      <c r="AK2" s="165">
        <f t="shared" si="2"/>
        <v>30</v>
      </c>
      <c r="AL2" s="165">
        <f t="shared" si="2"/>
        <v>31</v>
      </c>
      <c r="AM2" s="165">
        <f t="shared" si="2"/>
        <v>32</v>
      </c>
      <c r="AN2" s="165">
        <f t="shared" si="2"/>
        <v>33</v>
      </c>
      <c r="AO2" s="165">
        <f t="shared" si="2"/>
        <v>34</v>
      </c>
      <c r="AP2" s="165">
        <f t="shared" si="2"/>
        <v>35</v>
      </c>
      <c r="AQ2" s="165">
        <f t="shared" si="2"/>
        <v>36</v>
      </c>
      <c r="AR2" s="165">
        <f t="shared" si="2"/>
        <v>37</v>
      </c>
      <c r="AS2" s="165">
        <f t="shared" si="2"/>
        <v>38</v>
      </c>
      <c r="AT2" s="165">
        <f t="shared" si="2"/>
        <v>39</v>
      </c>
      <c r="AU2" s="165">
        <f t="shared" si="2"/>
        <v>40</v>
      </c>
      <c r="AV2" s="165">
        <f t="shared" si="2"/>
        <v>41</v>
      </c>
      <c r="AW2" s="510"/>
      <c r="AX2" s="90"/>
      <c r="AY2" s="90"/>
      <c r="AZ2" s="90"/>
      <c r="BA2" s="90"/>
      <c r="BB2" s="90"/>
      <c r="BC2" s="90"/>
      <c r="BD2" s="90"/>
      <c r="BE2" s="90"/>
      <c r="BF2" s="90"/>
      <c r="BG2" s="90"/>
    </row>
    <row r="3" ht="12.75" customHeight="1">
      <c r="A3" s="511" t="s">
        <v>1171</v>
      </c>
      <c r="B3" s="90"/>
      <c r="C3" s="90"/>
      <c r="D3" s="90"/>
      <c r="E3" s="90"/>
      <c r="F3" s="90"/>
      <c r="G3" s="90"/>
      <c r="H3" s="90"/>
      <c r="I3" s="90"/>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7"/>
      <c r="AX3" s="90"/>
      <c r="AY3" s="90"/>
      <c r="AZ3" s="90"/>
      <c r="BA3" s="90"/>
      <c r="BB3" s="90"/>
      <c r="BC3" s="90"/>
      <c r="BD3" s="90"/>
      <c r="BE3" s="90"/>
      <c r="BF3" s="90"/>
      <c r="BG3" s="90"/>
    </row>
    <row r="4" ht="12.75" customHeight="1">
      <c r="A4" s="512"/>
      <c r="B4" s="67" t="s">
        <v>165</v>
      </c>
      <c r="C4" s="90"/>
      <c r="D4" s="90"/>
      <c r="E4" s="90"/>
      <c r="F4" s="90"/>
      <c r="G4" s="90"/>
      <c r="H4" s="90"/>
      <c r="I4" s="90"/>
      <c r="J4" s="63">
        <f t="shared" ref="J4:AV4" si="3">J46</f>
        <v>320</v>
      </c>
      <c r="K4" s="86">
        <f t="shared" si="3"/>
        <v>452</v>
      </c>
      <c r="L4" s="86">
        <f t="shared" si="3"/>
        <v>480</v>
      </c>
      <c r="M4" s="86">
        <f t="shared" si="3"/>
        <v>480</v>
      </c>
      <c r="N4" s="86">
        <f t="shared" si="3"/>
        <v>480</v>
      </c>
      <c r="O4" s="86">
        <f t="shared" si="3"/>
        <v>480</v>
      </c>
      <c r="P4" s="86">
        <f t="shared" si="3"/>
        <v>480</v>
      </c>
      <c r="Q4" s="86">
        <f t="shared" si="3"/>
        <v>480</v>
      </c>
      <c r="R4" s="86">
        <f t="shared" si="3"/>
        <v>480</v>
      </c>
      <c r="S4" s="86">
        <f t="shared" si="3"/>
        <v>480</v>
      </c>
      <c r="T4" s="86">
        <f t="shared" si="3"/>
        <v>480</v>
      </c>
      <c r="U4" s="86">
        <f t="shared" si="3"/>
        <v>480</v>
      </c>
      <c r="V4" s="86">
        <f t="shared" si="3"/>
        <v>480</v>
      </c>
      <c r="W4" s="86">
        <f t="shared" si="3"/>
        <v>480</v>
      </c>
      <c r="X4" s="86">
        <f t="shared" si="3"/>
        <v>480</v>
      </c>
      <c r="Y4" s="86">
        <f t="shared" si="3"/>
        <v>480</v>
      </c>
      <c r="Z4" s="86">
        <f t="shared" si="3"/>
        <v>480</v>
      </c>
      <c r="AA4" s="86">
        <f t="shared" si="3"/>
        <v>480</v>
      </c>
      <c r="AB4" s="86">
        <f t="shared" si="3"/>
        <v>480</v>
      </c>
      <c r="AC4" s="86">
        <f t="shared" si="3"/>
        <v>480</v>
      </c>
      <c r="AD4" s="86">
        <f t="shared" si="3"/>
        <v>480</v>
      </c>
      <c r="AE4" s="86">
        <f t="shared" si="3"/>
        <v>480</v>
      </c>
      <c r="AF4" s="86">
        <f t="shared" si="3"/>
        <v>480</v>
      </c>
      <c r="AG4" s="86">
        <f t="shared" si="3"/>
        <v>480</v>
      </c>
      <c r="AH4" s="86">
        <f t="shared" si="3"/>
        <v>480</v>
      </c>
      <c r="AI4" s="86">
        <f t="shared" si="3"/>
        <v>480</v>
      </c>
      <c r="AJ4" s="86">
        <f t="shared" si="3"/>
        <v>480</v>
      </c>
      <c r="AK4" s="86">
        <f t="shared" si="3"/>
        <v>480</v>
      </c>
      <c r="AL4" s="86">
        <f t="shared" si="3"/>
        <v>480</v>
      </c>
      <c r="AM4" s="86">
        <f t="shared" si="3"/>
        <v>480</v>
      </c>
      <c r="AN4" s="86">
        <f t="shared" si="3"/>
        <v>480</v>
      </c>
      <c r="AO4" s="86">
        <f t="shared" si="3"/>
        <v>480</v>
      </c>
      <c r="AP4" s="86">
        <f t="shared" si="3"/>
        <v>480</v>
      </c>
      <c r="AQ4" s="86">
        <f t="shared" si="3"/>
        <v>480</v>
      </c>
      <c r="AR4" s="86">
        <f t="shared" si="3"/>
        <v>480</v>
      </c>
      <c r="AS4" s="86">
        <f t="shared" si="3"/>
        <v>480</v>
      </c>
      <c r="AT4" s="86">
        <f t="shared" si="3"/>
        <v>480</v>
      </c>
      <c r="AU4" s="86">
        <f t="shared" si="3"/>
        <v>480</v>
      </c>
      <c r="AV4" s="86">
        <f t="shared" si="3"/>
        <v>480</v>
      </c>
      <c r="AW4" s="67"/>
      <c r="AX4" s="90"/>
      <c r="AY4" s="90"/>
      <c r="AZ4" s="90"/>
      <c r="BA4" s="90"/>
      <c r="BB4" s="90"/>
      <c r="BC4" s="90"/>
      <c r="BD4" s="90"/>
      <c r="BE4" s="90"/>
      <c r="BF4" s="90"/>
      <c r="BG4" s="90"/>
    </row>
    <row r="5" ht="12.75" customHeight="1">
      <c r="A5" s="512"/>
      <c r="B5" s="90"/>
      <c r="C5" s="90"/>
      <c r="D5" s="90"/>
      <c r="E5" s="90"/>
      <c r="F5" s="90"/>
      <c r="G5" s="90"/>
      <c r="H5" s="90"/>
      <c r="I5" s="90"/>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7"/>
      <c r="AX5" s="90"/>
      <c r="AY5" s="90"/>
      <c r="AZ5" s="90"/>
      <c r="BA5" s="90"/>
      <c r="BB5" s="90"/>
      <c r="BC5" s="90"/>
      <c r="BD5" s="90"/>
      <c r="BE5" s="90"/>
      <c r="BF5" s="90"/>
      <c r="BG5" s="90"/>
    </row>
    <row r="6" ht="12.75" customHeight="1">
      <c r="B6" s="67" t="s">
        <v>205</v>
      </c>
      <c r="C6" s="90"/>
      <c r="D6" s="90"/>
      <c r="E6" s="90"/>
      <c r="F6" s="90"/>
      <c r="G6" s="90"/>
      <c r="H6" s="90"/>
      <c r="I6" s="90"/>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7"/>
      <c r="AX6" s="90"/>
      <c r="AY6" s="90"/>
      <c r="AZ6" s="90"/>
      <c r="BA6" s="90"/>
      <c r="BB6" s="90"/>
      <c r="BC6" s="90"/>
      <c r="BD6" s="90"/>
      <c r="BE6" s="90"/>
      <c r="BF6" s="90"/>
      <c r="BG6" s="90"/>
    </row>
    <row r="7" ht="12.75" customHeight="1">
      <c r="B7" s="90"/>
      <c r="C7" s="90" t="s">
        <v>590</v>
      </c>
      <c r="D7" s="90"/>
      <c r="E7" s="90"/>
      <c r="F7" s="90"/>
      <c r="G7" s="90"/>
      <c r="H7" s="90"/>
      <c r="I7" s="90"/>
      <c r="J7" s="177">
        <f t="shared" ref="J7:AV7" si="4">J272</f>
        <v>2666871.1</v>
      </c>
      <c r="K7" s="177">
        <f t="shared" si="4"/>
        <v>3170485.83</v>
      </c>
      <c r="L7" s="177">
        <f t="shared" si="4"/>
        <v>3156409.84</v>
      </c>
      <c r="M7" s="177">
        <f t="shared" si="4"/>
        <v>3184722.138</v>
      </c>
      <c r="N7" s="177">
        <f t="shared" si="4"/>
        <v>3209072.479</v>
      </c>
      <c r="O7" s="177">
        <f t="shared" si="4"/>
        <v>3256055.929</v>
      </c>
      <c r="P7" s="177">
        <f t="shared" si="4"/>
        <v>3313918.287</v>
      </c>
      <c r="Q7" s="177">
        <f t="shared" si="4"/>
        <v>3380116.653</v>
      </c>
      <c r="R7" s="177">
        <f t="shared" si="4"/>
        <v>3481850.476</v>
      </c>
      <c r="S7" s="177">
        <f t="shared" si="4"/>
        <v>3551407.485</v>
      </c>
      <c r="T7" s="177">
        <f t="shared" si="4"/>
        <v>3622355.635</v>
      </c>
      <c r="U7" s="177">
        <f t="shared" si="4"/>
        <v>3694722.748</v>
      </c>
      <c r="V7" s="177">
        <f t="shared" si="4"/>
        <v>3768537.203</v>
      </c>
      <c r="W7" s="177">
        <f t="shared" si="4"/>
        <v>3843827.947</v>
      </c>
      <c r="X7" s="177">
        <f t="shared" si="4"/>
        <v>3920624.506</v>
      </c>
      <c r="Y7" s="177">
        <f t="shared" si="4"/>
        <v>3998956.996</v>
      </c>
      <c r="Z7" s="177">
        <f t="shared" si="4"/>
        <v>4078856.136</v>
      </c>
      <c r="AA7" s="177">
        <f t="shared" si="4"/>
        <v>4160353.258</v>
      </c>
      <c r="AB7" s="177">
        <f t="shared" si="4"/>
        <v>4243480.324</v>
      </c>
      <c r="AC7" s="177">
        <f t="shared" si="4"/>
        <v>4328269.93</v>
      </c>
      <c r="AD7" s="177">
        <f t="shared" si="4"/>
        <v>4414755.329</v>
      </c>
      <c r="AE7" s="177">
        <f t="shared" si="4"/>
        <v>4502970.435</v>
      </c>
      <c r="AF7" s="177">
        <f t="shared" si="4"/>
        <v>4592949.844</v>
      </c>
      <c r="AG7" s="177">
        <f t="shared" si="4"/>
        <v>4684728.841</v>
      </c>
      <c r="AH7" s="177">
        <f t="shared" si="4"/>
        <v>4778343.418</v>
      </c>
      <c r="AI7" s="177">
        <f t="shared" si="4"/>
        <v>4873830.286</v>
      </c>
      <c r="AJ7" s="177">
        <f t="shared" si="4"/>
        <v>4971226.892</v>
      </c>
      <c r="AK7" s="177">
        <f t="shared" si="4"/>
        <v>5070571.43</v>
      </c>
      <c r="AL7" s="177">
        <f t="shared" si="4"/>
        <v>5171902.858</v>
      </c>
      <c r="AM7" s="177">
        <f t="shared" si="4"/>
        <v>5275260.915</v>
      </c>
      <c r="AN7" s="177">
        <f t="shared" si="4"/>
        <v>5380686.134</v>
      </c>
      <c r="AO7" s="177">
        <f t="shared" si="4"/>
        <v>5488219.856</v>
      </c>
      <c r="AP7" s="177">
        <f t="shared" si="4"/>
        <v>5597904.253</v>
      </c>
      <c r="AQ7" s="177">
        <f t="shared" si="4"/>
        <v>5709782.338</v>
      </c>
      <c r="AR7" s="177">
        <f t="shared" si="4"/>
        <v>5823897.985</v>
      </c>
      <c r="AS7" s="177">
        <f t="shared" si="4"/>
        <v>5940295.945</v>
      </c>
      <c r="AT7" s="177">
        <f t="shared" si="4"/>
        <v>6059021.864</v>
      </c>
      <c r="AU7" s="177">
        <f t="shared" si="4"/>
        <v>6180122.301</v>
      </c>
      <c r="AV7" s="177">
        <f t="shared" si="4"/>
        <v>6303644.747</v>
      </c>
      <c r="AW7" s="67"/>
      <c r="AX7" s="90"/>
      <c r="AY7" s="90"/>
      <c r="AZ7" s="90"/>
      <c r="BA7" s="90"/>
      <c r="BB7" s="90"/>
      <c r="BC7" s="90"/>
      <c r="BD7" s="90"/>
      <c r="BE7" s="90"/>
      <c r="BF7" s="90"/>
      <c r="BG7" s="90"/>
    </row>
    <row r="8" ht="12.75" customHeight="1">
      <c r="B8" s="90"/>
      <c r="C8" s="90" t="s">
        <v>792</v>
      </c>
      <c r="D8" s="90"/>
      <c r="E8" s="90"/>
      <c r="F8" s="90"/>
      <c r="G8" s="90"/>
      <c r="H8" s="90"/>
      <c r="I8" s="90"/>
      <c r="J8" s="177">
        <f t="shared" ref="J8:AV8" si="5">J282</f>
        <v>417565.2</v>
      </c>
      <c r="K8" s="177">
        <f t="shared" si="5"/>
        <v>370099.79</v>
      </c>
      <c r="L8" s="177">
        <f t="shared" si="5"/>
        <v>306519.5841</v>
      </c>
      <c r="M8" s="177">
        <f t="shared" si="5"/>
        <v>312649.9758</v>
      </c>
      <c r="N8" s="177">
        <f t="shared" si="5"/>
        <v>318902.9753</v>
      </c>
      <c r="O8" s="177">
        <f t="shared" si="5"/>
        <v>325281.0348</v>
      </c>
      <c r="P8" s="177">
        <f t="shared" si="5"/>
        <v>331786.6555</v>
      </c>
      <c r="Q8" s="177">
        <f t="shared" si="5"/>
        <v>338422.3886</v>
      </c>
      <c r="R8" s="177">
        <f t="shared" si="5"/>
        <v>345190.8363</v>
      </c>
      <c r="S8" s="177">
        <f t="shared" si="5"/>
        <v>352094.6531</v>
      </c>
      <c r="T8" s="177">
        <f t="shared" si="5"/>
        <v>359136.5461</v>
      </c>
      <c r="U8" s="177">
        <f t="shared" si="5"/>
        <v>366319.2771</v>
      </c>
      <c r="V8" s="177">
        <f t="shared" si="5"/>
        <v>373645.6626</v>
      </c>
      <c r="W8" s="177">
        <f t="shared" si="5"/>
        <v>381118.5759</v>
      </c>
      <c r="X8" s="177">
        <f t="shared" si="5"/>
        <v>388740.9474</v>
      </c>
      <c r="Y8" s="177">
        <f t="shared" si="5"/>
        <v>396515.7663</v>
      </c>
      <c r="Z8" s="177">
        <f t="shared" si="5"/>
        <v>404446.0816</v>
      </c>
      <c r="AA8" s="177">
        <f t="shared" si="5"/>
        <v>412535.0033</v>
      </c>
      <c r="AB8" s="177">
        <f t="shared" si="5"/>
        <v>420785.7033</v>
      </c>
      <c r="AC8" s="177">
        <f t="shared" si="5"/>
        <v>429201.4174</v>
      </c>
      <c r="AD8" s="177">
        <f t="shared" si="5"/>
        <v>437785.4458</v>
      </c>
      <c r="AE8" s="177">
        <f t="shared" si="5"/>
        <v>446541.1547</v>
      </c>
      <c r="AF8" s="177">
        <f t="shared" si="5"/>
        <v>455471.9778</v>
      </c>
      <c r="AG8" s="177">
        <f t="shared" si="5"/>
        <v>464581.4173</v>
      </c>
      <c r="AH8" s="177">
        <f t="shared" si="5"/>
        <v>473873.0457</v>
      </c>
      <c r="AI8" s="177">
        <f t="shared" si="5"/>
        <v>483350.5066</v>
      </c>
      <c r="AJ8" s="177">
        <f t="shared" si="5"/>
        <v>493017.5167</v>
      </c>
      <c r="AK8" s="177">
        <f t="shared" si="5"/>
        <v>502877.867</v>
      </c>
      <c r="AL8" s="177">
        <f t="shared" si="5"/>
        <v>512935.4244</v>
      </c>
      <c r="AM8" s="177">
        <f t="shared" si="5"/>
        <v>523194.1329</v>
      </c>
      <c r="AN8" s="177">
        <f t="shared" si="5"/>
        <v>533658.0155</v>
      </c>
      <c r="AO8" s="177">
        <f t="shared" si="5"/>
        <v>544331.1758</v>
      </c>
      <c r="AP8" s="177">
        <f t="shared" si="5"/>
        <v>555217.7994</v>
      </c>
      <c r="AQ8" s="177">
        <f t="shared" si="5"/>
        <v>566322.1553</v>
      </c>
      <c r="AR8" s="177">
        <f t="shared" si="5"/>
        <v>577648.5985</v>
      </c>
      <c r="AS8" s="177">
        <f t="shared" si="5"/>
        <v>589201.5704</v>
      </c>
      <c r="AT8" s="177">
        <f t="shared" si="5"/>
        <v>600985.6018</v>
      </c>
      <c r="AU8" s="177">
        <f t="shared" si="5"/>
        <v>613005.3139</v>
      </c>
      <c r="AV8" s="177">
        <f t="shared" si="5"/>
        <v>625265.4201</v>
      </c>
      <c r="AW8" s="67"/>
      <c r="AX8" s="90"/>
      <c r="AY8" s="90"/>
      <c r="AZ8" s="90"/>
      <c r="BA8" s="90"/>
      <c r="BB8" s="90"/>
      <c r="BC8" s="90"/>
      <c r="BD8" s="90"/>
      <c r="BE8" s="90"/>
      <c r="BF8" s="90"/>
      <c r="BG8" s="90"/>
    </row>
    <row r="9" ht="12.75" customHeight="1">
      <c r="B9" s="90"/>
      <c r="C9" s="90" t="s">
        <v>797</v>
      </c>
      <c r="D9" s="90"/>
      <c r="E9" s="90"/>
      <c r="F9" s="90"/>
      <c r="G9" s="90"/>
      <c r="H9" s="90"/>
      <c r="I9" s="90"/>
      <c r="J9" s="177">
        <f t="shared" ref="J9:AV9" si="6">J288</f>
        <v>7959.48</v>
      </c>
      <c r="K9" s="177">
        <f t="shared" si="6"/>
        <v>11190</v>
      </c>
      <c r="L9" s="177">
        <f t="shared" si="6"/>
        <v>0</v>
      </c>
      <c r="M9" s="177">
        <f t="shared" si="6"/>
        <v>0</v>
      </c>
      <c r="N9" s="177">
        <f t="shared" si="6"/>
        <v>0</v>
      </c>
      <c r="O9" s="177">
        <f t="shared" si="6"/>
        <v>0</v>
      </c>
      <c r="P9" s="177">
        <f t="shared" si="6"/>
        <v>0</v>
      </c>
      <c r="Q9" s="177">
        <f t="shared" si="6"/>
        <v>0</v>
      </c>
      <c r="R9" s="177">
        <f t="shared" si="6"/>
        <v>0</v>
      </c>
      <c r="S9" s="177">
        <f t="shared" si="6"/>
        <v>0</v>
      </c>
      <c r="T9" s="177">
        <f t="shared" si="6"/>
        <v>0</v>
      </c>
      <c r="U9" s="177">
        <f t="shared" si="6"/>
        <v>0</v>
      </c>
      <c r="V9" s="177">
        <f t="shared" si="6"/>
        <v>0</v>
      </c>
      <c r="W9" s="177">
        <f t="shared" si="6"/>
        <v>0</v>
      </c>
      <c r="X9" s="177">
        <f t="shared" si="6"/>
        <v>0</v>
      </c>
      <c r="Y9" s="177">
        <f t="shared" si="6"/>
        <v>0</v>
      </c>
      <c r="Z9" s="177">
        <f t="shared" si="6"/>
        <v>0</v>
      </c>
      <c r="AA9" s="177">
        <f t="shared" si="6"/>
        <v>0</v>
      </c>
      <c r="AB9" s="177">
        <f t="shared" si="6"/>
        <v>0</v>
      </c>
      <c r="AC9" s="177">
        <f t="shared" si="6"/>
        <v>0</v>
      </c>
      <c r="AD9" s="177">
        <f t="shared" si="6"/>
        <v>0</v>
      </c>
      <c r="AE9" s="177">
        <f t="shared" si="6"/>
        <v>0</v>
      </c>
      <c r="AF9" s="177">
        <f t="shared" si="6"/>
        <v>0</v>
      </c>
      <c r="AG9" s="177">
        <f t="shared" si="6"/>
        <v>0</v>
      </c>
      <c r="AH9" s="177">
        <f t="shared" si="6"/>
        <v>0</v>
      </c>
      <c r="AI9" s="177">
        <f t="shared" si="6"/>
        <v>0</v>
      </c>
      <c r="AJ9" s="177">
        <f t="shared" si="6"/>
        <v>0</v>
      </c>
      <c r="AK9" s="177">
        <f t="shared" si="6"/>
        <v>0</v>
      </c>
      <c r="AL9" s="177">
        <f t="shared" si="6"/>
        <v>0</v>
      </c>
      <c r="AM9" s="177">
        <f t="shared" si="6"/>
        <v>0</v>
      </c>
      <c r="AN9" s="177">
        <f t="shared" si="6"/>
        <v>0</v>
      </c>
      <c r="AO9" s="177">
        <f t="shared" si="6"/>
        <v>0</v>
      </c>
      <c r="AP9" s="177">
        <f t="shared" si="6"/>
        <v>0</v>
      </c>
      <c r="AQ9" s="177">
        <f t="shared" si="6"/>
        <v>0</v>
      </c>
      <c r="AR9" s="177">
        <f t="shared" si="6"/>
        <v>0</v>
      </c>
      <c r="AS9" s="177">
        <f t="shared" si="6"/>
        <v>0</v>
      </c>
      <c r="AT9" s="177">
        <f t="shared" si="6"/>
        <v>0</v>
      </c>
      <c r="AU9" s="177">
        <f t="shared" si="6"/>
        <v>0</v>
      </c>
      <c r="AV9" s="177">
        <f t="shared" si="6"/>
        <v>0</v>
      </c>
      <c r="AW9" s="67"/>
      <c r="AX9" s="90"/>
      <c r="AY9" s="90"/>
      <c r="AZ9" s="90"/>
      <c r="BA9" s="90"/>
      <c r="BB9" s="90"/>
      <c r="BC9" s="90"/>
      <c r="BD9" s="90"/>
      <c r="BE9" s="90"/>
      <c r="BF9" s="90"/>
      <c r="BG9" s="90"/>
    </row>
    <row r="10" ht="12.75" customHeight="1">
      <c r="B10" s="90"/>
      <c r="C10" s="87" t="s">
        <v>799</v>
      </c>
      <c r="D10" s="87"/>
      <c r="E10" s="87"/>
      <c r="F10" s="87"/>
      <c r="G10" s="87"/>
      <c r="H10" s="87"/>
      <c r="I10" s="87"/>
      <c r="J10" s="204">
        <f t="shared" ref="J10:AV10" si="7">J294</f>
        <v>10316.02</v>
      </c>
      <c r="K10" s="204">
        <f t="shared" si="7"/>
        <v>13978.99</v>
      </c>
      <c r="L10" s="204">
        <f t="shared" si="7"/>
        <v>74288</v>
      </c>
      <c r="M10" s="204">
        <f t="shared" si="7"/>
        <v>80301.76</v>
      </c>
      <c r="N10" s="204">
        <f t="shared" si="7"/>
        <v>81335.7952</v>
      </c>
      <c r="O10" s="204">
        <f t="shared" si="7"/>
        <v>82390.5111</v>
      </c>
      <c r="P10" s="204">
        <f t="shared" si="7"/>
        <v>83466.32133</v>
      </c>
      <c r="Q10" s="204">
        <f t="shared" si="7"/>
        <v>84563.64775</v>
      </c>
      <c r="R10" s="204">
        <f t="shared" si="7"/>
        <v>85682.92071</v>
      </c>
      <c r="S10" s="204">
        <f t="shared" si="7"/>
        <v>86824.57912</v>
      </c>
      <c r="T10" s="204">
        <f t="shared" si="7"/>
        <v>87989.0707</v>
      </c>
      <c r="U10" s="204">
        <f t="shared" si="7"/>
        <v>89176.85212</v>
      </c>
      <c r="V10" s="204">
        <f t="shared" si="7"/>
        <v>90388.38916</v>
      </c>
      <c r="W10" s="204">
        <f t="shared" si="7"/>
        <v>91624.15694</v>
      </c>
      <c r="X10" s="204">
        <f t="shared" si="7"/>
        <v>92884.64008</v>
      </c>
      <c r="Y10" s="204">
        <f t="shared" si="7"/>
        <v>94170.33288</v>
      </c>
      <c r="Z10" s="204">
        <f t="shared" si="7"/>
        <v>95481.73954</v>
      </c>
      <c r="AA10" s="204">
        <f t="shared" si="7"/>
        <v>96819.37433</v>
      </c>
      <c r="AB10" s="204">
        <f t="shared" si="7"/>
        <v>98183.76182</v>
      </c>
      <c r="AC10" s="204">
        <f t="shared" si="7"/>
        <v>99575.43706</v>
      </c>
      <c r="AD10" s="204">
        <f t="shared" si="7"/>
        <v>100994.9458</v>
      </c>
      <c r="AE10" s="204">
        <f t="shared" si="7"/>
        <v>102442.8447</v>
      </c>
      <c r="AF10" s="204">
        <f t="shared" si="7"/>
        <v>103919.7016</v>
      </c>
      <c r="AG10" s="204">
        <f t="shared" si="7"/>
        <v>105426.0956</v>
      </c>
      <c r="AH10" s="204">
        <f t="shared" si="7"/>
        <v>106962.6176</v>
      </c>
      <c r="AI10" s="204">
        <f t="shared" si="7"/>
        <v>108529.8699</v>
      </c>
      <c r="AJ10" s="204">
        <f t="shared" si="7"/>
        <v>110128.4673</v>
      </c>
      <c r="AK10" s="204">
        <f t="shared" si="7"/>
        <v>111759.0366</v>
      </c>
      <c r="AL10" s="204">
        <f t="shared" si="7"/>
        <v>113422.2174</v>
      </c>
      <c r="AM10" s="204">
        <f t="shared" si="7"/>
        <v>115118.6617</v>
      </c>
      <c r="AN10" s="204">
        <f t="shared" si="7"/>
        <v>116849.035</v>
      </c>
      <c r="AO10" s="204">
        <f t="shared" si="7"/>
        <v>118614.0157</v>
      </c>
      <c r="AP10" s="204">
        <f t="shared" si="7"/>
        <v>120414.296</v>
      </c>
      <c r="AQ10" s="204">
        <f t="shared" si="7"/>
        <v>122250.5819</v>
      </c>
      <c r="AR10" s="204">
        <f t="shared" si="7"/>
        <v>124123.5935</v>
      </c>
      <c r="AS10" s="204">
        <f t="shared" si="7"/>
        <v>126034.0654</v>
      </c>
      <c r="AT10" s="204">
        <f t="shared" si="7"/>
        <v>127982.7467</v>
      </c>
      <c r="AU10" s="204">
        <f t="shared" si="7"/>
        <v>129970.4016</v>
      </c>
      <c r="AV10" s="204">
        <f t="shared" si="7"/>
        <v>131997.8097</v>
      </c>
      <c r="AW10" s="67"/>
      <c r="AX10" s="90"/>
      <c r="AY10" s="90"/>
      <c r="AZ10" s="90"/>
      <c r="BA10" s="90"/>
      <c r="BB10" s="90"/>
      <c r="BC10" s="90"/>
      <c r="BD10" s="90"/>
      <c r="BE10" s="90"/>
      <c r="BF10" s="90"/>
      <c r="BG10" s="90"/>
    </row>
    <row r="11" ht="12.75" customHeight="1">
      <c r="B11" s="67" t="s">
        <v>239</v>
      </c>
      <c r="C11" s="90"/>
      <c r="D11" s="90"/>
      <c r="E11" s="90"/>
      <c r="F11" s="90"/>
      <c r="G11" s="90"/>
      <c r="H11" s="90"/>
      <c r="I11" s="90"/>
      <c r="J11" s="205">
        <f t="shared" ref="J11:AV11" si="8">SUM(J7:J10)</f>
        <v>3102711.8</v>
      </c>
      <c r="K11" s="205">
        <f t="shared" si="8"/>
        <v>3565754.61</v>
      </c>
      <c r="L11" s="205">
        <f t="shared" si="8"/>
        <v>3537217.424</v>
      </c>
      <c r="M11" s="205">
        <f t="shared" si="8"/>
        <v>3577673.874</v>
      </c>
      <c r="N11" s="205">
        <f t="shared" si="8"/>
        <v>3609311.25</v>
      </c>
      <c r="O11" s="205">
        <f t="shared" si="8"/>
        <v>3663727.475</v>
      </c>
      <c r="P11" s="205">
        <f t="shared" si="8"/>
        <v>3729171.264</v>
      </c>
      <c r="Q11" s="205">
        <f t="shared" si="8"/>
        <v>3803102.689</v>
      </c>
      <c r="R11" s="205">
        <f t="shared" si="8"/>
        <v>3912724.233</v>
      </c>
      <c r="S11" s="205">
        <f t="shared" si="8"/>
        <v>3990326.718</v>
      </c>
      <c r="T11" s="205">
        <f t="shared" si="8"/>
        <v>4069481.252</v>
      </c>
      <c r="U11" s="205">
        <f t="shared" si="8"/>
        <v>4150218.877</v>
      </c>
      <c r="V11" s="205">
        <f t="shared" si="8"/>
        <v>4232571.254</v>
      </c>
      <c r="W11" s="205">
        <f t="shared" si="8"/>
        <v>4316570.68</v>
      </c>
      <c r="X11" s="205">
        <f t="shared" si="8"/>
        <v>4402250.093</v>
      </c>
      <c r="Y11" s="205">
        <f t="shared" si="8"/>
        <v>4489643.095</v>
      </c>
      <c r="Z11" s="205">
        <f t="shared" si="8"/>
        <v>4578783.957</v>
      </c>
      <c r="AA11" s="205">
        <f t="shared" si="8"/>
        <v>4669707.636</v>
      </c>
      <c r="AB11" s="205">
        <f t="shared" si="8"/>
        <v>4762449.789</v>
      </c>
      <c r="AC11" s="205">
        <f t="shared" si="8"/>
        <v>4857046.784</v>
      </c>
      <c r="AD11" s="205">
        <f t="shared" si="8"/>
        <v>4953535.72</v>
      </c>
      <c r="AE11" s="205">
        <f t="shared" si="8"/>
        <v>5051954.435</v>
      </c>
      <c r="AF11" s="205">
        <f t="shared" si="8"/>
        <v>5152341.523</v>
      </c>
      <c r="AG11" s="205">
        <f t="shared" si="8"/>
        <v>5254736.354</v>
      </c>
      <c r="AH11" s="205">
        <f t="shared" si="8"/>
        <v>5359179.081</v>
      </c>
      <c r="AI11" s="205">
        <f t="shared" si="8"/>
        <v>5465710.662</v>
      </c>
      <c r="AJ11" s="205">
        <f t="shared" si="8"/>
        <v>5574372.876</v>
      </c>
      <c r="AK11" s="205">
        <f t="shared" si="8"/>
        <v>5685208.333</v>
      </c>
      <c r="AL11" s="205">
        <f t="shared" si="8"/>
        <v>5798260.5</v>
      </c>
      <c r="AM11" s="205">
        <f t="shared" si="8"/>
        <v>5913573.71</v>
      </c>
      <c r="AN11" s="205">
        <f t="shared" si="8"/>
        <v>6031193.184</v>
      </c>
      <c r="AO11" s="205">
        <f t="shared" si="8"/>
        <v>6151165.048</v>
      </c>
      <c r="AP11" s="205">
        <f t="shared" si="8"/>
        <v>6273536.349</v>
      </c>
      <c r="AQ11" s="205">
        <f t="shared" si="8"/>
        <v>6398355.076</v>
      </c>
      <c r="AR11" s="205">
        <f t="shared" si="8"/>
        <v>6525670.177</v>
      </c>
      <c r="AS11" s="205">
        <f t="shared" si="8"/>
        <v>6655531.581</v>
      </c>
      <c r="AT11" s="205">
        <f t="shared" si="8"/>
        <v>6787990.212</v>
      </c>
      <c r="AU11" s="205">
        <f t="shared" si="8"/>
        <v>6923098.017</v>
      </c>
      <c r="AV11" s="205">
        <f t="shared" si="8"/>
        <v>7060907.977</v>
      </c>
      <c r="AW11" s="67"/>
      <c r="AX11" s="90"/>
      <c r="AY11" s="90"/>
      <c r="AZ11" s="90"/>
      <c r="BA11" s="90"/>
      <c r="BB11" s="90"/>
      <c r="BC11" s="90"/>
      <c r="BD11" s="90"/>
      <c r="BE11" s="90"/>
      <c r="BF11" s="90"/>
      <c r="BG11" s="90"/>
    </row>
    <row r="12" ht="12.75" customHeight="1">
      <c r="B12" s="90"/>
      <c r="C12" s="90"/>
      <c r="D12" s="90"/>
      <c r="E12" s="90"/>
      <c r="F12" s="90"/>
      <c r="G12" s="90"/>
      <c r="H12" s="90"/>
      <c r="I12" s="90"/>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7"/>
      <c r="AX12" s="90"/>
      <c r="AY12" s="90"/>
      <c r="AZ12" s="90"/>
      <c r="BA12" s="90"/>
      <c r="BB12" s="90"/>
      <c r="BC12" s="90"/>
      <c r="BD12" s="90"/>
      <c r="BE12" s="90"/>
      <c r="BF12" s="90"/>
      <c r="BG12" s="90"/>
    </row>
    <row r="13" ht="12.75" customHeight="1">
      <c r="B13" s="67" t="s">
        <v>178</v>
      </c>
      <c r="C13" s="90"/>
      <c r="D13" s="90"/>
      <c r="E13" s="90"/>
      <c r="F13" s="90"/>
      <c r="G13" s="90"/>
      <c r="H13" s="90"/>
      <c r="I13" s="90"/>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7"/>
      <c r="AX13" s="90"/>
      <c r="AY13" s="90"/>
      <c r="AZ13" s="90"/>
      <c r="BA13" s="90"/>
      <c r="BB13" s="90"/>
      <c r="BC13" s="90"/>
      <c r="BD13" s="90"/>
      <c r="BE13" s="90"/>
      <c r="BF13" s="90"/>
      <c r="BG13" s="90"/>
    </row>
    <row r="14" ht="12.75" customHeight="1">
      <c r="B14" s="90"/>
      <c r="C14" s="90" t="s">
        <v>1172</v>
      </c>
      <c r="D14" s="90"/>
      <c r="E14" s="90"/>
      <c r="F14" s="90"/>
      <c r="G14" s="90"/>
      <c r="H14" s="90"/>
      <c r="I14" s="90"/>
      <c r="J14" s="177">
        <f t="shared" ref="J14:AV14" si="9">J319+J330</f>
        <v>1190719.03</v>
      </c>
      <c r="K14" s="177" t="str">
        <f t="shared" si="9"/>
        <v>#REF!</v>
      </c>
      <c r="L14" s="177" t="str">
        <f t="shared" si="9"/>
        <v>#REF!</v>
      </c>
      <c r="M14" s="177" t="str">
        <f t="shared" si="9"/>
        <v>#REF!</v>
      </c>
      <c r="N14" s="177" t="str">
        <f t="shared" si="9"/>
        <v>#REF!</v>
      </c>
      <c r="O14" s="177" t="str">
        <f t="shared" si="9"/>
        <v>#REF!</v>
      </c>
      <c r="P14" s="177" t="str">
        <f t="shared" si="9"/>
        <v>#REF!</v>
      </c>
      <c r="Q14" s="177" t="str">
        <f t="shared" si="9"/>
        <v>#REF!</v>
      </c>
      <c r="R14" s="177" t="str">
        <f t="shared" si="9"/>
        <v>#REF!</v>
      </c>
      <c r="S14" s="177" t="str">
        <f t="shared" si="9"/>
        <v>#REF!</v>
      </c>
      <c r="T14" s="177" t="str">
        <f t="shared" si="9"/>
        <v>#REF!</v>
      </c>
      <c r="U14" s="177" t="str">
        <f t="shared" si="9"/>
        <v>#REF!</v>
      </c>
      <c r="V14" s="177" t="str">
        <f t="shared" si="9"/>
        <v>#REF!</v>
      </c>
      <c r="W14" s="177" t="str">
        <f t="shared" si="9"/>
        <v>#REF!</v>
      </c>
      <c r="X14" s="177" t="str">
        <f t="shared" si="9"/>
        <v>#REF!</v>
      </c>
      <c r="Y14" s="177" t="str">
        <f t="shared" si="9"/>
        <v>#REF!</v>
      </c>
      <c r="Z14" s="177" t="str">
        <f t="shared" si="9"/>
        <v>#REF!</v>
      </c>
      <c r="AA14" s="177" t="str">
        <f t="shared" si="9"/>
        <v>#REF!</v>
      </c>
      <c r="AB14" s="177" t="str">
        <f t="shared" si="9"/>
        <v>#REF!</v>
      </c>
      <c r="AC14" s="177" t="str">
        <f t="shared" si="9"/>
        <v>#REF!</v>
      </c>
      <c r="AD14" s="177" t="str">
        <f t="shared" si="9"/>
        <v>#REF!</v>
      </c>
      <c r="AE14" s="177" t="str">
        <f t="shared" si="9"/>
        <v>#REF!</v>
      </c>
      <c r="AF14" s="177" t="str">
        <f t="shared" si="9"/>
        <v>#REF!</v>
      </c>
      <c r="AG14" s="177" t="str">
        <f t="shared" si="9"/>
        <v>#REF!</v>
      </c>
      <c r="AH14" s="177" t="str">
        <f t="shared" si="9"/>
        <v>#REF!</v>
      </c>
      <c r="AI14" s="177" t="str">
        <f t="shared" si="9"/>
        <v>#REF!</v>
      </c>
      <c r="AJ14" s="177" t="str">
        <f t="shared" si="9"/>
        <v>#REF!</v>
      </c>
      <c r="AK14" s="177" t="str">
        <f t="shared" si="9"/>
        <v>#REF!</v>
      </c>
      <c r="AL14" s="177" t="str">
        <f t="shared" si="9"/>
        <v>#REF!</v>
      </c>
      <c r="AM14" s="177" t="str">
        <f t="shared" si="9"/>
        <v>#REF!</v>
      </c>
      <c r="AN14" s="177" t="str">
        <f t="shared" si="9"/>
        <v>#REF!</v>
      </c>
      <c r="AO14" s="177" t="str">
        <f t="shared" si="9"/>
        <v>#REF!</v>
      </c>
      <c r="AP14" s="177" t="str">
        <f t="shared" si="9"/>
        <v>#REF!</v>
      </c>
      <c r="AQ14" s="177" t="str">
        <f t="shared" si="9"/>
        <v>#REF!</v>
      </c>
      <c r="AR14" s="177" t="str">
        <f t="shared" si="9"/>
        <v>#REF!</v>
      </c>
      <c r="AS14" s="177" t="str">
        <f t="shared" si="9"/>
        <v>#REF!</v>
      </c>
      <c r="AT14" s="177" t="str">
        <f t="shared" si="9"/>
        <v>#REF!</v>
      </c>
      <c r="AU14" s="177" t="str">
        <f t="shared" si="9"/>
        <v>#REF!</v>
      </c>
      <c r="AV14" s="177" t="str">
        <f t="shared" si="9"/>
        <v>#REF!</v>
      </c>
      <c r="AW14" s="67"/>
      <c r="AX14" s="90"/>
      <c r="AY14" s="90"/>
      <c r="AZ14" s="90"/>
      <c r="BA14" s="90"/>
      <c r="BB14" s="90"/>
      <c r="BC14" s="90"/>
      <c r="BD14" s="90"/>
      <c r="BE14" s="90"/>
      <c r="BF14" s="90"/>
      <c r="BG14" s="90"/>
    </row>
    <row r="15" ht="12.75" customHeight="1">
      <c r="B15" s="90"/>
      <c r="C15" s="90" t="s">
        <v>1173</v>
      </c>
      <c r="D15" s="90"/>
      <c r="E15" s="90"/>
      <c r="F15" s="90"/>
      <c r="G15" s="90"/>
      <c r="H15" s="90"/>
      <c r="I15" s="90"/>
      <c r="J15" s="177">
        <f t="shared" ref="J15:AV15" si="10">J339</f>
        <v>363558.27</v>
      </c>
      <c r="K15" s="177" t="str">
        <f t="shared" si="10"/>
        <v>#REF!</v>
      </c>
      <c r="L15" s="177">
        <f t="shared" si="10"/>
        <v>338602</v>
      </c>
      <c r="M15" s="177">
        <f t="shared" si="10"/>
        <v>339411.04</v>
      </c>
      <c r="N15" s="177">
        <f t="shared" si="10"/>
        <v>342357.8608</v>
      </c>
      <c r="O15" s="177">
        <f t="shared" si="10"/>
        <v>350596.83</v>
      </c>
      <c r="P15" s="177">
        <f t="shared" si="10"/>
        <v>349831.7415</v>
      </c>
      <c r="Q15" s="177">
        <f t="shared" si="10"/>
        <v>359940.6187</v>
      </c>
      <c r="R15" s="177">
        <f t="shared" si="10"/>
        <v>366939.4311</v>
      </c>
      <c r="S15" s="177">
        <f t="shared" si="10"/>
        <v>374078.2197</v>
      </c>
      <c r="T15" s="177">
        <f t="shared" si="10"/>
        <v>381359.7841</v>
      </c>
      <c r="U15" s="177">
        <f t="shared" si="10"/>
        <v>388786.9798</v>
      </c>
      <c r="V15" s="177">
        <f t="shared" si="10"/>
        <v>396362.7194</v>
      </c>
      <c r="W15" s="177">
        <f t="shared" si="10"/>
        <v>404089.9738</v>
      </c>
      <c r="X15" s="177">
        <f t="shared" si="10"/>
        <v>411971.7733</v>
      </c>
      <c r="Y15" s="177">
        <f t="shared" si="10"/>
        <v>420011.2087</v>
      </c>
      <c r="Z15" s="177">
        <f t="shared" si="10"/>
        <v>428211.4329</v>
      </c>
      <c r="AA15" s="177">
        <f t="shared" si="10"/>
        <v>436575.6616</v>
      </c>
      <c r="AB15" s="177">
        <f t="shared" si="10"/>
        <v>445107.1748</v>
      </c>
      <c r="AC15" s="177">
        <f t="shared" si="10"/>
        <v>453809.3183</v>
      </c>
      <c r="AD15" s="177">
        <f t="shared" si="10"/>
        <v>462685.5047</v>
      </c>
      <c r="AE15" s="177">
        <f t="shared" si="10"/>
        <v>471739.2148</v>
      </c>
      <c r="AF15" s="177">
        <f t="shared" si="10"/>
        <v>480973.9991</v>
      </c>
      <c r="AG15" s="177">
        <f t="shared" si="10"/>
        <v>490393.479</v>
      </c>
      <c r="AH15" s="177">
        <f t="shared" si="10"/>
        <v>500001.3486</v>
      </c>
      <c r="AI15" s="177">
        <f t="shared" si="10"/>
        <v>509801.3756</v>
      </c>
      <c r="AJ15" s="177">
        <f t="shared" si="10"/>
        <v>519797.4031</v>
      </c>
      <c r="AK15" s="177">
        <f t="shared" si="10"/>
        <v>529993.3512</v>
      </c>
      <c r="AL15" s="177">
        <f t="shared" si="10"/>
        <v>540393.2182</v>
      </c>
      <c r="AM15" s="177">
        <f t="shared" si="10"/>
        <v>551001.0825</v>
      </c>
      <c r="AN15" s="177">
        <f t="shared" si="10"/>
        <v>561821.1042</v>
      </c>
      <c r="AO15" s="177">
        <f t="shared" si="10"/>
        <v>572857.5263</v>
      </c>
      <c r="AP15" s="177">
        <f t="shared" si="10"/>
        <v>584114.6768</v>
      </c>
      <c r="AQ15" s="177">
        <f t="shared" si="10"/>
        <v>595596.9703</v>
      </c>
      <c r="AR15" s="177">
        <f t="shared" si="10"/>
        <v>607308.9097</v>
      </c>
      <c r="AS15" s="177">
        <f t="shared" si="10"/>
        <v>619255.0879</v>
      </c>
      <c r="AT15" s="177">
        <f t="shared" si="10"/>
        <v>631440.1897</v>
      </c>
      <c r="AU15" s="177">
        <f t="shared" si="10"/>
        <v>643868.9935</v>
      </c>
      <c r="AV15" s="177">
        <f t="shared" si="10"/>
        <v>656546.3734</v>
      </c>
      <c r="AW15" s="67"/>
      <c r="AX15" s="90"/>
      <c r="AY15" s="90"/>
      <c r="AZ15" s="90"/>
      <c r="BA15" s="90"/>
      <c r="BB15" s="90"/>
      <c r="BC15" s="90"/>
      <c r="BD15" s="90"/>
      <c r="BE15" s="90"/>
      <c r="BF15" s="90"/>
      <c r="BG15" s="90"/>
    </row>
    <row r="16" ht="12.75" customHeight="1">
      <c r="B16" s="90"/>
      <c r="C16" s="90" t="s">
        <v>601</v>
      </c>
      <c r="D16" s="90"/>
      <c r="E16" s="90"/>
      <c r="F16" s="90"/>
      <c r="G16" s="90"/>
      <c r="H16" s="90"/>
      <c r="I16" s="90"/>
      <c r="J16" s="177" t="str">
        <f t="shared" ref="J16:AV16" si="11">J383</f>
        <v/>
      </c>
      <c r="K16" s="177" t="str">
        <f t="shared" si="11"/>
        <v/>
      </c>
      <c r="L16" s="177">
        <f t="shared" si="11"/>
        <v>98956.4052</v>
      </c>
      <c r="M16" s="177">
        <f t="shared" si="11"/>
        <v>99891.05635</v>
      </c>
      <c r="N16" s="177">
        <f t="shared" si="11"/>
        <v>100708.5544</v>
      </c>
      <c r="O16" s="177">
        <f t="shared" si="11"/>
        <v>102206.7855</v>
      </c>
      <c r="P16" s="177">
        <f t="shared" si="11"/>
        <v>104033.1584</v>
      </c>
      <c r="Q16" s="177">
        <f t="shared" si="11"/>
        <v>106111.4216</v>
      </c>
      <c r="R16" s="177">
        <f t="shared" si="11"/>
        <v>109257.5947</v>
      </c>
      <c r="S16" s="177">
        <f t="shared" si="11"/>
        <v>111440.3466</v>
      </c>
      <c r="T16" s="177">
        <f t="shared" si="11"/>
        <v>113666.7535</v>
      </c>
      <c r="U16" s="177">
        <f t="shared" si="11"/>
        <v>115937.6886</v>
      </c>
      <c r="V16" s="177">
        <f t="shared" si="11"/>
        <v>118254.0424</v>
      </c>
      <c r="W16" s="177">
        <f t="shared" si="11"/>
        <v>120616.7232</v>
      </c>
      <c r="X16" s="177">
        <f t="shared" si="11"/>
        <v>123026.6577</v>
      </c>
      <c r="Y16" s="177">
        <f t="shared" si="11"/>
        <v>125484.7908</v>
      </c>
      <c r="Z16" s="177">
        <f t="shared" si="11"/>
        <v>127992.0867</v>
      </c>
      <c r="AA16" s="177">
        <f t="shared" si="11"/>
        <v>130549.5284</v>
      </c>
      <c r="AB16" s="177">
        <f t="shared" si="11"/>
        <v>133158.119</v>
      </c>
      <c r="AC16" s="177">
        <f t="shared" si="11"/>
        <v>135818.8813</v>
      </c>
      <c r="AD16" s="177">
        <f t="shared" si="11"/>
        <v>138532.859</v>
      </c>
      <c r="AE16" s="177">
        <f t="shared" si="11"/>
        <v>141301.1161</v>
      </c>
      <c r="AF16" s="177">
        <f t="shared" si="11"/>
        <v>144124.7385</v>
      </c>
      <c r="AG16" s="177">
        <f t="shared" si="11"/>
        <v>147004.8332</v>
      </c>
      <c r="AH16" s="177">
        <f t="shared" si="11"/>
        <v>149942.5299</v>
      </c>
      <c r="AI16" s="177">
        <f t="shared" si="11"/>
        <v>152938.9805</v>
      </c>
      <c r="AJ16" s="177">
        <f t="shared" si="11"/>
        <v>155995.3601</v>
      </c>
      <c r="AK16" s="177">
        <f t="shared" si="11"/>
        <v>159112.8673</v>
      </c>
      <c r="AL16" s="177">
        <f t="shared" si="11"/>
        <v>162292.7247</v>
      </c>
      <c r="AM16" s="177">
        <f t="shared" si="11"/>
        <v>165536.1792</v>
      </c>
      <c r="AN16" s="177">
        <f t="shared" si="11"/>
        <v>168844.5027</v>
      </c>
      <c r="AO16" s="177">
        <f t="shared" si="11"/>
        <v>172218.9928</v>
      </c>
      <c r="AP16" s="177">
        <f t="shared" si="11"/>
        <v>175660.9726</v>
      </c>
      <c r="AQ16" s="177">
        <f t="shared" si="11"/>
        <v>179171.7921</v>
      </c>
      <c r="AR16" s="177">
        <f t="shared" si="11"/>
        <v>182752.8279</v>
      </c>
      <c r="AS16" s="177">
        <f t="shared" si="11"/>
        <v>186405.4845</v>
      </c>
      <c r="AT16" s="177">
        <f t="shared" si="11"/>
        <v>190131.1942</v>
      </c>
      <c r="AU16" s="177">
        <f t="shared" si="11"/>
        <v>193931.4181</v>
      </c>
      <c r="AV16" s="177">
        <f t="shared" si="11"/>
        <v>197807.6464</v>
      </c>
      <c r="AW16" s="67"/>
      <c r="AX16" s="90"/>
      <c r="AY16" s="90"/>
      <c r="AZ16" s="90"/>
      <c r="BA16" s="90"/>
      <c r="BB16" s="90"/>
      <c r="BC16" s="90"/>
      <c r="BD16" s="90"/>
      <c r="BE16" s="90"/>
      <c r="BF16" s="90"/>
      <c r="BG16" s="90"/>
    </row>
    <row r="17" ht="12.75" customHeight="1">
      <c r="B17" s="90"/>
      <c r="C17" s="90" t="s">
        <v>276</v>
      </c>
      <c r="D17" s="90"/>
      <c r="E17" s="90"/>
      <c r="F17" s="90"/>
      <c r="G17" s="90"/>
      <c r="H17" s="90"/>
      <c r="I17" s="90"/>
      <c r="J17" s="177">
        <f t="shared" ref="J17:AV17" si="12">J381</f>
        <v>338237.93</v>
      </c>
      <c r="K17" s="177">
        <f t="shared" si="12"/>
        <v>495845.22</v>
      </c>
      <c r="L17" s="177">
        <f t="shared" si="12"/>
        <v>395825.6208</v>
      </c>
      <c r="M17" s="177">
        <f t="shared" si="12"/>
        <v>399564.2254</v>
      </c>
      <c r="N17" s="177">
        <f t="shared" si="12"/>
        <v>402834.2177</v>
      </c>
      <c r="O17" s="177">
        <f t="shared" si="12"/>
        <v>408827.142</v>
      </c>
      <c r="P17" s="177">
        <f t="shared" si="12"/>
        <v>416132.6337</v>
      </c>
      <c r="Q17" s="177">
        <f t="shared" si="12"/>
        <v>424445.6863</v>
      </c>
      <c r="R17" s="177">
        <f t="shared" si="12"/>
        <v>437030.3788</v>
      </c>
      <c r="S17" s="177">
        <f t="shared" si="12"/>
        <v>445761.3864</v>
      </c>
      <c r="T17" s="177">
        <f t="shared" si="12"/>
        <v>454667.0141</v>
      </c>
      <c r="U17" s="177">
        <f t="shared" si="12"/>
        <v>463750.7544</v>
      </c>
      <c r="V17" s="177">
        <f t="shared" si="12"/>
        <v>473016.1695</v>
      </c>
      <c r="W17" s="177">
        <f t="shared" si="12"/>
        <v>482466.8929</v>
      </c>
      <c r="X17" s="177">
        <f t="shared" si="12"/>
        <v>492106.6308</v>
      </c>
      <c r="Y17" s="177">
        <f t="shared" si="12"/>
        <v>501939.1634</v>
      </c>
      <c r="Z17" s="177">
        <f t="shared" si="12"/>
        <v>511968.3466</v>
      </c>
      <c r="AA17" s="177">
        <f t="shared" si="12"/>
        <v>522198.1136</v>
      </c>
      <c r="AB17" s="177">
        <f t="shared" si="12"/>
        <v>532632.4758</v>
      </c>
      <c r="AC17" s="177">
        <f t="shared" si="12"/>
        <v>543275.5254</v>
      </c>
      <c r="AD17" s="177">
        <f t="shared" si="12"/>
        <v>554131.4359</v>
      </c>
      <c r="AE17" s="177">
        <f t="shared" si="12"/>
        <v>565204.4646</v>
      </c>
      <c r="AF17" s="177">
        <f t="shared" si="12"/>
        <v>576498.9539</v>
      </c>
      <c r="AG17" s="177">
        <f t="shared" si="12"/>
        <v>588019.3329</v>
      </c>
      <c r="AH17" s="177">
        <f t="shared" si="12"/>
        <v>599770.1196</v>
      </c>
      <c r="AI17" s="177">
        <f t="shared" si="12"/>
        <v>611755.922</v>
      </c>
      <c r="AJ17" s="177">
        <f t="shared" si="12"/>
        <v>623981.4404</v>
      </c>
      <c r="AK17" s="177">
        <f t="shared" si="12"/>
        <v>636451.4692</v>
      </c>
      <c r="AL17" s="177">
        <f t="shared" si="12"/>
        <v>649170.8986</v>
      </c>
      <c r="AM17" s="177">
        <f t="shared" si="12"/>
        <v>662144.7166</v>
      </c>
      <c r="AN17" s="177">
        <f t="shared" si="12"/>
        <v>675378.0109</v>
      </c>
      <c r="AO17" s="177">
        <f t="shared" si="12"/>
        <v>688875.9712</v>
      </c>
      <c r="AP17" s="177">
        <f t="shared" si="12"/>
        <v>702643.8906</v>
      </c>
      <c r="AQ17" s="177">
        <f t="shared" si="12"/>
        <v>716687.1684</v>
      </c>
      <c r="AR17" s="177">
        <f t="shared" si="12"/>
        <v>731011.3118</v>
      </c>
      <c r="AS17" s="177">
        <f t="shared" si="12"/>
        <v>745621.938</v>
      </c>
      <c r="AT17" s="177">
        <f t="shared" si="12"/>
        <v>760524.7768</v>
      </c>
      <c r="AU17" s="177">
        <f t="shared" si="12"/>
        <v>775725.6723</v>
      </c>
      <c r="AV17" s="177">
        <f t="shared" si="12"/>
        <v>791230.5857</v>
      </c>
      <c r="AW17" s="67"/>
      <c r="AX17" s="90"/>
      <c r="AY17" s="90"/>
      <c r="AZ17" s="90"/>
      <c r="BA17" s="90"/>
      <c r="BB17" s="90"/>
      <c r="BC17" s="90"/>
      <c r="BD17" s="90"/>
      <c r="BE17" s="90"/>
      <c r="BF17" s="90"/>
      <c r="BG17" s="90"/>
    </row>
    <row r="18" ht="12.75" customHeight="1">
      <c r="B18" s="90"/>
      <c r="C18" s="90" t="s">
        <v>1174</v>
      </c>
      <c r="D18" s="90"/>
      <c r="E18" s="90"/>
      <c r="F18" s="90"/>
      <c r="G18" s="90"/>
      <c r="H18" s="90"/>
      <c r="I18" s="90"/>
      <c r="J18" s="177">
        <f t="shared" ref="J18:AV18" si="13">J382</f>
        <v>460003.59</v>
      </c>
      <c r="K18" s="177">
        <f t="shared" si="13"/>
        <v>665766.36</v>
      </c>
      <c r="L18" s="177">
        <f t="shared" si="13"/>
        <v>659709.368</v>
      </c>
      <c r="M18" s="177">
        <f t="shared" si="13"/>
        <v>665940.3757</v>
      </c>
      <c r="N18" s="177">
        <f t="shared" si="13"/>
        <v>671390.3628</v>
      </c>
      <c r="O18" s="177">
        <f t="shared" si="13"/>
        <v>681378.57</v>
      </c>
      <c r="P18" s="177">
        <f t="shared" si="13"/>
        <v>693554.3895</v>
      </c>
      <c r="Q18" s="177">
        <f t="shared" si="13"/>
        <v>707409.4772</v>
      </c>
      <c r="R18" s="177">
        <f t="shared" si="13"/>
        <v>728383.9647</v>
      </c>
      <c r="S18" s="177">
        <f t="shared" si="13"/>
        <v>742935.644</v>
      </c>
      <c r="T18" s="177">
        <f t="shared" si="13"/>
        <v>757778.3569</v>
      </c>
      <c r="U18" s="177">
        <f t="shared" si="13"/>
        <v>772917.924</v>
      </c>
      <c r="V18" s="177">
        <f t="shared" si="13"/>
        <v>788360.2825</v>
      </c>
      <c r="W18" s="177">
        <f t="shared" si="13"/>
        <v>804111.4882</v>
      </c>
      <c r="X18" s="177">
        <f t="shared" si="13"/>
        <v>820177.7179</v>
      </c>
      <c r="Y18" s="177">
        <f t="shared" si="13"/>
        <v>836565.2723</v>
      </c>
      <c r="Z18" s="177">
        <f t="shared" si="13"/>
        <v>853280.5777</v>
      </c>
      <c r="AA18" s="177">
        <f t="shared" si="13"/>
        <v>870330.1893</v>
      </c>
      <c r="AB18" s="177">
        <f t="shared" si="13"/>
        <v>887720.7931</v>
      </c>
      <c r="AC18" s="177">
        <f t="shared" si="13"/>
        <v>905459.2089</v>
      </c>
      <c r="AD18" s="177">
        <f t="shared" si="13"/>
        <v>923552.3931</v>
      </c>
      <c r="AE18" s="177">
        <f t="shared" si="13"/>
        <v>942007.441</v>
      </c>
      <c r="AF18" s="177">
        <f t="shared" si="13"/>
        <v>960831.5898</v>
      </c>
      <c r="AG18" s="177">
        <f t="shared" si="13"/>
        <v>980032.2216</v>
      </c>
      <c r="AH18" s="177">
        <f t="shared" si="13"/>
        <v>999616.866</v>
      </c>
      <c r="AI18" s="177">
        <f t="shared" si="13"/>
        <v>1019593.203</v>
      </c>
      <c r="AJ18" s="177">
        <f t="shared" si="13"/>
        <v>1039969.067</v>
      </c>
      <c r="AK18" s="177">
        <f t="shared" si="13"/>
        <v>1060752.449</v>
      </c>
      <c r="AL18" s="177">
        <f t="shared" si="13"/>
        <v>1081951.498</v>
      </c>
      <c r="AM18" s="177">
        <f t="shared" si="13"/>
        <v>1103574.528</v>
      </c>
      <c r="AN18" s="177">
        <f t="shared" si="13"/>
        <v>1125630.018</v>
      </c>
      <c r="AO18" s="177">
        <f t="shared" si="13"/>
        <v>1148126.619</v>
      </c>
      <c r="AP18" s="177">
        <f t="shared" si="13"/>
        <v>1171073.151</v>
      </c>
      <c r="AQ18" s="177">
        <f t="shared" si="13"/>
        <v>1194478.614</v>
      </c>
      <c r="AR18" s="177">
        <f t="shared" si="13"/>
        <v>1218352.186</v>
      </c>
      <c r="AS18" s="177">
        <f t="shared" si="13"/>
        <v>1242703.23</v>
      </c>
      <c r="AT18" s="177">
        <f t="shared" si="13"/>
        <v>1267541.295</v>
      </c>
      <c r="AU18" s="177">
        <f t="shared" si="13"/>
        <v>1292876.12</v>
      </c>
      <c r="AV18" s="177">
        <f t="shared" si="13"/>
        <v>1318717.643</v>
      </c>
      <c r="AW18" s="67"/>
      <c r="AX18" s="90"/>
      <c r="AY18" s="90"/>
      <c r="AZ18" s="90"/>
      <c r="BA18" s="90"/>
      <c r="BB18" s="90"/>
      <c r="BC18" s="90"/>
      <c r="BD18" s="90"/>
      <c r="BE18" s="90"/>
      <c r="BF18" s="90"/>
      <c r="BG18" s="90"/>
    </row>
    <row r="19" ht="12.75" customHeight="1">
      <c r="B19" s="90"/>
      <c r="C19" s="90" t="s">
        <v>1175</v>
      </c>
      <c r="D19" s="90"/>
      <c r="E19" s="90"/>
      <c r="F19" s="90"/>
      <c r="G19" s="90"/>
      <c r="H19" s="90"/>
      <c r="I19" s="90"/>
      <c r="J19" s="177">
        <f t="shared" ref="J19:AV19" si="14">J386+J389+J390-SUM(J16:J18)-J20</f>
        <v>428972.13</v>
      </c>
      <c r="K19" s="177">
        <f t="shared" si="14"/>
        <v>311153.3</v>
      </c>
      <c r="L19" s="177">
        <f t="shared" si="14"/>
        <v>295493.0635</v>
      </c>
      <c r="M19" s="177">
        <f t="shared" si="14"/>
        <v>300945.3307</v>
      </c>
      <c r="N19" s="177">
        <f t="shared" si="14"/>
        <v>466334.9474</v>
      </c>
      <c r="O19" s="177">
        <f t="shared" si="14"/>
        <v>475373.8539</v>
      </c>
      <c r="P19" s="177">
        <f t="shared" si="14"/>
        <v>803891.0386</v>
      </c>
      <c r="Q19" s="177">
        <f t="shared" si="14"/>
        <v>818608.6984</v>
      </c>
      <c r="R19" s="177">
        <f t="shared" si="14"/>
        <v>858255.7477</v>
      </c>
      <c r="S19" s="177">
        <f t="shared" si="14"/>
        <v>876592.0911</v>
      </c>
      <c r="T19" s="177">
        <f t="shared" si="14"/>
        <v>895306.5122</v>
      </c>
      <c r="U19" s="177">
        <f t="shared" si="14"/>
        <v>914406.6862</v>
      </c>
      <c r="V19" s="177">
        <f t="shared" si="14"/>
        <v>933900.4427</v>
      </c>
      <c r="W19" s="177">
        <f t="shared" si="14"/>
        <v>953795.7692</v>
      </c>
      <c r="X19" s="177">
        <f t="shared" si="14"/>
        <v>974100.8141</v>
      </c>
      <c r="Y19" s="177">
        <f t="shared" si="14"/>
        <v>994823.8897</v>
      </c>
      <c r="Z19" s="177">
        <f t="shared" si="14"/>
        <v>1015973.476</v>
      </c>
      <c r="AA19" s="177">
        <f t="shared" si="14"/>
        <v>1037558.224</v>
      </c>
      <c r="AB19" s="177">
        <f t="shared" si="14"/>
        <v>1059586.958</v>
      </c>
      <c r="AC19" s="177">
        <f t="shared" si="14"/>
        <v>1082068.681</v>
      </c>
      <c r="AD19" s="177">
        <f t="shared" si="14"/>
        <v>1105012.577</v>
      </c>
      <c r="AE19" s="177">
        <f t="shared" si="14"/>
        <v>1128428.015</v>
      </c>
      <c r="AF19" s="177">
        <f t="shared" si="14"/>
        <v>1152324.553</v>
      </c>
      <c r="AG19" s="177">
        <f t="shared" si="14"/>
        <v>1176711.939</v>
      </c>
      <c r="AH19" s="177">
        <f t="shared" si="14"/>
        <v>1201600.12</v>
      </c>
      <c r="AI19" s="177">
        <f t="shared" si="14"/>
        <v>1226999.244</v>
      </c>
      <c r="AJ19" s="177">
        <f t="shared" si="14"/>
        <v>1252919.659</v>
      </c>
      <c r="AK19" s="177">
        <f t="shared" si="14"/>
        <v>1279371.926</v>
      </c>
      <c r="AL19" s="177">
        <f t="shared" si="14"/>
        <v>1306366.816</v>
      </c>
      <c r="AM19" s="177">
        <f t="shared" si="14"/>
        <v>1333915.316</v>
      </c>
      <c r="AN19" s="177">
        <f t="shared" si="14"/>
        <v>1362028.637</v>
      </c>
      <c r="AO19" s="177">
        <f t="shared" si="14"/>
        <v>1390718.213</v>
      </c>
      <c r="AP19" s="177">
        <f t="shared" si="14"/>
        <v>1419995.709</v>
      </c>
      <c r="AQ19" s="177">
        <f t="shared" si="14"/>
        <v>1449873.025</v>
      </c>
      <c r="AR19" s="177">
        <f t="shared" si="14"/>
        <v>1480362.299</v>
      </c>
      <c r="AS19" s="177">
        <f t="shared" si="14"/>
        <v>1511475.917</v>
      </c>
      <c r="AT19" s="177">
        <f t="shared" si="14"/>
        <v>1543226.508</v>
      </c>
      <c r="AU19" s="177">
        <f t="shared" si="14"/>
        <v>1575626.961</v>
      </c>
      <c r="AV19" s="177">
        <f t="shared" si="14"/>
        <v>1608690.421</v>
      </c>
      <c r="AW19" s="67"/>
      <c r="AX19" s="90"/>
      <c r="AY19" s="90"/>
      <c r="AZ19" s="90"/>
      <c r="BA19" s="90"/>
      <c r="BB19" s="90"/>
      <c r="BC19" s="90"/>
      <c r="BD19" s="90"/>
      <c r="BE19" s="90"/>
      <c r="BF19" s="90"/>
      <c r="BG19" s="90"/>
    </row>
    <row r="20" ht="12.75" customHeight="1">
      <c r="B20" s="90"/>
      <c r="C20" s="90" t="s">
        <v>465</v>
      </c>
      <c r="D20" s="90"/>
      <c r="E20" s="90"/>
      <c r="F20" s="90"/>
      <c r="G20" s="90"/>
      <c r="H20" s="90"/>
      <c r="I20" s="90"/>
      <c r="J20" s="177">
        <f t="shared" ref="J20:AV20" si="15">J363</f>
        <v>44042.09</v>
      </c>
      <c r="K20" s="177">
        <f t="shared" si="15"/>
        <v>1497.16</v>
      </c>
      <c r="L20" s="177">
        <f t="shared" si="15"/>
        <v>1497.16</v>
      </c>
      <c r="M20" s="177">
        <f t="shared" si="15"/>
        <v>1497.16</v>
      </c>
      <c r="N20" s="177">
        <f t="shared" si="15"/>
        <v>1497.165</v>
      </c>
      <c r="O20" s="177">
        <f t="shared" si="15"/>
        <v>1497.165</v>
      </c>
      <c r="P20" s="177">
        <f t="shared" si="15"/>
        <v>0</v>
      </c>
      <c r="Q20" s="177">
        <f t="shared" si="15"/>
        <v>0</v>
      </c>
      <c r="R20" s="177">
        <f t="shared" si="15"/>
        <v>0</v>
      </c>
      <c r="S20" s="177">
        <f t="shared" si="15"/>
        <v>0</v>
      </c>
      <c r="T20" s="177">
        <f t="shared" si="15"/>
        <v>0</v>
      </c>
      <c r="U20" s="177">
        <f t="shared" si="15"/>
        <v>0</v>
      </c>
      <c r="V20" s="177">
        <f t="shared" si="15"/>
        <v>0</v>
      </c>
      <c r="W20" s="177">
        <f t="shared" si="15"/>
        <v>0</v>
      </c>
      <c r="X20" s="177">
        <f t="shared" si="15"/>
        <v>0</v>
      </c>
      <c r="Y20" s="177">
        <f t="shared" si="15"/>
        <v>0</v>
      </c>
      <c r="Z20" s="177">
        <f t="shared" si="15"/>
        <v>0</v>
      </c>
      <c r="AA20" s="177">
        <f t="shared" si="15"/>
        <v>0</v>
      </c>
      <c r="AB20" s="177">
        <f t="shared" si="15"/>
        <v>0</v>
      </c>
      <c r="AC20" s="177">
        <f t="shared" si="15"/>
        <v>0</v>
      </c>
      <c r="AD20" s="177">
        <f t="shared" si="15"/>
        <v>0</v>
      </c>
      <c r="AE20" s="177">
        <f t="shared" si="15"/>
        <v>0</v>
      </c>
      <c r="AF20" s="177">
        <f t="shared" si="15"/>
        <v>0</v>
      </c>
      <c r="AG20" s="177">
        <f t="shared" si="15"/>
        <v>0</v>
      </c>
      <c r="AH20" s="177">
        <f t="shared" si="15"/>
        <v>0</v>
      </c>
      <c r="AI20" s="177">
        <f t="shared" si="15"/>
        <v>0</v>
      </c>
      <c r="AJ20" s="177">
        <f t="shared" si="15"/>
        <v>0</v>
      </c>
      <c r="AK20" s="177">
        <f t="shared" si="15"/>
        <v>0</v>
      </c>
      <c r="AL20" s="177">
        <f t="shared" si="15"/>
        <v>0</v>
      </c>
      <c r="AM20" s="177">
        <f t="shared" si="15"/>
        <v>0</v>
      </c>
      <c r="AN20" s="177">
        <f t="shared" si="15"/>
        <v>0</v>
      </c>
      <c r="AO20" s="177">
        <f t="shared" si="15"/>
        <v>0</v>
      </c>
      <c r="AP20" s="177">
        <f t="shared" si="15"/>
        <v>0</v>
      </c>
      <c r="AQ20" s="177">
        <f t="shared" si="15"/>
        <v>0</v>
      </c>
      <c r="AR20" s="177">
        <f t="shared" si="15"/>
        <v>0</v>
      </c>
      <c r="AS20" s="177">
        <f t="shared" si="15"/>
        <v>0</v>
      </c>
      <c r="AT20" s="177">
        <f t="shared" si="15"/>
        <v>0</v>
      </c>
      <c r="AU20" s="177">
        <f t="shared" si="15"/>
        <v>0</v>
      </c>
      <c r="AV20" s="177">
        <f t="shared" si="15"/>
        <v>0</v>
      </c>
      <c r="AW20" s="67"/>
      <c r="AX20" s="90"/>
      <c r="AY20" s="90"/>
      <c r="AZ20" s="90"/>
      <c r="BA20" s="90"/>
      <c r="BB20" s="90"/>
      <c r="BC20" s="90"/>
      <c r="BD20" s="90"/>
      <c r="BE20" s="90"/>
      <c r="BF20" s="90"/>
      <c r="BG20" s="90"/>
    </row>
    <row r="21" ht="12.75" customHeight="1">
      <c r="B21" s="90"/>
      <c r="C21" s="87" t="s">
        <v>1176</v>
      </c>
      <c r="D21" s="87"/>
      <c r="E21" s="87"/>
      <c r="F21" s="87"/>
      <c r="G21" s="87"/>
      <c r="H21" s="87"/>
      <c r="I21" s="87"/>
      <c r="J21" s="204">
        <f>SUM(J392:J394)</f>
        <v>59677.25</v>
      </c>
      <c r="K21" s="204">
        <f t="shared" ref="K21:AV21" si="16">SUM(K392:K395)</f>
        <v>8361.63</v>
      </c>
      <c r="L21" s="204">
        <f t="shared" si="16"/>
        <v>105169.8566</v>
      </c>
      <c r="M21" s="204" t="str">
        <f t="shared" si="16"/>
        <v>#REF!</v>
      </c>
      <c r="N21" s="204" t="str">
        <f t="shared" si="16"/>
        <v>#REF!</v>
      </c>
      <c r="O21" s="204" t="str">
        <f t="shared" si="16"/>
        <v>#REF!</v>
      </c>
      <c r="P21" s="204" t="str">
        <f t="shared" si="16"/>
        <v>#REF!</v>
      </c>
      <c r="Q21" s="204" t="str">
        <f t="shared" si="16"/>
        <v>#REF!</v>
      </c>
      <c r="R21" s="204" t="str">
        <f t="shared" si="16"/>
        <v>#REF!</v>
      </c>
      <c r="S21" s="204" t="str">
        <f t="shared" si="16"/>
        <v>#REF!</v>
      </c>
      <c r="T21" s="204" t="str">
        <f t="shared" si="16"/>
        <v>#REF!</v>
      </c>
      <c r="U21" s="204" t="str">
        <f t="shared" si="16"/>
        <v>#REF!</v>
      </c>
      <c r="V21" s="204" t="str">
        <f t="shared" si="16"/>
        <v>#REF!</v>
      </c>
      <c r="W21" s="204" t="str">
        <f t="shared" si="16"/>
        <v>#REF!</v>
      </c>
      <c r="X21" s="204" t="str">
        <f t="shared" si="16"/>
        <v>#REF!</v>
      </c>
      <c r="Y21" s="204" t="str">
        <f t="shared" si="16"/>
        <v>#REF!</v>
      </c>
      <c r="Z21" s="204" t="str">
        <f t="shared" si="16"/>
        <v>#REF!</v>
      </c>
      <c r="AA21" s="204" t="str">
        <f t="shared" si="16"/>
        <v>#REF!</v>
      </c>
      <c r="AB21" s="204" t="str">
        <f t="shared" si="16"/>
        <v>#REF!</v>
      </c>
      <c r="AC21" s="204" t="str">
        <f t="shared" si="16"/>
        <v>#REF!</v>
      </c>
      <c r="AD21" s="204" t="str">
        <f t="shared" si="16"/>
        <v>#REF!</v>
      </c>
      <c r="AE21" s="204" t="str">
        <f t="shared" si="16"/>
        <v>#REF!</v>
      </c>
      <c r="AF21" s="204" t="str">
        <f t="shared" si="16"/>
        <v>#REF!</v>
      </c>
      <c r="AG21" s="204" t="str">
        <f t="shared" si="16"/>
        <v>#REF!</v>
      </c>
      <c r="AH21" s="204" t="str">
        <f t="shared" si="16"/>
        <v>#REF!</v>
      </c>
      <c r="AI21" s="204" t="str">
        <f t="shared" si="16"/>
        <v>#REF!</v>
      </c>
      <c r="AJ21" s="204" t="str">
        <f t="shared" si="16"/>
        <v>#REF!</v>
      </c>
      <c r="AK21" s="204" t="str">
        <f t="shared" si="16"/>
        <v>#REF!</v>
      </c>
      <c r="AL21" s="204" t="str">
        <f t="shared" si="16"/>
        <v>#REF!</v>
      </c>
      <c r="AM21" s="204" t="str">
        <f t="shared" si="16"/>
        <v>#REF!</v>
      </c>
      <c r="AN21" s="204" t="str">
        <f t="shared" si="16"/>
        <v>#REF!</v>
      </c>
      <c r="AO21" s="204" t="str">
        <f t="shared" si="16"/>
        <v>#REF!</v>
      </c>
      <c r="AP21" s="204" t="str">
        <f t="shared" si="16"/>
        <v>#REF!</v>
      </c>
      <c r="AQ21" s="204" t="str">
        <f t="shared" si="16"/>
        <v>#REF!</v>
      </c>
      <c r="AR21" s="204" t="str">
        <f t="shared" si="16"/>
        <v>#REF!</v>
      </c>
      <c r="AS21" s="204" t="str">
        <f t="shared" si="16"/>
        <v>#REF!</v>
      </c>
      <c r="AT21" s="204" t="str">
        <f t="shared" si="16"/>
        <v>#REF!</v>
      </c>
      <c r="AU21" s="204" t="str">
        <f t="shared" si="16"/>
        <v>#REF!</v>
      </c>
      <c r="AV21" s="204" t="str">
        <f t="shared" si="16"/>
        <v>#REF!</v>
      </c>
      <c r="AW21" s="67"/>
      <c r="AX21" s="90"/>
      <c r="AY21" s="90"/>
      <c r="AZ21" s="90"/>
      <c r="BA21" s="90"/>
      <c r="BB21" s="90"/>
      <c r="BC21" s="90"/>
      <c r="BD21" s="90"/>
      <c r="BE21" s="90"/>
      <c r="BF21" s="90"/>
      <c r="BG21" s="90"/>
    </row>
    <row r="22" ht="12.75" customHeight="1">
      <c r="A22" s="67"/>
      <c r="B22" s="67" t="s">
        <v>231</v>
      </c>
      <c r="C22" s="67"/>
      <c r="D22" s="67"/>
      <c r="E22" s="67"/>
      <c r="F22" s="67"/>
      <c r="G22" s="67"/>
      <c r="H22" s="67"/>
      <c r="I22" s="67"/>
      <c r="J22" s="205">
        <f t="shared" ref="J22:AV22" si="17">SUM(J14:J21)</f>
        <v>2885210.29</v>
      </c>
      <c r="K22" s="205" t="str">
        <f t="shared" si="17"/>
        <v>#REF!</v>
      </c>
      <c r="L22" s="205" t="str">
        <f t="shared" si="17"/>
        <v>#REF!</v>
      </c>
      <c r="M22" s="205" t="str">
        <f t="shared" si="17"/>
        <v>#REF!</v>
      </c>
      <c r="N22" s="205" t="str">
        <f t="shared" si="17"/>
        <v>#REF!</v>
      </c>
      <c r="O22" s="205" t="str">
        <f t="shared" si="17"/>
        <v>#REF!</v>
      </c>
      <c r="P22" s="205" t="str">
        <f t="shared" si="17"/>
        <v>#REF!</v>
      </c>
      <c r="Q22" s="205" t="str">
        <f t="shared" si="17"/>
        <v>#REF!</v>
      </c>
      <c r="R22" s="205" t="str">
        <f t="shared" si="17"/>
        <v>#REF!</v>
      </c>
      <c r="S22" s="205" t="str">
        <f t="shared" si="17"/>
        <v>#REF!</v>
      </c>
      <c r="T22" s="205" t="str">
        <f t="shared" si="17"/>
        <v>#REF!</v>
      </c>
      <c r="U22" s="205" t="str">
        <f t="shared" si="17"/>
        <v>#REF!</v>
      </c>
      <c r="V22" s="205" t="str">
        <f t="shared" si="17"/>
        <v>#REF!</v>
      </c>
      <c r="W22" s="205" t="str">
        <f t="shared" si="17"/>
        <v>#REF!</v>
      </c>
      <c r="X22" s="205" t="str">
        <f t="shared" si="17"/>
        <v>#REF!</v>
      </c>
      <c r="Y22" s="205" t="str">
        <f t="shared" si="17"/>
        <v>#REF!</v>
      </c>
      <c r="Z22" s="205" t="str">
        <f t="shared" si="17"/>
        <v>#REF!</v>
      </c>
      <c r="AA22" s="205" t="str">
        <f t="shared" si="17"/>
        <v>#REF!</v>
      </c>
      <c r="AB22" s="205" t="str">
        <f t="shared" si="17"/>
        <v>#REF!</v>
      </c>
      <c r="AC22" s="205" t="str">
        <f t="shared" si="17"/>
        <v>#REF!</v>
      </c>
      <c r="AD22" s="205" t="str">
        <f t="shared" si="17"/>
        <v>#REF!</v>
      </c>
      <c r="AE22" s="205" t="str">
        <f t="shared" si="17"/>
        <v>#REF!</v>
      </c>
      <c r="AF22" s="205" t="str">
        <f t="shared" si="17"/>
        <v>#REF!</v>
      </c>
      <c r="AG22" s="205" t="str">
        <f t="shared" si="17"/>
        <v>#REF!</v>
      </c>
      <c r="AH22" s="205" t="str">
        <f t="shared" si="17"/>
        <v>#REF!</v>
      </c>
      <c r="AI22" s="205" t="str">
        <f t="shared" si="17"/>
        <v>#REF!</v>
      </c>
      <c r="AJ22" s="205" t="str">
        <f t="shared" si="17"/>
        <v>#REF!</v>
      </c>
      <c r="AK22" s="205" t="str">
        <f t="shared" si="17"/>
        <v>#REF!</v>
      </c>
      <c r="AL22" s="205" t="str">
        <f t="shared" si="17"/>
        <v>#REF!</v>
      </c>
      <c r="AM22" s="205" t="str">
        <f t="shared" si="17"/>
        <v>#REF!</v>
      </c>
      <c r="AN22" s="205" t="str">
        <f t="shared" si="17"/>
        <v>#REF!</v>
      </c>
      <c r="AO22" s="205" t="str">
        <f t="shared" si="17"/>
        <v>#REF!</v>
      </c>
      <c r="AP22" s="205" t="str">
        <f t="shared" si="17"/>
        <v>#REF!</v>
      </c>
      <c r="AQ22" s="205" t="str">
        <f t="shared" si="17"/>
        <v>#REF!</v>
      </c>
      <c r="AR22" s="205" t="str">
        <f t="shared" si="17"/>
        <v>#REF!</v>
      </c>
      <c r="AS22" s="205" t="str">
        <f t="shared" si="17"/>
        <v>#REF!</v>
      </c>
      <c r="AT22" s="205" t="str">
        <f t="shared" si="17"/>
        <v>#REF!</v>
      </c>
      <c r="AU22" s="205" t="str">
        <f t="shared" si="17"/>
        <v>#REF!</v>
      </c>
      <c r="AV22" s="205" t="str">
        <f t="shared" si="17"/>
        <v>#REF!</v>
      </c>
      <c r="AW22" s="67"/>
      <c r="AX22" s="67"/>
      <c r="AY22" s="67"/>
      <c r="AZ22" s="67"/>
      <c r="BA22" s="67"/>
      <c r="BB22" s="67"/>
      <c r="BC22" s="67"/>
      <c r="BD22" s="67"/>
      <c r="BE22" s="67"/>
      <c r="BF22" s="67"/>
      <c r="BG22" s="67"/>
    </row>
    <row r="23" ht="12.75" customHeight="1">
      <c r="B23" s="90"/>
      <c r="C23" s="90"/>
      <c r="D23" s="90"/>
      <c r="E23" s="90"/>
      <c r="F23" s="90"/>
      <c r="G23" s="90"/>
      <c r="H23" s="90"/>
      <c r="I23" s="90"/>
      <c r="J23" s="63"/>
      <c r="K23" s="63"/>
      <c r="L23" s="63"/>
      <c r="M23" s="63"/>
      <c r="N23" s="513"/>
      <c r="O23" s="513"/>
      <c r="P23" s="513"/>
      <c r="Q23" s="513"/>
      <c r="R23" s="513"/>
      <c r="S23" s="513"/>
      <c r="T23" s="513"/>
      <c r="U23" s="513"/>
      <c r="V23" s="513"/>
      <c r="W23" s="513"/>
      <c r="X23" s="513"/>
      <c r="Y23" s="513"/>
      <c r="Z23" s="513"/>
      <c r="AA23" s="513"/>
      <c r="AB23" s="513"/>
      <c r="AC23" s="513"/>
      <c r="AD23" s="513"/>
      <c r="AE23" s="513"/>
      <c r="AF23" s="513"/>
      <c r="AG23" s="513"/>
      <c r="AH23" s="513"/>
      <c r="AI23" s="513"/>
      <c r="AJ23" s="513"/>
      <c r="AK23" s="513"/>
      <c r="AL23" s="513"/>
      <c r="AM23" s="513"/>
      <c r="AN23" s="513"/>
      <c r="AO23" s="513"/>
      <c r="AP23" s="513"/>
      <c r="AQ23" s="513"/>
      <c r="AR23" s="513"/>
      <c r="AS23" s="513"/>
      <c r="AT23" s="513"/>
      <c r="AU23" s="513"/>
      <c r="AV23" s="513"/>
      <c r="AW23" s="67"/>
      <c r="AX23" s="90"/>
      <c r="AY23" s="90"/>
      <c r="AZ23" s="90"/>
      <c r="BA23" s="90"/>
      <c r="BB23" s="90"/>
      <c r="BC23" s="90"/>
      <c r="BD23" s="90"/>
      <c r="BE23" s="90"/>
      <c r="BF23" s="90"/>
      <c r="BG23" s="90"/>
    </row>
    <row r="24" ht="12.75" customHeight="1">
      <c r="B24" s="67" t="s">
        <v>194</v>
      </c>
      <c r="C24" s="90"/>
      <c r="D24" s="90"/>
      <c r="E24" s="90"/>
      <c r="F24" s="90"/>
      <c r="G24" s="90"/>
      <c r="H24" s="90"/>
      <c r="I24" s="90"/>
      <c r="J24" s="115">
        <f t="shared" ref="J24:AV24" si="18">J11-J22</f>
        <v>217501.51</v>
      </c>
      <c r="K24" s="115" t="str">
        <f t="shared" si="18"/>
        <v>#REF!</v>
      </c>
      <c r="L24" s="115" t="str">
        <f t="shared" si="18"/>
        <v>#REF!</v>
      </c>
      <c r="M24" s="115" t="str">
        <f t="shared" si="18"/>
        <v>#REF!</v>
      </c>
      <c r="N24" s="115" t="str">
        <f t="shared" si="18"/>
        <v>#REF!</v>
      </c>
      <c r="O24" s="115" t="str">
        <f t="shared" si="18"/>
        <v>#REF!</v>
      </c>
      <c r="P24" s="115" t="str">
        <f t="shared" si="18"/>
        <v>#REF!</v>
      </c>
      <c r="Q24" s="115" t="str">
        <f t="shared" si="18"/>
        <v>#REF!</v>
      </c>
      <c r="R24" s="115" t="str">
        <f t="shared" si="18"/>
        <v>#REF!</v>
      </c>
      <c r="S24" s="115" t="str">
        <f t="shared" si="18"/>
        <v>#REF!</v>
      </c>
      <c r="T24" s="115" t="str">
        <f t="shared" si="18"/>
        <v>#REF!</v>
      </c>
      <c r="U24" s="115" t="str">
        <f t="shared" si="18"/>
        <v>#REF!</v>
      </c>
      <c r="V24" s="115" t="str">
        <f t="shared" si="18"/>
        <v>#REF!</v>
      </c>
      <c r="W24" s="115" t="str">
        <f t="shared" si="18"/>
        <v>#REF!</v>
      </c>
      <c r="X24" s="115" t="str">
        <f t="shared" si="18"/>
        <v>#REF!</v>
      </c>
      <c r="Y24" s="115" t="str">
        <f t="shared" si="18"/>
        <v>#REF!</v>
      </c>
      <c r="Z24" s="115" t="str">
        <f t="shared" si="18"/>
        <v>#REF!</v>
      </c>
      <c r="AA24" s="115" t="str">
        <f t="shared" si="18"/>
        <v>#REF!</v>
      </c>
      <c r="AB24" s="115" t="str">
        <f t="shared" si="18"/>
        <v>#REF!</v>
      </c>
      <c r="AC24" s="115" t="str">
        <f t="shared" si="18"/>
        <v>#REF!</v>
      </c>
      <c r="AD24" s="115" t="str">
        <f t="shared" si="18"/>
        <v>#REF!</v>
      </c>
      <c r="AE24" s="115" t="str">
        <f t="shared" si="18"/>
        <v>#REF!</v>
      </c>
      <c r="AF24" s="115" t="str">
        <f t="shared" si="18"/>
        <v>#REF!</v>
      </c>
      <c r="AG24" s="115" t="str">
        <f t="shared" si="18"/>
        <v>#REF!</v>
      </c>
      <c r="AH24" s="115" t="str">
        <f t="shared" si="18"/>
        <v>#REF!</v>
      </c>
      <c r="AI24" s="115" t="str">
        <f t="shared" si="18"/>
        <v>#REF!</v>
      </c>
      <c r="AJ24" s="115" t="str">
        <f t="shared" si="18"/>
        <v>#REF!</v>
      </c>
      <c r="AK24" s="115" t="str">
        <f t="shared" si="18"/>
        <v>#REF!</v>
      </c>
      <c r="AL24" s="115" t="str">
        <f t="shared" si="18"/>
        <v>#REF!</v>
      </c>
      <c r="AM24" s="115" t="str">
        <f t="shared" si="18"/>
        <v>#REF!</v>
      </c>
      <c r="AN24" s="115" t="str">
        <f t="shared" si="18"/>
        <v>#REF!</v>
      </c>
      <c r="AO24" s="115" t="str">
        <f t="shared" si="18"/>
        <v>#REF!</v>
      </c>
      <c r="AP24" s="115" t="str">
        <f t="shared" si="18"/>
        <v>#REF!</v>
      </c>
      <c r="AQ24" s="115" t="str">
        <f t="shared" si="18"/>
        <v>#REF!</v>
      </c>
      <c r="AR24" s="115" t="str">
        <f t="shared" si="18"/>
        <v>#REF!</v>
      </c>
      <c r="AS24" s="115" t="str">
        <f t="shared" si="18"/>
        <v>#REF!</v>
      </c>
      <c r="AT24" s="115" t="str">
        <f t="shared" si="18"/>
        <v>#REF!</v>
      </c>
      <c r="AU24" s="115" t="str">
        <f t="shared" si="18"/>
        <v>#REF!</v>
      </c>
      <c r="AV24" s="115" t="str">
        <f t="shared" si="18"/>
        <v>#REF!</v>
      </c>
      <c r="AW24" s="67"/>
      <c r="AX24" s="90"/>
      <c r="AY24" s="90"/>
      <c r="AZ24" s="90"/>
      <c r="BA24" s="90"/>
      <c r="BB24" s="90"/>
      <c r="BC24" s="90"/>
      <c r="BD24" s="90"/>
      <c r="BE24" s="90"/>
      <c r="BF24" s="90"/>
      <c r="BG24" s="90"/>
    </row>
    <row r="25" ht="12.75" customHeight="1">
      <c r="B25" s="67"/>
      <c r="C25" s="67" t="s">
        <v>195</v>
      </c>
      <c r="D25" s="90"/>
      <c r="E25" s="90"/>
      <c r="F25" s="90"/>
      <c r="G25" s="90"/>
      <c r="H25" s="90"/>
      <c r="I25" s="90"/>
      <c r="J25" s="115">
        <f>J484</f>
        <v>150162.51</v>
      </c>
      <c r="K25" s="115" t="str">
        <f t="shared" ref="K25:AV25" si="19">K24+J25</f>
        <v>#REF!</v>
      </c>
      <c r="L25" s="115" t="str">
        <f t="shared" si="19"/>
        <v>#REF!</v>
      </c>
      <c r="M25" s="115" t="str">
        <f t="shared" si="19"/>
        <v>#REF!</v>
      </c>
      <c r="N25" s="115" t="str">
        <f t="shared" si="19"/>
        <v>#REF!</v>
      </c>
      <c r="O25" s="115" t="str">
        <f t="shared" si="19"/>
        <v>#REF!</v>
      </c>
      <c r="P25" s="115" t="str">
        <f t="shared" si="19"/>
        <v>#REF!</v>
      </c>
      <c r="Q25" s="115" t="str">
        <f t="shared" si="19"/>
        <v>#REF!</v>
      </c>
      <c r="R25" s="115" t="str">
        <f t="shared" si="19"/>
        <v>#REF!</v>
      </c>
      <c r="S25" s="115" t="str">
        <f t="shared" si="19"/>
        <v>#REF!</v>
      </c>
      <c r="T25" s="115" t="str">
        <f t="shared" si="19"/>
        <v>#REF!</v>
      </c>
      <c r="U25" s="115" t="str">
        <f t="shared" si="19"/>
        <v>#REF!</v>
      </c>
      <c r="V25" s="115" t="str">
        <f t="shared" si="19"/>
        <v>#REF!</v>
      </c>
      <c r="W25" s="115" t="str">
        <f t="shared" si="19"/>
        <v>#REF!</v>
      </c>
      <c r="X25" s="115" t="str">
        <f t="shared" si="19"/>
        <v>#REF!</v>
      </c>
      <c r="Y25" s="115" t="str">
        <f t="shared" si="19"/>
        <v>#REF!</v>
      </c>
      <c r="Z25" s="115" t="str">
        <f t="shared" si="19"/>
        <v>#REF!</v>
      </c>
      <c r="AA25" s="115" t="str">
        <f t="shared" si="19"/>
        <v>#REF!</v>
      </c>
      <c r="AB25" s="115" t="str">
        <f t="shared" si="19"/>
        <v>#REF!</v>
      </c>
      <c r="AC25" s="115" t="str">
        <f t="shared" si="19"/>
        <v>#REF!</v>
      </c>
      <c r="AD25" s="115" t="str">
        <f t="shared" si="19"/>
        <v>#REF!</v>
      </c>
      <c r="AE25" s="115" t="str">
        <f t="shared" si="19"/>
        <v>#REF!</v>
      </c>
      <c r="AF25" s="115" t="str">
        <f t="shared" si="19"/>
        <v>#REF!</v>
      </c>
      <c r="AG25" s="115" t="str">
        <f t="shared" si="19"/>
        <v>#REF!</v>
      </c>
      <c r="AH25" s="115" t="str">
        <f t="shared" si="19"/>
        <v>#REF!</v>
      </c>
      <c r="AI25" s="115" t="str">
        <f t="shared" si="19"/>
        <v>#REF!</v>
      </c>
      <c r="AJ25" s="115" t="str">
        <f t="shared" si="19"/>
        <v>#REF!</v>
      </c>
      <c r="AK25" s="115" t="str">
        <f t="shared" si="19"/>
        <v>#REF!</v>
      </c>
      <c r="AL25" s="115" t="str">
        <f t="shared" si="19"/>
        <v>#REF!</v>
      </c>
      <c r="AM25" s="115" t="str">
        <f t="shared" si="19"/>
        <v>#REF!</v>
      </c>
      <c r="AN25" s="115" t="str">
        <f t="shared" si="19"/>
        <v>#REF!</v>
      </c>
      <c r="AO25" s="115" t="str">
        <f t="shared" si="19"/>
        <v>#REF!</v>
      </c>
      <c r="AP25" s="115" t="str">
        <f t="shared" si="19"/>
        <v>#REF!</v>
      </c>
      <c r="AQ25" s="115" t="str">
        <f t="shared" si="19"/>
        <v>#REF!</v>
      </c>
      <c r="AR25" s="115" t="str">
        <f t="shared" si="19"/>
        <v>#REF!</v>
      </c>
      <c r="AS25" s="115" t="str">
        <f t="shared" si="19"/>
        <v>#REF!</v>
      </c>
      <c r="AT25" s="115" t="str">
        <f t="shared" si="19"/>
        <v>#REF!</v>
      </c>
      <c r="AU25" s="115" t="str">
        <f t="shared" si="19"/>
        <v>#REF!</v>
      </c>
      <c r="AV25" s="115" t="str">
        <f t="shared" si="19"/>
        <v>#REF!</v>
      </c>
      <c r="AW25" s="67"/>
      <c r="AX25" s="90"/>
      <c r="AY25" s="90"/>
      <c r="AZ25" s="90"/>
      <c r="BA25" s="90"/>
      <c r="BB25" s="90"/>
      <c r="BC25" s="90"/>
      <c r="BD25" s="90"/>
      <c r="BE25" s="90"/>
      <c r="BF25" s="90"/>
      <c r="BG25" s="90"/>
    </row>
    <row r="26" ht="12.75" customHeight="1">
      <c r="B26" s="67"/>
      <c r="C26" s="67" t="s">
        <v>1177</v>
      </c>
      <c r="D26" s="90"/>
      <c r="E26" s="90"/>
      <c r="F26" s="90"/>
      <c r="G26" s="90"/>
      <c r="H26" s="90"/>
      <c r="I26" s="90"/>
      <c r="J26" s="187">
        <f t="shared" ref="J26:AV26" si="20">J25/J22</f>
        <v>0.05204560323</v>
      </c>
      <c r="K26" s="187" t="str">
        <f t="shared" si="20"/>
        <v>#REF!</v>
      </c>
      <c r="L26" s="187" t="str">
        <f t="shared" si="20"/>
        <v>#REF!</v>
      </c>
      <c r="M26" s="187" t="str">
        <f t="shared" si="20"/>
        <v>#REF!</v>
      </c>
      <c r="N26" s="187" t="str">
        <f t="shared" si="20"/>
        <v>#REF!</v>
      </c>
      <c r="O26" s="187" t="str">
        <f t="shared" si="20"/>
        <v>#REF!</v>
      </c>
      <c r="P26" s="187" t="str">
        <f t="shared" si="20"/>
        <v>#REF!</v>
      </c>
      <c r="Q26" s="187" t="str">
        <f t="shared" si="20"/>
        <v>#REF!</v>
      </c>
      <c r="R26" s="187" t="str">
        <f t="shared" si="20"/>
        <v>#REF!</v>
      </c>
      <c r="S26" s="187" t="str">
        <f t="shared" si="20"/>
        <v>#REF!</v>
      </c>
      <c r="T26" s="187" t="str">
        <f t="shared" si="20"/>
        <v>#REF!</v>
      </c>
      <c r="U26" s="187" t="str">
        <f t="shared" si="20"/>
        <v>#REF!</v>
      </c>
      <c r="V26" s="187" t="str">
        <f t="shared" si="20"/>
        <v>#REF!</v>
      </c>
      <c r="W26" s="187" t="str">
        <f t="shared" si="20"/>
        <v>#REF!</v>
      </c>
      <c r="X26" s="187" t="str">
        <f t="shared" si="20"/>
        <v>#REF!</v>
      </c>
      <c r="Y26" s="187" t="str">
        <f t="shared" si="20"/>
        <v>#REF!</v>
      </c>
      <c r="Z26" s="187" t="str">
        <f t="shared" si="20"/>
        <v>#REF!</v>
      </c>
      <c r="AA26" s="187" t="str">
        <f t="shared" si="20"/>
        <v>#REF!</v>
      </c>
      <c r="AB26" s="187" t="str">
        <f t="shared" si="20"/>
        <v>#REF!</v>
      </c>
      <c r="AC26" s="187" t="str">
        <f t="shared" si="20"/>
        <v>#REF!</v>
      </c>
      <c r="AD26" s="187" t="str">
        <f t="shared" si="20"/>
        <v>#REF!</v>
      </c>
      <c r="AE26" s="187" t="str">
        <f t="shared" si="20"/>
        <v>#REF!</v>
      </c>
      <c r="AF26" s="187" t="str">
        <f t="shared" si="20"/>
        <v>#REF!</v>
      </c>
      <c r="AG26" s="187" t="str">
        <f t="shared" si="20"/>
        <v>#REF!</v>
      </c>
      <c r="AH26" s="187" t="str">
        <f t="shared" si="20"/>
        <v>#REF!</v>
      </c>
      <c r="AI26" s="187" t="str">
        <f t="shared" si="20"/>
        <v>#REF!</v>
      </c>
      <c r="AJ26" s="187" t="str">
        <f t="shared" si="20"/>
        <v>#REF!</v>
      </c>
      <c r="AK26" s="187" t="str">
        <f t="shared" si="20"/>
        <v>#REF!</v>
      </c>
      <c r="AL26" s="187" t="str">
        <f t="shared" si="20"/>
        <v>#REF!</v>
      </c>
      <c r="AM26" s="187" t="str">
        <f t="shared" si="20"/>
        <v>#REF!</v>
      </c>
      <c r="AN26" s="187" t="str">
        <f t="shared" si="20"/>
        <v>#REF!</v>
      </c>
      <c r="AO26" s="187" t="str">
        <f t="shared" si="20"/>
        <v>#REF!</v>
      </c>
      <c r="AP26" s="187" t="str">
        <f t="shared" si="20"/>
        <v>#REF!</v>
      </c>
      <c r="AQ26" s="187" t="str">
        <f t="shared" si="20"/>
        <v>#REF!</v>
      </c>
      <c r="AR26" s="187" t="str">
        <f t="shared" si="20"/>
        <v>#REF!</v>
      </c>
      <c r="AS26" s="187" t="str">
        <f t="shared" si="20"/>
        <v>#REF!</v>
      </c>
      <c r="AT26" s="187" t="str">
        <f t="shared" si="20"/>
        <v>#REF!</v>
      </c>
      <c r="AU26" s="187" t="str">
        <f t="shared" si="20"/>
        <v>#REF!</v>
      </c>
      <c r="AV26" s="187" t="str">
        <f t="shared" si="20"/>
        <v>#REF!</v>
      </c>
      <c r="AW26" s="67"/>
      <c r="AX26" s="90"/>
      <c r="AY26" s="90"/>
      <c r="AZ26" s="90"/>
      <c r="BA26" s="90"/>
      <c r="BB26" s="90"/>
      <c r="BC26" s="90"/>
      <c r="BD26" s="90"/>
      <c r="BE26" s="90"/>
      <c r="BF26" s="90"/>
      <c r="BG26" s="90"/>
    </row>
    <row r="27" ht="12.75" customHeight="1">
      <c r="A27" s="90"/>
      <c r="B27" s="67"/>
      <c r="C27" s="67"/>
      <c r="D27" s="90"/>
      <c r="E27" s="90"/>
      <c r="F27" s="90"/>
      <c r="G27" s="90"/>
      <c r="H27" s="90"/>
      <c r="I27" s="90"/>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67"/>
      <c r="AX27" s="90"/>
      <c r="AY27" s="90"/>
      <c r="AZ27" s="90"/>
      <c r="BA27" s="90"/>
      <c r="BB27" s="90"/>
      <c r="BC27" s="90"/>
      <c r="BD27" s="90"/>
      <c r="BE27" s="90"/>
      <c r="BF27" s="90"/>
      <c r="BG27" s="90"/>
    </row>
    <row r="28" ht="12.75" customHeight="1">
      <c r="A28" s="67"/>
      <c r="B28" s="67" t="s">
        <v>1178</v>
      </c>
      <c r="C28" s="67"/>
      <c r="D28" s="67"/>
      <c r="E28" s="67"/>
      <c r="F28" s="67"/>
      <c r="G28" s="67"/>
      <c r="H28" s="67"/>
      <c r="I28" s="67"/>
      <c r="J28" s="115">
        <f>J25</f>
        <v>150162.51</v>
      </c>
      <c r="K28" s="115" t="str">
        <f t="shared" ref="K28:AV28" si="21">J28+K24+K395</f>
        <v>#REF!</v>
      </c>
      <c r="L28" s="115" t="str">
        <f t="shared" si="21"/>
        <v>#REF!</v>
      </c>
      <c r="M28" s="115" t="str">
        <f t="shared" si="21"/>
        <v>#REF!</v>
      </c>
      <c r="N28" s="115" t="str">
        <f t="shared" si="21"/>
        <v>#REF!</v>
      </c>
      <c r="O28" s="115" t="str">
        <f t="shared" si="21"/>
        <v>#REF!</v>
      </c>
      <c r="P28" s="115" t="str">
        <f t="shared" si="21"/>
        <v>#REF!</v>
      </c>
      <c r="Q28" s="115" t="str">
        <f t="shared" si="21"/>
        <v>#REF!</v>
      </c>
      <c r="R28" s="115" t="str">
        <f t="shared" si="21"/>
        <v>#REF!</v>
      </c>
      <c r="S28" s="115" t="str">
        <f t="shared" si="21"/>
        <v>#REF!</v>
      </c>
      <c r="T28" s="115" t="str">
        <f t="shared" si="21"/>
        <v>#REF!</v>
      </c>
      <c r="U28" s="115" t="str">
        <f t="shared" si="21"/>
        <v>#REF!</v>
      </c>
      <c r="V28" s="115" t="str">
        <f t="shared" si="21"/>
        <v>#REF!</v>
      </c>
      <c r="W28" s="115" t="str">
        <f t="shared" si="21"/>
        <v>#REF!</v>
      </c>
      <c r="X28" s="115" t="str">
        <f t="shared" si="21"/>
        <v>#REF!</v>
      </c>
      <c r="Y28" s="115" t="str">
        <f t="shared" si="21"/>
        <v>#REF!</v>
      </c>
      <c r="Z28" s="115" t="str">
        <f t="shared" si="21"/>
        <v>#REF!</v>
      </c>
      <c r="AA28" s="115" t="str">
        <f t="shared" si="21"/>
        <v>#REF!</v>
      </c>
      <c r="AB28" s="115" t="str">
        <f t="shared" si="21"/>
        <v>#REF!</v>
      </c>
      <c r="AC28" s="115" t="str">
        <f t="shared" si="21"/>
        <v>#REF!</v>
      </c>
      <c r="AD28" s="115" t="str">
        <f t="shared" si="21"/>
        <v>#REF!</v>
      </c>
      <c r="AE28" s="115" t="str">
        <f t="shared" si="21"/>
        <v>#REF!</v>
      </c>
      <c r="AF28" s="115" t="str">
        <f t="shared" si="21"/>
        <v>#REF!</v>
      </c>
      <c r="AG28" s="115" t="str">
        <f t="shared" si="21"/>
        <v>#REF!</v>
      </c>
      <c r="AH28" s="115" t="str">
        <f t="shared" si="21"/>
        <v>#REF!</v>
      </c>
      <c r="AI28" s="115" t="str">
        <f t="shared" si="21"/>
        <v>#REF!</v>
      </c>
      <c r="AJ28" s="115" t="str">
        <f t="shared" si="21"/>
        <v>#REF!</v>
      </c>
      <c r="AK28" s="115" t="str">
        <f t="shared" si="21"/>
        <v>#REF!</v>
      </c>
      <c r="AL28" s="115" t="str">
        <f t="shared" si="21"/>
        <v>#REF!</v>
      </c>
      <c r="AM28" s="115" t="str">
        <f t="shared" si="21"/>
        <v>#REF!</v>
      </c>
      <c r="AN28" s="115" t="str">
        <f t="shared" si="21"/>
        <v>#REF!</v>
      </c>
      <c r="AO28" s="115" t="str">
        <f t="shared" si="21"/>
        <v>#REF!</v>
      </c>
      <c r="AP28" s="115" t="str">
        <f t="shared" si="21"/>
        <v>#REF!</v>
      </c>
      <c r="AQ28" s="115" t="str">
        <f t="shared" si="21"/>
        <v>#REF!</v>
      </c>
      <c r="AR28" s="115" t="str">
        <f t="shared" si="21"/>
        <v>#REF!</v>
      </c>
      <c r="AS28" s="115" t="str">
        <f t="shared" si="21"/>
        <v>#REF!</v>
      </c>
      <c r="AT28" s="115" t="str">
        <f t="shared" si="21"/>
        <v>#REF!</v>
      </c>
      <c r="AU28" s="115" t="str">
        <f t="shared" si="21"/>
        <v>#REF!</v>
      </c>
      <c r="AV28" s="115" t="str">
        <f t="shared" si="21"/>
        <v>#REF!</v>
      </c>
      <c r="AW28" s="67"/>
      <c r="AX28" s="67"/>
      <c r="AY28" s="67"/>
      <c r="AZ28" s="67"/>
      <c r="BA28" s="67"/>
      <c r="BB28" s="67"/>
      <c r="BC28" s="67"/>
      <c r="BD28" s="67"/>
      <c r="BE28" s="67"/>
      <c r="BF28" s="67"/>
      <c r="BG28" s="67"/>
    </row>
    <row r="29" ht="12.75" customHeight="1">
      <c r="C29" s="67" t="s">
        <v>1177</v>
      </c>
      <c r="J29" s="187">
        <f t="shared" ref="J29:AV29" si="22">J28/J22</f>
        <v>0.05204560323</v>
      </c>
      <c r="K29" s="187" t="str">
        <f t="shared" si="22"/>
        <v>#REF!</v>
      </c>
      <c r="L29" s="187" t="str">
        <f t="shared" si="22"/>
        <v>#REF!</v>
      </c>
      <c r="M29" s="187" t="str">
        <f t="shared" si="22"/>
        <v>#REF!</v>
      </c>
      <c r="N29" s="187" t="str">
        <f t="shared" si="22"/>
        <v>#REF!</v>
      </c>
      <c r="O29" s="187" t="str">
        <f t="shared" si="22"/>
        <v>#REF!</v>
      </c>
      <c r="P29" s="187" t="str">
        <f t="shared" si="22"/>
        <v>#REF!</v>
      </c>
      <c r="Q29" s="187" t="str">
        <f t="shared" si="22"/>
        <v>#REF!</v>
      </c>
      <c r="R29" s="187" t="str">
        <f t="shared" si="22"/>
        <v>#REF!</v>
      </c>
      <c r="S29" s="187" t="str">
        <f t="shared" si="22"/>
        <v>#REF!</v>
      </c>
      <c r="T29" s="187" t="str">
        <f t="shared" si="22"/>
        <v>#REF!</v>
      </c>
      <c r="U29" s="187" t="str">
        <f t="shared" si="22"/>
        <v>#REF!</v>
      </c>
      <c r="V29" s="187" t="str">
        <f t="shared" si="22"/>
        <v>#REF!</v>
      </c>
      <c r="W29" s="187" t="str">
        <f t="shared" si="22"/>
        <v>#REF!</v>
      </c>
      <c r="X29" s="187" t="str">
        <f t="shared" si="22"/>
        <v>#REF!</v>
      </c>
      <c r="Y29" s="187" t="str">
        <f t="shared" si="22"/>
        <v>#REF!</v>
      </c>
      <c r="Z29" s="187" t="str">
        <f t="shared" si="22"/>
        <v>#REF!</v>
      </c>
      <c r="AA29" s="187" t="str">
        <f t="shared" si="22"/>
        <v>#REF!</v>
      </c>
      <c r="AB29" s="187" t="str">
        <f t="shared" si="22"/>
        <v>#REF!</v>
      </c>
      <c r="AC29" s="187" t="str">
        <f t="shared" si="22"/>
        <v>#REF!</v>
      </c>
      <c r="AD29" s="187" t="str">
        <f t="shared" si="22"/>
        <v>#REF!</v>
      </c>
      <c r="AE29" s="187" t="str">
        <f t="shared" si="22"/>
        <v>#REF!</v>
      </c>
      <c r="AF29" s="187" t="str">
        <f t="shared" si="22"/>
        <v>#REF!</v>
      </c>
      <c r="AG29" s="187" t="str">
        <f t="shared" si="22"/>
        <v>#REF!</v>
      </c>
      <c r="AH29" s="187" t="str">
        <f t="shared" si="22"/>
        <v>#REF!</v>
      </c>
      <c r="AI29" s="187" t="str">
        <f t="shared" si="22"/>
        <v>#REF!</v>
      </c>
      <c r="AJ29" s="187" t="str">
        <f t="shared" si="22"/>
        <v>#REF!</v>
      </c>
      <c r="AK29" s="187" t="str">
        <f t="shared" si="22"/>
        <v>#REF!</v>
      </c>
      <c r="AL29" s="187" t="str">
        <f t="shared" si="22"/>
        <v>#REF!</v>
      </c>
      <c r="AM29" s="187" t="str">
        <f t="shared" si="22"/>
        <v>#REF!</v>
      </c>
      <c r="AN29" s="187" t="str">
        <f t="shared" si="22"/>
        <v>#REF!</v>
      </c>
      <c r="AO29" s="187" t="str">
        <f t="shared" si="22"/>
        <v>#REF!</v>
      </c>
      <c r="AP29" s="187" t="str">
        <f t="shared" si="22"/>
        <v>#REF!</v>
      </c>
      <c r="AQ29" s="187" t="str">
        <f t="shared" si="22"/>
        <v>#REF!</v>
      </c>
      <c r="AR29" s="187" t="str">
        <f t="shared" si="22"/>
        <v>#REF!</v>
      </c>
      <c r="AS29" s="187" t="str">
        <f t="shared" si="22"/>
        <v>#REF!</v>
      </c>
      <c r="AT29" s="187" t="str">
        <f t="shared" si="22"/>
        <v>#REF!</v>
      </c>
      <c r="AU29" s="187" t="str">
        <f t="shared" si="22"/>
        <v>#REF!</v>
      </c>
      <c r="AV29" s="187" t="str">
        <f t="shared" si="22"/>
        <v>#REF!</v>
      </c>
      <c r="AX29" s="90"/>
      <c r="AY29" s="90"/>
      <c r="AZ29" s="90"/>
      <c r="BA29" s="90"/>
      <c r="BB29" s="90"/>
      <c r="BC29" s="90"/>
      <c r="BD29" s="90"/>
      <c r="BE29" s="90"/>
      <c r="BF29" s="90"/>
      <c r="BG29" s="90"/>
    </row>
    <row r="30" ht="12.75" customHeight="1">
      <c r="B30" s="67"/>
      <c r="C30" s="67"/>
      <c r="D30" s="90"/>
      <c r="E30" s="90"/>
      <c r="F30" s="90"/>
      <c r="G30" s="90"/>
      <c r="H30" s="90"/>
      <c r="I30" s="90"/>
      <c r="J30" s="63"/>
      <c r="K30" s="514"/>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7"/>
      <c r="AX30" s="90"/>
      <c r="AY30" s="90"/>
      <c r="AZ30" s="90"/>
      <c r="BA30" s="90"/>
      <c r="BB30" s="90"/>
      <c r="BC30" s="90"/>
      <c r="BD30" s="90"/>
      <c r="BE30" s="90"/>
      <c r="BF30" s="90"/>
      <c r="BG30" s="90"/>
    </row>
    <row r="31" ht="12.75" customHeight="1">
      <c r="B31" s="67" t="s">
        <v>196</v>
      </c>
      <c r="C31" s="90"/>
      <c r="D31" s="90"/>
      <c r="E31" s="90"/>
      <c r="F31" s="90"/>
      <c r="G31" s="90"/>
      <c r="H31" s="90"/>
      <c r="I31" s="90"/>
      <c r="J31" s="115">
        <f t="shared" ref="J31:AV31" si="23">J475</f>
        <v>111279.22</v>
      </c>
      <c r="K31" s="115" t="str">
        <f t="shared" si="23"/>
        <v>#REF!</v>
      </c>
      <c r="L31" s="115" t="str">
        <f t="shared" si="23"/>
        <v>#REF!</v>
      </c>
      <c r="M31" s="115" t="str">
        <f t="shared" si="23"/>
        <v>#REF!</v>
      </c>
      <c r="N31" s="115" t="str">
        <f t="shared" si="23"/>
        <v>#REF!</v>
      </c>
      <c r="O31" s="115" t="str">
        <f t="shared" si="23"/>
        <v>#REF!</v>
      </c>
      <c r="P31" s="115" t="str">
        <f t="shared" si="23"/>
        <v>#REF!</v>
      </c>
      <c r="Q31" s="115" t="str">
        <f t="shared" si="23"/>
        <v>#REF!</v>
      </c>
      <c r="R31" s="115" t="str">
        <f t="shared" si="23"/>
        <v>#REF!</v>
      </c>
      <c r="S31" s="115" t="str">
        <f t="shared" si="23"/>
        <v>#REF!</v>
      </c>
      <c r="T31" s="115" t="str">
        <f t="shared" si="23"/>
        <v>#REF!</v>
      </c>
      <c r="U31" s="115" t="str">
        <f t="shared" si="23"/>
        <v>#REF!</v>
      </c>
      <c r="V31" s="115" t="str">
        <f t="shared" si="23"/>
        <v>#REF!</v>
      </c>
      <c r="W31" s="115" t="str">
        <f t="shared" si="23"/>
        <v>#REF!</v>
      </c>
      <c r="X31" s="115" t="str">
        <f t="shared" si="23"/>
        <v>#REF!</v>
      </c>
      <c r="Y31" s="115" t="str">
        <f t="shared" si="23"/>
        <v>#REF!</v>
      </c>
      <c r="Z31" s="115" t="str">
        <f t="shared" si="23"/>
        <v>#REF!</v>
      </c>
      <c r="AA31" s="115" t="str">
        <f t="shared" si="23"/>
        <v>#REF!</v>
      </c>
      <c r="AB31" s="115" t="str">
        <f t="shared" si="23"/>
        <v>#REF!</v>
      </c>
      <c r="AC31" s="115" t="str">
        <f t="shared" si="23"/>
        <v>#REF!</v>
      </c>
      <c r="AD31" s="115" t="str">
        <f t="shared" si="23"/>
        <v>#REF!</v>
      </c>
      <c r="AE31" s="115" t="str">
        <f t="shared" si="23"/>
        <v>#REF!</v>
      </c>
      <c r="AF31" s="115" t="str">
        <f t="shared" si="23"/>
        <v>#REF!</v>
      </c>
      <c r="AG31" s="115" t="str">
        <f t="shared" si="23"/>
        <v>#REF!</v>
      </c>
      <c r="AH31" s="115" t="str">
        <f t="shared" si="23"/>
        <v>#REF!</v>
      </c>
      <c r="AI31" s="115" t="str">
        <f t="shared" si="23"/>
        <v>#REF!</v>
      </c>
      <c r="AJ31" s="115" t="str">
        <f t="shared" si="23"/>
        <v>#REF!</v>
      </c>
      <c r="AK31" s="115" t="str">
        <f t="shared" si="23"/>
        <v>#REF!</v>
      </c>
      <c r="AL31" s="115" t="str">
        <f t="shared" si="23"/>
        <v>#REF!</v>
      </c>
      <c r="AM31" s="115" t="str">
        <f t="shared" si="23"/>
        <v>#REF!</v>
      </c>
      <c r="AN31" s="115" t="str">
        <f t="shared" si="23"/>
        <v>#REF!</v>
      </c>
      <c r="AO31" s="115" t="str">
        <f t="shared" si="23"/>
        <v>#REF!</v>
      </c>
      <c r="AP31" s="115" t="str">
        <f t="shared" si="23"/>
        <v>#REF!</v>
      </c>
      <c r="AQ31" s="115" t="str">
        <f t="shared" si="23"/>
        <v>#REF!</v>
      </c>
      <c r="AR31" s="115" t="str">
        <f t="shared" si="23"/>
        <v>#REF!</v>
      </c>
      <c r="AS31" s="115" t="str">
        <f t="shared" si="23"/>
        <v>#REF!</v>
      </c>
      <c r="AT31" s="115" t="str">
        <f t="shared" si="23"/>
        <v>#REF!</v>
      </c>
      <c r="AU31" s="115" t="str">
        <f t="shared" si="23"/>
        <v>#REF!</v>
      </c>
      <c r="AV31" s="115" t="str">
        <f t="shared" si="23"/>
        <v>#REF!</v>
      </c>
      <c r="AW31" s="67"/>
      <c r="AX31" s="90"/>
      <c r="AY31" s="90"/>
      <c r="AZ31" s="90"/>
      <c r="BA31" s="90"/>
      <c r="BB31" s="90"/>
      <c r="BC31" s="90"/>
      <c r="BD31" s="90"/>
      <c r="BE31" s="90"/>
      <c r="BF31" s="90"/>
      <c r="BG31" s="90"/>
    </row>
    <row r="32" ht="12.75" customHeight="1">
      <c r="B32" s="67"/>
      <c r="C32" s="67" t="s">
        <v>633</v>
      </c>
      <c r="D32" s="90"/>
      <c r="E32" s="90"/>
      <c r="F32" s="90"/>
      <c r="G32" s="90"/>
      <c r="H32" s="90"/>
      <c r="I32" s="90"/>
      <c r="J32" s="115">
        <f t="shared" ref="J32:AV32" si="24">J483</f>
        <v>525000</v>
      </c>
      <c r="K32" s="115">
        <f t="shared" si="24"/>
        <v>259186.33</v>
      </c>
      <c r="L32" s="115" t="str">
        <f t="shared" si="24"/>
        <v>#REF!</v>
      </c>
      <c r="M32" s="115" t="str">
        <f t="shared" si="24"/>
        <v>#REF!</v>
      </c>
      <c r="N32" s="115" t="str">
        <f t="shared" si="24"/>
        <v>#REF!</v>
      </c>
      <c r="O32" s="115" t="str">
        <f t="shared" si="24"/>
        <v>#REF!</v>
      </c>
      <c r="P32" s="115" t="str">
        <f t="shared" si="24"/>
        <v>#REF!</v>
      </c>
      <c r="Q32" s="115" t="str">
        <f t="shared" si="24"/>
        <v>#REF!</v>
      </c>
      <c r="R32" s="115" t="str">
        <f t="shared" si="24"/>
        <v>#REF!</v>
      </c>
      <c r="S32" s="115" t="str">
        <f t="shared" si="24"/>
        <v>#REF!</v>
      </c>
      <c r="T32" s="115" t="str">
        <f t="shared" si="24"/>
        <v>#REF!</v>
      </c>
      <c r="U32" s="115" t="str">
        <f t="shared" si="24"/>
        <v>#REF!</v>
      </c>
      <c r="V32" s="115" t="str">
        <f t="shared" si="24"/>
        <v>#REF!</v>
      </c>
      <c r="W32" s="115" t="str">
        <f t="shared" si="24"/>
        <v>#REF!</v>
      </c>
      <c r="X32" s="115" t="str">
        <f t="shared" si="24"/>
        <v>#REF!</v>
      </c>
      <c r="Y32" s="115" t="str">
        <f t="shared" si="24"/>
        <v>#REF!</v>
      </c>
      <c r="Z32" s="115" t="str">
        <f t="shared" si="24"/>
        <v>#REF!</v>
      </c>
      <c r="AA32" s="115" t="str">
        <f t="shared" si="24"/>
        <v>#REF!</v>
      </c>
      <c r="AB32" s="115" t="str">
        <f t="shared" si="24"/>
        <v>#REF!</v>
      </c>
      <c r="AC32" s="115" t="str">
        <f t="shared" si="24"/>
        <v>#REF!</v>
      </c>
      <c r="AD32" s="115" t="str">
        <f t="shared" si="24"/>
        <v>#REF!</v>
      </c>
      <c r="AE32" s="115" t="str">
        <f t="shared" si="24"/>
        <v>#REF!</v>
      </c>
      <c r="AF32" s="115" t="str">
        <f t="shared" si="24"/>
        <v>#REF!</v>
      </c>
      <c r="AG32" s="115" t="str">
        <f t="shared" si="24"/>
        <v>#REF!</v>
      </c>
      <c r="AH32" s="115" t="str">
        <f t="shared" si="24"/>
        <v>#REF!</v>
      </c>
      <c r="AI32" s="115" t="str">
        <f t="shared" si="24"/>
        <v>#REF!</v>
      </c>
      <c r="AJ32" s="115" t="str">
        <f t="shared" si="24"/>
        <v>#REF!</v>
      </c>
      <c r="AK32" s="115" t="str">
        <f t="shared" si="24"/>
        <v>#REF!</v>
      </c>
      <c r="AL32" s="115" t="str">
        <f t="shared" si="24"/>
        <v>#REF!</v>
      </c>
      <c r="AM32" s="115" t="str">
        <f t="shared" si="24"/>
        <v>#REF!</v>
      </c>
      <c r="AN32" s="115" t="str">
        <f t="shared" si="24"/>
        <v>#REF!</v>
      </c>
      <c r="AO32" s="115" t="str">
        <f t="shared" si="24"/>
        <v>#REF!</v>
      </c>
      <c r="AP32" s="115" t="str">
        <f t="shared" si="24"/>
        <v>#REF!</v>
      </c>
      <c r="AQ32" s="115" t="str">
        <f t="shared" si="24"/>
        <v>#REF!</v>
      </c>
      <c r="AR32" s="115" t="str">
        <f t="shared" si="24"/>
        <v>#REF!</v>
      </c>
      <c r="AS32" s="115" t="str">
        <f t="shared" si="24"/>
        <v>#REF!</v>
      </c>
      <c r="AT32" s="115" t="str">
        <f t="shared" si="24"/>
        <v>#REF!</v>
      </c>
      <c r="AU32" s="115" t="str">
        <f t="shared" si="24"/>
        <v>#REF!</v>
      </c>
      <c r="AV32" s="115" t="str">
        <f t="shared" si="24"/>
        <v>#REF!</v>
      </c>
      <c r="AW32" s="67"/>
      <c r="AX32" s="90"/>
      <c r="AY32" s="90"/>
      <c r="AZ32" s="90"/>
      <c r="BA32" s="90"/>
      <c r="BB32" s="90"/>
      <c r="BC32" s="90"/>
      <c r="BD32" s="90"/>
      <c r="BE32" s="90"/>
      <c r="BF32" s="90"/>
      <c r="BG32" s="90"/>
    </row>
    <row r="33" ht="12.75" customHeight="1">
      <c r="A33" s="316"/>
      <c r="B33" s="90"/>
      <c r="C33" s="90"/>
      <c r="D33" s="90"/>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row>
    <row r="34" ht="12.75" customHeight="1">
      <c r="A34" s="105" t="s">
        <v>634</v>
      </c>
      <c r="B34" s="253"/>
      <c r="C34" s="253"/>
      <c r="D34" s="253"/>
      <c r="E34" s="253"/>
      <c r="F34" s="253"/>
      <c r="G34" s="253"/>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t="s">
        <v>1179</v>
      </c>
      <c r="AX34" s="90"/>
      <c r="AY34" s="90"/>
      <c r="AZ34" s="90"/>
      <c r="BA34" s="90"/>
      <c r="BB34" s="90"/>
      <c r="BC34" s="90"/>
      <c r="BD34" s="90"/>
      <c r="BE34" s="90"/>
      <c r="BF34" s="90"/>
      <c r="BG34" s="90"/>
    </row>
    <row r="35" ht="12.75" hidden="1" customHeight="1" outlineLevel="1">
      <c r="A35" s="515"/>
      <c r="B35" s="90"/>
      <c r="C35" s="90"/>
      <c r="D35" s="90"/>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row>
    <row r="36" ht="12.75" hidden="1" customHeight="1" outlineLevel="1">
      <c r="A36" s="515"/>
      <c r="B36" s="90" t="s">
        <v>635</v>
      </c>
      <c r="C36" s="90"/>
      <c r="D36" s="90"/>
      <c r="E36" s="90"/>
      <c r="F36" s="90"/>
      <c r="G36" s="90"/>
      <c r="H36" s="516"/>
      <c r="I36" s="516">
        <v>178.0</v>
      </c>
      <c r="J36" s="516">
        <v>180.0</v>
      </c>
      <c r="K36" s="102">
        <f t="shared" ref="K36:AV36" si="25">J36</f>
        <v>180</v>
      </c>
      <c r="L36" s="102">
        <f t="shared" si="25"/>
        <v>180</v>
      </c>
      <c r="M36" s="102">
        <f t="shared" si="25"/>
        <v>180</v>
      </c>
      <c r="N36" s="102">
        <f t="shared" si="25"/>
        <v>180</v>
      </c>
      <c r="O36" s="102">
        <f t="shared" si="25"/>
        <v>180</v>
      </c>
      <c r="P36" s="102">
        <f t="shared" si="25"/>
        <v>180</v>
      </c>
      <c r="Q36" s="102">
        <f t="shared" si="25"/>
        <v>180</v>
      </c>
      <c r="R36" s="102">
        <f t="shared" si="25"/>
        <v>180</v>
      </c>
      <c r="S36" s="102">
        <f t="shared" si="25"/>
        <v>180</v>
      </c>
      <c r="T36" s="102">
        <f t="shared" si="25"/>
        <v>180</v>
      </c>
      <c r="U36" s="102">
        <f t="shared" si="25"/>
        <v>180</v>
      </c>
      <c r="V36" s="102">
        <f t="shared" si="25"/>
        <v>180</v>
      </c>
      <c r="W36" s="102">
        <f t="shared" si="25"/>
        <v>180</v>
      </c>
      <c r="X36" s="102">
        <f t="shared" si="25"/>
        <v>180</v>
      </c>
      <c r="Y36" s="102">
        <f t="shared" si="25"/>
        <v>180</v>
      </c>
      <c r="Z36" s="102">
        <f t="shared" si="25"/>
        <v>180</v>
      </c>
      <c r="AA36" s="102">
        <f t="shared" si="25"/>
        <v>180</v>
      </c>
      <c r="AB36" s="102">
        <f t="shared" si="25"/>
        <v>180</v>
      </c>
      <c r="AC36" s="102">
        <f t="shared" si="25"/>
        <v>180</v>
      </c>
      <c r="AD36" s="102">
        <f t="shared" si="25"/>
        <v>180</v>
      </c>
      <c r="AE36" s="102">
        <f t="shared" si="25"/>
        <v>180</v>
      </c>
      <c r="AF36" s="102">
        <f t="shared" si="25"/>
        <v>180</v>
      </c>
      <c r="AG36" s="102">
        <f t="shared" si="25"/>
        <v>180</v>
      </c>
      <c r="AH36" s="102">
        <f t="shared" si="25"/>
        <v>180</v>
      </c>
      <c r="AI36" s="102">
        <f t="shared" si="25"/>
        <v>180</v>
      </c>
      <c r="AJ36" s="102">
        <f t="shared" si="25"/>
        <v>180</v>
      </c>
      <c r="AK36" s="102">
        <f t="shared" si="25"/>
        <v>180</v>
      </c>
      <c r="AL36" s="102">
        <f t="shared" si="25"/>
        <v>180</v>
      </c>
      <c r="AM36" s="102">
        <f t="shared" si="25"/>
        <v>180</v>
      </c>
      <c r="AN36" s="102">
        <f t="shared" si="25"/>
        <v>180</v>
      </c>
      <c r="AO36" s="102">
        <f t="shared" si="25"/>
        <v>180</v>
      </c>
      <c r="AP36" s="102">
        <f t="shared" si="25"/>
        <v>180</v>
      </c>
      <c r="AQ36" s="102">
        <f t="shared" si="25"/>
        <v>180</v>
      </c>
      <c r="AR36" s="102">
        <f t="shared" si="25"/>
        <v>180</v>
      </c>
      <c r="AS36" s="102">
        <f t="shared" si="25"/>
        <v>180</v>
      </c>
      <c r="AT36" s="102">
        <f t="shared" si="25"/>
        <v>180</v>
      </c>
      <c r="AU36" s="102">
        <f t="shared" si="25"/>
        <v>180</v>
      </c>
      <c r="AV36" s="102">
        <f t="shared" si="25"/>
        <v>180</v>
      </c>
      <c r="AW36" s="90"/>
      <c r="AX36" s="90"/>
      <c r="AY36" s="90"/>
      <c r="AZ36" s="90"/>
      <c r="BA36" s="90"/>
      <c r="BB36" s="90"/>
      <c r="BC36" s="90"/>
      <c r="BD36" s="90"/>
      <c r="BE36" s="90"/>
      <c r="BF36" s="90"/>
      <c r="BG36" s="90"/>
    </row>
    <row r="37" ht="12.75" hidden="1" customHeight="1" outlineLevel="1">
      <c r="A37" s="515"/>
      <c r="B37" s="90" t="s">
        <v>636</v>
      </c>
      <c r="C37" s="90"/>
      <c r="D37" s="90"/>
      <c r="E37" s="90"/>
      <c r="F37" s="90"/>
      <c r="G37" s="90"/>
      <c r="H37" s="516"/>
      <c r="I37" s="516">
        <v>2.0</v>
      </c>
      <c r="J37" s="516">
        <v>2.0</v>
      </c>
      <c r="K37" s="102">
        <f t="shared" ref="K37:AV37" si="26">J37</f>
        <v>2</v>
      </c>
      <c r="L37" s="102">
        <f t="shared" si="26"/>
        <v>2</v>
      </c>
      <c r="M37" s="102">
        <f t="shared" si="26"/>
        <v>2</v>
      </c>
      <c r="N37" s="102">
        <f t="shared" si="26"/>
        <v>2</v>
      </c>
      <c r="O37" s="102">
        <f t="shared" si="26"/>
        <v>2</v>
      </c>
      <c r="P37" s="102">
        <f t="shared" si="26"/>
        <v>2</v>
      </c>
      <c r="Q37" s="102">
        <f t="shared" si="26"/>
        <v>2</v>
      </c>
      <c r="R37" s="102">
        <f t="shared" si="26"/>
        <v>2</v>
      </c>
      <c r="S37" s="102">
        <f t="shared" si="26"/>
        <v>2</v>
      </c>
      <c r="T37" s="102">
        <f t="shared" si="26"/>
        <v>2</v>
      </c>
      <c r="U37" s="102">
        <f t="shared" si="26"/>
        <v>2</v>
      </c>
      <c r="V37" s="102">
        <f t="shared" si="26"/>
        <v>2</v>
      </c>
      <c r="W37" s="102">
        <f t="shared" si="26"/>
        <v>2</v>
      </c>
      <c r="X37" s="102">
        <f t="shared" si="26"/>
        <v>2</v>
      </c>
      <c r="Y37" s="102">
        <f t="shared" si="26"/>
        <v>2</v>
      </c>
      <c r="Z37" s="102">
        <f t="shared" si="26"/>
        <v>2</v>
      </c>
      <c r="AA37" s="102">
        <f t="shared" si="26"/>
        <v>2</v>
      </c>
      <c r="AB37" s="102">
        <f t="shared" si="26"/>
        <v>2</v>
      </c>
      <c r="AC37" s="102">
        <f t="shared" si="26"/>
        <v>2</v>
      </c>
      <c r="AD37" s="102">
        <f t="shared" si="26"/>
        <v>2</v>
      </c>
      <c r="AE37" s="102">
        <f t="shared" si="26"/>
        <v>2</v>
      </c>
      <c r="AF37" s="102">
        <f t="shared" si="26"/>
        <v>2</v>
      </c>
      <c r="AG37" s="102">
        <f t="shared" si="26"/>
        <v>2</v>
      </c>
      <c r="AH37" s="102">
        <f t="shared" si="26"/>
        <v>2</v>
      </c>
      <c r="AI37" s="102">
        <f t="shared" si="26"/>
        <v>2</v>
      </c>
      <c r="AJ37" s="102">
        <f t="shared" si="26"/>
        <v>2</v>
      </c>
      <c r="AK37" s="102">
        <f t="shared" si="26"/>
        <v>2</v>
      </c>
      <c r="AL37" s="102">
        <f t="shared" si="26"/>
        <v>2</v>
      </c>
      <c r="AM37" s="102">
        <f t="shared" si="26"/>
        <v>2</v>
      </c>
      <c r="AN37" s="102">
        <f t="shared" si="26"/>
        <v>2</v>
      </c>
      <c r="AO37" s="102">
        <f t="shared" si="26"/>
        <v>2</v>
      </c>
      <c r="AP37" s="102">
        <f t="shared" si="26"/>
        <v>2</v>
      </c>
      <c r="AQ37" s="102">
        <f t="shared" si="26"/>
        <v>2</v>
      </c>
      <c r="AR37" s="102">
        <f t="shared" si="26"/>
        <v>2</v>
      </c>
      <c r="AS37" s="102">
        <f t="shared" si="26"/>
        <v>2</v>
      </c>
      <c r="AT37" s="102">
        <f t="shared" si="26"/>
        <v>2</v>
      </c>
      <c r="AU37" s="102">
        <f t="shared" si="26"/>
        <v>2</v>
      </c>
      <c r="AV37" s="102">
        <f t="shared" si="26"/>
        <v>2</v>
      </c>
      <c r="AW37" s="90"/>
      <c r="AX37" s="90"/>
      <c r="AY37" s="90"/>
      <c r="AZ37" s="90"/>
      <c r="BA37" s="90"/>
      <c r="BB37" s="90"/>
      <c r="BC37" s="90"/>
      <c r="BD37" s="90"/>
      <c r="BE37" s="90"/>
      <c r="BF37" s="90"/>
      <c r="BG37" s="90"/>
    </row>
    <row r="38" ht="12.75" hidden="1" customHeight="1" outlineLevel="1">
      <c r="A38" s="515"/>
      <c r="B38" s="90"/>
      <c r="C38" s="90"/>
      <c r="D38" s="90"/>
      <c r="E38" s="90"/>
      <c r="F38" s="90"/>
      <c r="G38" s="90"/>
      <c r="H38" s="90"/>
      <c r="I38" s="90"/>
      <c r="J38" s="90"/>
      <c r="K38" s="90"/>
      <c r="L38" s="90"/>
      <c r="M38" s="90"/>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row>
    <row r="39" ht="12.75" hidden="1" customHeight="1" outlineLevel="1">
      <c r="A39" s="515"/>
      <c r="B39" s="90" t="s">
        <v>165</v>
      </c>
      <c r="C39" s="90"/>
      <c r="D39" s="90"/>
      <c r="E39" s="90"/>
      <c r="F39" s="90"/>
      <c r="G39" s="90"/>
      <c r="H39" s="90"/>
      <c r="I39" s="90"/>
      <c r="J39" s="90"/>
      <c r="K39" s="90"/>
      <c r="L39" s="90"/>
      <c r="M39" s="90"/>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row>
    <row r="40" ht="12.75" hidden="1" customHeight="1" outlineLevel="1">
      <c r="A40" s="515"/>
      <c r="B40" s="90"/>
      <c r="C40" s="90" t="s">
        <v>166</v>
      </c>
      <c r="D40" s="90"/>
      <c r="E40" s="90"/>
      <c r="F40" s="90"/>
      <c r="G40" s="90"/>
      <c r="H40" s="517"/>
      <c r="I40" s="517">
        <v>40.0</v>
      </c>
      <c r="J40" s="517">
        <v>80.0</v>
      </c>
      <c r="K40" s="353">
        <v>120.0</v>
      </c>
      <c r="L40" s="353">
        <v>105.0</v>
      </c>
      <c r="M40" s="353">
        <v>105.0</v>
      </c>
      <c r="N40" s="353">
        <v>105.0</v>
      </c>
      <c r="O40" s="353">
        <v>105.0</v>
      </c>
      <c r="P40" s="353">
        <v>105.0</v>
      </c>
      <c r="Q40" s="353">
        <v>105.0</v>
      </c>
      <c r="R40" s="353">
        <v>105.0</v>
      </c>
      <c r="S40" s="353">
        <v>105.0</v>
      </c>
      <c r="T40" s="353">
        <v>105.0</v>
      </c>
      <c r="U40" s="353">
        <v>105.0</v>
      </c>
      <c r="V40" s="353">
        <v>105.0</v>
      </c>
      <c r="W40" s="353">
        <v>105.0</v>
      </c>
      <c r="X40" s="353">
        <v>105.0</v>
      </c>
      <c r="Y40" s="353">
        <v>105.0</v>
      </c>
      <c r="Z40" s="353">
        <v>105.0</v>
      </c>
      <c r="AA40" s="353">
        <v>105.0</v>
      </c>
      <c r="AB40" s="353">
        <v>105.0</v>
      </c>
      <c r="AC40" s="353">
        <v>105.0</v>
      </c>
      <c r="AD40" s="353">
        <v>105.0</v>
      </c>
      <c r="AE40" s="353">
        <v>105.0</v>
      </c>
      <c r="AF40" s="353">
        <v>105.0</v>
      </c>
      <c r="AG40" s="353">
        <v>105.0</v>
      </c>
      <c r="AH40" s="353">
        <v>105.0</v>
      </c>
      <c r="AI40" s="353">
        <v>105.0</v>
      </c>
      <c r="AJ40" s="353">
        <v>105.0</v>
      </c>
      <c r="AK40" s="353">
        <v>105.0</v>
      </c>
      <c r="AL40" s="353">
        <v>105.0</v>
      </c>
      <c r="AM40" s="353">
        <v>105.0</v>
      </c>
      <c r="AN40" s="353">
        <v>105.0</v>
      </c>
      <c r="AO40" s="353">
        <v>105.0</v>
      </c>
      <c r="AP40" s="353">
        <v>105.0</v>
      </c>
      <c r="AQ40" s="353">
        <v>105.0</v>
      </c>
      <c r="AR40" s="353">
        <v>105.0</v>
      </c>
      <c r="AS40" s="353">
        <v>105.0</v>
      </c>
      <c r="AT40" s="353">
        <v>105.0</v>
      </c>
      <c r="AU40" s="353">
        <v>105.0</v>
      </c>
      <c r="AV40" s="353">
        <v>105.0</v>
      </c>
      <c r="AW40" s="90"/>
      <c r="AX40" s="90"/>
      <c r="AY40" s="90"/>
      <c r="AZ40" s="90"/>
      <c r="BA40" s="90"/>
      <c r="BB40" s="90"/>
      <c r="BC40" s="90"/>
      <c r="BD40" s="90"/>
      <c r="BE40" s="90"/>
      <c r="BF40" s="90"/>
      <c r="BG40" s="90"/>
    </row>
    <row r="41" ht="12.75" hidden="1" customHeight="1" outlineLevel="1">
      <c r="A41" s="515"/>
      <c r="B41" s="90"/>
      <c r="C41" s="90" t="s">
        <v>167</v>
      </c>
      <c r="D41" s="90"/>
      <c r="E41" s="90"/>
      <c r="F41" s="90"/>
      <c r="G41" s="90"/>
      <c r="H41" s="517"/>
      <c r="I41" s="517">
        <v>40.0</v>
      </c>
      <c r="J41" s="517">
        <v>80.0</v>
      </c>
      <c r="K41" s="353">
        <v>80.0</v>
      </c>
      <c r="L41" s="353">
        <f>K41</f>
        <v>80</v>
      </c>
      <c r="M41" s="353">
        <v>80.0</v>
      </c>
      <c r="N41" s="353">
        <v>80.0</v>
      </c>
      <c r="O41" s="353">
        <f t="shared" ref="O41:AV41" si="27">N41</f>
        <v>80</v>
      </c>
      <c r="P41" s="353">
        <f t="shared" si="27"/>
        <v>80</v>
      </c>
      <c r="Q41" s="353">
        <f t="shared" si="27"/>
        <v>80</v>
      </c>
      <c r="R41" s="353">
        <f t="shared" si="27"/>
        <v>80</v>
      </c>
      <c r="S41" s="353">
        <f t="shared" si="27"/>
        <v>80</v>
      </c>
      <c r="T41" s="353">
        <f t="shared" si="27"/>
        <v>80</v>
      </c>
      <c r="U41" s="353">
        <f t="shared" si="27"/>
        <v>80</v>
      </c>
      <c r="V41" s="353">
        <f t="shared" si="27"/>
        <v>80</v>
      </c>
      <c r="W41" s="353">
        <f t="shared" si="27"/>
        <v>80</v>
      </c>
      <c r="X41" s="353">
        <f t="shared" si="27"/>
        <v>80</v>
      </c>
      <c r="Y41" s="353">
        <f t="shared" si="27"/>
        <v>80</v>
      </c>
      <c r="Z41" s="353">
        <f t="shared" si="27"/>
        <v>80</v>
      </c>
      <c r="AA41" s="353">
        <f t="shared" si="27"/>
        <v>80</v>
      </c>
      <c r="AB41" s="353">
        <f t="shared" si="27"/>
        <v>80</v>
      </c>
      <c r="AC41" s="353">
        <f t="shared" si="27"/>
        <v>80</v>
      </c>
      <c r="AD41" s="353">
        <f t="shared" si="27"/>
        <v>80</v>
      </c>
      <c r="AE41" s="353">
        <f t="shared" si="27"/>
        <v>80</v>
      </c>
      <c r="AF41" s="353">
        <f t="shared" si="27"/>
        <v>80</v>
      </c>
      <c r="AG41" s="353">
        <f t="shared" si="27"/>
        <v>80</v>
      </c>
      <c r="AH41" s="353">
        <f t="shared" si="27"/>
        <v>80</v>
      </c>
      <c r="AI41" s="353">
        <f t="shared" si="27"/>
        <v>80</v>
      </c>
      <c r="AJ41" s="353">
        <f t="shared" si="27"/>
        <v>80</v>
      </c>
      <c r="AK41" s="353">
        <f t="shared" si="27"/>
        <v>80</v>
      </c>
      <c r="AL41" s="353">
        <f t="shared" si="27"/>
        <v>80</v>
      </c>
      <c r="AM41" s="353">
        <f t="shared" si="27"/>
        <v>80</v>
      </c>
      <c r="AN41" s="353">
        <f t="shared" si="27"/>
        <v>80</v>
      </c>
      <c r="AO41" s="353">
        <f t="shared" si="27"/>
        <v>80</v>
      </c>
      <c r="AP41" s="353">
        <f t="shared" si="27"/>
        <v>80</v>
      </c>
      <c r="AQ41" s="353">
        <f t="shared" si="27"/>
        <v>80</v>
      </c>
      <c r="AR41" s="353">
        <f t="shared" si="27"/>
        <v>80</v>
      </c>
      <c r="AS41" s="353">
        <f t="shared" si="27"/>
        <v>80</v>
      </c>
      <c r="AT41" s="353">
        <f t="shared" si="27"/>
        <v>80</v>
      </c>
      <c r="AU41" s="353">
        <f t="shared" si="27"/>
        <v>80</v>
      </c>
      <c r="AV41" s="353">
        <f t="shared" si="27"/>
        <v>80</v>
      </c>
      <c r="AW41" s="90"/>
      <c r="AX41" s="90"/>
      <c r="AY41" s="90"/>
      <c r="AZ41" s="90"/>
      <c r="BA41" s="90"/>
      <c r="BB41" s="90"/>
      <c r="BC41" s="90"/>
      <c r="BD41" s="90"/>
      <c r="BE41" s="90"/>
      <c r="BF41" s="90"/>
      <c r="BG41" s="90"/>
    </row>
    <row r="42" ht="12.75" hidden="1" customHeight="1" outlineLevel="1">
      <c r="A42" s="515"/>
      <c r="B42" s="90"/>
      <c r="C42" s="90" t="s">
        <v>168</v>
      </c>
      <c r="D42" s="90"/>
      <c r="E42" s="90"/>
      <c r="F42" s="90"/>
      <c r="G42" s="90"/>
      <c r="H42" s="517"/>
      <c r="I42" s="517">
        <v>40.0</v>
      </c>
      <c r="J42" s="517">
        <v>80.0</v>
      </c>
      <c r="K42" s="353">
        <v>80.0</v>
      </c>
      <c r="L42" s="353">
        <f>Assumptions!F41</f>
        <v>80</v>
      </c>
      <c r="M42" s="353">
        <f>Assumptions!G41</f>
        <v>80</v>
      </c>
      <c r="N42" s="353">
        <f>Assumptions!H41</f>
        <v>80</v>
      </c>
      <c r="O42" s="353">
        <f t="shared" ref="O42:AV42" si="28">N42</f>
        <v>80</v>
      </c>
      <c r="P42" s="353">
        <f t="shared" si="28"/>
        <v>80</v>
      </c>
      <c r="Q42" s="353">
        <f t="shared" si="28"/>
        <v>80</v>
      </c>
      <c r="R42" s="353">
        <f t="shared" si="28"/>
        <v>80</v>
      </c>
      <c r="S42" s="353">
        <f t="shared" si="28"/>
        <v>80</v>
      </c>
      <c r="T42" s="353">
        <f t="shared" si="28"/>
        <v>80</v>
      </c>
      <c r="U42" s="353">
        <f t="shared" si="28"/>
        <v>80</v>
      </c>
      <c r="V42" s="353">
        <f t="shared" si="28"/>
        <v>80</v>
      </c>
      <c r="W42" s="353">
        <f t="shared" si="28"/>
        <v>80</v>
      </c>
      <c r="X42" s="353">
        <f t="shared" si="28"/>
        <v>80</v>
      </c>
      <c r="Y42" s="353">
        <f t="shared" si="28"/>
        <v>80</v>
      </c>
      <c r="Z42" s="353">
        <f t="shared" si="28"/>
        <v>80</v>
      </c>
      <c r="AA42" s="353">
        <f t="shared" si="28"/>
        <v>80</v>
      </c>
      <c r="AB42" s="353">
        <f t="shared" si="28"/>
        <v>80</v>
      </c>
      <c r="AC42" s="353">
        <f t="shared" si="28"/>
        <v>80</v>
      </c>
      <c r="AD42" s="353">
        <f t="shared" si="28"/>
        <v>80</v>
      </c>
      <c r="AE42" s="353">
        <f t="shared" si="28"/>
        <v>80</v>
      </c>
      <c r="AF42" s="353">
        <f t="shared" si="28"/>
        <v>80</v>
      </c>
      <c r="AG42" s="353">
        <f t="shared" si="28"/>
        <v>80</v>
      </c>
      <c r="AH42" s="353">
        <f t="shared" si="28"/>
        <v>80</v>
      </c>
      <c r="AI42" s="353">
        <f t="shared" si="28"/>
        <v>80</v>
      </c>
      <c r="AJ42" s="353">
        <f t="shared" si="28"/>
        <v>80</v>
      </c>
      <c r="AK42" s="353">
        <f t="shared" si="28"/>
        <v>80</v>
      </c>
      <c r="AL42" s="353">
        <f t="shared" si="28"/>
        <v>80</v>
      </c>
      <c r="AM42" s="353">
        <f t="shared" si="28"/>
        <v>80</v>
      </c>
      <c r="AN42" s="353">
        <f t="shared" si="28"/>
        <v>80</v>
      </c>
      <c r="AO42" s="353">
        <f t="shared" si="28"/>
        <v>80</v>
      </c>
      <c r="AP42" s="353">
        <f t="shared" si="28"/>
        <v>80</v>
      </c>
      <c r="AQ42" s="353">
        <f t="shared" si="28"/>
        <v>80</v>
      </c>
      <c r="AR42" s="353">
        <f t="shared" si="28"/>
        <v>80</v>
      </c>
      <c r="AS42" s="353">
        <f t="shared" si="28"/>
        <v>80</v>
      </c>
      <c r="AT42" s="353">
        <f t="shared" si="28"/>
        <v>80</v>
      </c>
      <c r="AU42" s="353">
        <f t="shared" si="28"/>
        <v>80</v>
      </c>
      <c r="AV42" s="353">
        <f t="shared" si="28"/>
        <v>80</v>
      </c>
      <c r="AW42" s="90"/>
      <c r="AX42" s="90"/>
      <c r="AY42" s="90"/>
      <c r="AZ42" s="90"/>
      <c r="BA42" s="90"/>
      <c r="BB42" s="90"/>
      <c r="BC42" s="90"/>
      <c r="BD42" s="90"/>
      <c r="BE42" s="90"/>
      <c r="BF42" s="90"/>
      <c r="BG42" s="90"/>
    </row>
    <row r="43" ht="12.75" hidden="1" customHeight="1" outlineLevel="1">
      <c r="A43" s="515"/>
      <c r="B43" s="90"/>
      <c r="C43" s="90" t="s">
        <v>169</v>
      </c>
      <c r="D43" s="90"/>
      <c r="E43" s="90"/>
      <c r="F43" s="90"/>
      <c r="G43" s="90"/>
      <c r="H43" s="517"/>
      <c r="I43" s="517">
        <v>40.0</v>
      </c>
      <c r="J43" s="517">
        <v>40.0</v>
      </c>
      <c r="K43" s="353">
        <v>80.0</v>
      </c>
      <c r="L43" s="353">
        <f>Assumptions!F42</f>
        <v>80</v>
      </c>
      <c r="M43" s="353">
        <f>Assumptions!G42</f>
        <v>80</v>
      </c>
      <c r="N43" s="353">
        <f>Assumptions!H42</f>
        <v>80</v>
      </c>
      <c r="O43" s="353">
        <f t="shared" ref="O43:AV43" si="29">N43</f>
        <v>80</v>
      </c>
      <c r="P43" s="353">
        <f t="shared" si="29"/>
        <v>80</v>
      </c>
      <c r="Q43" s="353">
        <f t="shared" si="29"/>
        <v>80</v>
      </c>
      <c r="R43" s="353">
        <f t="shared" si="29"/>
        <v>80</v>
      </c>
      <c r="S43" s="353">
        <f t="shared" si="29"/>
        <v>80</v>
      </c>
      <c r="T43" s="353">
        <f t="shared" si="29"/>
        <v>80</v>
      </c>
      <c r="U43" s="353">
        <f t="shared" si="29"/>
        <v>80</v>
      </c>
      <c r="V43" s="353">
        <f t="shared" si="29"/>
        <v>80</v>
      </c>
      <c r="W43" s="353">
        <f t="shared" si="29"/>
        <v>80</v>
      </c>
      <c r="X43" s="353">
        <f t="shared" si="29"/>
        <v>80</v>
      </c>
      <c r="Y43" s="353">
        <f t="shared" si="29"/>
        <v>80</v>
      </c>
      <c r="Z43" s="353">
        <f t="shared" si="29"/>
        <v>80</v>
      </c>
      <c r="AA43" s="353">
        <f t="shared" si="29"/>
        <v>80</v>
      </c>
      <c r="AB43" s="353">
        <f t="shared" si="29"/>
        <v>80</v>
      </c>
      <c r="AC43" s="353">
        <f t="shared" si="29"/>
        <v>80</v>
      </c>
      <c r="AD43" s="353">
        <f t="shared" si="29"/>
        <v>80</v>
      </c>
      <c r="AE43" s="353">
        <f t="shared" si="29"/>
        <v>80</v>
      </c>
      <c r="AF43" s="353">
        <f t="shared" si="29"/>
        <v>80</v>
      </c>
      <c r="AG43" s="353">
        <f t="shared" si="29"/>
        <v>80</v>
      </c>
      <c r="AH43" s="353">
        <f t="shared" si="29"/>
        <v>80</v>
      </c>
      <c r="AI43" s="353">
        <f t="shared" si="29"/>
        <v>80</v>
      </c>
      <c r="AJ43" s="353">
        <f t="shared" si="29"/>
        <v>80</v>
      </c>
      <c r="AK43" s="353">
        <f t="shared" si="29"/>
        <v>80</v>
      </c>
      <c r="AL43" s="353">
        <f t="shared" si="29"/>
        <v>80</v>
      </c>
      <c r="AM43" s="353">
        <f t="shared" si="29"/>
        <v>80</v>
      </c>
      <c r="AN43" s="353">
        <f t="shared" si="29"/>
        <v>80</v>
      </c>
      <c r="AO43" s="353">
        <f t="shared" si="29"/>
        <v>80</v>
      </c>
      <c r="AP43" s="353">
        <f t="shared" si="29"/>
        <v>80</v>
      </c>
      <c r="AQ43" s="353">
        <f t="shared" si="29"/>
        <v>80</v>
      </c>
      <c r="AR43" s="353">
        <f t="shared" si="29"/>
        <v>80</v>
      </c>
      <c r="AS43" s="353">
        <f t="shared" si="29"/>
        <v>80</v>
      </c>
      <c r="AT43" s="353">
        <f t="shared" si="29"/>
        <v>80</v>
      </c>
      <c r="AU43" s="353">
        <f t="shared" si="29"/>
        <v>80</v>
      </c>
      <c r="AV43" s="353">
        <f t="shared" si="29"/>
        <v>80</v>
      </c>
      <c r="AW43" s="90"/>
      <c r="AX43" s="90"/>
      <c r="AY43" s="90"/>
      <c r="AZ43" s="90"/>
      <c r="BA43" s="90"/>
      <c r="BB43" s="90"/>
      <c r="BC43" s="90"/>
      <c r="BD43" s="90"/>
      <c r="BE43" s="90"/>
      <c r="BF43" s="90"/>
      <c r="BG43" s="90"/>
    </row>
    <row r="44" ht="12.75" hidden="1" customHeight="1" outlineLevel="1">
      <c r="A44" s="515"/>
      <c r="B44" s="90"/>
      <c r="C44" s="90" t="s">
        <v>170</v>
      </c>
      <c r="D44" s="90"/>
      <c r="E44" s="90"/>
      <c r="F44" s="90"/>
      <c r="G44" s="90"/>
      <c r="H44" s="517"/>
      <c r="I44" s="517">
        <v>0.0</v>
      </c>
      <c r="J44" s="517">
        <v>40.0</v>
      </c>
      <c r="K44" s="518">
        <f>72-6</f>
        <v>66</v>
      </c>
      <c r="L44" s="353">
        <v>75.0</v>
      </c>
      <c r="M44" s="353">
        <f>Assumptions!G43</f>
        <v>75</v>
      </c>
      <c r="N44" s="353">
        <f>Assumptions!H43</f>
        <v>75</v>
      </c>
      <c r="O44" s="353">
        <f t="shared" ref="O44:AV44" si="30">N44</f>
        <v>75</v>
      </c>
      <c r="P44" s="353">
        <f t="shared" si="30"/>
        <v>75</v>
      </c>
      <c r="Q44" s="353">
        <f t="shared" si="30"/>
        <v>75</v>
      </c>
      <c r="R44" s="353">
        <f t="shared" si="30"/>
        <v>75</v>
      </c>
      <c r="S44" s="353">
        <f t="shared" si="30"/>
        <v>75</v>
      </c>
      <c r="T44" s="353">
        <f t="shared" si="30"/>
        <v>75</v>
      </c>
      <c r="U44" s="353">
        <f t="shared" si="30"/>
        <v>75</v>
      </c>
      <c r="V44" s="353">
        <f t="shared" si="30"/>
        <v>75</v>
      </c>
      <c r="W44" s="353">
        <f t="shared" si="30"/>
        <v>75</v>
      </c>
      <c r="X44" s="353">
        <f t="shared" si="30"/>
        <v>75</v>
      </c>
      <c r="Y44" s="353">
        <f t="shared" si="30"/>
        <v>75</v>
      </c>
      <c r="Z44" s="353">
        <f t="shared" si="30"/>
        <v>75</v>
      </c>
      <c r="AA44" s="353">
        <f t="shared" si="30"/>
        <v>75</v>
      </c>
      <c r="AB44" s="353">
        <f t="shared" si="30"/>
        <v>75</v>
      </c>
      <c r="AC44" s="353">
        <f t="shared" si="30"/>
        <v>75</v>
      </c>
      <c r="AD44" s="353">
        <f t="shared" si="30"/>
        <v>75</v>
      </c>
      <c r="AE44" s="353">
        <f t="shared" si="30"/>
        <v>75</v>
      </c>
      <c r="AF44" s="353">
        <f t="shared" si="30"/>
        <v>75</v>
      </c>
      <c r="AG44" s="353">
        <f t="shared" si="30"/>
        <v>75</v>
      </c>
      <c r="AH44" s="353">
        <f t="shared" si="30"/>
        <v>75</v>
      </c>
      <c r="AI44" s="353">
        <f t="shared" si="30"/>
        <v>75</v>
      </c>
      <c r="AJ44" s="353">
        <f t="shared" si="30"/>
        <v>75</v>
      </c>
      <c r="AK44" s="353">
        <f t="shared" si="30"/>
        <v>75</v>
      </c>
      <c r="AL44" s="353">
        <f t="shared" si="30"/>
        <v>75</v>
      </c>
      <c r="AM44" s="353">
        <f t="shared" si="30"/>
        <v>75</v>
      </c>
      <c r="AN44" s="353">
        <f t="shared" si="30"/>
        <v>75</v>
      </c>
      <c r="AO44" s="353">
        <f t="shared" si="30"/>
        <v>75</v>
      </c>
      <c r="AP44" s="353">
        <f t="shared" si="30"/>
        <v>75</v>
      </c>
      <c r="AQ44" s="353">
        <f t="shared" si="30"/>
        <v>75</v>
      </c>
      <c r="AR44" s="353">
        <f t="shared" si="30"/>
        <v>75</v>
      </c>
      <c r="AS44" s="353">
        <f t="shared" si="30"/>
        <v>75</v>
      </c>
      <c r="AT44" s="353">
        <f t="shared" si="30"/>
        <v>75</v>
      </c>
      <c r="AU44" s="353">
        <f t="shared" si="30"/>
        <v>75</v>
      </c>
      <c r="AV44" s="353">
        <f t="shared" si="30"/>
        <v>75</v>
      </c>
      <c r="AW44" s="90"/>
      <c r="AX44" s="90"/>
      <c r="AY44" s="90"/>
      <c r="AZ44" s="90"/>
      <c r="BA44" s="90"/>
      <c r="BB44" s="90"/>
      <c r="BC44" s="90"/>
      <c r="BD44" s="90"/>
      <c r="BE44" s="90"/>
      <c r="BF44" s="90"/>
      <c r="BG44" s="90"/>
    </row>
    <row r="45" ht="12.75" hidden="1" customHeight="1" outlineLevel="1">
      <c r="A45" s="515"/>
      <c r="B45" s="87"/>
      <c r="C45" s="87" t="s">
        <v>171</v>
      </c>
      <c r="D45" s="87"/>
      <c r="E45" s="87"/>
      <c r="F45" s="87"/>
      <c r="G45" s="87"/>
      <c r="H45" s="519"/>
      <c r="I45" s="519">
        <v>0.0</v>
      </c>
      <c r="J45" s="519">
        <v>0.0</v>
      </c>
      <c r="K45" s="520">
        <f>30-4</f>
        <v>26</v>
      </c>
      <c r="L45" s="520">
        <v>60.0</v>
      </c>
      <c r="M45" s="521">
        <f>Assumptions!G44</f>
        <v>60</v>
      </c>
      <c r="N45" s="521">
        <f>Assumptions!H44</f>
        <v>60</v>
      </c>
      <c r="O45" s="521">
        <f t="shared" ref="O45:AV45" si="31">N45</f>
        <v>60</v>
      </c>
      <c r="P45" s="521">
        <f t="shared" si="31"/>
        <v>60</v>
      </c>
      <c r="Q45" s="521">
        <f t="shared" si="31"/>
        <v>60</v>
      </c>
      <c r="R45" s="521">
        <f t="shared" si="31"/>
        <v>60</v>
      </c>
      <c r="S45" s="521">
        <f t="shared" si="31"/>
        <v>60</v>
      </c>
      <c r="T45" s="521">
        <f t="shared" si="31"/>
        <v>60</v>
      </c>
      <c r="U45" s="521">
        <f t="shared" si="31"/>
        <v>60</v>
      </c>
      <c r="V45" s="521">
        <f t="shared" si="31"/>
        <v>60</v>
      </c>
      <c r="W45" s="521">
        <f t="shared" si="31"/>
        <v>60</v>
      </c>
      <c r="X45" s="521">
        <f t="shared" si="31"/>
        <v>60</v>
      </c>
      <c r="Y45" s="521">
        <f t="shared" si="31"/>
        <v>60</v>
      </c>
      <c r="Z45" s="521">
        <f t="shared" si="31"/>
        <v>60</v>
      </c>
      <c r="AA45" s="521">
        <f t="shared" si="31"/>
        <v>60</v>
      </c>
      <c r="AB45" s="521">
        <f t="shared" si="31"/>
        <v>60</v>
      </c>
      <c r="AC45" s="521">
        <f t="shared" si="31"/>
        <v>60</v>
      </c>
      <c r="AD45" s="521">
        <f t="shared" si="31"/>
        <v>60</v>
      </c>
      <c r="AE45" s="521">
        <f t="shared" si="31"/>
        <v>60</v>
      </c>
      <c r="AF45" s="521">
        <f t="shared" si="31"/>
        <v>60</v>
      </c>
      <c r="AG45" s="521">
        <f t="shared" si="31"/>
        <v>60</v>
      </c>
      <c r="AH45" s="521">
        <f t="shared" si="31"/>
        <v>60</v>
      </c>
      <c r="AI45" s="521">
        <f t="shared" si="31"/>
        <v>60</v>
      </c>
      <c r="AJ45" s="521">
        <f t="shared" si="31"/>
        <v>60</v>
      </c>
      <c r="AK45" s="521">
        <f t="shared" si="31"/>
        <v>60</v>
      </c>
      <c r="AL45" s="521">
        <f t="shared" si="31"/>
        <v>60</v>
      </c>
      <c r="AM45" s="521">
        <f t="shared" si="31"/>
        <v>60</v>
      </c>
      <c r="AN45" s="521">
        <f t="shared" si="31"/>
        <v>60</v>
      </c>
      <c r="AO45" s="521">
        <f t="shared" si="31"/>
        <v>60</v>
      </c>
      <c r="AP45" s="521">
        <f t="shared" si="31"/>
        <v>60</v>
      </c>
      <c r="AQ45" s="521">
        <f t="shared" si="31"/>
        <v>60</v>
      </c>
      <c r="AR45" s="521">
        <f t="shared" si="31"/>
        <v>60</v>
      </c>
      <c r="AS45" s="521">
        <f t="shared" si="31"/>
        <v>60</v>
      </c>
      <c r="AT45" s="521">
        <f t="shared" si="31"/>
        <v>60</v>
      </c>
      <c r="AU45" s="521">
        <f t="shared" si="31"/>
        <v>60</v>
      </c>
      <c r="AV45" s="521">
        <f t="shared" si="31"/>
        <v>60</v>
      </c>
      <c r="AW45" s="90"/>
      <c r="AX45" s="90"/>
      <c r="AY45" s="90"/>
      <c r="AZ45" s="90"/>
      <c r="BA45" s="90"/>
      <c r="BB45" s="90"/>
      <c r="BC45" s="90"/>
      <c r="BD45" s="90"/>
      <c r="BE45" s="90"/>
      <c r="BF45" s="90"/>
      <c r="BG45" s="90"/>
    </row>
    <row r="46" ht="12.75" hidden="1" customHeight="1" outlineLevel="1">
      <c r="A46" s="515"/>
      <c r="B46" s="90" t="s">
        <v>619</v>
      </c>
      <c r="C46" s="90"/>
      <c r="D46" s="90"/>
      <c r="E46" s="90"/>
      <c r="F46" s="90"/>
      <c r="G46" s="90"/>
      <c r="H46" s="90"/>
      <c r="I46" s="90">
        <f t="shared" ref="I46:AV46" si="32">SUM(I40:I45)</f>
        <v>160</v>
      </c>
      <c r="J46" s="90">
        <f t="shared" si="32"/>
        <v>320</v>
      </c>
      <c r="K46" s="353">
        <f t="shared" si="32"/>
        <v>452</v>
      </c>
      <c r="L46" s="353">
        <f t="shared" si="32"/>
        <v>480</v>
      </c>
      <c r="M46" s="353">
        <f t="shared" si="32"/>
        <v>480</v>
      </c>
      <c r="N46" s="353">
        <f t="shared" si="32"/>
        <v>480</v>
      </c>
      <c r="O46" s="353">
        <f t="shared" si="32"/>
        <v>480</v>
      </c>
      <c r="P46" s="353">
        <f t="shared" si="32"/>
        <v>480</v>
      </c>
      <c r="Q46" s="353">
        <f t="shared" si="32"/>
        <v>480</v>
      </c>
      <c r="R46" s="353">
        <f t="shared" si="32"/>
        <v>480</v>
      </c>
      <c r="S46" s="353">
        <f t="shared" si="32"/>
        <v>480</v>
      </c>
      <c r="T46" s="353">
        <f t="shared" si="32"/>
        <v>480</v>
      </c>
      <c r="U46" s="353">
        <f t="shared" si="32"/>
        <v>480</v>
      </c>
      <c r="V46" s="353">
        <f t="shared" si="32"/>
        <v>480</v>
      </c>
      <c r="W46" s="353">
        <f t="shared" si="32"/>
        <v>480</v>
      </c>
      <c r="X46" s="353">
        <f t="shared" si="32"/>
        <v>480</v>
      </c>
      <c r="Y46" s="353">
        <f t="shared" si="32"/>
        <v>480</v>
      </c>
      <c r="Z46" s="353">
        <f t="shared" si="32"/>
        <v>480</v>
      </c>
      <c r="AA46" s="353">
        <f t="shared" si="32"/>
        <v>480</v>
      </c>
      <c r="AB46" s="353">
        <f t="shared" si="32"/>
        <v>480</v>
      </c>
      <c r="AC46" s="353">
        <f t="shared" si="32"/>
        <v>480</v>
      </c>
      <c r="AD46" s="353">
        <f t="shared" si="32"/>
        <v>480</v>
      </c>
      <c r="AE46" s="353">
        <f t="shared" si="32"/>
        <v>480</v>
      </c>
      <c r="AF46" s="353">
        <f t="shared" si="32"/>
        <v>480</v>
      </c>
      <c r="AG46" s="353">
        <f t="shared" si="32"/>
        <v>480</v>
      </c>
      <c r="AH46" s="353">
        <f t="shared" si="32"/>
        <v>480</v>
      </c>
      <c r="AI46" s="353">
        <f t="shared" si="32"/>
        <v>480</v>
      </c>
      <c r="AJ46" s="353">
        <f t="shared" si="32"/>
        <v>480</v>
      </c>
      <c r="AK46" s="353">
        <f t="shared" si="32"/>
        <v>480</v>
      </c>
      <c r="AL46" s="353">
        <f t="shared" si="32"/>
        <v>480</v>
      </c>
      <c r="AM46" s="353">
        <f t="shared" si="32"/>
        <v>480</v>
      </c>
      <c r="AN46" s="353">
        <f t="shared" si="32"/>
        <v>480</v>
      </c>
      <c r="AO46" s="353">
        <f t="shared" si="32"/>
        <v>480</v>
      </c>
      <c r="AP46" s="353">
        <f t="shared" si="32"/>
        <v>480</v>
      </c>
      <c r="AQ46" s="353">
        <f t="shared" si="32"/>
        <v>480</v>
      </c>
      <c r="AR46" s="353">
        <f t="shared" si="32"/>
        <v>480</v>
      </c>
      <c r="AS46" s="353">
        <f t="shared" si="32"/>
        <v>480</v>
      </c>
      <c r="AT46" s="353">
        <f t="shared" si="32"/>
        <v>480</v>
      </c>
      <c r="AU46" s="353">
        <f t="shared" si="32"/>
        <v>480</v>
      </c>
      <c r="AV46" s="353">
        <f t="shared" si="32"/>
        <v>480</v>
      </c>
      <c r="AW46" s="90"/>
      <c r="AX46" s="90"/>
      <c r="AY46" s="90"/>
      <c r="AZ46" s="90"/>
      <c r="BA46" s="90"/>
      <c r="BB46" s="90"/>
      <c r="BC46" s="90"/>
      <c r="BD46" s="90"/>
      <c r="BE46" s="90"/>
      <c r="BF46" s="90"/>
      <c r="BG46" s="90"/>
    </row>
    <row r="47" ht="12.75" hidden="1" customHeight="1" outlineLevel="1">
      <c r="A47" s="515"/>
      <c r="B47" s="90"/>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row>
    <row r="48" ht="12.75" hidden="1" customHeight="1" outlineLevel="1">
      <c r="A48" s="515"/>
      <c r="B48" s="90" t="s">
        <v>637</v>
      </c>
      <c r="C48" s="90"/>
      <c r="D48" s="90"/>
      <c r="E48" s="90"/>
      <c r="F48" s="90"/>
      <c r="G48" s="90"/>
      <c r="H48" s="90"/>
      <c r="I48" s="90">
        <f t="shared" ref="I48:AV48" si="33">I46-H46</f>
        <v>160</v>
      </c>
      <c r="J48" s="90">
        <f t="shared" si="33"/>
        <v>160</v>
      </c>
      <c r="K48" s="353">
        <f t="shared" si="33"/>
        <v>132</v>
      </c>
      <c r="L48" s="353">
        <f t="shared" si="33"/>
        <v>28</v>
      </c>
      <c r="M48" s="353">
        <f t="shared" si="33"/>
        <v>0</v>
      </c>
      <c r="N48" s="353">
        <f t="shared" si="33"/>
        <v>0</v>
      </c>
      <c r="O48" s="353">
        <f t="shared" si="33"/>
        <v>0</v>
      </c>
      <c r="P48" s="353">
        <f t="shared" si="33"/>
        <v>0</v>
      </c>
      <c r="Q48" s="353">
        <f t="shared" si="33"/>
        <v>0</v>
      </c>
      <c r="R48" s="353">
        <f t="shared" si="33"/>
        <v>0</v>
      </c>
      <c r="S48" s="353">
        <f t="shared" si="33"/>
        <v>0</v>
      </c>
      <c r="T48" s="353">
        <f t="shared" si="33"/>
        <v>0</v>
      </c>
      <c r="U48" s="353">
        <f t="shared" si="33"/>
        <v>0</v>
      </c>
      <c r="V48" s="353">
        <f t="shared" si="33"/>
        <v>0</v>
      </c>
      <c r="W48" s="353">
        <f t="shared" si="33"/>
        <v>0</v>
      </c>
      <c r="X48" s="353">
        <f t="shared" si="33"/>
        <v>0</v>
      </c>
      <c r="Y48" s="353">
        <f t="shared" si="33"/>
        <v>0</v>
      </c>
      <c r="Z48" s="353">
        <f t="shared" si="33"/>
        <v>0</v>
      </c>
      <c r="AA48" s="353">
        <f t="shared" si="33"/>
        <v>0</v>
      </c>
      <c r="AB48" s="353">
        <f t="shared" si="33"/>
        <v>0</v>
      </c>
      <c r="AC48" s="353">
        <f t="shared" si="33"/>
        <v>0</v>
      </c>
      <c r="AD48" s="353">
        <f t="shared" si="33"/>
        <v>0</v>
      </c>
      <c r="AE48" s="353">
        <f t="shared" si="33"/>
        <v>0</v>
      </c>
      <c r="AF48" s="353">
        <f t="shared" si="33"/>
        <v>0</v>
      </c>
      <c r="AG48" s="353">
        <f t="shared" si="33"/>
        <v>0</v>
      </c>
      <c r="AH48" s="353">
        <f t="shared" si="33"/>
        <v>0</v>
      </c>
      <c r="AI48" s="353">
        <f t="shared" si="33"/>
        <v>0</v>
      </c>
      <c r="AJ48" s="353">
        <f t="shared" si="33"/>
        <v>0</v>
      </c>
      <c r="AK48" s="353">
        <f t="shared" si="33"/>
        <v>0</v>
      </c>
      <c r="AL48" s="353">
        <f t="shared" si="33"/>
        <v>0</v>
      </c>
      <c r="AM48" s="353">
        <f t="shared" si="33"/>
        <v>0</v>
      </c>
      <c r="AN48" s="353">
        <f t="shared" si="33"/>
        <v>0</v>
      </c>
      <c r="AO48" s="353">
        <f t="shared" si="33"/>
        <v>0</v>
      </c>
      <c r="AP48" s="353">
        <f t="shared" si="33"/>
        <v>0</v>
      </c>
      <c r="AQ48" s="353">
        <f t="shared" si="33"/>
        <v>0</v>
      </c>
      <c r="AR48" s="353">
        <f t="shared" si="33"/>
        <v>0</v>
      </c>
      <c r="AS48" s="353">
        <f t="shared" si="33"/>
        <v>0</v>
      </c>
      <c r="AT48" s="353">
        <f t="shared" si="33"/>
        <v>0</v>
      </c>
      <c r="AU48" s="353">
        <f t="shared" si="33"/>
        <v>0</v>
      </c>
      <c r="AV48" s="353">
        <f t="shared" si="33"/>
        <v>0</v>
      </c>
      <c r="AW48" s="90"/>
      <c r="AX48" s="90"/>
      <c r="AY48" s="90"/>
      <c r="AZ48" s="90"/>
      <c r="BA48" s="90"/>
      <c r="BB48" s="90"/>
      <c r="BC48" s="90"/>
      <c r="BD48" s="90"/>
      <c r="BE48" s="90"/>
      <c r="BF48" s="90"/>
      <c r="BG48" s="90"/>
    </row>
    <row r="49" ht="12.75" hidden="1" customHeight="1" outlineLevel="1">
      <c r="A49" s="515"/>
      <c r="B49" s="90"/>
      <c r="C49" s="90"/>
      <c r="D49" s="90"/>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row>
    <row r="50" ht="12.75" hidden="1" customHeight="1" outlineLevel="1">
      <c r="A50" s="515"/>
      <c r="B50" s="90" t="s">
        <v>638</v>
      </c>
      <c r="C50" s="90"/>
      <c r="D50" s="90"/>
      <c r="E50" s="90"/>
      <c r="F50" s="90"/>
      <c r="G50" s="90"/>
      <c r="H50" s="157"/>
      <c r="I50" s="157">
        <v>1.0</v>
      </c>
      <c r="J50" s="157">
        <v>0.98</v>
      </c>
      <c r="K50" s="152">
        <v>1.0</v>
      </c>
      <c r="L50" s="152">
        <v>1.0</v>
      </c>
      <c r="M50" s="152">
        <f t="shared" ref="M50:AV50" si="34">L50</f>
        <v>1</v>
      </c>
      <c r="N50" s="152">
        <f t="shared" si="34"/>
        <v>1</v>
      </c>
      <c r="O50" s="152">
        <f t="shared" si="34"/>
        <v>1</v>
      </c>
      <c r="P50" s="152">
        <f t="shared" si="34"/>
        <v>1</v>
      </c>
      <c r="Q50" s="152">
        <f t="shared" si="34"/>
        <v>1</v>
      </c>
      <c r="R50" s="152">
        <f t="shared" si="34"/>
        <v>1</v>
      </c>
      <c r="S50" s="152">
        <f t="shared" si="34"/>
        <v>1</v>
      </c>
      <c r="T50" s="152">
        <f t="shared" si="34"/>
        <v>1</v>
      </c>
      <c r="U50" s="152">
        <f t="shared" si="34"/>
        <v>1</v>
      </c>
      <c r="V50" s="152">
        <f t="shared" si="34"/>
        <v>1</v>
      </c>
      <c r="W50" s="152">
        <f t="shared" si="34"/>
        <v>1</v>
      </c>
      <c r="X50" s="152">
        <f t="shared" si="34"/>
        <v>1</v>
      </c>
      <c r="Y50" s="152">
        <f t="shared" si="34"/>
        <v>1</v>
      </c>
      <c r="Z50" s="152">
        <f t="shared" si="34"/>
        <v>1</v>
      </c>
      <c r="AA50" s="152">
        <f t="shared" si="34"/>
        <v>1</v>
      </c>
      <c r="AB50" s="152">
        <f t="shared" si="34"/>
        <v>1</v>
      </c>
      <c r="AC50" s="152">
        <f t="shared" si="34"/>
        <v>1</v>
      </c>
      <c r="AD50" s="152">
        <f t="shared" si="34"/>
        <v>1</v>
      </c>
      <c r="AE50" s="152">
        <f t="shared" si="34"/>
        <v>1</v>
      </c>
      <c r="AF50" s="152">
        <f t="shared" si="34"/>
        <v>1</v>
      </c>
      <c r="AG50" s="152">
        <f t="shared" si="34"/>
        <v>1</v>
      </c>
      <c r="AH50" s="152">
        <f t="shared" si="34"/>
        <v>1</v>
      </c>
      <c r="AI50" s="152">
        <f t="shared" si="34"/>
        <v>1</v>
      </c>
      <c r="AJ50" s="152">
        <f t="shared" si="34"/>
        <v>1</v>
      </c>
      <c r="AK50" s="152">
        <f t="shared" si="34"/>
        <v>1</v>
      </c>
      <c r="AL50" s="152">
        <f t="shared" si="34"/>
        <v>1</v>
      </c>
      <c r="AM50" s="152">
        <f t="shared" si="34"/>
        <v>1</v>
      </c>
      <c r="AN50" s="152">
        <f t="shared" si="34"/>
        <v>1</v>
      </c>
      <c r="AO50" s="152">
        <f t="shared" si="34"/>
        <v>1</v>
      </c>
      <c r="AP50" s="152">
        <f t="shared" si="34"/>
        <v>1</v>
      </c>
      <c r="AQ50" s="152">
        <f t="shared" si="34"/>
        <v>1</v>
      </c>
      <c r="AR50" s="152">
        <f t="shared" si="34"/>
        <v>1</v>
      </c>
      <c r="AS50" s="152">
        <f t="shared" si="34"/>
        <v>1</v>
      </c>
      <c r="AT50" s="152">
        <f t="shared" si="34"/>
        <v>1</v>
      </c>
      <c r="AU50" s="152">
        <f t="shared" si="34"/>
        <v>1</v>
      </c>
      <c r="AV50" s="152">
        <f t="shared" si="34"/>
        <v>1</v>
      </c>
      <c r="AW50" s="90"/>
      <c r="AX50" s="90"/>
      <c r="AY50" s="90"/>
      <c r="AZ50" s="90"/>
      <c r="BA50" s="90"/>
      <c r="BB50" s="90"/>
      <c r="BC50" s="90"/>
      <c r="BD50" s="90"/>
      <c r="BE50" s="90"/>
      <c r="BF50" s="90"/>
      <c r="BG50" s="90"/>
    </row>
    <row r="51" ht="12.75" hidden="1" customHeight="1" outlineLevel="1">
      <c r="A51" s="515"/>
      <c r="B51" s="90"/>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row>
    <row r="52" ht="12.75" hidden="1" customHeight="1" outlineLevel="1">
      <c r="A52" s="515"/>
      <c r="B52" s="90" t="s">
        <v>639</v>
      </c>
      <c r="C52" s="90"/>
      <c r="D52" s="90"/>
      <c r="E52" s="90"/>
      <c r="F52" s="90"/>
      <c r="G52" s="90"/>
      <c r="H52" s="157"/>
      <c r="I52" s="157">
        <v>0.96</v>
      </c>
      <c r="J52" s="157">
        <v>0.96</v>
      </c>
      <c r="K52" s="152">
        <f t="shared" ref="K52:AV52" si="35">J52</f>
        <v>0.96</v>
      </c>
      <c r="L52" s="152">
        <f t="shared" si="35"/>
        <v>0.96</v>
      </c>
      <c r="M52" s="152">
        <f t="shared" si="35"/>
        <v>0.96</v>
      </c>
      <c r="N52" s="152">
        <f t="shared" si="35"/>
        <v>0.96</v>
      </c>
      <c r="O52" s="152">
        <f t="shared" si="35"/>
        <v>0.96</v>
      </c>
      <c r="P52" s="152">
        <f t="shared" si="35"/>
        <v>0.96</v>
      </c>
      <c r="Q52" s="152">
        <f t="shared" si="35"/>
        <v>0.96</v>
      </c>
      <c r="R52" s="152">
        <f t="shared" si="35"/>
        <v>0.96</v>
      </c>
      <c r="S52" s="152">
        <f t="shared" si="35"/>
        <v>0.96</v>
      </c>
      <c r="T52" s="152">
        <f t="shared" si="35"/>
        <v>0.96</v>
      </c>
      <c r="U52" s="152">
        <f t="shared" si="35"/>
        <v>0.96</v>
      </c>
      <c r="V52" s="152">
        <f t="shared" si="35"/>
        <v>0.96</v>
      </c>
      <c r="W52" s="152">
        <f t="shared" si="35"/>
        <v>0.96</v>
      </c>
      <c r="X52" s="152">
        <f t="shared" si="35"/>
        <v>0.96</v>
      </c>
      <c r="Y52" s="152">
        <f t="shared" si="35"/>
        <v>0.96</v>
      </c>
      <c r="Z52" s="152">
        <f t="shared" si="35"/>
        <v>0.96</v>
      </c>
      <c r="AA52" s="152">
        <f t="shared" si="35"/>
        <v>0.96</v>
      </c>
      <c r="AB52" s="152">
        <f t="shared" si="35"/>
        <v>0.96</v>
      </c>
      <c r="AC52" s="152">
        <f t="shared" si="35"/>
        <v>0.96</v>
      </c>
      <c r="AD52" s="152">
        <f t="shared" si="35"/>
        <v>0.96</v>
      </c>
      <c r="AE52" s="152">
        <f t="shared" si="35"/>
        <v>0.96</v>
      </c>
      <c r="AF52" s="152">
        <f t="shared" si="35"/>
        <v>0.96</v>
      </c>
      <c r="AG52" s="152">
        <f t="shared" si="35"/>
        <v>0.96</v>
      </c>
      <c r="AH52" s="152">
        <f t="shared" si="35"/>
        <v>0.96</v>
      </c>
      <c r="AI52" s="152">
        <f t="shared" si="35"/>
        <v>0.96</v>
      </c>
      <c r="AJ52" s="152">
        <f t="shared" si="35"/>
        <v>0.96</v>
      </c>
      <c r="AK52" s="152">
        <f t="shared" si="35"/>
        <v>0.96</v>
      </c>
      <c r="AL52" s="152">
        <f t="shared" si="35"/>
        <v>0.96</v>
      </c>
      <c r="AM52" s="152">
        <f t="shared" si="35"/>
        <v>0.96</v>
      </c>
      <c r="AN52" s="152">
        <f t="shared" si="35"/>
        <v>0.96</v>
      </c>
      <c r="AO52" s="152">
        <f t="shared" si="35"/>
        <v>0.96</v>
      </c>
      <c r="AP52" s="152">
        <f t="shared" si="35"/>
        <v>0.96</v>
      </c>
      <c r="AQ52" s="152">
        <f t="shared" si="35"/>
        <v>0.96</v>
      </c>
      <c r="AR52" s="152">
        <f t="shared" si="35"/>
        <v>0.96</v>
      </c>
      <c r="AS52" s="152">
        <f t="shared" si="35"/>
        <v>0.96</v>
      </c>
      <c r="AT52" s="152">
        <f t="shared" si="35"/>
        <v>0.96</v>
      </c>
      <c r="AU52" s="152">
        <f t="shared" si="35"/>
        <v>0.96</v>
      </c>
      <c r="AV52" s="152">
        <f t="shared" si="35"/>
        <v>0.96</v>
      </c>
      <c r="AW52" s="90"/>
      <c r="AX52" s="90"/>
      <c r="AY52" s="90"/>
      <c r="AZ52" s="90"/>
      <c r="BA52" s="90"/>
      <c r="BB52" s="90"/>
      <c r="BC52" s="90"/>
      <c r="BD52" s="90"/>
      <c r="BE52" s="90"/>
      <c r="BF52" s="90"/>
      <c r="BG52" s="90"/>
    </row>
    <row r="53" ht="12.75" hidden="1" customHeight="1" outlineLevel="1">
      <c r="A53" s="515"/>
      <c r="B53" s="90"/>
      <c r="C53" s="90" t="s">
        <v>640</v>
      </c>
      <c r="D53" s="90"/>
      <c r="E53" s="90"/>
      <c r="F53" s="90"/>
      <c r="G53" s="90"/>
      <c r="H53" s="102"/>
      <c r="I53" s="102">
        <f t="shared" ref="I53:AV53" si="36">I50*I52*SUM(I40:I43)</f>
        <v>153.6</v>
      </c>
      <c r="J53" s="102">
        <f t="shared" si="36"/>
        <v>263.424</v>
      </c>
      <c r="K53" s="102">
        <f t="shared" si="36"/>
        <v>345.6</v>
      </c>
      <c r="L53" s="102">
        <f t="shared" si="36"/>
        <v>331.2</v>
      </c>
      <c r="M53" s="102">
        <f t="shared" si="36"/>
        <v>331.2</v>
      </c>
      <c r="N53" s="102">
        <f t="shared" si="36"/>
        <v>331.2</v>
      </c>
      <c r="O53" s="102">
        <f t="shared" si="36"/>
        <v>331.2</v>
      </c>
      <c r="P53" s="102">
        <f t="shared" si="36"/>
        <v>331.2</v>
      </c>
      <c r="Q53" s="102">
        <f t="shared" si="36"/>
        <v>331.2</v>
      </c>
      <c r="R53" s="102">
        <f t="shared" si="36"/>
        <v>331.2</v>
      </c>
      <c r="S53" s="102">
        <f t="shared" si="36"/>
        <v>331.2</v>
      </c>
      <c r="T53" s="102">
        <f t="shared" si="36"/>
        <v>331.2</v>
      </c>
      <c r="U53" s="102">
        <f t="shared" si="36"/>
        <v>331.2</v>
      </c>
      <c r="V53" s="102">
        <f t="shared" si="36"/>
        <v>331.2</v>
      </c>
      <c r="W53" s="102">
        <f t="shared" si="36"/>
        <v>331.2</v>
      </c>
      <c r="X53" s="102">
        <f t="shared" si="36"/>
        <v>331.2</v>
      </c>
      <c r="Y53" s="102">
        <f t="shared" si="36"/>
        <v>331.2</v>
      </c>
      <c r="Z53" s="102">
        <f t="shared" si="36"/>
        <v>331.2</v>
      </c>
      <c r="AA53" s="102">
        <f t="shared" si="36"/>
        <v>331.2</v>
      </c>
      <c r="AB53" s="102">
        <f t="shared" si="36"/>
        <v>331.2</v>
      </c>
      <c r="AC53" s="102">
        <f t="shared" si="36"/>
        <v>331.2</v>
      </c>
      <c r="AD53" s="102">
        <f t="shared" si="36"/>
        <v>331.2</v>
      </c>
      <c r="AE53" s="102">
        <f t="shared" si="36"/>
        <v>331.2</v>
      </c>
      <c r="AF53" s="102">
        <f t="shared" si="36"/>
        <v>331.2</v>
      </c>
      <c r="AG53" s="102">
        <f t="shared" si="36"/>
        <v>331.2</v>
      </c>
      <c r="AH53" s="102">
        <f t="shared" si="36"/>
        <v>331.2</v>
      </c>
      <c r="AI53" s="102">
        <f t="shared" si="36"/>
        <v>331.2</v>
      </c>
      <c r="AJ53" s="102">
        <f t="shared" si="36"/>
        <v>331.2</v>
      </c>
      <c r="AK53" s="102">
        <f t="shared" si="36"/>
        <v>331.2</v>
      </c>
      <c r="AL53" s="102">
        <f t="shared" si="36"/>
        <v>331.2</v>
      </c>
      <c r="AM53" s="102">
        <f t="shared" si="36"/>
        <v>331.2</v>
      </c>
      <c r="AN53" s="102">
        <f t="shared" si="36"/>
        <v>331.2</v>
      </c>
      <c r="AO53" s="102">
        <f t="shared" si="36"/>
        <v>331.2</v>
      </c>
      <c r="AP53" s="102">
        <f t="shared" si="36"/>
        <v>331.2</v>
      </c>
      <c r="AQ53" s="102">
        <f t="shared" si="36"/>
        <v>331.2</v>
      </c>
      <c r="AR53" s="102">
        <f t="shared" si="36"/>
        <v>331.2</v>
      </c>
      <c r="AS53" s="102">
        <f t="shared" si="36"/>
        <v>331.2</v>
      </c>
      <c r="AT53" s="102">
        <f t="shared" si="36"/>
        <v>331.2</v>
      </c>
      <c r="AU53" s="102">
        <f t="shared" si="36"/>
        <v>331.2</v>
      </c>
      <c r="AV53" s="102">
        <f t="shared" si="36"/>
        <v>331.2</v>
      </c>
      <c r="AW53" s="90"/>
      <c r="AX53" s="90"/>
      <c r="AY53" s="90"/>
      <c r="AZ53" s="90"/>
      <c r="BA53" s="90"/>
      <c r="BB53" s="90"/>
      <c r="BC53" s="90"/>
      <c r="BD53" s="90"/>
      <c r="BE53" s="90"/>
      <c r="BF53" s="90"/>
      <c r="BG53" s="90"/>
    </row>
    <row r="54" ht="12.75" hidden="1" customHeight="1" outlineLevel="1">
      <c r="A54" s="515"/>
      <c r="B54" s="90"/>
      <c r="C54" s="90" t="s">
        <v>641</v>
      </c>
      <c r="D54" s="90"/>
      <c r="E54" s="90"/>
      <c r="F54" s="90"/>
      <c r="G54" s="90"/>
      <c r="H54" s="102"/>
      <c r="I54" s="102">
        <f t="shared" ref="I54:AV54" si="37">I50*I52*(I44+I45)</f>
        <v>0</v>
      </c>
      <c r="J54" s="102">
        <f t="shared" si="37"/>
        <v>37.632</v>
      </c>
      <c r="K54" s="102">
        <f t="shared" si="37"/>
        <v>88.32</v>
      </c>
      <c r="L54" s="102">
        <f t="shared" si="37"/>
        <v>129.6</v>
      </c>
      <c r="M54" s="102">
        <f t="shared" si="37"/>
        <v>129.6</v>
      </c>
      <c r="N54" s="102">
        <f t="shared" si="37"/>
        <v>129.6</v>
      </c>
      <c r="O54" s="102">
        <f t="shared" si="37"/>
        <v>129.6</v>
      </c>
      <c r="P54" s="102">
        <f t="shared" si="37"/>
        <v>129.6</v>
      </c>
      <c r="Q54" s="102">
        <f t="shared" si="37"/>
        <v>129.6</v>
      </c>
      <c r="R54" s="102">
        <f t="shared" si="37"/>
        <v>129.6</v>
      </c>
      <c r="S54" s="102">
        <f t="shared" si="37"/>
        <v>129.6</v>
      </c>
      <c r="T54" s="102">
        <f t="shared" si="37"/>
        <v>129.6</v>
      </c>
      <c r="U54" s="102">
        <f t="shared" si="37"/>
        <v>129.6</v>
      </c>
      <c r="V54" s="102">
        <f t="shared" si="37"/>
        <v>129.6</v>
      </c>
      <c r="W54" s="102">
        <f t="shared" si="37"/>
        <v>129.6</v>
      </c>
      <c r="X54" s="102">
        <f t="shared" si="37"/>
        <v>129.6</v>
      </c>
      <c r="Y54" s="102">
        <f t="shared" si="37"/>
        <v>129.6</v>
      </c>
      <c r="Z54" s="102">
        <f t="shared" si="37"/>
        <v>129.6</v>
      </c>
      <c r="AA54" s="102">
        <f t="shared" si="37"/>
        <v>129.6</v>
      </c>
      <c r="AB54" s="102">
        <f t="shared" si="37"/>
        <v>129.6</v>
      </c>
      <c r="AC54" s="102">
        <f t="shared" si="37"/>
        <v>129.6</v>
      </c>
      <c r="AD54" s="102">
        <f t="shared" si="37"/>
        <v>129.6</v>
      </c>
      <c r="AE54" s="102">
        <f t="shared" si="37"/>
        <v>129.6</v>
      </c>
      <c r="AF54" s="102">
        <f t="shared" si="37"/>
        <v>129.6</v>
      </c>
      <c r="AG54" s="102">
        <f t="shared" si="37"/>
        <v>129.6</v>
      </c>
      <c r="AH54" s="102">
        <f t="shared" si="37"/>
        <v>129.6</v>
      </c>
      <c r="AI54" s="102">
        <f t="shared" si="37"/>
        <v>129.6</v>
      </c>
      <c r="AJ54" s="102">
        <f t="shared" si="37"/>
        <v>129.6</v>
      </c>
      <c r="AK54" s="102">
        <f t="shared" si="37"/>
        <v>129.6</v>
      </c>
      <c r="AL54" s="102">
        <f t="shared" si="37"/>
        <v>129.6</v>
      </c>
      <c r="AM54" s="102">
        <f t="shared" si="37"/>
        <v>129.6</v>
      </c>
      <c r="AN54" s="102">
        <f t="shared" si="37"/>
        <v>129.6</v>
      </c>
      <c r="AO54" s="102">
        <f t="shared" si="37"/>
        <v>129.6</v>
      </c>
      <c r="AP54" s="102">
        <f t="shared" si="37"/>
        <v>129.6</v>
      </c>
      <c r="AQ54" s="102">
        <f t="shared" si="37"/>
        <v>129.6</v>
      </c>
      <c r="AR54" s="102">
        <f t="shared" si="37"/>
        <v>129.6</v>
      </c>
      <c r="AS54" s="102">
        <f t="shared" si="37"/>
        <v>129.6</v>
      </c>
      <c r="AT54" s="102">
        <f t="shared" si="37"/>
        <v>129.6</v>
      </c>
      <c r="AU54" s="102">
        <f t="shared" si="37"/>
        <v>129.6</v>
      </c>
      <c r="AV54" s="102">
        <f t="shared" si="37"/>
        <v>129.6</v>
      </c>
      <c r="AW54" s="90"/>
      <c r="AX54" s="90"/>
      <c r="AY54" s="90"/>
      <c r="AZ54" s="90"/>
      <c r="BA54" s="90"/>
      <c r="BB54" s="90"/>
      <c r="BC54" s="90"/>
      <c r="BD54" s="90"/>
      <c r="BE54" s="90"/>
      <c r="BF54" s="90"/>
      <c r="BG54" s="90"/>
    </row>
    <row r="55" ht="12.75" hidden="1" customHeight="1" outlineLevel="1">
      <c r="A55" s="515"/>
      <c r="B55" s="90" t="s">
        <v>538</v>
      </c>
      <c r="C55" s="90"/>
      <c r="D55" s="90"/>
      <c r="E55" s="90"/>
      <c r="F55" s="90"/>
      <c r="G55" s="90"/>
      <c r="H55" s="102"/>
      <c r="I55" s="102">
        <f t="shared" ref="I55:AV55" si="38">I50*I52*I46</f>
        <v>153.6</v>
      </c>
      <c r="J55" s="102">
        <f t="shared" si="38"/>
        <v>301.056</v>
      </c>
      <c r="K55" s="102">
        <f t="shared" si="38"/>
        <v>433.92</v>
      </c>
      <c r="L55" s="102">
        <f t="shared" si="38"/>
        <v>460.8</v>
      </c>
      <c r="M55" s="102">
        <f t="shared" si="38"/>
        <v>460.8</v>
      </c>
      <c r="N55" s="102">
        <f t="shared" si="38"/>
        <v>460.8</v>
      </c>
      <c r="O55" s="102">
        <f t="shared" si="38"/>
        <v>460.8</v>
      </c>
      <c r="P55" s="102">
        <f t="shared" si="38"/>
        <v>460.8</v>
      </c>
      <c r="Q55" s="102">
        <f t="shared" si="38"/>
        <v>460.8</v>
      </c>
      <c r="R55" s="102">
        <f t="shared" si="38"/>
        <v>460.8</v>
      </c>
      <c r="S55" s="102">
        <f t="shared" si="38"/>
        <v>460.8</v>
      </c>
      <c r="T55" s="102">
        <f t="shared" si="38"/>
        <v>460.8</v>
      </c>
      <c r="U55" s="102">
        <f t="shared" si="38"/>
        <v>460.8</v>
      </c>
      <c r="V55" s="102">
        <f t="shared" si="38"/>
        <v>460.8</v>
      </c>
      <c r="W55" s="102">
        <f t="shared" si="38"/>
        <v>460.8</v>
      </c>
      <c r="X55" s="102">
        <f t="shared" si="38"/>
        <v>460.8</v>
      </c>
      <c r="Y55" s="102">
        <f t="shared" si="38"/>
        <v>460.8</v>
      </c>
      <c r="Z55" s="102">
        <f t="shared" si="38"/>
        <v>460.8</v>
      </c>
      <c r="AA55" s="102">
        <f t="shared" si="38"/>
        <v>460.8</v>
      </c>
      <c r="AB55" s="102">
        <f t="shared" si="38"/>
        <v>460.8</v>
      </c>
      <c r="AC55" s="102">
        <f t="shared" si="38"/>
        <v>460.8</v>
      </c>
      <c r="AD55" s="102">
        <f t="shared" si="38"/>
        <v>460.8</v>
      </c>
      <c r="AE55" s="102">
        <f t="shared" si="38"/>
        <v>460.8</v>
      </c>
      <c r="AF55" s="102">
        <f t="shared" si="38"/>
        <v>460.8</v>
      </c>
      <c r="AG55" s="102">
        <f t="shared" si="38"/>
        <v>460.8</v>
      </c>
      <c r="AH55" s="102">
        <f t="shared" si="38"/>
        <v>460.8</v>
      </c>
      <c r="AI55" s="102">
        <f t="shared" si="38"/>
        <v>460.8</v>
      </c>
      <c r="AJ55" s="102">
        <f t="shared" si="38"/>
        <v>460.8</v>
      </c>
      <c r="AK55" s="102">
        <f t="shared" si="38"/>
        <v>460.8</v>
      </c>
      <c r="AL55" s="102">
        <f t="shared" si="38"/>
        <v>460.8</v>
      </c>
      <c r="AM55" s="102">
        <f t="shared" si="38"/>
        <v>460.8</v>
      </c>
      <c r="AN55" s="102">
        <f t="shared" si="38"/>
        <v>460.8</v>
      </c>
      <c r="AO55" s="102">
        <f t="shared" si="38"/>
        <v>460.8</v>
      </c>
      <c r="AP55" s="102">
        <f t="shared" si="38"/>
        <v>460.8</v>
      </c>
      <c r="AQ55" s="102">
        <f t="shared" si="38"/>
        <v>460.8</v>
      </c>
      <c r="AR55" s="102">
        <f t="shared" si="38"/>
        <v>460.8</v>
      </c>
      <c r="AS55" s="102">
        <f t="shared" si="38"/>
        <v>460.8</v>
      </c>
      <c r="AT55" s="102">
        <f t="shared" si="38"/>
        <v>460.8</v>
      </c>
      <c r="AU55" s="102">
        <f t="shared" si="38"/>
        <v>460.8</v>
      </c>
      <c r="AV55" s="102">
        <f t="shared" si="38"/>
        <v>460.8</v>
      </c>
      <c r="AW55" s="90"/>
      <c r="AX55" s="90"/>
      <c r="AY55" s="90"/>
      <c r="AZ55" s="90"/>
      <c r="BA55" s="90"/>
      <c r="BB55" s="90"/>
      <c r="BC55" s="90"/>
      <c r="BD55" s="90"/>
      <c r="BE55" s="90"/>
      <c r="BF55" s="90"/>
      <c r="BG55" s="90"/>
    </row>
    <row r="56" ht="12.75" hidden="1" customHeight="1" outlineLevel="1">
      <c r="A56" s="515"/>
      <c r="B56" s="195"/>
      <c r="C56" s="90"/>
      <c r="D56" s="90"/>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row>
    <row r="57" ht="12.75" hidden="1" customHeight="1" outlineLevel="1">
      <c r="A57" s="515"/>
      <c r="B57" s="90" t="s">
        <v>642</v>
      </c>
      <c r="C57" s="90"/>
      <c r="D57" s="90"/>
      <c r="E57" s="90"/>
      <c r="F57" s="90"/>
      <c r="G57" s="90"/>
      <c r="H57" s="157"/>
      <c r="I57" s="157">
        <v>0.7</v>
      </c>
      <c r="J57" s="157">
        <v>0.7</v>
      </c>
      <c r="K57" s="152">
        <f t="shared" ref="K57:AV57" si="39">J57</f>
        <v>0.7</v>
      </c>
      <c r="L57" s="152">
        <f t="shared" si="39"/>
        <v>0.7</v>
      </c>
      <c r="M57" s="152">
        <f t="shared" si="39"/>
        <v>0.7</v>
      </c>
      <c r="N57" s="152">
        <f t="shared" si="39"/>
        <v>0.7</v>
      </c>
      <c r="O57" s="152">
        <f t="shared" si="39"/>
        <v>0.7</v>
      </c>
      <c r="P57" s="152">
        <f t="shared" si="39"/>
        <v>0.7</v>
      </c>
      <c r="Q57" s="152">
        <f t="shared" si="39"/>
        <v>0.7</v>
      </c>
      <c r="R57" s="152">
        <f t="shared" si="39"/>
        <v>0.7</v>
      </c>
      <c r="S57" s="152">
        <f t="shared" si="39"/>
        <v>0.7</v>
      </c>
      <c r="T57" s="152">
        <f t="shared" si="39"/>
        <v>0.7</v>
      </c>
      <c r="U57" s="152">
        <f t="shared" si="39"/>
        <v>0.7</v>
      </c>
      <c r="V57" s="152">
        <f t="shared" si="39"/>
        <v>0.7</v>
      </c>
      <c r="W57" s="152">
        <f t="shared" si="39"/>
        <v>0.7</v>
      </c>
      <c r="X57" s="152">
        <f t="shared" si="39"/>
        <v>0.7</v>
      </c>
      <c r="Y57" s="152">
        <f t="shared" si="39"/>
        <v>0.7</v>
      </c>
      <c r="Z57" s="152">
        <f t="shared" si="39"/>
        <v>0.7</v>
      </c>
      <c r="AA57" s="152">
        <f t="shared" si="39"/>
        <v>0.7</v>
      </c>
      <c r="AB57" s="152">
        <f t="shared" si="39"/>
        <v>0.7</v>
      </c>
      <c r="AC57" s="152">
        <f t="shared" si="39"/>
        <v>0.7</v>
      </c>
      <c r="AD57" s="152">
        <f t="shared" si="39"/>
        <v>0.7</v>
      </c>
      <c r="AE57" s="152">
        <f t="shared" si="39"/>
        <v>0.7</v>
      </c>
      <c r="AF57" s="152">
        <f t="shared" si="39"/>
        <v>0.7</v>
      </c>
      <c r="AG57" s="152">
        <f t="shared" si="39"/>
        <v>0.7</v>
      </c>
      <c r="AH57" s="152">
        <f t="shared" si="39"/>
        <v>0.7</v>
      </c>
      <c r="AI57" s="152">
        <f t="shared" si="39"/>
        <v>0.7</v>
      </c>
      <c r="AJ57" s="152">
        <f t="shared" si="39"/>
        <v>0.7</v>
      </c>
      <c r="AK57" s="152">
        <f t="shared" si="39"/>
        <v>0.7</v>
      </c>
      <c r="AL57" s="152">
        <f t="shared" si="39"/>
        <v>0.7</v>
      </c>
      <c r="AM57" s="152">
        <f t="shared" si="39"/>
        <v>0.7</v>
      </c>
      <c r="AN57" s="152">
        <f t="shared" si="39"/>
        <v>0.7</v>
      </c>
      <c r="AO57" s="152">
        <f t="shared" si="39"/>
        <v>0.7</v>
      </c>
      <c r="AP57" s="152">
        <f t="shared" si="39"/>
        <v>0.7</v>
      </c>
      <c r="AQ57" s="152">
        <f t="shared" si="39"/>
        <v>0.7</v>
      </c>
      <c r="AR57" s="152">
        <f t="shared" si="39"/>
        <v>0.7</v>
      </c>
      <c r="AS57" s="152">
        <f t="shared" si="39"/>
        <v>0.7</v>
      </c>
      <c r="AT57" s="152">
        <f t="shared" si="39"/>
        <v>0.7</v>
      </c>
      <c r="AU57" s="152">
        <f t="shared" si="39"/>
        <v>0.7</v>
      </c>
      <c r="AV57" s="152">
        <f t="shared" si="39"/>
        <v>0.7</v>
      </c>
      <c r="AW57" s="90"/>
      <c r="AX57" s="90"/>
      <c r="AY57" s="90"/>
      <c r="AZ57" s="90"/>
      <c r="BA57" s="90"/>
      <c r="BB57" s="90"/>
      <c r="BC57" s="90"/>
      <c r="BD57" s="90"/>
      <c r="BE57" s="90"/>
      <c r="BF57" s="90"/>
      <c r="BG57" s="90"/>
    </row>
    <row r="58" ht="12.75" hidden="1" customHeight="1" outlineLevel="1">
      <c r="A58" s="515"/>
      <c r="B58" s="90" t="s">
        <v>643</v>
      </c>
      <c r="C58" s="90"/>
      <c r="D58" s="90"/>
      <c r="E58" s="90"/>
      <c r="F58" s="90"/>
      <c r="G58" s="90"/>
      <c r="H58" s="90"/>
      <c r="I58" s="90">
        <f t="shared" ref="I58:AV58" si="40">ROUND(I50*I57*I46,0)</f>
        <v>112</v>
      </c>
      <c r="J58" s="90">
        <f t="shared" si="40"/>
        <v>220</v>
      </c>
      <c r="K58" s="90">
        <f t="shared" si="40"/>
        <v>316</v>
      </c>
      <c r="L58" s="90">
        <f t="shared" si="40"/>
        <v>336</v>
      </c>
      <c r="M58" s="90">
        <f t="shared" si="40"/>
        <v>336</v>
      </c>
      <c r="N58" s="90">
        <f t="shared" si="40"/>
        <v>336</v>
      </c>
      <c r="O58" s="90">
        <f t="shared" si="40"/>
        <v>336</v>
      </c>
      <c r="P58" s="90">
        <f t="shared" si="40"/>
        <v>336</v>
      </c>
      <c r="Q58" s="90">
        <f t="shared" si="40"/>
        <v>336</v>
      </c>
      <c r="R58" s="90">
        <f t="shared" si="40"/>
        <v>336</v>
      </c>
      <c r="S58" s="90">
        <f t="shared" si="40"/>
        <v>336</v>
      </c>
      <c r="T58" s="90">
        <f t="shared" si="40"/>
        <v>336</v>
      </c>
      <c r="U58" s="90">
        <f t="shared" si="40"/>
        <v>336</v>
      </c>
      <c r="V58" s="90">
        <f t="shared" si="40"/>
        <v>336</v>
      </c>
      <c r="W58" s="90">
        <f t="shared" si="40"/>
        <v>336</v>
      </c>
      <c r="X58" s="90">
        <f t="shared" si="40"/>
        <v>336</v>
      </c>
      <c r="Y58" s="90">
        <f t="shared" si="40"/>
        <v>336</v>
      </c>
      <c r="Z58" s="90">
        <f t="shared" si="40"/>
        <v>336</v>
      </c>
      <c r="AA58" s="90">
        <f t="shared" si="40"/>
        <v>336</v>
      </c>
      <c r="AB58" s="90">
        <f t="shared" si="40"/>
        <v>336</v>
      </c>
      <c r="AC58" s="90">
        <f t="shared" si="40"/>
        <v>336</v>
      </c>
      <c r="AD58" s="90">
        <f t="shared" si="40"/>
        <v>336</v>
      </c>
      <c r="AE58" s="90">
        <f t="shared" si="40"/>
        <v>336</v>
      </c>
      <c r="AF58" s="90">
        <f t="shared" si="40"/>
        <v>336</v>
      </c>
      <c r="AG58" s="90">
        <f t="shared" si="40"/>
        <v>336</v>
      </c>
      <c r="AH58" s="90">
        <f t="shared" si="40"/>
        <v>336</v>
      </c>
      <c r="AI58" s="90">
        <f t="shared" si="40"/>
        <v>336</v>
      </c>
      <c r="AJ58" s="90">
        <f t="shared" si="40"/>
        <v>336</v>
      </c>
      <c r="AK58" s="90">
        <f t="shared" si="40"/>
        <v>336</v>
      </c>
      <c r="AL58" s="90">
        <f t="shared" si="40"/>
        <v>336</v>
      </c>
      <c r="AM58" s="90">
        <f t="shared" si="40"/>
        <v>336</v>
      </c>
      <c r="AN58" s="90">
        <f t="shared" si="40"/>
        <v>336</v>
      </c>
      <c r="AO58" s="90">
        <f t="shared" si="40"/>
        <v>336</v>
      </c>
      <c r="AP58" s="90">
        <f t="shared" si="40"/>
        <v>336</v>
      </c>
      <c r="AQ58" s="90">
        <f t="shared" si="40"/>
        <v>336</v>
      </c>
      <c r="AR58" s="90">
        <f t="shared" si="40"/>
        <v>336</v>
      </c>
      <c r="AS58" s="90">
        <f t="shared" si="40"/>
        <v>336</v>
      </c>
      <c r="AT58" s="90">
        <f t="shared" si="40"/>
        <v>336</v>
      </c>
      <c r="AU58" s="90">
        <f t="shared" si="40"/>
        <v>336</v>
      </c>
      <c r="AV58" s="90">
        <f t="shared" si="40"/>
        <v>336</v>
      </c>
      <c r="AW58" s="90"/>
      <c r="AX58" s="90"/>
      <c r="AY58" s="90"/>
      <c r="AZ58" s="90"/>
      <c r="BA58" s="90"/>
      <c r="BB58" s="90"/>
      <c r="BC58" s="90"/>
      <c r="BD58" s="90"/>
      <c r="BE58" s="90"/>
      <c r="BF58" s="90"/>
      <c r="BG58" s="90"/>
    </row>
    <row r="59" ht="12.75" hidden="1" customHeight="1" outlineLevel="1">
      <c r="A59" s="515"/>
      <c r="B59" s="90" t="s">
        <v>644</v>
      </c>
      <c r="C59" s="90"/>
      <c r="D59" s="90"/>
      <c r="E59" s="90"/>
      <c r="F59" s="90"/>
      <c r="G59" s="90"/>
      <c r="H59" s="157"/>
      <c r="I59" s="157">
        <v>0.06</v>
      </c>
      <c r="J59" s="152">
        <f t="shared" ref="J59:AV59" si="41">I59</f>
        <v>0.06</v>
      </c>
      <c r="K59" s="152">
        <f t="shared" si="41"/>
        <v>0.06</v>
      </c>
      <c r="L59" s="152">
        <f t="shared" si="41"/>
        <v>0.06</v>
      </c>
      <c r="M59" s="152">
        <f t="shared" si="41"/>
        <v>0.06</v>
      </c>
      <c r="N59" s="152">
        <f t="shared" si="41"/>
        <v>0.06</v>
      </c>
      <c r="O59" s="152">
        <f t="shared" si="41"/>
        <v>0.06</v>
      </c>
      <c r="P59" s="152">
        <f t="shared" si="41"/>
        <v>0.06</v>
      </c>
      <c r="Q59" s="152">
        <f t="shared" si="41"/>
        <v>0.06</v>
      </c>
      <c r="R59" s="152">
        <f t="shared" si="41"/>
        <v>0.06</v>
      </c>
      <c r="S59" s="152">
        <f t="shared" si="41"/>
        <v>0.06</v>
      </c>
      <c r="T59" s="152">
        <f t="shared" si="41"/>
        <v>0.06</v>
      </c>
      <c r="U59" s="152">
        <f t="shared" si="41"/>
        <v>0.06</v>
      </c>
      <c r="V59" s="152">
        <f t="shared" si="41"/>
        <v>0.06</v>
      </c>
      <c r="W59" s="152">
        <f t="shared" si="41"/>
        <v>0.06</v>
      </c>
      <c r="X59" s="152">
        <f t="shared" si="41"/>
        <v>0.06</v>
      </c>
      <c r="Y59" s="152">
        <f t="shared" si="41"/>
        <v>0.06</v>
      </c>
      <c r="Z59" s="152">
        <f t="shared" si="41"/>
        <v>0.06</v>
      </c>
      <c r="AA59" s="152">
        <f t="shared" si="41"/>
        <v>0.06</v>
      </c>
      <c r="AB59" s="152">
        <f t="shared" si="41"/>
        <v>0.06</v>
      </c>
      <c r="AC59" s="152">
        <f t="shared" si="41"/>
        <v>0.06</v>
      </c>
      <c r="AD59" s="152">
        <f t="shared" si="41"/>
        <v>0.06</v>
      </c>
      <c r="AE59" s="152">
        <f t="shared" si="41"/>
        <v>0.06</v>
      </c>
      <c r="AF59" s="152">
        <f t="shared" si="41"/>
        <v>0.06</v>
      </c>
      <c r="AG59" s="152">
        <f t="shared" si="41"/>
        <v>0.06</v>
      </c>
      <c r="AH59" s="152">
        <f t="shared" si="41"/>
        <v>0.06</v>
      </c>
      <c r="AI59" s="152">
        <f t="shared" si="41"/>
        <v>0.06</v>
      </c>
      <c r="AJ59" s="152">
        <f t="shared" si="41"/>
        <v>0.06</v>
      </c>
      <c r="AK59" s="152">
        <f t="shared" si="41"/>
        <v>0.06</v>
      </c>
      <c r="AL59" s="152">
        <f t="shared" si="41"/>
        <v>0.06</v>
      </c>
      <c r="AM59" s="152">
        <f t="shared" si="41"/>
        <v>0.06</v>
      </c>
      <c r="AN59" s="152">
        <f t="shared" si="41"/>
        <v>0.06</v>
      </c>
      <c r="AO59" s="152">
        <f t="shared" si="41"/>
        <v>0.06</v>
      </c>
      <c r="AP59" s="152">
        <f t="shared" si="41"/>
        <v>0.06</v>
      </c>
      <c r="AQ59" s="152">
        <f t="shared" si="41"/>
        <v>0.06</v>
      </c>
      <c r="AR59" s="152">
        <f t="shared" si="41"/>
        <v>0.06</v>
      </c>
      <c r="AS59" s="152">
        <f t="shared" si="41"/>
        <v>0.06</v>
      </c>
      <c r="AT59" s="152">
        <f t="shared" si="41"/>
        <v>0.06</v>
      </c>
      <c r="AU59" s="152">
        <f t="shared" si="41"/>
        <v>0.06</v>
      </c>
      <c r="AV59" s="152">
        <f t="shared" si="41"/>
        <v>0.06</v>
      </c>
      <c r="AW59" s="90"/>
      <c r="AX59" s="90"/>
      <c r="AY59" s="90"/>
      <c r="AZ59" s="90"/>
      <c r="BA59" s="90"/>
      <c r="BB59" s="90"/>
      <c r="BC59" s="90"/>
      <c r="BD59" s="90"/>
      <c r="BE59" s="90"/>
      <c r="BF59" s="90"/>
      <c r="BG59" s="90"/>
    </row>
    <row r="60" ht="12.75" hidden="1" customHeight="1" outlineLevel="1">
      <c r="A60" s="515"/>
      <c r="B60" s="90" t="s">
        <v>645</v>
      </c>
      <c r="C60" s="90"/>
      <c r="D60" s="90"/>
      <c r="E60" s="90"/>
      <c r="F60" s="90"/>
      <c r="G60" s="90"/>
      <c r="H60" s="157"/>
      <c r="I60" s="157">
        <v>0.8</v>
      </c>
      <c r="J60" s="152">
        <f t="shared" ref="J60:AV60" si="42">I60</f>
        <v>0.8</v>
      </c>
      <c r="K60" s="152">
        <f t="shared" si="42"/>
        <v>0.8</v>
      </c>
      <c r="L60" s="152">
        <f t="shared" si="42"/>
        <v>0.8</v>
      </c>
      <c r="M60" s="152">
        <f t="shared" si="42"/>
        <v>0.8</v>
      </c>
      <c r="N60" s="152">
        <f t="shared" si="42"/>
        <v>0.8</v>
      </c>
      <c r="O60" s="152">
        <f t="shared" si="42"/>
        <v>0.8</v>
      </c>
      <c r="P60" s="152">
        <f t="shared" si="42"/>
        <v>0.8</v>
      </c>
      <c r="Q60" s="152">
        <f t="shared" si="42"/>
        <v>0.8</v>
      </c>
      <c r="R60" s="152">
        <f t="shared" si="42"/>
        <v>0.8</v>
      </c>
      <c r="S60" s="152">
        <f t="shared" si="42"/>
        <v>0.8</v>
      </c>
      <c r="T60" s="152">
        <f t="shared" si="42"/>
        <v>0.8</v>
      </c>
      <c r="U60" s="152">
        <f t="shared" si="42"/>
        <v>0.8</v>
      </c>
      <c r="V60" s="152">
        <f t="shared" si="42"/>
        <v>0.8</v>
      </c>
      <c r="W60" s="152">
        <f t="shared" si="42"/>
        <v>0.8</v>
      </c>
      <c r="X60" s="152">
        <f t="shared" si="42"/>
        <v>0.8</v>
      </c>
      <c r="Y60" s="152">
        <f t="shared" si="42"/>
        <v>0.8</v>
      </c>
      <c r="Z60" s="152">
        <f t="shared" si="42"/>
        <v>0.8</v>
      </c>
      <c r="AA60" s="152">
        <f t="shared" si="42"/>
        <v>0.8</v>
      </c>
      <c r="AB60" s="152">
        <f t="shared" si="42"/>
        <v>0.8</v>
      </c>
      <c r="AC60" s="152">
        <f t="shared" si="42"/>
        <v>0.8</v>
      </c>
      <c r="AD60" s="152">
        <f t="shared" si="42"/>
        <v>0.8</v>
      </c>
      <c r="AE60" s="152">
        <f t="shared" si="42"/>
        <v>0.8</v>
      </c>
      <c r="AF60" s="152">
        <f t="shared" si="42"/>
        <v>0.8</v>
      </c>
      <c r="AG60" s="152">
        <f t="shared" si="42"/>
        <v>0.8</v>
      </c>
      <c r="AH60" s="152">
        <f t="shared" si="42"/>
        <v>0.8</v>
      </c>
      <c r="AI60" s="152">
        <f t="shared" si="42"/>
        <v>0.8</v>
      </c>
      <c r="AJ60" s="152">
        <f t="shared" si="42"/>
        <v>0.8</v>
      </c>
      <c r="AK60" s="152">
        <f t="shared" si="42"/>
        <v>0.8</v>
      </c>
      <c r="AL60" s="152">
        <f t="shared" si="42"/>
        <v>0.8</v>
      </c>
      <c r="AM60" s="152">
        <f t="shared" si="42"/>
        <v>0.8</v>
      </c>
      <c r="AN60" s="152">
        <f t="shared" si="42"/>
        <v>0.8</v>
      </c>
      <c r="AO60" s="152">
        <f t="shared" si="42"/>
        <v>0.8</v>
      </c>
      <c r="AP60" s="152">
        <f t="shared" si="42"/>
        <v>0.8</v>
      </c>
      <c r="AQ60" s="152">
        <f t="shared" si="42"/>
        <v>0.8</v>
      </c>
      <c r="AR60" s="152">
        <f t="shared" si="42"/>
        <v>0.8</v>
      </c>
      <c r="AS60" s="152">
        <f t="shared" si="42"/>
        <v>0.8</v>
      </c>
      <c r="AT60" s="152">
        <f t="shared" si="42"/>
        <v>0.8</v>
      </c>
      <c r="AU60" s="152">
        <f t="shared" si="42"/>
        <v>0.8</v>
      </c>
      <c r="AV60" s="152">
        <f t="shared" si="42"/>
        <v>0.8</v>
      </c>
      <c r="AW60" s="90"/>
      <c r="AX60" s="90"/>
      <c r="AY60" s="90"/>
      <c r="AZ60" s="90"/>
      <c r="BA60" s="90"/>
      <c r="BB60" s="90"/>
      <c r="BC60" s="90"/>
      <c r="BD60" s="90"/>
      <c r="BE60" s="90"/>
      <c r="BF60" s="90"/>
      <c r="BG60" s="90"/>
    </row>
    <row r="61" ht="12.75" hidden="1" customHeight="1" outlineLevel="1">
      <c r="A61" s="515"/>
      <c r="B61" s="90" t="s">
        <v>646</v>
      </c>
      <c r="C61" s="90"/>
      <c r="D61" s="90"/>
      <c r="E61" s="90"/>
      <c r="F61" s="90"/>
      <c r="G61" s="90"/>
      <c r="H61" s="522"/>
      <c r="I61" s="522">
        <f t="shared" ref="I61:AV61" si="43">I58*I59</f>
        <v>6.72</v>
      </c>
      <c r="J61" s="522">
        <f t="shared" si="43"/>
        <v>13.2</v>
      </c>
      <c r="K61" s="522">
        <f t="shared" si="43"/>
        <v>18.96</v>
      </c>
      <c r="L61" s="522">
        <f t="shared" si="43"/>
        <v>20.16</v>
      </c>
      <c r="M61" s="522">
        <f t="shared" si="43"/>
        <v>20.16</v>
      </c>
      <c r="N61" s="522">
        <f t="shared" si="43"/>
        <v>20.16</v>
      </c>
      <c r="O61" s="522">
        <f t="shared" si="43"/>
        <v>20.16</v>
      </c>
      <c r="P61" s="522">
        <f t="shared" si="43"/>
        <v>20.16</v>
      </c>
      <c r="Q61" s="522">
        <f t="shared" si="43"/>
        <v>20.16</v>
      </c>
      <c r="R61" s="522">
        <f t="shared" si="43"/>
        <v>20.16</v>
      </c>
      <c r="S61" s="522">
        <f t="shared" si="43"/>
        <v>20.16</v>
      </c>
      <c r="T61" s="522">
        <f t="shared" si="43"/>
        <v>20.16</v>
      </c>
      <c r="U61" s="522">
        <f t="shared" si="43"/>
        <v>20.16</v>
      </c>
      <c r="V61" s="522">
        <f t="shared" si="43"/>
        <v>20.16</v>
      </c>
      <c r="W61" s="522">
        <f t="shared" si="43"/>
        <v>20.16</v>
      </c>
      <c r="X61" s="522">
        <f t="shared" si="43"/>
        <v>20.16</v>
      </c>
      <c r="Y61" s="522">
        <f t="shared" si="43"/>
        <v>20.16</v>
      </c>
      <c r="Z61" s="522">
        <f t="shared" si="43"/>
        <v>20.16</v>
      </c>
      <c r="AA61" s="522">
        <f t="shared" si="43"/>
        <v>20.16</v>
      </c>
      <c r="AB61" s="522">
        <f t="shared" si="43"/>
        <v>20.16</v>
      </c>
      <c r="AC61" s="522">
        <f t="shared" si="43"/>
        <v>20.16</v>
      </c>
      <c r="AD61" s="522">
        <f t="shared" si="43"/>
        <v>20.16</v>
      </c>
      <c r="AE61" s="522">
        <f t="shared" si="43"/>
        <v>20.16</v>
      </c>
      <c r="AF61" s="522">
        <f t="shared" si="43"/>
        <v>20.16</v>
      </c>
      <c r="AG61" s="522">
        <f t="shared" si="43"/>
        <v>20.16</v>
      </c>
      <c r="AH61" s="522">
        <f t="shared" si="43"/>
        <v>20.16</v>
      </c>
      <c r="AI61" s="522">
        <f t="shared" si="43"/>
        <v>20.16</v>
      </c>
      <c r="AJ61" s="522">
        <f t="shared" si="43"/>
        <v>20.16</v>
      </c>
      <c r="AK61" s="522">
        <f t="shared" si="43"/>
        <v>20.16</v>
      </c>
      <c r="AL61" s="522">
        <f t="shared" si="43"/>
        <v>20.16</v>
      </c>
      <c r="AM61" s="522">
        <f t="shared" si="43"/>
        <v>20.16</v>
      </c>
      <c r="AN61" s="522">
        <f t="shared" si="43"/>
        <v>20.16</v>
      </c>
      <c r="AO61" s="522">
        <f t="shared" si="43"/>
        <v>20.16</v>
      </c>
      <c r="AP61" s="522">
        <f t="shared" si="43"/>
        <v>20.16</v>
      </c>
      <c r="AQ61" s="522">
        <f t="shared" si="43"/>
        <v>20.16</v>
      </c>
      <c r="AR61" s="522">
        <f t="shared" si="43"/>
        <v>20.16</v>
      </c>
      <c r="AS61" s="522">
        <f t="shared" si="43"/>
        <v>20.16</v>
      </c>
      <c r="AT61" s="522">
        <f t="shared" si="43"/>
        <v>20.16</v>
      </c>
      <c r="AU61" s="522">
        <f t="shared" si="43"/>
        <v>20.16</v>
      </c>
      <c r="AV61" s="522">
        <f t="shared" si="43"/>
        <v>20.16</v>
      </c>
      <c r="AW61" s="90"/>
      <c r="AX61" s="90"/>
      <c r="AY61" s="90"/>
      <c r="AZ61" s="90"/>
      <c r="BA61" s="90"/>
      <c r="BB61" s="90"/>
      <c r="BC61" s="90"/>
      <c r="BD61" s="90"/>
      <c r="BE61" s="90"/>
      <c r="BF61" s="90"/>
      <c r="BG61" s="90"/>
    </row>
    <row r="62" ht="12.75" hidden="1" customHeight="1" outlineLevel="1">
      <c r="A62" s="90"/>
      <c r="B62" s="90" t="s">
        <v>647</v>
      </c>
      <c r="C62" s="90"/>
      <c r="D62" s="90"/>
      <c r="E62" s="90"/>
      <c r="F62" s="90"/>
      <c r="G62" s="90"/>
      <c r="H62" s="522"/>
      <c r="I62" s="522">
        <f t="shared" ref="I62:AV62" si="44">I61*I52</f>
        <v>6.4512</v>
      </c>
      <c r="J62" s="522">
        <f t="shared" si="44"/>
        <v>12.672</v>
      </c>
      <c r="K62" s="522">
        <f t="shared" si="44"/>
        <v>18.2016</v>
      </c>
      <c r="L62" s="522">
        <f t="shared" si="44"/>
        <v>19.3536</v>
      </c>
      <c r="M62" s="522">
        <f t="shared" si="44"/>
        <v>19.3536</v>
      </c>
      <c r="N62" s="522">
        <f t="shared" si="44"/>
        <v>19.3536</v>
      </c>
      <c r="O62" s="522">
        <f t="shared" si="44"/>
        <v>19.3536</v>
      </c>
      <c r="P62" s="522">
        <f t="shared" si="44"/>
        <v>19.3536</v>
      </c>
      <c r="Q62" s="522">
        <f t="shared" si="44"/>
        <v>19.3536</v>
      </c>
      <c r="R62" s="522">
        <f t="shared" si="44"/>
        <v>19.3536</v>
      </c>
      <c r="S62" s="522">
        <f t="shared" si="44"/>
        <v>19.3536</v>
      </c>
      <c r="T62" s="522">
        <f t="shared" si="44"/>
        <v>19.3536</v>
      </c>
      <c r="U62" s="522">
        <f t="shared" si="44"/>
        <v>19.3536</v>
      </c>
      <c r="V62" s="522">
        <f t="shared" si="44"/>
        <v>19.3536</v>
      </c>
      <c r="W62" s="522">
        <f t="shared" si="44"/>
        <v>19.3536</v>
      </c>
      <c r="X62" s="522">
        <f t="shared" si="44"/>
        <v>19.3536</v>
      </c>
      <c r="Y62" s="522">
        <f t="shared" si="44"/>
        <v>19.3536</v>
      </c>
      <c r="Z62" s="522">
        <f t="shared" si="44"/>
        <v>19.3536</v>
      </c>
      <c r="AA62" s="522">
        <f t="shared" si="44"/>
        <v>19.3536</v>
      </c>
      <c r="AB62" s="522">
        <f t="shared" si="44"/>
        <v>19.3536</v>
      </c>
      <c r="AC62" s="522">
        <f t="shared" si="44"/>
        <v>19.3536</v>
      </c>
      <c r="AD62" s="522">
        <f t="shared" si="44"/>
        <v>19.3536</v>
      </c>
      <c r="AE62" s="522">
        <f t="shared" si="44"/>
        <v>19.3536</v>
      </c>
      <c r="AF62" s="522">
        <f t="shared" si="44"/>
        <v>19.3536</v>
      </c>
      <c r="AG62" s="522">
        <f t="shared" si="44"/>
        <v>19.3536</v>
      </c>
      <c r="AH62" s="522">
        <f t="shared" si="44"/>
        <v>19.3536</v>
      </c>
      <c r="AI62" s="522">
        <f t="shared" si="44"/>
        <v>19.3536</v>
      </c>
      <c r="AJ62" s="522">
        <f t="shared" si="44"/>
        <v>19.3536</v>
      </c>
      <c r="AK62" s="522">
        <f t="shared" si="44"/>
        <v>19.3536</v>
      </c>
      <c r="AL62" s="522">
        <f t="shared" si="44"/>
        <v>19.3536</v>
      </c>
      <c r="AM62" s="522">
        <f t="shared" si="44"/>
        <v>19.3536</v>
      </c>
      <c r="AN62" s="522">
        <f t="shared" si="44"/>
        <v>19.3536</v>
      </c>
      <c r="AO62" s="522">
        <f t="shared" si="44"/>
        <v>19.3536</v>
      </c>
      <c r="AP62" s="522">
        <f t="shared" si="44"/>
        <v>19.3536</v>
      </c>
      <c r="AQ62" s="522">
        <f t="shared" si="44"/>
        <v>19.3536</v>
      </c>
      <c r="AR62" s="522">
        <f t="shared" si="44"/>
        <v>19.3536</v>
      </c>
      <c r="AS62" s="522">
        <f t="shared" si="44"/>
        <v>19.3536</v>
      </c>
      <c r="AT62" s="522">
        <f t="shared" si="44"/>
        <v>19.3536</v>
      </c>
      <c r="AU62" s="522">
        <f t="shared" si="44"/>
        <v>19.3536</v>
      </c>
      <c r="AV62" s="522">
        <f t="shared" si="44"/>
        <v>19.3536</v>
      </c>
      <c r="AW62" s="90"/>
      <c r="AX62" s="90"/>
      <c r="AY62" s="90"/>
      <c r="AZ62" s="90"/>
      <c r="BA62" s="90"/>
      <c r="BB62" s="90"/>
      <c r="BC62" s="90"/>
      <c r="BD62" s="90"/>
      <c r="BE62" s="90"/>
      <c r="BF62" s="90"/>
      <c r="BG62" s="90"/>
    </row>
    <row r="63" ht="12.75" hidden="1" customHeight="1" outlineLevel="1">
      <c r="A63" s="67"/>
      <c r="B63" s="90" t="s">
        <v>648</v>
      </c>
      <c r="C63" s="90"/>
      <c r="D63" s="90"/>
      <c r="E63" s="90"/>
      <c r="F63" s="90"/>
      <c r="G63" s="90"/>
      <c r="H63" s="353"/>
      <c r="I63" s="353">
        <f t="shared" ref="I63:AV63" si="45">I58*I52</f>
        <v>107.52</v>
      </c>
      <c r="J63" s="353">
        <f t="shared" si="45"/>
        <v>211.2</v>
      </c>
      <c r="K63" s="353">
        <f t="shared" si="45"/>
        <v>303.36</v>
      </c>
      <c r="L63" s="353">
        <f t="shared" si="45"/>
        <v>322.56</v>
      </c>
      <c r="M63" s="353">
        <f t="shared" si="45"/>
        <v>322.56</v>
      </c>
      <c r="N63" s="353">
        <f t="shared" si="45"/>
        <v>322.56</v>
      </c>
      <c r="O63" s="353">
        <f t="shared" si="45"/>
        <v>322.56</v>
      </c>
      <c r="P63" s="353">
        <f t="shared" si="45"/>
        <v>322.56</v>
      </c>
      <c r="Q63" s="353">
        <f t="shared" si="45"/>
        <v>322.56</v>
      </c>
      <c r="R63" s="353">
        <f t="shared" si="45"/>
        <v>322.56</v>
      </c>
      <c r="S63" s="353">
        <f t="shared" si="45"/>
        <v>322.56</v>
      </c>
      <c r="T63" s="353">
        <f t="shared" si="45"/>
        <v>322.56</v>
      </c>
      <c r="U63" s="353">
        <f t="shared" si="45"/>
        <v>322.56</v>
      </c>
      <c r="V63" s="353">
        <f t="shared" si="45"/>
        <v>322.56</v>
      </c>
      <c r="W63" s="353">
        <f t="shared" si="45"/>
        <v>322.56</v>
      </c>
      <c r="X63" s="353">
        <f t="shared" si="45"/>
        <v>322.56</v>
      </c>
      <c r="Y63" s="353">
        <f t="shared" si="45"/>
        <v>322.56</v>
      </c>
      <c r="Z63" s="353">
        <f t="shared" si="45"/>
        <v>322.56</v>
      </c>
      <c r="AA63" s="353">
        <f t="shared" si="45"/>
        <v>322.56</v>
      </c>
      <c r="AB63" s="353">
        <f t="shared" si="45"/>
        <v>322.56</v>
      </c>
      <c r="AC63" s="353">
        <f t="shared" si="45"/>
        <v>322.56</v>
      </c>
      <c r="AD63" s="353">
        <f t="shared" si="45"/>
        <v>322.56</v>
      </c>
      <c r="AE63" s="353">
        <f t="shared" si="45"/>
        <v>322.56</v>
      </c>
      <c r="AF63" s="353">
        <f t="shared" si="45"/>
        <v>322.56</v>
      </c>
      <c r="AG63" s="353">
        <f t="shared" si="45"/>
        <v>322.56</v>
      </c>
      <c r="AH63" s="353">
        <f t="shared" si="45"/>
        <v>322.56</v>
      </c>
      <c r="AI63" s="353">
        <f t="shared" si="45"/>
        <v>322.56</v>
      </c>
      <c r="AJ63" s="353">
        <f t="shared" si="45"/>
        <v>322.56</v>
      </c>
      <c r="AK63" s="353">
        <f t="shared" si="45"/>
        <v>322.56</v>
      </c>
      <c r="AL63" s="353">
        <f t="shared" si="45"/>
        <v>322.56</v>
      </c>
      <c r="AM63" s="353">
        <f t="shared" si="45"/>
        <v>322.56</v>
      </c>
      <c r="AN63" s="353">
        <f t="shared" si="45"/>
        <v>322.56</v>
      </c>
      <c r="AO63" s="353">
        <f t="shared" si="45"/>
        <v>322.56</v>
      </c>
      <c r="AP63" s="353">
        <f t="shared" si="45"/>
        <v>322.56</v>
      </c>
      <c r="AQ63" s="353">
        <f t="shared" si="45"/>
        <v>322.56</v>
      </c>
      <c r="AR63" s="353">
        <f t="shared" si="45"/>
        <v>322.56</v>
      </c>
      <c r="AS63" s="353">
        <f t="shared" si="45"/>
        <v>322.56</v>
      </c>
      <c r="AT63" s="353">
        <f t="shared" si="45"/>
        <v>322.56</v>
      </c>
      <c r="AU63" s="353">
        <f t="shared" si="45"/>
        <v>322.56</v>
      </c>
      <c r="AV63" s="353">
        <f t="shared" si="45"/>
        <v>322.56</v>
      </c>
      <c r="AW63" s="90"/>
      <c r="AX63" s="90"/>
      <c r="AY63" s="90"/>
      <c r="AZ63" s="90"/>
      <c r="BA63" s="90"/>
      <c r="BB63" s="90"/>
      <c r="BC63" s="90"/>
      <c r="BD63" s="90"/>
      <c r="BE63" s="90"/>
      <c r="BF63" s="90"/>
      <c r="BG63" s="90"/>
    </row>
    <row r="64" ht="12.75" hidden="1" customHeight="1" outlineLevel="1">
      <c r="A64" s="67"/>
      <c r="B64" s="90" t="s">
        <v>649</v>
      </c>
      <c r="C64" s="90"/>
      <c r="D64" s="90"/>
      <c r="E64" s="90"/>
      <c r="F64" s="90"/>
      <c r="G64" s="90"/>
      <c r="H64" s="522"/>
      <c r="I64" s="522">
        <f t="shared" ref="I64:AV64" si="46">I58*I60</f>
        <v>89.6</v>
      </c>
      <c r="J64" s="522">
        <f t="shared" si="46"/>
        <v>176</v>
      </c>
      <c r="K64" s="522">
        <f t="shared" si="46"/>
        <v>252.8</v>
      </c>
      <c r="L64" s="522">
        <f t="shared" si="46"/>
        <v>268.8</v>
      </c>
      <c r="M64" s="522">
        <f t="shared" si="46"/>
        <v>268.8</v>
      </c>
      <c r="N64" s="522">
        <f t="shared" si="46"/>
        <v>268.8</v>
      </c>
      <c r="O64" s="522">
        <f t="shared" si="46"/>
        <v>268.8</v>
      </c>
      <c r="P64" s="522">
        <f t="shared" si="46"/>
        <v>268.8</v>
      </c>
      <c r="Q64" s="522">
        <f t="shared" si="46"/>
        <v>268.8</v>
      </c>
      <c r="R64" s="522">
        <f t="shared" si="46"/>
        <v>268.8</v>
      </c>
      <c r="S64" s="522">
        <f t="shared" si="46"/>
        <v>268.8</v>
      </c>
      <c r="T64" s="522">
        <f t="shared" si="46"/>
        <v>268.8</v>
      </c>
      <c r="U64" s="522">
        <f t="shared" si="46"/>
        <v>268.8</v>
      </c>
      <c r="V64" s="522">
        <f t="shared" si="46"/>
        <v>268.8</v>
      </c>
      <c r="W64" s="522">
        <f t="shared" si="46"/>
        <v>268.8</v>
      </c>
      <c r="X64" s="522">
        <f t="shared" si="46"/>
        <v>268.8</v>
      </c>
      <c r="Y64" s="522">
        <f t="shared" si="46"/>
        <v>268.8</v>
      </c>
      <c r="Z64" s="522">
        <f t="shared" si="46"/>
        <v>268.8</v>
      </c>
      <c r="AA64" s="522">
        <f t="shared" si="46"/>
        <v>268.8</v>
      </c>
      <c r="AB64" s="522">
        <f t="shared" si="46"/>
        <v>268.8</v>
      </c>
      <c r="AC64" s="522">
        <f t="shared" si="46"/>
        <v>268.8</v>
      </c>
      <c r="AD64" s="522">
        <f t="shared" si="46"/>
        <v>268.8</v>
      </c>
      <c r="AE64" s="522">
        <f t="shared" si="46"/>
        <v>268.8</v>
      </c>
      <c r="AF64" s="522">
        <f t="shared" si="46"/>
        <v>268.8</v>
      </c>
      <c r="AG64" s="522">
        <f t="shared" si="46"/>
        <v>268.8</v>
      </c>
      <c r="AH64" s="522">
        <f t="shared" si="46"/>
        <v>268.8</v>
      </c>
      <c r="AI64" s="522">
        <f t="shared" si="46"/>
        <v>268.8</v>
      </c>
      <c r="AJ64" s="522">
        <f t="shared" si="46"/>
        <v>268.8</v>
      </c>
      <c r="AK64" s="522">
        <f t="shared" si="46"/>
        <v>268.8</v>
      </c>
      <c r="AL64" s="522">
        <f t="shared" si="46"/>
        <v>268.8</v>
      </c>
      <c r="AM64" s="522">
        <f t="shared" si="46"/>
        <v>268.8</v>
      </c>
      <c r="AN64" s="522">
        <f t="shared" si="46"/>
        <v>268.8</v>
      </c>
      <c r="AO64" s="522">
        <f t="shared" si="46"/>
        <v>268.8</v>
      </c>
      <c r="AP64" s="522">
        <f t="shared" si="46"/>
        <v>268.8</v>
      </c>
      <c r="AQ64" s="522">
        <f t="shared" si="46"/>
        <v>268.8</v>
      </c>
      <c r="AR64" s="522">
        <f t="shared" si="46"/>
        <v>268.8</v>
      </c>
      <c r="AS64" s="522">
        <f t="shared" si="46"/>
        <v>268.8</v>
      </c>
      <c r="AT64" s="522">
        <f t="shared" si="46"/>
        <v>268.8</v>
      </c>
      <c r="AU64" s="522">
        <f t="shared" si="46"/>
        <v>268.8</v>
      </c>
      <c r="AV64" s="522">
        <f t="shared" si="46"/>
        <v>268.8</v>
      </c>
      <c r="AW64" s="90"/>
      <c r="AX64" s="90"/>
      <c r="AY64" s="90"/>
      <c r="AZ64" s="90"/>
      <c r="BA64" s="90"/>
      <c r="BB64" s="90"/>
      <c r="BC64" s="90"/>
      <c r="BD64" s="90"/>
      <c r="BE64" s="90"/>
      <c r="BF64" s="90"/>
      <c r="BG64" s="90"/>
    </row>
    <row r="65" ht="12.75" hidden="1" customHeight="1" outlineLevel="1">
      <c r="A65" s="90"/>
      <c r="B65" s="90" t="s">
        <v>650</v>
      </c>
      <c r="C65" s="90"/>
      <c r="D65" s="90"/>
      <c r="E65" s="90"/>
      <c r="F65" s="90"/>
      <c r="G65" s="90"/>
      <c r="H65" s="522"/>
      <c r="I65" s="522">
        <f t="shared" ref="I65:AV65" si="47">I52*I64</f>
        <v>86.016</v>
      </c>
      <c r="J65" s="522">
        <f t="shared" si="47"/>
        <v>168.96</v>
      </c>
      <c r="K65" s="522">
        <f t="shared" si="47"/>
        <v>242.688</v>
      </c>
      <c r="L65" s="522">
        <f t="shared" si="47"/>
        <v>258.048</v>
      </c>
      <c r="M65" s="522">
        <f t="shared" si="47"/>
        <v>258.048</v>
      </c>
      <c r="N65" s="522">
        <f t="shared" si="47"/>
        <v>258.048</v>
      </c>
      <c r="O65" s="522">
        <f t="shared" si="47"/>
        <v>258.048</v>
      </c>
      <c r="P65" s="522">
        <f t="shared" si="47"/>
        <v>258.048</v>
      </c>
      <c r="Q65" s="522">
        <f t="shared" si="47"/>
        <v>258.048</v>
      </c>
      <c r="R65" s="522">
        <f t="shared" si="47"/>
        <v>258.048</v>
      </c>
      <c r="S65" s="522">
        <f t="shared" si="47"/>
        <v>258.048</v>
      </c>
      <c r="T65" s="522">
        <f t="shared" si="47"/>
        <v>258.048</v>
      </c>
      <c r="U65" s="522">
        <f t="shared" si="47"/>
        <v>258.048</v>
      </c>
      <c r="V65" s="522">
        <f t="shared" si="47"/>
        <v>258.048</v>
      </c>
      <c r="W65" s="522">
        <f t="shared" si="47"/>
        <v>258.048</v>
      </c>
      <c r="X65" s="522">
        <f t="shared" si="47"/>
        <v>258.048</v>
      </c>
      <c r="Y65" s="522">
        <f t="shared" si="47"/>
        <v>258.048</v>
      </c>
      <c r="Z65" s="522">
        <f t="shared" si="47"/>
        <v>258.048</v>
      </c>
      <c r="AA65" s="522">
        <f t="shared" si="47"/>
        <v>258.048</v>
      </c>
      <c r="AB65" s="522">
        <f t="shared" si="47"/>
        <v>258.048</v>
      </c>
      <c r="AC65" s="522">
        <f t="shared" si="47"/>
        <v>258.048</v>
      </c>
      <c r="AD65" s="522">
        <f t="shared" si="47"/>
        <v>258.048</v>
      </c>
      <c r="AE65" s="522">
        <f t="shared" si="47"/>
        <v>258.048</v>
      </c>
      <c r="AF65" s="522">
        <f t="shared" si="47"/>
        <v>258.048</v>
      </c>
      <c r="AG65" s="522">
        <f t="shared" si="47"/>
        <v>258.048</v>
      </c>
      <c r="AH65" s="522">
        <f t="shared" si="47"/>
        <v>258.048</v>
      </c>
      <c r="AI65" s="522">
        <f t="shared" si="47"/>
        <v>258.048</v>
      </c>
      <c r="AJ65" s="522">
        <f t="shared" si="47"/>
        <v>258.048</v>
      </c>
      <c r="AK65" s="522">
        <f t="shared" si="47"/>
        <v>258.048</v>
      </c>
      <c r="AL65" s="522">
        <f t="shared" si="47"/>
        <v>258.048</v>
      </c>
      <c r="AM65" s="522">
        <f t="shared" si="47"/>
        <v>258.048</v>
      </c>
      <c r="AN65" s="522">
        <f t="shared" si="47"/>
        <v>258.048</v>
      </c>
      <c r="AO65" s="522">
        <f t="shared" si="47"/>
        <v>258.048</v>
      </c>
      <c r="AP65" s="522">
        <f t="shared" si="47"/>
        <v>258.048</v>
      </c>
      <c r="AQ65" s="522">
        <f t="shared" si="47"/>
        <v>258.048</v>
      </c>
      <c r="AR65" s="522">
        <f t="shared" si="47"/>
        <v>258.048</v>
      </c>
      <c r="AS65" s="522">
        <f t="shared" si="47"/>
        <v>258.048</v>
      </c>
      <c r="AT65" s="522">
        <f t="shared" si="47"/>
        <v>258.048</v>
      </c>
      <c r="AU65" s="522">
        <f t="shared" si="47"/>
        <v>258.048</v>
      </c>
      <c r="AV65" s="522">
        <f t="shared" si="47"/>
        <v>258.048</v>
      </c>
      <c r="AW65" s="90"/>
      <c r="AX65" s="90"/>
      <c r="AY65" s="90"/>
      <c r="AZ65" s="90"/>
      <c r="BA65" s="90"/>
      <c r="BB65" s="90"/>
      <c r="BC65" s="90"/>
      <c r="BD65" s="90"/>
      <c r="BE65" s="90"/>
      <c r="BF65" s="90"/>
      <c r="BG65" s="90"/>
    </row>
    <row r="66" ht="12.75" hidden="1" customHeight="1" outlineLevel="1">
      <c r="A66" s="515"/>
      <c r="B66" s="90" t="s">
        <v>651</v>
      </c>
      <c r="C66" s="90"/>
      <c r="D66" s="90"/>
      <c r="E66" s="90"/>
      <c r="F66" s="90"/>
      <c r="G66" s="90"/>
      <c r="H66" s="353"/>
      <c r="I66" s="353">
        <f t="shared" ref="I66:AV66" si="48">I52*I58</f>
        <v>107.52</v>
      </c>
      <c r="J66" s="353">
        <f t="shared" si="48"/>
        <v>211.2</v>
      </c>
      <c r="K66" s="353">
        <f t="shared" si="48"/>
        <v>303.36</v>
      </c>
      <c r="L66" s="353">
        <f t="shared" si="48"/>
        <v>322.56</v>
      </c>
      <c r="M66" s="353">
        <f t="shared" si="48"/>
        <v>322.56</v>
      </c>
      <c r="N66" s="353">
        <f t="shared" si="48"/>
        <v>322.56</v>
      </c>
      <c r="O66" s="353">
        <f t="shared" si="48"/>
        <v>322.56</v>
      </c>
      <c r="P66" s="353">
        <f t="shared" si="48"/>
        <v>322.56</v>
      </c>
      <c r="Q66" s="353">
        <f t="shared" si="48"/>
        <v>322.56</v>
      </c>
      <c r="R66" s="353">
        <f t="shared" si="48"/>
        <v>322.56</v>
      </c>
      <c r="S66" s="353">
        <f t="shared" si="48"/>
        <v>322.56</v>
      </c>
      <c r="T66" s="353">
        <f t="shared" si="48"/>
        <v>322.56</v>
      </c>
      <c r="U66" s="353">
        <f t="shared" si="48"/>
        <v>322.56</v>
      </c>
      <c r="V66" s="353">
        <f t="shared" si="48"/>
        <v>322.56</v>
      </c>
      <c r="W66" s="353">
        <f t="shared" si="48"/>
        <v>322.56</v>
      </c>
      <c r="X66" s="353">
        <f t="shared" si="48"/>
        <v>322.56</v>
      </c>
      <c r="Y66" s="353">
        <f t="shared" si="48"/>
        <v>322.56</v>
      </c>
      <c r="Z66" s="353">
        <f t="shared" si="48"/>
        <v>322.56</v>
      </c>
      <c r="AA66" s="353">
        <f t="shared" si="48"/>
        <v>322.56</v>
      </c>
      <c r="AB66" s="353">
        <f t="shared" si="48"/>
        <v>322.56</v>
      </c>
      <c r="AC66" s="353">
        <f t="shared" si="48"/>
        <v>322.56</v>
      </c>
      <c r="AD66" s="353">
        <f t="shared" si="48"/>
        <v>322.56</v>
      </c>
      <c r="AE66" s="353">
        <f t="shared" si="48"/>
        <v>322.56</v>
      </c>
      <c r="AF66" s="353">
        <f t="shared" si="48"/>
        <v>322.56</v>
      </c>
      <c r="AG66" s="353">
        <f t="shared" si="48"/>
        <v>322.56</v>
      </c>
      <c r="AH66" s="353">
        <f t="shared" si="48"/>
        <v>322.56</v>
      </c>
      <c r="AI66" s="353">
        <f t="shared" si="48"/>
        <v>322.56</v>
      </c>
      <c r="AJ66" s="353">
        <f t="shared" si="48"/>
        <v>322.56</v>
      </c>
      <c r="AK66" s="353">
        <f t="shared" si="48"/>
        <v>322.56</v>
      </c>
      <c r="AL66" s="353">
        <f t="shared" si="48"/>
        <v>322.56</v>
      </c>
      <c r="AM66" s="353">
        <f t="shared" si="48"/>
        <v>322.56</v>
      </c>
      <c r="AN66" s="353">
        <f t="shared" si="48"/>
        <v>322.56</v>
      </c>
      <c r="AO66" s="353">
        <f t="shared" si="48"/>
        <v>322.56</v>
      </c>
      <c r="AP66" s="353">
        <f t="shared" si="48"/>
        <v>322.56</v>
      </c>
      <c r="AQ66" s="353">
        <f t="shared" si="48"/>
        <v>322.56</v>
      </c>
      <c r="AR66" s="353">
        <f t="shared" si="48"/>
        <v>322.56</v>
      </c>
      <c r="AS66" s="353">
        <f t="shared" si="48"/>
        <v>322.56</v>
      </c>
      <c r="AT66" s="353">
        <f t="shared" si="48"/>
        <v>322.56</v>
      </c>
      <c r="AU66" s="353">
        <f t="shared" si="48"/>
        <v>322.56</v>
      </c>
      <c r="AV66" s="353">
        <f t="shared" si="48"/>
        <v>322.56</v>
      </c>
      <c r="AW66" s="90"/>
      <c r="AX66" s="90"/>
      <c r="AY66" s="90"/>
      <c r="AZ66" s="90"/>
      <c r="BA66" s="90"/>
      <c r="BB66" s="90"/>
      <c r="BC66" s="90"/>
      <c r="BD66" s="90"/>
      <c r="BE66" s="90"/>
      <c r="BF66" s="90"/>
      <c r="BG66" s="90"/>
    </row>
    <row r="67" ht="12.75" hidden="1" customHeight="1" outlineLevel="1">
      <c r="A67" s="515"/>
      <c r="B67" s="90"/>
      <c r="C67" s="90"/>
      <c r="D67" s="90"/>
      <c r="E67" s="90"/>
      <c r="F67" s="90"/>
      <c r="G67" s="90"/>
      <c r="H67" s="353"/>
      <c r="I67" s="353"/>
      <c r="J67" s="353"/>
      <c r="K67" s="353"/>
      <c r="L67" s="353"/>
      <c r="M67" s="353"/>
      <c r="N67" s="353"/>
      <c r="O67" s="353"/>
      <c r="P67" s="353"/>
      <c r="Q67" s="353"/>
      <c r="R67" s="353"/>
      <c r="S67" s="353"/>
      <c r="T67" s="353"/>
      <c r="U67" s="353"/>
      <c r="V67" s="353"/>
      <c r="W67" s="353"/>
      <c r="X67" s="353"/>
      <c r="Y67" s="353"/>
      <c r="Z67" s="353"/>
      <c r="AA67" s="353"/>
      <c r="AB67" s="353"/>
      <c r="AC67" s="353"/>
      <c r="AD67" s="353"/>
      <c r="AE67" s="353"/>
      <c r="AF67" s="353"/>
      <c r="AG67" s="353"/>
      <c r="AH67" s="353"/>
      <c r="AI67" s="353"/>
      <c r="AJ67" s="353"/>
      <c r="AK67" s="353"/>
      <c r="AL67" s="353"/>
      <c r="AM67" s="353"/>
      <c r="AN67" s="353"/>
      <c r="AO67" s="353"/>
      <c r="AP67" s="353"/>
      <c r="AQ67" s="353"/>
      <c r="AR67" s="353"/>
      <c r="AS67" s="353"/>
      <c r="AT67" s="353"/>
      <c r="AU67" s="353"/>
      <c r="AV67" s="353"/>
      <c r="AW67" s="90"/>
      <c r="AX67" s="90"/>
      <c r="AY67" s="90"/>
      <c r="AZ67" s="90"/>
      <c r="BA67" s="90"/>
      <c r="BB67" s="90"/>
      <c r="BC67" s="90"/>
      <c r="BD67" s="90"/>
      <c r="BE67" s="90"/>
      <c r="BF67" s="90"/>
      <c r="BG67" s="90"/>
    </row>
    <row r="68" ht="12.75" hidden="1" customHeight="1" outlineLevel="1">
      <c r="A68" s="515"/>
      <c r="B68" s="90" t="s">
        <v>652</v>
      </c>
      <c r="C68" s="90"/>
      <c r="D68" s="90"/>
      <c r="E68" s="90"/>
      <c r="F68" s="90"/>
      <c r="G68" s="90"/>
      <c r="H68" s="157"/>
      <c r="I68" s="157">
        <v>0.47</v>
      </c>
      <c r="J68" s="157">
        <v>0.475</v>
      </c>
      <c r="K68" s="152">
        <f t="shared" ref="K68:AV68" si="49">J68</f>
        <v>0.475</v>
      </c>
      <c r="L68" s="152">
        <f t="shared" si="49"/>
        <v>0.475</v>
      </c>
      <c r="M68" s="152">
        <f t="shared" si="49"/>
        <v>0.475</v>
      </c>
      <c r="N68" s="152">
        <f t="shared" si="49"/>
        <v>0.475</v>
      </c>
      <c r="O68" s="152">
        <f t="shared" si="49"/>
        <v>0.475</v>
      </c>
      <c r="P68" s="152">
        <f t="shared" si="49"/>
        <v>0.475</v>
      </c>
      <c r="Q68" s="152">
        <f t="shared" si="49"/>
        <v>0.475</v>
      </c>
      <c r="R68" s="152">
        <f t="shared" si="49"/>
        <v>0.475</v>
      </c>
      <c r="S68" s="152">
        <f t="shared" si="49"/>
        <v>0.475</v>
      </c>
      <c r="T68" s="152">
        <f t="shared" si="49"/>
        <v>0.475</v>
      </c>
      <c r="U68" s="152">
        <f t="shared" si="49"/>
        <v>0.475</v>
      </c>
      <c r="V68" s="152">
        <f t="shared" si="49"/>
        <v>0.475</v>
      </c>
      <c r="W68" s="152">
        <f t="shared" si="49"/>
        <v>0.475</v>
      </c>
      <c r="X68" s="152">
        <f t="shared" si="49"/>
        <v>0.475</v>
      </c>
      <c r="Y68" s="152">
        <f t="shared" si="49"/>
        <v>0.475</v>
      </c>
      <c r="Z68" s="152">
        <f t="shared" si="49"/>
        <v>0.475</v>
      </c>
      <c r="AA68" s="152">
        <f t="shared" si="49"/>
        <v>0.475</v>
      </c>
      <c r="AB68" s="152">
        <f t="shared" si="49"/>
        <v>0.475</v>
      </c>
      <c r="AC68" s="152">
        <f t="shared" si="49"/>
        <v>0.475</v>
      </c>
      <c r="AD68" s="152">
        <f t="shared" si="49"/>
        <v>0.475</v>
      </c>
      <c r="AE68" s="152">
        <f t="shared" si="49"/>
        <v>0.475</v>
      </c>
      <c r="AF68" s="152">
        <f t="shared" si="49"/>
        <v>0.475</v>
      </c>
      <c r="AG68" s="152">
        <f t="shared" si="49"/>
        <v>0.475</v>
      </c>
      <c r="AH68" s="152">
        <f t="shared" si="49"/>
        <v>0.475</v>
      </c>
      <c r="AI68" s="152">
        <f t="shared" si="49"/>
        <v>0.475</v>
      </c>
      <c r="AJ68" s="152">
        <f t="shared" si="49"/>
        <v>0.475</v>
      </c>
      <c r="AK68" s="152">
        <f t="shared" si="49"/>
        <v>0.475</v>
      </c>
      <c r="AL68" s="152">
        <f t="shared" si="49"/>
        <v>0.475</v>
      </c>
      <c r="AM68" s="152">
        <f t="shared" si="49"/>
        <v>0.475</v>
      </c>
      <c r="AN68" s="152">
        <f t="shared" si="49"/>
        <v>0.475</v>
      </c>
      <c r="AO68" s="152">
        <f t="shared" si="49"/>
        <v>0.475</v>
      </c>
      <c r="AP68" s="152">
        <f t="shared" si="49"/>
        <v>0.475</v>
      </c>
      <c r="AQ68" s="152">
        <f t="shared" si="49"/>
        <v>0.475</v>
      </c>
      <c r="AR68" s="152">
        <f t="shared" si="49"/>
        <v>0.475</v>
      </c>
      <c r="AS68" s="152">
        <f t="shared" si="49"/>
        <v>0.475</v>
      </c>
      <c r="AT68" s="152">
        <f t="shared" si="49"/>
        <v>0.475</v>
      </c>
      <c r="AU68" s="152">
        <f t="shared" si="49"/>
        <v>0.475</v>
      </c>
      <c r="AV68" s="152">
        <f t="shared" si="49"/>
        <v>0.475</v>
      </c>
      <c r="AW68" s="90"/>
      <c r="AX68" s="90"/>
      <c r="AY68" s="90"/>
      <c r="AZ68" s="90"/>
      <c r="BA68" s="90"/>
      <c r="BB68" s="90"/>
      <c r="BC68" s="90"/>
      <c r="BD68" s="90"/>
      <c r="BE68" s="90"/>
      <c r="BF68" s="90"/>
      <c r="BG68" s="90"/>
    </row>
    <row r="69" ht="12.75" hidden="1" customHeight="1" outlineLevel="1">
      <c r="A69" s="515"/>
      <c r="B69" s="90" t="s">
        <v>653</v>
      </c>
      <c r="C69" s="90"/>
      <c r="D69" s="90"/>
      <c r="E69" s="90"/>
      <c r="F69" s="90"/>
      <c r="G69" s="90"/>
      <c r="H69" s="90"/>
      <c r="I69" s="90">
        <f t="shared" ref="I69:AV69" si="50">ROUND(I50*I68*I46,0)</f>
        <v>75</v>
      </c>
      <c r="J69" s="90">
        <f t="shared" si="50"/>
        <v>149</v>
      </c>
      <c r="K69" s="90">
        <f t="shared" si="50"/>
        <v>215</v>
      </c>
      <c r="L69" s="90">
        <f t="shared" si="50"/>
        <v>228</v>
      </c>
      <c r="M69" s="90">
        <f t="shared" si="50"/>
        <v>228</v>
      </c>
      <c r="N69" s="90">
        <f t="shared" si="50"/>
        <v>228</v>
      </c>
      <c r="O69" s="90">
        <f t="shared" si="50"/>
        <v>228</v>
      </c>
      <c r="P69" s="90">
        <f t="shared" si="50"/>
        <v>228</v>
      </c>
      <c r="Q69" s="90">
        <f t="shared" si="50"/>
        <v>228</v>
      </c>
      <c r="R69" s="90">
        <f t="shared" si="50"/>
        <v>228</v>
      </c>
      <c r="S69" s="90">
        <f t="shared" si="50"/>
        <v>228</v>
      </c>
      <c r="T69" s="90">
        <f t="shared" si="50"/>
        <v>228</v>
      </c>
      <c r="U69" s="90">
        <f t="shared" si="50"/>
        <v>228</v>
      </c>
      <c r="V69" s="90">
        <f t="shared" si="50"/>
        <v>228</v>
      </c>
      <c r="W69" s="90">
        <f t="shared" si="50"/>
        <v>228</v>
      </c>
      <c r="X69" s="90">
        <f t="shared" si="50"/>
        <v>228</v>
      </c>
      <c r="Y69" s="90">
        <f t="shared" si="50"/>
        <v>228</v>
      </c>
      <c r="Z69" s="90">
        <f t="shared" si="50"/>
        <v>228</v>
      </c>
      <c r="AA69" s="90">
        <f t="shared" si="50"/>
        <v>228</v>
      </c>
      <c r="AB69" s="90">
        <f t="shared" si="50"/>
        <v>228</v>
      </c>
      <c r="AC69" s="90">
        <f t="shared" si="50"/>
        <v>228</v>
      </c>
      <c r="AD69" s="90">
        <f t="shared" si="50"/>
        <v>228</v>
      </c>
      <c r="AE69" s="90">
        <f t="shared" si="50"/>
        <v>228</v>
      </c>
      <c r="AF69" s="90">
        <f t="shared" si="50"/>
        <v>228</v>
      </c>
      <c r="AG69" s="90">
        <f t="shared" si="50"/>
        <v>228</v>
      </c>
      <c r="AH69" s="90">
        <f t="shared" si="50"/>
        <v>228</v>
      </c>
      <c r="AI69" s="90">
        <f t="shared" si="50"/>
        <v>228</v>
      </c>
      <c r="AJ69" s="90">
        <f t="shared" si="50"/>
        <v>228</v>
      </c>
      <c r="AK69" s="90">
        <f t="shared" si="50"/>
        <v>228</v>
      </c>
      <c r="AL69" s="90">
        <f t="shared" si="50"/>
        <v>228</v>
      </c>
      <c r="AM69" s="90">
        <f t="shared" si="50"/>
        <v>228</v>
      </c>
      <c r="AN69" s="90">
        <f t="shared" si="50"/>
        <v>228</v>
      </c>
      <c r="AO69" s="90">
        <f t="shared" si="50"/>
        <v>228</v>
      </c>
      <c r="AP69" s="90">
        <f t="shared" si="50"/>
        <v>228</v>
      </c>
      <c r="AQ69" s="90">
        <f t="shared" si="50"/>
        <v>228</v>
      </c>
      <c r="AR69" s="90">
        <f t="shared" si="50"/>
        <v>228</v>
      </c>
      <c r="AS69" s="90">
        <f t="shared" si="50"/>
        <v>228</v>
      </c>
      <c r="AT69" s="90">
        <f t="shared" si="50"/>
        <v>228</v>
      </c>
      <c r="AU69" s="90">
        <f t="shared" si="50"/>
        <v>228</v>
      </c>
      <c r="AV69" s="90">
        <f t="shared" si="50"/>
        <v>228</v>
      </c>
      <c r="AW69" s="90"/>
      <c r="AX69" s="90"/>
      <c r="AY69" s="90"/>
      <c r="AZ69" s="90"/>
      <c r="BA69" s="90"/>
      <c r="BB69" s="90"/>
      <c r="BC69" s="90"/>
      <c r="BD69" s="90"/>
      <c r="BE69" s="90"/>
      <c r="BF69" s="90"/>
      <c r="BG69" s="90"/>
    </row>
    <row r="70" ht="12.75" hidden="1" customHeight="1" outlineLevel="1">
      <c r="A70" s="515"/>
      <c r="B70" s="90" t="s">
        <v>654</v>
      </c>
      <c r="C70" s="90"/>
      <c r="D70" s="90"/>
      <c r="E70" s="90"/>
      <c r="F70" s="90"/>
      <c r="G70" s="90"/>
      <c r="H70" s="102"/>
      <c r="I70" s="102">
        <f t="shared" ref="I70:AV70" si="51">I69*I52</f>
        <v>72</v>
      </c>
      <c r="J70" s="102">
        <f t="shared" si="51"/>
        <v>143.04</v>
      </c>
      <c r="K70" s="102">
        <f t="shared" si="51"/>
        <v>206.4</v>
      </c>
      <c r="L70" s="102">
        <f t="shared" si="51"/>
        <v>218.88</v>
      </c>
      <c r="M70" s="102">
        <f t="shared" si="51"/>
        <v>218.88</v>
      </c>
      <c r="N70" s="102">
        <f t="shared" si="51"/>
        <v>218.88</v>
      </c>
      <c r="O70" s="102">
        <f t="shared" si="51"/>
        <v>218.88</v>
      </c>
      <c r="P70" s="102">
        <f t="shared" si="51"/>
        <v>218.88</v>
      </c>
      <c r="Q70" s="102">
        <f t="shared" si="51"/>
        <v>218.88</v>
      </c>
      <c r="R70" s="102">
        <f t="shared" si="51"/>
        <v>218.88</v>
      </c>
      <c r="S70" s="102">
        <f t="shared" si="51"/>
        <v>218.88</v>
      </c>
      <c r="T70" s="102">
        <f t="shared" si="51"/>
        <v>218.88</v>
      </c>
      <c r="U70" s="102">
        <f t="shared" si="51"/>
        <v>218.88</v>
      </c>
      <c r="V70" s="102">
        <f t="shared" si="51"/>
        <v>218.88</v>
      </c>
      <c r="W70" s="102">
        <f t="shared" si="51"/>
        <v>218.88</v>
      </c>
      <c r="X70" s="102">
        <f t="shared" si="51"/>
        <v>218.88</v>
      </c>
      <c r="Y70" s="102">
        <f t="shared" si="51"/>
        <v>218.88</v>
      </c>
      <c r="Z70" s="102">
        <f t="shared" si="51"/>
        <v>218.88</v>
      </c>
      <c r="AA70" s="102">
        <f t="shared" si="51"/>
        <v>218.88</v>
      </c>
      <c r="AB70" s="102">
        <f t="shared" si="51"/>
        <v>218.88</v>
      </c>
      <c r="AC70" s="102">
        <f t="shared" si="51"/>
        <v>218.88</v>
      </c>
      <c r="AD70" s="102">
        <f t="shared" si="51"/>
        <v>218.88</v>
      </c>
      <c r="AE70" s="102">
        <f t="shared" si="51"/>
        <v>218.88</v>
      </c>
      <c r="AF70" s="102">
        <f t="shared" si="51"/>
        <v>218.88</v>
      </c>
      <c r="AG70" s="102">
        <f t="shared" si="51"/>
        <v>218.88</v>
      </c>
      <c r="AH70" s="102">
        <f t="shared" si="51"/>
        <v>218.88</v>
      </c>
      <c r="AI70" s="102">
        <f t="shared" si="51"/>
        <v>218.88</v>
      </c>
      <c r="AJ70" s="102">
        <f t="shared" si="51"/>
        <v>218.88</v>
      </c>
      <c r="AK70" s="102">
        <f t="shared" si="51"/>
        <v>218.88</v>
      </c>
      <c r="AL70" s="102">
        <f t="shared" si="51"/>
        <v>218.88</v>
      </c>
      <c r="AM70" s="102">
        <f t="shared" si="51"/>
        <v>218.88</v>
      </c>
      <c r="AN70" s="102">
        <f t="shared" si="51"/>
        <v>218.88</v>
      </c>
      <c r="AO70" s="102">
        <f t="shared" si="51"/>
        <v>218.88</v>
      </c>
      <c r="AP70" s="102">
        <f t="shared" si="51"/>
        <v>218.88</v>
      </c>
      <c r="AQ70" s="102">
        <f t="shared" si="51"/>
        <v>218.88</v>
      </c>
      <c r="AR70" s="102">
        <f t="shared" si="51"/>
        <v>218.88</v>
      </c>
      <c r="AS70" s="102">
        <f t="shared" si="51"/>
        <v>218.88</v>
      </c>
      <c r="AT70" s="102">
        <f t="shared" si="51"/>
        <v>218.88</v>
      </c>
      <c r="AU70" s="102">
        <f t="shared" si="51"/>
        <v>218.88</v>
      </c>
      <c r="AV70" s="102">
        <f t="shared" si="51"/>
        <v>218.88</v>
      </c>
      <c r="AW70" s="90"/>
      <c r="AX70" s="90"/>
      <c r="AY70" s="90"/>
      <c r="AZ70" s="90"/>
      <c r="BA70" s="90"/>
      <c r="BB70" s="90"/>
      <c r="BC70" s="90"/>
      <c r="BD70" s="90"/>
      <c r="BE70" s="90"/>
      <c r="BF70" s="90"/>
      <c r="BG70" s="90"/>
    </row>
    <row r="71" ht="12.75" hidden="1" customHeight="1" outlineLevel="1">
      <c r="A71" s="515"/>
      <c r="B71" s="90"/>
      <c r="C71" s="90"/>
      <c r="D71" s="90"/>
      <c r="E71" s="90"/>
      <c r="F71" s="90"/>
      <c r="G71" s="90"/>
      <c r="H71" s="90"/>
      <c r="I71" s="90"/>
      <c r="J71" s="90"/>
      <c r="K71" s="90"/>
      <c r="L71" s="90"/>
      <c r="M71" s="90"/>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row>
    <row r="72" ht="12.75" hidden="1" customHeight="1" outlineLevel="1">
      <c r="A72" s="515"/>
      <c r="B72" s="90" t="s">
        <v>655</v>
      </c>
      <c r="C72" s="90"/>
      <c r="D72" s="90"/>
      <c r="E72" s="90"/>
      <c r="F72" s="90"/>
      <c r="G72" s="90"/>
      <c r="H72" s="157"/>
      <c r="I72" s="157">
        <v>0.7</v>
      </c>
      <c r="J72" s="157">
        <v>0.7</v>
      </c>
      <c r="K72" s="152">
        <v>0.73</v>
      </c>
      <c r="L72" s="152">
        <f t="shared" ref="L72:AV72" si="52">MAX(0.5,0.9*K72)</f>
        <v>0.657</v>
      </c>
      <c r="M72" s="152">
        <f t="shared" si="52"/>
        <v>0.5913</v>
      </c>
      <c r="N72" s="152">
        <f t="shared" si="52"/>
        <v>0.53217</v>
      </c>
      <c r="O72" s="152">
        <f t="shared" si="52"/>
        <v>0.5</v>
      </c>
      <c r="P72" s="152">
        <f t="shared" si="52"/>
        <v>0.5</v>
      </c>
      <c r="Q72" s="152">
        <f t="shared" si="52"/>
        <v>0.5</v>
      </c>
      <c r="R72" s="152">
        <f t="shared" si="52"/>
        <v>0.5</v>
      </c>
      <c r="S72" s="152">
        <f t="shared" si="52"/>
        <v>0.5</v>
      </c>
      <c r="T72" s="152">
        <f t="shared" si="52"/>
        <v>0.5</v>
      </c>
      <c r="U72" s="152">
        <f t="shared" si="52"/>
        <v>0.5</v>
      </c>
      <c r="V72" s="152">
        <f t="shared" si="52"/>
        <v>0.5</v>
      </c>
      <c r="W72" s="152">
        <f t="shared" si="52"/>
        <v>0.5</v>
      </c>
      <c r="X72" s="152">
        <f t="shared" si="52"/>
        <v>0.5</v>
      </c>
      <c r="Y72" s="152">
        <f t="shared" si="52"/>
        <v>0.5</v>
      </c>
      <c r="Z72" s="152">
        <f t="shared" si="52"/>
        <v>0.5</v>
      </c>
      <c r="AA72" s="152">
        <f t="shared" si="52"/>
        <v>0.5</v>
      </c>
      <c r="AB72" s="152">
        <f t="shared" si="52"/>
        <v>0.5</v>
      </c>
      <c r="AC72" s="152">
        <f t="shared" si="52"/>
        <v>0.5</v>
      </c>
      <c r="AD72" s="152">
        <f t="shared" si="52"/>
        <v>0.5</v>
      </c>
      <c r="AE72" s="152">
        <f t="shared" si="52"/>
        <v>0.5</v>
      </c>
      <c r="AF72" s="152">
        <f t="shared" si="52"/>
        <v>0.5</v>
      </c>
      <c r="AG72" s="152">
        <f t="shared" si="52"/>
        <v>0.5</v>
      </c>
      <c r="AH72" s="152">
        <f t="shared" si="52"/>
        <v>0.5</v>
      </c>
      <c r="AI72" s="152">
        <f t="shared" si="52"/>
        <v>0.5</v>
      </c>
      <c r="AJ72" s="152">
        <f t="shared" si="52"/>
        <v>0.5</v>
      </c>
      <c r="AK72" s="152">
        <f t="shared" si="52"/>
        <v>0.5</v>
      </c>
      <c r="AL72" s="152">
        <f t="shared" si="52"/>
        <v>0.5</v>
      </c>
      <c r="AM72" s="152">
        <f t="shared" si="52"/>
        <v>0.5</v>
      </c>
      <c r="AN72" s="152">
        <f t="shared" si="52"/>
        <v>0.5</v>
      </c>
      <c r="AO72" s="152">
        <f t="shared" si="52"/>
        <v>0.5</v>
      </c>
      <c r="AP72" s="152">
        <f t="shared" si="52"/>
        <v>0.5</v>
      </c>
      <c r="AQ72" s="152">
        <f t="shared" si="52"/>
        <v>0.5</v>
      </c>
      <c r="AR72" s="152">
        <f t="shared" si="52"/>
        <v>0.5</v>
      </c>
      <c r="AS72" s="152">
        <f t="shared" si="52"/>
        <v>0.5</v>
      </c>
      <c r="AT72" s="152">
        <f t="shared" si="52"/>
        <v>0.5</v>
      </c>
      <c r="AU72" s="152">
        <f t="shared" si="52"/>
        <v>0.5</v>
      </c>
      <c r="AV72" s="152">
        <f t="shared" si="52"/>
        <v>0.5</v>
      </c>
      <c r="AW72" s="90"/>
      <c r="AX72" s="90"/>
      <c r="AY72" s="90"/>
      <c r="AZ72" s="90"/>
      <c r="BA72" s="90"/>
      <c r="BB72" s="90"/>
      <c r="BC72" s="90"/>
      <c r="BD72" s="90"/>
      <c r="BE72" s="90"/>
      <c r="BF72" s="90"/>
      <c r="BG72" s="90"/>
    </row>
    <row r="73" ht="12.75" hidden="1" customHeight="1" outlineLevel="1">
      <c r="A73" s="515"/>
      <c r="B73" s="90" t="s">
        <v>656</v>
      </c>
      <c r="C73" s="90"/>
      <c r="D73" s="90"/>
      <c r="E73" s="90"/>
      <c r="F73" s="90"/>
      <c r="G73" s="90"/>
      <c r="H73" s="90"/>
      <c r="I73" s="90">
        <f t="shared" ref="I73:AV73" si="53">ROUND(I50*I72*I$46,0)</f>
        <v>112</v>
      </c>
      <c r="J73" s="90">
        <f t="shared" si="53"/>
        <v>220</v>
      </c>
      <c r="K73" s="90">
        <f t="shared" si="53"/>
        <v>330</v>
      </c>
      <c r="L73" s="90">
        <f t="shared" si="53"/>
        <v>315</v>
      </c>
      <c r="M73" s="90">
        <f t="shared" si="53"/>
        <v>284</v>
      </c>
      <c r="N73" s="90">
        <f t="shared" si="53"/>
        <v>255</v>
      </c>
      <c r="O73" s="90">
        <f t="shared" si="53"/>
        <v>240</v>
      </c>
      <c r="P73" s="90">
        <f t="shared" si="53"/>
        <v>240</v>
      </c>
      <c r="Q73" s="90">
        <f t="shared" si="53"/>
        <v>240</v>
      </c>
      <c r="R73" s="90">
        <f t="shared" si="53"/>
        <v>240</v>
      </c>
      <c r="S73" s="90">
        <f t="shared" si="53"/>
        <v>240</v>
      </c>
      <c r="T73" s="90">
        <f t="shared" si="53"/>
        <v>240</v>
      </c>
      <c r="U73" s="90">
        <f t="shared" si="53"/>
        <v>240</v>
      </c>
      <c r="V73" s="90">
        <f t="shared" si="53"/>
        <v>240</v>
      </c>
      <c r="W73" s="90">
        <f t="shared" si="53"/>
        <v>240</v>
      </c>
      <c r="X73" s="90">
        <f t="shared" si="53"/>
        <v>240</v>
      </c>
      <c r="Y73" s="90">
        <f t="shared" si="53"/>
        <v>240</v>
      </c>
      <c r="Z73" s="90">
        <f t="shared" si="53"/>
        <v>240</v>
      </c>
      <c r="AA73" s="90">
        <f t="shared" si="53"/>
        <v>240</v>
      </c>
      <c r="AB73" s="90">
        <f t="shared" si="53"/>
        <v>240</v>
      </c>
      <c r="AC73" s="90">
        <f t="shared" si="53"/>
        <v>240</v>
      </c>
      <c r="AD73" s="90">
        <f t="shared" si="53"/>
        <v>240</v>
      </c>
      <c r="AE73" s="90">
        <f t="shared" si="53"/>
        <v>240</v>
      </c>
      <c r="AF73" s="90">
        <f t="shared" si="53"/>
        <v>240</v>
      </c>
      <c r="AG73" s="90">
        <f t="shared" si="53"/>
        <v>240</v>
      </c>
      <c r="AH73" s="90">
        <f t="shared" si="53"/>
        <v>240</v>
      </c>
      <c r="AI73" s="90">
        <f t="shared" si="53"/>
        <v>240</v>
      </c>
      <c r="AJ73" s="90">
        <f t="shared" si="53"/>
        <v>240</v>
      </c>
      <c r="AK73" s="90">
        <f t="shared" si="53"/>
        <v>240</v>
      </c>
      <c r="AL73" s="90">
        <f t="shared" si="53"/>
        <v>240</v>
      </c>
      <c r="AM73" s="90">
        <f t="shared" si="53"/>
        <v>240</v>
      </c>
      <c r="AN73" s="90">
        <f t="shared" si="53"/>
        <v>240</v>
      </c>
      <c r="AO73" s="90">
        <f t="shared" si="53"/>
        <v>240</v>
      </c>
      <c r="AP73" s="90">
        <f t="shared" si="53"/>
        <v>240</v>
      </c>
      <c r="AQ73" s="90">
        <f t="shared" si="53"/>
        <v>240</v>
      </c>
      <c r="AR73" s="90">
        <f t="shared" si="53"/>
        <v>240</v>
      </c>
      <c r="AS73" s="90">
        <f t="shared" si="53"/>
        <v>240</v>
      </c>
      <c r="AT73" s="90">
        <f t="shared" si="53"/>
        <v>240</v>
      </c>
      <c r="AU73" s="90">
        <f t="shared" si="53"/>
        <v>240</v>
      </c>
      <c r="AV73" s="90">
        <f t="shared" si="53"/>
        <v>240</v>
      </c>
      <c r="AW73" s="90"/>
      <c r="AX73" s="90"/>
      <c r="AY73" s="90"/>
      <c r="AZ73" s="90"/>
      <c r="BA73" s="90"/>
      <c r="BB73" s="90"/>
      <c r="BC73" s="90"/>
      <c r="BD73" s="90"/>
      <c r="BE73" s="90"/>
      <c r="BF73" s="90"/>
      <c r="BG73" s="90"/>
    </row>
    <row r="74" ht="12.75" hidden="1" customHeight="1" outlineLevel="1">
      <c r="A74" s="515"/>
      <c r="B74" s="90" t="s">
        <v>657</v>
      </c>
      <c r="C74" s="90"/>
      <c r="D74" s="90"/>
      <c r="E74" s="90"/>
      <c r="F74" s="90"/>
      <c r="G74" s="90"/>
      <c r="H74" s="102"/>
      <c r="I74" s="102">
        <f t="shared" ref="I74:AV74" si="54">I73*I$52</f>
        <v>107.52</v>
      </c>
      <c r="J74" s="102">
        <f t="shared" si="54"/>
        <v>211.2</v>
      </c>
      <c r="K74" s="102">
        <f t="shared" si="54"/>
        <v>316.8</v>
      </c>
      <c r="L74" s="102">
        <f t="shared" si="54"/>
        <v>302.4</v>
      </c>
      <c r="M74" s="102">
        <f t="shared" si="54"/>
        <v>272.64</v>
      </c>
      <c r="N74" s="102">
        <f t="shared" si="54"/>
        <v>244.8</v>
      </c>
      <c r="O74" s="102">
        <f t="shared" si="54"/>
        <v>230.4</v>
      </c>
      <c r="P74" s="102">
        <f t="shared" si="54"/>
        <v>230.4</v>
      </c>
      <c r="Q74" s="102">
        <f t="shared" si="54"/>
        <v>230.4</v>
      </c>
      <c r="R74" s="102">
        <f t="shared" si="54"/>
        <v>230.4</v>
      </c>
      <c r="S74" s="102">
        <f t="shared" si="54"/>
        <v>230.4</v>
      </c>
      <c r="T74" s="102">
        <f t="shared" si="54"/>
        <v>230.4</v>
      </c>
      <c r="U74" s="102">
        <f t="shared" si="54"/>
        <v>230.4</v>
      </c>
      <c r="V74" s="102">
        <f t="shared" si="54"/>
        <v>230.4</v>
      </c>
      <c r="W74" s="102">
        <f t="shared" si="54"/>
        <v>230.4</v>
      </c>
      <c r="X74" s="102">
        <f t="shared" si="54"/>
        <v>230.4</v>
      </c>
      <c r="Y74" s="102">
        <f t="shared" si="54"/>
        <v>230.4</v>
      </c>
      <c r="Z74" s="102">
        <f t="shared" si="54"/>
        <v>230.4</v>
      </c>
      <c r="AA74" s="102">
        <f t="shared" si="54"/>
        <v>230.4</v>
      </c>
      <c r="AB74" s="102">
        <f t="shared" si="54"/>
        <v>230.4</v>
      </c>
      <c r="AC74" s="102">
        <f t="shared" si="54"/>
        <v>230.4</v>
      </c>
      <c r="AD74" s="102">
        <f t="shared" si="54"/>
        <v>230.4</v>
      </c>
      <c r="AE74" s="102">
        <f t="shared" si="54"/>
        <v>230.4</v>
      </c>
      <c r="AF74" s="102">
        <f t="shared" si="54"/>
        <v>230.4</v>
      </c>
      <c r="AG74" s="102">
        <f t="shared" si="54"/>
        <v>230.4</v>
      </c>
      <c r="AH74" s="102">
        <f t="shared" si="54"/>
        <v>230.4</v>
      </c>
      <c r="AI74" s="102">
        <f t="shared" si="54"/>
        <v>230.4</v>
      </c>
      <c r="AJ74" s="102">
        <f t="shared" si="54"/>
        <v>230.4</v>
      </c>
      <c r="AK74" s="102">
        <f t="shared" si="54"/>
        <v>230.4</v>
      </c>
      <c r="AL74" s="102">
        <f t="shared" si="54"/>
        <v>230.4</v>
      </c>
      <c r="AM74" s="102">
        <f t="shared" si="54"/>
        <v>230.4</v>
      </c>
      <c r="AN74" s="102">
        <f t="shared" si="54"/>
        <v>230.4</v>
      </c>
      <c r="AO74" s="102">
        <f t="shared" si="54"/>
        <v>230.4</v>
      </c>
      <c r="AP74" s="102">
        <f t="shared" si="54"/>
        <v>230.4</v>
      </c>
      <c r="AQ74" s="102">
        <f t="shared" si="54"/>
        <v>230.4</v>
      </c>
      <c r="AR74" s="102">
        <f t="shared" si="54"/>
        <v>230.4</v>
      </c>
      <c r="AS74" s="102">
        <f t="shared" si="54"/>
        <v>230.4</v>
      </c>
      <c r="AT74" s="102">
        <f t="shared" si="54"/>
        <v>230.4</v>
      </c>
      <c r="AU74" s="102">
        <f t="shared" si="54"/>
        <v>230.4</v>
      </c>
      <c r="AV74" s="102">
        <f t="shared" si="54"/>
        <v>230.4</v>
      </c>
      <c r="AW74" s="90"/>
      <c r="AX74" s="90"/>
      <c r="AY74" s="90"/>
      <c r="AZ74" s="90"/>
      <c r="BA74" s="90"/>
      <c r="BB74" s="90"/>
      <c r="BC74" s="90"/>
      <c r="BD74" s="90"/>
      <c r="BE74" s="90"/>
      <c r="BF74" s="90"/>
      <c r="BG74" s="90"/>
    </row>
    <row r="75" ht="12.75" hidden="1" customHeight="1" outlineLevel="1">
      <c r="A75" s="515"/>
      <c r="B75" s="90"/>
      <c r="C75" s="90"/>
      <c r="D75" s="90"/>
      <c r="E75" s="90"/>
      <c r="F75" s="90"/>
      <c r="G75" s="90"/>
      <c r="H75" s="90"/>
      <c r="I75" s="90"/>
      <c r="J75" s="90"/>
      <c r="K75" s="90"/>
      <c r="L75" s="90"/>
      <c r="M75" s="90"/>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row>
    <row r="76" ht="12.75" hidden="1" customHeight="1" outlineLevel="1">
      <c r="A76" s="515"/>
      <c r="B76" s="90" t="s">
        <v>658</v>
      </c>
      <c r="C76" s="90"/>
      <c r="D76" s="90"/>
      <c r="E76" s="90"/>
      <c r="F76" s="90"/>
      <c r="G76" s="90"/>
      <c r="H76" s="353"/>
      <c r="I76" s="353">
        <f t="shared" ref="I76:J76" si="55">ROUND(I69+H73+IF(I69+H73-H46/2&gt;0,0.5*(I69+H73-H46/2),0),0)</f>
        <v>113</v>
      </c>
      <c r="J76" s="353">
        <f t="shared" si="55"/>
        <v>352</v>
      </c>
      <c r="K76" s="353">
        <f t="shared" ref="K76:AV76" si="56">ROUND(J69+J73+IF(J69+J73-J46/2&gt;0,0.5*(J69+J73-J46/2),0),0)</f>
        <v>474</v>
      </c>
      <c r="L76" s="353">
        <f t="shared" si="56"/>
        <v>705</v>
      </c>
      <c r="M76" s="353">
        <f t="shared" si="56"/>
        <v>695</v>
      </c>
      <c r="N76" s="353">
        <f t="shared" si="56"/>
        <v>648</v>
      </c>
      <c r="O76" s="353">
        <f t="shared" si="56"/>
        <v>605</v>
      </c>
      <c r="P76" s="353">
        <f t="shared" si="56"/>
        <v>582</v>
      </c>
      <c r="Q76" s="353">
        <f t="shared" si="56"/>
        <v>582</v>
      </c>
      <c r="R76" s="353">
        <f t="shared" si="56"/>
        <v>582</v>
      </c>
      <c r="S76" s="353">
        <f t="shared" si="56"/>
        <v>582</v>
      </c>
      <c r="T76" s="353">
        <f t="shared" si="56"/>
        <v>582</v>
      </c>
      <c r="U76" s="353">
        <f t="shared" si="56"/>
        <v>582</v>
      </c>
      <c r="V76" s="353">
        <f t="shared" si="56"/>
        <v>582</v>
      </c>
      <c r="W76" s="353">
        <f t="shared" si="56"/>
        <v>582</v>
      </c>
      <c r="X76" s="353">
        <f t="shared" si="56"/>
        <v>582</v>
      </c>
      <c r="Y76" s="353">
        <f t="shared" si="56"/>
        <v>582</v>
      </c>
      <c r="Z76" s="353">
        <f t="shared" si="56"/>
        <v>582</v>
      </c>
      <c r="AA76" s="353">
        <f t="shared" si="56"/>
        <v>582</v>
      </c>
      <c r="AB76" s="353">
        <f t="shared" si="56"/>
        <v>582</v>
      </c>
      <c r="AC76" s="353">
        <f t="shared" si="56"/>
        <v>582</v>
      </c>
      <c r="AD76" s="353">
        <f t="shared" si="56"/>
        <v>582</v>
      </c>
      <c r="AE76" s="353">
        <f t="shared" si="56"/>
        <v>582</v>
      </c>
      <c r="AF76" s="353">
        <f t="shared" si="56"/>
        <v>582</v>
      </c>
      <c r="AG76" s="353">
        <f t="shared" si="56"/>
        <v>582</v>
      </c>
      <c r="AH76" s="353">
        <f t="shared" si="56"/>
        <v>582</v>
      </c>
      <c r="AI76" s="353">
        <f t="shared" si="56"/>
        <v>582</v>
      </c>
      <c r="AJ76" s="353">
        <f t="shared" si="56"/>
        <v>582</v>
      </c>
      <c r="AK76" s="353">
        <f t="shared" si="56"/>
        <v>582</v>
      </c>
      <c r="AL76" s="353">
        <f t="shared" si="56"/>
        <v>582</v>
      </c>
      <c r="AM76" s="353">
        <f t="shared" si="56"/>
        <v>582</v>
      </c>
      <c r="AN76" s="353">
        <f t="shared" si="56"/>
        <v>582</v>
      </c>
      <c r="AO76" s="353">
        <f t="shared" si="56"/>
        <v>582</v>
      </c>
      <c r="AP76" s="353">
        <f t="shared" si="56"/>
        <v>582</v>
      </c>
      <c r="AQ76" s="353">
        <f t="shared" si="56"/>
        <v>582</v>
      </c>
      <c r="AR76" s="353">
        <f t="shared" si="56"/>
        <v>582</v>
      </c>
      <c r="AS76" s="353">
        <f t="shared" si="56"/>
        <v>582</v>
      </c>
      <c r="AT76" s="353">
        <f t="shared" si="56"/>
        <v>582</v>
      </c>
      <c r="AU76" s="353">
        <f t="shared" si="56"/>
        <v>582</v>
      </c>
      <c r="AV76" s="353">
        <f t="shared" si="56"/>
        <v>582</v>
      </c>
      <c r="AW76" s="90"/>
      <c r="AX76" s="90"/>
      <c r="AY76" s="90"/>
      <c r="AZ76" s="90"/>
      <c r="BA76" s="90"/>
      <c r="BB76" s="90"/>
      <c r="BC76" s="90"/>
      <c r="BD76" s="90"/>
      <c r="BE76" s="90"/>
      <c r="BF76" s="90"/>
      <c r="BG76" s="90"/>
    </row>
    <row r="77" ht="12.75" hidden="1" customHeight="1" outlineLevel="1">
      <c r="A77" s="515"/>
      <c r="B77" s="90"/>
      <c r="C77" s="90"/>
      <c r="D77" s="90"/>
      <c r="E77" s="90"/>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row>
    <row r="78" ht="12.75" hidden="1" customHeight="1" outlineLevel="1">
      <c r="A78" s="515"/>
      <c r="B78" s="90" t="s">
        <v>659</v>
      </c>
      <c r="C78" s="90"/>
      <c r="D78" s="90"/>
      <c r="E78" s="90"/>
      <c r="F78" s="90"/>
      <c r="G78" s="90"/>
      <c r="H78" s="157"/>
      <c r="I78" s="157">
        <v>0.08</v>
      </c>
      <c r="J78" s="157">
        <v>0.08</v>
      </c>
      <c r="K78" s="152">
        <f t="shared" ref="K78:AV78" si="57">J78</f>
        <v>0.08</v>
      </c>
      <c r="L78" s="152">
        <f t="shared" si="57"/>
        <v>0.08</v>
      </c>
      <c r="M78" s="152">
        <f t="shared" si="57"/>
        <v>0.08</v>
      </c>
      <c r="N78" s="152">
        <f t="shared" si="57"/>
        <v>0.08</v>
      </c>
      <c r="O78" s="152">
        <f t="shared" si="57"/>
        <v>0.08</v>
      </c>
      <c r="P78" s="152">
        <f t="shared" si="57"/>
        <v>0.08</v>
      </c>
      <c r="Q78" s="152">
        <f t="shared" si="57"/>
        <v>0.08</v>
      </c>
      <c r="R78" s="152">
        <f t="shared" si="57"/>
        <v>0.08</v>
      </c>
      <c r="S78" s="152">
        <f t="shared" si="57"/>
        <v>0.08</v>
      </c>
      <c r="T78" s="152">
        <f t="shared" si="57"/>
        <v>0.08</v>
      </c>
      <c r="U78" s="152">
        <f t="shared" si="57"/>
        <v>0.08</v>
      </c>
      <c r="V78" s="152">
        <f t="shared" si="57"/>
        <v>0.08</v>
      </c>
      <c r="W78" s="152">
        <f t="shared" si="57"/>
        <v>0.08</v>
      </c>
      <c r="X78" s="152">
        <f t="shared" si="57"/>
        <v>0.08</v>
      </c>
      <c r="Y78" s="152">
        <f t="shared" si="57"/>
        <v>0.08</v>
      </c>
      <c r="Z78" s="152">
        <f t="shared" si="57"/>
        <v>0.08</v>
      </c>
      <c r="AA78" s="152">
        <f t="shared" si="57"/>
        <v>0.08</v>
      </c>
      <c r="AB78" s="152">
        <f t="shared" si="57"/>
        <v>0.08</v>
      </c>
      <c r="AC78" s="152">
        <f t="shared" si="57"/>
        <v>0.08</v>
      </c>
      <c r="AD78" s="152">
        <f t="shared" si="57"/>
        <v>0.08</v>
      </c>
      <c r="AE78" s="152">
        <f t="shared" si="57"/>
        <v>0.08</v>
      </c>
      <c r="AF78" s="152">
        <f t="shared" si="57"/>
        <v>0.08</v>
      </c>
      <c r="AG78" s="152">
        <f t="shared" si="57"/>
        <v>0.08</v>
      </c>
      <c r="AH78" s="152">
        <f t="shared" si="57"/>
        <v>0.08</v>
      </c>
      <c r="AI78" s="152">
        <f t="shared" si="57"/>
        <v>0.08</v>
      </c>
      <c r="AJ78" s="152">
        <f t="shared" si="57"/>
        <v>0.08</v>
      </c>
      <c r="AK78" s="152">
        <f t="shared" si="57"/>
        <v>0.08</v>
      </c>
      <c r="AL78" s="152">
        <f t="shared" si="57"/>
        <v>0.08</v>
      </c>
      <c r="AM78" s="152">
        <f t="shared" si="57"/>
        <v>0.08</v>
      </c>
      <c r="AN78" s="152">
        <f t="shared" si="57"/>
        <v>0.08</v>
      </c>
      <c r="AO78" s="152">
        <f t="shared" si="57"/>
        <v>0.08</v>
      </c>
      <c r="AP78" s="152">
        <f t="shared" si="57"/>
        <v>0.08</v>
      </c>
      <c r="AQ78" s="152">
        <f t="shared" si="57"/>
        <v>0.08</v>
      </c>
      <c r="AR78" s="152">
        <f t="shared" si="57"/>
        <v>0.08</v>
      </c>
      <c r="AS78" s="152">
        <f t="shared" si="57"/>
        <v>0.08</v>
      </c>
      <c r="AT78" s="152">
        <f t="shared" si="57"/>
        <v>0.08</v>
      </c>
      <c r="AU78" s="152">
        <f t="shared" si="57"/>
        <v>0.08</v>
      </c>
      <c r="AV78" s="152">
        <f t="shared" si="57"/>
        <v>0.08</v>
      </c>
      <c r="AW78" s="90" t="s">
        <v>1180</v>
      </c>
      <c r="AX78" s="90"/>
      <c r="AY78" s="90"/>
      <c r="AZ78" s="90"/>
      <c r="BA78" s="90"/>
      <c r="BB78" s="90"/>
      <c r="BC78" s="90"/>
      <c r="BD78" s="90"/>
      <c r="BE78" s="90"/>
      <c r="BF78" s="90"/>
      <c r="BG78" s="90"/>
    </row>
    <row r="79" ht="12.75" hidden="1" customHeight="1" outlineLevel="1">
      <c r="A79" s="515"/>
      <c r="B79" s="90" t="s">
        <v>660</v>
      </c>
      <c r="C79" s="90"/>
      <c r="D79" s="90"/>
      <c r="E79" s="90"/>
      <c r="F79" s="90"/>
      <c r="G79" s="90"/>
      <c r="H79" s="90"/>
      <c r="I79" s="90">
        <f t="shared" ref="I79:AV79" si="58">ROUND(I50*I78*I$46,0)</f>
        <v>13</v>
      </c>
      <c r="J79" s="90">
        <f t="shared" si="58"/>
        <v>25</v>
      </c>
      <c r="K79" s="90">
        <f t="shared" si="58"/>
        <v>36</v>
      </c>
      <c r="L79" s="90">
        <f t="shared" si="58"/>
        <v>38</v>
      </c>
      <c r="M79" s="90">
        <f t="shared" si="58"/>
        <v>38</v>
      </c>
      <c r="N79" s="90">
        <f t="shared" si="58"/>
        <v>38</v>
      </c>
      <c r="O79" s="90">
        <f t="shared" si="58"/>
        <v>38</v>
      </c>
      <c r="P79" s="90">
        <f t="shared" si="58"/>
        <v>38</v>
      </c>
      <c r="Q79" s="90">
        <f t="shared" si="58"/>
        <v>38</v>
      </c>
      <c r="R79" s="90">
        <f t="shared" si="58"/>
        <v>38</v>
      </c>
      <c r="S79" s="90">
        <f t="shared" si="58"/>
        <v>38</v>
      </c>
      <c r="T79" s="90">
        <f t="shared" si="58"/>
        <v>38</v>
      </c>
      <c r="U79" s="90">
        <f t="shared" si="58"/>
        <v>38</v>
      </c>
      <c r="V79" s="90">
        <f t="shared" si="58"/>
        <v>38</v>
      </c>
      <c r="W79" s="90">
        <f t="shared" si="58"/>
        <v>38</v>
      </c>
      <c r="X79" s="90">
        <f t="shared" si="58"/>
        <v>38</v>
      </c>
      <c r="Y79" s="90">
        <f t="shared" si="58"/>
        <v>38</v>
      </c>
      <c r="Z79" s="90">
        <f t="shared" si="58"/>
        <v>38</v>
      </c>
      <c r="AA79" s="90">
        <f t="shared" si="58"/>
        <v>38</v>
      </c>
      <c r="AB79" s="90">
        <f t="shared" si="58"/>
        <v>38</v>
      </c>
      <c r="AC79" s="90">
        <f t="shared" si="58"/>
        <v>38</v>
      </c>
      <c r="AD79" s="90">
        <f t="shared" si="58"/>
        <v>38</v>
      </c>
      <c r="AE79" s="90">
        <f t="shared" si="58"/>
        <v>38</v>
      </c>
      <c r="AF79" s="90">
        <f t="shared" si="58"/>
        <v>38</v>
      </c>
      <c r="AG79" s="90">
        <f t="shared" si="58"/>
        <v>38</v>
      </c>
      <c r="AH79" s="90">
        <f t="shared" si="58"/>
        <v>38</v>
      </c>
      <c r="AI79" s="90">
        <f t="shared" si="58"/>
        <v>38</v>
      </c>
      <c r="AJ79" s="90">
        <f t="shared" si="58"/>
        <v>38</v>
      </c>
      <c r="AK79" s="90">
        <f t="shared" si="58"/>
        <v>38</v>
      </c>
      <c r="AL79" s="90">
        <f t="shared" si="58"/>
        <v>38</v>
      </c>
      <c r="AM79" s="90">
        <f t="shared" si="58"/>
        <v>38</v>
      </c>
      <c r="AN79" s="90">
        <f t="shared" si="58"/>
        <v>38</v>
      </c>
      <c r="AO79" s="90">
        <f t="shared" si="58"/>
        <v>38</v>
      </c>
      <c r="AP79" s="90">
        <f t="shared" si="58"/>
        <v>38</v>
      </c>
      <c r="AQ79" s="90">
        <f t="shared" si="58"/>
        <v>38</v>
      </c>
      <c r="AR79" s="90">
        <f t="shared" si="58"/>
        <v>38</v>
      </c>
      <c r="AS79" s="90">
        <f t="shared" si="58"/>
        <v>38</v>
      </c>
      <c r="AT79" s="90">
        <f t="shared" si="58"/>
        <v>38</v>
      </c>
      <c r="AU79" s="90">
        <f t="shared" si="58"/>
        <v>38</v>
      </c>
      <c r="AV79" s="90">
        <f t="shared" si="58"/>
        <v>38</v>
      </c>
      <c r="AW79" s="90"/>
      <c r="AX79" s="90"/>
      <c r="AY79" s="90"/>
      <c r="AZ79" s="90"/>
      <c r="BA79" s="90"/>
      <c r="BB79" s="90"/>
      <c r="BC79" s="90"/>
      <c r="BD79" s="90"/>
      <c r="BE79" s="90"/>
      <c r="BF79" s="90"/>
      <c r="BG79" s="90"/>
    </row>
    <row r="80" ht="12.75" hidden="1" customHeight="1" outlineLevel="1">
      <c r="A80" s="515"/>
      <c r="B80" s="90" t="s">
        <v>661</v>
      </c>
      <c r="C80" s="90"/>
      <c r="D80" s="90"/>
      <c r="E80" s="90"/>
      <c r="F80" s="90"/>
      <c r="G80" s="90"/>
      <c r="H80" s="102"/>
      <c r="I80" s="102">
        <f t="shared" ref="I80:AV80" si="59">I79*I$52</f>
        <v>12.48</v>
      </c>
      <c r="J80" s="102">
        <f t="shared" si="59"/>
        <v>24</v>
      </c>
      <c r="K80" s="102">
        <f t="shared" si="59"/>
        <v>34.56</v>
      </c>
      <c r="L80" s="102">
        <f t="shared" si="59"/>
        <v>36.48</v>
      </c>
      <c r="M80" s="102">
        <f t="shared" si="59"/>
        <v>36.48</v>
      </c>
      <c r="N80" s="102">
        <f t="shared" si="59"/>
        <v>36.48</v>
      </c>
      <c r="O80" s="102">
        <f t="shared" si="59"/>
        <v>36.48</v>
      </c>
      <c r="P80" s="102">
        <f t="shared" si="59"/>
        <v>36.48</v>
      </c>
      <c r="Q80" s="102">
        <f t="shared" si="59"/>
        <v>36.48</v>
      </c>
      <c r="R80" s="102">
        <f t="shared" si="59"/>
        <v>36.48</v>
      </c>
      <c r="S80" s="102">
        <f t="shared" si="59"/>
        <v>36.48</v>
      </c>
      <c r="T80" s="102">
        <f t="shared" si="59"/>
        <v>36.48</v>
      </c>
      <c r="U80" s="102">
        <f t="shared" si="59"/>
        <v>36.48</v>
      </c>
      <c r="V80" s="102">
        <f t="shared" si="59"/>
        <v>36.48</v>
      </c>
      <c r="W80" s="102">
        <f t="shared" si="59"/>
        <v>36.48</v>
      </c>
      <c r="X80" s="102">
        <f t="shared" si="59"/>
        <v>36.48</v>
      </c>
      <c r="Y80" s="102">
        <f t="shared" si="59"/>
        <v>36.48</v>
      </c>
      <c r="Z80" s="102">
        <f t="shared" si="59"/>
        <v>36.48</v>
      </c>
      <c r="AA80" s="102">
        <f t="shared" si="59"/>
        <v>36.48</v>
      </c>
      <c r="AB80" s="102">
        <f t="shared" si="59"/>
        <v>36.48</v>
      </c>
      <c r="AC80" s="102">
        <f t="shared" si="59"/>
        <v>36.48</v>
      </c>
      <c r="AD80" s="102">
        <f t="shared" si="59"/>
        <v>36.48</v>
      </c>
      <c r="AE80" s="102">
        <f t="shared" si="59"/>
        <v>36.48</v>
      </c>
      <c r="AF80" s="102">
        <f t="shared" si="59"/>
        <v>36.48</v>
      </c>
      <c r="AG80" s="102">
        <f t="shared" si="59"/>
        <v>36.48</v>
      </c>
      <c r="AH80" s="102">
        <f t="shared" si="59"/>
        <v>36.48</v>
      </c>
      <c r="AI80" s="102">
        <f t="shared" si="59"/>
        <v>36.48</v>
      </c>
      <c r="AJ80" s="102">
        <f t="shared" si="59"/>
        <v>36.48</v>
      </c>
      <c r="AK80" s="102">
        <f t="shared" si="59"/>
        <v>36.48</v>
      </c>
      <c r="AL80" s="102">
        <f t="shared" si="59"/>
        <v>36.48</v>
      </c>
      <c r="AM80" s="102">
        <f t="shared" si="59"/>
        <v>36.48</v>
      </c>
      <c r="AN80" s="102">
        <f t="shared" si="59"/>
        <v>36.48</v>
      </c>
      <c r="AO80" s="102">
        <f t="shared" si="59"/>
        <v>36.48</v>
      </c>
      <c r="AP80" s="102">
        <f t="shared" si="59"/>
        <v>36.48</v>
      </c>
      <c r="AQ80" s="102">
        <f t="shared" si="59"/>
        <v>36.48</v>
      </c>
      <c r="AR80" s="102">
        <f t="shared" si="59"/>
        <v>36.48</v>
      </c>
      <c r="AS80" s="102">
        <f t="shared" si="59"/>
        <v>36.48</v>
      </c>
      <c r="AT80" s="102">
        <f t="shared" si="59"/>
        <v>36.48</v>
      </c>
      <c r="AU80" s="102">
        <f t="shared" si="59"/>
        <v>36.48</v>
      </c>
      <c r="AV80" s="102">
        <f t="shared" si="59"/>
        <v>36.48</v>
      </c>
      <c r="AW80" s="90"/>
      <c r="AX80" s="90"/>
      <c r="AY80" s="90"/>
      <c r="AZ80" s="90"/>
      <c r="BA80" s="90"/>
      <c r="BB80" s="90"/>
      <c r="BC80" s="90"/>
      <c r="BD80" s="90"/>
      <c r="BE80" s="90"/>
      <c r="BF80" s="90"/>
      <c r="BG80" s="90"/>
    </row>
    <row r="81" ht="12.75" hidden="1" customHeight="1" outlineLevel="1">
      <c r="A81" s="515"/>
      <c r="B81" s="90"/>
      <c r="C81" s="90"/>
      <c r="D81" s="90"/>
      <c r="E81" s="90"/>
      <c r="F81" s="90"/>
      <c r="G81" s="90"/>
      <c r="H81" s="90"/>
      <c r="I81" s="90"/>
      <c r="J81" s="90"/>
      <c r="K81" s="90"/>
      <c r="L81" s="90"/>
      <c r="M81" s="90"/>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c r="AY81" s="90"/>
      <c r="AZ81" s="90"/>
      <c r="BA81" s="90"/>
      <c r="BB81" s="90"/>
      <c r="BC81" s="90"/>
      <c r="BD81" s="90"/>
      <c r="BE81" s="90"/>
      <c r="BF81" s="90"/>
      <c r="BG81" s="90"/>
    </row>
    <row r="82" ht="12.75" hidden="1" customHeight="1" outlineLevel="1">
      <c r="A82" s="515"/>
      <c r="B82" s="90" t="s">
        <v>662</v>
      </c>
      <c r="C82" s="90"/>
      <c r="D82" s="90"/>
      <c r="E82" s="90"/>
      <c r="F82" s="90"/>
      <c r="G82" s="90"/>
      <c r="H82" s="517"/>
      <c r="I82" s="517">
        <v>80.0</v>
      </c>
      <c r="J82" s="518">
        <f>0.25*J55</f>
        <v>75.264</v>
      </c>
      <c r="K82" s="518">
        <f t="shared" ref="K82:R82" si="60">0.25*160</f>
        <v>40</v>
      </c>
      <c r="L82" s="518">
        <f t="shared" si="60"/>
        <v>40</v>
      </c>
      <c r="M82" s="518">
        <f t="shared" si="60"/>
        <v>40</v>
      </c>
      <c r="N82" s="518">
        <f t="shared" si="60"/>
        <v>40</v>
      </c>
      <c r="O82" s="518">
        <f t="shared" si="60"/>
        <v>40</v>
      </c>
      <c r="P82" s="518">
        <f t="shared" si="60"/>
        <v>40</v>
      </c>
      <c r="Q82" s="518">
        <f t="shared" si="60"/>
        <v>40</v>
      </c>
      <c r="R82" s="518">
        <f t="shared" si="60"/>
        <v>40</v>
      </c>
      <c r="S82" s="353">
        <f t="shared" ref="S82:AV82" si="61">R82</f>
        <v>40</v>
      </c>
      <c r="T82" s="353">
        <f t="shared" si="61"/>
        <v>40</v>
      </c>
      <c r="U82" s="353">
        <f t="shared" si="61"/>
        <v>40</v>
      </c>
      <c r="V82" s="353">
        <f t="shared" si="61"/>
        <v>40</v>
      </c>
      <c r="W82" s="353">
        <f t="shared" si="61"/>
        <v>40</v>
      </c>
      <c r="X82" s="353">
        <f t="shared" si="61"/>
        <v>40</v>
      </c>
      <c r="Y82" s="353">
        <f t="shared" si="61"/>
        <v>40</v>
      </c>
      <c r="Z82" s="353">
        <f t="shared" si="61"/>
        <v>40</v>
      </c>
      <c r="AA82" s="353">
        <f t="shared" si="61"/>
        <v>40</v>
      </c>
      <c r="AB82" s="353">
        <f t="shared" si="61"/>
        <v>40</v>
      </c>
      <c r="AC82" s="353">
        <f t="shared" si="61"/>
        <v>40</v>
      </c>
      <c r="AD82" s="353">
        <f t="shared" si="61"/>
        <v>40</v>
      </c>
      <c r="AE82" s="353">
        <f t="shared" si="61"/>
        <v>40</v>
      </c>
      <c r="AF82" s="353">
        <f t="shared" si="61"/>
        <v>40</v>
      </c>
      <c r="AG82" s="353">
        <f t="shared" si="61"/>
        <v>40</v>
      </c>
      <c r="AH82" s="353">
        <f t="shared" si="61"/>
        <v>40</v>
      </c>
      <c r="AI82" s="353">
        <f t="shared" si="61"/>
        <v>40</v>
      </c>
      <c r="AJ82" s="353">
        <f t="shared" si="61"/>
        <v>40</v>
      </c>
      <c r="AK82" s="353">
        <f t="shared" si="61"/>
        <v>40</v>
      </c>
      <c r="AL82" s="353">
        <f t="shared" si="61"/>
        <v>40</v>
      </c>
      <c r="AM82" s="353">
        <f t="shared" si="61"/>
        <v>40</v>
      </c>
      <c r="AN82" s="353">
        <f t="shared" si="61"/>
        <v>40</v>
      </c>
      <c r="AO82" s="353">
        <f t="shared" si="61"/>
        <v>40</v>
      </c>
      <c r="AP82" s="353">
        <f t="shared" si="61"/>
        <v>40</v>
      </c>
      <c r="AQ82" s="353">
        <f t="shared" si="61"/>
        <v>40</v>
      </c>
      <c r="AR82" s="353">
        <f t="shared" si="61"/>
        <v>40</v>
      </c>
      <c r="AS82" s="353">
        <f t="shared" si="61"/>
        <v>40</v>
      </c>
      <c r="AT82" s="353">
        <f t="shared" si="61"/>
        <v>40</v>
      </c>
      <c r="AU82" s="353">
        <f t="shared" si="61"/>
        <v>40</v>
      </c>
      <c r="AV82" s="353">
        <f t="shared" si="61"/>
        <v>40</v>
      </c>
      <c r="AW82" s="90"/>
      <c r="AX82" s="90"/>
      <c r="AY82" s="90"/>
      <c r="AZ82" s="90"/>
      <c r="BA82" s="90"/>
      <c r="BB82" s="90"/>
      <c r="BC82" s="90"/>
      <c r="BD82" s="90"/>
      <c r="BE82" s="90"/>
      <c r="BF82" s="90"/>
      <c r="BG82" s="90"/>
    </row>
    <row r="83" ht="12.75" hidden="1" customHeight="1" outlineLevel="1">
      <c r="A83" s="515"/>
      <c r="B83" s="90" t="s">
        <v>663</v>
      </c>
      <c r="C83" s="90"/>
      <c r="D83" s="90"/>
      <c r="E83" s="90"/>
      <c r="F83" s="90"/>
      <c r="G83" s="90"/>
      <c r="H83" s="90"/>
      <c r="I83" s="90">
        <f t="shared" ref="I83:J83" si="62">I37*I36</f>
        <v>356</v>
      </c>
      <c r="J83" s="90">
        <f t="shared" si="62"/>
        <v>360</v>
      </c>
      <c r="K83" s="90">
        <f t="shared" ref="K83:AV83" si="63">J83</f>
        <v>360</v>
      </c>
      <c r="L83" s="90">
        <f t="shared" si="63"/>
        <v>360</v>
      </c>
      <c r="M83" s="90">
        <f t="shared" si="63"/>
        <v>360</v>
      </c>
      <c r="N83" s="90">
        <f t="shared" si="63"/>
        <v>360</v>
      </c>
      <c r="O83" s="90">
        <f t="shared" si="63"/>
        <v>360</v>
      </c>
      <c r="P83" s="90">
        <f t="shared" si="63"/>
        <v>360</v>
      </c>
      <c r="Q83" s="90">
        <f t="shared" si="63"/>
        <v>360</v>
      </c>
      <c r="R83" s="90">
        <f t="shared" si="63"/>
        <v>360</v>
      </c>
      <c r="S83" s="90">
        <f t="shared" si="63"/>
        <v>360</v>
      </c>
      <c r="T83" s="90">
        <f t="shared" si="63"/>
        <v>360</v>
      </c>
      <c r="U83" s="90">
        <f t="shared" si="63"/>
        <v>360</v>
      </c>
      <c r="V83" s="90">
        <f t="shared" si="63"/>
        <v>360</v>
      </c>
      <c r="W83" s="90">
        <f t="shared" si="63"/>
        <v>360</v>
      </c>
      <c r="X83" s="90">
        <f t="shared" si="63"/>
        <v>360</v>
      </c>
      <c r="Y83" s="90">
        <f t="shared" si="63"/>
        <v>360</v>
      </c>
      <c r="Z83" s="90">
        <f t="shared" si="63"/>
        <v>360</v>
      </c>
      <c r="AA83" s="90">
        <f t="shared" si="63"/>
        <v>360</v>
      </c>
      <c r="AB83" s="90">
        <f t="shared" si="63"/>
        <v>360</v>
      </c>
      <c r="AC83" s="90">
        <f t="shared" si="63"/>
        <v>360</v>
      </c>
      <c r="AD83" s="90">
        <f t="shared" si="63"/>
        <v>360</v>
      </c>
      <c r="AE83" s="90">
        <f t="shared" si="63"/>
        <v>360</v>
      </c>
      <c r="AF83" s="90">
        <f t="shared" si="63"/>
        <v>360</v>
      </c>
      <c r="AG83" s="90">
        <f t="shared" si="63"/>
        <v>360</v>
      </c>
      <c r="AH83" s="90">
        <f t="shared" si="63"/>
        <v>360</v>
      </c>
      <c r="AI83" s="90">
        <f t="shared" si="63"/>
        <v>360</v>
      </c>
      <c r="AJ83" s="90">
        <f t="shared" si="63"/>
        <v>360</v>
      </c>
      <c r="AK83" s="90">
        <f t="shared" si="63"/>
        <v>360</v>
      </c>
      <c r="AL83" s="90">
        <f t="shared" si="63"/>
        <v>360</v>
      </c>
      <c r="AM83" s="90">
        <f t="shared" si="63"/>
        <v>360</v>
      </c>
      <c r="AN83" s="90">
        <f t="shared" si="63"/>
        <v>360</v>
      </c>
      <c r="AO83" s="90">
        <f t="shared" si="63"/>
        <v>360</v>
      </c>
      <c r="AP83" s="90">
        <f t="shared" si="63"/>
        <v>360</v>
      </c>
      <c r="AQ83" s="90">
        <f t="shared" si="63"/>
        <v>360</v>
      </c>
      <c r="AR83" s="90">
        <f t="shared" si="63"/>
        <v>360</v>
      </c>
      <c r="AS83" s="90">
        <f t="shared" si="63"/>
        <v>360</v>
      </c>
      <c r="AT83" s="90">
        <f t="shared" si="63"/>
        <v>360</v>
      </c>
      <c r="AU83" s="90">
        <f t="shared" si="63"/>
        <v>360</v>
      </c>
      <c r="AV83" s="90">
        <f t="shared" si="63"/>
        <v>360</v>
      </c>
      <c r="AW83" s="90"/>
      <c r="AX83" s="90"/>
      <c r="AY83" s="90"/>
      <c r="AZ83" s="90"/>
      <c r="BA83" s="90"/>
      <c r="BB83" s="90"/>
      <c r="BC83" s="90"/>
      <c r="BD83" s="90"/>
      <c r="BE83" s="90"/>
      <c r="BF83" s="90"/>
      <c r="BG83" s="90"/>
    </row>
    <row r="84" ht="12.75" hidden="1" customHeight="1" outlineLevel="1">
      <c r="A84" s="515"/>
      <c r="B84" s="90" t="s">
        <v>664</v>
      </c>
      <c r="C84" s="90"/>
      <c r="D84" s="90"/>
      <c r="E84" s="90"/>
      <c r="F84" s="90"/>
      <c r="G84" s="90"/>
      <c r="H84" s="102"/>
      <c r="I84" s="102">
        <f t="shared" ref="I84:AV84" si="64">I83*I82</f>
        <v>28480</v>
      </c>
      <c r="J84" s="102">
        <f t="shared" si="64"/>
        <v>27095.04</v>
      </c>
      <c r="K84" s="102">
        <f t="shared" si="64"/>
        <v>14400</v>
      </c>
      <c r="L84" s="102">
        <f t="shared" si="64"/>
        <v>14400</v>
      </c>
      <c r="M84" s="102">
        <f t="shared" si="64"/>
        <v>14400</v>
      </c>
      <c r="N84" s="102">
        <f t="shared" si="64"/>
        <v>14400</v>
      </c>
      <c r="O84" s="102">
        <f t="shared" si="64"/>
        <v>14400</v>
      </c>
      <c r="P84" s="102">
        <f t="shared" si="64"/>
        <v>14400</v>
      </c>
      <c r="Q84" s="102">
        <f t="shared" si="64"/>
        <v>14400</v>
      </c>
      <c r="R84" s="102">
        <f t="shared" si="64"/>
        <v>14400</v>
      </c>
      <c r="S84" s="102">
        <f t="shared" si="64"/>
        <v>14400</v>
      </c>
      <c r="T84" s="102">
        <f t="shared" si="64"/>
        <v>14400</v>
      </c>
      <c r="U84" s="102">
        <f t="shared" si="64"/>
        <v>14400</v>
      </c>
      <c r="V84" s="102">
        <f t="shared" si="64"/>
        <v>14400</v>
      </c>
      <c r="W84" s="102">
        <f t="shared" si="64"/>
        <v>14400</v>
      </c>
      <c r="X84" s="102">
        <f t="shared" si="64"/>
        <v>14400</v>
      </c>
      <c r="Y84" s="102">
        <f t="shared" si="64"/>
        <v>14400</v>
      </c>
      <c r="Z84" s="102">
        <f t="shared" si="64"/>
        <v>14400</v>
      </c>
      <c r="AA84" s="102">
        <f t="shared" si="64"/>
        <v>14400</v>
      </c>
      <c r="AB84" s="102">
        <f t="shared" si="64"/>
        <v>14400</v>
      </c>
      <c r="AC84" s="102">
        <f t="shared" si="64"/>
        <v>14400</v>
      </c>
      <c r="AD84" s="102">
        <f t="shared" si="64"/>
        <v>14400</v>
      </c>
      <c r="AE84" s="102">
        <f t="shared" si="64"/>
        <v>14400</v>
      </c>
      <c r="AF84" s="102">
        <f t="shared" si="64"/>
        <v>14400</v>
      </c>
      <c r="AG84" s="102">
        <f t="shared" si="64"/>
        <v>14400</v>
      </c>
      <c r="AH84" s="102">
        <f t="shared" si="64"/>
        <v>14400</v>
      </c>
      <c r="AI84" s="102">
        <f t="shared" si="64"/>
        <v>14400</v>
      </c>
      <c r="AJ84" s="102">
        <f t="shared" si="64"/>
        <v>14400</v>
      </c>
      <c r="AK84" s="102">
        <f t="shared" si="64"/>
        <v>14400</v>
      </c>
      <c r="AL84" s="102">
        <f t="shared" si="64"/>
        <v>14400</v>
      </c>
      <c r="AM84" s="102">
        <f t="shared" si="64"/>
        <v>14400</v>
      </c>
      <c r="AN84" s="102">
        <f t="shared" si="64"/>
        <v>14400</v>
      </c>
      <c r="AO84" s="102">
        <f t="shared" si="64"/>
        <v>14400</v>
      </c>
      <c r="AP84" s="102">
        <f t="shared" si="64"/>
        <v>14400</v>
      </c>
      <c r="AQ84" s="102">
        <f t="shared" si="64"/>
        <v>14400</v>
      </c>
      <c r="AR84" s="102">
        <f t="shared" si="64"/>
        <v>14400</v>
      </c>
      <c r="AS84" s="102">
        <f t="shared" si="64"/>
        <v>14400</v>
      </c>
      <c r="AT84" s="102">
        <f t="shared" si="64"/>
        <v>14400</v>
      </c>
      <c r="AU84" s="102">
        <f t="shared" si="64"/>
        <v>14400</v>
      </c>
      <c r="AV84" s="102">
        <f t="shared" si="64"/>
        <v>14400</v>
      </c>
      <c r="AW84" s="90"/>
      <c r="AX84" s="90"/>
      <c r="AY84" s="90"/>
      <c r="AZ84" s="90"/>
      <c r="BA84" s="90"/>
      <c r="BB84" s="90"/>
      <c r="BC84" s="90"/>
      <c r="BD84" s="90"/>
      <c r="BE84" s="90"/>
      <c r="BF84" s="90"/>
      <c r="BG84" s="90"/>
    </row>
    <row r="85" ht="12.75" customHeight="1">
      <c r="A85" s="515"/>
      <c r="B85" s="90"/>
      <c r="C85" s="90"/>
      <c r="D85" s="90"/>
      <c r="E85" s="90"/>
      <c r="F85" s="90"/>
      <c r="G85" s="90"/>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90"/>
      <c r="AX85" s="90"/>
      <c r="AY85" s="90"/>
      <c r="AZ85" s="90"/>
      <c r="BA85" s="90"/>
      <c r="BB85" s="90"/>
      <c r="BC85" s="90"/>
      <c r="BD85" s="90"/>
      <c r="BE85" s="90"/>
      <c r="BF85" s="90"/>
      <c r="BG85" s="90"/>
    </row>
    <row r="86" ht="12.75" customHeight="1">
      <c r="A86" s="105" t="s">
        <v>665</v>
      </c>
      <c r="B86" s="253"/>
      <c r="C86" s="253"/>
      <c r="D86" s="253"/>
      <c r="E86" s="253"/>
      <c r="F86" s="253"/>
      <c r="G86" s="253"/>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90"/>
      <c r="AY86" s="90"/>
      <c r="AZ86" s="90"/>
      <c r="BA86" s="90"/>
      <c r="BB86" s="90"/>
      <c r="BC86" s="90"/>
      <c r="BD86" s="90"/>
      <c r="BE86" s="90"/>
      <c r="BF86" s="90"/>
      <c r="BG86" s="90"/>
    </row>
    <row r="87" ht="12.75" hidden="1" customHeight="1" outlineLevel="1">
      <c r="A87" s="515"/>
      <c r="B87" s="90"/>
      <c r="C87" s="90"/>
      <c r="D87" s="90"/>
      <c r="E87" s="90"/>
      <c r="F87" s="90"/>
      <c r="G87" s="90"/>
      <c r="H87" s="90"/>
      <c r="I87" s="90"/>
      <c r="J87" s="90"/>
      <c r="K87" s="90"/>
      <c r="L87" s="99"/>
      <c r="M87" s="90"/>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row>
    <row r="88" ht="12.75" hidden="1" customHeight="1" outlineLevel="1">
      <c r="A88" s="316"/>
      <c r="B88" s="67" t="s">
        <v>666</v>
      </c>
      <c r="C88" s="90"/>
      <c r="D88" s="90"/>
      <c r="E88" s="90"/>
      <c r="F88" s="90"/>
      <c r="G88" s="90"/>
      <c r="H88" s="90"/>
      <c r="I88" s="90"/>
      <c r="J88" s="90"/>
      <c r="K88" s="90"/>
      <c r="L88" s="99"/>
      <c r="M88" s="90"/>
      <c r="N88" s="99"/>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row>
    <row r="89" ht="12.75" hidden="1" customHeight="1" outlineLevel="1">
      <c r="A89" s="316"/>
      <c r="B89" s="90"/>
      <c r="C89" s="90" t="s">
        <v>573</v>
      </c>
      <c r="D89" s="90"/>
      <c r="E89" s="90"/>
      <c r="F89" s="90"/>
      <c r="G89" s="90"/>
      <c r="H89" s="523"/>
      <c r="I89" s="178"/>
      <c r="J89" s="523">
        <v>0.0</v>
      </c>
      <c r="K89" s="523">
        <f>Assumptions!D57</f>
        <v>0</v>
      </c>
      <c r="L89" s="523">
        <f>Assumptions!E57</f>
        <v>0</v>
      </c>
      <c r="M89" s="523">
        <f>Assumptions!F57</f>
        <v>0.01</v>
      </c>
      <c r="N89" s="523">
        <f>Assumptions!G57</f>
        <v>0.02</v>
      </c>
      <c r="O89" s="523">
        <f>Assumptions!H57</f>
        <v>0.02</v>
      </c>
      <c r="P89" s="523">
        <f>Assumptions!I57</f>
        <v>0.02</v>
      </c>
      <c r="Q89" s="523">
        <f>Assumptions!J57</f>
        <v>0.02</v>
      </c>
      <c r="R89" s="523">
        <f>Assumptions!K57</f>
        <v>0.03013338494</v>
      </c>
      <c r="S89" s="523">
        <f>Assumptions!L57</f>
        <v>0.02</v>
      </c>
      <c r="T89" s="178">
        <f t="shared" ref="T89:AV89" si="65">S89</f>
        <v>0.02</v>
      </c>
      <c r="U89" s="178">
        <f t="shared" si="65"/>
        <v>0.02</v>
      </c>
      <c r="V89" s="178">
        <f t="shared" si="65"/>
        <v>0.02</v>
      </c>
      <c r="W89" s="178">
        <f t="shared" si="65"/>
        <v>0.02</v>
      </c>
      <c r="X89" s="178">
        <f t="shared" si="65"/>
        <v>0.02</v>
      </c>
      <c r="Y89" s="178">
        <f t="shared" si="65"/>
        <v>0.02</v>
      </c>
      <c r="Z89" s="178">
        <f t="shared" si="65"/>
        <v>0.02</v>
      </c>
      <c r="AA89" s="178">
        <f t="shared" si="65"/>
        <v>0.02</v>
      </c>
      <c r="AB89" s="178">
        <f t="shared" si="65"/>
        <v>0.02</v>
      </c>
      <c r="AC89" s="178">
        <f t="shared" si="65"/>
        <v>0.02</v>
      </c>
      <c r="AD89" s="178">
        <f t="shared" si="65"/>
        <v>0.02</v>
      </c>
      <c r="AE89" s="178">
        <f t="shared" si="65"/>
        <v>0.02</v>
      </c>
      <c r="AF89" s="178">
        <f t="shared" si="65"/>
        <v>0.02</v>
      </c>
      <c r="AG89" s="178">
        <f t="shared" si="65"/>
        <v>0.02</v>
      </c>
      <c r="AH89" s="178">
        <f t="shared" si="65"/>
        <v>0.02</v>
      </c>
      <c r="AI89" s="178">
        <f t="shared" si="65"/>
        <v>0.02</v>
      </c>
      <c r="AJ89" s="178">
        <f t="shared" si="65"/>
        <v>0.02</v>
      </c>
      <c r="AK89" s="178">
        <f t="shared" si="65"/>
        <v>0.02</v>
      </c>
      <c r="AL89" s="178">
        <f t="shared" si="65"/>
        <v>0.02</v>
      </c>
      <c r="AM89" s="178">
        <f t="shared" si="65"/>
        <v>0.02</v>
      </c>
      <c r="AN89" s="178">
        <f t="shared" si="65"/>
        <v>0.02</v>
      </c>
      <c r="AO89" s="178">
        <f t="shared" si="65"/>
        <v>0.02</v>
      </c>
      <c r="AP89" s="178">
        <f t="shared" si="65"/>
        <v>0.02</v>
      </c>
      <c r="AQ89" s="178">
        <f t="shared" si="65"/>
        <v>0.02</v>
      </c>
      <c r="AR89" s="178">
        <f t="shared" si="65"/>
        <v>0.02</v>
      </c>
      <c r="AS89" s="178">
        <f t="shared" si="65"/>
        <v>0.02</v>
      </c>
      <c r="AT89" s="178">
        <f t="shared" si="65"/>
        <v>0.02</v>
      </c>
      <c r="AU89" s="178">
        <f t="shared" si="65"/>
        <v>0.02</v>
      </c>
      <c r="AV89" s="178">
        <f t="shared" si="65"/>
        <v>0.02</v>
      </c>
      <c r="AW89" s="90"/>
      <c r="AX89" s="90"/>
      <c r="AY89" s="90"/>
      <c r="AZ89" s="90"/>
      <c r="BA89" s="90"/>
      <c r="BB89" s="90"/>
      <c r="BC89" s="90"/>
      <c r="BD89" s="90"/>
      <c r="BE89" s="90"/>
      <c r="BF89" s="90"/>
      <c r="BG89" s="90"/>
    </row>
    <row r="90" ht="12.75" hidden="1" customHeight="1" outlineLevel="1">
      <c r="A90" s="316"/>
      <c r="B90" s="90"/>
      <c r="C90" s="90" t="s">
        <v>667</v>
      </c>
      <c r="D90" s="90"/>
      <c r="E90" s="90"/>
      <c r="F90" s="90"/>
      <c r="G90" s="90"/>
      <c r="H90" s="254"/>
      <c r="I90" s="99">
        <v>5590.0</v>
      </c>
      <c r="J90" s="99">
        <v>5445.0</v>
      </c>
      <c r="K90" s="99">
        <v>4778.0</v>
      </c>
      <c r="L90" s="99">
        <f t="shared" ref="L90:AV90" si="66">K90*(1+L$89)</f>
        <v>4778</v>
      </c>
      <c r="M90" s="99">
        <f t="shared" si="66"/>
        <v>4825.78</v>
      </c>
      <c r="N90" s="99">
        <f t="shared" si="66"/>
        <v>4922.2956</v>
      </c>
      <c r="O90" s="99">
        <f t="shared" si="66"/>
        <v>5020.741512</v>
      </c>
      <c r="P90" s="99">
        <f t="shared" si="66"/>
        <v>5121.156342</v>
      </c>
      <c r="Q90" s="99">
        <f t="shared" si="66"/>
        <v>5223.579469</v>
      </c>
      <c r="R90" s="99">
        <f t="shared" si="66"/>
        <v>5380.9836</v>
      </c>
      <c r="S90" s="99">
        <f t="shared" si="66"/>
        <v>5488.603272</v>
      </c>
      <c r="T90" s="99">
        <f t="shared" si="66"/>
        <v>5598.375337</v>
      </c>
      <c r="U90" s="99">
        <f t="shared" si="66"/>
        <v>5710.342844</v>
      </c>
      <c r="V90" s="99">
        <f t="shared" si="66"/>
        <v>5824.549701</v>
      </c>
      <c r="W90" s="99">
        <f t="shared" si="66"/>
        <v>5941.040695</v>
      </c>
      <c r="X90" s="99">
        <f t="shared" si="66"/>
        <v>6059.861509</v>
      </c>
      <c r="Y90" s="99">
        <f t="shared" si="66"/>
        <v>6181.058739</v>
      </c>
      <c r="Z90" s="99">
        <f t="shared" si="66"/>
        <v>6304.679914</v>
      </c>
      <c r="AA90" s="99">
        <f t="shared" si="66"/>
        <v>6430.773512</v>
      </c>
      <c r="AB90" s="99">
        <f t="shared" si="66"/>
        <v>6559.388982</v>
      </c>
      <c r="AC90" s="99">
        <f t="shared" si="66"/>
        <v>6690.576762</v>
      </c>
      <c r="AD90" s="99">
        <f t="shared" si="66"/>
        <v>6824.388297</v>
      </c>
      <c r="AE90" s="99">
        <f t="shared" si="66"/>
        <v>6960.876063</v>
      </c>
      <c r="AF90" s="99">
        <f t="shared" si="66"/>
        <v>7100.093585</v>
      </c>
      <c r="AG90" s="99">
        <f t="shared" si="66"/>
        <v>7242.095456</v>
      </c>
      <c r="AH90" s="99">
        <f t="shared" si="66"/>
        <v>7386.937365</v>
      </c>
      <c r="AI90" s="99">
        <f t="shared" si="66"/>
        <v>7534.676113</v>
      </c>
      <c r="AJ90" s="99">
        <f t="shared" si="66"/>
        <v>7685.369635</v>
      </c>
      <c r="AK90" s="99">
        <f t="shared" si="66"/>
        <v>7839.077028</v>
      </c>
      <c r="AL90" s="99">
        <f t="shared" si="66"/>
        <v>7995.858568</v>
      </c>
      <c r="AM90" s="99">
        <f t="shared" si="66"/>
        <v>8155.77574</v>
      </c>
      <c r="AN90" s="99">
        <f t="shared" si="66"/>
        <v>8318.891254</v>
      </c>
      <c r="AO90" s="99">
        <f t="shared" si="66"/>
        <v>8485.269079</v>
      </c>
      <c r="AP90" s="99">
        <f t="shared" si="66"/>
        <v>8654.974461</v>
      </c>
      <c r="AQ90" s="99">
        <f t="shared" si="66"/>
        <v>8828.07395</v>
      </c>
      <c r="AR90" s="99">
        <f t="shared" si="66"/>
        <v>9004.635429</v>
      </c>
      <c r="AS90" s="99">
        <f t="shared" si="66"/>
        <v>9184.728138</v>
      </c>
      <c r="AT90" s="99">
        <f t="shared" si="66"/>
        <v>9368.422701</v>
      </c>
      <c r="AU90" s="99">
        <f t="shared" si="66"/>
        <v>9555.791155</v>
      </c>
      <c r="AV90" s="99">
        <f t="shared" si="66"/>
        <v>9746.906978</v>
      </c>
      <c r="AW90" s="90" t="s">
        <v>1181</v>
      </c>
      <c r="AX90" s="90"/>
      <c r="AY90" s="90"/>
      <c r="AZ90" s="90"/>
      <c r="BA90" s="90"/>
      <c r="BB90" s="90"/>
      <c r="BC90" s="90"/>
      <c r="BD90" s="90"/>
      <c r="BE90" s="90"/>
      <c r="BF90" s="90"/>
      <c r="BG90" s="90"/>
    </row>
    <row r="91" ht="12.75" hidden="1" customHeight="1" outlineLevel="1">
      <c r="A91" s="316"/>
      <c r="B91" s="90"/>
      <c r="C91" s="90" t="s">
        <v>668</v>
      </c>
      <c r="D91" s="90"/>
      <c r="E91" s="90"/>
      <c r="F91" s="90"/>
      <c r="G91" s="90"/>
      <c r="H91" s="254"/>
      <c r="I91" s="99">
        <v>5674.0</v>
      </c>
      <c r="J91" s="99">
        <v>5535.0</v>
      </c>
      <c r="K91" s="99">
        <v>4855.0</v>
      </c>
      <c r="L91" s="99">
        <f t="shared" ref="L91:AV91" si="67">K91*(1+L$89)</f>
        <v>4855</v>
      </c>
      <c r="M91" s="99">
        <f t="shared" si="67"/>
        <v>4903.55</v>
      </c>
      <c r="N91" s="99">
        <f t="shared" si="67"/>
        <v>5001.621</v>
      </c>
      <c r="O91" s="99">
        <f t="shared" si="67"/>
        <v>5101.65342</v>
      </c>
      <c r="P91" s="99">
        <f t="shared" si="67"/>
        <v>5203.686488</v>
      </c>
      <c r="Q91" s="99">
        <f t="shared" si="67"/>
        <v>5307.760218</v>
      </c>
      <c r="R91" s="99">
        <f t="shared" si="67"/>
        <v>5467.701</v>
      </c>
      <c r="S91" s="99">
        <f t="shared" si="67"/>
        <v>5577.05502</v>
      </c>
      <c r="T91" s="99">
        <f t="shared" si="67"/>
        <v>5688.59612</v>
      </c>
      <c r="U91" s="99">
        <f t="shared" si="67"/>
        <v>5802.368043</v>
      </c>
      <c r="V91" s="99">
        <f t="shared" si="67"/>
        <v>5918.415404</v>
      </c>
      <c r="W91" s="99">
        <f t="shared" si="67"/>
        <v>6036.783712</v>
      </c>
      <c r="X91" s="99">
        <f t="shared" si="67"/>
        <v>6157.519386</v>
      </c>
      <c r="Y91" s="99">
        <f t="shared" si="67"/>
        <v>6280.669774</v>
      </c>
      <c r="Z91" s="99">
        <f t="shared" si="67"/>
        <v>6406.283169</v>
      </c>
      <c r="AA91" s="99">
        <f t="shared" si="67"/>
        <v>6534.408833</v>
      </c>
      <c r="AB91" s="99">
        <f t="shared" si="67"/>
        <v>6665.097009</v>
      </c>
      <c r="AC91" s="99">
        <f t="shared" si="67"/>
        <v>6798.398949</v>
      </c>
      <c r="AD91" s="99">
        <f t="shared" si="67"/>
        <v>6934.366928</v>
      </c>
      <c r="AE91" s="99">
        <f t="shared" si="67"/>
        <v>7073.054267</v>
      </c>
      <c r="AF91" s="99">
        <f t="shared" si="67"/>
        <v>7214.515352</v>
      </c>
      <c r="AG91" s="99">
        <f t="shared" si="67"/>
        <v>7358.805659</v>
      </c>
      <c r="AH91" s="99">
        <f t="shared" si="67"/>
        <v>7505.981773</v>
      </c>
      <c r="AI91" s="99">
        <f t="shared" si="67"/>
        <v>7656.101408</v>
      </c>
      <c r="AJ91" s="99">
        <f t="shared" si="67"/>
        <v>7809.223436</v>
      </c>
      <c r="AK91" s="99">
        <f t="shared" si="67"/>
        <v>7965.407905</v>
      </c>
      <c r="AL91" s="99">
        <f t="shared" si="67"/>
        <v>8124.716063</v>
      </c>
      <c r="AM91" s="99">
        <f t="shared" si="67"/>
        <v>8287.210384</v>
      </c>
      <c r="AN91" s="99">
        <f t="shared" si="67"/>
        <v>8452.954592</v>
      </c>
      <c r="AO91" s="99">
        <f t="shared" si="67"/>
        <v>8622.013684</v>
      </c>
      <c r="AP91" s="99">
        <f t="shared" si="67"/>
        <v>8794.453957</v>
      </c>
      <c r="AQ91" s="99">
        <f t="shared" si="67"/>
        <v>8970.343037</v>
      </c>
      <c r="AR91" s="99">
        <f t="shared" si="67"/>
        <v>9149.749897</v>
      </c>
      <c r="AS91" s="99">
        <f t="shared" si="67"/>
        <v>9332.744895</v>
      </c>
      <c r="AT91" s="99">
        <f t="shared" si="67"/>
        <v>9519.399793</v>
      </c>
      <c r="AU91" s="99">
        <f t="shared" si="67"/>
        <v>9709.787789</v>
      </c>
      <c r="AV91" s="99">
        <f t="shared" si="67"/>
        <v>9903.983545</v>
      </c>
      <c r="AW91" s="90" t="s">
        <v>1181</v>
      </c>
      <c r="AX91" s="90"/>
      <c r="AY91" s="90"/>
      <c r="AZ91" s="90"/>
      <c r="BA91" s="90"/>
      <c r="BB91" s="90"/>
      <c r="BC91" s="90"/>
      <c r="BD91" s="90"/>
      <c r="BE91" s="90"/>
      <c r="BF91" s="90"/>
      <c r="BG91" s="90"/>
    </row>
    <row r="92" ht="12.75" hidden="1" customHeight="1" outlineLevel="1">
      <c r="A92" s="316"/>
      <c r="B92" s="90"/>
      <c r="C92" s="90" t="s">
        <v>669</v>
      </c>
      <c r="D92" s="90"/>
      <c r="E92" s="90"/>
      <c r="F92" s="90"/>
      <c r="G92" s="90"/>
      <c r="H92" s="254"/>
      <c r="I92" s="99">
        <v>500.0</v>
      </c>
      <c r="J92" s="99">
        <v>419.0</v>
      </c>
      <c r="K92" s="99">
        <v>401.0</v>
      </c>
      <c r="L92" s="99">
        <f t="shared" ref="L92:AV92" si="68">K92*(1+L$89)</f>
        <v>401</v>
      </c>
      <c r="M92" s="99">
        <f t="shared" si="68"/>
        <v>405.01</v>
      </c>
      <c r="N92" s="99">
        <f t="shared" si="68"/>
        <v>413.1102</v>
      </c>
      <c r="O92" s="99">
        <f t="shared" si="68"/>
        <v>421.372404</v>
      </c>
      <c r="P92" s="99">
        <f t="shared" si="68"/>
        <v>429.7998521</v>
      </c>
      <c r="Q92" s="99">
        <f t="shared" si="68"/>
        <v>438.3958491</v>
      </c>
      <c r="R92" s="99">
        <f t="shared" si="68"/>
        <v>451.6062</v>
      </c>
      <c r="S92" s="99">
        <f t="shared" si="68"/>
        <v>460.638324</v>
      </c>
      <c r="T92" s="99">
        <f t="shared" si="68"/>
        <v>469.8510905</v>
      </c>
      <c r="U92" s="99">
        <f t="shared" si="68"/>
        <v>479.2481123</v>
      </c>
      <c r="V92" s="99">
        <f t="shared" si="68"/>
        <v>488.8330745</v>
      </c>
      <c r="W92" s="99">
        <f t="shared" si="68"/>
        <v>498.609736</v>
      </c>
      <c r="X92" s="99">
        <f t="shared" si="68"/>
        <v>508.5819307</v>
      </c>
      <c r="Y92" s="99">
        <f t="shared" si="68"/>
        <v>518.7535694</v>
      </c>
      <c r="Z92" s="99">
        <f t="shared" si="68"/>
        <v>529.1286407</v>
      </c>
      <c r="AA92" s="99">
        <f t="shared" si="68"/>
        <v>539.7112136</v>
      </c>
      <c r="AB92" s="99">
        <f t="shared" si="68"/>
        <v>550.5054378</v>
      </c>
      <c r="AC92" s="99">
        <f t="shared" si="68"/>
        <v>561.5155466</v>
      </c>
      <c r="AD92" s="99">
        <f t="shared" si="68"/>
        <v>572.7458575</v>
      </c>
      <c r="AE92" s="99">
        <f t="shared" si="68"/>
        <v>584.2007747</v>
      </c>
      <c r="AF92" s="99">
        <f t="shared" si="68"/>
        <v>595.8847902</v>
      </c>
      <c r="AG92" s="99">
        <f t="shared" si="68"/>
        <v>607.802486</v>
      </c>
      <c r="AH92" s="99">
        <f t="shared" si="68"/>
        <v>619.9585357</v>
      </c>
      <c r="AI92" s="99">
        <f t="shared" si="68"/>
        <v>632.3577064</v>
      </c>
      <c r="AJ92" s="99">
        <f t="shared" si="68"/>
        <v>645.0048605</v>
      </c>
      <c r="AK92" s="99">
        <f t="shared" si="68"/>
        <v>657.9049577</v>
      </c>
      <c r="AL92" s="99">
        <f t="shared" si="68"/>
        <v>671.0630569</v>
      </c>
      <c r="AM92" s="99">
        <f t="shared" si="68"/>
        <v>684.484318</v>
      </c>
      <c r="AN92" s="99">
        <f t="shared" si="68"/>
        <v>698.1740044</v>
      </c>
      <c r="AO92" s="99">
        <f t="shared" si="68"/>
        <v>712.1374845</v>
      </c>
      <c r="AP92" s="99">
        <f t="shared" si="68"/>
        <v>726.3802342</v>
      </c>
      <c r="AQ92" s="99">
        <f t="shared" si="68"/>
        <v>740.9078389</v>
      </c>
      <c r="AR92" s="99">
        <f t="shared" si="68"/>
        <v>755.7259956</v>
      </c>
      <c r="AS92" s="99">
        <f t="shared" si="68"/>
        <v>770.8405155</v>
      </c>
      <c r="AT92" s="99">
        <f t="shared" si="68"/>
        <v>786.2573259</v>
      </c>
      <c r="AU92" s="99">
        <f t="shared" si="68"/>
        <v>801.9824724</v>
      </c>
      <c r="AV92" s="99">
        <f t="shared" si="68"/>
        <v>818.0221218</v>
      </c>
      <c r="AW92" s="90" t="s">
        <v>1181</v>
      </c>
      <c r="AX92" s="90"/>
      <c r="AY92" s="90"/>
      <c r="AZ92" s="90"/>
      <c r="BA92" s="90"/>
      <c r="BB92" s="90"/>
      <c r="BC92" s="90"/>
      <c r="BD92" s="90"/>
      <c r="BE92" s="90"/>
      <c r="BF92" s="90"/>
      <c r="BG92" s="90"/>
    </row>
    <row r="93" ht="12.75" hidden="1" customHeight="1" outlineLevel="1">
      <c r="A93" s="316"/>
      <c r="B93" s="90"/>
      <c r="C93" s="90" t="s">
        <v>670</v>
      </c>
      <c r="D93" s="90"/>
      <c r="E93" s="90"/>
      <c r="F93" s="90"/>
      <c r="G93" s="90"/>
      <c r="H93" s="254"/>
      <c r="I93" s="99">
        <v>328.0</v>
      </c>
      <c r="J93" s="99">
        <v>318.0</v>
      </c>
      <c r="K93" s="99">
        <f>'RSGen 1-7'!I94</f>
        <v>318</v>
      </c>
      <c r="L93" s="99">
        <f>K93</f>
        <v>318</v>
      </c>
      <c r="M93" s="99">
        <f>L93*(1+M$89)</f>
        <v>321.18</v>
      </c>
      <c r="N93" s="99">
        <v>300.0</v>
      </c>
      <c r="O93" s="99">
        <f t="shared" ref="O93:AV93" si="69">N93*(1+O$89)</f>
        <v>306</v>
      </c>
      <c r="P93" s="99">
        <f t="shared" si="69"/>
        <v>312.12</v>
      </c>
      <c r="Q93" s="99">
        <f t="shared" si="69"/>
        <v>318.3624</v>
      </c>
      <c r="R93" s="99">
        <f t="shared" si="69"/>
        <v>327.9557368</v>
      </c>
      <c r="S93" s="99">
        <f t="shared" si="69"/>
        <v>334.5148515</v>
      </c>
      <c r="T93" s="99">
        <f t="shared" si="69"/>
        <v>341.2051485</v>
      </c>
      <c r="U93" s="99">
        <f t="shared" si="69"/>
        <v>348.0292515</v>
      </c>
      <c r="V93" s="99">
        <f t="shared" si="69"/>
        <v>354.9898365</v>
      </c>
      <c r="W93" s="99">
        <f t="shared" si="69"/>
        <v>362.0896332</v>
      </c>
      <c r="X93" s="99">
        <f t="shared" si="69"/>
        <v>369.3314259</v>
      </c>
      <c r="Y93" s="99">
        <f t="shared" si="69"/>
        <v>376.7180544</v>
      </c>
      <c r="Z93" s="99">
        <f t="shared" si="69"/>
        <v>384.2524155</v>
      </c>
      <c r="AA93" s="99">
        <f t="shared" si="69"/>
        <v>391.9374638</v>
      </c>
      <c r="AB93" s="99">
        <f t="shared" si="69"/>
        <v>399.7762131</v>
      </c>
      <c r="AC93" s="99">
        <f t="shared" si="69"/>
        <v>407.7717374</v>
      </c>
      <c r="AD93" s="99">
        <f t="shared" si="69"/>
        <v>415.9271721</v>
      </c>
      <c r="AE93" s="99">
        <f t="shared" si="69"/>
        <v>424.2457156</v>
      </c>
      <c r="AF93" s="99">
        <f t="shared" si="69"/>
        <v>432.7306299</v>
      </c>
      <c r="AG93" s="99">
        <f t="shared" si="69"/>
        <v>441.3852425</v>
      </c>
      <c r="AH93" s="99">
        <f t="shared" si="69"/>
        <v>450.2129473</v>
      </c>
      <c r="AI93" s="99">
        <f t="shared" si="69"/>
        <v>459.2172063</v>
      </c>
      <c r="AJ93" s="99">
        <f t="shared" si="69"/>
        <v>468.4015504</v>
      </c>
      <c r="AK93" s="99">
        <f t="shared" si="69"/>
        <v>477.7695814</v>
      </c>
      <c r="AL93" s="99">
        <f t="shared" si="69"/>
        <v>487.324973</v>
      </c>
      <c r="AM93" s="99">
        <f t="shared" si="69"/>
        <v>497.0714725</v>
      </c>
      <c r="AN93" s="99">
        <f t="shared" si="69"/>
        <v>507.0129019</v>
      </c>
      <c r="AO93" s="99">
        <f t="shared" si="69"/>
        <v>517.15316</v>
      </c>
      <c r="AP93" s="99">
        <f t="shared" si="69"/>
        <v>527.4962232</v>
      </c>
      <c r="AQ93" s="99">
        <f t="shared" si="69"/>
        <v>538.0461476</v>
      </c>
      <c r="AR93" s="99">
        <f t="shared" si="69"/>
        <v>548.8070706</v>
      </c>
      <c r="AS93" s="99">
        <f t="shared" si="69"/>
        <v>559.783212</v>
      </c>
      <c r="AT93" s="99">
        <f t="shared" si="69"/>
        <v>570.9788762</v>
      </c>
      <c r="AU93" s="99">
        <f t="shared" si="69"/>
        <v>582.3984538</v>
      </c>
      <c r="AV93" s="99">
        <f t="shared" si="69"/>
        <v>594.0464228</v>
      </c>
      <c r="AW93" s="90" t="s">
        <v>1182</v>
      </c>
      <c r="AX93" s="90"/>
      <c r="AY93" s="90"/>
      <c r="AZ93" s="90"/>
      <c r="BA93" s="90"/>
      <c r="BB93" s="90"/>
      <c r="BC93" s="90"/>
      <c r="BD93" s="90"/>
      <c r="BE93" s="90"/>
      <c r="BF93" s="90"/>
      <c r="BG93" s="90"/>
    </row>
    <row r="94" ht="12.75" hidden="1" customHeight="1" outlineLevel="1">
      <c r="A94" s="316"/>
      <c r="B94" s="90"/>
      <c r="C94" s="90" t="s">
        <v>671</v>
      </c>
      <c r="D94" s="90"/>
      <c r="E94" s="90"/>
      <c r="F94" s="90"/>
      <c r="G94" s="90"/>
      <c r="H94" s="254"/>
      <c r="I94" s="99">
        <v>1070.0</v>
      </c>
      <c r="J94" s="99">
        <f>I94*(1+J$89)</f>
        <v>1070</v>
      </c>
      <c r="K94" s="99">
        <v>900.0</v>
      </c>
      <c r="L94" s="99">
        <f t="shared" ref="L94:M94" si="70">K94*(1+L$89)</f>
        <v>900</v>
      </c>
      <c r="M94" s="99">
        <f t="shared" si="70"/>
        <v>909</v>
      </c>
      <c r="N94" s="99">
        <v>900.0</v>
      </c>
      <c r="O94" s="99">
        <v>900.0</v>
      </c>
      <c r="P94" s="99">
        <f t="shared" ref="P94:AV94" si="71">O94*(1+P$89)</f>
        <v>918</v>
      </c>
      <c r="Q94" s="99">
        <f t="shared" si="71"/>
        <v>936.36</v>
      </c>
      <c r="R94" s="99">
        <f t="shared" si="71"/>
        <v>964.5756963</v>
      </c>
      <c r="S94" s="99">
        <f t="shared" si="71"/>
        <v>983.8672103</v>
      </c>
      <c r="T94" s="99">
        <f t="shared" si="71"/>
        <v>1003.544554</v>
      </c>
      <c r="U94" s="99">
        <f t="shared" si="71"/>
        <v>1023.615446</v>
      </c>
      <c r="V94" s="99">
        <f t="shared" si="71"/>
        <v>1044.087754</v>
      </c>
      <c r="W94" s="99">
        <f t="shared" si="71"/>
        <v>1064.96951</v>
      </c>
      <c r="X94" s="99">
        <f t="shared" si="71"/>
        <v>1086.2689</v>
      </c>
      <c r="Y94" s="99">
        <f t="shared" si="71"/>
        <v>1107.994278</v>
      </c>
      <c r="Z94" s="99">
        <f t="shared" si="71"/>
        <v>1130.154163</v>
      </c>
      <c r="AA94" s="99">
        <f t="shared" si="71"/>
        <v>1152.757247</v>
      </c>
      <c r="AB94" s="99">
        <f t="shared" si="71"/>
        <v>1175.812391</v>
      </c>
      <c r="AC94" s="99">
        <f t="shared" si="71"/>
        <v>1199.328639</v>
      </c>
      <c r="AD94" s="99">
        <f t="shared" si="71"/>
        <v>1223.315212</v>
      </c>
      <c r="AE94" s="99">
        <f t="shared" si="71"/>
        <v>1247.781516</v>
      </c>
      <c r="AF94" s="99">
        <f t="shared" si="71"/>
        <v>1272.737147</v>
      </c>
      <c r="AG94" s="99">
        <f t="shared" si="71"/>
        <v>1298.19189</v>
      </c>
      <c r="AH94" s="99">
        <f t="shared" si="71"/>
        <v>1324.155727</v>
      </c>
      <c r="AI94" s="99">
        <f t="shared" si="71"/>
        <v>1350.638842</v>
      </c>
      <c r="AJ94" s="99">
        <f t="shared" si="71"/>
        <v>1377.651619</v>
      </c>
      <c r="AK94" s="99">
        <f t="shared" si="71"/>
        <v>1405.204651</v>
      </c>
      <c r="AL94" s="99">
        <f t="shared" si="71"/>
        <v>1433.308744</v>
      </c>
      <c r="AM94" s="99">
        <f t="shared" si="71"/>
        <v>1461.974919</v>
      </c>
      <c r="AN94" s="99">
        <f t="shared" si="71"/>
        <v>1491.214417</v>
      </c>
      <c r="AO94" s="99">
        <f t="shared" si="71"/>
        <v>1521.038706</v>
      </c>
      <c r="AP94" s="99">
        <f t="shared" si="71"/>
        <v>1551.45948</v>
      </c>
      <c r="AQ94" s="99">
        <f t="shared" si="71"/>
        <v>1582.48867</v>
      </c>
      <c r="AR94" s="99">
        <f t="shared" si="71"/>
        <v>1614.138443</v>
      </c>
      <c r="AS94" s="99">
        <f t="shared" si="71"/>
        <v>1646.421212</v>
      </c>
      <c r="AT94" s="99">
        <f t="shared" si="71"/>
        <v>1679.349636</v>
      </c>
      <c r="AU94" s="99">
        <f t="shared" si="71"/>
        <v>1712.936629</v>
      </c>
      <c r="AV94" s="99">
        <f t="shared" si="71"/>
        <v>1747.195361</v>
      </c>
      <c r="AW94" s="90" t="s">
        <v>1183</v>
      </c>
      <c r="AX94" s="90" t="s">
        <v>1184</v>
      </c>
      <c r="AY94" s="90" t="s">
        <v>21</v>
      </c>
      <c r="AZ94" s="90"/>
      <c r="BA94" s="90"/>
      <c r="BB94" s="90"/>
      <c r="BC94" s="90"/>
      <c r="BD94" s="90"/>
      <c r="BE94" s="90"/>
      <c r="BF94" s="90"/>
      <c r="BG94" s="90"/>
    </row>
    <row r="95" ht="12.75" hidden="1" customHeight="1" outlineLevel="1">
      <c r="A95" s="316"/>
      <c r="B95" s="90"/>
      <c r="C95" s="90"/>
      <c r="D95" s="90" t="s">
        <v>672</v>
      </c>
      <c r="E95" s="90"/>
      <c r="F95" s="90"/>
      <c r="G95" s="90"/>
      <c r="H95" s="254"/>
      <c r="I95" s="99"/>
      <c r="J95" s="99"/>
      <c r="K95" s="99">
        <f t="shared" ref="K95:AV95" si="72">$AX95*K$94</f>
        <v>630</v>
      </c>
      <c r="L95" s="99">
        <f t="shared" si="72"/>
        <v>630</v>
      </c>
      <c r="M95" s="99">
        <f t="shared" si="72"/>
        <v>636.3</v>
      </c>
      <c r="N95" s="99">
        <f t="shared" si="72"/>
        <v>630</v>
      </c>
      <c r="O95" s="99">
        <f t="shared" si="72"/>
        <v>630</v>
      </c>
      <c r="P95" s="99">
        <f t="shared" si="72"/>
        <v>642.6</v>
      </c>
      <c r="Q95" s="99">
        <f t="shared" si="72"/>
        <v>655.452</v>
      </c>
      <c r="R95" s="99">
        <f t="shared" si="72"/>
        <v>675.2029874</v>
      </c>
      <c r="S95" s="99">
        <f t="shared" si="72"/>
        <v>688.7070472</v>
      </c>
      <c r="T95" s="99">
        <f t="shared" si="72"/>
        <v>702.4811881</v>
      </c>
      <c r="U95" s="99">
        <f t="shared" si="72"/>
        <v>716.5308119</v>
      </c>
      <c r="V95" s="99">
        <f t="shared" si="72"/>
        <v>730.8614281</v>
      </c>
      <c r="W95" s="99">
        <f t="shared" si="72"/>
        <v>745.4786567</v>
      </c>
      <c r="X95" s="99">
        <f t="shared" si="72"/>
        <v>760.3882298</v>
      </c>
      <c r="Y95" s="99">
        <f t="shared" si="72"/>
        <v>775.5959944</v>
      </c>
      <c r="Z95" s="99">
        <f t="shared" si="72"/>
        <v>791.1079143</v>
      </c>
      <c r="AA95" s="99">
        <f t="shared" si="72"/>
        <v>806.9300726</v>
      </c>
      <c r="AB95" s="99">
        <f t="shared" si="72"/>
        <v>823.068674</v>
      </c>
      <c r="AC95" s="99">
        <f t="shared" si="72"/>
        <v>839.5300475</v>
      </c>
      <c r="AD95" s="99">
        <f t="shared" si="72"/>
        <v>856.3206485</v>
      </c>
      <c r="AE95" s="99">
        <f t="shared" si="72"/>
        <v>873.4470614</v>
      </c>
      <c r="AF95" s="99">
        <f t="shared" si="72"/>
        <v>890.9160027</v>
      </c>
      <c r="AG95" s="99">
        <f t="shared" si="72"/>
        <v>908.7343227</v>
      </c>
      <c r="AH95" s="99">
        <f t="shared" si="72"/>
        <v>926.9090092</v>
      </c>
      <c r="AI95" s="99">
        <f t="shared" si="72"/>
        <v>945.4471894</v>
      </c>
      <c r="AJ95" s="99">
        <f t="shared" si="72"/>
        <v>964.3561331</v>
      </c>
      <c r="AK95" s="99">
        <f t="shared" si="72"/>
        <v>983.6432558</v>
      </c>
      <c r="AL95" s="99">
        <f t="shared" si="72"/>
        <v>1003.316121</v>
      </c>
      <c r="AM95" s="99">
        <f t="shared" si="72"/>
        <v>1023.382443</v>
      </c>
      <c r="AN95" s="99">
        <f t="shared" si="72"/>
        <v>1043.850092</v>
      </c>
      <c r="AO95" s="99">
        <f t="shared" si="72"/>
        <v>1064.727094</v>
      </c>
      <c r="AP95" s="99">
        <f t="shared" si="72"/>
        <v>1086.021636</v>
      </c>
      <c r="AQ95" s="99">
        <f t="shared" si="72"/>
        <v>1107.742069</v>
      </c>
      <c r="AR95" s="99">
        <f t="shared" si="72"/>
        <v>1129.89691</v>
      </c>
      <c r="AS95" s="99">
        <f t="shared" si="72"/>
        <v>1152.494848</v>
      </c>
      <c r="AT95" s="99">
        <f t="shared" si="72"/>
        <v>1175.544745</v>
      </c>
      <c r="AU95" s="99">
        <f t="shared" si="72"/>
        <v>1199.05564</v>
      </c>
      <c r="AV95" s="99">
        <f t="shared" si="72"/>
        <v>1223.036753</v>
      </c>
      <c r="AW95" s="90"/>
      <c r="AX95" s="152">
        <v>0.7</v>
      </c>
      <c r="AY95" s="90">
        <v>80.0</v>
      </c>
      <c r="AZ95" s="90"/>
      <c r="BA95" s="90"/>
      <c r="BB95" s="90"/>
      <c r="BC95" s="90"/>
      <c r="BD95" s="90"/>
      <c r="BE95" s="90"/>
      <c r="BF95" s="90"/>
      <c r="BG95" s="90"/>
    </row>
    <row r="96" ht="12.75" hidden="1" customHeight="1" outlineLevel="1">
      <c r="A96" s="316"/>
      <c r="B96" s="90"/>
      <c r="C96" s="90"/>
      <c r="D96" s="90" t="s">
        <v>673</v>
      </c>
      <c r="E96" s="90"/>
      <c r="F96" s="90"/>
      <c r="G96" s="90"/>
      <c r="H96" s="254"/>
      <c r="I96" s="99"/>
      <c r="J96" s="99"/>
      <c r="K96" s="99">
        <f t="shared" ref="K96:AV96" si="73">$AX96*K$94</f>
        <v>630</v>
      </c>
      <c r="L96" s="99">
        <f t="shared" si="73"/>
        <v>630</v>
      </c>
      <c r="M96" s="99">
        <f t="shared" si="73"/>
        <v>636.3</v>
      </c>
      <c r="N96" s="99">
        <f t="shared" si="73"/>
        <v>630</v>
      </c>
      <c r="O96" s="99">
        <f t="shared" si="73"/>
        <v>630</v>
      </c>
      <c r="P96" s="99">
        <f t="shared" si="73"/>
        <v>642.6</v>
      </c>
      <c r="Q96" s="99">
        <f t="shared" si="73"/>
        <v>655.452</v>
      </c>
      <c r="R96" s="99">
        <f t="shared" si="73"/>
        <v>675.2029874</v>
      </c>
      <c r="S96" s="99">
        <f t="shared" si="73"/>
        <v>688.7070472</v>
      </c>
      <c r="T96" s="99">
        <f t="shared" si="73"/>
        <v>702.4811881</v>
      </c>
      <c r="U96" s="99">
        <f t="shared" si="73"/>
        <v>716.5308119</v>
      </c>
      <c r="V96" s="99">
        <f t="shared" si="73"/>
        <v>730.8614281</v>
      </c>
      <c r="W96" s="99">
        <f t="shared" si="73"/>
        <v>745.4786567</v>
      </c>
      <c r="X96" s="99">
        <f t="shared" si="73"/>
        <v>760.3882298</v>
      </c>
      <c r="Y96" s="99">
        <f t="shared" si="73"/>
        <v>775.5959944</v>
      </c>
      <c r="Z96" s="99">
        <f t="shared" si="73"/>
        <v>791.1079143</v>
      </c>
      <c r="AA96" s="99">
        <f t="shared" si="73"/>
        <v>806.9300726</v>
      </c>
      <c r="AB96" s="99">
        <f t="shared" si="73"/>
        <v>823.068674</v>
      </c>
      <c r="AC96" s="99">
        <f t="shared" si="73"/>
        <v>839.5300475</v>
      </c>
      <c r="AD96" s="99">
        <f t="shared" si="73"/>
        <v>856.3206485</v>
      </c>
      <c r="AE96" s="99">
        <f t="shared" si="73"/>
        <v>873.4470614</v>
      </c>
      <c r="AF96" s="99">
        <f t="shared" si="73"/>
        <v>890.9160027</v>
      </c>
      <c r="AG96" s="99">
        <f t="shared" si="73"/>
        <v>908.7343227</v>
      </c>
      <c r="AH96" s="99">
        <f t="shared" si="73"/>
        <v>926.9090092</v>
      </c>
      <c r="AI96" s="99">
        <f t="shared" si="73"/>
        <v>945.4471894</v>
      </c>
      <c r="AJ96" s="99">
        <f t="shared" si="73"/>
        <v>964.3561331</v>
      </c>
      <c r="AK96" s="99">
        <f t="shared" si="73"/>
        <v>983.6432558</v>
      </c>
      <c r="AL96" s="99">
        <f t="shared" si="73"/>
        <v>1003.316121</v>
      </c>
      <c r="AM96" s="99">
        <f t="shared" si="73"/>
        <v>1023.382443</v>
      </c>
      <c r="AN96" s="99">
        <f t="shared" si="73"/>
        <v>1043.850092</v>
      </c>
      <c r="AO96" s="99">
        <f t="shared" si="73"/>
        <v>1064.727094</v>
      </c>
      <c r="AP96" s="99">
        <f t="shared" si="73"/>
        <v>1086.021636</v>
      </c>
      <c r="AQ96" s="99">
        <f t="shared" si="73"/>
        <v>1107.742069</v>
      </c>
      <c r="AR96" s="99">
        <f t="shared" si="73"/>
        <v>1129.89691</v>
      </c>
      <c r="AS96" s="99">
        <f t="shared" si="73"/>
        <v>1152.494848</v>
      </c>
      <c r="AT96" s="99">
        <f t="shared" si="73"/>
        <v>1175.544745</v>
      </c>
      <c r="AU96" s="99">
        <f t="shared" si="73"/>
        <v>1199.05564</v>
      </c>
      <c r="AV96" s="99">
        <f t="shared" si="73"/>
        <v>1223.036753</v>
      </c>
      <c r="AW96" s="90"/>
      <c r="AX96" s="152">
        <v>0.7</v>
      </c>
      <c r="AY96" s="90">
        <v>80.0</v>
      </c>
      <c r="AZ96" s="90"/>
      <c r="BA96" s="90"/>
      <c r="BB96" s="90"/>
      <c r="BC96" s="90"/>
      <c r="BD96" s="90"/>
      <c r="BE96" s="90"/>
      <c r="BF96" s="90"/>
      <c r="BG96" s="90"/>
    </row>
    <row r="97" ht="12.75" hidden="1" customHeight="1" outlineLevel="1">
      <c r="A97" s="316"/>
      <c r="B97" s="90"/>
      <c r="C97" s="90"/>
      <c r="D97" s="90" t="s">
        <v>674</v>
      </c>
      <c r="E97" s="90"/>
      <c r="F97" s="90"/>
      <c r="G97" s="90"/>
      <c r="H97" s="254"/>
      <c r="I97" s="99"/>
      <c r="J97" s="99"/>
      <c r="K97" s="99">
        <f t="shared" ref="K97:AV97" si="74">$AX97*K$94</f>
        <v>900</v>
      </c>
      <c r="L97" s="99">
        <f t="shared" si="74"/>
        <v>900</v>
      </c>
      <c r="M97" s="99">
        <f t="shared" si="74"/>
        <v>909</v>
      </c>
      <c r="N97" s="99">
        <f t="shared" si="74"/>
        <v>900</v>
      </c>
      <c r="O97" s="99">
        <f t="shared" si="74"/>
        <v>900</v>
      </c>
      <c r="P97" s="99">
        <f t="shared" si="74"/>
        <v>918</v>
      </c>
      <c r="Q97" s="99">
        <f t="shared" si="74"/>
        <v>936.36</v>
      </c>
      <c r="R97" s="99">
        <f t="shared" si="74"/>
        <v>964.5756963</v>
      </c>
      <c r="S97" s="99">
        <f t="shared" si="74"/>
        <v>983.8672103</v>
      </c>
      <c r="T97" s="99">
        <f t="shared" si="74"/>
        <v>1003.544554</v>
      </c>
      <c r="U97" s="99">
        <f t="shared" si="74"/>
        <v>1023.615446</v>
      </c>
      <c r="V97" s="99">
        <f t="shared" si="74"/>
        <v>1044.087754</v>
      </c>
      <c r="W97" s="99">
        <f t="shared" si="74"/>
        <v>1064.96951</v>
      </c>
      <c r="X97" s="99">
        <f t="shared" si="74"/>
        <v>1086.2689</v>
      </c>
      <c r="Y97" s="99">
        <f t="shared" si="74"/>
        <v>1107.994278</v>
      </c>
      <c r="Z97" s="99">
        <f t="shared" si="74"/>
        <v>1130.154163</v>
      </c>
      <c r="AA97" s="99">
        <f t="shared" si="74"/>
        <v>1152.757247</v>
      </c>
      <c r="AB97" s="99">
        <f t="shared" si="74"/>
        <v>1175.812391</v>
      </c>
      <c r="AC97" s="99">
        <f t="shared" si="74"/>
        <v>1199.328639</v>
      </c>
      <c r="AD97" s="99">
        <f t="shared" si="74"/>
        <v>1223.315212</v>
      </c>
      <c r="AE97" s="99">
        <f t="shared" si="74"/>
        <v>1247.781516</v>
      </c>
      <c r="AF97" s="99">
        <f t="shared" si="74"/>
        <v>1272.737147</v>
      </c>
      <c r="AG97" s="99">
        <f t="shared" si="74"/>
        <v>1298.19189</v>
      </c>
      <c r="AH97" s="99">
        <f t="shared" si="74"/>
        <v>1324.155727</v>
      </c>
      <c r="AI97" s="99">
        <f t="shared" si="74"/>
        <v>1350.638842</v>
      </c>
      <c r="AJ97" s="99">
        <f t="shared" si="74"/>
        <v>1377.651619</v>
      </c>
      <c r="AK97" s="99">
        <f t="shared" si="74"/>
        <v>1405.204651</v>
      </c>
      <c r="AL97" s="99">
        <f t="shared" si="74"/>
        <v>1433.308744</v>
      </c>
      <c r="AM97" s="99">
        <f t="shared" si="74"/>
        <v>1461.974919</v>
      </c>
      <c r="AN97" s="99">
        <f t="shared" si="74"/>
        <v>1491.214417</v>
      </c>
      <c r="AO97" s="99">
        <f t="shared" si="74"/>
        <v>1521.038706</v>
      </c>
      <c r="AP97" s="99">
        <f t="shared" si="74"/>
        <v>1551.45948</v>
      </c>
      <c r="AQ97" s="99">
        <f t="shared" si="74"/>
        <v>1582.48867</v>
      </c>
      <c r="AR97" s="99">
        <f t="shared" si="74"/>
        <v>1614.138443</v>
      </c>
      <c r="AS97" s="99">
        <f t="shared" si="74"/>
        <v>1646.421212</v>
      </c>
      <c r="AT97" s="99">
        <f t="shared" si="74"/>
        <v>1679.349636</v>
      </c>
      <c r="AU97" s="99">
        <f t="shared" si="74"/>
        <v>1712.936629</v>
      </c>
      <c r="AV97" s="99">
        <f t="shared" si="74"/>
        <v>1747.195361</v>
      </c>
      <c r="AW97" s="90"/>
      <c r="AX97" s="152">
        <v>1.0</v>
      </c>
      <c r="AY97" s="90">
        <v>80.0</v>
      </c>
      <c r="AZ97" s="90"/>
      <c r="BA97" s="90"/>
      <c r="BB97" s="90"/>
      <c r="BC97" s="90"/>
      <c r="BD97" s="90"/>
      <c r="BE97" s="90"/>
      <c r="BF97" s="90"/>
      <c r="BG97" s="90"/>
    </row>
    <row r="98" ht="12.75" hidden="1" customHeight="1" outlineLevel="1">
      <c r="A98" s="316"/>
      <c r="B98" s="90"/>
      <c r="C98" s="90"/>
      <c r="D98" s="90" t="s">
        <v>675</v>
      </c>
      <c r="E98" s="90"/>
      <c r="F98" s="90"/>
      <c r="G98" s="90"/>
      <c r="H98" s="254"/>
      <c r="I98" s="99"/>
      <c r="J98" s="99"/>
      <c r="K98" s="99">
        <f t="shared" ref="K98:AV98" si="75">$AX98*K$94</f>
        <v>630</v>
      </c>
      <c r="L98" s="99">
        <f t="shared" si="75"/>
        <v>630</v>
      </c>
      <c r="M98" s="99">
        <f t="shared" si="75"/>
        <v>636.3</v>
      </c>
      <c r="N98" s="99">
        <f t="shared" si="75"/>
        <v>630</v>
      </c>
      <c r="O98" s="99">
        <f t="shared" si="75"/>
        <v>630</v>
      </c>
      <c r="P98" s="99">
        <f t="shared" si="75"/>
        <v>642.6</v>
      </c>
      <c r="Q98" s="99">
        <f t="shared" si="75"/>
        <v>655.452</v>
      </c>
      <c r="R98" s="99">
        <f t="shared" si="75"/>
        <v>675.2029874</v>
      </c>
      <c r="S98" s="99">
        <f t="shared" si="75"/>
        <v>688.7070472</v>
      </c>
      <c r="T98" s="99">
        <f t="shared" si="75"/>
        <v>702.4811881</v>
      </c>
      <c r="U98" s="99">
        <f t="shared" si="75"/>
        <v>716.5308119</v>
      </c>
      <c r="V98" s="99">
        <f t="shared" si="75"/>
        <v>730.8614281</v>
      </c>
      <c r="W98" s="99">
        <f t="shared" si="75"/>
        <v>745.4786567</v>
      </c>
      <c r="X98" s="99">
        <f t="shared" si="75"/>
        <v>760.3882298</v>
      </c>
      <c r="Y98" s="99">
        <f t="shared" si="75"/>
        <v>775.5959944</v>
      </c>
      <c r="Z98" s="99">
        <f t="shared" si="75"/>
        <v>791.1079143</v>
      </c>
      <c r="AA98" s="99">
        <f t="shared" si="75"/>
        <v>806.9300726</v>
      </c>
      <c r="AB98" s="99">
        <f t="shared" si="75"/>
        <v>823.068674</v>
      </c>
      <c r="AC98" s="99">
        <f t="shared" si="75"/>
        <v>839.5300475</v>
      </c>
      <c r="AD98" s="99">
        <f t="shared" si="75"/>
        <v>856.3206485</v>
      </c>
      <c r="AE98" s="99">
        <f t="shared" si="75"/>
        <v>873.4470614</v>
      </c>
      <c r="AF98" s="99">
        <f t="shared" si="75"/>
        <v>890.9160027</v>
      </c>
      <c r="AG98" s="99">
        <f t="shared" si="75"/>
        <v>908.7343227</v>
      </c>
      <c r="AH98" s="99">
        <f t="shared" si="75"/>
        <v>926.9090092</v>
      </c>
      <c r="AI98" s="99">
        <f t="shared" si="75"/>
        <v>945.4471894</v>
      </c>
      <c r="AJ98" s="99">
        <f t="shared" si="75"/>
        <v>964.3561331</v>
      </c>
      <c r="AK98" s="99">
        <f t="shared" si="75"/>
        <v>983.6432558</v>
      </c>
      <c r="AL98" s="99">
        <f t="shared" si="75"/>
        <v>1003.316121</v>
      </c>
      <c r="AM98" s="99">
        <f t="shared" si="75"/>
        <v>1023.382443</v>
      </c>
      <c r="AN98" s="99">
        <f t="shared" si="75"/>
        <v>1043.850092</v>
      </c>
      <c r="AO98" s="99">
        <f t="shared" si="75"/>
        <v>1064.727094</v>
      </c>
      <c r="AP98" s="99">
        <f t="shared" si="75"/>
        <v>1086.021636</v>
      </c>
      <c r="AQ98" s="99">
        <f t="shared" si="75"/>
        <v>1107.742069</v>
      </c>
      <c r="AR98" s="99">
        <f t="shared" si="75"/>
        <v>1129.89691</v>
      </c>
      <c r="AS98" s="99">
        <f t="shared" si="75"/>
        <v>1152.494848</v>
      </c>
      <c r="AT98" s="99">
        <f t="shared" si="75"/>
        <v>1175.544745</v>
      </c>
      <c r="AU98" s="99">
        <f t="shared" si="75"/>
        <v>1199.05564</v>
      </c>
      <c r="AV98" s="99">
        <f t="shared" si="75"/>
        <v>1223.036753</v>
      </c>
      <c r="AW98" s="90"/>
      <c r="AX98" s="152">
        <v>0.7</v>
      </c>
      <c r="AY98" s="90">
        <v>40.0</v>
      </c>
      <c r="AZ98" s="90"/>
      <c r="BA98" s="90"/>
      <c r="BB98" s="90"/>
      <c r="BC98" s="90"/>
      <c r="BD98" s="90"/>
      <c r="BE98" s="90"/>
      <c r="BF98" s="90"/>
      <c r="BG98" s="90"/>
    </row>
    <row r="99" ht="12.75" hidden="1" customHeight="1" outlineLevel="1">
      <c r="A99" s="316"/>
      <c r="B99" s="90"/>
      <c r="C99" s="90" t="s">
        <v>676</v>
      </c>
      <c r="D99" s="90"/>
      <c r="E99" s="90"/>
      <c r="F99" s="90"/>
      <c r="G99" s="90"/>
      <c r="H99" s="524"/>
      <c r="I99" s="99">
        <v>4.08</v>
      </c>
      <c r="J99" s="301">
        <f>I99*(1+J$89)</f>
        <v>4.08</v>
      </c>
      <c r="K99" s="301">
        <v>2.0</v>
      </c>
      <c r="L99" s="301">
        <v>1.0</v>
      </c>
      <c r="M99" s="301">
        <f>L99*(1+M$89)</f>
        <v>1.01</v>
      </c>
      <c r="N99" s="301">
        <v>2.0</v>
      </c>
      <c r="O99" s="301">
        <f t="shared" ref="O99:AV99" si="76">N99*(1+O$89)</f>
        <v>2.04</v>
      </c>
      <c r="P99" s="301">
        <f t="shared" si="76"/>
        <v>2.0808</v>
      </c>
      <c r="Q99" s="301">
        <f t="shared" si="76"/>
        <v>2.122416</v>
      </c>
      <c r="R99" s="301">
        <f t="shared" si="76"/>
        <v>2.186371578</v>
      </c>
      <c r="S99" s="301">
        <f t="shared" si="76"/>
        <v>2.23009901</v>
      </c>
      <c r="T99" s="301">
        <f t="shared" si="76"/>
        <v>2.27470099</v>
      </c>
      <c r="U99" s="301">
        <f t="shared" si="76"/>
        <v>2.32019501</v>
      </c>
      <c r="V99" s="301">
        <f t="shared" si="76"/>
        <v>2.36659891</v>
      </c>
      <c r="W99" s="301">
        <f t="shared" si="76"/>
        <v>2.413930888</v>
      </c>
      <c r="X99" s="301">
        <f t="shared" si="76"/>
        <v>2.462209506</v>
      </c>
      <c r="Y99" s="301">
        <f t="shared" si="76"/>
        <v>2.511453696</v>
      </c>
      <c r="Z99" s="301">
        <f t="shared" si="76"/>
        <v>2.56168277</v>
      </c>
      <c r="AA99" s="301">
        <f t="shared" si="76"/>
        <v>2.612916426</v>
      </c>
      <c r="AB99" s="301">
        <f t="shared" si="76"/>
        <v>2.665174754</v>
      </c>
      <c r="AC99" s="301">
        <f t="shared" si="76"/>
        <v>2.718478249</v>
      </c>
      <c r="AD99" s="301">
        <f t="shared" si="76"/>
        <v>2.772847814</v>
      </c>
      <c r="AE99" s="301">
        <f t="shared" si="76"/>
        <v>2.82830477</v>
      </c>
      <c r="AF99" s="301">
        <f t="shared" si="76"/>
        <v>2.884870866</v>
      </c>
      <c r="AG99" s="301">
        <f t="shared" si="76"/>
        <v>2.942568283</v>
      </c>
      <c r="AH99" s="301">
        <f t="shared" si="76"/>
        <v>3.001419649</v>
      </c>
      <c r="AI99" s="301">
        <f t="shared" si="76"/>
        <v>3.061448042</v>
      </c>
      <c r="AJ99" s="301">
        <f t="shared" si="76"/>
        <v>3.122677003</v>
      </c>
      <c r="AK99" s="301">
        <f t="shared" si="76"/>
        <v>3.185130543</v>
      </c>
      <c r="AL99" s="301">
        <f t="shared" si="76"/>
        <v>3.248833153</v>
      </c>
      <c r="AM99" s="301">
        <f t="shared" si="76"/>
        <v>3.313809817</v>
      </c>
      <c r="AN99" s="301">
        <f t="shared" si="76"/>
        <v>3.380086013</v>
      </c>
      <c r="AO99" s="301">
        <f t="shared" si="76"/>
        <v>3.447687733</v>
      </c>
      <c r="AP99" s="301">
        <f t="shared" si="76"/>
        <v>3.516641488</v>
      </c>
      <c r="AQ99" s="301">
        <f t="shared" si="76"/>
        <v>3.586974318</v>
      </c>
      <c r="AR99" s="301">
        <f t="shared" si="76"/>
        <v>3.658713804</v>
      </c>
      <c r="AS99" s="301">
        <f t="shared" si="76"/>
        <v>3.73188808</v>
      </c>
      <c r="AT99" s="301">
        <f t="shared" si="76"/>
        <v>3.806525842</v>
      </c>
      <c r="AU99" s="301">
        <f t="shared" si="76"/>
        <v>3.882656358</v>
      </c>
      <c r="AV99" s="301">
        <f t="shared" si="76"/>
        <v>3.960309486</v>
      </c>
      <c r="AW99" s="90" t="s">
        <v>1185</v>
      </c>
      <c r="AX99" s="90"/>
      <c r="AY99" s="90"/>
      <c r="AZ99" s="90"/>
      <c r="BA99" s="90"/>
      <c r="BB99" s="90"/>
      <c r="BC99" s="90"/>
      <c r="BD99" s="90"/>
      <c r="BE99" s="90"/>
      <c r="BF99" s="90"/>
      <c r="BG99" s="90"/>
    </row>
    <row r="100" ht="12.75" hidden="1" customHeight="1" outlineLevel="1">
      <c r="A100" s="316"/>
      <c r="B100" s="90"/>
      <c r="C100" s="90" t="s">
        <v>677</v>
      </c>
      <c r="D100" s="90"/>
      <c r="E100" s="90"/>
      <c r="F100" s="90"/>
      <c r="G100" s="90"/>
      <c r="H100" s="254"/>
      <c r="I100" s="99">
        <v>141.0</v>
      </c>
      <c r="J100" s="525">
        <v>109.5</v>
      </c>
      <c r="K100" s="99">
        <v>111.0</v>
      </c>
      <c r="L100" s="99">
        <f t="shared" ref="L100:AV100" si="77">K100*(1+L$89)</f>
        <v>111</v>
      </c>
      <c r="M100" s="99">
        <f t="shared" si="77"/>
        <v>112.11</v>
      </c>
      <c r="N100" s="99">
        <f t="shared" si="77"/>
        <v>114.3522</v>
      </c>
      <c r="O100" s="99">
        <f t="shared" si="77"/>
        <v>116.639244</v>
      </c>
      <c r="P100" s="99">
        <f t="shared" si="77"/>
        <v>118.9720289</v>
      </c>
      <c r="Q100" s="99">
        <f t="shared" si="77"/>
        <v>121.3514695</v>
      </c>
      <c r="R100" s="99">
        <f t="shared" si="77"/>
        <v>125.0082</v>
      </c>
      <c r="S100" s="99">
        <f t="shared" si="77"/>
        <v>127.508364</v>
      </c>
      <c r="T100" s="99">
        <f t="shared" si="77"/>
        <v>130.0585313</v>
      </c>
      <c r="U100" s="99">
        <f t="shared" si="77"/>
        <v>132.6597019</v>
      </c>
      <c r="V100" s="99">
        <f t="shared" si="77"/>
        <v>135.3128959</v>
      </c>
      <c r="W100" s="99">
        <f t="shared" si="77"/>
        <v>138.0191539</v>
      </c>
      <c r="X100" s="99">
        <f t="shared" si="77"/>
        <v>140.7795369</v>
      </c>
      <c r="Y100" s="99">
        <f t="shared" si="77"/>
        <v>143.5951277</v>
      </c>
      <c r="Z100" s="99">
        <f t="shared" si="77"/>
        <v>146.4670302</v>
      </c>
      <c r="AA100" s="99">
        <f t="shared" si="77"/>
        <v>149.3963708</v>
      </c>
      <c r="AB100" s="99">
        <f t="shared" si="77"/>
        <v>152.3842983</v>
      </c>
      <c r="AC100" s="99">
        <f t="shared" si="77"/>
        <v>155.4319842</v>
      </c>
      <c r="AD100" s="99">
        <f t="shared" si="77"/>
        <v>158.5406239</v>
      </c>
      <c r="AE100" s="99">
        <f t="shared" si="77"/>
        <v>161.7114364</v>
      </c>
      <c r="AF100" s="99">
        <f t="shared" si="77"/>
        <v>164.9456651</v>
      </c>
      <c r="AG100" s="99">
        <f t="shared" si="77"/>
        <v>168.2445784</v>
      </c>
      <c r="AH100" s="99">
        <f t="shared" si="77"/>
        <v>171.60947</v>
      </c>
      <c r="AI100" s="99">
        <f t="shared" si="77"/>
        <v>175.0416594</v>
      </c>
      <c r="AJ100" s="99">
        <f t="shared" si="77"/>
        <v>178.5424926</v>
      </c>
      <c r="AK100" s="99">
        <f t="shared" si="77"/>
        <v>182.1133424</v>
      </c>
      <c r="AL100" s="99">
        <f t="shared" si="77"/>
        <v>185.7556093</v>
      </c>
      <c r="AM100" s="99">
        <f t="shared" si="77"/>
        <v>189.4707215</v>
      </c>
      <c r="AN100" s="99">
        <f t="shared" si="77"/>
        <v>193.2601359</v>
      </c>
      <c r="AO100" s="99">
        <f t="shared" si="77"/>
        <v>197.1253386</v>
      </c>
      <c r="AP100" s="99">
        <f t="shared" si="77"/>
        <v>201.0678454</v>
      </c>
      <c r="AQ100" s="99">
        <f t="shared" si="77"/>
        <v>205.0892023</v>
      </c>
      <c r="AR100" s="99">
        <f t="shared" si="77"/>
        <v>209.1909863</v>
      </c>
      <c r="AS100" s="99">
        <f t="shared" si="77"/>
        <v>213.374806</v>
      </c>
      <c r="AT100" s="99">
        <f t="shared" si="77"/>
        <v>217.6423022</v>
      </c>
      <c r="AU100" s="99">
        <f t="shared" si="77"/>
        <v>221.9951482</v>
      </c>
      <c r="AV100" s="99">
        <f t="shared" si="77"/>
        <v>226.4350512</v>
      </c>
      <c r="AW100" s="90" t="s">
        <v>1181</v>
      </c>
      <c r="AX100" s="90"/>
      <c r="AY100" s="90"/>
      <c r="AZ100" s="90"/>
      <c r="BA100" s="90"/>
      <c r="BB100" s="90"/>
      <c r="BC100" s="90"/>
      <c r="BD100" s="90"/>
      <c r="BE100" s="90"/>
      <c r="BF100" s="90"/>
      <c r="BG100" s="90"/>
    </row>
    <row r="101" ht="12.75" hidden="1" customHeight="1" outlineLevel="1">
      <c r="A101" s="316"/>
      <c r="B101" s="90"/>
      <c r="C101" s="90" t="s">
        <v>678</v>
      </c>
      <c r="D101" s="90"/>
      <c r="E101" s="90"/>
      <c r="F101" s="90"/>
      <c r="G101" s="90"/>
      <c r="H101" s="254"/>
      <c r="I101" s="99">
        <v>0.0</v>
      </c>
      <c r="J101" s="525">
        <v>11.5</v>
      </c>
      <c r="K101" s="99">
        <v>13.3</v>
      </c>
      <c r="L101" s="99">
        <f t="shared" ref="L101:AV101" si="78">K101*(1+L$89)</f>
        <v>13.3</v>
      </c>
      <c r="M101" s="99">
        <f t="shared" si="78"/>
        <v>13.433</v>
      </c>
      <c r="N101" s="99">
        <f t="shared" si="78"/>
        <v>13.70166</v>
      </c>
      <c r="O101" s="99">
        <f t="shared" si="78"/>
        <v>13.9756932</v>
      </c>
      <c r="P101" s="99">
        <f t="shared" si="78"/>
        <v>14.25520706</v>
      </c>
      <c r="Q101" s="99">
        <f t="shared" si="78"/>
        <v>14.54031121</v>
      </c>
      <c r="R101" s="99">
        <f t="shared" si="78"/>
        <v>14.97846</v>
      </c>
      <c r="S101" s="99">
        <f t="shared" si="78"/>
        <v>15.2780292</v>
      </c>
      <c r="T101" s="99">
        <f t="shared" si="78"/>
        <v>15.58358978</v>
      </c>
      <c r="U101" s="99">
        <f t="shared" si="78"/>
        <v>15.89526158</v>
      </c>
      <c r="V101" s="99">
        <f t="shared" si="78"/>
        <v>16.21316681</v>
      </c>
      <c r="W101" s="99">
        <f t="shared" si="78"/>
        <v>16.53743015</v>
      </c>
      <c r="X101" s="99">
        <f t="shared" si="78"/>
        <v>16.86817875</v>
      </c>
      <c r="Y101" s="99">
        <f t="shared" si="78"/>
        <v>17.20554233</v>
      </c>
      <c r="Z101" s="99">
        <f t="shared" si="78"/>
        <v>17.54965317</v>
      </c>
      <c r="AA101" s="99">
        <f t="shared" si="78"/>
        <v>17.90064624</v>
      </c>
      <c r="AB101" s="99">
        <f t="shared" si="78"/>
        <v>18.25865916</v>
      </c>
      <c r="AC101" s="99">
        <f t="shared" si="78"/>
        <v>18.62383234</v>
      </c>
      <c r="AD101" s="99">
        <f t="shared" si="78"/>
        <v>18.99630899</v>
      </c>
      <c r="AE101" s="99">
        <f t="shared" si="78"/>
        <v>19.37623517</v>
      </c>
      <c r="AF101" s="99">
        <f t="shared" si="78"/>
        <v>19.76375987</v>
      </c>
      <c r="AG101" s="99">
        <f t="shared" si="78"/>
        <v>20.15903507</v>
      </c>
      <c r="AH101" s="99">
        <f t="shared" si="78"/>
        <v>20.56221577</v>
      </c>
      <c r="AI101" s="99">
        <f t="shared" si="78"/>
        <v>20.97346009</v>
      </c>
      <c r="AJ101" s="99">
        <f t="shared" si="78"/>
        <v>21.39292929</v>
      </c>
      <c r="AK101" s="99">
        <f t="shared" si="78"/>
        <v>21.82078788</v>
      </c>
      <c r="AL101" s="99">
        <f t="shared" si="78"/>
        <v>22.25720363</v>
      </c>
      <c r="AM101" s="99">
        <f t="shared" si="78"/>
        <v>22.70234771</v>
      </c>
      <c r="AN101" s="99">
        <f t="shared" si="78"/>
        <v>23.15639466</v>
      </c>
      <c r="AO101" s="99">
        <f t="shared" si="78"/>
        <v>23.61952255</v>
      </c>
      <c r="AP101" s="99">
        <f t="shared" si="78"/>
        <v>24.091913</v>
      </c>
      <c r="AQ101" s="99">
        <f t="shared" si="78"/>
        <v>24.57375126</v>
      </c>
      <c r="AR101" s="99">
        <f t="shared" si="78"/>
        <v>25.06522629</v>
      </c>
      <c r="AS101" s="99">
        <f t="shared" si="78"/>
        <v>25.56653081</v>
      </c>
      <c r="AT101" s="99">
        <f t="shared" si="78"/>
        <v>26.07786143</v>
      </c>
      <c r="AU101" s="99">
        <f t="shared" si="78"/>
        <v>26.59941866</v>
      </c>
      <c r="AV101" s="99">
        <f t="shared" si="78"/>
        <v>27.13140703</v>
      </c>
      <c r="AW101" s="90" t="s">
        <v>1181</v>
      </c>
      <c r="AX101" s="90"/>
      <c r="AY101" s="90"/>
      <c r="AZ101" s="90"/>
      <c r="BA101" s="90"/>
      <c r="BB101" s="90"/>
      <c r="BC101" s="90"/>
      <c r="BD101" s="90"/>
      <c r="BE101" s="90"/>
      <c r="BF101" s="90"/>
      <c r="BG101" s="90"/>
    </row>
    <row r="102" ht="12.75" hidden="1" customHeight="1" outlineLevel="1">
      <c r="A102" s="316"/>
      <c r="B102" s="90"/>
      <c r="C102" s="90" t="s">
        <v>679</v>
      </c>
      <c r="D102" s="90"/>
      <c r="E102" s="90"/>
      <c r="F102" s="90"/>
      <c r="G102" s="90"/>
      <c r="H102" s="254"/>
      <c r="I102" s="99">
        <v>400.0</v>
      </c>
      <c r="J102" s="99"/>
      <c r="K102" s="99"/>
      <c r="L102" s="99"/>
      <c r="M102" s="99"/>
      <c r="N102" s="99"/>
      <c r="O102" s="99"/>
      <c r="P102" s="99"/>
      <c r="Q102" s="99"/>
      <c r="R102" s="99"/>
      <c r="S102" s="99"/>
      <c r="T102" s="99"/>
      <c r="U102" s="99"/>
      <c r="V102" s="99"/>
      <c r="W102" s="99"/>
      <c r="X102" s="99"/>
      <c r="Y102" s="99"/>
      <c r="Z102" s="99"/>
      <c r="AA102" s="99"/>
      <c r="AB102" s="99"/>
      <c r="AC102" s="99"/>
      <c r="AD102" s="99"/>
      <c r="AE102" s="99"/>
      <c r="AF102" s="99"/>
      <c r="AG102" s="99"/>
      <c r="AH102" s="99"/>
      <c r="AI102" s="99"/>
      <c r="AJ102" s="99"/>
      <c r="AK102" s="99"/>
      <c r="AL102" s="99"/>
      <c r="AM102" s="99"/>
      <c r="AN102" s="99"/>
      <c r="AO102" s="99"/>
      <c r="AP102" s="99"/>
      <c r="AQ102" s="99"/>
      <c r="AR102" s="99"/>
      <c r="AS102" s="99"/>
      <c r="AT102" s="99"/>
      <c r="AU102" s="99"/>
      <c r="AV102" s="99"/>
      <c r="AW102" s="90" t="s">
        <v>1181</v>
      </c>
      <c r="AX102" s="90"/>
      <c r="AY102" s="90"/>
      <c r="AZ102" s="90"/>
      <c r="BA102" s="90"/>
      <c r="BB102" s="90"/>
      <c r="BC102" s="90"/>
      <c r="BD102" s="90"/>
      <c r="BE102" s="90"/>
      <c r="BF102" s="90"/>
      <c r="BG102" s="90"/>
    </row>
    <row r="103" ht="12.75" hidden="1" customHeight="1" outlineLevel="1">
      <c r="A103" s="316"/>
      <c r="B103" s="90"/>
      <c r="C103" s="90" t="s">
        <v>680</v>
      </c>
      <c r="D103" s="90"/>
      <c r="E103" s="90"/>
      <c r="F103" s="90"/>
      <c r="G103" s="90"/>
      <c r="H103" s="254"/>
      <c r="I103" s="99">
        <v>400.0</v>
      </c>
      <c r="J103" s="99">
        <f t="shared" ref="J103:J107" si="80">I103*(1+J$89)</f>
        <v>400</v>
      </c>
      <c r="K103" s="99">
        <v>600.0</v>
      </c>
      <c r="L103" s="99">
        <f>'RSGen 1-7'!I104</f>
        <v>600</v>
      </c>
      <c r="M103" s="99">
        <f t="shared" ref="M103:AV103" si="79">L103*(1+M$89)</f>
        <v>606</v>
      </c>
      <c r="N103" s="99">
        <f t="shared" si="79"/>
        <v>618.12</v>
      </c>
      <c r="O103" s="99">
        <f t="shared" si="79"/>
        <v>630.4824</v>
      </c>
      <c r="P103" s="99">
        <f t="shared" si="79"/>
        <v>643.092048</v>
      </c>
      <c r="Q103" s="99">
        <f t="shared" si="79"/>
        <v>655.953889</v>
      </c>
      <c r="R103" s="99">
        <f t="shared" si="79"/>
        <v>675.72</v>
      </c>
      <c r="S103" s="99">
        <f t="shared" si="79"/>
        <v>689.2344</v>
      </c>
      <c r="T103" s="99">
        <f t="shared" si="79"/>
        <v>703.019088</v>
      </c>
      <c r="U103" s="99">
        <f t="shared" si="79"/>
        <v>717.0794698</v>
      </c>
      <c r="V103" s="99">
        <f t="shared" si="79"/>
        <v>731.4210592</v>
      </c>
      <c r="W103" s="99">
        <f t="shared" si="79"/>
        <v>746.0494803</v>
      </c>
      <c r="X103" s="99">
        <f t="shared" si="79"/>
        <v>760.9704699</v>
      </c>
      <c r="Y103" s="99">
        <f t="shared" si="79"/>
        <v>776.1898793</v>
      </c>
      <c r="Z103" s="99">
        <f t="shared" si="79"/>
        <v>791.7136769</v>
      </c>
      <c r="AA103" s="99">
        <f t="shared" si="79"/>
        <v>807.5479505</v>
      </c>
      <c r="AB103" s="99">
        <f t="shared" si="79"/>
        <v>823.6989095</v>
      </c>
      <c r="AC103" s="99">
        <f t="shared" si="79"/>
        <v>840.1728877</v>
      </c>
      <c r="AD103" s="99">
        <f t="shared" si="79"/>
        <v>856.9763454</v>
      </c>
      <c r="AE103" s="99">
        <f t="shared" si="79"/>
        <v>874.1158723</v>
      </c>
      <c r="AF103" s="99">
        <f t="shared" si="79"/>
        <v>891.5981898</v>
      </c>
      <c r="AG103" s="99">
        <f t="shared" si="79"/>
        <v>909.4301536</v>
      </c>
      <c r="AH103" s="99">
        <f t="shared" si="79"/>
        <v>927.6187566</v>
      </c>
      <c r="AI103" s="99">
        <f t="shared" si="79"/>
        <v>946.1711318</v>
      </c>
      <c r="AJ103" s="99">
        <f t="shared" si="79"/>
        <v>965.0945544</v>
      </c>
      <c r="AK103" s="99">
        <f t="shared" si="79"/>
        <v>984.3964455</v>
      </c>
      <c r="AL103" s="99">
        <f t="shared" si="79"/>
        <v>1004.084374</v>
      </c>
      <c r="AM103" s="99">
        <f t="shared" si="79"/>
        <v>1024.166062</v>
      </c>
      <c r="AN103" s="99">
        <f t="shared" si="79"/>
        <v>1044.649383</v>
      </c>
      <c r="AO103" s="99">
        <f t="shared" si="79"/>
        <v>1065.542371</v>
      </c>
      <c r="AP103" s="99">
        <f t="shared" si="79"/>
        <v>1086.853218</v>
      </c>
      <c r="AQ103" s="99">
        <f t="shared" si="79"/>
        <v>1108.590283</v>
      </c>
      <c r="AR103" s="99">
        <f t="shared" si="79"/>
        <v>1130.762088</v>
      </c>
      <c r="AS103" s="99">
        <f t="shared" si="79"/>
        <v>1153.37733</v>
      </c>
      <c r="AT103" s="99">
        <f t="shared" si="79"/>
        <v>1176.444877</v>
      </c>
      <c r="AU103" s="99">
        <f t="shared" si="79"/>
        <v>1199.973774</v>
      </c>
      <c r="AV103" s="99">
        <f t="shared" si="79"/>
        <v>1223.97325</v>
      </c>
      <c r="AW103" s="90" t="s">
        <v>1186</v>
      </c>
      <c r="AX103" s="90"/>
      <c r="AY103" s="90"/>
      <c r="AZ103" s="90"/>
      <c r="BA103" s="90"/>
      <c r="BB103" s="90"/>
      <c r="BC103" s="90"/>
      <c r="BD103" s="90"/>
      <c r="BE103" s="90"/>
      <c r="BF103" s="90"/>
      <c r="BG103" s="90"/>
    </row>
    <row r="104" ht="12.75" hidden="1" customHeight="1" outlineLevel="1">
      <c r="A104" s="316"/>
      <c r="B104" s="90"/>
      <c r="C104" s="90" t="s">
        <v>681</v>
      </c>
      <c r="D104" s="90"/>
      <c r="E104" s="90"/>
      <c r="F104" s="90"/>
      <c r="G104" s="90"/>
      <c r="H104" s="254"/>
      <c r="I104" s="99">
        <v>0.0</v>
      </c>
      <c r="J104" s="99">
        <f t="shared" si="80"/>
        <v>0</v>
      </c>
      <c r="K104" s="99">
        <f t="shared" ref="K104:AV104" si="81">J104*(1+K$89)</f>
        <v>0</v>
      </c>
      <c r="L104" s="99">
        <f t="shared" si="81"/>
        <v>0</v>
      </c>
      <c r="M104" s="99">
        <f t="shared" si="81"/>
        <v>0</v>
      </c>
      <c r="N104" s="99">
        <f t="shared" si="81"/>
        <v>0</v>
      </c>
      <c r="O104" s="99">
        <f t="shared" si="81"/>
        <v>0</v>
      </c>
      <c r="P104" s="99">
        <f t="shared" si="81"/>
        <v>0</v>
      </c>
      <c r="Q104" s="99">
        <f t="shared" si="81"/>
        <v>0</v>
      </c>
      <c r="R104" s="99">
        <f t="shared" si="81"/>
        <v>0</v>
      </c>
      <c r="S104" s="99">
        <f t="shared" si="81"/>
        <v>0</v>
      </c>
      <c r="T104" s="99">
        <f t="shared" si="81"/>
        <v>0</v>
      </c>
      <c r="U104" s="99">
        <f t="shared" si="81"/>
        <v>0</v>
      </c>
      <c r="V104" s="99">
        <f t="shared" si="81"/>
        <v>0</v>
      </c>
      <c r="W104" s="99">
        <f t="shared" si="81"/>
        <v>0</v>
      </c>
      <c r="X104" s="99">
        <f t="shared" si="81"/>
        <v>0</v>
      </c>
      <c r="Y104" s="99">
        <f t="shared" si="81"/>
        <v>0</v>
      </c>
      <c r="Z104" s="99">
        <f t="shared" si="81"/>
        <v>0</v>
      </c>
      <c r="AA104" s="99">
        <f t="shared" si="81"/>
        <v>0</v>
      </c>
      <c r="AB104" s="99">
        <f t="shared" si="81"/>
        <v>0</v>
      </c>
      <c r="AC104" s="99">
        <f t="shared" si="81"/>
        <v>0</v>
      </c>
      <c r="AD104" s="99">
        <f t="shared" si="81"/>
        <v>0</v>
      </c>
      <c r="AE104" s="99">
        <f t="shared" si="81"/>
        <v>0</v>
      </c>
      <c r="AF104" s="99">
        <f t="shared" si="81"/>
        <v>0</v>
      </c>
      <c r="AG104" s="99">
        <f t="shared" si="81"/>
        <v>0</v>
      </c>
      <c r="AH104" s="99">
        <f t="shared" si="81"/>
        <v>0</v>
      </c>
      <c r="AI104" s="99">
        <f t="shared" si="81"/>
        <v>0</v>
      </c>
      <c r="AJ104" s="99">
        <f t="shared" si="81"/>
        <v>0</v>
      </c>
      <c r="AK104" s="99">
        <f t="shared" si="81"/>
        <v>0</v>
      </c>
      <c r="AL104" s="99">
        <f t="shared" si="81"/>
        <v>0</v>
      </c>
      <c r="AM104" s="99">
        <f t="shared" si="81"/>
        <v>0</v>
      </c>
      <c r="AN104" s="99">
        <f t="shared" si="81"/>
        <v>0</v>
      </c>
      <c r="AO104" s="99">
        <f t="shared" si="81"/>
        <v>0</v>
      </c>
      <c r="AP104" s="99">
        <f t="shared" si="81"/>
        <v>0</v>
      </c>
      <c r="AQ104" s="99">
        <f t="shared" si="81"/>
        <v>0</v>
      </c>
      <c r="AR104" s="99">
        <f t="shared" si="81"/>
        <v>0</v>
      </c>
      <c r="AS104" s="99">
        <f t="shared" si="81"/>
        <v>0</v>
      </c>
      <c r="AT104" s="99">
        <f t="shared" si="81"/>
        <v>0</v>
      </c>
      <c r="AU104" s="99">
        <f t="shared" si="81"/>
        <v>0</v>
      </c>
      <c r="AV104" s="99">
        <f t="shared" si="81"/>
        <v>0</v>
      </c>
      <c r="AW104" s="90" t="s">
        <v>1181</v>
      </c>
      <c r="AX104" s="90"/>
      <c r="AY104" s="90"/>
      <c r="AZ104" s="90"/>
      <c r="BA104" s="90"/>
      <c r="BB104" s="90"/>
      <c r="BC104" s="90"/>
      <c r="BD104" s="90"/>
      <c r="BE104" s="90"/>
      <c r="BF104" s="90"/>
      <c r="BG104" s="90"/>
    </row>
    <row r="105" ht="12.75" hidden="1" customHeight="1" outlineLevel="1">
      <c r="A105" s="316"/>
      <c r="B105" s="90"/>
      <c r="C105" s="90" t="s">
        <v>682</v>
      </c>
      <c r="D105" s="90"/>
      <c r="E105" s="90"/>
      <c r="F105" s="90"/>
      <c r="G105" s="90"/>
      <c r="H105" s="254"/>
      <c r="I105" s="99">
        <v>0.0</v>
      </c>
      <c r="J105" s="99">
        <f t="shared" si="80"/>
        <v>0</v>
      </c>
      <c r="K105" s="99">
        <f t="shared" ref="K105:AV105" si="82">J105*(1+K$89)</f>
        <v>0</v>
      </c>
      <c r="L105" s="99">
        <f t="shared" si="82"/>
        <v>0</v>
      </c>
      <c r="M105" s="99">
        <f t="shared" si="82"/>
        <v>0</v>
      </c>
      <c r="N105" s="99">
        <f t="shared" si="82"/>
        <v>0</v>
      </c>
      <c r="O105" s="99">
        <f t="shared" si="82"/>
        <v>0</v>
      </c>
      <c r="P105" s="99">
        <f t="shared" si="82"/>
        <v>0</v>
      </c>
      <c r="Q105" s="99">
        <f t="shared" si="82"/>
        <v>0</v>
      </c>
      <c r="R105" s="99">
        <f t="shared" si="82"/>
        <v>0</v>
      </c>
      <c r="S105" s="99">
        <f t="shared" si="82"/>
        <v>0</v>
      </c>
      <c r="T105" s="99">
        <f t="shared" si="82"/>
        <v>0</v>
      </c>
      <c r="U105" s="99">
        <f t="shared" si="82"/>
        <v>0</v>
      </c>
      <c r="V105" s="99">
        <f t="shared" si="82"/>
        <v>0</v>
      </c>
      <c r="W105" s="99">
        <f t="shared" si="82"/>
        <v>0</v>
      </c>
      <c r="X105" s="99">
        <f t="shared" si="82"/>
        <v>0</v>
      </c>
      <c r="Y105" s="99">
        <f t="shared" si="82"/>
        <v>0</v>
      </c>
      <c r="Z105" s="99">
        <f t="shared" si="82"/>
        <v>0</v>
      </c>
      <c r="AA105" s="99">
        <f t="shared" si="82"/>
        <v>0</v>
      </c>
      <c r="AB105" s="99">
        <f t="shared" si="82"/>
        <v>0</v>
      </c>
      <c r="AC105" s="99">
        <f t="shared" si="82"/>
        <v>0</v>
      </c>
      <c r="AD105" s="99">
        <f t="shared" si="82"/>
        <v>0</v>
      </c>
      <c r="AE105" s="99">
        <f t="shared" si="82"/>
        <v>0</v>
      </c>
      <c r="AF105" s="99">
        <f t="shared" si="82"/>
        <v>0</v>
      </c>
      <c r="AG105" s="99">
        <f t="shared" si="82"/>
        <v>0</v>
      </c>
      <c r="AH105" s="99">
        <f t="shared" si="82"/>
        <v>0</v>
      </c>
      <c r="AI105" s="99">
        <f t="shared" si="82"/>
        <v>0</v>
      </c>
      <c r="AJ105" s="99">
        <f t="shared" si="82"/>
        <v>0</v>
      </c>
      <c r="AK105" s="99">
        <f t="shared" si="82"/>
        <v>0</v>
      </c>
      <c r="AL105" s="99">
        <f t="shared" si="82"/>
        <v>0</v>
      </c>
      <c r="AM105" s="99">
        <f t="shared" si="82"/>
        <v>0</v>
      </c>
      <c r="AN105" s="99">
        <f t="shared" si="82"/>
        <v>0</v>
      </c>
      <c r="AO105" s="99">
        <f t="shared" si="82"/>
        <v>0</v>
      </c>
      <c r="AP105" s="99">
        <f t="shared" si="82"/>
        <v>0</v>
      </c>
      <c r="AQ105" s="99">
        <f t="shared" si="82"/>
        <v>0</v>
      </c>
      <c r="AR105" s="99">
        <f t="shared" si="82"/>
        <v>0</v>
      </c>
      <c r="AS105" s="99">
        <f t="shared" si="82"/>
        <v>0</v>
      </c>
      <c r="AT105" s="99">
        <f t="shared" si="82"/>
        <v>0</v>
      </c>
      <c r="AU105" s="99">
        <f t="shared" si="82"/>
        <v>0</v>
      </c>
      <c r="AV105" s="99">
        <f t="shared" si="82"/>
        <v>0</v>
      </c>
      <c r="AW105" s="90" t="s">
        <v>1181</v>
      </c>
      <c r="AX105" s="90"/>
      <c r="AY105" s="90"/>
      <c r="AZ105" s="90"/>
      <c r="BA105" s="90"/>
      <c r="BB105" s="90"/>
      <c r="BC105" s="90"/>
      <c r="BD105" s="90"/>
      <c r="BE105" s="90"/>
      <c r="BF105" s="90"/>
      <c r="BG105" s="90"/>
    </row>
    <row r="106" ht="12.75" hidden="1" customHeight="1" outlineLevel="1">
      <c r="A106" s="316"/>
      <c r="B106" s="90"/>
      <c r="C106" s="90" t="s">
        <v>683</v>
      </c>
      <c r="D106" s="90"/>
      <c r="E106" s="90"/>
      <c r="F106" s="90"/>
      <c r="G106" s="90"/>
      <c r="H106" s="254"/>
      <c r="I106" s="99">
        <v>0.0</v>
      </c>
      <c r="J106" s="99">
        <f t="shared" si="80"/>
        <v>0</v>
      </c>
      <c r="K106" s="99">
        <f t="shared" ref="K106:AV106" si="83">J106*(1+K$89)</f>
        <v>0</v>
      </c>
      <c r="L106" s="99">
        <f t="shared" si="83"/>
        <v>0</v>
      </c>
      <c r="M106" s="99">
        <f t="shared" si="83"/>
        <v>0</v>
      </c>
      <c r="N106" s="99">
        <f t="shared" si="83"/>
        <v>0</v>
      </c>
      <c r="O106" s="99">
        <f t="shared" si="83"/>
        <v>0</v>
      </c>
      <c r="P106" s="99">
        <f t="shared" si="83"/>
        <v>0</v>
      </c>
      <c r="Q106" s="99">
        <f t="shared" si="83"/>
        <v>0</v>
      </c>
      <c r="R106" s="99">
        <f t="shared" si="83"/>
        <v>0</v>
      </c>
      <c r="S106" s="99">
        <f t="shared" si="83"/>
        <v>0</v>
      </c>
      <c r="T106" s="99">
        <f t="shared" si="83"/>
        <v>0</v>
      </c>
      <c r="U106" s="99">
        <f t="shared" si="83"/>
        <v>0</v>
      </c>
      <c r="V106" s="99">
        <f t="shared" si="83"/>
        <v>0</v>
      </c>
      <c r="W106" s="99">
        <f t="shared" si="83"/>
        <v>0</v>
      </c>
      <c r="X106" s="99">
        <f t="shared" si="83"/>
        <v>0</v>
      </c>
      <c r="Y106" s="99">
        <f t="shared" si="83"/>
        <v>0</v>
      </c>
      <c r="Z106" s="99">
        <f t="shared" si="83"/>
        <v>0</v>
      </c>
      <c r="AA106" s="99">
        <f t="shared" si="83"/>
        <v>0</v>
      </c>
      <c r="AB106" s="99">
        <f t="shared" si="83"/>
        <v>0</v>
      </c>
      <c r="AC106" s="99">
        <f t="shared" si="83"/>
        <v>0</v>
      </c>
      <c r="AD106" s="99">
        <f t="shared" si="83"/>
        <v>0</v>
      </c>
      <c r="AE106" s="99">
        <f t="shared" si="83"/>
        <v>0</v>
      </c>
      <c r="AF106" s="99">
        <f t="shared" si="83"/>
        <v>0</v>
      </c>
      <c r="AG106" s="99">
        <f t="shared" si="83"/>
        <v>0</v>
      </c>
      <c r="AH106" s="99">
        <f t="shared" si="83"/>
        <v>0</v>
      </c>
      <c r="AI106" s="99">
        <f t="shared" si="83"/>
        <v>0</v>
      </c>
      <c r="AJ106" s="99">
        <f t="shared" si="83"/>
        <v>0</v>
      </c>
      <c r="AK106" s="99">
        <f t="shared" si="83"/>
        <v>0</v>
      </c>
      <c r="AL106" s="99">
        <f t="shared" si="83"/>
        <v>0</v>
      </c>
      <c r="AM106" s="99">
        <f t="shared" si="83"/>
        <v>0</v>
      </c>
      <c r="AN106" s="99">
        <f t="shared" si="83"/>
        <v>0</v>
      </c>
      <c r="AO106" s="99">
        <f t="shared" si="83"/>
        <v>0</v>
      </c>
      <c r="AP106" s="99">
        <f t="shared" si="83"/>
        <v>0</v>
      </c>
      <c r="AQ106" s="99">
        <f t="shared" si="83"/>
        <v>0</v>
      </c>
      <c r="AR106" s="99">
        <f t="shared" si="83"/>
        <v>0</v>
      </c>
      <c r="AS106" s="99">
        <f t="shared" si="83"/>
        <v>0</v>
      </c>
      <c r="AT106" s="99">
        <f t="shared" si="83"/>
        <v>0</v>
      </c>
      <c r="AU106" s="99">
        <f t="shared" si="83"/>
        <v>0</v>
      </c>
      <c r="AV106" s="99">
        <f t="shared" si="83"/>
        <v>0</v>
      </c>
      <c r="AW106" s="90" t="s">
        <v>1181</v>
      </c>
      <c r="AX106" s="90"/>
      <c r="AY106" s="90"/>
      <c r="AZ106" s="90"/>
      <c r="BA106" s="90"/>
      <c r="BB106" s="90"/>
      <c r="BC106" s="90"/>
      <c r="BD106" s="90"/>
      <c r="BE106" s="90"/>
      <c r="BF106" s="90"/>
      <c r="BG106" s="90"/>
    </row>
    <row r="107" ht="12.75" hidden="1" customHeight="1" outlineLevel="1">
      <c r="A107" s="316"/>
      <c r="B107" s="90"/>
      <c r="C107" s="90" t="s">
        <v>684</v>
      </c>
      <c r="D107" s="90"/>
      <c r="E107" s="90"/>
      <c r="F107" s="90"/>
      <c r="G107" s="90"/>
      <c r="H107" s="254"/>
      <c r="I107" s="99">
        <v>0.0</v>
      </c>
      <c r="J107" s="99">
        <f t="shared" si="80"/>
        <v>0</v>
      </c>
      <c r="K107" s="99">
        <f t="shared" ref="K107:AV107" si="84">J107*(1+K$89)</f>
        <v>0</v>
      </c>
      <c r="L107" s="99">
        <f t="shared" si="84"/>
        <v>0</v>
      </c>
      <c r="M107" s="99">
        <f t="shared" si="84"/>
        <v>0</v>
      </c>
      <c r="N107" s="99">
        <f t="shared" si="84"/>
        <v>0</v>
      </c>
      <c r="O107" s="99">
        <f t="shared" si="84"/>
        <v>0</v>
      </c>
      <c r="P107" s="99">
        <f t="shared" si="84"/>
        <v>0</v>
      </c>
      <c r="Q107" s="99">
        <f t="shared" si="84"/>
        <v>0</v>
      </c>
      <c r="R107" s="99">
        <f t="shared" si="84"/>
        <v>0</v>
      </c>
      <c r="S107" s="99">
        <f t="shared" si="84"/>
        <v>0</v>
      </c>
      <c r="T107" s="99">
        <f t="shared" si="84"/>
        <v>0</v>
      </c>
      <c r="U107" s="99">
        <f t="shared" si="84"/>
        <v>0</v>
      </c>
      <c r="V107" s="99">
        <f t="shared" si="84"/>
        <v>0</v>
      </c>
      <c r="W107" s="99">
        <f t="shared" si="84"/>
        <v>0</v>
      </c>
      <c r="X107" s="99">
        <f t="shared" si="84"/>
        <v>0</v>
      </c>
      <c r="Y107" s="99">
        <f t="shared" si="84"/>
        <v>0</v>
      </c>
      <c r="Z107" s="99">
        <f t="shared" si="84"/>
        <v>0</v>
      </c>
      <c r="AA107" s="99">
        <f t="shared" si="84"/>
        <v>0</v>
      </c>
      <c r="AB107" s="99">
        <f t="shared" si="84"/>
        <v>0</v>
      </c>
      <c r="AC107" s="99">
        <f t="shared" si="84"/>
        <v>0</v>
      </c>
      <c r="AD107" s="99">
        <f t="shared" si="84"/>
        <v>0</v>
      </c>
      <c r="AE107" s="99">
        <f t="shared" si="84"/>
        <v>0</v>
      </c>
      <c r="AF107" s="99">
        <f t="shared" si="84"/>
        <v>0</v>
      </c>
      <c r="AG107" s="99">
        <f t="shared" si="84"/>
        <v>0</v>
      </c>
      <c r="AH107" s="99">
        <f t="shared" si="84"/>
        <v>0</v>
      </c>
      <c r="AI107" s="99">
        <f t="shared" si="84"/>
        <v>0</v>
      </c>
      <c r="AJ107" s="99">
        <f t="shared" si="84"/>
        <v>0</v>
      </c>
      <c r="AK107" s="99">
        <f t="shared" si="84"/>
        <v>0</v>
      </c>
      <c r="AL107" s="99">
        <f t="shared" si="84"/>
        <v>0</v>
      </c>
      <c r="AM107" s="99">
        <f t="shared" si="84"/>
        <v>0</v>
      </c>
      <c r="AN107" s="99">
        <f t="shared" si="84"/>
        <v>0</v>
      </c>
      <c r="AO107" s="99">
        <f t="shared" si="84"/>
        <v>0</v>
      </c>
      <c r="AP107" s="99">
        <f t="shared" si="84"/>
        <v>0</v>
      </c>
      <c r="AQ107" s="99">
        <f t="shared" si="84"/>
        <v>0</v>
      </c>
      <c r="AR107" s="99">
        <f t="shared" si="84"/>
        <v>0</v>
      </c>
      <c r="AS107" s="99">
        <f t="shared" si="84"/>
        <v>0</v>
      </c>
      <c r="AT107" s="99">
        <f t="shared" si="84"/>
        <v>0</v>
      </c>
      <c r="AU107" s="99">
        <f t="shared" si="84"/>
        <v>0</v>
      </c>
      <c r="AV107" s="99">
        <f t="shared" si="84"/>
        <v>0</v>
      </c>
      <c r="AW107" s="90" t="s">
        <v>1181</v>
      </c>
      <c r="AX107" s="90"/>
      <c r="AY107" s="90"/>
      <c r="AZ107" s="90"/>
      <c r="BA107" s="90"/>
      <c r="BB107" s="90"/>
      <c r="BC107" s="90"/>
      <c r="BD107" s="90"/>
      <c r="BE107" s="90"/>
      <c r="BF107" s="90"/>
      <c r="BG107" s="90"/>
    </row>
    <row r="108" ht="12.75" hidden="1" customHeight="1" outlineLevel="1">
      <c r="A108" s="316"/>
      <c r="B108" s="90"/>
      <c r="C108" s="90"/>
      <c r="D108" s="90"/>
      <c r="E108" s="90"/>
      <c r="F108" s="90"/>
      <c r="G108" s="90"/>
      <c r="H108" s="254"/>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c r="AL108" s="99"/>
      <c r="AM108" s="99"/>
      <c r="AN108" s="99"/>
      <c r="AO108" s="99"/>
      <c r="AP108" s="99"/>
      <c r="AQ108" s="99"/>
      <c r="AR108" s="99"/>
      <c r="AS108" s="99"/>
      <c r="AT108" s="99"/>
      <c r="AU108" s="99"/>
      <c r="AV108" s="99"/>
      <c r="AW108" s="90"/>
      <c r="AX108" s="90"/>
      <c r="AY108" s="90"/>
      <c r="AZ108" s="90"/>
      <c r="BA108" s="90"/>
      <c r="BB108" s="90"/>
      <c r="BC108" s="90"/>
      <c r="BD108" s="90"/>
      <c r="BE108" s="90"/>
      <c r="BF108" s="90"/>
      <c r="BG108" s="90"/>
    </row>
    <row r="109" ht="12.75" hidden="1" customHeight="1" outlineLevel="1">
      <c r="A109" s="316"/>
      <c r="B109" s="67" t="s">
        <v>685</v>
      </c>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67"/>
      <c r="AX109" s="90"/>
      <c r="AY109" s="90"/>
      <c r="AZ109" s="90"/>
      <c r="BA109" s="90"/>
      <c r="BB109" s="90"/>
      <c r="BC109" s="90"/>
      <c r="BD109" s="90"/>
      <c r="BE109" s="90"/>
      <c r="BF109" s="90"/>
      <c r="BG109" s="90"/>
    </row>
    <row r="110" ht="12.75" hidden="1" customHeight="1" outlineLevel="1">
      <c r="A110" s="316"/>
      <c r="B110" s="90"/>
      <c r="C110" s="90" t="s">
        <v>574</v>
      </c>
      <c r="D110" s="90"/>
      <c r="E110" s="90"/>
      <c r="F110" s="90"/>
      <c r="G110" s="90"/>
      <c r="H110" s="523"/>
      <c r="I110" s="178">
        <v>0.023</v>
      </c>
      <c r="J110" s="523">
        <v>0.0</v>
      </c>
      <c r="K110" s="178">
        <f>Assumptions!D58</f>
        <v>0</v>
      </c>
      <c r="L110" s="178">
        <f>Assumptions!E58</f>
        <v>0.02</v>
      </c>
      <c r="M110" s="178">
        <f>Assumptions!F58</f>
        <v>0.02</v>
      </c>
      <c r="N110" s="178">
        <f>Assumptions!G58</f>
        <v>0.02</v>
      </c>
      <c r="O110" s="178">
        <f>Assumptions!H58</f>
        <v>0.02</v>
      </c>
      <c r="P110" s="178">
        <f>Assumptions!I58</f>
        <v>0.02</v>
      </c>
      <c r="Q110" s="178">
        <f t="shared" ref="Q110:AV110" si="85">P110</f>
        <v>0.02</v>
      </c>
      <c r="R110" s="178">
        <f t="shared" si="85"/>
        <v>0.02</v>
      </c>
      <c r="S110" s="178">
        <f t="shared" si="85"/>
        <v>0.02</v>
      </c>
      <c r="T110" s="178">
        <f t="shared" si="85"/>
        <v>0.02</v>
      </c>
      <c r="U110" s="178">
        <f t="shared" si="85"/>
        <v>0.02</v>
      </c>
      <c r="V110" s="178">
        <f t="shared" si="85"/>
        <v>0.02</v>
      </c>
      <c r="W110" s="178">
        <f t="shared" si="85"/>
        <v>0.02</v>
      </c>
      <c r="X110" s="178">
        <f t="shared" si="85"/>
        <v>0.02</v>
      </c>
      <c r="Y110" s="178">
        <f t="shared" si="85"/>
        <v>0.02</v>
      </c>
      <c r="Z110" s="178">
        <f t="shared" si="85"/>
        <v>0.02</v>
      </c>
      <c r="AA110" s="178">
        <f t="shared" si="85"/>
        <v>0.02</v>
      </c>
      <c r="AB110" s="178">
        <f t="shared" si="85"/>
        <v>0.02</v>
      </c>
      <c r="AC110" s="178">
        <f t="shared" si="85"/>
        <v>0.02</v>
      </c>
      <c r="AD110" s="178">
        <f t="shared" si="85"/>
        <v>0.02</v>
      </c>
      <c r="AE110" s="178">
        <f t="shared" si="85"/>
        <v>0.02</v>
      </c>
      <c r="AF110" s="178">
        <f t="shared" si="85"/>
        <v>0.02</v>
      </c>
      <c r="AG110" s="178">
        <f t="shared" si="85"/>
        <v>0.02</v>
      </c>
      <c r="AH110" s="178">
        <f t="shared" si="85"/>
        <v>0.02</v>
      </c>
      <c r="AI110" s="178">
        <f t="shared" si="85"/>
        <v>0.02</v>
      </c>
      <c r="AJ110" s="178">
        <f t="shared" si="85"/>
        <v>0.02</v>
      </c>
      <c r="AK110" s="178">
        <f t="shared" si="85"/>
        <v>0.02</v>
      </c>
      <c r="AL110" s="178">
        <f t="shared" si="85"/>
        <v>0.02</v>
      </c>
      <c r="AM110" s="178">
        <f t="shared" si="85"/>
        <v>0.02</v>
      </c>
      <c r="AN110" s="178">
        <f t="shared" si="85"/>
        <v>0.02</v>
      </c>
      <c r="AO110" s="178">
        <f t="shared" si="85"/>
        <v>0.02</v>
      </c>
      <c r="AP110" s="178">
        <f t="shared" si="85"/>
        <v>0.02</v>
      </c>
      <c r="AQ110" s="178">
        <f t="shared" si="85"/>
        <v>0.02</v>
      </c>
      <c r="AR110" s="178">
        <f t="shared" si="85"/>
        <v>0.02</v>
      </c>
      <c r="AS110" s="178">
        <f t="shared" si="85"/>
        <v>0.02</v>
      </c>
      <c r="AT110" s="178">
        <f t="shared" si="85"/>
        <v>0.02</v>
      </c>
      <c r="AU110" s="178">
        <f t="shared" si="85"/>
        <v>0.02</v>
      </c>
      <c r="AV110" s="178">
        <f t="shared" si="85"/>
        <v>0.02</v>
      </c>
      <c r="AW110" s="90"/>
      <c r="AX110" s="90"/>
      <c r="AY110" s="90"/>
      <c r="AZ110" s="90"/>
      <c r="BA110" s="90"/>
      <c r="BB110" s="90"/>
      <c r="BC110" s="90"/>
      <c r="BD110" s="90"/>
      <c r="BE110" s="90"/>
      <c r="BF110" s="90"/>
      <c r="BG110" s="90"/>
    </row>
    <row r="111" ht="12.75" hidden="1" customHeight="1" outlineLevel="1">
      <c r="A111" s="316"/>
      <c r="B111" s="90"/>
      <c r="C111" s="90" t="s">
        <v>686</v>
      </c>
      <c r="D111" s="90"/>
      <c r="E111" s="90"/>
      <c r="F111" s="90"/>
      <c r="G111" s="90"/>
      <c r="H111" s="254"/>
      <c r="I111" s="99">
        <v>400.0</v>
      </c>
      <c r="J111" s="99">
        <f t="shared" ref="J111:AV111" si="86">I111*(1+J$110)</f>
        <v>400</v>
      </c>
      <c r="K111" s="99">
        <f t="shared" si="86"/>
        <v>400</v>
      </c>
      <c r="L111" s="99">
        <f t="shared" si="86"/>
        <v>408</v>
      </c>
      <c r="M111" s="99">
        <f t="shared" si="86"/>
        <v>416.16</v>
      </c>
      <c r="N111" s="99">
        <f t="shared" si="86"/>
        <v>424.4832</v>
      </c>
      <c r="O111" s="99">
        <f t="shared" si="86"/>
        <v>432.972864</v>
      </c>
      <c r="P111" s="99">
        <f t="shared" si="86"/>
        <v>441.6323213</v>
      </c>
      <c r="Q111" s="99">
        <f t="shared" si="86"/>
        <v>450.4649677</v>
      </c>
      <c r="R111" s="99">
        <f t="shared" si="86"/>
        <v>459.4742671</v>
      </c>
      <c r="S111" s="99">
        <f t="shared" si="86"/>
        <v>468.6637524</v>
      </c>
      <c r="T111" s="99">
        <f t="shared" si="86"/>
        <v>478.0370274</v>
      </c>
      <c r="U111" s="99">
        <f t="shared" si="86"/>
        <v>487.597768</v>
      </c>
      <c r="V111" s="99">
        <f t="shared" si="86"/>
        <v>497.3497234</v>
      </c>
      <c r="W111" s="99">
        <f t="shared" si="86"/>
        <v>507.2967178</v>
      </c>
      <c r="X111" s="99">
        <f t="shared" si="86"/>
        <v>517.4426522</v>
      </c>
      <c r="Y111" s="99">
        <f t="shared" si="86"/>
        <v>527.7915052</v>
      </c>
      <c r="Z111" s="99">
        <f t="shared" si="86"/>
        <v>538.3473353</v>
      </c>
      <c r="AA111" s="99">
        <f t="shared" si="86"/>
        <v>549.114282</v>
      </c>
      <c r="AB111" s="99">
        <f t="shared" si="86"/>
        <v>560.0965677</v>
      </c>
      <c r="AC111" s="99">
        <f t="shared" si="86"/>
        <v>571.298499</v>
      </c>
      <c r="AD111" s="99">
        <f t="shared" si="86"/>
        <v>582.724469</v>
      </c>
      <c r="AE111" s="99">
        <f t="shared" si="86"/>
        <v>594.3789584</v>
      </c>
      <c r="AF111" s="99">
        <f t="shared" si="86"/>
        <v>606.2665376</v>
      </c>
      <c r="AG111" s="99">
        <f t="shared" si="86"/>
        <v>618.3918683</v>
      </c>
      <c r="AH111" s="99">
        <f t="shared" si="86"/>
        <v>630.7597057</v>
      </c>
      <c r="AI111" s="99">
        <f t="shared" si="86"/>
        <v>643.3748998</v>
      </c>
      <c r="AJ111" s="99">
        <f t="shared" si="86"/>
        <v>656.2423978</v>
      </c>
      <c r="AK111" s="99">
        <f t="shared" si="86"/>
        <v>669.3672457</v>
      </c>
      <c r="AL111" s="99">
        <f t="shared" si="86"/>
        <v>682.7545907</v>
      </c>
      <c r="AM111" s="99">
        <f t="shared" si="86"/>
        <v>696.4096825</v>
      </c>
      <c r="AN111" s="99">
        <f t="shared" si="86"/>
        <v>710.3378761</v>
      </c>
      <c r="AO111" s="99">
        <f t="shared" si="86"/>
        <v>724.5446336</v>
      </c>
      <c r="AP111" s="99">
        <f t="shared" si="86"/>
        <v>739.0355263</v>
      </c>
      <c r="AQ111" s="99">
        <f t="shared" si="86"/>
        <v>753.8162368</v>
      </c>
      <c r="AR111" s="99">
        <f t="shared" si="86"/>
        <v>768.8925616</v>
      </c>
      <c r="AS111" s="99">
        <f t="shared" si="86"/>
        <v>784.2704128</v>
      </c>
      <c r="AT111" s="99">
        <f t="shared" si="86"/>
        <v>799.9558211</v>
      </c>
      <c r="AU111" s="99">
        <f t="shared" si="86"/>
        <v>815.9549375</v>
      </c>
      <c r="AV111" s="99">
        <f t="shared" si="86"/>
        <v>832.2740362</v>
      </c>
      <c r="AW111" s="90" t="s">
        <v>1187</v>
      </c>
      <c r="AX111" s="90"/>
      <c r="AY111" s="90"/>
      <c r="AZ111" s="90"/>
      <c r="BA111" s="90"/>
      <c r="BB111" s="90"/>
      <c r="BC111" s="90"/>
      <c r="BD111" s="90"/>
      <c r="BE111" s="90"/>
      <c r="BF111" s="90"/>
      <c r="BG111" s="90"/>
    </row>
    <row r="112" ht="12.75" hidden="1" customHeight="1" outlineLevel="1">
      <c r="A112" s="316"/>
      <c r="B112" s="90"/>
      <c r="C112" s="90" t="s">
        <v>687</v>
      </c>
      <c r="D112" s="90"/>
      <c r="E112" s="90"/>
      <c r="F112" s="90"/>
      <c r="G112" s="90"/>
      <c r="H112" s="254"/>
      <c r="I112" s="99">
        <v>448.0</v>
      </c>
      <c r="J112" s="99"/>
      <c r="K112" s="99"/>
      <c r="L112" s="152">
        <f>'RSGen 1-7'!L113</f>
        <v>0.75</v>
      </c>
      <c r="M112" s="152">
        <f>'RSGen 1-7'!M113</f>
        <v>0.75</v>
      </c>
      <c r="N112" s="152">
        <f>'RSGen 1-7'!N113</f>
        <v>0.75</v>
      </c>
      <c r="O112" s="152">
        <f>'RSGen 1-7'!O113</f>
        <v>0.75</v>
      </c>
      <c r="P112" s="152">
        <f>'RSGen 1-7'!P113</f>
        <v>0.75</v>
      </c>
      <c r="Q112" s="152">
        <f>'RSGen 1-7'!Q113</f>
        <v>0.75</v>
      </c>
      <c r="R112" s="152">
        <f>'RSGen 1-7'!R113</f>
        <v>0.75</v>
      </c>
      <c r="S112" s="152">
        <f t="shared" ref="S112:AV112" si="87">R112</f>
        <v>0.75</v>
      </c>
      <c r="T112" s="152">
        <f t="shared" si="87"/>
        <v>0.75</v>
      </c>
      <c r="U112" s="152">
        <f t="shared" si="87"/>
        <v>0.75</v>
      </c>
      <c r="V112" s="152">
        <f t="shared" si="87"/>
        <v>0.75</v>
      </c>
      <c r="W112" s="152">
        <f t="shared" si="87"/>
        <v>0.75</v>
      </c>
      <c r="X112" s="152">
        <f t="shared" si="87"/>
        <v>0.75</v>
      </c>
      <c r="Y112" s="152">
        <f t="shared" si="87"/>
        <v>0.75</v>
      </c>
      <c r="Z112" s="152">
        <f t="shared" si="87"/>
        <v>0.75</v>
      </c>
      <c r="AA112" s="152">
        <f t="shared" si="87"/>
        <v>0.75</v>
      </c>
      <c r="AB112" s="152">
        <f t="shared" si="87"/>
        <v>0.75</v>
      </c>
      <c r="AC112" s="152">
        <f t="shared" si="87"/>
        <v>0.75</v>
      </c>
      <c r="AD112" s="152">
        <f t="shared" si="87"/>
        <v>0.75</v>
      </c>
      <c r="AE112" s="152">
        <f t="shared" si="87"/>
        <v>0.75</v>
      </c>
      <c r="AF112" s="152">
        <f t="shared" si="87"/>
        <v>0.75</v>
      </c>
      <c r="AG112" s="152">
        <f t="shared" si="87"/>
        <v>0.75</v>
      </c>
      <c r="AH112" s="152">
        <f t="shared" si="87"/>
        <v>0.75</v>
      </c>
      <c r="AI112" s="152">
        <f t="shared" si="87"/>
        <v>0.75</v>
      </c>
      <c r="AJ112" s="152">
        <f t="shared" si="87"/>
        <v>0.75</v>
      </c>
      <c r="AK112" s="152">
        <f t="shared" si="87"/>
        <v>0.75</v>
      </c>
      <c r="AL112" s="152">
        <f t="shared" si="87"/>
        <v>0.75</v>
      </c>
      <c r="AM112" s="152">
        <f t="shared" si="87"/>
        <v>0.75</v>
      </c>
      <c r="AN112" s="152">
        <f t="shared" si="87"/>
        <v>0.75</v>
      </c>
      <c r="AO112" s="152">
        <f t="shared" si="87"/>
        <v>0.75</v>
      </c>
      <c r="AP112" s="152">
        <f t="shared" si="87"/>
        <v>0.75</v>
      </c>
      <c r="AQ112" s="152">
        <f t="shared" si="87"/>
        <v>0.75</v>
      </c>
      <c r="AR112" s="152">
        <f t="shared" si="87"/>
        <v>0.75</v>
      </c>
      <c r="AS112" s="152">
        <f t="shared" si="87"/>
        <v>0.75</v>
      </c>
      <c r="AT112" s="152">
        <f t="shared" si="87"/>
        <v>0.75</v>
      </c>
      <c r="AU112" s="152">
        <f t="shared" si="87"/>
        <v>0.75</v>
      </c>
      <c r="AV112" s="152">
        <f t="shared" si="87"/>
        <v>0.75</v>
      </c>
      <c r="AW112" s="90" t="s">
        <v>1187</v>
      </c>
      <c r="AX112" s="90"/>
      <c r="AY112" s="90"/>
      <c r="AZ112" s="90"/>
      <c r="BA112" s="90"/>
      <c r="BB112" s="90"/>
      <c r="BC112" s="90"/>
      <c r="BD112" s="90"/>
      <c r="BE112" s="90"/>
      <c r="BF112" s="90"/>
      <c r="BG112" s="90"/>
    </row>
    <row r="113" ht="12.75" hidden="1" customHeight="1" outlineLevel="1">
      <c r="A113" s="316"/>
      <c r="B113" s="90"/>
      <c r="C113" s="90" t="s">
        <v>689</v>
      </c>
      <c r="D113" s="90"/>
      <c r="E113" s="90"/>
      <c r="F113" s="90"/>
      <c r="G113" s="90"/>
      <c r="H113" s="254"/>
      <c r="I113" s="99">
        <v>243.0</v>
      </c>
      <c r="J113" s="99"/>
      <c r="K113" s="99">
        <f>'RSGen 1-7'!K115</f>
        <v>26.73303835</v>
      </c>
      <c r="L113" s="99">
        <f>'RSGen 1-7'!L115</f>
        <v>26.73303835</v>
      </c>
      <c r="M113" s="99">
        <f t="shared" ref="M113:AV113" si="88">L113*(1+M$110)</f>
        <v>27.26769912</v>
      </c>
      <c r="N113" s="99">
        <f t="shared" si="88"/>
        <v>27.8130531</v>
      </c>
      <c r="O113" s="99">
        <f t="shared" si="88"/>
        <v>28.36931416</v>
      </c>
      <c r="P113" s="99">
        <f t="shared" si="88"/>
        <v>28.93670044</v>
      </c>
      <c r="Q113" s="99">
        <f t="shared" si="88"/>
        <v>29.51543445</v>
      </c>
      <c r="R113" s="99">
        <f t="shared" si="88"/>
        <v>30.10574314</v>
      </c>
      <c r="S113" s="99">
        <f t="shared" si="88"/>
        <v>30.707858</v>
      </c>
      <c r="T113" s="99">
        <f t="shared" si="88"/>
        <v>31.32201516</v>
      </c>
      <c r="U113" s="99">
        <f t="shared" si="88"/>
        <v>31.94845547</v>
      </c>
      <c r="V113" s="99">
        <f t="shared" si="88"/>
        <v>32.58742458</v>
      </c>
      <c r="W113" s="99">
        <f t="shared" si="88"/>
        <v>33.23917307</v>
      </c>
      <c r="X113" s="99">
        <f t="shared" si="88"/>
        <v>33.90395653</v>
      </c>
      <c r="Y113" s="99">
        <f t="shared" si="88"/>
        <v>34.58203566</v>
      </c>
      <c r="Z113" s="99">
        <f t="shared" si="88"/>
        <v>35.27367637</v>
      </c>
      <c r="AA113" s="99">
        <f t="shared" si="88"/>
        <v>35.9791499</v>
      </c>
      <c r="AB113" s="99">
        <f t="shared" si="88"/>
        <v>36.6987329</v>
      </c>
      <c r="AC113" s="99">
        <f t="shared" si="88"/>
        <v>37.43270756</v>
      </c>
      <c r="AD113" s="99">
        <f t="shared" si="88"/>
        <v>38.18136171</v>
      </c>
      <c r="AE113" s="99">
        <f t="shared" si="88"/>
        <v>38.94498894</v>
      </c>
      <c r="AF113" s="99">
        <f t="shared" si="88"/>
        <v>39.72388872</v>
      </c>
      <c r="AG113" s="99">
        <f t="shared" si="88"/>
        <v>40.51836649</v>
      </c>
      <c r="AH113" s="99">
        <f t="shared" si="88"/>
        <v>41.32873382</v>
      </c>
      <c r="AI113" s="99">
        <f t="shared" si="88"/>
        <v>42.1553085</v>
      </c>
      <c r="AJ113" s="99">
        <f t="shared" si="88"/>
        <v>42.99841467</v>
      </c>
      <c r="AK113" s="99">
        <f t="shared" si="88"/>
        <v>43.85838296</v>
      </c>
      <c r="AL113" s="99">
        <f t="shared" si="88"/>
        <v>44.73555062</v>
      </c>
      <c r="AM113" s="99">
        <f t="shared" si="88"/>
        <v>45.63026164</v>
      </c>
      <c r="AN113" s="99">
        <f t="shared" si="88"/>
        <v>46.54286687</v>
      </c>
      <c r="AO113" s="99">
        <f t="shared" si="88"/>
        <v>47.47372421</v>
      </c>
      <c r="AP113" s="99">
        <f t="shared" si="88"/>
        <v>48.42319869</v>
      </c>
      <c r="AQ113" s="99">
        <f t="shared" si="88"/>
        <v>49.39166266</v>
      </c>
      <c r="AR113" s="99">
        <f t="shared" si="88"/>
        <v>50.37949592</v>
      </c>
      <c r="AS113" s="99">
        <f t="shared" si="88"/>
        <v>51.38708584</v>
      </c>
      <c r="AT113" s="99">
        <f t="shared" si="88"/>
        <v>52.41482755</v>
      </c>
      <c r="AU113" s="99">
        <f t="shared" si="88"/>
        <v>53.4631241</v>
      </c>
      <c r="AV113" s="99">
        <f t="shared" si="88"/>
        <v>54.53238659</v>
      </c>
      <c r="AW113" s="90" t="s">
        <v>1181</v>
      </c>
      <c r="AX113" s="90"/>
      <c r="AY113" s="90"/>
      <c r="AZ113" s="90"/>
      <c r="BA113" s="90"/>
      <c r="BB113" s="90"/>
      <c r="BC113" s="90"/>
      <c r="BD113" s="90"/>
      <c r="BE113" s="90"/>
      <c r="BF113" s="90"/>
      <c r="BG113" s="90"/>
    </row>
    <row r="114" ht="12.75" hidden="1" customHeight="1" outlineLevel="1">
      <c r="A114" s="316"/>
      <c r="B114" s="90"/>
      <c r="C114" s="90" t="s">
        <v>1188</v>
      </c>
      <c r="D114" s="90"/>
      <c r="E114" s="90"/>
      <c r="F114" s="90"/>
      <c r="G114" s="90"/>
      <c r="H114" s="254"/>
      <c r="I114" s="99">
        <v>0.0</v>
      </c>
      <c r="J114" s="99">
        <f t="shared" ref="J114:AV114" si="89">I114*(1+J$110)</f>
        <v>0</v>
      </c>
      <c r="K114" s="99">
        <f t="shared" si="89"/>
        <v>0</v>
      </c>
      <c r="L114" s="99">
        <f t="shared" si="89"/>
        <v>0</v>
      </c>
      <c r="M114" s="99">
        <f t="shared" si="89"/>
        <v>0</v>
      </c>
      <c r="N114" s="99">
        <f t="shared" si="89"/>
        <v>0</v>
      </c>
      <c r="O114" s="99">
        <f t="shared" si="89"/>
        <v>0</v>
      </c>
      <c r="P114" s="99">
        <f t="shared" si="89"/>
        <v>0</v>
      </c>
      <c r="Q114" s="99">
        <f t="shared" si="89"/>
        <v>0</v>
      </c>
      <c r="R114" s="99">
        <f t="shared" si="89"/>
        <v>0</v>
      </c>
      <c r="S114" s="99">
        <f t="shared" si="89"/>
        <v>0</v>
      </c>
      <c r="T114" s="99">
        <f t="shared" si="89"/>
        <v>0</v>
      </c>
      <c r="U114" s="99">
        <f t="shared" si="89"/>
        <v>0</v>
      </c>
      <c r="V114" s="99">
        <f t="shared" si="89"/>
        <v>0</v>
      </c>
      <c r="W114" s="99">
        <f t="shared" si="89"/>
        <v>0</v>
      </c>
      <c r="X114" s="99">
        <f t="shared" si="89"/>
        <v>0</v>
      </c>
      <c r="Y114" s="99">
        <f t="shared" si="89"/>
        <v>0</v>
      </c>
      <c r="Z114" s="99">
        <f t="shared" si="89"/>
        <v>0</v>
      </c>
      <c r="AA114" s="99">
        <f t="shared" si="89"/>
        <v>0</v>
      </c>
      <c r="AB114" s="99">
        <f t="shared" si="89"/>
        <v>0</v>
      </c>
      <c r="AC114" s="99">
        <f t="shared" si="89"/>
        <v>0</v>
      </c>
      <c r="AD114" s="99">
        <f t="shared" si="89"/>
        <v>0</v>
      </c>
      <c r="AE114" s="99">
        <f t="shared" si="89"/>
        <v>0</v>
      </c>
      <c r="AF114" s="99">
        <f t="shared" si="89"/>
        <v>0</v>
      </c>
      <c r="AG114" s="99">
        <f t="shared" si="89"/>
        <v>0</v>
      </c>
      <c r="AH114" s="99">
        <f t="shared" si="89"/>
        <v>0</v>
      </c>
      <c r="AI114" s="99">
        <f t="shared" si="89"/>
        <v>0</v>
      </c>
      <c r="AJ114" s="99">
        <f t="shared" si="89"/>
        <v>0</v>
      </c>
      <c r="AK114" s="99">
        <f t="shared" si="89"/>
        <v>0</v>
      </c>
      <c r="AL114" s="99">
        <f t="shared" si="89"/>
        <v>0</v>
      </c>
      <c r="AM114" s="99">
        <f t="shared" si="89"/>
        <v>0</v>
      </c>
      <c r="AN114" s="99">
        <f t="shared" si="89"/>
        <v>0</v>
      </c>
      <c r="AO114" s="99">
        <f t="shared" si="89"/>
        <v>0</v>
      </c>
      <c r="AP114" s="99">
        <f t="shared" si="89"/>
        <v>0</v>
      </c>
      <c r="AQ114" s="99">
        <f t="shared" si="89"/>
        <v>0</v>
      </c>
      <c r="AR114" s="99">
        <f t="shared" si="89"/>
        <v>0</v>
      </c>
      <c r="AS114" s="99">
        <f t="shared" si="89"/>
        <v>0</v>
      </c>
      <c r="AT114" s="99">
        <f t="shared" si="89"/>
        <v>0</v>
      </c>
      <c r="AU114" s="99">
        <f t="shared" si="89"/>
        <v>0</v>
      </c>
      <c r="AV114" s="99">
        <f t="shared" si="89"/>
        <v>0</v>
      </c>
      <c r="AW114" s="90" t="s">
        <v>1181</v>
      </c>
      <c r="AX114" s="90"/>
      <c r="AY114" s="90"/>
      <c r="AZ114" s="90"/>
      <c r="BA114" s="90"/>
      <c r="BB114" s="90"/>
      <c r="BC114" s="90"/>
      <c r="BD114" s="90"/>
      <c r="BE114" s="90"/>
      <c r="BF114" s="90"/>
      <c r="BG114" s="90"/>
    </row>
    <row r="115" ht="12.75" hidden="1" customHeight="1" outlineLevel="1">
      <c r="A115" s="316"/>
      <c r="B115" s="90"/>
      <c r="C115" s="90" t="s">
        <v>690</v>
      </c>
      <c r="D115" s="90"/>
      <c r="E115" s="90"/>
      <c r="F115" s="90"/>
      <c r="G115" s="90"/>
      <c r="H115" s="254"/>
      <c r="I115" s="99">
        <v>0.0</v>
      </c>
      <c r="J115" s="99">
        <f t="shared" ref="J115:AV115" si="90">I115*(1+J$110)</f>
        <v>0</v>
      </c>
      <c r="K115" s="99">
        <f t="shared" si="90"/>
        <v>0</v>
      </c>
      <c r="L115" s="99">
        <f t="shared" si="90"/>
        <v>0</v>
      </c>
      <c r="M115" s="99">
        <f t="shared" si="90"/>
        <v>0</v>
      </c>
      <c r="N115" s="99">
        <f t="shared" si="90"/>
        <v>0</v>
      </c>
      <c r="O115" s="99">
        <f t="shared" si="90"/>
        <v>0</v>
      </c>
      <c r="P115" s="99">
        <f t="shared" si="90"/>
        <v>0</v>
      </c>
      <c r="Q115" s="99">
        <f t="shared" si="90"/>
        <v>0</v>
      </c>
      <c r="R115" s="99">
        <f t="shared" si="90"/>
        <v>0</v>
      </c>
      <c r="S115" s="99">
        <f t="shared" si="90"/>
        <v>0</v>
      </c>
      <c r="T115" s="99">
        <f t="shared" si="90"/>
        <v>0</v>
      </c>
      <c r="U115" s="99">
        <f t="shared" si="90"/>
        <v>0</v>
      </c>
      <c r="V115" s="99">
        <f t="shared" si="90"/>
        <v>0</v>
      </c>
      <c r="W115" s="99">
        <f t="shared" si="90"/>
        <v>0</v>
      </c>
      <c r="X115" s="99">
        <f t="shared" si="90"/>
        <v>0</v>
      </c>
      <c r="Y115" s="99">
        <f t="shared" si="90"/>
        <v>0</v>
      </c>
      <c r="Z115" s="99">
        <f t="shared" si="90"/>
        <v>0</v>
      </c>
      <c r="AA115" s="99">
        <f t="shared" si="90"/>
        <v>0</v>
      </c>
      <c r="AB115" s="99">
        <f t="shared" si="90"/>
        <v>0</v>
      </c>
      <c r="AC115" s="99">
        <f t="shared" si="90"/>
        <v>0</v>
      </c>
      <c r="AD115" s="99">
        <f t="shared" si="90"/>
        <v>0</v>
      </c>
      <c r="AE115" s="99">
        <f t="shared" si="90"/>
        <v>0</v>
      </c>
      <c r="AF115" s="99">
        <f t="shared" si="90"/>
        <v>0</v>
      </c>
      <c r="AG115" s="99">
        <f t="shared" si="90"/>
        <v>0</v>
      </c>
      <c r="AH115" s="99">
        <f t="shared" si="90"/>
        <v>0</v>
      </c>
      <c r="AI115" s="99">
        <f t="shared" si="90"/>
        <v>0</v>
      </c>
      <c r="AJ115" s="99">
        <f t="shared" si="90"/>
        <v>0</v>
      </c>
      <c r="AK115" s="99">
        <f t="shared" si="90"/>
        <v>0</v>
      </c>
      <c r="AL115" s="99">
        <f t="shared" si="90"/>
        <v>0</v>
      </c>
      <c r="AM115" s="99">
        <f t="shared" si="90"/>
        <v>0</v>
      </c>
      <c r="AN115" s="99">
        <f t="shared" si="90"/>
        <v>0</v>
      </c>
      <c r="AO115" s="99">
        <f t="shared" si="90"/>
        <v>0</v>
      </c>
      <c r="AP115" s="99">
        <f t="shared" si="90"/>
        <v>0</v>
      </c>
      <c r="AQ115" s="99">
        <f t="shared" si="90"/>
        <v>0</v>
      </c>
      <c r="AR115" s="99">
        <f t="shared" si="90"/>
        <v>0</v>
      </c>
      <c r="AS115" s="99">
        <f t="shared" si="90"/>
        <v>0</v>
      </c>
      <c r="AT115" s="99">
        <f t="shared" si="90"/>
        <v>0</v>
      </c>
      <c r="AU115" s="99">
        <f t="shared" si="90"/>
        <v>0</v>
      </c>
      <c r="AV115" s="99">
        <f t="shared" si="90"/>
        <v>0</v>
      </c>
      <c r="AW115" s="90" t="s">
        <v>1181</v>
      </c>
      <c r="AX115" s="90"/>
      <c r="AY115" s="90"/>
      <c r="AZ115" s="90"/>
      <c r="BA115" s="90"/>
      <c r="BB115" s="90"/>
      <c r="BC115" s="90"/>
      <c r="BD115" s="90"/>
      <c r="BE115" s="90"/>
      <c r="BF115" s="90"/>
      <c r="BG115" s="90"/>
    </row>
    <row r="116" ht="12.75" hidden="1" customHeight="1" outlineLevel="1">
      <c r="A116" s="316"/>
      <c r="B116" s="90"/>
      <c r="C116" s="90" t="s">
        <v>691</v>
      </c>
      <c r="D116" s="90"/>
      <c r="E116" s="90"/>
      <c r="F116" s="90"/>
      <c r="G116" s="90"/>
      <c r="H116" s="254"/>
      <c r="I116" s="99">
        <v>0.0</v>
      </c>
      <c r="J116" s="99">
        <f t="shared" ref="J116:AV116" si="91">I116*(1+J$110)</f>
        <v>0</v>
      </c>
      <c r="K116" s="99">
        <f t="shared" si="91"/>
        <v>0</v>
      </c>
      <c r="L116" s="99">
        <f t="shared" si="91"/>
        <v>0</v>
      </c>
      <c r="M116" s="99">
        <f t="shared" si="91"/>
        <v>0</v>
      </c>
      <c r="N116" s="99">
        <f t="shared" si="91"/>
        <v>0</v>
      </c>
      <c r="O116" s="99">
        <f t="shared" si="91"/>
        <v>0</v>
      </c>
      <c r="P116" s="99">
        <f t="shared" si="91"/>
        <v>0</v>
      </c>
      <c r="Q116" s="99">
        <f t="shared" si="91"/>
        <v>0</v>
      </c>
      <c r="R116" s="99">
        <f t="shared" si="91"/>
        <v>0</v>
      </c>
      <c r="S116" s="99">
        <f t="shared" si="91"/>
        <v>0</v>
      </c>
      <c r="T116" s="99">
        <f t="shared" si="91"/>
        <v>0</v>
      </c>
      <c r="U116" s="99">
        <f t="shared" si="91"/>
        <v>0</v>
      </c>
      <c r="V116" s="99">
        <f t="shared" si="91"/>
        <v>0</v>
      </c>
      <c r="W116" s="99">
        <f t="shared" si="91"/>
        <v>0</v>
      </c>
      <c r="X116" s="99">
        <f t="shared" si="91"/>
        <v>0</v>
      </c>
      <c r="Y116" s="99">
        <f t="shared" si="91"/>
        <v>0</v>
      </c>
      <c r="Z116" s="99">
        <f t="shared" si="91"/>
        <v>0</v>
      </c>
      <c r="AA116" s="99">
        <f t="shared" si="91"/>
        <v>0</v>
      </c>
      <c r="AB116" s="99">
        <f t="shared" si="91"/>
        <v>0</v>
      </c>
      <c r="AC116" s="99">
        <f t="shared" si="91"/>
        <v>0</v>
      </c>
      <c r="AD116" s="99">
        <f t="shared" si="91"/>
        <v>0</v>
      </c>
      <c r="AE116" s="99">
        <f t="shared" si="91"/>
        <v>0</v>
      </c>
      <c r="AF116" s="99">
        <f t="shared" si="91"/>
        <v>0</v>
      </c>
      <c r="AG116" s="99">
        <f t="shared" si="91"/>
        <v>0</v>
      </c>
      <c r="AH116" s="99">
        <f t="shared" si="91"/>
        <v>0</v>
      </c>
      <c r="AI116" s="99">
        <f t="shared" si="91"/>
        <v>0</v>
      </c>
      <c r="AJ116" s="99">
        <f t="shared" si="91"/>
        <v>0</v>
      </c>
      <c r="AK116" s="99">
        <f t="shared" si="91"/>
        <v>0</v>
      </c>
      <c r="AL116" s="99">
        <f t="shared" si="91"/>
        <v>0</v>
      </c>
      <c r="AM116" s="99">
        <f t="shared" si="91"/>
        <v>0</v>
      </c>
      <c r="AN116" s="99">
        <f t="shared" si="91"/>
        <v>0</v>
      </c>
      <c r="AO116" s="99">
        <f t="shared" si="91"/>
        <v>0</v>
      </c>
      <c r="AP116" s="99">
        <f t="shared" si="91"/>
        <v>0</v>
      </c>
      <c r="AQ116" s="99">
        <f t="shared" si="91"/>
        <v>0</v>
      </c>
      <c r="AR116" s="99">
        <f t="shared" si="91"/>
        <v>0</v>
      </c>
      <c r="AS116" s="99">
        <f t="shared" si="91"/>
        <v>0</v>
      </c>
      <c r="AT116" s="99">
        <f t="shared" si="91"/>
        <v>0</v>
      </c>
      <c r="AU116" s="99">
        <f t="shared" si="91"/>
        <v>0</v>
      </c>
      <c r="AV116" s="99">
        <f t="shared" si="91"/>
        <v>0</v>
      </c>
      <c r="AW116" s="90" t="s">
        <v>1181</v>
      </c>
      <c r="AX116" s="90"/>
      <c r="AY116" s="90"/>
      <c r="AZ116" s="90"/>
      <c r="BA116" s="90"/>
      <c r="BB116" s="90"/>
      <c r="BC116" s="90"/>
      <c r="BD116" s="90"/>
      <c r="BE116" s="90"/>
      <c r="BF116" s="90"/>
      <c r="BG116" s="90"/>
    </row>
    <row r="117" ht="12.75" hidden="1" customHeight="1" outlineLevel="1">
      <c r="A117" s="316"/>
      <c r="B117" s="90"/>
      <c r="C117" s="90"/>
      <c r="D117" s="90"/>
      <c r="E117" s="90"/>
      <c r="F117" s="90"/>
      <c r="G117" s="90"/>
      <c r="H117" s="90"/>
      <c r="I117" s="90"/>
      <c r="J117" s="90"/>
      <c r="K117" s="90"/>
      <c r="L117" s="90"/>
      <c r="M117" s="90"/>
      <c r="N117" s="90"/>
      <c r="O117" s="90"/>
      <c r="P117" s="90"/>
      <c r="Q117" s="90"/>
      <c r="R117" s="90"/>
      <c r="S117" s="90"/>
      <c r="T117" s="90"/>
      <c r="U117" s="90"/>
      <c r="V117" s="90"/>
      <c r="W117" s="90"/>
      <c r="X117" s="90"/>
      <c r="Y117" s="90"/>
      <c r="Z117" s="90"/>
      <c r="AA117" s="90"/>
      <c r="AB117" s="90"/>
      <c r="AC117" s="90"/>
      <c r="AD117" s="90"/>
      <c r="AE117" s="90"/>
      <c r="AF117" s="90"/>
      <c r="AG117" s="90"/>
      <c r="AH117" s="90"/>
      <c r="AI117" s="90"/>
      <c r="AJ117" s="90"/>
      <c r="AK117" s="90"/>
      <c r="AL117" s="90"/>
      <c r="AM117" s="90"/>
      <c r="AN117" s="90"/>
      <c r="AO117" s="90"/>
      <c r="AP117" s="90"/>
      <c r="AQ117" s="90"/>
      <c r="AR117" s="90"/>
      <c r="AS117" s="90"/>
      <c r="AT117" s="90"/>
      <c r="AU117" s="90"/>
      <c r="AV117" s="90"/>
      <c r="AW117" s="90"/>
      <c r="AX117" s="90"/>
      <c r="AY117" s="90"/>
      <c r="AZ117" s="90"/>
      <c r="BA117" s="90"/>
      <c r="BB117" s="90"/>
      <c r="BC117" s="90"/>
      <c r="BD117" s="90"/>
      <c r="BE117" s="90"/>
      <c r="BF117" s="90"/>
      <c r="BG117" s="90"/>
    </row>
    <row r="118" ht="12.75" hidden="1" customHeight="1" outlineLevel="1">
      <c r="A118" s="316"/>
      <c r="B118" s="67" t="s">
        <v>692</v>
      </c>
      <c r="C118" s="90"/>
      <c r="D118" s="90"/>
      <c r="E118" s="90"/>
      <c r="F118" s="90"/>
      <c r="G118" s="90"/>
      <c r="H118" s="90"/>
      <c r="I118" s="90"/>
      <c r="J118" s="90"/>
      <c r="K118" s="90"/>
      <c r="L118" s="90"/>
      <c r="M118" s="90"/>
      <c r="N118" s="90"/>
      <c r="O118" s="90"/>
      <c r="P118" s="90"/>
      <c r="Q118" s="90"/>
      <c r="R118" s="90"/>
      <c r="S118" s="90"/>
      <c r="T118" s="90"/>
      <c r="U118" s="90"/>
      <c r="V118" s="90"/>
      <c r="W118" s="90"/>
      <c r="X118" s="90"/>
      <c r="Y118" s="90"/>
      <c r="Z118" s="90"/>
      <c r="AA118" s="90"/>
      <c r="AB118" s="90"/>
      <c r="AC118" s="90"/>
      <c r="AD118" s="90"/>
      <c r="AE118" s="90"/>
      <c r="AF118" s="90"/>
      <c r="AG118" s="90"/>
      <c r="AH118" s="90"/>
      <c r="AI118" s="90"/>
      <c r="AJ118" s="90"/>
      <c r="AK118" s="90"/>
      <c r="AL118" s="90"/>
      <c r="AM118" s="90"/>
      <c r="AN118" s="90"/>
      <c r="AO118" s="90"/>
      <c r="AP118" s="90"/>
      <c r="AQ118" s="90"/>
      <c r="AR118" s="90"/>
      <c r="AS118" s="90"/>
      <c r="AT118" s="90"/>
      <c r="AU118" s="90"/>
      <c r="AV118" s="90"/>
      <c r="AW118" s="67"/>
      <c r="AX118" s="90"/>
      <c r="AY118" s="90"/>
      <c r="AZ118" s="90"/>
      <c r="BA118" s="90"/>
      <c r="BB118" s="90"/>
      <c r="BC118" s="90"/>
      <c r="BD118" s="90"/>
      <c r="BE118" s="90"/>
      <c r="BF118" s="90"/>
      <c r="BG118" s="90"/>
    </row>
    <row r="119" ht="12.75" hidden="1" customHeight="1" outlineLevel="1">
      <c r="A119" s="316"/>
      <c r="B119" s="90"/>
      <c r="C119" s="90" t="s">
        <v>1189</v>
      </c>
      <c r="D119" s="90"/>
      <c r="E119" s="90"/>
      <c r="F119" s="90"/>
      <c r="G119" s="254"/>
      <c r="H119" s="254"/>
      <c r="I119" s="254">
        <v>281.0</v>
      </c>
      <c r="J119" s="254">
        <f t="shared" ref="J119:AV119" si="92">I119</f>
        <v>281</v>
      </c>
      <c r="K119" s="99">
        <f t="shared" si="92"/>
        <v>281</v>
      </c>
      <c r="L119" s="99">
        <f t="shared" si="92"/>
        <v>281</v>
      </c>
      <c r="M119" s="99">
        <f t="shared" si="92"/>
        <v>281</v>
      </c>
      <c r="N119" s="99">
        <f t="shared" si="92"/>
        <v>281</v>
      </c>
      <c r="O119" s="99">
        <f t="shared" si="92"/>
        <v>281</v>
      </c>
      <c r="P119" s="99">
        <f t="shared" si="92"/>
        <v>281</v>
      </c>
      <c r="Q119" s="99">
        <f t="shared" si="92"/>
        <v>281</v>
      </c>
      <c r="R119" s="99">
        <f t="shared" si="92"/>
        <v>281</v>
      </c>
      <c r="S119" s="99">
        <f t="shared" si="92"/>
        <v>281</v>
      </c>
      <c r="T119" s="99">
        <f t="shared" si="92"/>
        <v>281</v>
      </c>
      <c r="U119" s="99">
        <f t="shared" si="92"/>
        <v>281</v>
      </c>
      <c r="V119" s="99">
        <f t="shared" si="92"/>
        <v>281</v>
      </c>
      <c r="W119" s="99">
        <f t="shared" si="92"/>
        <v>281</v>
      </c>
      <c r="X119" s="99">
        <f t="shared" si="92"/>
        <v>281</v>
      </c>
      <c r="Y119" s="99">
        <f t="shared" si="92"/>
        <v>281</v>
      </c>
      <c r="Z119" s="99">
        <f t="shared" si="92"/>
        <v>281</v>
      </c>
      <c r="AA119" s="99">
        <f t="shared" si="92"/>
        <v>281</v>
      </c>
      <c r="AB119" s="99">
        <f t="shared" si="92"/>
        <v>281</v>
      </c>
      <c r="AC119" s="99">
        <f t="shared" si="92"/>
        <v>281</v>
      </c>
      <c r="AD119" s="99">
        <f t="shared" si="92"/>
        <v>281</v>
      </c>
      <c r="AE119" s="99">
        <f t="shared" si="92"/>
        <v>281</v>
      </c>
      <c r="AF119" s="99">
        <f t="shared" si="92"/>
        <v>281</v>
      </c>
      <c r="AG119" s="99">
        <f t="shared" si="92"/>
        <v>281</v>
      </c>
      <c r="AH119" s="99">
        <f t="shared" si="92"/>
        <v>281</v>
      </c>
      <c r="AI119" s="99">
        <f t="shared" si="92"/>
        <v>281</v>
      </c>
      <c r="AJ119" s="99">
        <f t="shared" si="92"/>
        <v>281</v>
      </c>
      <c r="AK119" s="99">
        <f t="shared" si="92"/>
        <v>281</v>
      </c>
      <c r="AL119" s="99">
        <f t="shared" si="92"/>
        <v>281</v>
      </c>
      <c r="AM119" s="99">
        <f t="shared" si="92"/>
        <v>281</v>
      </c>
      <c r="AN119" s="99">
        <f t="shared" si="92"/>
        <v>281</v>
      </c>
      <c r="AO119" s="99">
        <f t="shared" si="92"/>
        <v>281</v>
      </c>
      <c r="AP119" s="99">
        <f t="shared" si="92"/>
        <v>281</v>
      </c>
      <c r="AQ119" s="99">
        <f t="shared" si="92"/>
        <v>281</v>
      </c>
      <c r="AR119" s="99">
        <f t="shared" si="92"/>
        <v>281</v>
      </c>
      <c r="AS119" s="99">
        <f t="shared" si="92"/>
        <v>281</v>
      </c>
      <c r="AT119" s="99">
        <f t="shared" si="92"/>
        <v>281</v>
      </c>
      <c r="AU119" s="99">
        <f t="shared" si="92"/>
        <v>281</v>
      </c>
      <c r="AV119" s="99">
        <f t="shared" si="92"/>
        <v>281</v>
      </c>
      <c r="AW119" s="90"/>
      <c r="AX119" s="90"/>
      <c r="AY119" s="90"/>
      <c r="AZ119" s="90"/>
      <c r="BA119" s="90"/>
      <c r="BB119" s="90"/>
      <c r="BC119" s="90"/>
      <c r="BD119" s="90"/>
      <c r="BE119" s="90"/>
      <c r="BF119" s="90"/>
      <c r="BG119" s="90"/>
    </row>
    <row r="120" ht="12.75" hidden="1" customHeight="1" outlineLevel="1">
      <c r="A120" s="316"/>
      <c r="B120" s="90"/>
      <c r="C120" s="90" t="s">
        <v>1190</v>
      </c>
      <c r="D120" s="90"/>
      <c r="E120" s="90"/>
      <c r="F120" s="90"/>
      <c r="G120" s="254"/>
      <c r="H120" s="99"/>
      <c r="I120" s="254">
        <v>1500.0</v>
      </c>
      <c r="J120" s="254">
        <f>I120</f>
        <v>1500</v>
      </c>
      <c r="K120" s="99">
        <v>0.0</v>
      </c>
      <c r="L120" s="99">
        <f>'RSGen 1-7'!J120</f>
        <v>10000</v>
      </c>
      <c r="M120" s="99">
        <f>'RSGen 1-7'!K120</f>
        <v>5000</v>
      </c>
      <c r="N120" s="99">
        <f>'RSGen 1-7'!L120</f>
        <v>5000</v>
      </c>
      <c r="O120" s="99">
        <f>'RSGen 1-7'!M120</f>
        <v>5000</v>
      </c>
      <c r="P120" s="99">
        <f>'RSGen 1-7'!N120</f>
        <v>5000</v>
      </c>
      <c r="Q120" s="99">
        <f>'RSGen 1-7'!O120</f>
        <v>5000</v>
      </c>
      <c r="R120" s="99">
        <f>'RSGen 1-7'!P120</f>
        <v>5000</v>
      </c>
      <c r="S120" s="99">
        <f>'RSGen 1-7'!Q120</f>
        <v>5000</v>
      </c>
      <c r="T120" s="99">
        <f>'RSGen 1-7'!R120</f>
        <v>5000</v>
      </c>
      <c r="U120" s="99">
        <f t="shared" ref="U120:AV120" si="93">T120</f>
        <v>5000</v>
      </c>
      <c r="V120" s="99">
        <f t="shared" si="93"/>
        <v>5000</v>
      </c>
      <c r="W120" s="99">
        <f t="shared" si="93"/>
        <v>5000</v>
      </c>
      <c r="X120" s="99">
        <f t="shared" si="93"/>
        <v>5000</v>
      </c>
      <c r="Y120" s="99">
        <f t="shared" si="93"/>
        <v>5000</v>
      </c>
      <c r="Z120" s="99">
        <f t="shared" si="93"/>
        <v>5000</v>
      </c>
      <c r="AA120" s="99">
        <f t="shared" si="93"/>
        <v>5000</v>
      </c>
      <c r="AB120" s="99">
        <f t="shared" si="93"/>
        <v>5000</v>
      </c>
      <c r="AC120" s="99">
        <f t="shared" si="93"/>
        <v>5000</v>
      </c>
      <c r="AD120" s="99">
        <f t="shared" si="93"/>
        <v>5000</v>
      </c>
      <c r="AE120" s="99">
        <f t="shared" si="93"/>
        <v>5000</v>
      </c>
      <c r="AF120" s="99">
        <f t="shared" si="93"/>
        <v>5000</v>
      </c>
      <c r="AG120" s="99">
        <f t="shared" si="93"/>
        <v>5000</v>
      </c>
      <c r="AH120" s="99">
        <f t="shared" si="93"/>
        <v>5000</v>
      </c>
      <c r="AI120" s="99">
        <f t="shared" si="93"/>
        <v>5000</v>
      </c>
      <c r="AJ120" s="99">
        <f t="shared" si="93"/>
        <v>5000</v>
      </c>
      <c r="AK120" s="99">
        <f t="shared" si="93"/>
        <v>5000</v>
      </c>
      <c r="AL120" s="99">
        <f t="shared" si="93"/>
        <v>5000</v>
      </c>
      <c r="AM120" s="99">
        <f t="shared" si="93"/>
        <v>5000</v>
      </c>
      <c r="AN120" s="99">
        <f t="shared" si="93"/>
        <v>5000</v>
      </c>
      <c r="AO120" s="99">
        <f t="shared" si="93"/>
        <v>5000</v>
      </c>
      <c r="AP120" s="99">
        <f t="shared" si="93"/>
        <v>5000</v>
      </c>
      <c r="AQ120" s="99">
        <f t="shared" si="93"/>
        <v>5000</v>
      </c>
      <c r="AR120" s="99">
        <f t="shared" si="93"/>
        <v>5000</v>
      </c>
      <c r="AS120" s="99">
        <f t="shared" si="93"/>
        <v>5000</v>
      </c>
      <c r="AT120" s="99">
        <f t="shared" si="93"/>
        <v>5000</v>
      </c>
      <c r="AU120" s="99">
        <f t="shared" si="93"/>
        <v>5000</v>
      </c>
      <c r="AV120" s="99">
        <f t="shared" si="93"/>
        <v>5000</v>
      </c>
      <c r="AW120" s="90"/>
      <c r="AX120" s="90"/>
      <c r="AY120" s="90"/>
      <c r="AZ120" s="90"/>
      <c r="BA120" s="90"/>
      <c r="BB120" s="90"/>
      <c r="BC120" s="90"/>
      <c r="BD120" s="90"/>
      <c r="BE120" s="90"/>
      <c r="BF120" s="90"/>
      <c r="BG120" s="90"/>
    </row>
    <row r="121" ht="12.75" hidden="1" customHeight="1" outlineLevel="1">
      <c r="A121" s="316"/>
      <c r="B121" s="90"/>
      <c r="C121" s="90" t="s">
        <v>695</v>
      </c>
      <c r="D121" s="90"/>
      <c r="E121" s="90"/>
      <c r="F121" s="90"/>
      <c r="G121" s="99"/>
      <c r="H121" s="99"/>
      <c r="I121" s="99">
        <v>70.0</v>
      </c>
      <c r="J121" s="99">
        <v>70.0</v>
      </c>
      <c r="K121" s="99">
        <v>70.0</v>
      </c>
      <c r="L121" s="99">
        <v>70.0</v>
      </c>
      <c r="M121" s="99">
        <v>70.0</v>
      </c>
      <c r="N121" s="99">
        <v>70.0</v>
      </c>
      <c r="O121" s="99">
        <v>70.0</v>
      </c>
      <c r="P121" s="99">
        <v>70.0</v>
      </c>
      <c r="Q121" s="99">
        <v>70.0</v>
      </c>
      <c r="R121" s="99">
        <v>70.0</v>
      </c>
      <c r="S121" s="99">
        <f t="shared" ref="S121:AV121" si="94">R121</f>
        <v>70</v>
      </c>
      <c r="T121" s="99">
        <f t="shared" si="94"/>
        <v>70</v>
      </c>
      <c r="U121" s="99">
        <f t="shared" si="94"/>
        <v>70</v>
      </c>
      <c r="V121" s="99">
        <f t="shared" si="94"/>
        <v>70</v>
      </c>
      <c r="W121" s="99">
        <f t="shared" si="94"/>
        <v>70</v>
      </c>
      <c r="X121" s="99">
        <f t="shared" si="94"/>
        <v>70</v>
      </c>
      <c r="Y121" s="99">
        <f t="shared" si="94"/>
        <v>70</v>
      </c>
      <c r="Z121" s="99">
        <f t="shared" si="94"/>
        <v>70</v>
      </c>
      <c r="AA121" s="99">
        <f t="shared" si="94"/>
        <v>70</v>
      </c>
      <c r="AB121" s="99">
        <f t="shared" si="94"/>
        <v>70</v>
      </c>
      <c r="AC121" s="99">
        <f t="shared" si="94"/>
        <v>70</v>
      </c>
      <c r="AD121" s="99">
        <f t="shared" si="94"/>
        <v>70</v>
      </c>
      <c r="AE121" s="99">
        <f t="shared" si="94"/>
        <v>70</v>
      </c>
      <c r="AF121" s="99">
        <f t="shared" si="94"/>
        <v>70</v>
      </c>
      <c r="AG121" s="99">
        <f t="shared" si="94"/>
        <v>70</v>
      </c>
      <c r="AH121" s="99">
        <f t="shared" si="94"/>
        <v>70</v>
      </c>
      <c r="AI121" s="99">
        <f t="shared" si="94"/>
        <v>70</v>
      </c>
      <c r="AJ121" s="99">
        <f t="shared" si="94"/>
        <v>70</v>
      </c>
      <c r="AK121" s="99">
        <f t="shared" si="94"/>
        <v>70</v>
      </c>
      <c r="AL121" s="99">
        <f t="shared" si="94"/>
        <v>70</v>
      </c>
      <c r="AM121" s="99">
        <f t="shared" si="94"/>
        <v>70</v>
      </c>
      <c r="AN121" s="99">
        <f t="shared" si="94"/>
        <v>70</v>
      </c>
      <c r="AO121" s="99">
        <f t="shared" si="94"/>
        <v>70</v>
      </c>
      <c r="AP121" s="99">
        <f t="shared" si="94"/>
        <v>70</v>
      </c>
      <c r="AQ121" s="99">
        <f t="shared" si="94"/>
        <v>70</v>
      </c>
      <c r="AR121" s="99">
        <f t="shared" si="94"/>
        <v>70</v>
      </c>
      <c r="AS121" s="99">
        <f t="shared" si="94"/>
        <v>70</v>
      </c>
      <c r="AT121" s="99">
        <f t="shared" si="94"/>
        <v>70</v>
      </c>
      <c r="AU121" s="99">
        <f t="shared" si="94"/>
        <v>70</v>
      </c>
      <c r="AV121" s="99">
        <f t="shared" si="94"/>
        <v>70</v>
      </c>
      <c r="AW121" s="308"/>
      <c r="AX121" s="308"/>
      <c r="AY121" s="308"/>
      <c r="AZ121" s="308"/>
      <c r="BA121" s="308"/>
      <c r="BB121" s="308"/>
      <c r="BC121" s="308"/>
      <c r="BD121" s="308"/>
      <c r="BE121" s="308"/>
      <c r="BF121" s="308"/>
      <c r="BG121" s="308"/>
    </row>
    <row r="122" ht="12.75" hidden="1" customHeight="1" outlineLevel="1">
      <c r="A122" s="316"/>
      <c r="B122" s="90"/>
      <c r="C122" s="90" t="s">
        <v>696</v>
      </c>
      <c r="D122" s="90"/>
      <c r="E122" s="90"/>
      <c r="F122" s="90"/>
      <c r="G122" s="523"/>
      <c r="H122" s="178"/>
      <c r="I122" s="523">
        <v>0.05</v>
      </c>
      <c r="J122" s="523">
        <v>0.041</v>
      </c>
      <c r="K122" s="178">
        <f t="shared" ref="K122:AV122" si="95">J122</f>
        <v>0.041</v>
      </c>
      <c r="L122" s="178">
        <f t="shared" si="95"/>
        <v>0.041</v>
      </c>
      <c r="M122" s="178">
        <f t="shared" si="95"/>
        <v>0.041</v>
      </c>
      <c r="N122" s="178">
        <f t="shared" si="95"/>
        <v>0.041</v>
      </c>
      <c r="O122" s="178">
        <f t="shared" si="95"/>
        <v>0.041</v>
      </c>
      <c r="P122" s="178">
        <f t="shared" si="95"/>
        <v>0.041</v>
      </c>
      <c r="Q122" s="178">
        <f t="shared" si="95"/>
        <v>0.041</v>
      </c>
      <c r="R122" s="178">
        <f t="shared" si="95"/>
        <v>0.041</v>
      </c>
      <c r="S122" s="178">
        <f t="shared" si="95"/>
        <v>0.041</v>
      </c>
      <c r="T122" s="178">
        <f t="shared" si="95"/>
        <v>0.041</v>
      </c>
      <c r="U122" s="178">
        <f t="shared" si="95"/>
        <v>0.041</v>
      </c>
      <c r="V122" s="178">
        <f t="shared" si="95"/>
        <v>0.041</v>
      </c>
      <c r="W122" s="178">
        <f t="shared" si="95"/>
        <v>0.041</v>
      </c>
      <c r="X122" s="178">
        <f t="shared" si="95"/>
        <v>0.041</v>
      </c>
      <c r="Y122" s="178">
        <f t="shared" si="95"/>
        <v>0.041</v>
      </c>
      <c r="Z122" s="178">
        <f t="shared" si="95"/>
        <v>0.041</v>
      </c>
      <c r="AA122" s="178">
        <f t="shared" si="95"/>
        <v>0.041</v>
      </c>
      <c r="AB122" s="178">
        <f t="shared" si="95"/>
        <v>0.041</v>
      </c>
      <c r="AC122" s="178">
        <f t="shared" si="95"/>
        <v>0.041</v>
      </c>
      <c r="AD122" s="178">
        <f t="shared" si="95"/>
        <v>0.041</v>
      </c>
      <c r="AE122" s="178">
        <f t="shared" si="95"/>
        <v>0.041</v>
      </c>
      <c r="AF122" s="178">
        <f t="shared" si="95"/>
        <v>0.041</v>
      </c>
      <c r="AG122" s="178">
        <f t="shared" si="95"/>
        <v>0.041</v>
      </c>
      <c r="AH122" s="178">
        <f t="shared" si="95"/>
        <v>0.041</v>
      </c>
      <c r="AI122" s="178">
        <f t="shared" si="95"/>
        <v>0.041</v>
      </c>
      <c r="AJ122" s="178">
        <f t="shared" si="95"/>
        <v>0.041</v>
      </c>
      <c r="AK122" s="178">
        <f t="shared" si="95"/>
        <v>0.041</v>
      </c>
      <c r="AL122" s="178">
        <f t="shared" si="95"/>
        <v>0.041</v>
      </c>
      <c r="AM122" s="178">
        <f t="shared" si="95"/>
        <v>0.041</v>
      </c>
      <c r="AN122" s="178">
        <f t="shared" si="95"/>
        <v>0.041</v>
      </c>
      <c r="AO122" s="178">
        <f t="shared" si="95"/>
        <v>0.041</v>
      </c>
      <c r="AP122" s="178">
        <f t="shared" si="95"/>
        <v>0.041</v>
      </c>
      <c r="AQ122" s="178">
        <f t="shared" si="95"/>
        <v>0.041</v>
      </c>
      <c r="AR122" s="178">
        <f t="shared" si="95"/>
        <v>0.041</v>
      </c>
      <c r="AS122" s="178">
        <f t="shared" si="95"/>
        <v>0.041</v>
      </c>
      <c r="AT122" s="178">
        <f t="shared" si="95"/>
        <v>0.041</v>
      </c>
      <c r="AU122" s="178">
        <f t="shared" si="95"/>
        <v>0.041</v>
      </c>
      <c r="AV122" s="178">
        <f t="shared" si="95"/>
        <v>0.041</v>
      </c>
      <c r="AW122" s="90"/>
      <c r="AX122" s="90"/>
      <c r="AY122" s="90"/>
      <c r="AZ122" s="90"/>
      <c r="BA122" s="90"/>
      <c r="BB122" s="90"/>
      <c r="BC122" s="90"/>
      <c r="BD122" s="90"/>
      <c r="BE122" s="90"/>
      <c r="BF122" s="90"/>
      <c r="BG122" s="90"/>
    </row>
    <row r="123" ht="12.75" customHeight="1">
      <c r="A123" s="316"/>
      <c r="B123" s="90"/>
      <c r="C123" s="90"/>
      <c r="D123" s="90"/>
      <c r="E123" s="90"/>
      <c r="F123" s="90"/>
      <c r="G123" s="90"/>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c r="AF123" s="90"/>
      <c r="AG123" s="90"/>
      <c r="AH123" s="90"/>
      <c r="AI123" s="90"/>
      <c r="AJ123" s="90"/>
      <c r="AK123" s="90"/>
      <c r="AL123" s="90"/>
      <c r="AM123" s="90"/>
      <c r="AN123" s="90"/>
      <c r="AO123" s="90"/>
      <c r="AP123" s="90"/>
      <c r="AQ123" s="90"/>
      <c r="AR123" s="90"/>
      <c r="AS123" s="90"/>
      <c r="AT123" s="90"/>
      <c r="AU123" s="90"/>
      <c r="AV123" s="90"/>
      <c r="AW123" s="90"/>
      <c r="AX123" s="90"/>
      <c r="AY123" s="90"/>
      <c r="AZ123" s="90"/>
      <c r="BA123" s="90"/>
      <c r="BB123" s="90"/>
      <c r="BC123" s="90"/>
      <c r="BD123" s="90"/>
      <c r="BE123" s="90"/>
      <c r="BF123" s="90"/>
      <c r="BG123" s="90"/>
    </row>
    <row r="124" ht="12.75" customHeight="1">
      <c r="A124" s="105" t="s">
        <v>697</v>
      </c>
      <c r="B124" s="253"/>
      <c r="C124" s="253"/>
      <c r="D124" s="253"/>
      <c r="E124" s="253"/>
      <c r="F124" s="253"/>
      <c r="G124" s="253"/>
      <c r="H124" s="253"/>
      <c r="I124" s="253"/>
      <c r="J124" s="253"/>
      <c r="K124" s="253"/>
      <c r="L124" s="253"/>
      <c r="M124" s="253"/>
      <c r="N124" s="253"/>
      <c r="O124" s="253"/>
      <c r="P124" s="253"/>
      <c r="Q124" s="253"/>
      <c r="R124" s="253"/>
      <c r="S124" s="253"/>
      <c r="T124" s="253"/>
      <c r="U124" s="253"/>
      <c r="V124" s="253"/>
      <c r="W124" s="253"/>
      <c r="X124" s="253"/>
      <c r="Y124" s="253"/>
      <c r="Z124" s="253"/>
      <c r="AA124" s="253"/>
      <c r="AB124" s="253"/>
      <c r="AC124" s="253"/>
      <c r="AD124" s="253"/>
      <c r="AE124" s="253"/>
      <c r="AF124" s="253"/>
      <c r="AG124" s="253"/>
      <c r="AH124" s="253"/>
      <c r="AI124" s="253"/>
      <c r="AJ124" s="253"/>
      <c r="AK124" s="253"/>
      <c r="AL124" s="253"/>
      <c r="AM124" s="253"/>
      <c r="AN124" s="253"/>
      <c r="AO124" s="253"/>
      <c r="AP124" s="253"/>
      <c r="AQ124" s="253"/>
      <c r="AR124" s="253"/>
      <c r="AS124" s="253"/>
      <c r="AT124" s="253"/>
      <c r="AU124" s="253"/>
      <c r="AV124" s="253"/>
      <c r="AW124" s="253"/>
      <c r="AX124" s="90"/>
      <c r="AY124" s="90"/>
      <c r="AZ124" s="90"/>
      <c r="BA124" s="90"/>
      <c r="BB124" s="90"/>
      <c r="BC124" s="90"/>
      <c r="BD124" s="90"/>
      <c r="BE124" s="90"/>
      <c r="BF124" s="90"/>
      <c r="BG124" s="90"/>
    </row>
    <row r="125" ht="12.75" customHeight="1" outlineLevel="1">
      <c r="A125" s="316"/>
      <c r="B125" s="90"/>
      <c r="C125" s="90"/>
      <c r="D125" s="90"/>
      <c r="E125" s="90"/>
      <c r="F125" s="90"/>
      <c r="G125" s="90"/>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c r="AF125" s="90"/>
      <c r="AG125" s="90"/>
      <c r="AH125" s="90"/>
      <c r="AI125" s="90"/>
      <c r="AJ125" s="90"/>
      <c r="AK125" s="90"/>
      <c r="AL125" s="90"/>
      <c r="AM125" s="90"/>
      <c r="AN125" s="90"/>
      <c r="AO125" s="90"/>
      <c r="AP125" s="90"/>
      <c r="AQ125" s="90"/>
      <c r="AR125" s="90"/>
      <c r="AS125" s="90"/>
      <c r="AT125" s="90"/>
      <c r="AU125" s="90"/>
      <c r="AV125" s="90"/>
      <c r="AW125" s="90"/>
      <c r="AX125" s="90"/>
      <c r="AY125" s="90"/>
      <c r="AZ125" s="90"/>
      <c r="BA125" s="90"/>
      <c r="BB125" s="90"/>
      <c r="BC125" s="90"/>
      <c r="BD125" s="90"/>
      <c r="BE125" s="90"/>
      <c r="BF125" s="90"/>
      <c r="BG125" s="90"/>
    </row>
    <row r="126" ht="12.75" customHeight="1" outlineLevel="1">
      <c r="A126" s="316"/>
      <c r="B126" s="67" t="s">
        <v>698</v>
      </c>
      <c r="C126" s="90"/>
      <c r="D126" s="90"/>
      <c r="E126" s="90"/>
      <c r="F126" s="90"/>
      <c r="G126" s="90"/>
      <c r="H126" s="102"/>
      <c r="I126" s="102"/>
      <c r="J126" s="223"/>
      <c r="K126" s="223"/>
      <c r="L126" s="223"/>
      <c r="M126" s="223"/>
      <c r="N126" s="223"/>
      <c r="O126" s="223"/>
      <c r="P126" s="223"/>
      <c r="Q126" s="223"/>
      <c r="R126" s="223"/>
      <c r="S126" s="223"/>
      <c r="T126" s="223"/>
      <c r="U126" s="223"/>
      <c r="V126" s="223"/>
      <c r="W126" s="223"/>
      <c r="X126" s="223"/>
      <c r="Y126" s="223"/>
      <c r="Z126" s="223"/>
      <c r="AA126" s="223"/>
      <c r="AB126" s="223"/>
      <c r="AC126" s="223"/>
      <c r="AD126" s="223"/>
      <c r="AE126" s="223"/>
      <c r="AF126" s="223"/>
      <c r="AG126" s="223"/>
      <c r="AH126" s="223"/>
      <c r="AI126" s="223"/>
      <c r="AJ126" s="223"/>
      <c r="AK126" s="223"/>
      <c r="AL126" s="223"/>
      <c r="AM126" s="223"/>
      <c r="AN126" s="223"/>
      <c r="AO126" s="223"/>
      <c r="AP126" s="223"/>
      <c r="AQ126" s="223"/>
      <c r="AR126" s="223"/>
      <c r="AS126" s="223"/>
      <c r="AT126" s="223"/>
      <c r="AU126" s="223"/>
      <c r="AV126" s="223"/>
      <c r="AW126" s="90"/>
      <c r="AX126" s="90"/>
      <c r="AY126" s="90"/>
      <c r="AZ126" s="90"/>
      <c r="BA126" s="90"/>
      <c r="BB126" s="90"/>
      <c r="BC126" s="90"/>
      <c r="BD126" s="90"/>
      <c r="BE126" s="90"/>
      <c r="BF126" s="90"/>
      <c r="BG126" s="90"/>
    </row>
    <row r="127" ht="12.75" customHeight="1" outlineLevel="1">
      <c r="A127" s="316"/>
      <c r="B127" s="90"/>
      <c r="C127" s="90" t="s">
        <v>1191</v>
      </c>
      <c r="D127" s="90"/>
      <c r="E127" s="90"/>
      <c r="F127" s="90"/>
      <c r="G127" s="90"/>
      <c r="H127" s="102"/>
      <c r="I127" s="102"/>
      <c r="J127" s="526"/>
      <c r="K127" s="223"/>
      <c r="L127" s="223"/>
      <c r="M127" s="223"/>
      <c r="N127" s="223"/>
      <c r="O127" s="223"/>
      <c r="P127" s="223"/>
      <c r="Q127" s="223"/>
      <c r="R127" s="223"/>
      <c r="S127" s="223"/>
      <c r="T127" s="223"/>
      <c r="U127" s="223"/>
      <c r="V127" s="223"/>
      <c r="W127" s="223"/>
      <c r="X127" s="223"/>
      <c r="Y127" s="223"/>
      <c r="Z127" s="223"/>
      <c r="AA127" s="223"/>
      <c r="AB127" s="223"/>
      <c r="AC127" s="223"/>
      <c r="AD127" s="223"/>
      <c r="AE127" s="223"/>
      <c r="AF127" s="223"/>
      <c r="AG127" s="223"/>
      <c r="AH127" s="223"/>
      <c r="AI127" s="223"/>
      <c r="AJ127" s="223"/>
      <c r="AK127" s="223"/>
      <c r="AL127" s="223"/>
      <c r="AM127" s="223"/>
      <c r="AN127" s="223"/>
      <c r="AO127" s="223"/>
      <c r="AP127" s="223"/>
      <c r="AQ127" s="223"/>
      <c r="AR127" s="223"/>
      <c r="AS127" s="223"/>
      <c r="AT127" s="223"/>
      <c r="AU127" s="223"/>
      <c r="AV127" s="223"/>
      <c r="AW127" s="90"/>
      <c r="AX127" s="90"/>
      <c r="AY127" s="90"/>
      <c r="AZ127" s="90"/>
      <c r="BA127" s="90"/>
      <c r="BB127" s="90"/>
      <c r="BC127" s="90"/>
      <c r="BD127" s="90"/>
      <c r="BE127" s="90"/>
      <c r="BF127" s="90"/>
      <c r="BG127" s="90"/>
    </row>
    <row r="128" ht="12.75" customHeight="1" outlineLevel="1">
      <c r="A128" s="316"/>
      <c r="B128" s="90"/>
      <c r="C128" s="90"/>
      <c r="D128" s="90" t="s">
        <v>699</v>
      </c>
      <c r="E128" s="90"/>
      <c r="F128" s="90"/>
      <c r="G128" s="313"/>
      <c r="H128" s="306"/>
      <c r="I128" s="306"/>
      <c r="J128" s="361"/>
      <c r="K128" s="527">
        <v>30.0</v>
      </c>
      <c r="L128" s="527">
        <v>30.0</v>
      </c>
      <c r="M128" s="527">
        <v>30.0</v>
      </c>
      <c r="N128" s="527">
        <v>30.0</v>
      </c>
      <c r="O128" s="223">
        <f t="shared" ref="O128:AV128" si="96">N128</f>
        <v>30</v>
      </c>
      <c r="P128" s="223">
        <f t="shared" si="96"/>
        <v>30</v>
      </c>
      <c r="Q128" s="223">
        <f t="shared" si="96"/>
        <v>30</v>
      </c>
      <c r="R128" s="223">
        <f t="shared" si="96"/>
        <v>30</v>
      </c>
      <c r="S128" s="223">
        <f t="shared" si="96"/>
        <v>30</v>
      </c>
      <c r="T128" s="223">
        <f t="shared" si="96"/>
        <v>30</v>
      </c>
      <c r="U128" s="223">
        <f t="shared" si="96"/>
        <v>30</v>
      </c>
      <c r="V128" s="223">
        <f t="shared" si="96"/>
        <v>30</v>
      </c>
      <c r="W128" s="223">
        <f t="shared" si="96"/>
        <v>30</v>
      </c>
      <c r="X128" s="223">
        <f t="shared" si="96"/>
        <v>30</v>
      </c>
      <c r="Y128" s="223">
        <f t="shared" si="96"/>
        <v>30</v>
      </c>
      <c r="Z128" s="223">
        <f t="shared" si="96"/>
        <v>30</v>
      </c>
      <c r="AA128" s="223">
        <f t="shared" si="96"/>
        <v>30</v>
      </c>
      <c r="AB128" s="223">
        <f t="shared" si="96"/>
        <v>30</v>
      </c>
      <c r="AC128" s="223">
        <f t="shared" si="96"/>
        <v>30</v>
      </c>
      <c r="AD128" s="223">
        <f t="shared" si="96"/>
        <v>30</v>
      </c>
      <c r="AE128" s="223">
        <f t="shared" si="96"/>
        <v>30</v>
      </c>
      <c r="AF128" s="223">
        <f t="shared" si="96"/>
        <v>30</v>
      </c>
      <c r="AG128" s="223">
        <f t="shared" si="96"/>
        <v>30</v>
      </c>
      <c r="AH128" s="223">
        <f t="shared" si="96"/>
        <v>30</v>
      </c>
      <c r="AI128" s="223">
        <f t="shared" si="96"/>
        <v>30</v>
      </c>
      <c r="AJ128" s="223">
        <f t="shared" si="96"/>
        <v>30</v>
      </c>
      <c r="AK128" s="223">
        <f t="shared" si="96"/>
        <v>30</v>
      </c>
      <c r="AL128" s="223">
        <f t="shared" si="96"/>
        <v>30</v>
      </c>
      <c r="AM128" s="223">
        <f t="shared" si="96"/>
        <v>30</v>
      </c>
      <c r="AN128" s="223">
        <f t="shared" si="96"/>
        <v>30</v>
      </c>
      <c r="AO128" s="223">
        <f t="shared" si="96"/>
        <v>30</v>
      </c>
      <c r="AP128" s="223">
        <f t="shared" si="96"/>
        <v>30</v>
      </c>
      <c r="AQ128" s="223">
        <f t="shared" si="96"/>
        <v>30</v>
      </c>
      <c r="AR128" s="223">
        <f t="shared" si="96"/>
        <v>30</v>
      </c>
      <c r="AS128" s="223">
        <f t="shared" si="96"/>
        <v>30</v>
      </c>
      <c r="AT128" s="223">
        <f t="shared" si="96"/>
        <v>30</v>
      </c>
      <c r="AU128" s="223">
        <f t="shared" si="96"/>
        <v>30</v>
      </c>
      <c r="AV128" s="223">
        <f t="shared" si="96"/>
        <v>30</v>
      </c>
      <c r="AW128" s="90"/>
      <c r="AX128" s="90"/>
      <c r="AY128" s="90"/>
      <c r="AZ128" s="90"/>
      <c r="BA128" s="90"/>
      <c r="BB128" s="90"/>
      <c r="BC128" s="90"/>
      <c r="BD128" s="90"/>
      <c r="BE128" s="90"/>
      <c r="BF128" s="90"/>
      <c r="BG128" s="90"/>
    </row>
    <row r="129" ht="12.75" customHeight="1" outlineLevel="1">
      <c r="A129" s="316"/>
      <c r="B129" s="90"/>
      <c r="C129" s="90"/>
      <c r="D129" s="64">
        <v>1.0</v>
      </c>
      <c r="E129" s="90"/>
      <c r="F129" s="90"/>
      <c r="G129" s="313"/>
      <c r="H129" s="306"/>
      <c r="I129" s="306"/>
      <c r="J129" s="361"/>
      <c r="K129" s="527">
        <v>20.0</v>
      </c>
      <c r="L129" s="527">
        <v>30.0</v>
      </c>
      <c r="M129" s="527">
        <v>30.0</v>
      </c>
      <c r="N129" s="527">
        <v>30.0</v>
      </c>
      <c r="O129" s="223">
        <f t="shared" ref="O129:AV129" si="97">N129</f>
        <v>30</v>
      </c>
      <c r="P129" s="223">
        <f t="shared" si="97"/>
        <v>30</v>
      </c>
      <c r="Q129" s="223">
        <f t="shared" si="97"/>
        <v>30</v>
      </c>
      <c r="R129" s="223">
        <f t="shared" si="97"/>
        <v>30</v>
      </c>
      <c r="S129" s="223">
        <f t="shared" si="97"/>
        <v>30</v>
      </c>
      <c r="T129" s="223">
        <f t="shared" si="97"/>
        <v>30</v>
      </c>
      <c r="U129" s="223">
        <f t="shared" si="97"/>
        <v>30</v>
      </c>
      <c r="V129" s="223">
        <f t="shared" si="97"/>
        <v>30</v>
      </c>
      <c r="W129" s="223">
        <f t="shared" si="97"/>
        <v>30</v>
      </c>
      <c r="X129" s="223">
        <f t="shared" si="97"/>
        <v>30</v>
      </c>
      <c r="Y129" s="223">
        <f t="shared" si="97"/>
        <v>30</v>
      </c>
      <c r="Z129" s="223">
        <f t="shared" si="97"/>
        <v>30</v>
      </c>
      <c r="AA129" s="223">
        <f t="shared" si="97"/>
        <v>30</v>
      </c>
      <c r="AB129" s="223">
        <f t="shared" si="97"/>
        <v>30</v>
      </c>
      <c r="AC129" s="223">
        <f t="shared" si="97"/>
        <v>30</v>
      </c>
      <c r="AD129" s="223">
        <f t="shared" si="97"/>
        <v>30</v>
      </c>
      <c r="AE129" s="223">
        <f t="shared" si="97"/>
        <v>30</v>
      </c>
      <c r="AF129" s="223">
        <f t="shared" si="97"/>
        <v>30</v>
      </c>
      <c r="AG129" s="223">
        <f t="shared" si="97"/>
        <v>30</v>
      </c>
      <c r="AH129" s="223">
        <f t="shared" si="97"/>
        <v>30</v>
      </c>
      <c r="AI129" s="223">
        <f t="shared" si="97"/>
        <v>30</v>
      </c>
      <c r="AJ129" s="223">
        <f t="shared" si="97"/>
        <v>30</v>
      </c>
      <c r="AK129" s="223">
        <f t="shared" si="97"/>
        <v>30</v>
      </c>
      <c r="AL129" s="223">
        <f t="shared" si="97"/>
        <v>30</v>
      </c>
      <c r="AM129" s="223">
        <f t="shared" si="97"/>
        <v>30</v>
      </c>
      <c r="AN129" s="223">
        <f t="shared" si="97"/>
        <v>30</v>
      </c>
      <c r="AO129" s="223">
        <f t="shared" si="97"/>
        <v>30</v>
      </c>
      <c r="AP129" s="223">
        <f t="shared" si="97"/>
        <v>30</v>
      </c>
      <c r="AQ129" s="223">
        <f t="shared" si="97"/>
        <v>30</v>
      </c>
      <c r="AR129" s="223">
        <f t="shared" si="97"/>
        <v>30</v>
      </c>
      <c r="AS129" s="223">
        <f t="shared" si="97"/>
        <v>30</v>
      </c>
      <c r="AT129" s="223">
        <f t="shared" si="97"/>
        <v>30</v>
      </c>
      <c r="AU129" s="223">
        <f t="shared" si="97"/>
        <v>30</v>
      </c>
      <c r="AV129" s="223">
        <f t="shared" si="97"/>
        <v>30</v>
      </c>
      <c r="AW129" s="90"/>
      <c r="AX129" s="90"/>
      <c r="AY129" s="90"/>
      <c r="AZ129" s="90"/>
      <c r="BA129" s="90"/>
      <c r="BB129" s="90"/>
      <c r="BC129" s="90"/>
      <c r="BD129" s="90"/>
      <c r="BE129" s="90"/>
      <c r="BF129" s="90"/>
      <c r="BG129" s="90"/>
    </row>
    <row r="130" ht="12.75" customHeight="1" outlineLevel="1">
      <c r="A130" s="316"/>
      <c r="B130" s="90"/>
      <c r="C130" s="90"/>
      <c r="D130" s="64">
        <v>2.0</v>
      </c>
      <c r="E130" s="90"/>
      <c r="F130" s="90"/>
      <c r="G130" s="313"/>
      <c r="H130" s="306"/>
      <c r="I130" s="306"/>
      <c r="J130" s="361"/>
      <c r="K130" s="527">
        <v>20.0</v>
      </c>
      <c r="L130" s="527">
        <v>20.0</v>
      </c>
      <c r="M130" s="527">
        <v>20.0</v>
      </c>
      <c r="N130" s="527">
        <v>20.0</v>
      </c>
      <c r="O130" s="223">
        <f t="shared" ref="O130:AV130" si="98">N130</f>
        <v>20</v>
      </c>
      <c r="P130" s="223">
        <f t="shared" si="98"/>
        <v>20</v>
      </c>
      <c r="Q130" s="223">
        <f t="shared" si="98"/>
        <v>20</v>
      </c>
      <c r="R130" s="223">
        <f t="shared" si="98"/>
        <v>20</v>
      </c>
      <c r="S130" s="223">
        <f t="shared" si="98"/>
        <v>20</v>
      </c>
      <c r="T130" s="223">
        <f t="shared" si="98"/>
        <v>20</v>
      </c>
      <c r="U130" s="223">
        <f t="shared" si="98"/>
        <v>20</v>
      </c>
      <c r="V130" s="223">
        <f t="shared" si="98"/>
        <v>20</v>
      </c>
      <c r="W130" s="223">
        <f t="shared" si="98"/>
        <v>20</v>
      </c>
      <c r="X130" s="223">
        <f t="shared" si="98"/>
        <v>20</v>
      </c>
      <c r="Y130" s="223">
        <f t="shared" si="98"/>
        <v>20</v>
      </c>
      <c r="Z130" s="223">
        <f t="shared" si="98"/>
        <v>20</v>
      </c>
      <c r="AA130" s="223">
        <f t="shared" si="98"/>
        <v>20</v>
      </c>
      <c r="AB130" s="223">
        <f t="shared" si="98"/>
        <v>20</v>
      </c>
      <c r="AC130" s="223">
        <f t="shared" si="98"/>
        <v>20</v>
      </c>
      <c r="AD130" s="223">
        <f t="shared" si="98"/>
        <v>20</v>
      </c>
      <c r="AE130" s="223">
        <f t="shared" si="98"/>
        <v>20</v>
      </c>
      <c r="AF130" s="223">
        <f t="shared" si="98"/>
        <v>20</v>
      </c>
      <c r="AG130" s="223">
        <f t="shared" si="98"/>
        <v>20</v>
      </c>
      <c r="AH130" s="223">
        <f t="shared" si="98"/>
        <v>20</v>
      </c>
      <c r="AI130" s="223">
        <f t="shared" si="98"/>
        <v>20</v>
      </c>
      <c r="AJ130" s="223">
        <f t="shared" si="98"/>
        <v>20</v>
      </c>
      <c r="AK130" s="223">
        <f t="shared" si="98"/>
        <v>20</v>
      </c>
      <c r="AL130" s="223">
        <f t="shared" si="98"/>
        <v>20</v>
      </c>
      <c r="AM130" s="223">
        <f t="shared" si="98"/>
        <v>20</v>
      </c>
      <c r="AN130" s="223">
        <f t="shared" si="98"/>
        <v>20</v>
      </c>
      <c r="AO130" s="223">
        <f t="shared" si="98"/>
        <v>20</v>
      </c>
      <c r="AP130" s="223">
        <f t="shared" si="98"/>
        <v>20</v>
      </c>
      <c r="AQ130" s="223">
        <f t="shared" si="98"/>
        <v>20</v>
      </c>
      <c r="AR130" s="223">
        <f t="shared" si="98"/>
        <v>20</v>
      </c>
      <c r="AS130" s="223">
        <f t="shared" si="98"/>
        <v>20</v>
      </c>
      <c r="AT130" s="223">
        <f t="shared" si="98"/>
        <v>20</v>
      </c>
      <c r="AU130" s="223">
        <f t="shared" si="98"/>
        <v>20</v>
      </c>
      <c r="AV130" s="223">
        <f t="shared" si="98"/>
        <v>20</v>
      </c>
      <c r="AW130" s="90"/>
      <c r="AX130" s="90"/>
      <c r="AY130" s="90"/>
      <c r="AZ130" s="90"/>
      <c r="BA130" s="90"/>
      <c r="BB130" s="90"/>
      <c r="BC130" s="90"/>
      <c r="BD130" s="90"/>
      <c r="BE130" s="90"/>
      <c r="BF130" s="90"/>
      <c r="BG130" s="90"/>
    </row>
    <row r="131" ht="12.75" customHeight="1" outlineLevel="1">
      <c r="A131" s="316"/>
      <c r="B131" s="90"/>
      <c r="C131" s="90"/>
      <c r="D131" s="64">
        <v>3.0</v>
      </c>
      <c r="E131" s="90"/>
      <c r="F131" s="90"/>
      <c r="G131" s="313"/>
      <c r="H131" s="306"/>
      <c r="I131" s="306"/>
      <c r="J131" s="361"/>
      <c r="K131" s="527">
        <v>30.0</v>
      </c>
      <c r="L131" s="527">
        <v>30.0</v>
      </c>
      <c r="M131" s="527">
        <v>30.0</v>
      </c>
      <c r="N131" s="527">
        <v>30.0</v>
      </c>
      <c r="O131" s="223">
        <f t="shared" ref="O131:AV131" si="99">N131</f>
        <v>30</v>
      </c>
      <c r="P131" s="223">
        <f t="shared" si="99"/>
        <v>30</v>
      </c>
      <c r="Q131" s="223">
        <f t="shared" si="99"/>
        <v>30</v>
      </c>
      <c r="R131" s="223">
        <f t="shared" si="99"/>
        <v>30</v>
      </c>
      <c r="S131" s="223">
        <f t="shared" si="99"/>
        <v>30</v>
      </c>
      <c r="T131" s="223">
        <f t="shared" si="99"/>
        <v>30</v>
      </c>
      <c r="U131" s="223">
        <f t="shared" si="99"/>
        <v>30</v>
      </c>
      <c r="V131" s="223">
        <f t="shared" si="99"/>
        <v>30</v>
      </c>
      <c r="W131" s="223">
        <f t="shared" si="99"/>
        <v>30</v>
      </c>
      <c r="X131" s="223">
        <f t="shared" si="99"/>
        <v>30</v>
      </c>
      <c r="Y131" s="223">
        <f t="shared" si="99"/>
        <v>30</v>
      </c>
      <c r="Z131" s="223">
        <f t="shared" si="99"/>
        <v>30</v>
      </c>
      <c r="AA131" s="223">
        <f t="shared" si="99"/>
        <v>30</v>
      </c>
      <c r="AB131" s="223">
        <f t="shared" si="99"/>
        <v>30</v>
      </c>
      <c r="AC131" s="223">
        <f t="shared" si="99"/>
        <v>30</v>
      </c>
      <c r="AD131" s="223">
        <f t="shared" si="99"/>
        <v>30</v>
      </c>
      <c r="AE131" s="223">
        <f t="shared" si="99"/>
        <v>30</v>
      </c>
      <c r="AF131" s="223">
        <f t="shared" si="99"/>
        <v>30</v>
      </c>
      <c r="AG131" s="223">
        <f t="shared" si="99"/>
        <v>30</v>
      </c>
      <c r="AH131" s="223">
        <f t="shared" si="99"/>
        <v>30</v>
      </c>
      <c r="AI131" s="223">
        <f t="shared" si="99"/>
        <v>30</v>
      </c>
      <c r="AJ131" s="223">
        <f t="shared" si="99"/>
        <v>30</v>
      </c>
      <c r="AK131" s="223">
        <f t="shared" si="99"/>
        <v>30</v>
      </c>
      <c r="AL131" s="223">
        <f t="shared" si="99"/>
        <v>30</v>
      </c>
      <c r="AM131" s="223">
        <f t="shared" si="99"/>
        <v>30</v>
      </c>
      <c r="AN131" s="223">
        <f t="shared" si="99"/>
        <v>30</v>
      </c>
      <c r="AO131" s="223">
        <f t="shared" si="99"/>
        <v>30</v>
      </c>
      <c r="AP131" s="223">
        <f t="shared" si="99"/>
        <v>30</v>
      </c>
      <c r="AQ131" s="223">
        <f t="shared" si="99"/>
        <v>30</v>
      </c>
      <c r="AR131" s="223">
        <f t="shared" si="99"/>
        <v>30</v>
      </c>
      <c r="AS131" s="223">
        <f t="shared" si="99"/>
        <v>30</v>
      </c>
      <c r="AT131" s="223">
        <f t="shared" si="99"/>
        <v>30</v>
      </c>
      <c r="AU131" s="223">
        <f t="shared" si="99"/>
        <v>30</v>
      </c>
      <c r="AV131" s="223">
        <f t="shared" si="99"/>
        <v>30</v>
      </c>
      <c r="AW131" s="90"/>
      <c r="AX131" s="90"/>
      <c r="AY131" s="90"/>
      <c r="AZ131" s="90"/>
      <c r="BA131" s="90"/>
      <c r="BB131" s="90"/>
      <c r="BC131" s="90"/>
      <c r="BD131" s="90"/>
      <c r="BE131" s="90"/>
      <c r="BF131" s="90"/>
      <c r="BG131" s="90"/>
    </row>
    <row r="132" ht="12.75" customHeight="1" outlineLevel="1">
      <c r="A132" s="316"/>
      <c r="B132" s="90"/>
      <c r="C132" s="90"/>
      <c r="D132" s="64">
        <v>4.0</v>
      </c>
      <c r="E132" s="90"/>
      <c r="F132" s="90"/>
      <c r="G132" s="313"/>
      <c r="H132" s="306"/>
      <c r="I132" s="306"/>
      <c r="J132" s="361"/>
      <c r="K132" s="527">
        <v>30.0</v>
      </c>
      <c r="L132" s="527">
        <v>30.0</v>
      </c>
      <c r="M132" s="527">
        <v>26.0</v>
      </c>
      <c r="N132" s="527">
        <v>26.0</v>
      </c>
      <c r="O132" s="223">
        <f t="shared" ref="O132:AV132" si="100">N132</f>
        <v>26</v>
      </c>
      <c r="P132" s="223">
        <f t="shared" si="100"/>
        <v>26</v>
      </c>
      <c r="Q132" s="223">
        <f t="shared" si="100"/>
        <v>26</v>
      </c>
      <c r="R132" s="223">
        <f t="shared" si="100"/>
        <v>26</v>
      </c>
      <c r="S132" s="223">
        <f t="shared" si="100"/>
        <v>26</v>
      </c>
      <c r="T132" s="223">
        <f t="shared" si="100"/>
        <v>26</v>
      </c>
      <c r="U132" s="223">
        <f t="shared" si="100"/>
        <v>26</v>
      </c>
      <c r="V132" s="223">
        <f t="shared" si="100"/>
        <v>26</v>
      </c>
      <c r="W132" s="223">
        <f t="shared" si="100"/>
        <v>26</v>
      </c>
      <c r="X132" s="223">
        <f t="shared" si="100"/>
        <v>26</v>
      </c>
      <c r="Y132" s="223">
        <f t="shared" si="100"/>
        <v>26</v>
      </c>
      <c r="Z132" s="223">
        <f t="shared" si="100"/>
        <v>26</v>
      </c>
      <c r="AA132" s="223">
        <f t="shared" si="100"/>
        <v>26</v>
      </c>
      <c r="AB132" s="223">
        <f t="shared" si="100"/>
        <v>26</v>
      </c>
      <c r="AC132" s="223">
        <f t="shared" si="100"/>
        <v>26</v>
      </c>
      <c r="AD132" s="223">
        <f t="shared" si="100"/>
        <v>26</v>
      </c>
      <c r="AE132" s="223">
        <f t="shared" si="100"/>
        <v>26</v>
      </c>
      <c r="AF132" s="223">
        <f t="shared" si="100"/>
        <v>26</v>
      </c>
      <c r="AG132" s="223">
        <f t="shared" si="100"/>
        <v>26</v>
      </c>
      <c r="AH132" s="223">
        <f t="shared" si="100"/>
        <v>26</v>
      </c>
      <c r="AI132" s="223">
        <f t="shared" si="100"/>
        <v>26</v>
      </c>
      <c r="AJ132" s="223">
        <f t="shared" si="100"/>
        <v>26</v>
      </c>
      <c r="AK132" s="223">
        <f t="shared" si="100"/>
        <v>26</v>
      </c>
      <c r="AL132" s="223">
        <f t="shared" si="100"/>
        <v>26</v>
      </c>
      <c r="AM132" s="223">
        <f t="shared" si="100"/>
        <v>26</v>
      </c>
      <c r="AN132" s="223">
        <f t="shared" si="100"/>
        <v>26</v>
      </c>
      <c r="AO132" s="223">
        <f t="shared" si="100"/>
        <v>26</v>
      </c>
      <c r="AP132" s="223">
        <f t="shared" si="100"/>
        <v>26</v>
      </c>
      <c r="AQ132" s="223">
        <f t="shared" si="100"/>
        <v>26</v>
      </c>
      <c r="AR132" s="223">
        <f t="shared" si="100"/>
        <v>26</v>
      </c>
      <c r="AS132" s="223">
        <f t="shared" si="100"/>
        <v>26</v>
      </c>
      <c r="AT132" s="223">
        <f t="shared" si="100"/>
        <v>26</v>
      </c>
      <c r="AU132" s="223">
        <f t="shared" si="100"/>
        <v>26</v>
      </c>
      <c r="AV132" s="223">
        <f t="shared" si="100"/>
        <v>26</v>
      </c>
      <c r="AW132" s="90"/>
      <c r="AX132" s="90"/>
      <c r="AY132" s="90"/>
      <c r="AZ132" s="90"/>
      <c r="BA132" s="90"/>
      <c r="BB132" s="90"/>
      <c r="BC132" s="90"/>
      <c r="BD132" s="90"/>
      <c r="BE132" s="90"/>
      <c r="BF132" s="90"/>
      <c r="BG132" s="90"/>
    </row>
    <row r="133" ht="12.75" customHeight="1" outlineLevel="1">
      <c r="A133" s="316"/>
      <c r="B133" s="90"/>
      <c r="C133" s="90"/>
      <c r="D133" s="64">
        <v>5.0</v>
      </c>
      <c r="E133" s="90"/>
      <c r="F133" s="90"/>
      <c r="G133" s="313"/>
      <c r="H133" s="306"/>
      <c r="I133" s="306"/>
      <c r="J133" s="361"/>
      <c r="K133" s="527">
        <v>30.0</v>
      </c>
      <c r="L133" s="527">
        <v>30.0</v>
      </c>
      <c r="M133" s="527">
        <v>30.0</v>
      </c>
      <c r="N133" s="527">
        <v>30.0</v>
      </c>
      <c r="O133" s="223">
        <f t="shared" ref="O133:AV133" si="101">N133</f>
        <v>30</v>
      </c>
      <c r="P133" s="223">
        <f t="shared" si="101"/>
        <v>30</v>
      </c>
      <c r="Q133" s="223">
        <f t="shared" si="101"/>
        <v>30</v>
      </c>
      <c r="R133" s="223">
        <f t="shared" si="101"/>
        <v>30</v>
      </c>
      <c r="S133" s="223">
        <f t="shared" si="101"/>
        <v>30</v>
      </c>
      <c r="T133" s="223">
        <f t="shared" si="101"/>
        <v>30</v>
      </c>
      <c r="U133" s="223">
        <f t="shared" si="101"/>
        <v>30</v>
      </c>
      <c r="V133" s="223">
        <f t="shared" si="101"/>
        <v>30</v>
      </c>
      <c r="W133" s="223">
        <f t="shared" si="101"/>
        <v>30</v>
      </c>
      <c r="X133" s="223">
        <f t="shared" si="101"/>
        <v>30</v>
      </c>
      <c r="Y133" s="223">
        <f t="shared" si="101"/>
        <v>30</v>
      </c>
      <c r="Z133" s="223">
        <f t="shared" si="101"/>
        <v>30</v>
      </c>
      <c r="AA133" s="223">
        <f t="shared" si="101"/>
        <v>30</v>
      </c>
      <c r="AB133" s="223">
        <f t="shared" si="101"/>
        <v>30</v>
      </c>
      <c r="AC133" s="223">
        <f t="shared" si="101"/>
        <v>30</v>
      </c>
      <c r="AD133" s="223">
        <f t="shared" si="101"/>
        <v>30</v>
      </c>
      <c r="AE133" s="223">
        <f t="shared" si="101"/>
        <v>30</v>
      </c>
      <c r="AF133" s="223">
        <f t="shared" si="101"/>
        <v>30</v>
      </c>
      <c r="AG133" s="223">
        <f t="shared" si="101"/>
        <v>30</v>
      </c>
      <c r="AH133" s="223">
        <f t="shared" si="101"/>
        <v>30</v>
      </c>
      <c r="AI133" s="223">
        <f t="shared" si="101"/>
        <v>30</v>
      </c>
      <c r="AJ133" s="223">
        <f t="shared" si="101"/>
        <v>30</v>
      </c>
      <c r="AK133" s="223">
        <f t="shared" si="101"/>
        <v>30</v>
      </c>
      <c r="AL133" s="223">
        <f t="shared" si="101"/>
        <v>30</v>
      </c>
      <c r="AM133" s="223">
        <f t="shared" si="101"/>
        <v>30</v>
      </c>
      <c r="AN133" s="223">
        <f t="shared" si="101"/>
        <v>30</v>
      </c>
      <c r="AO133" s="223">
        <f t="shared" si="101"/>
        <v>30</v>
      </c>
      <c r="AP133" s="223">
        <f t="shared" si="101"/>
        <v>30</v>
      </c>
      <c r="AQ133" s="223">
        <f t="shared" si="101"/>
        <v>30</v>
      </c>
      <c r="AR133" s="223">
        <f t="shared" si="101"/>
        <v>30</v>
      </c>
      <c r="AS133" s="223">
        <f t="shared" si="101"/>
        <v>30</v>
      </c>
      <c r="AT133" s="223">
        <f t="shared" si="101"/>
        <v>30</v>
      </c>
      <c r="AU133" s="223">
        <f t="shared" si="101"/>
        <v>30</v>
      </c>
      <c r="AV133" s="223">
        <f t="shared" si="101"/>
        <v>30</v>
      </c>
      <c r="AW133" s="90"/>
      <c r="AX133" s="90"/>
      <c r="AY133" s="90"/>
      <c r="AZ133" s="90"/>
      <c r="BA133" s="90"/>
      <c r="BB133" s="90"/>
      <c r="BC133" s="90"/>
      <c r="BD133" s="90"/>
      <c r="BE133" s="90"/>
      <c r="BF133" s="90"/>
      <c r="BG133" s="90"/>
    </row>
    <row r="134" ht="12.75" customHeight="1" outlineLevel="1">
      <c r="A134" s="316"/>
      <c r="B134" s="90"/>
      <c r="C134" s="148" t="s">
        <v>173</v>
      </c>
      <c r="D134" s="362"/>
      <c r="E134" s="148"/>
      <c r="F134" s="148"/>
      <c r="G134" s="148"/>
      <c r="H134" s="285"/>
      <c r="I134" s="285"/>
      <c r="J134" s="363"/>
      <c r="K134" s="364">
        <v>15.0</v>
      </c>
      <c r="L134" s="364">
        <v>16.0</v>
      </c>
      <c r="M134" s="364">
        <v>16.0</v>
      </c>
      <c r="N134" s="364">
        <v>16.0</v>
      </c>
      <c r="O134" s="364">
        <v>16.0</v>
      </c>
      <c r="P134" s="364">
        <v>16.0</v>
      </c>
      <c r="Q134" s="364">
        <v>16.0</v>
      </c>
      <c r="R134" s="364">
        <v>16.0</v>
      </c>
      <c r="S134" s="364">
        <v>16.0</v>
      </c>
      <c r="T134" s="364">
        <v>16.0</v>
      </c>
      <c r="U134" s="364">
        <v>16.0</v>
      </c>
      <c r="V134" s="364">
        <v>16.0</v>
      </c>
      <c r="W134" s="364">
        <v>16.0</v>
      </c>
      <c r="X134" s="364">
        <v>16.0</v>
      </c>
      <c r="Y134" s="364">
        <v>16.0</v>
      </c>
      <c r="Z134" s="364">
        <v>16.0</v>
      </c>
      <c r="AA134" s="364">
        <v>16.0</v>
      </c>
      <c r="AB134" s="364">
        <v>16.0</v>
      </c>
      <c r="AC134" s="364">
        <v>16.0</v>
      </c>
      <c r="AD134" s="364">
        <v>16.0</v>
      </c>
      <c r="AE134" s="364">
        <v>16.0</v>
      </c>
      <c r="AF134" s="364">
        <v>16.0</v>
      </c>
      <c r="AG134" s="364">
        <v>16.0</v>
      </c>
      <c r="AH134" s="364">
        <v>16.0</v>
      </c>
      <c r="AI134" s="364">
        <v>16.0</v>
      </c>
      <c r="AJ134" s="364">
        <v>16.0</v>
      </c>
      <c r="AK134" s="364">
        <v>16.0</v>
      </c>
      <c r="AL134" s="364">
        <v>16.0</v>
      </c>
      <c r="AM134" s="364">
        <v>16.0</v>
      </c>
      <c r="AN134" s="364">
        <v>16.0</v>
      </c>
      <c r="AO134" s="364">
        <v>16.0</v>
      </c>
      <c r="AP134" s="364">
        <v>16.0</v>
      </c>
      <c r="AQ134" s="364">
        <v>16.0</v>
      </c>
      <c r="AR134" s="364">
        <v>16.0</v>
      </c>
      <c r="AS134" s="364">
        <v>16.0</v>
      </c>
      <c r="AT134" s="364">
        <v>16.0</v>
      </c>
      <c r="AU134" s="364">
        <v>16.0</v>
      </c>
      <c r="AV134" s="364">
        <v>16.0</v>
      </c>
      <c r="AW134" s="90"/>
      <c r="AX134" s="90"/>
      <c r="AY134" s="90"/>
      <c r="AZ134" s="90"/>
      <c r="BA134" s="90"/>
      <c r="BB134" s="90"/>
      <c r="BC134" s="90"/>
      <c r="BD134" s="90"/>
      <c r="BE134" s="90"/>
      <c r="BF134" s="90"/>
      <c r="BG134" s="90"/>
    </row>
    <row r="135" ht="12.75" customHeight="1" outlineLevel="1">
      <c r="A135" s="316"/>
      <c r="B135" s="90"/>
      <c r="C135" s="90"/>
      <c r="D135" s="90"/>
      <c r="E135" s="90"/>
      <c r="F135" s="90"/>
      <c r="G135" s="90"/>
      <c r="H135" s="102"/>
      <c r="I135" s="102"/>
      <c r="J135" s="526"/>
      <c r="K135" s="223"/>
      <c r="L135" s="223"/>
      <c r="M135" s="223"/>
      <c r="N135" s="223"/>
      <c r="O135" s="223"/>
      <c r="P135" s="223"/>
      <c r="Q135" s="223"/>
      <c r="R135" s="223"/>
      <c r="S135" s="223"/>
      <c r="T135" s="223"/>
      <c r="U135" s="223"/>
      <c r="V135" s="223"/>
      <c r="W135" s="223"/>
      <c r="X135" s="223"/>
      <c r="Y135" s="223"/>
      <c r="Z135" s="223"/>
      <c r="AA135" s="223"/>
      <c r="AB135" s="223"/>
      <c r="AC135" s="223"/>
      <c r="AD135" s="223"/>
      <c r="AE135" s="223"/>
      <c r="AF135" s="223"/>
      <c r="AG135" s="223"/>
      <c r="AH135" s="223"/>
      <c r="AI135" s="223"/>
      <c r="AJ135" s="223"/>
      <c r="AK135" s="223"/>
      <c r="AL135" s="223"/>
      <c r="AM135" s="223"/>
      <c r="AN135" s="223"/>
      <c r="AO135" s="223"/>
      <c r="AP135" s="223"/>
      <c r="AQ135" s="223"/>
      <c r="AR135" s="223"/>
      <c r="AS135" s="223"/>
      <c r="AT135" s="223"/>
      <c r="AU135" s="223"/>
      <c r="AV135" s="223"/>
      <c r="AW135" s="90"/>
      <c r="AX135" s="90"/>
      <c r="AY135" s="90"/>
      <c r="AZ135" s="90"/>
      <c r="BA135" s="90"/>
      <c r="BB135" s="90"/>
      <c r="BC135" s="90"/>
      <c r="BD135" s="90"/>
      <c r="BE135" s="90"/>
      <c r="BF135" s="90"/>
      <c r="BG135" s="90"/>
    </row>
    <row r="136" ht="12.75" customHeight="1" outlineLevel="1">
      <c r="A136" s="316"/>
      <c r="B136" s="195"/>
      <c r="C136" s="90" t="s">
        <v>700</v>
      </c>
      <c r="D136" s="90"/>
      <c r="E136" s="90"/>
      <c r="F136" s="90"/>
      <c r="G136" s="90"/>
      <c r="H136" s="223"/>
      <c r="I136" s="223"/>
      <c r="J136" s="223"/>
      <c r="K136" s="223"/>
      <c r="L136" s="223"/>
      <c r="M136" s="223"/>
      <c r="N136" s="223"/>
      <c r="O136" s="223"/>
      <c r="P136" s="223"/>
      <c r="Q136" s="223"/>
      <c r="R136" s="223"/>
      <c r="S136" s="223"/>
      <c r="T136" s="223"/>
      <c r="U136" s="223"/>
      <c r="V136" s="223"/>
      <c r="W136" s="223"/>
      <c r="X136" s="223"/>
      <c r="Y136" s="223"/>
      <c r="Z136" s="223"/>
      <c r="AA136" s="223"/>
      <c r="AB136" s="223"/>
      <c r="AC136" s="223"/>
      <c r="AD136" s="223"/>
      <c r="AE136" s="223"/>
      <c r="AF136" s="223"/>
      <c r="AG136" s="223"/>
      <c r="AH136" s="223"/>
      <c r="AI136" s="223"/>
      <c r="AJ136" s="223"/>
      <c r="AK136" s="223"/>
      <c r="AL136" s="223"/>
      <c r="AM136" s="223"/>
      <c r="AN136" s="223"/>
      <c r="AO136" s="223"/>
      <c r="AP136" s="223"/>
      <c r="AQ136" s="223"/>
      <c r="AR136" s="223"/>
      <c r="AS136" s="223"/>
      <c r="AT136" s="223"/>
      <c r="AU136" s="223"/>
      <c r="AV136" s="223"/>
      <c r="AW136" s="90"/>
      <c r="AX136" s="90"/>
      <c r="AY136" s="90"/>
      <c r="AZ136" s="90"/>
      <c r="BA136" s="90"/>
      <c r="BB136" s="90"/>
      <c r="BC136" s="90"/>
      <c r="BD136" s="90"/>
      <c r="BE136" s="90"/>
      <c r="BF136" s="90"/>
      <c r="BG136" s="90"/>
    </row>
    <row r="137" ht="12.75" customHeight="1" outlineLevel="1">
      <c r="A137" s="316"/>
      <c r="B137" s="195"/>
      <c r="C137" s="90"/>
      <c r="D137" s="90" t="s">
        <v>701</v>
      </c>
      <c r="E137" s="90"/>
      <c r="F137" s="90"/>
      <c r="G137" s="527"/>
      <c r="H137" s="527"/>
      <c r="I137" s="527">
        <v>1.0</v>
      </c>
      <c r="J137" s="527">
        <v>1.0</v>
      </c>
      <c r="K137" s="223">
        <f t="shared" ref="K137:AV137" si="102">J137</f>
        <v>1</v>
      </c>
      <c r="L137" s="223">
        <f t="shared" si="102"/>
        <v>1</v>
      </c>
      <c r="M137" s="223">
        <f t="shared" si="102"/>
        <v>1</v>
      </c>
      <c r="N137" s="223">
        <f t="shared" si="102"/>
        <v>1</v>
      </c>
      <c r="O137" s="223">
        <f t="shared" si="102"/>
        <v>1</v>
      </c>
      <c r="P137" s="223">
        <f t="shared" si="102"/>
        <v>1</v>
      </c>
      <c r="Q137" s="223">
        <f t="shared" si="102"/>
        <v>1</v>
      </c>
      <c r="R137" s="223">
        <f t="shared" si="102"/>
        <v>1</v>
      </c>
      <c r="S137" s="223">
        <f t="shared" si="102"/>
        <v>1</v>
      </c>
      <c r="T137" s="223">
        <f t="shared" si="102"/>
        <v>1</v>
      </c>
      <c r="U137" s="223">
        <f t="shared" si="102"/>
        <v>1</v>
      </c>
      <c r="V137" s="223">
        <f t="shared" si="102"/>
        <v>1</v>
      </c>
      <c r="W137" s="223">
        <f t="shared" si="102"/>
        <v>1</v>
      </c>
      <c r="X137" s="223">
        <f t="shared" si="102"/>
        <v>1</v>
      </c>
      <c r="Y137" s="223">
        <f t="shared" si="102"/>
        <v>1</v>
      </c>
      <c r="Z137" s="223">
        <f t="shared" si="102"/>
        <v>1</v>
      </c>
      <c r="AA137" s="223">
        <f t="shared" si="102"/>
        <v>1</v>
      </c>
      <c r="AB137" s="223">
        <f t="shared" si="102"/>
        <v>1</v>
      </c>
      <c r="AC137" s="223">
        <f t="shared" si="102"/>
        <v>1</v>
      </c>
      <c r="AD137" s="223">
        <f t="shared" si="102"/>
        <v>1</v>
      </c>
      <c r="AE137" s="223">
        <f t="shared" si="102"/>
        <v>1</v>
      </c>
      <c r="AF137" s="223">
        <f t="shared" si="102"/>
        <v>1</v>
      </c>
      <c r="AG137" s="223">
        <f t="shared" si="102"/>
        <v>1</v>
      </c>
      <c r="AH137" s="223">
        <f t="shared" si="102"/>
        <v>1</v>
      </c>
      <c r="AI137" s="223">
        <f t="shared" si="102"/>
        <v>1</v>
      </c>
      <c r="AJ137" s="223">
        <f t="shared" si="102"/>
        <v>1</v>
      </c>
      <c r="AK137" s="223">
        <f t="shared" si="102"/>
        <v>1</v>
      </c>
      <c r="AL137" s="223">
        <f t="shared" si="102"/>
        <v>1</v>
      </c>
      <c r="AM137" s="223">
        <f t="shared" si="102"/>
        <v>1</v>
      </c>
      <c r="AN137" s="223">
        <f t="shared" si="102"/>
        <v>1</v>
      </c>
      <c r="AO137" s="223">
        <f t="shared" si="102"/>
        <v>1</v>
      </c>
      <c r="AP137" s="223">
        <f t="shared" si="102"/>
        <v>1</v>
      </c>
      <c r="AQ137" s="223">
        <f t="shared" si="102"/>
        <v>1</v>
      </c>
      <c r="AR137" s="223">
        <f t="shared" si="102"/>
        <v>1</v>
      </c>
      <c r="AS137" s="223">
        <f t="shared" si="102"/>
        <v>1</v>
      </c>
      <c r="AT137" s="223">
        <f t="shared" si="102"/>
        <v>1</v>
      </c>
      <c r="AU137" s="223">
        <f t="shared" si="102"/>
        <v>1</v>
      </c>
      <c r="AV137" s="223">
        <f t="shared" si="102"/>
        <v>1</v>
      </c>
      <c r="AW137" s="90" t="s">
        <v>1192</v>
      </c>
      <c r="AX137" s="90"/>
      <c r="AY137" s="90"/>
      <c r="AZ137" s="90"/>
      <c r="BA137" s="90"/>
      <c r="BB137" s="90"/>
      <c r="BC137" s="90"/>
      <c r="BD137" s="90"/>
      <c r="BE137" s="90"/>
      <c r="BF137" s="90"/>
      <c r="BG137" s="90"/>
    </row>
    <row r="138" ht="12.75" customHeight="1" outlineLevel="1">
      <c r="A138" s="316"/>
      <c r="B138" s="195"/>
      <c r="C138" s="90"/>
      <c r="D138" s="90" t="s">
        <v>702</v>
      </c>
      <c r="E138" s="90"/>
      <c r="F138" s="90"/>
      <c r="G138" s="527"/>
      <c r="H138" s="527"/>
      <c r="I138" s="527">
        <v>0.0</v>
      </c>
      <c r="J138" s="527">
        <v>1.0</v>
      </c>
      <c r="K138" s="223">
        <f t="shared" ref="K138:AV138" si="103">J138</f>
        <v>1</v>
      </c>
      <c r="L138" s="223">
        <f t="shared" si="103"/>
        <v>1</v>
      </c>
      <c r="M138" s="223">
        <f t="shared" si="103"/>
        <v>1</v>
      </c>
      <c r="N138" s="223">
        <f t="shared" si="103"/>
        <v>1</v>
      </c>
      <c r="O138" s="223">
        <f t="shared" si="103"/>
        <v>1</v>
      </c>
      <c r="P138" s="223">
        <f t="shared" si="103"/>
        <v>1</v>
      </c>
      <c r="Q138" s="223">
        <f t="shared" si="103"/>
        <v>1</v>
      </c>
      <c r="R138" s="223">
        <f t="shared" si="103"/>
        <v>1</v>
      </c>
      <c r="S138" s="223">
        <f t="shared" si="103"/>
        <v>1</v>
      </c>
      <c r="T138" s="223">
        <f t="shared" si="103"/>
        <v>1</v>
      </c>
      <c r="U138" s="223">
        <f t="shared" si="103"/>
        <v>1</v>
      </c>
      <c r="V138" s="223">
        <f t="shared" si="103"/>
        <v>1</v>
      </c>
      <c r="W138" s="223">
        <f t="shared" si="103"/>
        <v>1</v>
      </c>
      <c r="X138" s="223">
        <f t="shared" si="103"/>
        <v>1</v>
      </c>
      <c r="Y138" s="223">
        <f t="shared" si="103"/>
        <v>1</v>
      </c>
      <c r="Z138" s="223">
        <f t="shared" si="103"/>
        <v>1</v>
      </c>
      <c r="AA138" s="223">
        <f t="shared" si="103"/>
        <v>1</v>
      </c>
      <c r="AB138" s="223">
        <f t="shared" si="103"/>
        <v>1</v>
      </c>
      <c r="AC138" s="223">
        <f t="shared" si="103"/>
        <v>1</v>
      </c>
      <c r="AD138" s="223">
        <f t="shared" si="103"/>
        <v>1</v>
      </c>
      <c r="AE138" s="223">
        <f t="shared" si="103"/>
        <v>1</v>
      </c>
      <c r="AF138" s="223">
        <f t="shared" si="103"/>
        <v>1</v>
      </c>
      <c r="AG138" s="223">
        <f t="shared" si="103"/>
        <v>1</v>
      </c>
      <c r="AH138" s="223">
        <f t="shared" si="103"/>
        <v>1</v>
      </c>
      <c r="AI138" s="223">
        <f t="shared" si="103"/>
        <v>1</v>
      </c>
      <c r="AJ138" s="223">
        <f t="shared" si="103"/>
        <v>1</v>
      </c>
      <c r="AK138" s="223">
        <f t="shared" si="103"/>
        <v>1</v>
      </c>
      <c r="AL138" s="223">
        <f t="shared" si="103"/>
        <v>1</v>
      </c>
      <c r="AM138" s="223">
        <f t="shared" si="103"/>
        <v>1</v>
      </c>
      <c r="AN138" s="223">
        <f t="shared" si="103"/>
        <v>1</v>
      </c>
      <c r="AO138" s="223">
        <f t="shared" si="103"/>
        <v>1</v>
      </c>
      <c r="AP138" s="223">
        <f t="shared" si="103"/>
        <v>1</v>
      </c>
      <c r="AQ138" s="223">
        <f t="shared" si="103"/>
        <v>1</v>
      </c>
      <c r="AR138" s="223">
        <f t="shared" si="103"/>
        <v>1</v>
      </c>
      <c r="AS138" s="223">
        <f t="shared" si="103"/>
        <v>1</v>
      </c>
      <c r="AT138" s="223">
        <f t="shared" si="103"/>
        <v>1</v>
      </c>
      <c r="AU138" s="223">
        <f t="shared" si="103"/>
        <v>1</v>
      </c>
      <c r="AV138" s="223">
        <f t="shared" si="103"/>
        <v>1</v>
      </c>
      <c r="AW138" s="90"/>
      <c r="AX138" s="90"/>
      <c r="AY138" s="90"/>
      <c r="AZ138" s="90"/>
      <c r="BA138" s="90"/>
      <c r="BB138" s="90"/>
      <c r="BC138" s="90"/>
      <c r="BD138" s="90"/>
      <c r="BE138" s="90"/>
      <c r="BF138" s="90"/>
      <c r="BG138" s="90"/>
    </row>
    <row r="139" ht="12.75" customHeight="1" outlineLevel="1">
      <c r="A139" s="316"/>
      <c r="B139" s="195"/>
      <c r="C139" s="87"/>
      <c r="D139" s="87" t="s">
        <v>703</v>
      </c>
      <c r="E139" s="87"/>
      <c r="F139" s="87"/>
      <c r="G139" s="528"/>
      <c r="H139" s="528"/>
      <c r="I139" s="528">
        <v>0.0</v>
      </c>
      <c r="J139" s="528">
        <v>0.0</v>
      </c>
      <c r="K139" s="367">
        <f t="shared" ref="K139:AV139" si="104">J139</f>
        <v>0</v>
      </c>
      <c r="L139" s="367">
        <f t="shared" si="104"/>
        <v>0</v>
      </c>
      <c r="M139" s="367">
        <f t="shared" si="104"/>
        <v>0</v>
      </c>
      <c r="N139" s="367">
        <f t="shared" si="104"/>
        <v>0</v>
      </c>
      <c r="O139" s="367">
        <f t="shared" si="104"/>
        <v>0</v>
      </c>
      <c r="P139" s="367">
        <f t="shared" si="104"/>
        <v>0</v>
      </c>
      <c r="Q139" s="367">
        <f t="shared" si="104"/>
        <v>0</v>
      </c>
      <c r="R139" s="367">
        <f t="shared" si="104"/>
        <v>0</v>
      </c>
      <c r="S139" s="367">
        <f t="shared" si="104"/>
        <v>0</v>
      </c>
      <c r="T139" s="367">
        <f t="shared" si="104"/>
        <v>0</v>
      </c>
      <c r="U139" s="367">
        <f t="shared" si="104"/>
        <v>0</v>
      </c>
      <c r="V139" s="367">
        <f t="shared" si="104"/>
        <v>0</v>
      </c>
      <c r="W139" s="367">
        <f t="shared" si="104"/>
        <v>0</v>
      </c>
      <c r="X139" s="367">
        <f t="shared" si="104"/>
        <v>0</v>
      </c>
      <c r="Y139" s="367">
        <f t="shared" si="104"/>
        <v>0</v>
      </c>
      <c r="Z139" s="367">
        <f t="shared" si="104"/>
        <v>0</v>
      </c>
      <c r="AA139" s="367">
        <f t="shared" si="104"/>
        <v>0</v>
      </c>
      <c r="AB139" s="367">
        <f t="shared" si="104"/>
        <v>0</v>
      </c>
      <c r="AC139" s="367">
        <f t="shared" si="104"/>
        <v>0</v>
      </c>
      <c r="AD139" s="367">
        <f t="shared" si="104"/>
        <v>0</v>
      </c>
      <c r="AE139" s="367">
        <f t="shared" si="104"/>
        <v>0</v>
      </c>
      <c r="AF139" s="367">
        <f t="shared" si="104"/>
        <v>0</v>
      </c>
      <c r="AG139" s="367">
        <f t="shared" si="104"/>
        <v>0</v>
      </c>
      <c r="AH139" s="367">
        <f t="shared" si="104"/>
        <v>0</v>
      </c>
      <c r="AI139" s="367">
        <f t="shared" si="104"/>
        <v>0</v>
      </c>
      <c r="AJ139" s="367">
        <f t="shared" si="104"/>
        <v>0</v>
      </c>
      <c r="AK139" s="367">
        <f t="shared" si="104"/>
        <v>0</v>
      </c>
      <c r="AL139" s="367">
        <f t="shared" si="104"/>
        <v>0</v>
      </c>
      <c r="AM139" s="367">
        <f t="shared" si="104"/>
        <v>0</v>
      </c>
      <c r="AN139" s="367">
        <f t="shared" si="104"/>
        <v>0</v>
      </c>
      <c r="AO139" s="367">
        <f t="shared" si="104"/>
        <v>0</v>
      </c>
      <c r="AP139" s="367">
        <f t="shared" si="104"/>
        <v>0</v>
      </c>
      <c r="AQ139" s="367">
        <f t="shared" si="104"/>
        <v>0</v>
      </c>
      <c r="AR139" s="367">
        <f t="shared" si="104"/>
        <v>0</v>
      </c>
      <c r="AS139" s="367">
        <f t="shared" si="104"/>
        <v>0</v>
      </c>
      <c r="AT139" s="367">
        <f t="shared" si="104"/>
        <v>0</v>
      </c>
      <c r="AU139" s="367">
        <f t="shared" si="104"/>
        <v>0</v>
      </c>
      <c r="AV139" s="367">
        <f t="shared" si="104"/>
        <v>0</v>
      </c>
      <c r="AW139" s="90"/>
      <c r="AX139" s="90"/>
      <c r="AY139" s="90"/>
      <c r="AZ139" s="90"/>
      <c r="BA139" s="90"/>
      <c r="BB139" s="90"/>
      <c r="BC139" s="90"/>
      <c r="BD139" s="90"/>
      <c r="BE139" s="90"/>
      <c r="BF139" s="90"/>
      <c r="BG139" s="90"/>
    </row>
    <row r="140" ht="12.75" customHeight="1" outlineLevel="1">
      <c r="A140" s="316"/>
      <c r="B140" s="195"/>
      <c r="C140" s="90" t="s">
        <v>704</v>
      </c>
      <c r="D140" s="90"/>
      <c r="E140" s="90"/>
      <c r="F140" s="90"/>
      <c r="G140" s="223"/>
      <c r="H140" s="223"/>
      <c r="I140" s="223">
        <f t="shared" ref="I140:AV140" si="105">SUM(I137:I139)</f>
        <v>1</v>
      </c>
      <c r="J140" s="223">
        <f t="shared" si="105"/>
        <v>2</v>
      </c>
      <c r="K140" s="223">
        <f t="shared" si="105"/>
        <v>2</v>
      </c>
      <c r="L140" s="223">
        <f t="shared" si="105"/>
        <v>2</v>
      </c>
      <c r="M140" s="223">
        <f t="shared" si="105"/>
        <v>2</v>
      </c>
      <c r="N140" s="223">
        <f t="shared" si="105"/>
        <v>2</v>
      </c>
      <c r="O140" s="223">
        <f t="shared" si="105"/>
        <v>2</v>
      </c>
      <c r="P140" s="223">
        <f t="shared" si="105"/>
        <v>2</v>
      </c>
      <c r="Q140" s="223">
        <f t="shared" si="105"/>
        <v>2</v>
      </c>
      <c r="R140" s="223">
        <f t="shared" si="105"/>
        <v>2</v>
      </c>
      <c r="S140" s="223">
        <f t="shared" si="105"/>
        <v>2</v>
      </c>
      <c r="T140" s="223">
        <f t="shared" si="105"/>
        <v>2</v>
      </c>
      <c r="U140" s="223">
        <f t="shared" si="105"/>
        <v>2</v>
      </c>
      <c r="V140" s="223">
        <f t="shared" si="105"/>
        <v>2</v>
      </c>
      <c r="W140" s="223">
        <f t="shared" si="105"/>
        <v>2</v>
      </c>
      <c r="X140" s="223">
        <f t="shared" si="105"/>
        <v>2</v>
      </c>
      <c r="Y140" s="223">
        <f t="shared" si="105"/>
        <v>2</v>
      </c>
      <c r="Z140" s="223">
        <f t="shared" si="105"/>
        <v>2</v>
      </c>
      <c r="AA140" s="223">
        <f t="shared" si="105"/>
        <v>2</v>
      </c>
      <c r="AB140" s="223">
        <f t="shared" si="105"/>
        <v>2</v>
      </c>
      <c r="AC140" s="223">
        <f t="shared" si="105"/>
        <v>2</v>
      </c>
      <c r="AD140" s="223">
        <f t="shared" si="105"/>
        <v>2</v>
      </c>
      <c r="AE140" s="223">
        <f t="shared" si="105"/>
        <v>2</v>
      </c>
      <c r="AF140" s="223">
        <f t="shared" si="105"/>
        <v>2</v>
      </c>
      <c r="AG140" s="223">
        <f t="shared" si="105"/>
        <v>2</v>
      </c>
      <c r="AH140" s="223">
        <f t="shared" si="105"/>
        <v>2</v>
      </c>
      <c r="AI140" s="223">
        <f t="shared" si="105"/>
        <v>2</v>
      </c>
      <c r="AJ140" s="223">
        <f t="shared" si="105"/>
        <v>2</v>
      </c>
      <c r="AK140" s="223">
        <f t="shared" si="105"/>
        <v>2</v>
      </c>
      <c r="AL140" s="223">
        <f t="shared" si="105"/>
        <v>2</v>
      </c>
      <c r="AM140" s="223">
        <f t="shared" si="105"/>
        <v>2</v>
      </c>
      <c r="AN140" s="223">
        <f t="shared" si="105"/>
        <v>2</v>
      </c>
      <c r="AO140" s="223">
        <f t="shared" si="105"/>
        <v>2</v>
      </c>
      <c r="AP140" s="223">
        <f t="shared" si="105"/>
        <v>2</v>
      </c>
      <c r="AQ140" s="223">
        <f t="shared" si="105"/>
        <v>2</v>
      </c>
      <c r="AR140" s="223">
        <f t="shared" si="105"/>
        <v>2</v>
      </c>
      <c r="AS140" s="223">
        <f t="shared" si="105"/>
        <v>2</v>
      </c>
      <c r="AT140" s="223">
        <f t="shared" si="105"/>
        <v>2</v>
      </c>
      <c r="AU140" s="223">
        <f t="shared" si="105"/>
        <v>2</v>
      </c>
      <c r="AV140" s="223">
        <f t="shared" si="105"/>
        <v>2</v>
      </c>
      <c r="AW140" s="90"/>
      <c r="AX140" s="90"/>
      <c r="AY140" s="90"/>
      <c r="AZ140" s="90"/>
      <c r="BA140" s="90"/>
      <c r="BB140" s="90"/>
      <c r="BC140" s="90"/>
      <c r="BD140" s="90"/>
      <c r="BE140" s="90"/>
      <c r="BF140" s="90"/>
      <c r="BG140" s="90"/>
    </row>
    <row r="141" ht="12.75" customHeight="1" outlineLevel="1">
      <c r="A141" s="316"/>
      <c r="B141" s="195"/>
      <c r="C141" s="90"/>
      <c r="D141" s="90"/>
      <c r="E141" s="90"/>
      <c r="F141" s="90"/>
      <c r="G141" s="90"/>
      <c r="H141" s="223"/>
      <c r="I141" s="223"/>
      <c r="J141" s="223"/>
      <c r="K141" s="223"/>
      <c r="L141" s="223"/>
      <c r="M141" s="223"/>
      <c r="N141" s="223"/>
      <c r="O141" s="223"/>
      <c r="P141" s="223"/>
      <c r="Q141" s="223"/>
      <c r="R141" s="223"/>
      <c r="S141" s="223"/>
      <c r="T141" s="223"/>
      <c r="U141" s="223"/>
      <c r="V141" s="223"/>
      <c r="W141" s="223"/>
      <c r="X141" s="223"/>
      <c r="Y141" s="223"/>
      <c r="Z141" s="223"/>
      <c r="AA141" s="223"/>
      <c r="AB141" s="223"/>
      <c r="AC141" s="223"/>
      <c r="AD141" s="223"/>
      <c r="AE141" s="223"/>
      <c r="AF141" s="223"/>
      <c r="AG141" s="223"/>
      <c r="AH141" s="223"/>
      <c r="AI141" s="223"/>
      <c r="AJ141" s="223"/>
      <c r="AK141" s="223"/>
      <c r="AL141" s="223"/>
      <c r="AM141" s="223"/>
      <c r="AN141" s="223"/>
      <c r="AO141" s="223"/>
      <c r="AP141" s="223"/>
      <c r="AQ141" s="223"/>
      <c r="AR141" s="223"/>
      <c r="AS141" s="223"/>
      <c r="AT141" s="223"/>
      <c r="AU141" s="223"/>
      <c r="AV141" s="223"/>
      <c r="AW141" s="90"/>
      <c r="AX141" s="90"/>
      <c r="AY141" s="90"/>
      <c r="AZ141" s="90"/>
      <c r="BA141" s="90"/>
      <c r="BB141" s="90"/>
      <c r="BC141" s="90"/>
      <c r="BD141" s="90"/>
      <c r="BE141" s="90"/>
      <c r="BF141" s="90"/>
      <c r="BG141" s="90"/>
    </row>
    <row r="142" ht="13.5" customHeight="1" outlineLevel="1">
      <c r="A142" s="316"/>
      <c r="B142" s="195"/>
      <c r="C142" s="90" t="s">
        <v>705</v>
      </c>
      <c r="D142" s="90"/>
      <c r="E142" s="90"/>
      <c r="F142" s="90"/>
      <c r="G142" s="90"/>
      <c r="H142" s="223"/>
      <c r="I142" s="223"/>
      <c r="J142" s="223"/>
      <c r="K142" s="223"/>
      <c r="L142" s="223"/>
      <c r="M142" s="223"/>
      <c r="N142" s="223"/>
      <c r="O142" s="223"/>
      <c r="P142" s="223"/>
      <c r="Q142" s="223"/>
      <c r="R142" s="223"/>
      <c r="S142" s="223"/>
      <c r="T142" s="223"/>
      <c r="U142" s="223"/>
      <c r="V142" s="223"/>
      <c r="W142" s="223"/>
      <c r="X142" s="223"/>
      <c r="Y142" s="223"/>
      <c r="Z142" s="223"/>
      <c r="AA142" s="223"/>
      <c r="AB142" s="223"/>
      <c r="AC142" s="223"/>
      <c r="AD142" s="223"/>
      <c r="AE142" s="223"/>
      <c r="AF142" s="223"/>
      <c r="AG142" s="223"/>
      <c r="AH142" s="223"/>
      <c r="AI142" s="223"/>
      <c r="AJ142" s="223"/>
      <c r="AK142" s="223"/>
      <c r="AL142" s="223"/>
      <c r="AM142" s="223"/>
      <c r="AN142" s="223"/>
      <c r="AO142" s="223"/>
      <c r="AP142" s="223"/>
      <c r="AQ142" s="223"/>
      <c r="AR142" s="223"/>
      <c r="AS142" s="223"/>
      <c r="AT142" s="223"/>
      <c r="AU142" s="223"/>
      <c r="AV142" s="223"/>
      <c r="AW142" s="90"/>
      <c r="AX142" s="90"/>
      <c r="AY142" s="90"/>
      <c r="AZ142" s="90"/>
      <c r="BA142" s="90"/>
      <c r="BB142" s="90"/>
      <c r="BC142" s="90"/>
      <c r="BD142" s="90"/>
      <c r="BE142" s="90"/>
      <c r="BF142" s="90"/>
      <c r="BG142" s="90"/>
    </row>
    <row r="143" ht="12.75" customHeight="1" outlineLevel="1">
      <c r="A143" s="316"/>
      <c r="B143" s="195"/>
      <c r="C143" s="90"/>
      <c r="D143" s="90" t="s">
        <v>706</v>
      </c>
      <c r="E143" s="90"/>
      <c r="F143" s="90"/>
      <c r="G143" s="527"/>
      <c r="H143" s="527"/>
      <c r="I143" s="527">
        <v>0.0</v>
      </c>
      <c r="J143" s="527">
        <v>4.0</v>
      </c>
      <c r="K143" s="529">
        <v>6.0</v>
      </c>
      <c r="L143" s="530">
        <v>8.0</v>
      </c>
      <c r="M143" s="530">
        <v>8.0</v>
      </c>
      <c r="N143" s="531">
        <v>7.0</v>
      </c>
      <c r="O143" s="223">
        <f>N143</f>
        <v>7</v>
      </c>
      <c r="P143" s="223">
        <v>5.0</v>
      </c>
      <c r="Q143" s="223">
        <v>5.0</v>
      </c>
      <c r="R143" s="223">
        <v>5.0</v>
      </c>
      <c r="S143" s="223">
        <v>5.0</v>
      </c>
      <c r="T143" s="223">
        <v>5.0</v>
      </c>
      <c r="U143" s="223">
        <v>5.0</v>
      </c>
      <c r="V143" s="223">
        <v>5.0</v>
      </c>
      <c r="W143" s="223">
        <v>5.0</v>
      </c>
      <c r="X143" s="223">
        <v>5.0</v>
      </c>
      <c r="Y143" s="223">
        <v>5.0</v>
      </c>
      <c r="Z143" s="223">
        <v>5.0</v>
      </c>
      <c r="AA143" s="223">
        <v>5.0</v>
      </c>
      <c r="AB143" s="223">
        <v>5.0</v>
      </c>
      <c r="AC143" s="223">
        <v>5.0</v>
      </c>
      <c r="AD143" s="223">
        <v>5.0</v>
      </c>
      <c r="AE143" s="223">
        <v>5.0</v>
      </c>
      <c r="AF143" s="223">
        <v>5.0</v>
      </c>
      <c r="AG143" s="223">
        <v>5.0</v>
      </c>
      <c r="AH143" s="223">
        <v>5.0</v>
      </c>
      <c r="AI143" s="223">
        <v>5.0</v>
      </c>
      <c r="AJ143" s="223">
        <v>5.0</v>
      </c>
      <c r="AK143" s="223">
        <v>5.0</v>
      </c>
      <c r="AL143" s="223">
        <v>5.0</v>
      </c>
      <c r="AM143" s="223">
        <v>5.0</v>
      </c>
      <c r="AN143" s="223">
        <v>5.0</v>
      </c>
      <c r="AO143" s="223">
        <v>5.0</v>
      </c>
      <c r="AP143" s="223">
        <v>5.0</v>
      </c>
      <c r="AQ143" s="223">
        <v>5.0</v>
      </c>
      <c r="AR143" s="223">
        <v>5.0</v>
      </c>
      <c r="AS143" s="223">
        <v>5.0</v>
      </c>
      <c r="AT143" s="223">
        <v>5.0</v>
      </c>
      <c r="AU143" s="223">
        <v>5.0</v>
      </c>
      <c r="AV143" s="223">
        <v>5.0</v>
      </c>
      <c r="AW143" s="90" t="s">
        <v>1193</v>
      </c>
      <c r="AX143" s="90"/>
      <c r="AY143" s="90"/>
      <c r="AZ143" s="90"/>
      <c r="BA143" s="90"/>
      <c r="BB143" s="90"/>
      <c r="BC143" s="90"/>
      <c r="BD143" s="90"/>
      <c r="BE143" s="90"/>
      <c r="BF143" s="90"/>
      <c r="BG143" s="90"/>
    </row>
    <row r="144" ht="13.5" customHeight="1" outlineLevel="1">
      <c r="A144" s="316"/>
      <c r="B144" s="195"/>
      <c r="C144" s="90"/>
      <c r="D144" s="90" t="s">
        <v>707</v>
      </c>
      <c r="E144" s="90"/>
      <c r="F144" s="90"/>
      <c r="G144" s="527"/>
      <c r="H144" s="527"/>
      <c r="I144" s="527">
        <v>7.0</v>
      </c>
      <c r="J144" s="527">
        <v>8.0</v>
      </c>
      <c r="K144" s="532">
        <f t="shared" ref="K144:M144" si="106">K134-K143</f>
        <v>9</v>
      </c>
      <c r="L144" s="533">
        <f t="shared" si="106"/>
        <v>8</v>
      </c>
      <c r="M144" s="533">
        <f t="shared" si="106"/>
        <v>8</v>
      </c>
      <c r="N144" s="534">
        <v>7.0</v>
      </c>
      <c r="O144" s="223">
        <v>7.0</v>
      </c>
      <c r="P144" s="223">
        <v>5.0</v>
      </c>
      <c r="Q144" s="223">
        <v>5.0</v>
      </c>
      <c r="R144" s="223">
        <v>5.0</v>
      </c>
      <c r="S144" s="223">
        <v>5.0</v>
      </c>
      <c r="T144" s="223">
        <v>5.0</v>
      </c>
      <c r="U144" s="223">
        <v>5.0</v>
      </c>
      <c r="V144" s="223">
        <v>5.0</v>
      </c>
      <c r="W144" s="223">
        <v>5.0</v>
      </c>
      <c r="X144" s="223">
        <v>5.0</v>
      </c>
      <c r="Y144" s="223">
        <v>5.0</v>
      </c>
      <c r="Z144" s="223">
        <v>5.0</v>
      </c>
      <c r="AA144" s="223">
        <v>5.0</v>
      </c>
      <c r="AB144" s="223">
        <v>5.0</v>
      </c>
      <c r="AC144" s="223">
        <v>5.0</v>
      </c>
      <c r="AD144" s="223">
        <v>5.0</v>
      </c>
      <c r="AE144" s="223">
        <v>5.0</v>
      </c>
      <c r="AF144" s="223">
        <v>5.0</v>
      </c>
      <c r="AG144" s="223">
        <v>5.0</v>
      </c>
      <c r="AH144" s="223">
        <v>5.0</v>
      </c>
      <c r="AI144" s="223">
        <v>5.0</v>
      </c>
      <c r="AJ144" s="223">
        <v>5.0</v>
      </c>
      <c r="AK144" s="223">
        <v>5.0</v>
      </c>
      <c r="AL144" s="223">
        <v>5.0</v>
      </c>
      <c r="AM144" s="223">
        <v>5.0</v>
      </c>
      <c r="AN144" s="223">
        <v>5.0</v>
      </c>
      <c r="AO144" s="223">
        <v>5.0</v>
      </c>
      <c r="AP144" s="223">
        <v>5.0</v>
      </c>
      <c r="AQ144" s="223">
        <v>5.0</v>
      </c>
      <c r="AR144" s="223">
        <v>5.0</v>
      </c>
      <c r="AS144" s="223">
        <v>5.0</v>
      </c>
      <c r="AT144" s="223">
        <v>5.0</v>
      </c>
      <c r="AU144" s="223">
        <v>5.0</v>
      </c>
      <c r="AV144" s="223">
        <v>5.0</v>
      </c>
      <c r="AW144" s="90" t="s">
        <v>1194</v>
      </c>
      <c r="AX144" s="90"/>
      <c r="AY144" s="90"/>
      <c r="AZ144" s="90"/>
      <c r="BA144" s="90"/>
      <c r="BB144" s="90"/>
      <c r="BC144" s="90"/>
      <c r="BD144" s="90"/>
      <c r="BE144" s="90"/>
      <c r="BF144" s="90"/>
      <c r="BG144" s="90"/>
    </row>
    <row r="145" ht="12.75" customHeight="1" outlineLevel="1">
      <c r="A145" s="316"/>
      <c r="B145" s="195"/>
      <c r="C145" s="90"/>
      <c r="D145" s="90" t="s">
        <v>708</v>
      </c>
      <c r="E145" s="90"/>
      <c r="F145" s="90"/>
      <c r="G145" s="527"/>
      <c r="H145" s="527"/>
      <c r="I145" s="527">
        <v>0.0</v>
      </c>
      <c r="J145" s="527">
        <v>0.0</v>
      </c>
      <c r="K145" s="527">
        <v>0.0</v>
      </c>
      <c r="L145" s="527">
        <v>0.0</v>
      </c>
      <c r="M145" s="223">
        <f t="shared" ref="M145:AV145" si="107">L145</f>
        <v>0</v>
      </c>
      <c r="N145" s="223">
        <f t="shared" si="107"/>
        <v>0</v>
      </c>
      <c r="O145" s="223">
        <f t="shared" si="107"/>
        <v>0</v>
      </c>
      <c r="P145" s="223">
        <f t="shared" si="107"/>
        <v>0</v>
      </c>
      <c r="Q145" s="223">
        <f t="shared" si="107"/>
        <v>0</v>
      </c>
      <c r="R145" s="223">
        <f t="shared" si="107"/>
        <v>0</v>
      </c>
      <c r="S145" s="223">
        <f t="shared" si="107"/>
        <v>0</v>
      </c>
      <c r="T145" s="223">
        <f t="shared" si="107"/>
        <v>0</v>
      </c>
      <c r="U145" s="223">
        <f t="shared" si="107"/>
        <v>0</v>
      </c>
      <c r="V145" s="223">
        <f t="shared" si="107"/>
        <v>0</v>
      </c>
      <c r="W145" s="223">
        <f t="shared" si="107"/>
        <v>0</v>
      </c>
      <c r="X145" s="223">
        <f t="shared" si="107"/>
        <v>0</v>
      </c>
      <c r="Y145" s="223">
        <f t="shared" si="107"/>
        <v>0</v>
      </c>
      <c r="Z145" s="223">
        <f t="shared" si="107"/>
        <v>0</v>
      </c>
      <c r="AA145" s="223">
        <f t="shared" si="107"/>
        <v>0</v>
      </c>
      <c r="AB145" s="223">
        <f t="shared" si="107"/>
        <v>0</v>
      </c>
      <c r="AC145" s="223">
        <f t="shared" si="107"/>
        <v>0</v>
      </c>
      <c r="AD145" s="223">
        <f t="shared" si="107"/>
        <v>0</v>
      </c>
      <c r="AE145" s="223">
        <f t="shared" si="107"/>
        <v>0</v>
      </c>
      <c r="AF145" s="223">
        <f t="shared" si="107"/>
        <v>0</v>
      </c>
      <c r="AG145" s="223">
        <f t="shared" si="107"/>
        <v>0</v>
      </c>
      <c r="AH145" s="223">
        <f t="shared" si="107"/>
        <v>0</v>
      </c>
      <c r="AI145" s="223">
        <f t="shared" si="107"/>
        <v>0</v>
      </c>
      <c r="AJ145" s="223">
        <f t="shared" si="107"/>
        <v>0</v>
      </c>
      <c r="AK145" s="223">
        <f t="shared" si="107"/>
        <v>0</v>
      </c>
      <c r="AL145" s="223">
        <f t="shared" si="107"/>
        <v>0</v>
      </c>
      <c r="AM145" s="223">
        <f t="shared" si="107"/>
        <v>0</v>
      </c>
      <c r="AN145" s="223">
        <f t="shared" si="107"/>
        <v>0</v>
      </c>
      <c r="AO145" s="223">
        <f t="shared" si="107"/>
        <v>0</v>
      </c>
      <c r="AP145" s="223">
        <f t="shared" si="107"/>
        <v>0</v>
      </c>
      <c r="AQ145" s="223">
        <f t="shared" si="107"/>
        <v>0</v>
      </c>
      <c r="AR145" s="223">
        <f t="shared" si="107"/>
        <v>0</v>
      </c>
      <c r="AS145" s="223">
        <f t="shared" si="107"/>
        <v>0</v>
      </c>
      <c r="AT145" s="223">
        <f t="shared" si="107"/>
        <v>0</v>
      </c>
      <c r="AU145" s="223">
        <f t="shared" si="107"/>
        <v>0</v>
      </c>
      <c r="AV145" s="223">
        <f t="shared" si="107"/>
        <v>0</v>
      </c>
      <c r="AW145" s="90" t="s">
        <v>1195</v>
      </c>
      <c r="AX145" s="90"/>
      <c r="AY145" s="90"/>
      <c r="AZ145" s="90"/>
      <c r="BA145" s="90"/>
      <c r="BB145" s="90"/>
      <c r="BC145" s="90"/>
      <c r="BD145" s="90"/>
      <c r="BE145" s="90"/>
      <c r="BF145" s="90"/>
      <c r="BG145" s="90"/>
    </row>
    <row r="146" ht="12.75" customHeight="1" outlineLevel="1">
      <c r="A146" s="316"/>
      <c r="B146" s="195"/>
      <c r="C146" s="148" t="s">
        <v>709</v>
      </c>
      <c r="D146" s="148"/>
      <c r="E146" s="148"/>
      <c r="F146" s="148"/>
      <c r="G146" s="364"/>
      <c r="H146" s="364"/>
      <c r="I146" s="364">
        <f t="shared" ref="I146:AV146" si="108">SUM(I143:I145)</f>
        <v>7</v>
      </c>
      <c r="J146" s="364">
        <f t="shared" si="108"/>
        <v>12</v>
      </c>
      <c r="K146" s="364">
        <f t="shared" si="108"/>
        <v>15</v>
      </c>
      <c r="L146" s="364">
        <f t="shared" si="108"/>
        <v>16</v>
      </c>
      <c r="M146" s="364">
        <f t="shared" si="108"/>
        <v>16</v>
      </c>
      <c r="N146" s="364">
        <f t="shared" si="108"/>
        <v>14</v>
      </c>
      <c r="O146" s="364">
        <f t="shared" si="108"/>
        <v>14</v>
      </c>
      <c r="P146" s="364">
        <f t="shared" si="108"/>
        <v>10</v>
      </c>
      <c r="Q146" s="364">
        <f t="shared" si="108"/>
        <v>10</v>
      </c>
      <c r="R146" s="364">
        <f t="shared" si="108"/>
        <v>10</v>
      </c>
      <c r="S146" s="364">
        <f t="shared" si="108"/>
        <v>10</v>
      </c>
      <c r="T146" s="364">
        <f t="shared" si="108"/>
        <v>10</v>
      </c>
      <c r="U146" s="364">
        <f t="shared" si="108"/>
        <v>10</v>
      </c>
      <c r="V146" s="364">
        <f t="shared" si="108"/>
        <v>10</v>
      </c>
      <c r="W146" s="364">
        <f t="shared" si="108"/>
        <v>10</v>
      </c>
      <c r="X146" s="364">
        <f t="shared" si="108"/>
        <v>10</v>
      </c>
      <c r="Y146" s="364">
        <f t="shared" si="108"/>
        <v>10</v>
      </c>
      <c r="Z146" s="364">
        <f t="shared" si="108"/>
        <v>10</v>
      </c>
      <c r="AA146" s="364">
        <f t="shared" si="108"/>
        <v>10</v>
      </c>
      <c r="AB146" s="364">
        <f t="shared" si="108"/>
        <v>10</v>
      </c>
      <c r="AC146" s="364">
        <f t="shared" si="108"/>
        <v>10</v>
      </c>
      <c r="AD146" s="364">
        <f t="shared" si="108"/>
        <v>10</v>
      </c>
      <c r="AE146" s="364">
        <f t="shared" si="108"/>
        <v>10</v>
      </c>
      <c r="AF146" s="364">
        <f t="shared" si="108"/>
        <v>10</v>
      </c>
      <c r="AG146" s="364">
        <f t="shared" si="108"/>
        <v>10</v>
      </c>
      <c r="AH146" s="364">
        <f t="shared" si="108"/>
        <v>10</v>
      </c>
      <c r="AI146" s="364">
        <f t="shared" si="108"/>
        <v>10</v>
      </c>
      <c r="AJ146" s="364">
        <f t="shared" si="108"/>
        <v>10</v>
      </c>
      <c r="AK146" s="364">
        <f t="shared" si="108"/>
        <v>10</v>
      </c>
      <c r="AL146" s="364">
        <f t="shared" si="108"/>
        <v>10</v>
      </c>
      <c r="AM146" s="364">
        <f t="shared" si="108"/>
        <v>10</v>
      </c>
      <c r="AN146" s="364">
        <f t="shared" si="108"/>
        <v>10</v>
      </c>
      <c r="AO146" s="364">
        <f t="shared" si="108"/>
        <v>10</v>
      </c>
      <c r="AP146" s="364">
        <f t="shared" si="108"/>
        <v>10</v>
      </c>
      <c r="AQ146" s="364">
        <f t="shared" si="108"/>
        <v>10</v>
      </c>
      <c r="AR146" s="364">
        <f t="shared" si="108"/>
        <v>10</v>
      </c>
      <c r="AS146" s="364">
        <f t="shared" si="108"/>
        <v>10</v>
      </c>
      <c r="AT146" s="364">
        <f t="shared" si="108"/>
        <v>10</v>
      </c>
      <c r="AU146" s="364">
        <f t="shared" si="108"/>
        <v>10</v>
      </c>
      <c r="AV146" s="364">
        <f t="shared" si="108"/>
        <v>10</v>
      </c>
      <c r="AW146" s="90"/>
      <c r="AX146" s="90"/>
      <c r="AY146" s="90"/>
      <c r="AZ146" s="90"/>
      <c r="BA146" s="90"/>
      <c r="BB146" s="90"/>
      <c r="BC146" s="90"/>
      <c r="BD146" s="90"/>
      <c r="BE146" s="90"/>
      <c r="BF146" s="90"/>
      <c r="BG146" s="90"/>
    </row>
    <row r="147" ht="12.75" customHeight="1" outlineLevel="1">
      <c r="A147" s="316"/>
      <c r="B147" s="195"/>
      <c r="C147" s="90"/>
      <c r="D147" s="90"/>
      <c r="E147" s="90"/>
      <c r="F147" s="90"/>
      <c r="G147" s="223"/>
      <c r="H147" s="223"/>
      <c r="I147" s="223"/>
      <c r="J147" s="223"/>
      <c r="K147" s="223"/>
      <c r="L147" s="223"/>
      <c r="M147" s="223"/>
      <c r="N147" s="223"/>
      <c r="O147" s="223"/>
      <c r="P147" s="223"/>
      <c r="Q147" s="223"/>
      <c r="R147" s="223"/>
      <c r="S147" s="223"/>
      <c r="T147" s="223"/>
      <c r="U147" s="223"/>
      <c r="V147" s="223"/>
      <c r="W147" s="223"/>
      <c r="X147" s="223"/>
      <c r="Y147" s="223"/>
      <c r="Z147" s="223"/>
      <c r="AA147" s="223"/>
      <c r="AB147" s="223"/>
      <c r="AC147" s="223"/>
      <c r="AD147" s="223"/>
      <c r="AE147" s="223"/>
      <c r="AF147" s="223"/>
      <c r="AG147" s="223"/>
      <c r="AH147" s="223"/>
      <c r="AI147" s="223"/>
      <c r="AJ147" s="223"/>
      <c r="AK147" s="223"/>
      <c r="AL147" s="223"/>
      <c r="AM147" s="223"/>
      <c r="AN147" s="223"/>
      <c r="AO147" s="223"/>
      <c r="AP147" s="223"/>
      <c r="AQ147" s="223"/>
      <c r="AR147" s="223"/>
      <c r="AS147" s="223"/>
      <c r="AT147" s="223"/>
      <c r="AU147" s="223"/>
      <c r="AV147" s="223"/>
      <c r="AW147" s="90"/>
      <c r="AX147" s="90"/>
      <c r="AY147" s="90"/>
      <c r="AZ147" s="90"/>
      <c r="BA147" s="90"/>
      <c r="BB147" s="90"/>
      <c r="BC147" s="90"/>
      <c r="BD147" s="90"/>
      <c r="BE147" s="90"/>
      <c r="BF147" s="90"/>
      <c r="BG147" s="90"/>
    </row>
    <row r="148" ht="12.75" customHeight="1" outlineLevel="1">
      <c r="A148" s="316"/>
      <c r="B148" s="195"/>
      <c r="C148" s="90" t="s">
        <v>710</v>
      </c>
      <c r="D148" s="90"/>
      <c r="E148" s="90"/>
      <c r="F148" s="90"/>
      <c r="G148" s="223"/>
      <c r="H148" s="223"/>
      <c r="I148" s="223"/>
      <c r="J148" s="223"/>
      <c r="K148" s="223"/>
      <c r="L148" s="223"/>
      <c r="M148" s="223"/>
      <c r="N148" s="223"/>
      <c r="O148" s="223"/>
      <c r="P148" s="223"/>
      <c r="Q148" s="223"/>
      <c r="R148" s="223"/>
      <c r="S148" s="223"/>
      <c r="T148" s="223"/>
      <c r="U148" s="223"/>
      <c r="V148" s="223"/>
      <c r="W148" s="223"/>
      <c r="X148" s="223"/>
      <c r="Y148" s="223"/>
      <c r="Z148" s="223"/>
      <c r="AA148" s="223"/>
      <c r="AB148" s="223"/>
      <c r="AC148" s="223"/>
      <c r="AD148" s="223"/>
      <c r="AE148" s="223"/>
      <c r="AF148" s="223"/>
      <c r="AG148" s="223"/>
      <c r="AH148" s="223"/>
      <c r="AI148" s="223"/>
      <c r="AJ148" s="223"/>
      <c r="AK148" s="223"/>
      <c r="AL148" s="223"/>
      <c r="AM148" s="223"/>
      <c r="AN148" s="223"/>
      <c r="AO148" s="223"/>
      <c r="AP148" s="223"/>
      <c r="AQ148" s="223"/>
      <c r="AR148" s="223"/>
      <c r="AS148" s="223"/>
      <c r="AT148" s="223"/>
      <c r="AU148" s="223"/>
      <c r="AV148" s="223"/>
      <c r="AW148" s="90"/>
      <c r="AX148" s="90"/>
      <c r="AY148" s="90"/>
      <c r="AZ148" s="90"/>
      <c r="BA148" s="90"/>
      <c r="BB148" s="90"/>
      <c r="BC148" s="90"/>
      <c r="BD148" s="90"/>
      <c r="BE148" s="90"/>
      <c r="BF148" s="90"/>
      <c r="BG148" s="90"/>
    </row>
    <row r="149" ht="12.75" customHeight="1" outlineLevel="1">
      <c r="A149" s="316"/>
      <c r="B149" s="195"/>
      <c r="C149" s="90"/>
      <c r="D149" s="90" t="s">
        <v>711</v>
      </c>
      <c r="E149" s="90"/>
      <c r="F149" s="90"/>
      <c r="G149" s="527"/>
      <c r="H149" s="527"/>
      <c r="I149" s="527">
        <v>1.0</v>
      </c>
      <c r="J149" s="527">
        <v>1.0</v>
      </c>
      <c r="K149" s="527">
        <v>1.0</v>
      </c>
      <c r="L149" s="223">
        <f t="shared" ref="L149:AV149" si="109">K149</f>
        <v>1</v>
      </c>
      <c r="M149" s="223">
        <f t="shared" si="109"/>
        <v>1</v>
      </c>
      <c r="N149" s="223">
        <f t="shared" si="109"/>
        <v>1</v>
      </c>
      <c r="O149" s="223">
        <f t="shared" si="109"/>
        <v>1</v>
      </c>
      <c r="P149" s="223">
        <f t="shared" si="109"/>
        <v>1</v>
      </c>
      <c r="Q149" s="223">
        <f t="shared" si="109"/>
        <v>1</v>
      </c>
      <c r="R149" s="223">
        <f t="shared" si="109"/>
        <v>1</v>
      </c>
      <c r="S149" s="223">
        <f t="shared" si="109"/>
        <v>1</v>
      </c>
      <c r="T149" s="223">
        <f t="shared" si="109"/>
        <v>1</v>
      </c>
      <c r="U149" s="223">
        <f t="shared" si="109"/>
        <v>1</v>
      </c>
      <c r="V149" s="223">
        <f t="shared" si="109"/>
        <v>1</v>
      </c>
      <c r="W149" s="223">
        <f t="shared" si="109"/>
        <v>1</v>
      </c>
      <c r="X149" s="223">
        <f t="shared" si="109"/>
        <v>1</v>
      </c>
      <c r="Y149" s="223">
        <f t="shared" si="109"/>
        <v>1</v>
      </c>
      <c r="Z149" s="223">
        <f t="shared" si="109"/>
        <v>1</v>
      </c>
      <c r="AA149" s="223">
        <f t="shared" si="109"/>
        <v>1</v>
      </c>
      <c r="AB149" s="223">
        <f t="shared" si="109"/>
        <v>1</v>
      </c>
      <c r="AC149" s="223">
        <f t="shared" si="109"/>
        <v>1</v>
      </c>
      <c r="AD149" s="223">
        <f t="shared" si="109"/>
        <v>1</v>
      </c>
      <c r="AE149" s="223">
        <f t="shared" si="109"/>
        <v>1</v>
      </c>
      <c r="AF149" s="223">
        <f t="shared" si="109"/>
        <v>1</v>
      </c>
      <c r="AG149" s="223">
        <f t="shared" si="109"/>
        <v>1</v>
      </c>
      <c r="AH149" s="223">
        <f t="shared" si="109"/>
        <v>1</v>
      </c>
      <c r="AI149" s="223">
        <f t="shared" si="109"/>
        <v>1</v>
      </c>
      <c r="AJ149" s="223">
        <f t="shared" si="109"/>
        <v>1</v>
      </c>
      <c r="AK149" s="223">
        <f t="shared" si="109"/>
        <v>1</v>
      </c>
      <c r="AL149" s="223">
        <f t="shared" si="109"/>
        <v>1</v>
      </c>
      <c r="AM149" s="223">
        <f t="shared" si="109"/>
        <v>1</v>
      </c>
      <c r="AN149" s="223">
        <f t="shared" si="109"/>
        <v>1</v>
      </c>
      <c r="AO149" s="223">
        <f t="shared" si="109"/>
        <v>1</v>
      </c>
      <c r="AP149" s="223">
        <f t="shared" si="109"/>
        <v>1</v>
      </c>
      <c r="AQ149" s="223">
        <f t="shared" si="109"/>
        <v>1</v>
      </c>
      <c r="AR149" s="223">
        <f t="shared" si="109"/>
        <v>1</v>
      </c>
      <c r="AS149" s="223">
        <f t="shared" si="109"/>
        <v>1</v>
      </c>
      <c r="AT149" s="223">
        <f t="shared" si="109"/>
        <v>1</v>
      </c>
      <c r="AU149" s="223">
        <f t="shared" si="109"/>
        <v>1</v>
      </c>
      <c r="AV149" s="223">
        <f t="shared" si="109"/>
        <v>1</v>
      </c>
      <c r="AW149" s="90"/>
      <c r="AX149" s="90"/>
      <c r="AY149" s="90"/>
      <c r="AZ149" s="90"/>
      <c r="BA149" s="90"/>
      <c r="BB149" s="90"/>
      <c r="BC149" s="90"/>
      <c r="BD149" s="90"/>
      <c r="BE149" s="90"/>
      <c r="BF149" s="90"/>
      <c r="BG149" s="90"/>
    </row>
    <row r="150" ht="12.75" customHeight="1" outlineLevel="1">
      <c r="A150" s="316"/>
      <c r="B150" s="195"/>
      <c r="C150" s="90"/>
      <c r="D150" s="90" t="s">
        <v>712</v>
      </c>
      <c r="E150" s="90"/>
      <c r="F150" s="90"/>
      <c r="G150" s="527"/>
      <c r="H150" s="527"/>
      <c r="I150" s="527">
        <v>0.0</v>
      </c>
      <c r="J150" s="527">
        <v>0.0</v>
      </c>
      <c r="K150" s="527">
        <f>'RSGen 1-7'!I152</f>
        <v>2</v>
      </c>
      <c r="L150" s="223">
        <f t="shared" ref="L150:AV150" si="110">K150</f>
        <v>2</v>
      </c>
      <c r="M150" s="223">
        <f t="shared" si="110"/>
        <v>2</v>
      </c>
      <c r="N150" s="223">
        <f t="shared" si="110"/>
        <v>2</v>
      </c>
      <c r="O150" s="223">
        <f t="shared" si="110"/>
        <v>2</v>
      </c>
      <c r="P150" s="223">
        <f t="shared" si="110"/>
        <v>2</v>
      </c>
      <c r="Q150" s="223">
        <f t="shared" si="110"/>
        <v>2</v>
      </c>
      <c r="R150" s="223">
        <f t="shared" si="110"/>
        <v>2</v>
      </c>
      <c r="S150" s="223">
        <f t="shared" si="110"/>
        <v>2</v>
      </c>
      <c r="T150" s="223">
        <f t="shared" si="110"/>
        <v>2</v>
      </c>
      <c r="U150" s="223">
        <f t="shared" si="110"/>
        <v>2</v>
      </c>
      <c r="V150" s="223">
        <f t="shared" si="110"/>
        <v>2</v>
      </c>
      <c r="W150" s="223">
        <f t="shared" si="110"/>
        <v>2</v>
      </c>
      <c r="X150" s="223">
        <f t="shared" si="110"/>
        <v>2</v>
      </c>
      <c r="Y150" s="223">
        <f t="shared" si="110"/>
        <v>2</v>
      </c>
      <c r="Z150" s="223">
        <f t="shared" si="110"/>
        <v>2</v>
      </c>
      <c r="AA150" s="223">
        <f t="shared" si="110"/>
        <v>2</v>
      </c>
      <c r="AB150" s="223">
        <f t="shared" si="110"/>
        <v>2</v>
      </c>
      <c r="AC150" s="223">
        <f t="shared" si="110"/>
        <v>2</v>
      </c>
      <c r="AD150" s="223">
        <f t="shared" si="110"/>
        <v>2</v>
      </c>
      <c r="AE150" s="223">
        <f t="shared" si="110"/>
        <v>2</v>
      </c>
      <c r="AF150" s="223">
        <f t="shared" si="110"/>
        <v>2</v>
      </c>
      <c r="AG150" s="223">
        <f t="shared" si="110"/>
        <v>2</v>
      </c>
      <c r="AH150" s="223">
        <f t="shared" si="110"/>
        <v>2</v>
      </c>
      <c r="AI150" s="223">
        <f t="shared" si="110"/>
        <v>2</v>
      </c>
      <c r="AJ150" s="223">
        <f t="shared" si="110"/>
        <v>2</v>
      </c>
      <c r="AK150" s="223">
        <f t="shared" si="110"/>
        <v>2</v>
      </c>
      <c r="AL150" s="223">
        <f t="shared" si="110"/>
        <v>2</v>
      </c>
      <c r="AM150" s="223">
        <f t="shared" si="110"/>
        <v>2</v>
      </c>
      <c r="AN150" s="223">
        <f t="shared" si="110"/>
        <v>2</v>
      </c>
      <c r="AO150" s="223">
        <f t="shared" si="110"/>
        <v>2</v>
      </c>
      <c r="AP150" s="223">
        <f t="shared" si="110"/>
        <v>2</v>
      </c>
      <c r="AQ150" s="223">
        <f t="shared" si="110"/>
        <v>2</v>
      </c>
      <c r="AR150" s="223">
        <f t="shared" si="110"/>
        <v>2</v>
      </c>
      <c r="AS150" s="223">
        <f t="shared" si="110"/>
        <v>2</v>
      </c>
      <c r="AT150" s="223">
        <f t="shared" si="110"/>
        <v>2</v>
      </c>
      <c r="AU150" s="223">
        <f t="shared" si="110"/>
        <v>2</v>
      </c>
      <c r="AV150" s="223">
        <f t="shared" si="110"/>
        <v>2</v>
      </c>
      <c r="AW150" s="90"/>
      <c r="AX150" s="90"/>
      <c r="AY150" s="90"/>
      <c r="AZ150" s="90"/>
      <c r="BA150" s="90"/>
      <c r="BB150" s="90"/>
      <c r="BC150" s="90"/>
      <c r="BD150" s="90"/>
      <c r="BE150" s="90"/>
      <c r="BF150" s="90"/>
      <c r="BG150" s="90"/>
    </row>
    <row r="151" ht="12.75" customHeight="1" outlineLevel="1">
      <c r="A151" s="316"/>
      <c r="B151" s="195"/>
      <c r="C151" s="90"/>
      <c r="D151" s="90" t="s">
        <v>713</v>
      </c>
      <c r="E151" s="90"/>
      <c r="F151" s="90"/>
      <c r="G151" s="527"/>
      <c r="H151" s="527"/>
      <c r="I151" s="527">
        <v>0.0</v>
      </c>
      <c r="J151" s="527">
        <f t="shared" ref="J151:J152" si="112">I151</f>
        <v>0</v>
      </c>
      <c r="K151" s="223">
        <f>'RSGen 1-7'!I153</f>
        <v>1.5</v>
      </c>
      <c r="L151" s="223">
        <f t="shared" ref="L151:AV151" si="111">K151</f>
        <v>1.5</v>
      </c>
      <c r="M151" s="223">
        <f t="shared" si="111"/>
        <v>1.5</v>
      </c>
      <c r="N151" s="223">
        <f t="shared" si="111"/>
        <v>1.5</v>
      </c>
      <c r="O151" s="223">
        <f t="shared" si="111"/>
        <v>1.5</v>
      </c>
      <c r="P151" s="223">
        <f t="shared" si="111"/>
        <v>1.5</v>
      </c>
      <c r="Q151" s="223">
        <f t="shared" si="111"/>
        <v>1.5</v>
      </c>
      <c r="R151" s="223">
        <f t="shared" si="111"/>
        <v>1.5</v>
      </c>
      <c r="S151" s="223">
        <f t="shared" si="111"/>
        <v>1.5</v>
      </c>
      <c r="T151" s="223">
        <f t="shared" si="111"/>
        <v>1.5</v>
      </c>
      <c r="U151" s="223">
        <f t="shared" si="111"/>
        <v>1.5</v>
      </c>
      <c r="V151" s="223">
        <f t="shared" si="111"/>
        <v>1.5</v>
      </c>
      <c r="W151" s="223">
        <f t="shared" si="111"/>
        <v>1.5</v>
      </c>
      <c r="X151" s="223">
        <f t="shared" si="111"/>
        <v>1.5</v>
      </c>
      <c r="Y151" s="223">
        <f t="shared" si="111"/>
        <v>1.5</v>
      </c>
      <c r="Z151" s="223">
        <f t="shared" si="111"/>
        <v>1.5</v>
      </c>
      <c r="AA151" s="223">
        <f t="shared" si="111"/>
        <v>1.5</v>
      </c>
      <c r="AB151" s="223">
        <f t="shared" si="111"/>
        <v>1.5</v>
      </c>
      <c r="AC151" s="223">
        <f t="shared" si="111"/>
        <v>1.5</v>
      </c>
      <c r="AD151" s="223">
        <f t="shared" si="111"/>
        <v>1.5</v>
      </c>
      <c r="AE151" s="223">
        <f t="shared" si="111"/>
        <v>1.5</v>
      </c>
      <c r="AF151" s="223">
        <f t="shared" si="111"/>
        <v>1.5</v>
      </c>
      <c r="AG151" s="223">
        <f t="shared" si="111"/>
        <v>1.5</v>
      </c>
      <c r="AH151" s="223">
        <f t="shared" si="111"/>
        <v>1.5</v>
      </c>
      <c r="AI151" s="223">
        <f t="shared" si="111"/>
        <v>1.5</v>
      </c>
      <c r="AJ151" s="223">
        <f t="shared" si="111"/>
        <v>1.5</v>
      </c>
      <c r="AK151" s="223">
        <f t="shared" si="111"/>
        <v>1.5</v>
      </c>
      <c r="AL151" s="223">
        <f t="shared" si="111"/>
        <v>1.5</v>
      </c>
      <c r="AM151" s="223">
        <f t="shared" si="111"/>
        <v>1.5</v>
      </c>
      <c r="AN151" s="223">
        <f t="shared" si="111"/>
        <v>1.5</v>
      </c>
      <c r="AO151" s="223">
        <f t="shared" si="111"/>
        <v>1.5</v>
      </c>
      <c r="AP151" s="223">
        <f t="shared" si="111"/>
        <v>1.5</v>
      </c>
      <c r="AQ151" s="223">
        <f t="shared" si="111"/>
        <v>1.5</v>
      </c>
      <c r="AR151" s="223">
        <f t="shared" si="111"/>
        <v>1.5</v>
      </c>
      <c r="AS151" s="223">
        <f t="shared" si="111"/>
        <v>1.5</v>
      </c>
      <c r="AT151" s="223">
        <f t="shared" si="111"/>
        <v>1.5</v>
      </c>
      <c r="AU151" s="223">
        <f t="shared" si="111"/>
        <v>1.5</v>
      </c>
      <c r="AV151" s="223">
        <f t="shared" si="111"/>
        <v>1.5</v>
      </c>
      <c r="AW151" s="90" t="s">
        <v>1196</v>
      </c>
      <c r="AX151" s="90"/>
      <c r="AY151" s="90"/>
      <c r="AZ151" s="90"/>
      <c r="BA151" s="90"/>
      <c r="BB151" s="90"/>
      <c r="BC151" s="90"/>
      <c r="BD151" s="90"/>
      <c r="BE151" s="90"/>
      <c r="BF151" s="90"/>
      <c r="BG151" s="90"/>
    </row>
    <row r="152" ht="12.75" customHeight="1" outlineLevel="1">
      <c r="A152" s="316"/>
      <c r="B152" s="195"/>
      <c r="C152" s="87"/>
      <c r="D152" s="87" t="s">
        <v>714</v>
      </c>
      <c r="E152" s="87"/>
      <c r="F152" s="87"/>
      <c r="G152" s="528"/>
      <c r="H152" s="528"/>
      <c r="I152" s="528">
        <v>0.0</v>
      </c>
      <c r="J152" s="528">
        <f t="shared" si="112"/>
        <v>0</v>
      </c>
      <c r="K152" s="367">
        <f>'RSGen 1-7'!I154</f>
        <v>2.75</v>
      </c>
      <c r="L152" s="367">
        <f t="shared" ref="L152:AV152" si="113">K152</f>
        <v>2.75</v>
      </c>
      <c r="M152" s="367">
        <f t="shared" si="113"/>
        <v>2.75</v>
      </c>
      <c r="N152" s="367">
        <f t="shared" si="113"/>
        <v>2.75</v>
      </c>
      <c r="O152" s="367">
        <f t="shared" si="113"/>
        <v>2.75</v>
      </c>
      <c r="P152" s="367">
        <f t="shared" si="113"/>
        <v>2.75</v>
      </c>
      <c r="Q152" s="367">
        <f t="shared" si="113"/>
        <v>2.75</v>
      </c>
      <c r="R152" s="367">
        <f t="shared" si="113"/>
        <v>2.75</v>
      </c>
      <c r="S152" s="367">
        <f t="shared" si="113"/>
        <v>2.75</v>
      </c>
      <c r="T152" s="367">
        <f t="shared" si="113"/>
        <v>2.75</v>
      </c>
      <c r="U152" s="367">
        <f t="shared" si="113"/>
        <v>2.75</v>
      </c>
      <c r="V152" s="367">
        <f t="shared" si="113"/>
        <v>2.75</v>
      </c>
      <c r="W152" s="367">
        <f t="shared" si="113"/>
        <v>2.75</v>
      </c>
      <c r="X152" s="367">
        <f t="shared" si="113"/>
        <v>2.75</v>
      </c>
      <c r="Y152" s="367">
        <f t="shared" si="113"/>
        <v>2.75</v>
      </c>
      <c r="Z152" s="367">
        <f t="shared" si="113"/>
        <v>2.75</v>
      </c>
      <c r="AA152" s="367">
        <f t="shared" si="113"/>
        <v>2.75</v>
      </c>
      <c r="AB152" s="367">
        <f t="shared" si="113"/>
        <v>2.75</v>
      </c>
      <c r="AC152" s="367">
        <f t="shared" si="113"/>
        <v>2.75</v>
      </c>
      <c r="AD152" s="367">
        <f t="shared" si="113"/>
        <v>2.75</v>
      </c>
      <c r="AE152" s="367">
        <f t="shared" si="113"/>
        <v>2.75</v>
      </c>
      <c r="AF152" s="367">
        <f t="shared" si="113"/>
        <v>2.75</v>
      </c>
      <c r="AG152" s="367">
        <f t="shared" si="113"/>
        <v>2.75</v>
      </c>
      <c r="AH152" s="367">
        <f t="shared" si="113"/>
        <v>2.75</v>
      </c>
      <c r="AI152" s="367">
        <f t="shared" si="113"/>
        <v>2.75</v>
      </c>
      <c r="AJ152" s="367">
        <f t="shared" si="113"/>
        <v>2.75</v>
      </c>
      <c r="AK152" s="367">
        <f t="shared" si="113"/>
        <v>2.75</v>
      </c>
      <c r="AL152" s="367">
        <f t="shared" si="113"/>
        <v>2.75</v>
      </c>
      <c r="AM152" s="367">
        <f t="shared" si="113"/>
        <v>2.75</v>
      </c>
      <c r="AN152" s="367">
        <f t="shared" si="113"/>
        <v>2.75</v>
      </c>
      <c r="AO152" s="367">
        <f t="shared" si="113"/>
        <v>2.75</v>
      </c>
      <c r="AP152" s="367">
        <f t="shared" si="113"/>
        <v>2.75</v>
      </c>
      <c r="AQ152" s="367">
        <f t="shared" si="113"/>
        <v>2.75</v>
      </c>
      <c r="AR152" s="367">
        <f t="shared" si="113"/>
        <v>2.75</v>
      </c>
      <c r="AS152" s="367">
        <f t="shared" si="113"/>
        <v>2.75</v>
      </c>
      <c r="AT152" s="367">
        <f t="shared" si="113"/>
        <v>2.75</v>
      </c>
      <c r="AU152" s="367">
        <f t="shared" si="113"/>
        <v>2.75</v>
      </c>
      <c r="AV152" s="367">
        <f t="shared" si="113"/>
        <v>2.75</v>
      </c>
      <c r="AW152" s="90"/>
      <c r="AX152" s="90"/>
      <c r="AY152" s="90"/>
      <c r="AZ152" s="90"/>
      <c r="BA152" s="90"/>
      <c r="BB152" s="90"/>
      <c r="BC152" s="90"/>
      <c r="BD152" s="90"/>
      <c r="BE152" s="90"/>
      <c r="BF152" s="90"/>
      <c r="BG152" s="90"/>
    </row>
    <row r="153" ht="12.75" customHeight="1" outlineLevel="1">
      <c r="A153" s="316"/>
      <c r="B153" s="195"/>
      <c r="C153" s="90" t="s">
        <v>715</v>
      </c>
      <c r="D153" s="90"/>
      <c r="E153" s="90"/>
      <c r="F153" s="90"/>
      <c r="G153" s="223"/>
      <c r="H153" s="223"/>
      <c r="I153" s="223">
        <f t="shared" ref="I153:AV153" si="114">SUM(I148:I152)</f>
        <v>1</v>
      </c>
      <c r="J153" s="223">
        <f t="shared" si="114"/>
        <v>1</v>
      </c>
      <c r="K153" s="223">
        <f t="shared" si="114"/>
        <v>7.25</v>
      </c>
      <c r="L153" s="223">
        <f t="shared" si="114"/>
        <v>7.25</v>
      </c>
      <c r="M153" s="223">
        <f t="shared" si="114"/>
        <v>7.25</v>
      </c>
      <c r="N153" s="223">
        <f t="shared" si="114"/>
        <v>7.25</v>
      </c>
      <c r="O153" s="223">
        <f t="shared" si="114"/>
        <v>7.25</v>
      </c>
      <c r="P153" s="223">
        <f t="shared" si="114"/>
        <v>7.25</v>
      </c>
      <c r="Q153" s="223">
        <f t="shared" si="114"/>
        <v>7.25</v>
      </c>
      <c r="R153" s="223">
        <f t="shared" si="114"/>
        <v>7.25</v>
      </c>
      <c r="S153" s="223">
        <f t="shared" si="114"/>
        <v>7.25</v>
      </c>
      <c r="T153" s="223">
        <f t="shared" si="114"/>
        <v>7.25</v>
      </c>
      <c r="U153" s="223">
        <f t="shared" si="114"/>
        <v>7.25</v>
      </c>
      <c r="V153" s="223">
        <f t="shared" si="114"/>
        <v>7.25</v>
      </c>
      <c r="W153" s="223">
        <f t="shared" si="114"/>
        <v>7.25</v>
      </c>
      <c r="X153" s="223">
        <f t="shared" si="114"/>
        <v>7.25</v>
      </c>
      <c r="Y153" s="223">
        <f t="shared" si="114"/>
        <v>7.25</v>
      </c>
      <c r="Z153" s="223">
        <f t="shared" si="114"/>
        <v>7.25</v>
      </c>
      <c r="AA153" s="223">
        <f t="shared" si="114"/>
        <v>7.25</v>
      </c>
      <c r="AB153" s="223">
        <f t="shared" si="114"/>
        <v>7.25</v>
      </c>
      <c r="AC153" s="223">
        <f t="shared" si="114"/>
        <v>7.25</v>
      </c>
      <c r="AD153" s="223">
        <f t="shared" si="114"/>
        <v>7.25</v>
      </c>
      <c r="AE153" s="223">
        <f t="shared" si="114"/>
        <v>7.25</v>
      </c>
      <c r="AF153" s="223">
        <f t="shared" si="114"/>
        <v>7.25</v>
      </c>
      <c r="AG153" s="223">
        <f t="shared" si="114"/>
        <v>7.25</v>
      </c>
      <c r="AH153" s="223">
        <f t="shared" si="114"/>
        <v>7.25</v>
      </c>
      <c r="AI153" s="223">
        <f t="shared" si="114"/>
        <v>7.25</v>
      </c>
      <c r="AJ153" s="223">
        <f t="shared" si="114"/>
        <v>7.25</v>
      </c>
      <c r="AK153" s="223">
        <f t="shared" si="114"/>
        <v>7.25</v>
      </c>
      <c r="AL153" s="223">
        <f t="shared" si="114"/>
        <v>7.25</v>
      </c>
      <c r="AM153" s="223">
        <f t="shared" si="114"/>
        <v>7.25</v>
      </c>
      <c r="AN153" s="223">
        <f t="shared" si="114"/>
        <v>7.25</v>
      </c>
      <c r="AO153" s="223">
        <f t="shared" si="114"/>
        <v>7.25</v>
      </c>
      <c r="AP153" s="223">
        <f t="shared" si="114"/>
        <v>7.25</v>
      </c>
      <c r="AQ153" s="223">
        <f t="shared" si="114"/>
        <v>7.25</v>
      </c>
      <c r="AR153" s="223">
        <f t="shared" si="114"/>
        <v>7.25</v>
      </c>
      <c r="AS153" s="223">
        <f t="shared" si="114"/>
        <v>7.25</v>
      </c>
      <c r="AT153" s="223">
        <f t="shared" si="114"/>
        <v>7.25</v>
      </c>
      <c r="AU153" s="223">
        <f t="shared" si="114"/>
        <v>7.25</v>
      </c>
      <c r="AV153" s="223">
        <f t="shared" si="114"/>
        <v>7.25</v>
      </c>
      <c r="AW153" s="90"/>
      <c r="AX153" s="90"/>
      <c r="AY153" s="90"/>
      <c r="AZ153" s="90"/>
      <c r="BA153" s="90"/>
      <c r="BB153" s="90"/>
      <c r="BC153" s="90"/>
      <c r="BD153" s="90"/>
      <c r="BE153" s="90"/>
      <c r="BF153" s="90"/>
      <c r="BG153" s="90"/>
    </row>
    <row r="154" ht="12.75" customHeight="1" outlineLevel="1">
      <c r="A154" s="316"/>
      <c r="B154" s="195"/>
      <c r="C154" s="90"/>
      <c r="D154" s="90"/>
      <c r="E154" s="90"/>
      <c r="F154" s="90"/>
      <c r="G154" s="223"/>
      <c r="H154" s="223"/>
      <c r="I154" s="223"/>
      <c r="J154" s="223"/>
      <c r="K154" s="223"/>
      <c r="L154" s="223"/>
      <c r="M154" s="223"/>
      <c r="N154" s="223"/>
      <c r="O154" s="223"/>
      <c r="P154" s="223"/>
      <c r="Q154" s="223"/>
      <c r="R154" s="223"/>
      <c r="S154" s="223"/>
      <c r="T154" s="223"/>
      <c r="U154" s="223"/>
      <c r="V154" s="223"/>
      <c r="W154" s="223"/>
      <c r="X154" s="223"/>
      <c r="Y154" s="223"/>
      <c r="Z154" s="223"/>
      <c r="AA154" s="223"/>
      <c r="AB154" s="223"/>
      <c r="AC154" s="223"/>
      <c r="AD154" s="223"/>
      <c r="AE154" s="223"/>
      <c r="AF154" s="223"/>
      <c r="AG154" s="223"/>
      <c r="AH154" s="223"/>
      <c r="AI154" s="223"/>
      <c r="AJ154" s="223"/>
      <c r="AK154" s="223"/>
      <c r="AL154" s="223"/>
      <c r="AM154" s="223"/>
      <c r="AN154" s="223"/>
      <c r="AO154" s="223"/>
      <c r="AP154" s="223"/>
      <c r="AQ154" s="223"/>
      <c r="AR154" s="223"/>
      <c r="AS154" s="223"/>
      <c r="AT154" s="223"/>
      <c r="AU154" s="223"/>
      <c r="AV154" s="223"/>
      <c r="AW154" s="90"/>
      <c r="AX154" s="90"/>
      <c r="AY154" s="90"/>
      <c r="AZ154" s="90"/>
      <c r="BA154" s="90"/>
      <c r="BB154" s="90"/>
      <c r="BC154" s="90"/>
      <c r="BD154" s="90"/>
      <c r="BE154" s="90"/>
      <c r="BF154" s="90"/>
      <c r="BG154" s="90"/>
    </row>
    <row r="155" ht="12.75" customHeight="1" outlineLevel="1">
      <c r="A155" s="316"/>
      <c r="B155" s="195"/>
      <c r="C155" s="90" t="s">
        <v>716</v>
      </c>
      <c r="D155" s="90"/>
      <c r="E155" s="90"/>
      <c r="F155" s="90"/>
      <c r="G155" s="223"/>
      <c r="H155" s="223"/>
      <c r="I155" s="223">
        <f t="shared" ref="I155:AV155" si="115">I140+I146</f>
        <v>8</v>
      </c>
      <c r="J155" s="223">
        <f t="shared" si="115"/>
        <v>14</v>
      </c>
      <c r="K155" s="223">
        <f t="shared" si="115"/>
        <v>17</v>
      </c>
      <c r="L155" s="223">
        <f t="shared" si="115"/>
        <v>18</v>
      </c>
      <c r="M155" s="223">
        <f t="shared" si="115"/>
        <v>18</v>
      </c>
      <c r="N155" s="223">
        <f t="shared" si="115"/>
        <v>16</v>
      </c>
      <c r="O155" s="223">
        <f t="shared" si="115"/>
        <v>16</v>
      </c>
      <c r="P155" s="223">
        <f t="shared" si="115"/>
        <v>12</v>
      </c>
      <c r="Q155" s="223">
        <f t="shared" si="115"/>
        <v>12</v>
      </c>
      <c r="R155" s="223">
        <f t="shared" si="115"/>
        <v>12</v>
      </c>
      <c r="S155" s="223">
        <f t="shared" si="115"/>
        <v>12</v>
      </c>
      <c r="T155" s="223">
        <f t="shared" si="115"/>
        <v>12</v>
      </c>
      <c r="U155" s="223">
        <f t="shared" si="115"/>
        <v>12</v>
      </c>
      <c r="V155" s="223">
        <f t="shared" si="115"/>
        <v>12</v>
      </c>
      <c r="W155" s="223">
        <f t="shared" si="115"/>
        <v>12</v>
      </c>
      <c r="X155" s="223">
        <f t="shared" si="115"/>
        <v>12</v>
      </c>
      <c r="Y155" s="223">
        <f t="shared" si="115"/>
        <v>12</v>
      </c>
      <c r="Z155" s="223">
        <f t="shared" si="115"/>
        <v>12</v>
      </c>
      <c r="AA155" s="223">
        <f t="shared" si="115"/>
        <v>12</v>
      </c>
      <c r="AB155" s="223">
        <f t="shared" si="115"/>
        <v>12</v>
      </c>
      <c r="AC155" s="223">
        <f t="shared" si="115"/>
        <v>12</v>
      </c>
      <c r="AD155" s="223">
        <f t="shared" si="115"/>
        <v>12</v>
      </c>
      <c r="AE155" s="223">
        <f t="shared" si="115"/>
        <v>12</v>
      </c>
      <c r="AF155" s="223">
        <f t="shared" si="115"/>
        <v>12</v>
      </c>
      <c r="AG155" s="223">
        <f t="shared" si="115"/>
        <v>12</v>
      </c>
      <c r="AH155" s="223">
        <f t="shared" si="115"/>
        <v>12</v>
      </c>
      <c r="AI155" s="223">
        <f t="shared" si="115"/>
        <v>12</v>
      </c>
      <c r="AJ155" s="223">
        <f t="shared" si="115"/>
        <v>12</v>
      </c>
      <c r="AK155" s="223">
        <f t="shared" si="115"/>
        <v>12</v>
      </c>
      <c r="AL155" s="223">
        <f t="shared" si="115"/>
        <v>12</v>
      </c>
      <c r="AM155" s="223">
        <f t="shared" si="115"/>
        <v>12</v>
      </c>
      <c r="AN155" s="223">
        <f t="shared" si="115"/>
        <v>12</v>
      </c>
      <c r="AO155" s="223">
        <f t="shared" si="115"/>
        <v>12</v>
      </c>
      <c r="AP155" s="223">
        <f t="shared" si="115"/>
        <v>12</v>
      </c>
      <c r="AQ155" s="223">
        <f t="shared" si="115"/>
        <v>12</v>
      </c>
      <c r="AR155" s="223">
        <f t="shared" si="115"/>
        <v>12</v>
      </c>
      <c r="AS155" s="223">
        <f t="shared" si="115"/>
        <v>12</v>
      </c>
      <c r="AT155" s="223">
        <f t="shared" si="115"/>
        <v>12</v>
      </c>
      <c r="AU155" s="223">
        <f t="shared" si="115"/>
        <v>12</v>
      </c>
      <c r="AV155" s="223">
        <f t="shared" si="115"/>
        <v>12</v>
      </c>
      <c r="AW155" s="90" t="s">
        <v>1197</v>
      </c>
      <c r="AX155" s="90"/>
      <c r="AY155" s="90"/>
      <c r="AZ155" s="90"/>
      <c r="BA155" s="90"/>
      <c r="BB155" s="90"/>
      <c r="BC155" s="90"/>
      <c r="BD155" s="90"/>
      <c r="BE155" s="90"/>
      <c r="BF155" s="90"/>
      <c r="BG155" s="90"/>
    </row>
    <row r="156" ht="12.75" customHeight="1" outlineLevel="1">
      <c r="A156" s="316"/>
      <c r="B156" s="195"/>
      <c r="C156" s="87" t="s">
        <v>717</v>
      </c>
      <c r="D156" s="87"/>
      <c r="E156" s="87"/>
      <c r="F156" s="87"/>
      <c r="G156" s="367"/>
      <c r="H156" s="367"/>
      <c r="I156" s="367">
        <f t="shared" ref="I156:AV156" si="116">I153</f>
        <v>1</v>
      </c>
      <c r="J156" s="367">
        <f t="shared" si="116"/>
        <v>1</v>
      </c>
      <c r="K156" s="367">
        <f t="shared" si="116"/>
        <v>7.25</v>
      </c>
      <c r="L156" s="367">
        <f t="shared" si="116"/>
        <v>7.25</v>
      </c>
      <c r="M156" s="367">
        <f t="shared" si="116"/>
        <v>7.25</v>
      </c>
      <c r="N156" s="367">
        <f t="shared" si="116"/>
        <v>7.25</v>
      </c>
      <c r="O156" s="367">
        <f t="shared" si="116"/>
        <v>7.25</v>
      </c>
      <c r="P156" s="367">
        <f t="shared" si="116"/>
        <v>7.25</v>
      </c>
      <c r="Q156" s="367">
        <f t="shared" si="116"/>
        <v>7.25</v>
      </c>
      <c r="R156" s="367">
        <f t="shared" si="116"/>
        <v>7.25</v>
      </c>
      <c r="S156" s="367">
        <f t="shared" si="116"/>
        <v>7.25</v>
      </c>
      <c r="T156" s="367">
        <f t="shared" si="116"/>
        <v>7.25</v>
      </c>
      <c r="U156" s="367">
        <f t="shared" si="116"/>
        <v>7.25</v>
      </c>
      <c r="V156" s="367">
        <f t="shared" si="116"/>
        <v>7.25</v>
      </c>
      <c r="W156" s="367">
        <f t="shared" si="116"/>
        <v>7.25</v>
      </c>
      <c r="X156" s="367">
        <f t="shared" si="116"/>
        <v>7.25</v>
      </c>
      <c r="Y156" s="367">
        <f t="shared" si="116"/>
        <v>7.25</v>
      </c>
      <c r="Z156" s="367">
        <f t="shared" si="116"/>
        <v>7.25</v>
      </c>
      <c r="AA156" s="367">
        <f t="shared" si="116"/>
        <v>7.25</v>
      </c>
      <c r="AB156" s="367">
        <f t="shared" si="116"/>
        <v>7.25</v>
      </c>
      <c r="AC156" s="367">
        <f t="shared" si="116"/>
        <v>7.25</v>
      </c>
      <c r="AD156" s="367">
        <f t="shared" si="116"/>
        <v>7.25</v>
      </c>
      <c r="AE156" s="367">
        <f t="shared" si="116"/>
        <v>7.25</v>
      </c>
      <c r="AF156" s="367">
        <f t="shared" si="116"/>
        <v>7.25</v>
      </c>
      <c r="AG156" s="367">
        <f t="shared" si="116"/>
        <v>7.25</v>
      </c>
      <c r="AH156" s="367">
        <f t="shared" si="116"/>
        <v>7.25</v>
      </c>
      <c r="AI156" s="367">
        <f t="shared" si="116"/>
        <v>7.25</v>
      </c>
      <c r="AJ156" s="367">
        <f t="shared" si="116"/>
        <v>7.25</v>
      </c>
      <c r="AK156" s="367">
        <f t="shared" si="116"/>
        <v>7.25</v>
      </c>
      <c r="AL156" s="367">
        <f t="shared" si="116"/>
        <v>7.25</v>
      </c>
      <c r="AM156" s="367">
        <f t="shared" si="116"/>
        <v>7.25</v>
      </c>
      <c r="AN156" s="367">
        <f t="shared" si="116"/>
        <v>7.25</v>
      </c>
      <c r="AO156" s="367">
        <f t="shared" si="116"/>
        <v>7.25</v>
      </c>
      <c r="AP156" s="367">
        <f t="shared" si="116"/>
        <v>7.25</v>
      </c>
      <c r="AQ156" s="367">
        <f t="shared" si="116"/>
        <v>7.25</v>
      </c>
      <c r="AR156" s="367">
        <f t="shared" si="116"/>
        <v>7.25</v>
      </c>
      <c r="AS156" s="367">
        <f t="shared" si="116"/>
        <v>7.25</v>
      </c>
      <c r="AT156" s="367">
        <f t="shared" si="116"/>
        <v>7.25</v>
      </c>
      <c r="AU156" s="367">
        <f t="shared" si="116"/>
        <v>7.25</v>
      </c>
      <c r="AV156" s="367">
        <f t="shared" si="116"/>
        <v>7.25</v>
      </c>
      <c r="AW156" s="90"/>
      <c r="AX156" s="90"/>
      <c r="AY156" s="90"/>
      <c r="AZ156" s="90"/>
      <c r="BA156" s="90"/>
      <c r="BB156" s="90"/>
      <c r="BC156" s="90"/>
      <c r="BD156" s="90"/>
      <c r="BE156" s="90"/>
      <c r="BF156" s="90"/>
      <c r="BG156" s="90"/>
    </row>
    <row r="157" ht="12.75" customHeight="1" outlineLevel="1">
      <c r="A157" s="316"/>
      <c r="B157" s="195"/>
      <c r="C157" s="90" t="s">
        <v>718</v>
      </c>
      <c r="D157" s="67"/>
      <c r="E157" s="67"/>
      <c r="F157" s="67"/>
      <c r="G157" s="223"/>
      <c r="H157" s="223"/>
      <c r="I157" s="223">
        <f t="shared" ref="I157:AV157" si="117">I155+I156</f>
        <v>9</v>
      </c>
      <c r="J157" s="223">
        <f t="shared" si="117"/>
        <v>15</v>
      </c>
      <c r="K157" s="223">
        <f t="shared" si="117"/>
        <v>24.25</v>
      </c>
      <c r="L157" s="223">
        <f t="shared" si="117"/>
        <v>25.25</v>
      </c>
      <c r="M157" s="223">
        <f t="shared" si="117"/>
        <v>25.25</v>
      </c>
      <c r="N157" s="223">
        <f t="shared" si="117"/>
        <v>23.25</v>
      </c>
      <c r="O157" s="223">
        <f t="shared" si="117"/>
        <v>23.25</v>
      </c>
      <c r="P157" s="223">
        <f t="shared" si="117"/>
        <v>19.25</v>
      </c>
      <c r="Q157" s="223">
        <f t="shared" si="117"/>
        <v>19.25</v>
      </c>
      <c r="R157" s="223">
        <f t="shared" si="117"/>
        <v>19.25</v>
      </c>
      <c r="S157" s="223">
        <f t="shared" si="117"/>
        <v>19.25</v>
      </c>
      <c r="T157" s="223">
        <f t="shared" si="117"/>
        <v>19.25</v>
      </c>
      <c r="U157" s="223">
        <f t="shared" si="117"/>
        <v>19.25</v>
      </c>
      <c r="V157" s="223">
        <f t="shared" si="117"/>
        <v>19.25</v>
      </c>
      <c r="W157" s="223">
        <f t="shared" si="117"/>
        <v>19.25</v>
      </c>
      <c r="X157" s="223">
        <f t="shared" si="117"/>
        <v>19.25</v>
      </c>
      <c r="Y157" s="223">
        <f t="shared" si="117"/>
        <v>19.25</v>
      </c>
      <c r="Z157" s="223">
        <f t="shared" si="117"/>
        <v>19.25</v>
      </c>
      <c r="AA157" s="223">
        <f t="shared" si="117"/>
        <v>19.25</v>
      </c>
      <c r="AB157" s="223">
        <f t="shared" si="117"/>
        <v>19.25</v>
      </c>
      <c r="AC157" s="223">
        <f t="shared" si="117"/>
        <v>19.25</v>
      </c>
      <c r="AD157" s="223">
        <f t="shared" si="117"/>
        <v>19.25</v>
      </c>
      <c r="AE157" s="223">
        <f t="shared" si="117"/>
        <v>19.25</v>
      </c>
      <c r="AF157" s="223">
        <f t="shared" si="117"/>
        <v>19.25</v>
      </c>
      <c r="AG157" s="223">
        <f t="shared" si="117"/>
        <v>19.25</v>
      </c>
      <c r="AH157" s="223">
        <f t="shared" si="117"/>
        <v>19.25</v>
      </c>
      <c r="AI157" s="223">
        <f t="shared" si="117"/>
        <v>19.25</v>
      </c>
      <c r="AJ157" s="223">
        <f t="shared" si="117"/>
        <v>19.25</v>
      </c>
      <c r="AK157" s="223">
        <f t="shared" si="117"/>
        <v>19.25</v>
      </c>
      <c r="AL157" s="223">
        <f t="shared" si="117"/>
        <v>19.25</v>
      </c>
      <c r="AM157" s="223">
        <f t="shared" si="117"/>
        <v>19.25</v>
      </c>
      <c r="AN157" s="223">
        <f t="shared" si="117"/>
        <v>19.25</v>
      </c>
      <c r="AO157" s="223">
        <f t="shared" si="117"/>
        <v>19.25</v>
      </c>
      <c r="AP157" s="223">
        <f t="shared" si="117"/>
        <v>19.25</v>
      </c>
      <c r="AQ157" s="223">
        <f t="shared" si="117"/>
        <v>19.25</v>
      </c>
      <c r="AR157" s="223">
        <f t="shared" si="117"/>
        <v>19.25</v>
      </c>
      <c r="AS157" s="223">
        <f t="shared" si="117"/>
        <v>19.25</v>
      </c>
      <c r="AT157" s="223">
        <f t="shared" si="117"/>
        <v>19.25</v>
      </c>
      <c r="AU157" s="223">
        <f t="shared" si="117"/>
        <v>19.25</v>
      </c>
      <c r="AV157" s="223">
        <f t="shared" si="117"/>
        <v>19.25</v>
      </c>
      <c r="AW157" s="90"/>
      <c r="AX157" s="90"/>
      <c r="AY157" s="90"/>
      <c r="AZ157" s="90"/>
      <c r="BA157" s="90"/>
      <c r="BB157" s="90"/>
      <c r="BC157" s="90"/>
      <c r="BD157" s="90"/>
      <c r="BE157" s="90"/>
      <c r="BF157" s="90"/>
      <c r="BG157" s="90"/>
    </row>
    <row r="158" ht="12.75" customHeight="1" outlineLevel="1">
      <c r="A158" s="316"/>
      <c r="B158" s="195"/>
      <c r="C158" s="90" t="s">
        <v>719</v>
      </c>
      <c r="D158" s="67"/>
      <c r="E158" s="67"/>
      <c r="F158" s="67"/>
      <c r="G158" s="223"/>
      <c r="H158" s="223"/>
      <c r="I158" s="223">
        <f t="shared" ref="I158:AV158" si="118">I157-H157</f>
        <v>9</v>
      </c>
      <c r="J158" s="223">
        <f t="shared" si="118"/>
        <v>6</v>
      </c>
      <c r="K158" s="223">
        <f t="shared" si="118"/>
        <v>9.25</v>
      </c>
      <c r="L158" s="223">
        <f t="shared" si="118"/>
        <v>1</v>
      </c>
      <c r="M158" s="223">
        <f t="shared" si="118"/>
        <v>0</v>
      </c>
      <c r="N158" s="223">
        <f t="shared" si="118"/>
        <v>-2</v>
      </c>
      <c r="O158" s="223">
        <f t="shared" si="118"/>
        <v>0</v>
      </c>
      <c r="P158" s="223">
        <f t="shared" si="118"/>
        <v>-4</v>
      </c>
      <c r="Q158" s="223">
        <f t="shared" si="118"/>
        <v>0</v>
      </c>
      <c r="R158" s="223">
        <f t="shared" si="118"/>
        <v>0</v>
      </c>
      <c r="S158" s="223">
        <f t="shared" si="118"/>
        <v>0</v>
      </c>
      <c r="T158" s="223">
        <f t="shared" si="118"/>
        <v>0</v>
      </c>
      <c r="U158" s="223">
        <f t="shared" si="118"/>
        <v>0</v>
      </c>
      <c r="V158" s="223">
        <f t="shared" si="118"/>
        <v>0</v>
      </c>
      <c r="W158" s="223">
        <f t="shared" si="118"/>
        <v>0</v>
      </c>
      <c r="X158" s="223">
        <f t="shared" si="118"/>
        <v>0</v>
      </c>
      <c r="Y158" s="223">
        <f t="shared" si="118"/>
        <v>0</v>
      </c>
      <c r="Z158" s="223">
        <f t="shared" si="118"/>
        <v>0</v>
      </c>
      <c r="AA158" s="223">
        <f t="shared" si="118"/>
        <v>0</v>
      </c>
      <c r="AB158" s="223">
        <f t="shared" si="118"/>
        <v>0</v>
      </c>
      <c r="AC158" s="223">
        <f t="shared" si="118"/>
        <v>0</v>
      </c>
      <c r="AD158" s="223">
        <f t="shared" si="118"/>
        <v>0</v>
      </c>
      <c r="AE158" s="223">
        <f t="shared" si="118"/>
        <v>0</v>
      </c>
      <c r="AF158" s="223">
        <f t="shared" si="118"/>
        <v>0</v>
      </c>
      <c r="AG158" s="223">
        <f t="shared" si="118"/>
        <v>0</v>
      </c>
      <c r="AH158" s="223">
        <f t="shared" si="118"/>
        <v>0</v>
      </c>
      <c r="AI158" s="223">
        <f t="shared" si="118"/>
        <v>0</v>
      </c>
      <c r="AJ158" s="223">
        <f t="shared" si="118"/>
        <v>0</v>
      </c>
      <c r="AK158" s="223">
        <f t="shared" si="118"/>
        <v>0</v>
      </c>
      <c r="AL158" s="223">
        <f t="shared" si="118"/>
        <v>0</v>
      </c>
      <c r="AM158" s="223">
        <f t="shared" si="118"/>
        <v>0</v>
      </c>
      <c r="AN158" s="223">
        <f t="shared" si="118"/>
        <v>0</v>
      </c>
      <c r="AO158" s="223">
        <f t="shared" si="118"/>
        <v>0</v>
      </c>
      <c r="AP158" s="223">
        <f t="shared" si="118"/>
        <v>0</v>
      </c>
      <c r="AQ158" s="223">
        <f t="shared" si="118"/>
        <v>0</v>
      </c>
      <c r="AR158" s="223">
        <f t="shared" si="118"/>
        <v>0</v>
      </c>
      <c r="AS158" s="223">
        <f t="shared" si="118"/>
        <v>0</v>
      </c>
      <c r="AT158" s="223">
        <f t="shared" si="118"/>
        <v>0</v>
      </c>
      <c r="AU158" s="223">
        <f t="shared" si="118"/>
        <v>0</v>
      </c>
      <c r="AV158" s="223">
        <f t="shared" si="118"/>
        <v>0</v>
      </c>
      <c r="AW158" s="90"/>
      <c r="AX158" s="90"/>
      <c r="AY158" s="90"/>
      <c r="AZ158" s="90"/>
      <c r="BA158" s="90"/>
      <c r="BB158" s="90"/>
      <c r="BC158" s="90"/>
      <c r="BD158" s="90"/>
      <c r="BE158" s="90"/>
      <c r="BF158" s="90"/>
      <c r="BG158" s="90"/>
    </row>
    <row r="159" ht="12.75" customHeight="1" outlineLevel="1">
      <c r="A159" s="316"/>
      <c r="B159" s="195"/>
      <c r="C159" s="90"/>
      <c r="D159" s="67"/>
      <c r="E159" s="67"/>
      <c r="F159" s="67"/>
      <c r="G159" s="67"/>
      <c r="H159" s="369"/>
      <c r="I159" s="369"/>
      <c r="J159" s="369"/>
      <c r="K159" s="369"/>
      <c r="L159" s="369"/>
      <c r="M159" s="369"/>
      <c r="N159" s="369"/>
      <c r="O159" s="369"/>
      <c r="P159" s="369"/>
      <c r="Q159" s="369"/>
      <c r="R159" s="369"/>
      <c r="S159" s="369"/>
      <c r="T159" s="369"/>
      <c r="U159" s="369"/>
      <c r="V159" s="369"/>
      <c r="W159" s="369"/>
      <c r="X159" s="369"/>
      <c r="Y159" s="369"/>
      <c r="Z159" s="369"/>
      <c r="AA159" s="369"/>
      <c r="AB159" s="369"/>
      <c r="AC159" s="369"/>
      <c r="AD159" s="369"/>
      <c r="AE159" s="369"/>
      <c r="AF159" s="369"/>
      <c r="AG159" s="369"/>
      <c r="AH159" s="369"/>
      <c r="AI159" s="369"/>
      <c r="AJ159" s="369"/>
      <c r="AK159" s="369"/>
      <c r="AL159" s="369"/>
      <c r="AM159" s="369"/>
      <c r="AN159" s="369"/>
      <c r="AO159" s="369"/>
      <c r="AP159" s="369"/>
      <c r="AQ159" s="369"/>
      <c r="AR159" s="369"/>
      <c r="AS159" s="369"/>
      <c r="AT159" s="369"/>
      <c r="AU159" s="369"/>
      <c r="AV159" s="369"/>
      <c r="AW159" s="90"/>
      <c r="AX159" s="90"/>
      <c r="AY159" s="90"/>
      <c r="AZ159" s="90"/>
      <c r="BA159" s="90"/>
      <c r="BB159" s="90"/>
      <c r="BC159" s="90"/>
      <c r="BD159" s="90"/>
      <c r="BE159" s="90"/>
      <c r="BF159" s="90"/>
      <c r="BG159" s="90"/>
    </row>
    <row r="160" ht="12.75" customHeight="1" outlineLevel="1">
      <c r="A160" s="316"/>
      <c r="B160" s="67" t="s">
        <v>278</v>
      </c>
      <c r="C160" s="90"/>
      <c r="D160" s="90"/>
      <c r="E160" s="90"/>
      <c r="F160" s="90"/>
      <c r="G160" s="90"/>
      <c r="H160" s="195"/>
      <c r="I160" s="195"/>
      <c r="J160" s="195"/>
      <c r="K160" s="90"/>
      <c r="L160" s="90"/>
      <c r="M160" s="90"/>
      <c r="N160" s="90"/>
      <c r="O160" s="90"/>
      <c r="P160" s="90"/>
      <c r="Q160" s="90"/>
      <c r="R160" s="90"/>
      <c r="S160" s="90"/>
      <c r="T160" s="90"/>
      <c r="U160" s="90"/>
      <c r="V160" s="90"/>
      <c r="W160" s="90"/>
      <c r="X160" s="90"/>
      <c r="Y160" s="90"/>
      <c r="Z160" s="90"/>
      <c r="AA160" s="90"/>
      <c r="AB160" s="90"/>
      <c r="AC160" s="90"/>
      <c r="AD160" s="90"/>
      <c r="AE160" s="90"/>
      <c r="AF160" s="90"/>
      <c r="AG160" s="90"/>
      <c r="AH160" s="90"/>
      <c r="AI160" s="90"/>
      <c r="AJ160" s="90"/>
      <c r="AK160" s="90"/>
      <c r="AL160" s="90"/>
      <c r="AM160" s="90"/>
      <c r="AN160" s="90"/>
      <c r="AO160" s="90"/>
      <c r="AP160" s="90"/>
      <c r="AQ160" s="90"/>
      <c r="AR160" s="90"/>
      <c r="AS160" s="90"/>
      <c r="AT160" s="90"/>
      <c r="AU160" s="90"/>
      <c r="AV160" s="90"/>
      <c r="AW160" s="90"/>
      <c r="AX160" s="90"/>
      <c r="AY160" s="90"/>
      <c r="AZ160" s="90"/>
      <c r="BA160" s="90"/>
      <c r="BB160" s="90"/>
      <c r="BC160" s="90"/>
      <c r="BD160" s="90"/>
      <c r="BE160" s="90"/>
      <c r="BF160" s="90"/>
      <c r="BG160" s="90"/>
    </row>
    <row r="161" ht="12.75" customHeight="1" outlineLevel="1">
      <c r="A161" s="316"/>
      <c r="B161" s="90"/>
      <c r="C161" s="90" t="s">
        <v>720</v>
      </c>
      <c r="D161" s="90"/>
      <c r="E161" s="90"/>
      <c r="F161" s="90"/>
      <c r="G161" s="90"/>
      <c r="H161" s="523"/>
      <c r="I161" s="523">
        <v>0.0</v>
      </c>
      <c r="J161" s="523">
        <f>J89</f>
        <v>0</v>
      </c>
      <c r="K161" s="523">
        <f>Assumptions!D59</f>
        <v>0</v>
      </c>
      <c r="L161" s="523">
        <f>Assumptions!E59</f>
        <v>0.02</v>
      </c>
      <c r="M161" s="523">
        <f>Assumptions!F59</f>
        <v>0.02</v>
      </c>
      <c r="N161" s="523">
        <f>Assumptions!G59</f>
        <v>0.02</v>
      </c>
      <c r="O161" s="523">
        <f>Assumptions!H59</f>
        <v>0.02</v>
      </c>
      <c r="P161" s="523">
        <f>Assumptions!I59</f>
        <v>0.02</v>
      </c>
      <c r="Q161" s="523">
        <f t="shared" ref="Q161:AV161" si="119">P161</f>
        <v>0.02</v>
      </c>
      <c r="R161" s="523">
        <f t="shared" si="119"/>
        <v>0.02</v>
      </c>
      <c r="S161" s="523">
        <f t="shared" si="119"/>
        <v>0.02</v>
      </c>
      <c r="T161" s="523">
        <f t="shared" si="119"/>
        <v>0.02</v>
      </c>
      <c r="U161" s="523">
        <f t="shared" si="119"/>
        <v>0.02</v>
      </c>
      <c r="V161" s="523">
        <f t="shared" si="119"/>
        <v>0.02</v>
      </c>
      <c r="W161" s="523">
        <f t="shared" si="119"/>
        <v>0.02</v>
      </c>
      <c r="X161" s="523">
        <f t="shared" si="119"/>
        <v>0.02</v>
      </c>
      <c r="Y161" s="523">
        <f t="shared" si="119"/>
        <v>0.02</v>
      </c>
      <c r="Z161" s="523">
        <f t="shared" si="119"/>
        <v>0.02</v>
      </c>
      <c r="AA161" s="523">
        <f t="shared" si="119"/>
        <v>0.02</v>
      </c>
      <c r="AB161" s="523">
        <f t="shared" si="119"/>
        <v>0.02</v>
      </c>
      <c r="AC161" s="523">
        <f t="shared" si="119"/>
        <v>0.02</v>
      </c>
      <c r="AD161" s="523">
        <f t="shared" si="119"/>
        <v>0.02</v>
      </c>
      <c r="AE161" s="523">
        <f t="shared" si="119"/>
        <v>0.02</v>
      </c>
      <c r="AF161" s="523">
        <f t="shared" si="119"/>
        <v>0.02</v>
      </c>
      <c r="AG161" s="523">
        <f t="shared" si="119"/>
        <v>0.02</v>
      </c>
      <c r="AH161" s="523">
        <f t="shared" si="119"/>
        <v>0.02</v>
      </c>
      <c r="AI161" s="523">
        <f t="shared" si="119"/>
        <v>0.02</v>
      </c>
      <c r="AJ161" s="523">
        <f t="shared" si="119"/>
        <v>0.02</v>
      </c>
      <c r="AK161" s="523">
        <f t="shared" si="119"/>
        <v>0.02</v>
      </c>
      <c r="AL161" s="523">
        <f t="shared" si="119"/>
        <v>0.02</v>
      </c>
      <c r="AM161" s="523">
        <f t="shared" si="119"/>
        <v>0.02</v>
      </c>
      <c r="AN161" s="523">
        <f t="shared" si="119"/>
        <v>0.02</v>
      </c>
      <c r="AO161" s="523">
        <f t="shared" si="119"/>
        <v>0.02</v>
      </c>
      <c r="AP161" s="523">
        <f t="shared" si="119"/>
        <v>0.02</v>
      </c>
      <c r="AQ161" s="523">
        <f t="shared" si="119"/>
        <v>0.02</v>
      </c>
      <c r="AR161" s="523">
        <f t="shared" si="119"/>
        <v>0.02</v>
      </c>
      <c r="AS161" s="523">
        <f t="shared" si="119"/>
        <v>0.02</v>
      </c>
      <c r="AT161" s="523">
        <f t="shared" si="119"/>
        <v>0.02</v>
      </c>
      <c r="AU161" s="523">
        <f t="shared" si="119"/>
        <v>0.02</v>
      </c>
      <c r="AV161" s="523">
        <f t="shared" si="119"/>
        <v>0.02</v>
      </c>
      <c r="AW161" s="90" t="s">
        <v>1198</v>
      </c>
      <c r="AX161" s="90"/>
      <c r="AY161" s="90"/>
      <c r="AZ161" s="90"/>
      <c r="BA161" s="90"/>
      <c r="BB161" s="90"/>
      <c r="BC161" s="90"/>
      <c r="BD161" s="90"/>
      <c r="BE161" s="90"/>
      <c r="BF161" s="90"/>
      <c r="BG161" s="90"/>
    </row>
    <row r="162" ht="12.75" customHeight="1" outlineLevel="1">
      <c r="A162" s="316"/>
      <c r="B162" s="90"/>
      <c r="C162" s="90"/>
      <c r="D162" s="90"/>
      <c r="E162" s="90"/>
      <c r="F162" s="90"/>
      <c r="G162" s="90"/>
      <c r="H162" s="195"/>
      <c r="I162" s="195"/>
      <c r="J162" s="195"/>
      <c r="K162" s="90"/>
      <c r="L162" s="99"/>
      <c r="M162" s="99"/>
      <c r="N162" s="99"/>
      <c r="O162" s="99"/>
      <c r="P162" s="99"/>
      <c r="Q162" s="90"/>
      <c r="R162" s="90"/>
      <c r="S162" s="90"/>
      <c r="T162" s="90"/>
      <c r="U162" s="90"/>
      <c r="V162" s="90"/>
      <c r="W162" s="90"/>
      <c r="X162" s="90"/>
      <c r="Y162" s="90"/>
      <c r="Z162" s="90"/>
      <c r="AA162" s="90"/>
      <c r="AB162" s="90"/>
      <c r="AC162" s="90"/>
      <c r="AD162" s="90"/>
      <c r="AE162" s="90"/>
      <c r="AF162" s="90"/>
      <c r="AG162" s="90"/>
      <c r="AH162" s="90"/>
      <c r="AI162" s="90"/>
      <c r="AJ162" s="90"/>
      <c r="AK162" s="90"/>
      <c r="AL162" s="90"/>
      <c r="AM162" s="90"/>
      <c r="AN162" s="90"/>
      <c r="AO162" s="90"/>
      <c r="AP162" s="90"/>
      <c r="AQ162" s="90"/>
      <c r="AR162" s="90"/>
      <c r="AS162" s="90"/>
      <c r="AT162" s="90"/>
      <c r="AU162" s="90"/>
      <c r="AV162" s="90"/>
      <c r="AW162" s="90"/>
      <c r="AX162" s="90"/>
      <c r="AY162" s="90" t="s">
        <v>1199</v>
      </c>
      <c r="AZ162" s="90" t="s">
        <v>707</v>
      </c>
      <c r="BA162" s="90" t="s">
        <v>1200</v>
      </c>
      <c r="BB162" s="90" t="s">
        <v>701</v>
      </c>
      <c r="BC162" s="90" t="s">
        <v>1201</v>
      </c>
      <c r="BD162" s="90"/>
      <c r="BE162" s="90"/>
      <c r="BF162" s="90"/>
      <c r="BG162" s="90"/>
    </row>
    <row r="163" ht="12.75" customHeight="1" outlineLevel="1">
      <c r="A163" s="316"/>
      <c r="B163" s="371"/>
      <c r="C163" s="90" t="s">
        <v>701</v>
      </c>
      <c r="D163" s="90"/>
      <c r="E163" s="90"/>
      <c r="F163" s="90"/>
      <c r="G163" s="254"/>
      <c r="H163" s="254"/>
      <c r="I163" s="254">
        <v>85000.0</v>
      </c>
      <c r="J163" s="254">
        <v>100000.0</v>
      </c>
      <c r="K163" s="99">
        <f>BB163</f>
        <v>85000</v>
      </c>
      <c r="L163" s="99">
        <v>100000.0</v>
      </c>
      <c r="M163" s="99">
        <f t="shared" ref="M163:AV163" si="120">L163*(1+M$161)</f>
        <v>102000</v>
      </c>
      <c r="N163" s="99">
        <f t="shared" si="120"/>
        <v>104040</v>
      </c>
      <c r="O163" s="99">
        <f t="shared" si="120"/>
        <v>106120.8</v>
      </c>
      <c r="P163" s="99">
        <f t="shared" si="120"/>
        <v>108243.216</v>
      </c>
      <c r="Q163" s="99">
        <f t="shared" si="120"/>
        <v>110408.0803</v>
      </c>
      <c r="R163" s="99">
        <f t="shared" si="120"/>
        <v>112616.2419</v>
      </c>
      <c r="S163" s="99">
        <f t="shared" si="120"/>
        <v>114868.5668</v>
      </c>
      <c r="T163" s="99">
        <f t="shared" si="120"/>
        <v>117165.9381</v>
      </c>
      <c r="U163" s="99">
        <f t="shared" si="120"/>
        <v>119509.2569</v>
      </c>
      <c r="V163" s="99">
        <f t="shared" si="120"/>
        <v>121899.442</v>
      </c>
      <c r="W163" s="99">
        <f t="shared" si="120"/>
        <v>124337.4308</v>
      </c>
      <c r="X163" s="99">
        <f t="shared" si="120"/>
        <v>126824.1795</v>
      </c>
      <c r="Y163" s="99">
        <f t="shared" si="120"/>
        <v>129360.663</v>
      </c>
      <c r="Z163" s="99">
        <f t="shared" si="120"/>
        <v>131947.8763</v>
      </c>
      <c r="AA163" s="99">
        <f t="shared" si="120"/>
        <v>134586.8338</v>
      </c>
      <c r="AB163" s="99">
        <f t="shared" si="120"/>
        <v>137278.5705</v>
      </c>
      <c r="AC163" s="99">
        <f t="shared" si="120"/>
        <v>140024.1419</v>
      </c>
      <c r="AD163" s="99">
        <f t="shared" si="120"/>
        <v>142824.6248</v>
      </c>
      <c r="AE163" s="99">
        <f t="shared" si="120"/>
        <v>145681.1173</v>
      </c>
      <c r="AF163" s="99">
        <f t="shared" si="120"/>
        <v>148594.7396</v>
      </c>
      <c r="AG163" s="99">
        <f t="shared" si="120"/>
        <v>151566.6344</v>
      </c>
      <c r="AH163" s="99">
        <f t="shared" si="120"/>
        <v>154597.9671</v>
      </c>
      <c r="AI163" s="99">
        <f t="shared" si="120"/>
        <v>157689.9264</v>
      </c>
      <c r="AJ163" s="99">
        <f t="shared" si="120"/>
        <v>160843.7249</v>
      </c>
      <c r="AK163" s="99">
        <f t="shared" si="120"/>
        <v>164060.5994</v>
      </c>
      <c r="AL163" s="99">
        <f t="shared" si="120"/>
        <v>167341.8114</v>
      </c>
      <c r="AM163" s="99">
        <f t="shared" si="120"/>
        <v>170688.6477</v>
      </c>
      <c r="AN163" s="99">
        <f t="shared" si="120"/>
        <v>174102.4206</v>
      </c>
      <c r="AO163" s="99">
        <f t="shared" si="120"/>
        <v>177584.469</v>
      </c>
      <c r="AP163" s="99">
        <f t="shared" si="120"/>
        <v>181136.1584</v>
      </c>
      <c r="AQ163" s="99">
        <f t="shared" si="120"/>
        <v>184758.8816</v>
      </c>
      <c r="AR163" s="99">
        <f t="shared" si="120"/>
        <v>188454.0592</v>
      </c>
      <c r="AS163" s="99">
        <f t="shared" si="120"/>
        <v>192223.1404</v>
      </c>
      <c r="AT163" s="99">
        <f t="shared" si="120"/>
        <v>196067.6032</v>
      </c>
      <c r="AU163" s="99">
        <f t="shared" si="120"/>
        <v>199988.9553</v>
      </c>
      <c r="AV163" s="99">
        <f t="shared" si="120"/>
        <v>203988.7344</v>
      </c>
      <c r="AW163" s="90"/>
      <c r="AX163" s="90"/>
      <c r="AY163" s="535">
        <v>47000.0</v>
      </c>
      <c r="AZ163" s="535">
        <v>68475.0</v>
      </c>
      <c r="BA163" s="536">
        <v>67000.0</v>
      </c>
      <c r="BB163" s="90">
        <v>85000.0</v>
      </c>
      <c r="BC163" s="90">
        <v>50000.0</v>
      </c>
      <c r="BD163" s="90"/>
      <c r="BE163" s="90"/>
      <c r="BF163" s="90"/>
      <c r="BG163" s="90"/>
    </row>
    <row r="164" ht="12.75" customHeight="1" outlineLevel="1">
      <c r="A164" s="316"/>
      <c r="B164" s="195"/>
      <c r="C164" s="90" t="s">
        <v>721</v>
      </c>
      <c r="D164" s="90"/>
      <c r="E164" s="90"/>
      <c r="F164" s="90"/>
      <c r="G164" s="254"/>
      <c r="H164" s="254"/>
      <c r="I164" s="99">
        <v>0.0</v>
      </c>
      <c r="J164" s="99">
        <v>0.0</v>
      </c>
      <c r="K164" s="99">
        <f t="shared" ref="K164:AV164" si="121">J164*(1+K$161)</f>
        <v>0</v>
      </c>
      <c r="L164" s="99">
        <f t="shared" si="121"/>
        <v>0</v>
      </c>
      <c r="M164" s="99">
        <f t="shared" si="121"/>
        <v>0</v>
      </c>
      <c r="N164" s="99">
        <f t="shared" si="121"/>
        <v>0</v>
      </c>
      <c r="O164" s="99">
        <f t="shared" si="121"/>
        <v>0</v>
      </c>
      <c r="P164" s="99">
        <f t="shared" si="121"/>
        <v>0</v>
      </c>
      <c r="Q164" s="99">
        <f t="shared" si="121"/>
        <v>0</v>
      </c>
      <c r="R164" s="99">
        <f t="shared" si="121"/>
        <v>0</v>
      </c>
      <c r="S164" s="99">
        <f t="shared" si="121"/>
        <v>0</v>
      </c>
      <c r="T164" s="99">
        <f t="shared" si="121"/>
        <v>0</v>
      </c>
      <c r="U164" s="99">
        <f t="shared" si="121"/>
        <v>0</v>
      </c>
      <c r="V164" s="99">
        <f t="shared" si="121"/>
        <v>0</v>
      </c>
      <c r="W164" s="99">
        <f t="shared" si="121"/>
        <v>0</v>
      </c>
      <c r="X164" s="99">
        <f t="shared" si="121"/>
        <v>0</v>
      </c>
      <c r="Y164" s="99">
        <f t="shared" si="121"/>
        <v>0</v>
      </c>
      <c r="Z164" s="99">
        <f t="shared" si="121"/>
        <v>0</v>
      </c>
      <c r="AA164" s="99">
        <f t="shared" si="121"/>
        <v>0</v>
      </c>
      <c r="AB164" s="99">
        <f t="shared" si="121"/>
        <v>0</v>
      </c>
      <c r="AC164" s="99">
        <f t="shared" si="121"/>
        <v>0</v>
      </c>
      <c r="AD164" s="99">
        <f t="shared" si="121"/>
        <v>0</v>
      </c>
      <c r="AE164" s="99">
        <f t="shared" si="121"/>
        <v>0</v>
      </c>
      <c r="AF164" s="99">
        <f t="shared" si="121"/>
        <v>0</v>
      </c>
      <c r="AG164" s="99">
        <f t="shared" si="121"/>
        <v>0</v>
      </c>
      <c r="AH164" s="99">
        <f t="shared" si="121"/>
        <v>0</v>
      </c>
      <c r="AI164" s="99">
        <f t="shared" si="121"/>
        <v>0</v>
      </c>
      <c r="AJ164" s="99">
        <f t="shared" si="121"/>
        <v>0</v>
      </c>
      <c r="AK164" s="99">
        <f t="shared" si="121"/>
        <v>0</v>
      </c>
      <c r="AL164" s="99">
        <f t="shared" si="121"/>
        <v>0</v>
      </c>
      <c r="AM164" s="99">
        <f t="shared" si="121"/>
        <v>0</v>
      </c>
      <c r="AN164" s="99">
        <f t="shared" si="121"/>
        <v>0</v>
      </c>
      <c r="AO164" s="99">
        <f t="shared" si="121"/>
        <v>0</v>
      </c>
      <c r="AP164" s="99">
        <f t="shared" si="121"/>
        <v>0</v>
      </c>
      <c r="AQ164" s="99">
        <f t="shared" si="121"/>
        <v>0</v>
      </c>
      <c r="AR164" s="99">
        <f t="shared" si="121"/>
        <v>0</v>
      </c>
      <c r="AS164" s="99">
        <f t="shared" si="121"/>
        <v>0</v>
      </c>
      <c r="AT164" s="99">
        <f t="shared" si="121"/>
        <v>0</v>
      </c>
      <c r="AU164" s="99">
        <f t="shared" si="121"/>
        <v>0</v>
      </c>
      <c r="AV164" s="99">
        <f t="shared" si="121"/>
        <v>0</v>
      </c>
      <c r="AW164" s="90"/>
      <c r="AX164" s="90"/>
      <c r="AY164" s="535">
        <v>47000.0</v>
      </c>
      <c r="AZ164" s="535">
        <v>68475.0</v>
      </c>
      <c r="BA164" s="90"/>
      <c r="BB164" s="90"/>
      <c r="BC164" s="90"/>
      <c r="BD164" s="90"/>
      <c r="BE164" s="90"/>
      <c r="BF164" s="90"/>
      <c r="BG164" s="90"/>
    </row>
    <row r="165" ht="12.75" customHeight="1" outlineLevel="1">
      <c r="A165" s="316"/>
      <c r="B165" s="195"/>
      <c r="C165" s="90" t="s">
        <v>703</v>
      </c>
      <c r="D165" s="90"/>
      <c r="E165" s="90"/>
      <c r="F165" s="90"/>
      <c r="G165" s="254"/>
      <c r="H165" s="254"/>
      <c r="I165" s="99">
        <v>0.0</v>
      </c>
      <c r="J165" s="99">
        <v>0.0</v>
      </c>
      <c r="K165" s="99">
        <f t="shared" ref="K165:AV165" si="122">J165*(1+K$161)</f>
        <v>0</v>
      </c>
      <c r="L165" s="99">
        <f t="shared" si="122"/>
        <v>0</v>
      </c>
      <c r="M165" s="99">
        <f t="shared" si="122"/>
        <v>0</v>
      </c>
      <c r="N165" s="99">
        <f t="shared" si="122"/>
        <v>0</v>
      </c>
      <c r="O165" s="99">
        <f t="shared" si="122"/>
        <v>0</v>
      </c>
      <c r="P165" s="99">
        <f t="shared" si="122"/>
        <v>0</v>
      </c>
      <c r="Q165" s="99">
        <f t="shared" si="122"/>
        <v>0</v>
      </c>
      <c r="R165" s="99">
        <f t="shared" si="122"/>
        <v>0</v>
      </c>
      <c r="S165" s="99">
        <f t="shared" si="122"/>
        <v>0</v>
      </c>
      <c r="T165" s="99">
        <f t="shared" si="122"/>
        <v>0</v>
      </c>
      <c r="U165" s="99">
        <f t="shared" si="122"/>
        <v>0</v>
      </c>
      <c r="V165" s="99">
        <f t="shared" si="122"/>
        <v>0</v>
      </c>
      <c r="W165" s="99">
        <f t="shared" si="122"/>
        <v>0</v>
      </c>
      <c r="X165" s="99">
        <f t="shared" si="122"/>
        <v>0</v>
      </c>
      <c r="Y165" s="99">
        <f t="shared" si="122"/>
        <v>0</v>
      </c>
      <c r="Z165" s="99">
        <f t="shared" si="122"/>
        <v>0</v>
      </c>
      <c r="AA165" s="99">
        <f t="shared" si="122"/>
        <v>0</v>
      </c>
      <c r="AB165" s="99">
        <f t="shared" si="122"/>
        <v>0</v>
      </c>
      <c r="AC165" s="99">
        <f t="shared" si="122"/>
        <v>0</v>
      </c>
      <c r="AD165" s="99">
        <f t="shared" si="122"/>
        <v>0</v>
      </c>
      <c r="AE165" s="99">
        <f t="shared" si="122"/>
        <v>0</v>
      </c>
      <c r="AF165" s="99">
        <f t="shared" si="122"/>
        <v>0</v>
      </c>
      <c r="AG165" s="99">
        <f t="shared" si="122"/>
        <v>0</v>
      </c>
      <c r="AH165" s="99">
        <f t="shared" si="122"/>
        <v>0</v>
      </c>
      <c r="AI165" s="99">
        <f t="shared" si="122"/>
        <v>0</v>
      </c>
      <c r="AJ165" s="99">
        <f t="shared" si="122"/>
        <v>0</v>
      </c>
      <c r="AK165" s="99">
        <f t="shared" si="122"/>
        <v>0</v>
      </c>
      <c r="AL165" s="99">
        <f t="shared" si="122"/>
        <v>0</v>
      </c>
      <c r="AM165" s="99">
        <f t="shared" si="122"/>
        <v>0</v>
      </c>
      <c r="AN165" s="99">
        <f t="shared" si="122"/>
        <v>0</v>
      </c>
      <c r="AO165" s="99">
        <f t="shared" si="122"/>
        <v>0</v>
      </c>
      <c r="AP165" s="99">
        <f t="shared" si="122"/>
        <v>0</v>
      </c>
      <c r="AQ165" s="99">
        <f t="shared" si="122"/>
        <v>0</v>
      </c>
      <c r="AR165" s="99">
        <f t="shared" si="122"/>
        <v>0</v>
      </c>
      <c r="AS165" s="99">
        <f t="shared" si="122"/>
        <v>0</v>
      </c>
      <c r="AT165" s="99">
        <f t="shared" si="122"/>
        <v>0</v>
      </c>
      <c r="AU165" s="99">
        <f t="shared" si="122"/>
        <v>0</v>
      </c>
      <c r="AV165" s="99">
        <f t="shared" si="122"/>
        <v>0</v>
      </c>
      <c r="AW165" s="90"/>
      <c r="AX165" s="90"/>
      <c r="AY165" s="535">
        <v>47000.0</v>
      </c>
      <c r="AZ165" s="535">
        <v>49500.0</v>
      </c>
      <c r="BA165" s="90"/>
      <c r="BB165" s="90"/>
      <c r="BC165" s="90"/>
      <c r="BD165" s="90"/>
      <c r="BE165" s="90"/>
      <c r="BF165" s="90"/>
      <c r="BG165" s="90"/>
    </row>
    <row r="166" ht="12.75" customHeight="1" outlineLevel="1">
      <c r="A166" s="316"/>
      <c r="B166" s="195"/>
      <c r="C166" s="90" t="s">
        <v>722</v>
      </c>
      <c r="D166" s="90"/>
      <c r="E166" s="90"/>
      <c r="F166" s="90"/>
      <c r="G166" s="254"/>
      <c r="H166" s="254"/>
      <c r="I166" s="99">
        <v>0.0</v>
      </c>
      <c r="J166" s="254">
        <v>49500.0</v>
      </c>
      <c r="K166" s="99">
        <f>AVERAGE(49750,47000)</f>
        <v>48375</v>
      </c>
      <c r="L166" s="99">
        <f>K166</f>
        <v>48375</v>
      </c>
      <c r="M166" s="99">
        <f t="shared" ref="M166:AV166" si="123">L166*(1+M$161)</f>
        <v>49342.5</v>
      </c>
      <c r="N166" s="99">
        <f t="shared" si="123"/>
        <v>50329.35</v>
      </c>
      <c r="O166" s="99">
        <f t="shared" si="123"/>
        <v>51335.937</v>
      </c>
      <c r="P166" s="99">
        <f t="shared" si="123"/>
        <v>52362.65574</v>
      </c>
      <c r="Q166" s="99">
        <f t="shared" si="123"/>
        <v>53409.90885</v>
      </c>
      <c r="R166" s="99">
        <f t="shared" si="123"/>
        <v>54478.10703</v>
      </c>
      <c r="S166" s="99">
        <f t="shared" si="123"/>
        <v>55567.66917</v>
      </c>
      <c r="T166" s="99">
        <f t="shared" si="123"/>
        <v>56679.02256</v>
      </c>
      <c r="U166" s="99">
        <f t="shared" si="123"/>
        <v>57812.60301</v>
      </c>
      <c r="V166" s="99">
        <f t="shared" si="123"/>
        <v>58968.85507</v>
      </c>
      <c r="W166" s="99">
        <f t="shared" si="123"/>
        <v>60148.23217</v>
      </c>
      <c r="X166" s="99">
        <f t="shared" si="123"/>
        <v>61351.19681</v>
      </c>
      <c r="Y166" s="99">
        <f t="shared" si="123"/>
        <v>62578.22075</v>
      </c>
      <c r="Z166" s="99">
        <f t="shared" si="123"/>
        <v>63829.78516</v>
      </c>
      <c r="AA166" s="99">
        <f t="shared" si="123"/>
        <v>65106.38087</v>
      </c>
      <c r="AB166" s="99">
        <f t="shared" si="123"/>
        <v>66408.50848</v>
      </c>
      <c r="AC166" s="99">
        <f t="shared" si="123"/>
        <v>67736.67865</v>
      </c>
      <c r="AD166" s="99">
        <f t="shared" si="123"/>
        <v>69091.41223</v>
      </c>
      <c r="AE166" s="99">
        <f t="shared" si="123"/>
        <v>70473.24047</v>
      </c>
      <c r="AF166" s="99">
        <f t="shared" si="123"/>
        <v>71882.70528</v>
      </c>
      <c r="AG166" s="99">
        <f t="shared" si="123"/>
        <v>73320.35939</v>
      </c>
      <c r="AH166" s="99">
        <f t="shared" si="123"/>
        <v>74786.76657</v>
      </c>
      <c r="AI166" s="99">
        <f t="shared" si="123"/>
        <v>76282.50191</v>
      </c>
      <c r="AJ166" s="99">
        <f t="shared" si="123"/>
        <v>77808.15194</v>
      </c>
      <c r="AK166" s="99">
        <f t="shared" si="123"/>
        <v>79364.31498</v>
      </c>
      <c r="AL166" s="99">
        <f t="shared" si="123"/>
        <v>80951.60128</v>
      </c>
      <c r="AM166" s="99">
        <f t="shared" si="123"/>
        <v>82570.63331</v>
      </c>
      <c r="AN166" s="99">
        <f t="shared" si="123"/>
        <v>84222.04597</v>
      </c>
      <c r="AO166" s="99">
        <f t="shared" si="123"/>
        <v>85906.48689</v>
      </c>
      <c r="AP166" s="99">
        <f t="shared" si="123"/>
        <v>87624.61663</v>
      </c>
      <c r="AQ166" s="99">
        <f t="shared" si="123"/>
        <v>89377.10896</v>
      </c>
      <c r="AR166" s="99">
        <f t="shared" si="123"/>
        <v>91164.65114</v>
      </c>
      <c r="AS166" s="99">
        <f t="shared" si="123"/>
        <v>92987.94417</v>
      </c>
      <c r="AT166" s="99">
        <f t="shared" si="123"/>
        <v>94847.70305</v>
      </c>
      <c r="AU166" s="99">
        <f t="shared" si="123"/>
        <v>96744.65711</v>
      </c>
      <c r="AV166" s="99">
        <f t="shared" si="123"/>
        <v>98679.55025</v>
      </c>
      <c r="AW166" s="90"/>
      <c r="AX166" s="90"/>
      <c r="AY166" s="535">
        <v>47000.0</v>
      </c>
      <c r="AZ166" s="535">
        <v>54450.0</v>
      </c>
      <c r="BA166" s="90"/>
      <c r="BB166" s="90"/>
      <c r="BC166" s="90"/>
      <c r="BD166" s="90"/>
      <c r="BE166" s="90"/>
      <c r="BF166" s="90"/>
      <c r="BG166" s="90"/>
    </row>
    <row r="167" ht="12.75" customHeight="1" outlineLevel="1">
      <c r="A167" s="316"/>
      <c r="B167" s="195"/>
      <c r="C167" s="90" t="s">
        <v>707</v>
      </c>
      <c r="D167" s="90"/>
      <c r="E167" s="90"/>
      <c r="F167" s="90"/>
      <c r="G167" s="254"/>
      <c r="H167" s="254"/>
      <c r="I167" s="99">
        <v>0.0</v>
      </c>
      <c r="J167" s="254">
        <v>55000.0</v>
      </c>
      <c r="K167" s="99">
        <f>AZ174</f>
        <v>55145.45455</v>
      </c>
      <c r="L167" s="99">
        <v>58000.0</v>
      </c>
      <c r="M167" s="99">
        <f t="shared" ref="M167:AV167" si="124">L167*(1+M$161)</f>
        <v>59160</v>
      </c>
      <c r="N167" s="99">
        <f t="shared" si="124"/>
        <v>60343.2</v>
      </c>
      <c r="O167" s="99">
        <f t="shared" si="124"/>
        <v>61550.064</v>
      </c>
      <c r="P167" s="99">
        <f t="shared" si="124"/>
        <v>62781.06528</v>
      </c>
      <c r="Q167" s="99">
        <f t="shared" si="124"/>
        <v>64036.68659</v>
      </c>
      <c r="R167" s="99">
        <f t="shared" si="124"/>
        <v>65317.42032</v>
      </c>
      <c r="S167" s="99">
        <f t="shared" si="124"/>
        <v>66623.76872</v>
      </c>
      <c r="T167" s="99">
        <f t="shared" si="124"/>
        <v>67956.2441</v>
      </c>
      <c r="U167" s="99">
        <f t="shared" si="124"/>
        <v>69315.36898</v>
      </c>
      <c r="V167" s="99">
        <f t="shared" si="124"/>
        <v>70701.67636</v>
      </c>
      <c r="W167" s="99">
        <f t="shared" si="124"/>
        <v>72115.70989</v>
      </c>
      <c r="X167" s="99">
        <f t="shared" si="124"/>
        <v>73558.02408</v>
      </c>
      <c r="Y167" s="99">
        <f t="shared" si="124"/>
        <v>75029.18457</v>
      </c>
      <c r="Z167" s="99">
        <f t="shared" si="124"/>
        <v>76529.76826</v>
      </c>
      <c r="AA167" s="99">
        <f t="shared" si="124"/>
        <v>78060.36362</v>
      </c>
      <c r="AB167" s="99">
        <f t="shared" si="124"/>
        <v>79621.5709</v>
      </c>
      <c r="AC167" s="99">
        <f t="shared" si="124"/>
        <v>81214.00231</v>
      </c>
      <c r="AD167" s="99">
        <f t="shared" si="124"/>
        <v>82838.28236</v>
      </c>
      <c r="AE167" s="99">
        <f t="shared" si="124"/>
        <v>84495.04801</v>
      </c>
      <c r="AF167" s="99">
        <f t="shared" si="124"/>
        <v>86184.94897</v>
      </c>
      <c r="AG167" s="99">
        <f t="shared" si="124"/>
        <v>87908.64795</v>
      </c>
      <c r="AH167" s="99">
        <f t="shared" si="124"/>
        <v>89666.82091</v>
      </c>
      <c r="AI167" s="99">
        <f t="shared" si="124"/>
        <v>91460.15732</v>
      </c>
      <c r="AJ167" s="99">
        <f t="shared" si="124"/>
        <v>93289.36047</v>
      </c>
      <c r="AK167" s="99">
        <f t="shared" si="124"/>
        <v>95155.14768</v>
      </c>
      <c r="AL167" s="99">
        <f t="shared" si="124"/>
        <v>97058.25063</v>
      </c>
      <c r="AM167" s="99">
        <f t="shared" si="124"/>
        <v>98999.41565</v>
      </c>
      <c r="AN167" s="99">
        <f t="shared" si="124"/>
        <v>100979.404</v>
      </c>
      <c r="AO167" s="99">
        <f t="shared" si="124"/>
        <v>102998.992</v>
      </c>
      <c r="AP167" s="99">
        <f t="shared" si="124"/>
        <v>105058.9719</v>
      </c>
      <c r="AQ167" s="99">
        <f t="shared" si="124"/>
        <v>107160.1513</v>
      </c>
      <c r="AR167" s="99">
        <f t="shared" si="124"/>
        <v>109303.3543</v>
      </c>
      <c r="AS167" s="99">
        <f t="shared" si="124"/>
        <v>111489.4214</v>
      </c>
      <c r="AT167" s="99">
        <f t="shared" si="124"/>
        <v>113719.2099</v>
      </c>
      <c r="AU167" s="99">
        <f t="shared" si="124"/>
        <v>115993.5941</v>
      </c>
      <c r="AV167" s="99">
        <f t="shared" si="124"/>
        <v>118313.4659</v>
      </c>
      <c r="AW167" s="90"/>
      <c r="AX167" s="90"/>
      <c r="AY167" s="536">
        <f>AVERAGE(AY163:AY166)</f>
        <v>47000</v>
      </c>
      <c r="AZ167" s="535">
        <v>58300.0</v>
      </c>
      <c r="BA167" s="90"/>
      <c r="BB167" s="90"/>
      <c r="BC167" s="90"/>
      <c r="BD167" s="90"/>
      <c r="BE167" s="90"/>
      <c r="BF167" s="90"/>
      <c r="BG167" s="90"/>
    </row>
    <row r="168" ht="12.75" customHeight="1" outlineLevel="1">
      <c r="A168" s="316"/>
      <c r="B168" s="195"/>
      <c r="C168" s="90" t="s">
        <v>702</v>
      </c>
      <c r="D168" s="90"/>
      <c r="E168" s="90"/>
      <c r="F168" s="90"/>
      <c r="G168" s="254"/>
      <c r="H168" s="254"/>
      <c r="I168" s="99">
        <v>0.0</v>
      </c>
      <c r="J168" s="254">
        <v>75000.0</v>
      </c>
      <c r="K168" s="254">
        <f>BA163</f>
        <v>67000</v>
      </c>
      <c r="L168" s="254">
        <f>100000/1.2</f>
        <v>83333.33333</v>
      </c>
      <c r="M168" s="99">
        <f t="shared" ref="M168:AV168" si="125">L168*(1+M$161)</f>
        <v>85000</v>
      </c>
      <c r="N168" s="99">
        <f t="shared" si="125"/>
        <v>86700</v>
      </c>
      <c r="O168" s="99">
        <f t="shared" si="125"/>
        <v>88434</v>
      </c>
      <c r="P168" s="99">
        <f t="shared" si="125"/>
        <v>90202.68</v>
      </c>
      <c r="Q168" s="99">
        <f t="shared" si="125"/>
        <v>92006.7336</v>
      </c>
      <c r="R168" s="99">
        <f t="shared" si="125"/>
        <v>93846.86827</v>
      </c>
      <c r="S168" s="99">
        <f t="shared" si="125"/>
        <v>95723.80564</v>
      </c>
      <c r="T168" s="99">
        <f t="shared" si="125"/>
        <v>97638.28175</v>
      </c>
      <c r="U168" s="99">
        <f t="shared" si="125"/>
        <v>99591.04739</v>
      </c>
      <c r="V168" s="99">
        <f t="shared" si="125"/>
        <v>101582.8683</v>
      </c>
      <c r="W168" s="99">
        <f t="shared" si="125"/>
        <v>103614.5257</v>
      </c>
      <c r="X168" s="99">
        <f t="shared" si="125"/>
        <v>105686.8162</v>
      </c>
      <c r="Y168" s="99">
        <f t="shared" si="125"/>
        <v>107800.5525</v>
      </c>
      <c r="Z168" s="99">
        <f t="shared" si="125"/>
        <v>109956.5636</v>
      </c>
      <c r="AA168" s="99">
        <f t="shared" si="125"/>
        <v>112155.6949</v>
      </c>
      <c r="AB168" s="99">
        <f t="shared" si="125"/>
        <v>114398.8088</v>
      </c>
      <c r="AC168" s="99">
        <f t="shared" si="125"/>
        <v>116686.7849</v>
      </c>
      <c r="AD168" s="99">
        <f t="shared" si="125"/>
        <v>119020.5206</v>
      </c>
      <c r="AE168" s="99">
        <f t="shared" si="125"/>
        <v>121400.931</v>
      </c>
      <c r="AF168" s="99">
        <f t="shared" si="125"/>
        <v>123828.9497</v>
      </c>
      <c r="AG168" s="99">
        <f t="shared" si="125"/>
        <v>126305.5287</v>
      </c>
      <c r="AH168" s="99">
        <f t="shared" si="125"/>
        <v>128831.6392</v>
      </c>
      <c r="AI168" s="99">
        <f t="shared" si="125"/>
        <v>131408.272</v>
      </c>
      <c r="AJ168" s="99">
        <f t="shared" si="125"/>
        <v>134036.4375</v>
      </c>
      <c r="AK168" s="99">
        <f t="shared" si="125"/>
        <v>136717.1662</v>
      </c>
      <c r="AL168" s="99">
        <f t="shared" si="125"/>
        <v>139451.5095</v>
      </c>
      <c r="AM168" s="99">
        <f t="shared" si="125"/>
        <v>142240.5397</v>
      </c>
      <c r="AN168" s="99">
        <f t="shared" si="125"/>
        <v>145085.3505</v>
      </c>
      <c r="AO168" s="99">
        <f t="shared" si="125"/>
        <v>147987.0575</v>
      </c>
      <c r="AP168" s="99">
        <f t="shared" si="125"/>
        <v>150946.7987</v>
      </c>
      <c r="AQ168" s="99">
        <f t="shared" si="125"/>
        <v>153965.7346</v>
      </c>
      <c r="AR168" s="99">
        <f t="shared" si="125"/>
        <v>157045.0493</v>
      </c>
      <c r="AS168" s="99">
        <f t="shared" si="125"/>
        <v>160185.9503</v>
      </c>
      <c r="AT168" s="99">
        <f t="shared" si="125"/>
        <v>163389.6693</v>
      </c>
      <c r="AU168" s="99">
        <f t="shared" si="125"/>
        <v>166657.4627</v>
      </c>
      <c r="AV168" s="99">
        <f t="shared" si="125"/>
        <v>169990.612</v>
      </c>
      <c r="AW168" s="90"/>
      <c r="AX168" s="90"/>
      <c r="AY168" s="537"/>
      <c r="AZ168" s="535">
        <v>54450.0</v>
      </c>
      <c r="BA168" s="90"/>
      <c r="BB168" s="90"/>
      <c r="BC168" s="90"/>
      <c r="BD168" s="90"/>
      <c r="BE168" s="90"/>
      <c r="BF168" s="90"/>
      <c r="BG168" s="90"/>
    </row>
    <row r="169" ht="12.75" customHeight="1" outlineLevel="1">
      <c r="A169" s="316"/>
      <c r="B169" s="195"/>
      <c r="C169" s="90" t="s">
        <v>723</v>
      </c>
      <c r="D169" s="90"/>
      <c r="E169" s="90"/>
      <c r="F169" s="90"/>
      <c r="G169" s="254"/>
      <c r="H169" s="254"/>
      <c r="I169" s="99">
        <v>0.0</v>
      </c>
      <c r="J169" s="254">
        <v>156.0</v>
      </c>
      <c r="K169" s="99">
        <v>200.0</v>
      </c>
      <c r="L169" s="99">
        <f t="shared" ref="L169:AV169" si="126">K169*(1+L$161)</f>
        <v>204</v>
      </c>
      <c r="M169" s="99">
        <f t="shared" si="126"/>
        <v>208.08</v>
      </c>
      <c r="N169" s="99">
        <f t="shared" si="126"/>
        <v>212.2416</v>
      </c>
      <c r="O169" s="99">
        <f t="shared" si="126"/>
        <v>216.486432</v>
      </c>
      <c r="P169" s="99">
        <f t="shared" si="126"/>
        <v>220.8161606</v>
      </c>
      <c r="Q169" s="99">
        <f t="shared" si="126"/>
        <v>225.2324839</v>
      </c>
      <c r="R169" s="99">
        <f t="shared" si="126"/>
        <v>229.7371335</v>
      </c>
      <c r="S169" s="99">
        <f t="shared" si="126"/>
        <v>234.3318762</v>
      </c>
      <c r="T169" s="99">
        <f t="shared" si="126"/>
        <v>239.0185137</v>
      </c>
      <c r="U169" s="99">
        <f t="shared" si="126"/>
        <v>243.798884</v>
      </c>
      <c r="V169" s="99">
        <f t="shared" si="126"/>
        <v>248.6748617</v>
      </c>
      <c r="W169" s="99">
        <f t="shared" si="126"/>
        <v>253.6483589</v>
      </c>
      <c r="X169" s="99">
        <f t="shared" si="126"/>
        <v>258.7213261</v>
      </c>
      <c r="Y169" s="99">
        <f t="shared" si="126"/>
        <v>263.8957526</v>
      </c>
      <c r="Z169" s="99">
        <f t="shared" si="126"/>
        <v>269.1736677</v>
      </c>
      <c r="AA169" s="99">
        <f t="shared" si="126"/>
        <v>274.557141</v>
      </c>
      <c r="AB169" s="99">
        <f t="shared" si="126"/>
        <v>280.0482838</v>
      </c>
      <c r="AC169" s="99">
        <f t="shared" si="126"/>
        <v>285.6492495</v>
      </c>
      <c r="AD169" s="99">
        <f t="shared" si="126"/>
        <v>291.3622345</v>
      </c>
      <c r="AE169" s="99">
        <f t="shared" si="126"/>
        <v>297.1894792</v>
      </c>
      <c r="AF169" s="99">
        <f t="shared" si="126"/>
        <v>303.1332688</v>
      </c>
      <c r="AG169" s="99">
        <f t="shared" si="126"/>
        <v>309.1959342</v>
      </c>
      <c r="AH169" s="99">
        <f t="shared" si="126"/>
        <v>315.3798528</v>
      </c>
      <c r="AI169" s="99">
        <f t="shared" si="126"/>
        <v>321.6874499</v>
      </c>
      <c r="AJ169" s="99">
        <f t="shared" si="126"/>
        <v>328.1211989</v>
      </c>
      <c r="AK169" s="99">
        <f t="shared" si="126"/>
        <v>334.6836229</v>
      </c>
      <c r="AL169" s="99">
        <f t="shared" si="126"/>
        <v>341.3772953</v>
      </c>
      <c r="AM169" s="99">
        <f t="shared" si="126"/>
        <v>348.2048412</v>
      </c>
      <c r="AN169" s="99">
        <f t="shared" si="126"/>
        <v>355.1689381</v>
      </c>
      <c r="AO169" s="99">
        <f t="shared" si="126"/>
        <v>362.2723168</v>
      </c>
      <c r="AP169" s="99">
        <f t="shared" si="126"/>
        <v>369.5177632</v>
      </c>
      <c r="AQ169" s="99">
        <f t="shared" si="126"/>
        <v>376.9081184</v>
      </c>
      <c r="AR169" s="99">
        <f t="shared" si="126"/>
        <v>384.4462808</v>
      </c>
      <c r="AS169" s="99">
        <f t="shared" si="126"/>
        <v>392.1352064</v>
      </c>
      <c r="AT169" s="99">
        <f t="shared" si="126"/>
        <v>399.9779105</v>
      </c>
      <c r="AU169" s="99">
        <f t="shared" si="126"/>
        <v>407.9774687</v>
      </c>
      <c r="AV169" s="99">
        <f t="shared" si="126"/>
        <v>416.1370181</v>
      </c>
      <c r="AW169" s="90"/>
      <c r="AX169" s="90"/>
      <c r="AY169" s="537"/>
      <c r="AZ169" s="535">
        <v>49500.0</v>
      </c>
      <c r="BA169" s="90"/>
      <c r="BB169" s="90"/>
      <c r="BC169" s="90"/>
      <c r="BD169" s="90"/>
      <c r="BE169" s="90"/>
      <c r="BF169" s="90"/>
      <c r="BG169" s="90"/>
    </row>
    <row r="170" ht="12.75" customHeight="1" outlineLevel="1">
      <c r="A170" s="316"/>
      <c r="B170" s="195"/>
      <c r="C170" s="90" t="s">
        <v>711</v>
      </c>
      <c r="D170" s="90"/>
      <c r="E170" s="90"/>
      <c r="F170" s="90"/>
      <c r="G170" s="254"/>
      <c r="H170" s="254"/>
      <c r="I170" s="254">
        <v>42500.0</v>
      </c>
      <c r="J170" s="99">
        <f>I170*(1+J$161)</f>
        <v>42500</v>
      </c>
      <c r="K170" s="99">
        <f>BC163</f>
        <v>50000</v>
      </c>
      <c r="L170" s="99">
        <f t="shared" ref="L170:AV170" si="127">K170*(1+L$161)</f>
        <v>51000</v>
      </c>
      <c r="M170" s="99">
        <f t="shared" si="127"/>
        <v>52020</v>
      </c>
      <c r="N170" s="99">
        <f t="shared" si="127"/>
        <v>53060.4</v>
      </c>
      <c r="O170" s="99">
        <f t="shared" si="127"/>
        <v>54121.608</v>
      </c>
      <c r="P170" s="99">
        <f t="shared" si="127"/>
        <v>55204.04016</v>
      </c>
      <c r="Q170" s="99">
        <f t="shared" si="127"/>
        <v>56308.12096</v>
      </c>
      <c r="R170" s="99">
        <f t="shared" si="127"/>
        <v>57434.28338</v>
      </c>
      <c r="S170" s="99">
        <f t="shared" si="127"/>
        <v>58582.96905</v>
      </c>
      <c r="T170" s="99">
        <f t="shared" si="127"/>
        <v>59754.62843</v>
      </c>
      <c r="U170" s="99">
        <f t="shared" si="127"/>
        <v>60949.721</v>
      </c>
      <c r="V170" s="99">
        <f t="shared" si="127"/>
        <v>62168.71542</v>
      </c>
      <c r="W170" s="99">
        <f t="shared" si="127"/>
        <v>63412.08973</v>
      </c>
      <c r="X170" s="99">
        <f t="shared" si="127"/>
        <v>64680.33152</v>
      </c>
      <c r="Y170" s="99">
        <f t="shared" si="127"/>
        <v>65973.93815</v>
      </c>
      <c r="Z170" s="99">
        <f t="shared" si="127"/>
        <v>67293.41692</v>
      </c>
      <c r="AA170" s="99">
        <f t="shared" si="127"/>
        <v>68639.28525</v>
      </c>
      <c r="AB170" s="99">
        <f t="shared" si="127"/>
        <v>70012.07096</v>
      </c>
      <c r="AC170" s="99">
        <f t="shared" si="127"/>
        <v>71412.31238</v>
      </c>
      <c r="AD170" s="99">
        <f t="shared" si="127"/>
        <v>72840.55863</v>
      </c>
      <c r="AE170" s="99">
        <f t="shared" si="127"/>
        <v>74297.3698</v>
      </c>
      <c r="AF170" s="99">
        <f t="shared" si="127"/>
        <v>75783.31719</v>
      </c>
      <c r="AG170" s="99">
        <f t="shared" si="127"/>
        <v>77298.98354</v>
      </c>
      <c r="AH170" s="99">
        <f t="shared" si="127"/>
        <v>78844.96321</v>
      </c>
      <c r="AI170" s="99">
        <f t="shared" si="127"/>
        <v>80421.86247</v>
      </c>
      <c r="AJ170" s="99">
        <f t="shared" si="127"/>
        <v>82030.29972</v>
      </c>
      <c r="AK170" s="99">
        <f t="shared" si="127"/>
        <v>83670.90572</v>
      </c>
      <c r="AL170" s="99">
        <f t="shared" si="127"/>
        <v>85344.32383</v>
      </c>
      <c r="AM170" s="99">
        <f t="shared" si="127"/>
        <v>87051.21031</v>
      </c>
      <c r="AN170" s="99">
        <f t="shared" si="127"/>
        <v>88792.23451</v>
      </c>
      <c r="AO170" s="99">
        <f t="shared" si="127"/>
        <v>90568.07921</v>
      </c>
      <c r="AP170" s="99">
        <f t="shared" si="127"/>
        <v>92379.44079</v>
      </c>
      <c r="AQ170" s="99">
        <f t="shared" si="127"/>
        <v>94227.02961</v>
      </c>
      <c r="AR170" s="99">
        <f t="shared" si="127"/>
        <v>96111.5702</v>
      </c>
      <c r="AS170" s="99">
        <f t="shared" si="127"/>
        <v>98033.8016</v>
      </c>
      <c r="AT170" s="99">
        <f t="shared" si="127"/>
        <v>99994.47763</v>
      </c>
      <c r="AU170" s="99">
        <f t="shared" si="127"/>
        <v>101994.3672</v>
      </c>
      <c r="AV170" s="99">
        <f t="shared" si="127"/>
        <v>104034.2545</v>
      </c>
      <c r="AW170" s="90"/>
      <c r="AX170" s="90"/>
      <c r="AY170" s="536"/>
      <c r="AZ170" s="535">
        <v>54450.0</v>
      </c>
      <c r="BA170" s="90"/>
      <c r="BB170" s="90"/>
      <c r="BC170" s="90"/>
      <c r="BD170" s="90"/>
      <c r="BE170" s="90"/>
      <c r="BF170" s="90"/>
      <c r="BG170" s="90"/>
    </row>
    <row r="171" ht="12.75" customHeight="1" outlineLevel="1">
      <c r="A171" s="316"/>
      <c r="B171" s="195"/>
      <c r="C171" s="90" t="s">
        <v>724</v>
      </c>
      <c r="D171" s="90"/>
      <c r="E171" s="90"/>
      <c r="F171" s="90"/>
      <c r="G171" s="254"/>
      <c r="H171" s="254"/>
      <c r="I171" s="99">
        <v>0.0</v>
      </c>
      <c r="J171" s="254">
        <v>0.0</v>
      </c>
      <c r="K171" s="99">
        <f t="shared" ref="K171:K173" si="129">J171*(1+K$161)</f>
        <v>0</v>
      </c>
      <c r="L171" s="99">
        <f>'RSGen 1-7'!K173</f>
        <v>25000</v>
      </c>
      <c r="M171" s="99">
        <f t="shared" ref="M171:AV171" si="128">L171*(1+M$161)</f>
        <v>25500</v>
      </c>
      <c r="N171" s="99">
        <f t="shared" si="128"/>
        <v>26010</v>
      </c>
      <c r="O171" s="99">
        <f t="shared" si="128"/>
        <v>26530.2</v>
      </c>
      <c r="P171" s="99">
        <f t="shared" si="128"/>
        <v>27060.804</v>
      </c>
      <c r="Q171" s="99">
        <f t="shared" si="128"/>
        <v>27602.02008</v>
      </c>
      <c r="R171" s="99">
        <f t="shared" si="128"/>
        <v>28154.06048</v>
      </c>
      <c r="S171" s="99">
        <f t="shared" si="128"/>
        <v>28717.14169</v>
      </c>
      <c r="T171" s="99">
        <f t="shared" si="128"/>
        <v>29291.48453</v>
      </c>
      <c r="U171" s="99">
        <f t="shared" si="128"/>
        <v>29877.31422</v>
      </c>
      <c r="V171" s="99">
        <f t="shared" si="128"/>
        <v>30474.8605</v>
      </c>
      <c r="W171" s="99">
        <f t="shared" si="128"/>
        <v>31084.35771</v>
      </c>
      <c r="X171" s="99">
        <f t="shared" si="128"/>
        <v>31706.04486</v>
      </c>
      <c r="Y171" s="99">
        <f t="shared" si="128"/>
        <v>32340.16576</v>
      </c>
      <c r="Z171" s="99">
        <f t="shared" si="128"/>
        <v>32986.96908</v>
      </c>
      <c r="AA171" s="99">
        <f t="shared" si="128"/>
        <v>33646.70846</v>
      </c>
      <c r="AB171" s="99">
        <f t="shared" si="128"/>
        <v>34319.64263</v>
      </c>
      <c r="AC171" s="99">
        <f t="shared" si="128"/>
        <v>35006.03548</v>
      </c>
      <c r="AD171" s="99">
        <f t="shared" si="128"/>
        <v>35706.15619</v>
      </c>
      <c r="AE171" s="99">
        <f t="shared" si="128"/>
        <v>36420.27931</v>
      </c>
      <c r="AF171" s="99">
        <f t="shared" si="128"/>
        <v>37148.6849</v>
      </c>
      <c r="AG171" s="99">
        <f t="shared" si="128"/>
        <v>37891.6586</v>
      </c>
      <c r="AH171" s="99">
        <f t="shared" si="128"/>
        <v>38649.49177</v>
      </c>
      <c r="AI171" s="99">
        <f t="shared" si="128"/>
        <v>39422.4816</v>
      </c>
      <c r="AJ171" s="99">
        <f t="shared" si="128"/>
        <v>40210.93124</v>
      </c>
      <c r="AK171" s="99">
        <f t="shared" si="128"/>
        <v>41015.14986</v>
      </c>
      <c r="AL171" s="99">
        <f t="shared" si="128"/>
        <v>41835.45286</v>
      </c>
      <c r="AM171" s="99">
        <f t="shared" si="128"/>
        <v>42672.16192</v>
      </c>
      <c r="AN171" s="99">
        <f t="shared" si="128"/>
        <v>43525.60515</v>
      </c>
      <c r="AO171" s="99">
        <f t="shared" si="128"/>
        <v>44396.11726</v>
      </c>
      <c r="AP171" s="99">
        <f t="shared" si="128"/>
        <v>45284.0396</v>
      </c>
      <c r="AQ171" s="99">
        <f t="shared" si="128"/>
        <v>46189.72039</v>
      </c>
      <c r="AR171" s="99">
        <f t="shared" si="128"/>
        <v>47113.5148</v>
      </c>
      <c r="AS171" s="99">
        <f t="shared" si="128"/>
        <v>48055.7851</v>
      </c>
      <c r="AT171" s="99">
        <f t="shared" si="128"/>
        <v>49016.9008</v>
      </c>
      <c r="AU171" s="99">
        <f t="shared" si="128"/>
        <v>49997.23882</v>
      </c>
      <c r="AV171" s="99">
        <f t="shared" si="128"/>
        <v>50997.18359</v>
      </c>
      <c r="AW171" s="90"/>
      <c r="AX171" s="90"/>
      <c r="AY171" s="90"/>
      <c r="AZ171" s="535">
        <v>49500.0</v>
      </c>
      <c r="BA171" s="90"/>
      <c r="BB171" s="90"/>
      <c r="BC171" s="90"/>
      <c r="BD171" s="90"/>
      <c r="BE171" s="90"/>
      <c r="BF171" s="90"/>
      <c r="BG171" s="90"/>
    </row>
    <row r="172" ht="12.75" customHeight="1" outlineLevel="1">
      <c r="A172" s="316"/>
      <c r="B172" s="195"/>
      <c r="C172" s="90" t="s">
        <v>713</v>
      </c>
      <c r="D172" s="90"/>
      <c r="E172" s="90"/>
      <c r="F172" s="90"/>
      <c r="G172" s="254"/>
      <c r="H172" s="254"/>
      <c r="I172" s="99">
        <v>0.0</v>
      </c>
      <c r="J172" s="99">
        <v>0.0</v>
      </c>
      <c r="K172" s="99">
        <f t="shared" si="129"/>
        <v>0</v>
      </c>
      <c r="L172" s="99">
        <f>'RSGen 1-7'!K174</f>
        <v>14400</v>
      </c>
      <c r="M172" s="99">
        <f t="shared" ref="M172:AV172" si="130">L172*(1+M$161)</f>
        <v>14688</v>
      </c>
      <c r="N172" s="99">
        <f t="shared" si="130"/>
        <v>14981.76</v>
      </c>
      <c r="O172" s="99">
        <f t="shared" si="130"/>
        <v>15281.3952</v>
      </c>
      <c r="P172" s="99">
        <f t="shared" si="130"/>
        <v>15587.0231</v>
      </c>
      <c r="Q172" s="99">
        <f t="shared" si="130"/>
        <v>15898.76357</v>
      </c>
      <c r="R172" s="99">
        <f t="shared" si="130"/>
        <v>16216.73884</v>
      </c>
      <c r="S172" s="99">
        <f t="shared" si="130"/>
        <v>16541.07361</v>
      </c>
      <c r="T172" s="99">
        <f t="shared" si="130"/>
        <v>16871.89509</v>
      </c>
      <c r="U172" s="99">
        <f t="shared" si="130"/>
        <v>17209.33299</v>
      </c>
      <c r="V172" s="99">
        <f t="shared" si="130"/>
        <v>17553.51965</v>
      </c>
      <c r="W172" s="99">
        <f t="shared" si="130"/>
        <v>17904.59004</v>
      </c>
      <c r="X172" s="99">
        <f t="shared" si="130"/>
        <v>18262.68184</v>
      </c>
      <c r="Y172" s="99">
        <f t="shared" si="130"/>
        <v>18627.93548</v>
      </c>
      <c r="Z172" s="99">
        <f t="shared" si="130"/>
        <v>19000.49419</v>
      </c>
      <c r="AA172" s="99">
        <f t="shared" si="130"/>
        <v>19380.50407</v>
      </c>
      <c r="AB172" s="99">
        <f t="shared" si="130"/>
        <v>19768.11415</v>
      </c>
      <c r="AC172" s="99">
        <f t="shared" si="130"/>
        <v>20163.47644</v>
      </c>
      <c r="AD172" s="99">
        <f t="shared" si="130"/>
        <v>20566.74597</v>
      </c>
      <c r="AE172" s="99">
        <f t="shared" si="130"/>
        <v>20978.08088</v>
      </c>
      <c r="AF172" s="99">
        <f t="shared" si="130"/>
        <v>21397.6425</v>
      </c>
      <c r="AG172" s="99">
        <f t="shared" si="130"/>
        <v>21825.59535</v>
      </c>
      <c r="AH172" s="99">
        <f t="shared" si="130"/>
        <v>22262.10726</v>
      </c>
      <c r="AI172" s="99">
        <f t="shared" si="130"/>
        <v>22707.3494</v>
      </c>
      <c r="AJ172" s="99">
        <f t="shared" si="130"/>
        <v>23161.49639</v>
      </c>
      <c r="AK172" s="99">
        <f t="shared" si="130"/>
        <v>23624.72632</v>
      </c>
      <c r="AL172" s="99">
        <f t="shared" si="130"/>
        <v>24097.22085</v>
      </c>
      <c r="AM172" s="99">
        <f t="shared" si="130"/>
        <v>24579.16526</v>
      </c>
      <c r="AN172" s="99">
        <f t="shared" si="130"/>
        <v>25070.74857</v>
      </c>
      <c r="AO172" s="99">
        <f t="shared" si="130"/>
        <v>25572.16354</v>
      </c>
      <c r="AP172" s="99">
        <f t="shared" si="130"/>
        <v>26083.60681</v>
      </c>
      <c r="AQ172" s="99">
        <f t="shared" si="130"/>
        <v>26605.27895</v>
      </c>
      <c r="AR172" s="99">
        <f t="shared" si="130"/>
        <v>27137.38453</v>
      </c>
      <c r="AS172" s="99">
        <f t="shared" si="130"/>
        <v>27680.13222</v>
      </c>
      <c r="AT172" s="99">
        <f t="shared" si="130"/>
        <v>28233.73486</v>
      </c>
      <c r="AU172" s="99">
        <f t="shared" si="130"/>
        <v>28798.40956</v>
      </c>
      <c r="AV172" s="99">
        <f t="shared" si="130"/>
        <v>29374.37775</v>
      </c>
      <c r="AW172" s="90"/>
      <c r="AX172" s="90"/>
      <c r="AY172" s="90"/>
      <c r="AZ172" s="535">
        <v>50000.0</v>
      </c>
      <c r="BA172" s="90"/>
      <c r="BB172" s="90"/>
      <c r="BC172" s="90"/>
      <c r="BD172" s="90"/>
      <c r="BE172" s="90"/>
      <c r="BF172" s="90"/>
      <c r="BG172" s="90"/>
    </row>
    <row r="173" ht="12.75" customHeight="1" outlineLevel="1">
      <c r="A173" s="316"/>
      <c r="B173" s="195"/>
      <c r="C173" s="90" t="s">
        <v>714</v>
      </c>
      <c r="D173" s="90"/>
      <c r="E173" s="90"/>
      <c r="F173" s="90"/>
      <c r="G173" s="254"/>
      <c r="H173" s="254"/>
      <c r="I173" s="99">
        <v>0.0</v>
      </c>
      <c r="J173" s="99">
        <v>0.0</v>
      </c>
      <c r="K173" s="99">
        <f t="shared" si="129"/>
        <v>0</v>
      </c>
      <c r="L173" s="99">
        <f>'RSGen 1-7'!K175</f>
        <v>14400</v>
      </c>
      <c r="M173" s="99">
        <f t="shared" ref="M173:AV173" si="131">L173*(1+M$161)</f>
        <v>14688</v>
      </c>
      <c r="N173" s="99">
        <f t="shared" si="131"/>
        <v>14981.76</v>
      </c>
      <c r="O173" s="99">
        <f t="shared" si="131"/>
        <v>15281.3952</v>
      </c>
      <c r="P173" s="99">
        <f t="shared" si="131"/>
        <v>15587.0231</v>
      </c>
      <c r="Q173" s="99">
        <f t="shared" si="131"/>
        <v>15898.76357</v>
      </c>
      <c r="R173" s="99">
        <f t="shared" si="131"/>
        <v>16216.73884</v>
      </c>
      <c r="S173" s="99">
        <f t="shared" si="131"/>
        <v>16541.07361</v>
      </c>
      <c r="T173" s="99">
        <f t="shared" si="131"/>
        <v>16871.89509</v>
      </c>
      <c r="U173" s="99">
        <f t="shared" si="131"/>
        <v>17209.33299</v>
      </c>
      <c r="V173" s="99">
        <f t="shared" si="131"/>
        <v>17553.51965</v>
      </c>
      <c r="W173" s="99">
        <f t="shared" si="131"/>
        <v>17904.59004</v>
      </c>
      <c r="X173" s="99">
        <f t="shared" si="131"/>
        <v>18262.68184</v>
      </c>
      <c r="Y173" s="99">
        <f t="shared" si="131"/>
        <v>18627.93548</v>
      </c>
      <c r="Z173" s="99">
        <f t="shared" si="131"/>
        <v>19000.49419</v>
      </c>
      <c r="AA173" s="99">
        <f t="shared" si="131"/>
        <v>19380.50407</v>
      </c>
      <c r="AB173" s="99">
        <f t="shared" si="131"/>
        <v>19768.11415</v>
      </c>
      <c r="AC173" s="99">
        <f t="shared" si="131"/>
        <v>20163.47644</v>
      </c>
      <c r="AD173" s="99">
        <f t="shared" si="131"/>
        <v>20566.74597</v>
      </c>
      <c r="AE173" s="99">
        <f t="shared" si="131"/>
        <v>20978.08088</v>
      </c>
      <c r="AF173" s="99">
        <f t="shared" si="131"/>
        <v>21397.6425</v>
      </c>
      <c r="AG173" s="99">
        <f t="shared" si="131"/>
        <v>21825.59535</v>
      </c>
      <c r="AH173" s="99">
        <f t="shared" si="131"/>
        <v>22262.10726</v>
      </c>
      <c r="AI173" s="99">
        <f t="shared" si="131"/>
        <v>22707.3494</v>
      </c>
      <c r="AJ173" s="99">
        <f t="shared" si="131"/>
        <v>23161.49639</v>
      </c>
      <c r="AK173" s="99">
        <f t="shared" si="131"/>
        <v>23624.72632</v>
      </c>
      <c r="AL173" s="99">
        <f t="shared" si="131"/>
        <v>24097.22085</v>
      </c>
      <c r="AM173" s="99">
        <f t="shared" si="131"/>
        <v>24579.16526</v>
      </c>
      <c r="AN173" s="99">
        <f t="shared" si="131"/>
        <v>25070.74857</v>
      </c>
      <c r="AO173" s="99">
        <f t="shared" si="131"/>
        <v>25572.16354</v>
      </c>
      <c r="AP173" s="99">
        <f t="shared" si="131"/>
        <v>26083.60681</v>
      </c>
      <c r="AQ173" s="99">
        <f t="shared" si="131"/>
        <v>26605.27895</v>
      </c>
      <c r="AR173" s="99">
        <f t="shared" si="131"/>
        <v>27137.38453</v>
      </c>
      <c r="AS173" s="99">
        <f t="shared" si="131"/>
        <v>27680.13222</v>
      </c>
      <c r="AT173" s="99">
        <f t="shared" si="131"/>
        <v>28233.73486</v>
      </c>
      <c r="AU173" s="99">
        <f t="shared" si="131"/>
        <v>28798.40956</v>
      </c>
      <c r="AV173" s="99">
        <f t="shared" si="131"/>
        <v>29374.37775</v>
      </c>
      <c r="AW173" s="90"/>
      <c r="AX173" s="90"/>
      <c r="AY173" s="90"/>
      <c r="AZ173" s="535">
        <v>49500.0</v>
      </c>
      <c r="BA173" s="90"/>
      <c r="BB173" s="90"/>
      <c r="BC173" s="90"/>
      <c r="BD173" s="90"/>
      <c r="BE173" s="90"/>
      <c r="BF173" s="90"/>
      <c r="BG173" s="90"/>
    </row>
    <row r="174" ht="12.75" customHeight="1" outlineLevel="1">
      <c r="A174" s="316"/>
      <c r="B174" s="195"/>
      <c r="C174" s="90"/>
      <c r="D174" s="90"/>
      <c r="E174" s="90"/>
      <c r="F174" s="90"/>
      <c r="G174" s="254"/>
      <c r="H174" s="254"/>
      <c r="I174" s="99"/>
      <c r="J174" s="99"/>
      <c r="K174" s="99"/>
      <c r="L174" s="99"/>
      <c r="M174" s="99"/>
      <c r="N174" s="99"/>
      <c r="O174" s="99"/>
      <c r="P174" s="99"/>
      <c r="Q174" s="99"/>
      <c r="R174" s="99"/>
      <c r="S174" s="99"/>
      <c r="T174" s="99"/>
      <c r="U174" s="99"/>
      <c r="V174" s="99"/>
      <c r="W174" s="99"/>
      <c r="X174" s="99"/>
      <c r="Y174" s="99"/>
      <c r="Z174" s="99"/>
      <c r="AA174" s="99"/>
      <c r="AB174" s="99"/>
      <c r="AC174" s="99"/>
      <c r="AD174" s="99"/>
      <c r="AE174" s="99"/>
      <c r="AF174" s="99"/>
      <c r="AG174" s="99"/>
      <c r="AH174" s="99"/>
      <c r="AI174" s="99"/>
      <c r="AJ174" s="99"/>
      <c r="AK174" s="99"/>
      <c r="AL174" s="99"/>
      <c r="AM174" s="99"/>
      <c r="AN174" s="99"/>
      <c r="AO174" s="99"/>
      <c r="AP174" s="99"/>
      <c r="AQ174" s="99"/>
      <c r="AR174" s="99"/>
      <c r="AS174" s="99"/>
      <c r="AT174" s="99"/>
      <c r="AU174" s="99"/>
      <c r="AV174" s="99"/>
      <c r="AW174" s="90"/>
      <c r="AX174" s="90"/>
      <c r="AY174" s="90"/>
      <c r="AZ174" s="537">
        <f>AVERAGE(AZ163:AZ173)</f>
        <v>55145.45455</v>
      </c>
      <c r="BA174" s="90"/>
      <c r="BB174" s="90"/>
      <c r="BC174" s="90"/>
      <c r="BD174" s="90"/>
      <c r="BE174" s="90"/>
      <c r="BF174" s="90"/>
      <c r="BG174" s="90"/>
    </row>
    <row r="175" ht="12.75" customHeight="1" outlineLevel="1">
      <c r="A175" s="316"/>
      <c r="B175" s="67" t="s">
        <v>725</v>
      </c>
      <c r="C175" s="90"/>
      <c r="D175" s="90"/>
      <c r="E175" s="90"/>
      <c r="F175" s="90"/>
      <c r="G175" s="254"/>
      <c r="H175" s="254"/>
      <c r="I175" s="99"/>
      <c r="J175" s="99"/>
      <c r="K175" s="99"/>
      <c r="L175" s="99"/>
      <c r="M175" s="99"/>
      <c r="N175" s="99"/>
      <c r="O175" s="99"/>
      <c r="P175" s="99"/>
      <c r="Q175" s="99"/>
      <c r="R175" s="99"/>
      <c r="S175" s="99"/>
      <c r="T175" s="99"/>
      <c r="U175" s="99"/>
      <c r="V175" s="99"/>
      <c r="W175" s="99"/>
      <c r="X175" s="99"/>
      <c r="Y175" s="99"/>
      <c r="Z175" s="99"/>
      <c r="AA175" s="99"/>
      <c r="AB175" s="99"/>
      <c r="AC175" s="99"/>
      <c r="AD175" s="99"/>
      <c r="AE175" s="99"/>
      <c r="AF175" s="99"/>
      <c r="AG175" s="99"/>
      <c r="AH175" s="99"/>
      <c r="AI175" s="99"/>
      <c r="AJ175" s="99"/>
      <c r="AK175" s="99"/>
      <c r="AL175" s="99"/>
      <c r="AM175" s="99"/>
      <c r="AN175" s="99"/>
      <c r="AO175" s="99"/>
      <c r="AP175" s="99"/>
      <c r="AQ175" s="99"/>
      <c r="AR175" s="99"/>
      <c r="AS175" s="99"/>
      <c r="AT175" s="99"/>
      <c r="AU175" s="99"/>
      <c r="AV175" s="99"/>
      <c r="AW175" s="90"/>
      <c r="AX175" s="90"/>
      <c r="AY175" s="90"/>
      <c r="AZ175" s="90"/>
      <c r="BA175" s="90"/>
      <c r="BB175" s="90"/>
      <c r="BC175" s="90"/>
      <c r="BD175" s="90"/>
      <c r="BE175" s="90"/>
      <c r="BF175" s="90"/>
      <c r="BG175" s="90"/>
    </row>
    <row r="176" ht="12.75" customHeight="1" outlineLevel="1">
      <c r="A176" s="316"/>
      <c r="B176" s="195"/>
      <c r="C176" s="90" t="s">
        <v>726</v>
      </c>
      <c r="D176" s="90"/>
      <c r="E176" s="90"/>
      <c r="F176" s="90"/>
      <c r="G176" s="254"/>
      <c r="H176" s="254"/>
      <c r="I176" s="157">
        <v>0.1</v>
      </c>
      <c r="J176" s="152">
        <f t="shared" ref="J176:AV176" si="132">I176</f>
        <v>0.1</v>
      </c>
      <c r="K176" s="152">
        <f t="shared" si="132"/>
        <v>0.1</v>
      </c>
      <c r="L176" s="152">
        <f t="shared" si="132"/>
        <v>0.1</v>
      </c>
      <c r="M176" s="152">
        <f t="shared" si="132"/>
        <v>0.1</v>
      </c>
      <c r="N176" s="152">
        <f t="shared" si="132"/>
        <v>0.1</v>
      </c>
      <c r="O176" s="152">
        <f t="shared" si="132"/>
        <v>0.1</v>
      </c>
      <c r="P176" s="152">
        <f t="shared" si="132"/>
        <v>0.1</v>
      </c>
      <c r="Q176" s="152">
        <f t="shared" si="132"/>
        <v>0.1</v>
      </c>
      <c r="R176" s="152">
        <f t="shared" si="132"/>
        <v>0.1</v>
      </c>
      <c r="S176" s="152">
        <f t="shared" si="132"/>
        <v>0.1</v>
      </c>
      <c r="T176" s="152">
        <f t="shared" si="132"/>
        <v>0.1</v>
      </c>
      <c r="U176" s="152">
        <f t="shared" si="132"/>
        <v>0.1</v>
      </c>
      <c r="V176" s="152">
        <f t="shared" si="132"/>
        <v>0.1</v>
      </c>
      <c r="W176" s="152">
        <f t="shared" si="132"/>
        <v>0.1</v>
      </c>
      <c r="X176" s="152">
        <f t="shared" si="132"/>
        <v>0.1</v>
      </c>
      <c r="Y176" s="152">
        <f t="shared" si="132"/>
        <v>0.1</v>
      </c>
      <c r="Z176" s="152">
        <f t="shared" si="132"/>
        <v>0.1</v>
      </c>
      <c r="AA176" s="152">
        <f t="shared" si="132"/>
        <v>0.1</v>
      </c>
      <c r="AB176" s="152">
        <f t="shared" si="132"/>
        <v>0.1</v>
      </c>
      <c r="AC176" s="152">
        <f t="shared" si="132"/>
        <v>0.1</v>
      </c>
      <c r="AD176" s="152">
        <f t="shared" si="132"/>
        <v>0.1</v>
      </c>
      <c r="AE176" s="152">
        <f t="shared" si="132"/>
        <v>0.1</v>
      </c>
      <c r="AF176" s="152">
        <f t="shared" si="132"/>
        <v>0.1</v>
      </c>
      <c r="AG176" s="152">
        <f t="shared" si="132"/>
        <v>0.1</v>
      </c>
      <c r="AH176" s="152">
        <f t="shared" si="132"/>
        <v>0.1</v>
      </c>
      <c r="AI176" s="152">
        <f t="shared" si="132"/>
        <v>0.1</v>
      </c>
      <c r="AJ176" s="152">
        <f t="shared" si="132"/>
        <v>0.1</v>
      </c>
      <c r="AK176" s="152">
        <f t="shared" si="132"/>
        <v>0.1</v>
      </c>
      <c r="AL176" s="152">
        <f t="shared" si="132"/>
        <v>0.1</v>
      </c>
      <c r="AM176" s="152">
        <f t="shared" si="132"/>
        <v>0.1</v>
      </c>
      <c r="AN176" s="152">
        <f t="shared" si="132"/>
        <v>0.1</v>
      </c>
      <c r="AO176" s="152">
        <f t="shared" si="132"/>
        <v>0.1</v>
      </c>
      <c r="AP176" s="152">
        <f t="shared" si="132"/>
        <v>0.1</v>
      </c>
      <c r="AQ176" s="152">
        <f t="shared" si="132"/>
        <v>0.1</v>
      </c>
      <c r="AR176" s="152">
        <f t="shared" si="132"/>
        <v>0.1</v>
      </c>
      <c r="AS176" s="152">
        <f t="shared" si="132"/>
        <v>0.1</v>
      </c>
      <c r="AT176" s="152">
        <f t="shared" si="132"/>
        <v>0.1</v>
      </c>
      <c r="AU176" s="152">
        <f t="shared" si="132"/>
        <v>0.1</v>
      </c>
      <c r="AV176" s="152">
        <f t="shared" si="132"/>
        <v>0.1</v>
      </c>
      <c r="AW176" s="90"/>
      <c r="AX176" s="90"/>
      <c r="AY176" s="90"/>
      <c r="AZ176" s="90"/>
      <c r="BA176" s="90"/>
      <c r="BB176" s="90"/>
      <c r="BC176" s="90"/>
      <c r="BD176" s="90"/>
      <c r="BE176" s="90"/>
      <c r="BF176" s="90"/>
      <c r="BG176" s="90"/>
    </row>
    <row r="177" ht="12.75" customHeight="1" outlineLevel="1">
      <c r="A177" s="316"/>
      <c r="B177" s="195"/>
      <c r="C177" s="90" t="s">
        <v>727</v>
      </c>
      <c r="D177" s="90"/>
      <c r="E177" s="90"/>
      <c r="F177" s="90"/>
      <c r="G177" s="254"/>
      <c r="H177" s="254"/>
      <c r="I177" s="157">
        <v>0.8</v>
      </c>
      <c r="J177" s="152">
        <f>I177</f>
        <v>0.8</v>
      </c>
      <c r="K177" s="152">
        <v>1.0</v>
      </c>
      <c r="L177" s="152">
        <f t="shared" ref="L177:AV177" si="133">K177</f>
        <v>1</v>
      </c>
      <c r="M177" s="152">
        <f t="shared" si="133"/>
        <v>1</v>
      </c>
      <c r="N177" s="152">
        <f t="shared" si="133"/>
        <v>1</v>
      </c>
      <c r="O177" s="152">
        <f t="shared" si="133"/>
        <v>1</v>
      </c>
      <c r="P177" s="152">
        <f t="shared" si="133"/>
        <v>1</v>
      </c>
      <c r="Q177" s="152">
        <f t="shared" si="133"/>
        <v>1</v>
      </c>
      <c r="R177" s="152">
        <f t="shared" si="133"/>
        <v>1</v>
      </c>
      <c r="S177" s="152">
        <f t="shared" si="133"/>
        <v>1</v>
      </c>
      <c r="T177" s="152">
        <f t="shared" si="133"/>
        <v>1</v>
      </c>
      <c r="U177" s="152">
        <f t="shared" si="133"/>
        <v>1</v>
      </c>
      <c r="V177" s="152">
        <f t="shared" si="133"/>
        <v>1</v>
      </c>
      <c r="W177" s="152">
        <f t="shared" si="133"/>
        <v>1</v>
      </c>
      <c r="X177" s="152">
        <f t="shared" si="133"/>
        <v>1</v>
      </c>
      <c r="Y177" s="152">
        <f t="shared" si="133"/>
        <v>1</v>
      </c>
      <c r="Z177" s="152">
        <f t="shared" si="133"/>
        <v>1</v>
      </c>
      <c r="AA177" s="152">
        <f t="shared" si="133"/>
        <v>1</v>
      </c>
      <c r="AB177" s="152">
        <f t="shared" si="133"/>
        <v>1</v>
      </c>
      <c r="AC177" s="152">
        <f t="shared" si="133"/>
        <v>1</v>
      </c>
      <c r="AD177" s="152">
        <f t="shared" si="133"/>
        <v>1</v>
      </c>
      <c r="AE177" s="152">
        <f t="shared" si="133"/>
        <v>1</v>
      </c>
      <c r="AF177" s="152">
        <f t="shared" si="133"/>
        <v>1</v>
      </c>
      <c r="AG177" s="152">
        <f t="shared" si="133"/>
        <v>1</v>
      </c>
      <c r="AH177" s="152">
        <f t="shared" si="133"/>
        <v>1</v>
      </c>
      <c r="AI177" s="152">
        <f t="shared" si="133"/>
        <v>1</v>
      </c>
      <c r="AJ177" s="152">
        <f t="shared" si="133"/>
        <v>1</v>
      </c>
      <c r="AK177" s="152">
        <f t="shared" si="133"/>
        <v>1</v>
      </c>
      <c r="AL177" s="152">
        <f t="shared" si="133"/>
        <v>1</v>
      </c>
      <c r="AM177" s="152">
        <f t="shared" si="133"/>
        <v>1</v>
      </c>
      <c r="AN177" s="152">
        <f t="shared" si="133"/>
        <v>1</v>
      </c>
      <c r="AO177" s="152">
        <f t="shared" si="133"/>
        <v>1</v>
      </c>
      <c r="AP177" s="152">
        <f t="shared" si="133"/>
        <v>1</v>
      </c>
      <c r="AQ177" s="152">
        <f t="shared" si="133"/>
        <v>1</v>
      </c>
      <c r="AR177" s="152">
        <f t="shared" si="133"/>
        <v>1</v>
      </c>
      <c r="AS177" s="152">
        <f t="shared" si="133"/>
        <v>1</v>
      </c>
      <c r="AT177" s="152">
        <f t="shared" si="133"/>
        <v>1</v>
      </c>
      <c r="AU177" s="152">
        <f t="shared" si="133"/>
        <v>1</v>
      </c>
      <c r="AV177" s="152">
        <f t="shared" si="133"/>
        <v>1</v>
      </c>
      <c r="AW177" s="90"/>
      <c r="AX177" s="90"/>
      <c r="AY177" s="90"/>
      <c r="AZ177" s="90"/>
      <c r="BA177" s="90"/>
      <c r="BB177" s="90"/>
      <c r="BC177" s="90"/>
      <c r="BD177" s="90"/>
      <c r="BE177" s="90"/>
      <c r="BF177" s="90"/>
      <c r="BG177" s="90"/>
    </row>
    <row r="178" ht="12.75" customHeight="1" outlineLevel="1">
      <c r="A178" s="538"/>
      <c r="B178" s="372"/>
      <c r="C178" s="353" t="s">
        <v>728</v>
      </c>
      <c r="D178" s="353"/>
      <c r="E178" s="353"/>
      <c r="F178" s="353"/>
      <c r="G178" s="353"/>
      <c r="H178" s="518"/>
      <c r="I178" s="254">
        <f t="shared" ref="I178:AV178" si="134">I163*0.1+I168*0.1</f>
        <v>8500</v>
      </c>
      <c r="J178" s="254">
        <f t="shared" si="134"/>
        <v>17500</v>
      </c>
      <c r="K178" s="254">
        <f t="shared" si="134"/>
        <v>15200</v>
      </c>
      <c r="L178" s="254">
        <f t="shared" si="134"/>
        <v>18333.33333</v>
      </c>
      <c r="M178" s="254">
        <f t="shared" si="134"/>
        <v>18700</v>
      </c>
      <c r="N178" s="254">
        <f t="shared" si="134"/>
        <v>19074</v>
      </c>
      <c r="O178" s="254">
        <f t="shared" si="134"/>
        <v>19455.48</v>
      </c>
      <c r="P178" s="254">
        <f t="shared" si="134"/>
        <v>19844.5896</v>
      </c>
      <c r="Q178" s="254">
        <f t="shared" si="134"/>
        <v>20241.48139</v>
      </c>
      <c r="R178" s="254">
        <f t="shared" si="134"/>
        <v>20646.31102</v>
      </c>
      <c r="S178" s="254">
        <f t="shared" si="134"/>
        <v>21059.23724</v>
      </c>
      <c r="T178" s="254">
        <f t="shared" si="134"/>
        <v>21480.42199</v>
      </c>
      <c r="U178" s="254">
        <f t="shared" si="134"/>
        <v>21910.03042</v>
      </c>
      <c r="V178" s="254">
        <f t="shared" si="134"/>
        <v>22348.23103</v>
      </c>
      <c r="W178" s="254">
        <f t="shared" si="134"/>
        <v>22795.19565</v>
      </c>
      <c r="X178" s="254">
        <f t="shared" si="134"/>
        <v>23251.09957</v>
      </c>
      <c r="Y178" s="254">
        <f t="shared" si="134"/>
        <v>23716.12156</v>
      </c>
      <c r="Z178" s="254">
        <f t="shared" si="134"/>
        <v>24190.44399</v>
      </c>
      <c r="AA178" s="254">
        <f t="shared" si="134"/>
        <v>24674.25287</v>
      </c>
      <c r="AB178" s="254">
        <f t="shared" si="134"/>
        <v>25167.73793</v>
      </c>
      <c r="AC178" s="254">
        <f t="shared" si="134"/>
        <v>25671.09269</v>
      </c>
      <c r="AD178" s="254">
        <f t="shared" si="134"/>
        <v>26184.51454</v>
      </c>
      <c r="AE178" s="254">
        <f t="shared" si="134"/>
        <v>26708.20483</v>
      </c>
      <c r="AF178" s="254">
        <f t="shared" si="134"/>
        <v>27242.36893</v>
      </c>
      <c r="AG178" s="254">
        <f t="shared" si="134"/>
        <v>27787.2163</v>
      </c>
      <c r="AH178" s="254">
        <f t="shared" si="134"/>
        <v>28342.96063</v>
      </c>
      <c r="AI178" s="254">
        <f t="shared" si="134"/>
        <v>28909.81984</v>
      </c>
      <c r="AJ178" s="254">
        <f t="shared" si="134"/>
        <v>29488.01624</v>
      </c>
      <c r="AK178" s="254">
        <f t="shared" si="134"/>
        <v>30077.77657</v>
      </c>
      <c r="AL178" s="254">
        <f t="shared" si="134"/>
        <v>30679.3321</v>
      </c>
      <c r="AM178" s="254">
        <f t="shared" si="134"/>
        <v>31292.91874</v>
      </c>
      <c r="AN178" s="254">
        <f t="shared" si="134"/>
        <v>31918.77711</v>
      </c>
      <c r="AO178" s="254">
        <f t="shared" si="134"/>
        <v>32557.15266</v>
      </c>
      <c r="AP178" s="254">
        <f t="shared" si="134"/>
        <v>33208.29571</v>
      </c>
      <c r="AQ178" s="254">
        <f t="shared" si="134"/>
        <v>33872.46162</v>
      </c>
      <c r="AR178" s="254">
        <f t="shared" si="134"/>
        <v>34549.91086</v>
      </c>
      <c r="AS178" s="254">
        <f t="shared" si="134"/>
        <v>35240.90907</v>
      </c>
      <c r="AT178" s="254">
        <f t="shared" si="134"/>
        <v>35945.72725</v>
      </c>
      <c r="AU178" s="254">
        <f t="shared" si="134"/>
        <v>36664.6418</v>
      </c>
      <c r="AV178" s="254">
        <f t="shared" si="134"/>
        <v>37397.93463</v>
      </c>
      <c r="AW178" s="353"/>
      <c r="AX178" s="353"/>
      <c r="AY178" s="353"/>
      <c r="AZ178" s="353"/>
      <c r="BA178" s="353"/>
      <c r="BB178" s="353"/>
      <c r="BC178" s="353"/>
      <c r="BD178" s="353"/>
      <c r="BE178" s="353"/>
      <c r="BF178" s="353"/>
      <c r="BG178" s="353"/>
    </row>
    <row r="179" ht="12.75" customHeight="1" outlineLevel="1">
      <c r="A179" s="538"/>
      <c r="B179" s="372"/>
      <c r="C179" s="353"/>
      <c r="D179" s="353"/>
      <c r="E179" s="353"/>
      <c r="F179" s="353"/>
      <c r="G179" s="353"/>
      <c r="H179" s="518"/>
      <c r="I179" s="254"/>
      <c r="J179" s="254"/>
      <c r="K179" s="254"/>
      <c r="L179" s="254"/>
      <c r="M179" s="254"/>
      <c r="N179" s="254"/>
      <c r="O179" s="254"/>
      <c r="P179" s="254"/>
      <c r="Q179" s="254"/>
      <c r="R179" s="254"/>
      <c r="S179" s="254"/>
      <c r="T179" s="254"/>
      <c r="U179" s="254"/>
      <c r="V179" s="254"/>
      <c r="W179" s="254"/>
      <c r="X179" s="254"/>
      <c r="Y179" s="254"/>
      <c r="Z179" s="254"/>
      <c r="AA179" s="254"/>
      <c r="AB179" s="254"/>
      <c r="AC179" s="254"/>
      <c r="AD179" s="254"/>
      <c r="AE179" s="254"/>
      <c r="AF179" s="254"/>
      <c r="AG179" s="254"/>
      <c r="AH179" s="254"/>
      <c r="AI179" s="254"/>
      <c r="AJ179" s="254"/>
      <c r="AK179" s="254"/>
      <c r="AL179" s="254"/>
      <c r="AM179" s="254"/>
      <c r="AN179" s="254"/>
      <c r="AO179" s="254"/>
      <c r="AP179" s="254"/>
      <c r="AQ179" s="254"/>
      <c r="AR179" s="254"/>
      <c r="AS179" s="254"/>
      <c r="AT179" s="254"/>
      <c r="AU179" s="254"/>
      <c r="AV179" s="254"/>
      <c r="AW179" s="353"/>
      <c r="AX179" s="353"/>
      <c r="AY179" s="353"/>
      <c r="AZ179" s="353"/>
      <c r="BA179" s="353"/>
      <c r="BB179" s="353"/>
      <c r="BC179" s="353"/>
      <c r="BD179" s="353"/>
      <c r="BE179" s="353"/>
      <c r="BF179" s="353"/>
      <c r="BG179" s="353"/>
    </row>
    <row r="180" ht="12.75" customHeight="1" outlineLevel="1">
      <c r="A180" s="316"/>
      <c r="B180" s="67" t="s">
        <v>133</v>
      </c>
      <c r="C180" s="67"/>
      <c r="D180" s="67"/>
      <c r="E180" s="67"/>
      <c r="F180" s="67"/>
      <c r="G180" s="67"/>
      <c r="H180" s="99"/>
      <c r="I180" s="99"/>
      <c r="J180" s="99"/>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N180" s="90"/>
      <c r="AO180" s="90"/>
      <c r="AP180" s="90"/>
      <c r="AQ180" s="90"/>
      <c r="AR180" s="90"/>
      <c r="AS180" s="90"/>
      <c r="AT180" s="90"/>
      <c r="AU180" s="90"/>
      <c r="AV180" s="90"/>
      <c r="AW180" s="90"/>
      <c r="AX180" s="90"/>
      <c r="AY180" s="90"/>
      <c r="AZ180" s="90"/>
      <c r="BA180" s="90"/>
      <c r="BB180" s="90"/>
      <c r="BC180" s="90"/>
      <c r="BD180" s="90"/>
      <c r="BE180" s="90"/>
      <c r="BF180" s="90"/>
      <c r="BG180" s="90"/>
    </row>
    <row r="181" ht="12.75" customHeight="1" outlineLevel="1">
      <c r="A181" s="316"/>
      <c r="B181" s="90"/>
      <c r="C181" s="90" t="s">
        <v>577</v>
      </c>
      <c r="D181" s="90"/>
      <c r="E181" s="90"/>
      <c r="F181" s="90"/>
      <c r="G181" s="90"/>
      <c r="H181" s="523"/>
      <c r="I181" s="178"/>
      <c r="J181" s="523">
        <v>0.06</v>
      </c>
      <c r="K181" s="178">
        <f>Assumptions!D59</f>
        <v>0</v>
      </c>
      <c r="L181" s="178">
        <f>Assumptions!E59</f>
        <v>0.02</v>
      </c>
      <c r="M181" s="178">
        <f>Assumptions!F59</f>
        <v>0.02</v>
      </c>
      <c r="N181" s="178">
        <f>Assumptions!G59</f>
        <v>0.02</v>
      </c>
      <c r="O181" s="178">
        <v>0.01</v>
      </c>
      <c r="P181" s="178">
        <v>0.01</v>
      </c>
      <c r="Q181" s="178">
        <v>0.01</v>
      </c>
      <c r="R181" s="178">
        <v>0.01</v>
      </c>
      <c r="S181" s="178">
        <v>0.01</v>
      </c>
      <c r="T181" s="178">
        <v>0.01</v>
      </c>
      <c r="U181" s="178">
        <v>0.01</v>
      </c>
      <c r="V181" s="178">
        <v>0.01</v>
      </c>
      <c r="W181" s="178">
        <v>0.01</v>
      </c>
      <c r="X181" s="178">
        <v>0.01</v>
      </c>
      <c r="Y181" s="178">
        <v>0.01</v>
      </c>
      <c r="Z181" s="178">
        <v>0.01</v>
      </c>
      <c r="AA181" s="178">
        <v>0.01</v>
      </c>
      <c r="AB181" s="178">
        <v>0.01</v>
      </c>
      <c r="AC181" s="178">
        <v>0.01</v>
      </c>
      <c r="AD181" s="178">
        <v>0.01</v>
      </c>
      <c r="AE181" s="178">
        <v>0.01</v>
      </c>
      <c r="AF181" s="178">
        <f t="shared" ref="AF181:AV181" si="135">AE181</f>
        <v>0.01</v>
      </c>
      <c r="AG181" s="178">
        <f t="shared" si="135"/>
        <v>0.01</v>
      </c>
      <c r="AH181" s="178">
        <f t="shared" si="135"/>
        <v>0.01</v>
      </c>
      <c r="AI181" s="178">
        <f t="shared" si="135"/>
        <v>0.01</v>
      </c>
      <c r="AJ181" s="178">
        <f t="shared" si="135"/>
        <v>0.01</v>
      </c>
      <c r="AK181" s="178">
        <f t="shared" si="135"/>
        <v>0.01</v>
      </c>
      <c r="AL181" s="178">
        <f t="shared" si="135"/>
        <v>0.01</v>
      </c>
      <c r="AM181" s="178">
        <f t="shared" si="135"/>
        <v>0.01</v>
      </c>
      <c r="AN181" s="178">
        <f t="shared" si="135"/>
        <v>0.01</v>
      </c>
      <c r="AO181" s="178">
        <f t="shared" si="135"/>
        <v>0.01</v>
      </c>
      <c r="AP181" s="178">
        <f t="shared" si="135"/>
        <v>0.01</v>
      </c>
      <c r="AQ181" s="178">
        <f t="shared" si="135"/>
        <v>0.01</v>
      </c>
      <c r="AR181" s="178">
        <f t="shared" si="135"/>
        <v>0.01</v>
      </c>
      <c r="AS181" s="178">
        <f t="shared" si="135"/>
        <v>0.01</v>
      </c>
      <c r="AT181" s="178">
        <f t="shared" si="135"/>
        <v>0.01</v>
      </c>
      <c r="AU181" s="178">
        <f t="shared" si="135"/>
        <v>0.01</v>
      </c>
      <c r="AV181" s="178">
        <f t="shared" si="135"/>
        <v>0.01</v>
      </c>
      <c r="AX181" s="90"/>
      <c r="AY181" s="90"/>
      <c r="AZ181" s="90"/>
      <c r="BA181" s="90"/>
      <c r="BB181" s="90"/>
      <c r="BC181" s="90"/>
      <c r="BD181" s="90"/>
      <c r="BE181" s="90"/>
      <c r="BF181" s="90"/>
      <c r="BG181" s="90"/>
    </row>
    <row r="182" ht="12.75" customHeight="1" outlineLevel="1">
      <c r="A182" s="316"/>
      <c r="B182" s="195"/>
      <c r="C182" s="90" t="s">
        <v>729</v>
      </c>
      <c r="D182" s="90"/>
      <c r="E182" s="90"/>
      <c r="F182" s="90"/>
      <c r="G182" s="254"/>
      <c r="H182" s="254"/>
      <c r="I182" s="254">
        <v>6612.0</v>
      </c>
      <c r="J182" s="99">
        <f>I182*(1+J181)</f>
        <v>7008.72</v>
      </c>
      <c r="K182" s="99">
        <f t="shared" ref="K182:N182" si="136">600*12</f>
        <v>7200</v>
      </c>
      <c r="L182" s="99">
        <f t="shared" si="136"/>
        <v>7200</v>
      </c>
      <c r="M182" s="99">
        <f t="shared" si="136"/>
        <v>7200</v>
      </c>
      <c r="N182" s="99">
        <f t="shared" si="136"/>
        <v>7200</v>
      </c>
      <c r="O182" s="99">
        <f t="shared" ref="O182:AV182" si="137">N182*(1+O181)</f>
        <v>7272</v>
      </c>
      <c r="P182" s="99">
        <f t="shared" si="137"/>
        <v>7344.72</v>
      </c>
      <c r="Q182" s="99">
        <f t="shared" si="137"/>
        <v>7418.1672</v>
      </c>
      <c r="R182" s="99">
        <f t="shared" si="137"/>
        <v>7492.348872</v>
      </c>
      <c r="S182" s="99">
        <f t="shared" si="137"/>
        <v>7567.272361</v>
      </c>
      <c r="T182" s="99">
        <f t="shared" si="137"/>
        <v>7642.945084</v>
      </c>
      <c r="U182" s="99">
        <f t="shared" si="137"/>
        <v>7719.374535</v>
      </c>
      <c r="V182" s="99">
        <f t="shared" si="137"/>
        <v>7796.568281</v>
      </c>
      <c r="W182" s="99">
        <f t="shared" si="137"/>
        <v>7874.533963</v>
      </c>
      <c r="X182" s="99">
        <f t="shared" si="137"/>
        <v>7953.279303</v>
      </c>
      <c r="Y182" s="99">
        <f t="shared" si="137"/>
        <v>8032.812096</v>
      </c>
      <c r="Z182" s="99">
        <f t="shared" si="137"/>
        <v>8113.140217</v>
      </c>
      <c r="AA182" s="99">
        <f t="shared" si="137"/>
        <v>8194.271619</v>
      </c>
      <c r="AB182" s="99">
        <f t="shared" si="137"/>
        <v>8276.214335</v>
      </c>
      <c r="AC182" s="99">
        <f t="shared" si="137"/>
        <v>8358.976479</v>
      </c>
      <c r="AD182" s="99">
        <f t="shared" si="137"/>
        <v>8442.566243</v>
      </c>
      <c r="AE182" s="99">
        <f t="shared" si="137"/>
        <v>8526.991906</v>
      </c>
      <c r="AF182" s="99">
        <f t="shared" si="137"/>
        <v>8612.261825</v>
      </c>
      <c r="AG182" s="99">
        <f t="shared" si="137"/>
        <v>8698.384443</v>
      </c>
      <c r="AH182" s="99">
        <f t="shared" si="137"/>
        <v>8785.368288</v>
      </c>
      <c r="AI182" s="99">
        <f t="shared" si="137"/>
        <v>8873.221971</v>
      </c>
      <c r="AJ182" s="99">
        <f t="shared" si="137"/>
        <v>8961.95419</v>
      </c>
      <c r="AK182" s="99">
        <f t="shared" si="137"/>
        <v>9051.573732</v>
      </c>
      <c r="AL182" s="99">
        <f t="shared" si="137"/>
        <v>9142.089469</v>
      </c>
      <c r="AM182" s="99">
        <f t="shared" si="137"/>
        <v>9233.510364</v>
      </c>
      <c r="AN182" s="99">
        <f t="shared" si="137"/>
        <v>9325.845468</v>
      </c>
      <c r="AO182" s="99">
        <f t="shared" si="137"/>
        <v>9419.103922</v>
      </c>
      <c r="AP182" s="99">
        <f t="shared" si="137"/>
        <v>9513.294962</v>
      </c>
      <c r="AQ182" s="99">
        <f t="shared" si="137"/>
        <v>9608.427911</v>
      </c>
      <c r="AR182" s="99">
        <f t="shared" si="137"/>
        <v>9704.51219</v>
      </c>
      <c r="AS182" s="99">
        <f t="shared" si="137"/>
        <v>9801.557312</v>
      </c>
      <c r="AT182" s="99">
        <f t="shared" si="137"/>
        <v>9899.572885</v>
      </c>
      <c r="AU182" s="99">
        <f t="shared" si="137"/>
        <v>9998.568614</v>
      </c>
      <c r="AV182" s="99">
        <f t="shared" si="137"/>
        <v>10098.5543</v>
      </c>
      <c r="AW182" s="90" t="s">
        <v>1202</v>
      </c>
      <c r="AX182" s="90"/>
      <c r="AY182" s="90"/>
      <c r="AZ182" s="90"/>
      <c r="BA182" s="90"/>
      <c r="BB182" s="90"/>
      <c r="BC182" s="90"/>
      <c r="BD182" s="90"/>
      <c r="BE182" s="90"/>
      <c r="BF182" s="90"/>
      <c r="BG182" s="90"/>
    </row>
    <row r="183" ht="12.75" customHeight="1" outlineLevel="1">
      <c r="A183" s="316"/>
      <c r="B183" s="195"/>
      <c r="C183" s="90" t="s">
        <v>730</v>
      </c>
      <c r="D183" s="90"/>
      <c r="E183" s="90"/>
      <c r="F183" s="90"/>
      <c r="G183" s="102"/>
      <c r="H183" s="102"/>
      <c r="I183" s="102">
        <f>ROUNDDOWN(I157,0)</f>
        <v>9</v>
      </c>
      <c r="J183" s="102">
        <f t="shared" ref="J183:AV183" si="138">(J149+J150+J146+J140)</f>
        <v>15</v>
      </c>
      <c r="K183" s="102">
        <f t="shared" si="138"/>
        <v>20</v>
      </c>
      <c r="L183" s="102">
        <f t="shared" si="138"/>
        <v>21</v>
      </c>
      <c r="M183" s="102">
        <f t="shared" si="138"/>
        <v>21</v>
      </c>
      <c r="N183" s="102">
        <f t="shared" si="138"/>
        <v>19</v>
      </c>
      <c r="O183" s="102">
        <f t="shared" si="138"/>
        <v>19</v>
      </c>
      <c r="P183" s="102">
        <f t="shared" si="138"/>
        <v>15</v>
      </c>
      <c r="Q183" s="102">
        <f t="shared" si="138"/>
        <v>15</v>
      </c>
      <c r="R183" s="102">
        <f t="shared" si="138"/>
        <v>15</v>
      </c>
      <c r="S183" s="102">
        <f t="shared" si="138"/>
        <v>15</v>
      </c>
      <c r="T183" s="102">
        <f t="shared" si="138"/>
        <v>15</v>
      </c>
      <c r="U183" s="102">
        <f t="shared" si="138"/>
        <v>15</v>
      </c>
      <c r="V183" s="102">
        <f t="shared" si="138"/>
        <v>15</v>
      </c>
      <c r="W183" s="102">
        <f t="shared" si="138"/>
        <v>15</v>
      </c>
      <c r="X183" s="102">
        <f t="shared" si="138"/>
        <v>15</v>
      </c>
      <c r="Y183" s="102">
        <f t="shared" si="138"/>
        <v>15</v>
      </c>
      <c r="Z183" s="102">
        <f t="shared" si="138"/>
        <v>15</v>
      </c>
      <c r="AA183" s="102">
        <f t="shared" si="138"/>
        <v>15</v>
      </c>
      <c r="AB183" s="102">
        <f t="shared" si="138"/>
        <v>15</v>
      </c>
      <c r="AC183" s="102">
        <f t="shared" si="138"/>
        <v>15</v>
      </c>
      <c r="AD183" s="102">
        <f t="shared" si="138"/>
        <v>15</v>
      </c>
      <c r="AE183" s="102">
        <f t="shared" si="138"/>
        <v>15</v>
      </c>
      <c r="AF183" s="102">
        <f t="shared" si="138"/>
        <v>15</v>
      </c>
      <c r="AG183" s="102">
        <f t="shared" si="138"/>
        <v>15</v>
      </c>
      <c r="AH183" s="102">
        <f t="shared" si="138"/>
        <v>15</v>
      </c>
      <c r="AI183" s="102">
        <f t="shared" si="138"/>
        <v>15</v>
      </c>
      <c r="AJ183" s="102">
        <f t="shared" si="138"/>
        <v>15</v>
      </c>
      <c r="AK183" s="102">
        <f t="shared" si="138"/>
        <v>15</v>
      </c>
      <c r="AL183" s="102">
        <f t="shared" si="138"/>
        <v>15</v>
      </c>
      <c r="AM183" s="102">
        <f t="shared" si="138"/>
        <v>15</v>
      </c>
      <c r="AN183" s="102">
        <f t="shared" si="138"/>
        <v>15</v>
      </c>
      <c r="AO183" s="102">
        <f t="shared" si="138"/>
        <v>15</v>
      </c>
      <c r="AP183" s="102">
        <f t="shared" si="138"/>
        <v>15</v>
      </c>
      <c r="AQ183" s="102">
        <f t="shared" si="138"/>
        <v>15</v>
      </c>
      <c r="AR183" s="102">
        <f t="shared" si="138"/>
        <v>15</v>
      </c>
      <c r="AS183" s="102">
        <f t="shared" si="138"/>
        <v>15</v>
      </c>
      <c r="AT183" s="102">
        <f t="shared" si="138"/>
        <v>15</v>
      </c>
      <c r="AU183" s="102">
        <f t="shared" si="138"/>
        <v>15</v>
      </c>
      <c r="AV183" s="102">
        <f t="shared" si="138"/>
        <v>15</v>
      </c>
      <c r="AW183" s="90"/>
      <c r="AX183" s="90"/>
      <c r="AY183" s="90"/>
      <c r="AZ183" s="90"/>
      <c r="BA183" s="90"/>
      <c r="BB183" s="90"/>
      <c r="BC183" s="90"/>
      <c r="BD183" s="90"/>
      <c r="BE183" s="90"/>
      <c r="BF183" s="90"/>
      <c r="BG183" s="90"/>
    </row>
    <row r="184" ht="12.75" customHeight="1" outlineLevel="1">
      <c r="A184" s="316"/>
      <c r="B184" s="195"/>
      <c r="C184" s="90" t="s">
        <v>731</v>
      </c>
      <c r="D184" s="90"/>
      <c r="E184" s="90"/>
      <c r="F184" s="90"/>
      <c r="G184" s="539"/>
      <c r="H184" s="89"/>
      <c r="I184" s="89">
        <v>0.025</v>
      </c>
      <c r="J184" s="89">
        <v>0.016</v>
      </c>
      <c r="K184" s="89">
        <f>J184</f>
        <v>0.016</v>
      </c>
      <c r="L184" s="89">
        <f>'RSGen 1-7'!H186</f>
        <v>0.016</v>
      </c>
      <c r="M184" s="89">
        <f>'RSGen 1-7'!I186</f>
        <v>0.016</v>
      </c>
      <c r="N184" s="89">
        <f>'RSGen 1-7'!J186</f>
        <v>0.016</v>
      </c>
      <c r="O184" s="89">
        <f t="shared" ref="O184:AV184" si="139">N184</f>
        <v>0.016</v>
      </c>
      <c r="P184" s="89">
        <f t="shared" si="139"/>
        <v>0.016</v>
      </c>
      <c r="Q184" s="89">
        <f t="shared" si="139"/>
        <v>0.016</v>
      </c>
      <c r="R184" s="89">
        <f t="shared" si="139"/>
        <v>0.016</v>
      </c>
      <c r="S184" s="89">
        <f t="shared" si="139"/>
        <v>0.016</v>
      </c>
      <c r="T184" s="89">
        <f t="shared" si="139"/>
        <v>0.016</v>
      </c>
      <c r="U184" s="89">
        <f t="shared" si="139"/>
        <v>0.016</v>
      </c>
      <c r="V184" s="89">
        <f t="shared" si="139"/>
        <v>0.016</v>
      </c>
      <c r="W184" s="89">
        <f t="shared" si="139"/>
        <v>0.016</v>
      </c>
      <c r="X184" s="89">
        <f t="shared" si="139"/>
        <v>0.016</v>
      </c>
      <c r="Y184" s="89">
        <f t="shared" si="139"/>
        <v>0.016</v>
      </c>
      <c r="Z184" s="89">
        <f t="shared" si="139"/>
        <v>0.016</v>
      </c>
      <c r="AA184" s="89">
        <f t="shared" si="139"/>
        <v>0.016</v>
      </c>
      <c r="AB184" s="89">
        <f t="shared" si="139"/>
        <v>0.016</v>
      </c>
      <c r="AC184" s="89">
        <f t="shared" si="139"/>
        <v>0.016</v>
      </c>
      <c r="AD184" s="89">
        <f t="shared" si="139"/>
        <v>0.016</v>
      </c>
      <c r="AE184" s="89">
        <f t="shared" si="139"/>
        <v>0.016</v>
      </c>
      <c r="AF184" s="89">
        <f t="shared" si="139"/>
        <v>0.016</v>
      </c>
      <c r="AG184" s="89">
        <f t="shared" si="139"/>
        <v>0.016</v>
      </c>
      <c r="AH184" s="89">
        <f t="shared" si="139"/>
        <v>0.016</v>
      </c>
      <c r="AI184" s="89">
        <f t="shared" si="139"/>
        <v>0.016</v>
      </c>
      <c r="AJ184" s="89">
        <f t="shared" si="139"/>
        <v>0.016</v>
      </c>
      <c r="AK184" s="89">
        <f t="shared" si="139"/>
        <v>0.016</v>
      </c>
      <c r="AL184" s="89">
        <f t="shared" si="139"/>
        <v>0.016</v>
      </c>
      <c r="AM184" s="89">
        <f t="shared" si="139"/>
        <v>0.016</v>
      </c>
      <c r="AN184" s="89">
        <f t="shared" si="139"/>
        <v>0.016</v>
      </c>
      <c r="AO184" s="89">
        <f t="shared" si="139"/>
        <v>0.016</v>
      </c>
      <c r="AP184" s="89">
        <f t="shared" si="139"/>
        <v>0.016</v>
      </c>
      <c r="AQ184" s="89">
        <f t="shared" si="139"/>
        <v>0.016</v>
      </c>
      <c r="AR184" s="89">
        <f t="shared" si="139"/>
        <v>0.016</v>
      </c>
      <c r="AS184" s="89">
        <f t="shared" si="139"/>
        <v>0.016</v>
      </c>
      <c r="AT184" s="89">
        <f t="shared" si="139"/>
        <v>0.016</v>
      </c>
      <c r="AU184" s="89">
        <f t="shared" si="139"/>
        <v>0.016</v>
      </c>
      <c r="AV184" s="89">
        <f t="shared" si="139"/>
        <v>0.016</v>
      </c>
      <c r="AW184" s="90"/>
      <c r="AX184" s="90"/>
      <c r="AY184" s="90"/>
      <c r="AZ184" s="90"/>
      <c r="BA184" s="90"/>
      <c r="BB184" s="90"/>
      <c r="BC184" s="90"/>
      <c r="BD184" s="90"/>
      <c r="BE184" s="90"/>
      <c r="BF184" s="90"/>
      <c r="BG184" s="90"/>
    </row>
    <row r="185" ht="12.75" customHeight="1" outlineLevel="1">
      <c r="A185" s="316"/>
      <c r="B185" s="195"/>
      <c r="C185" s="90" t="s">
        <v>732</v>
      </c>
      <c r="D185" s="90"/>
      <c r="E185" s="90"/>
      <c r="F185" s="90"/>
      <c r="G185" s="539"/>
      <c r="H185" s="89"/>
      <c r="I185" s="89">
        <v>0.006</v>
      </c>
      <c r="J185" s="89">
        <f t="shared" ref="J185:K185" si="140">I185</f>
        <v>0.006</v>
      </c>
      <c r="K185" s="89">
        <f t="shared" si="140"/>
        <v>0.006</v>
      </c>
      <c r="L185" s="89">
        <f>'RSGen 1-7'!H187</f>
        <v>0.011</v>
      </c>
      <c r="M185" s="89">
        <f>'RSGen 1-7'!I187</f>
        <v>0.011</v>
      </c>
      <c r="N185" s="89">
        <f>'RSGen 1-7'!J187</f>
        <v>0.011</v>
      </c>
      <c r="O185" s="89">
        <f t="shared" ref="O185:AV185" si="141">N185</f>
        <v>0.011</v>
      </c>
      <c r="P185" s="89">
        <f t="shared" si="141"/>
        <v>0.011</v>
      </c>
      <c r="Q185" s="89">
        <f t="shared" si="141"/>
        <v>0.011</v>
      </c>
      <c r="R185" s="89">
        <f t="shared" si="141"/>
        <v>0.011</v>
      </c>
      <c r="S185" s="89">
        <f t="shared" si="141"/>
        <v>0.011</v>
      </c>
      <c r="T185" s="89">
        <f t="shared" si="141"/>
        <v>0.011</v>
      </c>
      <c r="U185" s="89">
        <f t="shared" si="141"/>
        <v>0.011</v>
      </c>
      <c r="V185" s="89">
        <f t="shared" si="141"/>
        <v>0.011</v>
      </c>
      <c r="W185" s="89">
        <f t="shared" si="141"/>
        <v>0.011</v>
      </c>
      <c r="X185" s="89">
        <f t="shared" si="141"/>
        <v>0.011</v>
      </c>
      <c r="Y185" s="89">
        <f t="shared" si="141"/>
        <v>0.011</v>
      </c>
      <c r="Z185" s="89">
        <f t="shared" si="141"/>
        <v>0.011</v>
      </c>
      <c r="AA185" s="89">
        <f t="shared" si="141"/>
        <v>0.011</v>
      </c>
      <c r="AB185" s="89">
        <f t="shared" si="141"/>
        <v>0.011</v>
      </c>
      <c r="AC185" s="89">
        <f t="shared" si="141"/>
        <v>0.011</v>
      </c>
      <c r="AD185" s="89">
        <f t="shared" si="141"/>
        <v>0.011</v>
      </c>
      <c r="AE185" s="89">
        <f t="shared" si="141"/>
        <v>0.011</v>
      </c>
      <c r="AF185" s="89">
        <f t="shared" si="141"/>
        <v>0.011</v>
      </c>
      <c r="AG185" s="89">
        <f t="shared" si="141"/>
        <v>0.011</v>
      </c>
      <c r="AH185" s="89">
        <f t="shared" si="141"/>
        <v>0.011</v>
      </c>
      <c r="AI185" s="89">
        <f t="shared" si="141"/>
        <v>0.011</v>
      </c>
      <c r="AJ185" s="89">
        <f t="shared" si="141"/>
        <v>0.011</v>
      </c>
      <c r="AK185" s="89">
        <f t="shared" si="141"/>
        <v>0.011</v>
      </c>
      <c r="AL185" s="89">
        <f t="shared" si="141"/>
        <v>0.011</v>
      </c>
      <c r="AM185" s="89">
        <f t="shared" si="141"/>
        <v>0.011</v>
      </c>
      <c r="AN185" s="89">
        <f t="shared" si="141"/>
        <v>0.011</v>
      </c>
      <c r="AO185" s="89">
        <f t="shared" si="141"/>
        <v>0.011</v>
      </c>
      <c r="AP185" s="89">
        <f t="shared" si="141"/>
        <v>0.011</v>
      </c>
      <c r="AQ185" s="89">
        <f t="shared" si="141"/>
        <v>0.011</v>
      </c>
      <c r="AR185" s="89">
        <f t="shared" si="141"/>
        <v>0.011</v>
      </c>
      <c r="AS185" s="89">
        <f t="shared" si="141"/>
        <v>0.011</v>
      </c>
      <c r="AT185" s="89">
        <f t="shared" si="141"/>
        <v>0.011</v>
      </c>
      <c r="AU185" s="89">
        <f t="shared" si="141"/>
        <v>0.011</v>
      </c>
      <c r="AV185" s="89">
        <f t="shared" si="141"/>
        <v>0.011</v>
      </c>
      <c r="AW185" s="90"/>
      <c r="AX185" s="90"/>
      <c r="AY185" s="90"/>
      <c r="AZ185" s="90"/>
      <c r="BA185" s="90"/>
      <c r="BB185" s="90"/>
      <c r="BC185" s="90"/>
      <c r="BD185" s="90"/>
      <c r="BE185" s="90"/>
      <c r="BF185" s="90"/>
      <c r="BG185" s="90"/>
    </row>
    <row r="186" ht="12.75" customHeight="1" outlineLevel="1">
      <c r="A186" s="316"/>
      <c r="B186" s="195"/>
      <c r="C186" s="90" t="s">
        <v>733</v>
      </c>
      <c r="D186" s="90"/>
      <c r="E186" s="90"/>
      <c r="F186" s="90"/>
      <c r="G186" s="539"/>
      <c r="H186" s="89"/>
      <c r="I186" s="89">
        <v>0.0145</v>
      </c>
      <c r="J186" s="89">
        <f t="shared" ref="J186:K186" si="142">I186</f>
        <v>0.0145</v>
      </c>
      <c r="K186" s="89">
        <f t="shared" si="142"/>
        <v>0.0145</v>
      </c>
      <c r="L186" s="89">
        <f>'RSGen 1-7'!H188</f>
        <v>0.0145</v>
      </c>
      <c r="M186" s="89">
        <f>'RSGen 1-7'!I188</f>
        <v>0.0145</v>
      </c>
      <c r="N186" s="89">
        <f>'RSGen 1-7'!J188</f>
        <v>0.0145</v>
      </c>
      <c r="O186" s="89">
        <f t="shared" ref="O186:AV186" si="143">N186</f>
        <v>0.0145</v>
      </c>
      <c r="P186" s="89">
        <f t="shared" si="143"/>
        <v>0.0145</v>
      </c>
      <c r="Q186" s="89">
        <f t="shared" si="143"/>
        <v>0.0145</v>
      </c>
      <c r="R186" s="89">
        <f t="shared" si="143"/>
        <v>0.0145</v>
      </c>
      <c r="S186" s="89">
        <f t="shared" si="143"/>
        <v>0.0145</v>
      </c>
      <c r="T186" s="89">
        <f t="shared" si="143"/>
        <v>0.0145</v>
      </c>
      <c r="U186" s="89">
        <f t="shared" si="143"/>
        <v>0.0145</v>
      </c>
      <c r="V186" s="89">
        <f t="shared" si="143"/>
        <v>0.0145</v>
      </c>
      <c r="W186" s="89">
        <f t="shared" si="143"/>
        <v>0.0145</v>
      </c>
      <c r="X186" s="89">
        <f t="shared" si="143"/>
        <v>0.0145</v>
      </c>
      <c r="Y186" s="89">
        <f t="shared" si="143"/>
        <v>0.0145</v>
      </c>
      <c r="Z186" s="89">
        <f t="shared" si="143"/>
        <v>0.0145</v>
      </c>
      <c r="AA186" s="89">
        <f t="shared" si="143"/>
        <v>0.0145</v>
      </c>
      <c r="AB186" s="89">
        <f t="shared" si="143"/>
        <v>0.0145</v>
      </c>
      <c r="AC186" s="89">
        <f t="shared" si="143"/>
        <v>0.0145</v>
      </c>
      <c r="AD186" s="89">
        <f t="shared" si="143"/>
        <v>0.0145</v>
      </c>
      <c r="AE186" s="89">
        <f t="shared" si="143"/>
        <v>0.0145</v>
      </c>
      <c r="AF186" s="89">
        <f t="shared" si="143"/>
        <v>0.0145</v>
      </c>
      <c r="AG186" s="89">
        <f t="shared" si="143"/>
        <v>0.0145</v>
      </c>
      <c r="AH186" s="89">
        <f t="shared" si="143"/>
        <v>0.0145</v>
      </c>
      <c r="AI186" s="89">
        <f t="shared" si="143"/>
        <v>0.0145</v>
      </c>
      <c r="AJ186" s="89">
        <f t="shared" si="143"/>
        <v>0.0145</v>
      </c>
      <c r="AK186" s="89">
        <f t="shared" si="143"/>
        <v>0.0145</v>
      </c>
      <c r="AL186" s="89">
        <f t="shared" si="143"/>
        <v>0.0145</v>
      </c>
      <c r="AM186" s="89">
        <f t="shared" si="143"/>
        <v>0.0145</v>
      </c>
      <c r="AN186" s="89">
        <f t="shared" si="143"/>
        <v>0.0145</v>
      </c>
      <c r="AO186" s="89">
        <f t="shared" si="143"/>
        <v>0.0145</v>
      </c>
      <c r="AP186" s="89">
        <f t="shared" si="143"/>
        <v>0.0145</v>
      </c>
      <c r="AQ186" s="89">
        <f t="shared" si="143"/>
        <v>0.0145</v>
      </c>
      <c r="AR186" s="89">
        <f t="shared" si="143"/>
        <v>0.0145</v>
      </c>
      <c r="AS186" s="89">
        <f t="shared" si="143"/>
        <v>0.0145</v>
      </c>
      <c r="AT186" s="89">
        <f t="shared" si="143"/>
        <v>0.0145</v>
      </c>
      <c r="AU186" s="89">
        <f t="shared" si="143"/>
        <v>0.0145</v>
      </c>
      <c r="AV186" s="89">
        <f t="shared" si="143"/>
        <v>0.0145</v>
      </c>
      <c r="AW186" s="90"/>
      <c r="AX186" s="90"/>
      <c r="AY186" s="90"/>
      <c r="AZ186" s="90"/>
      <c r="BA186" s="90"/>
      <c r="BB186" s="90"/>
      <c r="BC186" s="90"/>
      <c r="BD186" s="90"/>
      <c r="BE186" s="90"/>
      <c r="BF186" s="90"/>
      <c r="BG186" s="90"/>
    </row>
    <row r="187" ht="12.75" customHeight="1" outlineLevel="1">
      <c r="A187" s="540"/>
      <c r="B187" s="374"/>
      <c r="C187" s="90" t="s">
        <v>734</v>
      </c>
      <c r="D187" s="230"/>
      <c r="E187" s="230"/>
      <c r="F187" s="230"/>
      <c r="G187" s="539"/>
      <c r="H187" s="89"/>
      <c r="I187" s="89">
        <v>0.0825</v>
      </c>
      <c r="J187" s="89">
        <f t="shared" ref="J187:K187" si="144">I187</f>
        <v>0.0825</v>
      </c>
      <c r="K187" s="89">
        <f t="shared" si="144"/>
        <v>0.0825</v>
      </c>
      <c r="L187" s="89">
        <f>'RSGen 1-7'!H189</f>
        <v>0.0825</v>
      </c>
      <c r="M187" s="89">
        <f>'RSGen 1-7'!I189</f>
        <v>0.0825</v>
      </c>
      <c r="N187" s="89">
        <f>'RSGen 1-7'!J189</f>
        <v>0.0825</v>
      </c>
      <c r="O187" s="89">
        <f t="shared" ref="O187:AV187" si="145">N187</f>
        <v>0.0825</v>
      </c>
      <c r="P187" s="89">
        <f t="shared" si="145"/>
        <v>0.0825</v>
      </c>
      <c r="Q187" s="89">
        <f t="shared" si="145"/>
        <v>0.0825</v>
      </c>
      <c r="R187" s="89">
        <f t="shared" si="145"/>
        <v>0.0825</v>
      </c>
      <c r="S187" s="89">
        <f t="shared" si="145"/>
        <v>0.0825</v>
      </c>
      <c r="T187" s="89">
        <f t="shared" si="145"/>
        <v>0.0825</v>
      </c>
      <c r="U187" s="89">
        <f t="shared" si="145"/>
        <v>0.0825</v>
      </c>
      <c r="V187" s="89">
        <f t="shared" si="145"/>
        <v>0.0825</v>
      </c>
      <c r="W187" s="89">
        <f t="shared" si="145"/>
        <v>0.0825</v>
      </c>
      <c r="X187" s="89">
        <f t="shared" si="145"/>
        <v>0.0825</v>
      </c>
      <c r="Y187" s="89">
        <f t="shared" si="145"/>
        <v>0.0825</v>
      </c>
      <c r="Z187" s="89">
        <f t="shared" si="145"/>
        <v>0.0825</v>
      </c>
      <c r="AA187" s="89">
        <f t="shared" si="145"/>
        <v>0.0825</v>
      </c>
      <c r="AB187" s="89">
        <f t="shared" si="145"/>
        <v>0.0825</v>
      </c>
      <c r="AC187" s="89">
        <f t="shared" si="145"/>
        <v>0.0825</v>
      </c>
      <c r="AD187" s="89">
        <f t="shared" si="145"/>
        <v>0.0825</v>
      </c>
      <c r="AE187" s="89">
        <f t="shared" si="145"/>
        <v>0.0825</v>
      </c>
      <c r="AF187" s="89">
        <f t="shared" si="145"/>
        <v>0.0825</v>
      </c>
      <c r="AG187" s="89">
        <f t="shared" si="145"/>
        <v>0.0825</v>
      </c>
      <c r="AH187" s="89">
        <f t="shared" si="145"/>
        <v>0.0825</v>
      </c>
      <c r="AI187" s="89">
        <f t="shared" si="145"/>
        <v>0.0825</v>
      </c>
      <c r="AJ187" s="89">
        <f t="shared" si="145"/>
        <v>0.0825</v>
      </c>
      <c r="AK187" s="89">
        <f t="shared" si="145"/>
        <v>0.0825</v>
      </c>
      <c r="AL187" s="89">
        <f t="shared" si="145"/>
        <v>0.0825</v>
      </c>
      <c r="AM187" s="89">
        <f t="shared" si="145"/>
        <v>0.0825</v>
      </c>
      <c r="AN187" s="89">
        <f t="shared" si="145"/>
        <v>0.0825</v>
      </c>
      <c r="AO187" s="89">
        <f t="shared" si="145"/>
        <v>0.0825</v>
      </c>
      <c r="AP187" s="89">
        <f t="shared" si="145"/>
        <v>0.0825</v>
      </c>
      <c r="AQ187" s="89">
        <f t="shared" si="145"/>
        <v>0.0825</v>
      </c>
      <c r="AR187" s="89">
        <f t="shared" si="145"/>
        <v>0.0825</v>
      </c>
      <c r="AS187" s="89">
        <f t="shared" si="145"/>
        <v>0.0825</v>
      </c>
      <c r="AT187" s="89">
        <f t="shared" si="145"/>
        <v>0.0825</v>
      </c>
      <c r="AU187" s="89">
        <f t="shared" si="145"/>
        <v>0.0825</v>
      </c>
      <c r="AV187" s="89">
        <f t="shared" si="145"/>
        <v>0.0825</v>
      </c>
      <c r="AW187" s="230"/>
      <c r="AX187" s="230"/>
      <c r="AY187" s="230"/>
      <c r="AZ187" s="230"/>
      <c r="BA187" s="230"/>
      <c r="BB187" s="230"/>
      <c r="BC187" s="230"/>
      <c r="BD187" s="230"/>
      <c r="BE187" s="230"/>
      <c r="BF187" s="230"/>
      <c r="BG187" s="230"/>
    </row>
    <row r="188" ht="12.75" customHeight="1" outlineLevel="1">
      <c r="A188" s="316"/>
      <c r="B188" s="195"/>
      <c r="C188" s="90" t="s">
        <v>735</v>
      </c>
      <c r="D188" s="90"/>
      <c r="E188" s="90"/>
      <c r="F188" s="90"/>
      <c r="G188" s="539"/>
      <c r="H188" s="89"/>
      <c r="I188" s="89">
        <v>0.102</v>
      </c>
      <c r="J188" s="89">
        <f t="shared" ref="J188:K188" si="146">I188</f>
        <v>0.102</v>
      </c>
      <c r="K188" s="89">
        <f t="shared" si="146"/>
        <v>0.102</v>
      </c>
      <c r="L188" s="89">
        <f>'RSGen 1-7'!H190</f>
        <v>0.102</v>
      </c>
      <c r="M188" s="89">
        <f>'RSGen 1-7'!I190</f>
        <v>0.102</v>
      </c>
      <c r="N188" s="89">
        <f>'RSGen 1-7'!J190</f>
        <v>0.102</v>
      </c>
      <c r="O188" s="89">
        <f t="shared" ref="O188:AV188" si="147">N188</f>
        <v>0.102</v>
      </c>
      <c r="P188" s="89">
        <f t="shared" si="147"/>
        <v>0.102</v>
      </c>
      <c r="Q188" s="89">
        <f t="shared" si="147"/>
        <v>0.102</v>
      </c>
      <c r="R188" s="89">
        <f t="shared" si="147"/>
        <v>0.102</v>
      </c>
      <c r="S188" s="89">
        <f t="shared" si="147"/>
        <v>0.102</v>
      </c>
      <c r="T188" s="89">
        <f t="shared" si="147"/>
        <v>0.102</v>
      </c>
      <c r="U188" s="89">
        <f t="shared" si="147"/>
        <v>0.102</v>
      </c>
      <c r="V188" s="89">
        <f t="shared" si="147"/>
        <v>0.102</v>
      </c>
      <c r="W188" s="89">
        <f t="shared" si="147"/>
        <v>0.102</v>
      </c>
      <c r="X188" s="89">
        <f t="shared" si="147"/>
        <v>0.102</v>
      </c>
      <c r="Y188" s="89">
        <f t="shared" si="147"/>
        <v>0.102</v>
      </c>
      <c r="Z188" s="89">
        <f t="shared" si="147"/>
        <v>0.102</v>
      </c>
      <c r="AA188" s="89">
        <f t="shared" si="147"/>
        <v>0.102</v>
      </c>
      <c r="AB188" s="89">
        <f t="shared" si="147"/>
        <v>0.102</v>
      </c>
      <c r="AC188" s="89">
        <f t="shared" si="147"/>
        <v>0.102</v>
      </c>
      <c r="AD188" s="89">
        <f t="shared" si="147"/>
        <v>0.102</v>
      </c>
      <c r="AE188" s="89">
        <f t="shared" si="147"/>
        <v>0.102</v>
      </c>
      <c r="AF188" s="89">
        <f t="shared" si="147"/>
        <v>0.102</v>
      </c>
      <c r="AG188" s="89">
        <f t="shared" si="147"/>
        <v>0.102</v>
      </c>
      <c r="AH188" s="89">
        <f t="shared" si="147"/>
        <v>0.102</v>
      </c>
      <c r="AI188" s="89">
        <f t="shared" si="147"/>
        <v>0.102</v>
      </c>
      <c r="AJ188" s="89">
        <f t="shared" si="147"/>
        <v>0.102</v>
      </c>
      <c r="AK188" s="89">
        <f t="shared" si="147"/>
        <v>0.102</v>
      </c>
      <c r="AL188" s="89">
        <f t="shared" si="147"/>
        <v>0.102</v>
      </c>
      <c r="AM188" s="89">
        <f t="shared" si="147"/>
        <v>0.102</v>
      </c>
      <c r="AN188" s="89">
        <f t="shared" si="147"/>
        <v>0.102</v>
      </c>
      <c r="AO188" s="89">
        <f t="shared" si="147"/>
        <v>0.102</v>
      </c>
      <c r="AP188" s="89">
        <f t="shared" si="147"/>
        <v>0.102</v>
      </c>
      <c r="AQ188" s="89">
        <f t="shared" si="147"/>
        <v>0.102</v>
      </c>
      <c r="AR188" s="89">
        <f t="shared" si="147"/>
        <v>0.102</v>
      </c>
      <c r="AS188" s="89">
        <f t="shared" si="147"/>
        <v>0.102</v>
      </c>
      <c r="AT188" s="89">
        <f t="shared" si="147"/>
        <v>0.102</v>
      </c>
      <c r="AU188" s="89">
        <f t="shared" si="147"/>
        <v>0.102</v>
      </c>
      <c r="AV188" s="89">
        <f t="shared" si="147"/>
        <v>0.102</v>
      </c>
      <c r="AW188" s="90" t="s">
        <v>1203</v>
      </c>
      <c r="AX188" s="90"/>
      <c r="AY188" s="90"/>
      <c r="AZ188" s="90"/>
      <c r="BA188" s="90"/>
      <c r="BB188" s="90"/>
      <c r="BC188" s="90"/>
      <c r="BD188" s="90"/>
      <c r="BE188" s="90"/>
      <c r="BF188" s="90"/>
      <c r="BG188" s="90"/>
    </row>
    <row r="189" ht="12.75" customHeight="1" outlineLevel="1">
      <c r="A189" s="316"/>
      <c r="B189" s="90"/>
      <c r="C189" s="90" t="s">
        <v>736</v>
      </c>
      <c r="D189" s="90"/>
      <c r="E189" s="90"/>
      <c r="F189" s="90"/>
      <c r="G189" s="539"/>
      <c r="H189" s="89"/>
      <c r="I189" s="89">
        <v>0.005</v>
      </c>
      <c r="J189" s="89">
        <f t="shared" ref="J189:K189" si="148">I189</f>
        <v>0.005</v>
      </c>
      <c r="K189" s="89">
        <f t="shared" si="148"/>
        <v>0.005</v>
      </c>
      <c r="L189" s="89">
        <f>'RSGen 1-7'!H191</f>
        <v>0.005</v>
      </c>
      <c r="M189" s="89">
        <f>'RSGen 1-7'!I191</f>
        <v>0.005</v>
      </c>
      <c r="N189" s="89">
        <f>'RSGen 1-7'!J191</f>
        <v>0.005</v>
      </c>
      <c r="O189" s="89">
        <f t="shared" ref="O189:AV189" si="149">N189</f>
        <v>0.005</v>
      </c>
      <c r="P189" s="89">
        <f t="shared" si="149"/>
        <v>0.005</v>
      </c>
      <c r="Q189" s="89">
        <f t="shared" si="149"/>
        <v>0.005</v>
      </c>
      <c r="R189" s="89">
        <f t="shared" si="149"/>
        <v>0.005</v>
      </c>
      <c r="S189" s="89">
        <f t="shared" si="149"/>
        <v>0.005</v>
      </c>
      <c r="T189" s="89">
        <f t="shared" si="149"/>
        <v>0.005</v>
      </c>
      <c r="U189" s="89">
        <f t="shared" si="149"/>
        <v>0.005</v>
      </c>
      <c r="V189" s="89">
        <f t="shared" si="149"/>
        <v>0.005</v>
      </c>
      <c r="W189" s="89">
        <f t="shared" si="149"/>
        <v>0.005</v>
      </c>
      <c r="X189" s="89">
        <f t="shared" si="149"/>
        <v>0.005</v>
      </c>
      <c r="Y189" s="89">
        <f t="shared" si="149"/>
        <v>0.005</v>
      </c>
      <c r="Z189" s="89">
        <f t="shared" si="149"/>
        <v>0.005</v>
      </c>
      <c r="AA189" s="89">
        <f t="shared" si="149"/>
        <v>0.005</v>
      </c>
      <c r="AB189" s="89">
        <f t="shared" si="149"/>
        <v>0.005</v>
      </c>
      <c r="AC189" s="89">
        <f t="shared" si="149"/>
        <v>0.005</v>
      </c>
      <c r="AD189" s="89">
        <f t="shared" si="149"/>
        <v>0.005</v>
      </c>
      <c r="AE189" s="89">
        <f t="shared" si="149"/>
        <v>0.005</v>
      </c>
      <c r="AF189" s="89">
        <f t="shared" si="149"/>
        <v>0.005</v>
      </c>
      <c r="AG189" s="89">
        <f t="shared" si="149"/>
        <v>0.005</v>
      </c>
      <c r="AH189" s="89">
        <f t="shared" si="149"/>
        <v>0.005</v>
      </c>
      <c r="AI189" s="89">
        <f t="shared" si="149"/>
        <v>0.005</v>
      </c>
      <c r="AJ189" s="89">
        <f t="shared" si="149"/>
        <v>0.005</v>
      </c>
      <c r="AK189" s="89">
        <f t="shared" si="149"/>
        <v>0.005</v>
      </c>
      <c r="AL189" s="89">
        <f t="shared" si="149"/>
        <v>0.005</v>
      </c>
      <c r="AM189" s="89">
        <f t="shared" si="149"/>
        <v>0.005</v>
      </c>
      <c r="AN189" s="89">
        <f t="shared" si="149"/>
        <v>0.005</v>
      </c>
      <c r="AO189" s="89">
        <f t="shared" si="149"/>
        <v>0.005</v>
      </c>
      <c r="AP189" s="89">
        <f t="shared" si="149"/>
        <v>0.005</v>
      </c>
      <c r="AQ189" s="89">
        <f t="shared" si="149"/>
        <v>0.005</v>
      </c>
      <c r="AR189" s="89">
        <f t="shared" si="149"/>
        <v>0.005</v>
      </c>
      <c r="AS189" s="89">
        <f t="shared" si="149"/>
        <v>0.005</v>
      </c>
      <c r="AT189" s="89">
        <f t="shared" si="149"/>
        <v>0.005</v>
      </c>
      <c r="AU189" s="89">
        <f t="shared" si="149"/>
        <v>0.005</v>
      </c>
      <c r="AV189" s="89">
        <f t="shared" si="149"/>
        <v>0.005</v>
      </c>
      <c r="AW189" s="90"/>
      <c r="AX189" s="90"/>
      <c r="AY189" s="90"/>
      <c r="AZ189" s="90"/>
      <c r="BA189" s="90"/>
      <c r="BB189" s="90"/>
      <c r="BC189" s="90"/>
      <c r="BD189" s="90"/>
      <c r="BE189" s="90"/>
      <c r="BF189" s="90"/>
      <c r="BG189" s="90"/>
    </row>
    <row r="190" ht="12.75" customHeight="1" outlineLevel="1">
      <c r="A190" s="316"/>
      <c r="B190" s="90"/>
      <c r="C190" s="90" t="s">
        <v>737</v>
      </c>
      <c r="D190" s="90"/>
      <c r="E190" s="90"/>
      <c r="F190" s="90"/>
      <c r="G190" s="539"/>
      <c r="H190" s="89"/>
      <c r="I190" s="89">
        <v>0.005</v>
      </c>
      <c r="J190" s="89">
        <f t="shared" ref="J190:K190" si="150">I190</f>
        <v>0.005</v>
      </c>
      <c r="K190" s="89">
        <f t="shared" si="150"/>
        <v>0.005</v>
      </c>
      <c r="L190" s="89">
        <f>'RSGen 1-7'!H192</f>
        <v>0.005</v>
      </c>
      <c r="M190" s="89">
        <f>'RSGen 1-7'!I192</f>
        <v>0.005</v>
      </c>
      <c r="N190" s="89">
        <f>'RSGen 1-7'!J192</f>
        <v>0.005</v>
      </c>
      <c r="O190" s="89">
        <f t="shared" ref="O190:AV190" si="151">N190</f>
        <v>0.005</v>
      </c>
      <c r="P190" s="89">
        <f t="shared" si="151"/>
        <v>0.005</v>
      </c>
      <c r="Q190" s="89">
        <f t="shared" si="151"/>
        <v>0.005</v>
      </c>
      <c r="R190" s="89">
        <f t="shared" si="151"/>
        <v>0.005</v>
      </c>
      <c r="S190" s="89">
        <f t="shared" si="151"/>
        <v>0.005</v>
      </c>
      <c r="T190" s="89">
        <f t="shared" si="151"/>
        <v>0.005</v>
      </c>
      <c r="U190" s="89">
        <f t="shared" si="151"/>
        <v>0.005</v>
      </c>
      <c r="V190" s="89">
        <f t="shared" si="151"/>
        <v>0.005</v>
      </c>
      <c r="W190" s="89">
        <f t="shared" si="151"/>
        <v>0.005</v>
      </c>
      <c r="X190" s="89">
        <f t="shared" si="151"/>
        <v>0.005</v>
      </c>
      <c r="Y190" s="89">
        <f t="shared" si="151"/>
        <v>0.005</v>
      </c>
      <c r="Z190" s="89">
        <f t="shared" si="151"/>
        <v>0.005</v>
      </c>
      <c r="AA190" s="89">
        <f t="shared" si="151"/>
        <v>0.005</v>
      </c>
      <c r="AB190" s="89">
        <f t="shared" si="151"/>
        <v>0.005</v>
      </c>
      <c r="AC190" s="89">
        <f t="shared" si="151"/>
        <v>0.005</v>
      </c>
      <c r="AD190" s="89">
        <f t="shared" si="151"/>
        <v>0.005</v>
      </c>
      <c r="AE190" s="89">
        <f t="shared" si="151"/>
        <v>0.005</v>
      </c>
      <c r="AF190" s="89">
        <f t="shared" si="151"/>
        <v>0.005</v>
      </c>
      <c r="AG190" s="89">
        <f t="shared" si="151"/>
        <v>0.005</v>
      </c>
      <c r="AH190" s="89">
        <f t="shared" si="151"/>
        <v>0.005</v>
      </c>
      <c r="AI190" s="89">
        <f t="shared" si="151"/>
        <v>0.005</v>
      </c>
      <c r="AJ190" s="89">
        <f t="shared" si="151"/>
        <v>0.005</v>
      </c>
      <c r="AK190" s="89">
        <f t="shared" si="151"/>
        <v>0.005</v>
      </c>
      <c r="AL190" s="89">
        <f t="shared" si="151"/>
        <v>0.005</v>
      </c>
      <c r="AM190" s="89">
        <f t="shared" si="151"/>
        <v>0.005</v>
      </c>
      <c r="AN190" s="89">
        <f t="shared" si="151"/>
        <v>0.005</v>
      </c>
      <c r="AO190" s="89">
        <f t="shared" si="151"/>
        <v>0.005</v>
      </c>
      <c r="AP190" s="89">
        <f t="shared" si="151"/>
        <v>0.005</v>
      </c>
      <c r="AQ190" s="89">
        <f t="shared" si="151"/>
        <v>0.005</v>
      </c>
      <c r="AR190" s="89">
        <f t="shared" si="151"/>
        <v>0.005</v>
      </c>
      <c r="AS190" s="89">
        <f t="shared" si="151"/>
        <v>0.005</v>
      </c>
      <c r="AT190" s="89">
        <f t="shared" si="151"/>
        <v>0.005</v>
      </c>
      <c r="AU190" s="89">
        <f t="shared" si="151"/>
        <v>0.005</v>
      </c>
      <c r="AV190" s="89">
        <f t="shared" si="151"/>
        <v>0.005</v>
      </c>
      <c r="AW190" s="90"/>
      <c r="AX190" s="90"/>
      <c r="AY190" s="90"/>
      <c r="AZ190" s="90"/>
      <c r="BA190" s="90"/>
      <c r="BB190" s="90"/>
      <c r="BC190" s="90"/>
      <c r="BD190" s="90"/>
      <c r="BE190" s="90"/>
      <c r="BF190" s="90"/>
      <c r="BG190" s="90"/>
    </row>
    <row r="191" ht="12.75" customHeight="1">
      <c r="A191" s="316"/>
      <c r="B191" s="90"/>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c r="AF191" s="90"/>
      <c r="AG191" s="90"/>
      <c r="AH191" s="90"/>
      <c r="AI191" s="90"/>
      <c r="AJ191" s="90"/>
      <c r="AK191" s="90"/>
      <c r="AL191" s="90"/>
      <c r="AM191" s="90"/>
      <c r="AN191" s="90"/>
      <c r="AO191" s="90"/>
      <c r="AP191" s="90"/>
      <c r="AQ191" s="90"/>
      <c r="AR191" s="90"/>
      <c r="AS191" s="90"/>
      <c r="AT191" s="90"/>
      <c r="AU191" s="90"/>
      <c r="AV191" s="90"/>
      <c r="AW191" s="90"/>
      <c r="AX191" s="90"/>
      <c r="AY191" s="90"/>
      <c r="AZ191" s="90"/>
      <c r="BA191" s="90"/>
      <c r="BB191" s="90"/>
      <c r="BC191" s="90"/>
      <c r="BD191" s="90"/>
      <c r="BE191" s="90"/>
      <c r="BF191" s="90"/>
      <c r="BG191" s="90"/>
    </row>
    <row r="192" ht="12.75" customHeight="1">
      <c r="A192" s="105" t="s">
        <v>738</v>
      </c>
      <c r="B192" s="253"/>
      <c r="C192" s="253"/>
      <c r="D192" s="253"/>
      <c r="E192" s="253"/>
      <c r="F192" s="253"/>
      <c r="G192" s="253"/>
      <c r="H192" s="253"/>
      <c r="I192" s="253"/>
      <c r="J192" s="253"/>
      <c r="K192" s="253"/>
      <c r="L192" s="253"/>
      <c r="M192" s="253"/>
      <c r="N192" s="253"/>
      <c r="O192" s="253"/>
      <c r="P192" s="253"/>
      <c r="Q192" s="253"/>
      <c r="R192" s="253"/>
      <c r="S192" s="253"/>
      <c r="T192" s="253"/>
      <c r="U192" s="253"/>
      <c r="V192" s="253"/>
      <c r="W192" s="253"/>
      <c r="X192" s="253"/>
      <c r="Y192" s="253"/>
      <c r="Z192" s="253"/>
      <c r="AA192" s="253"/>
      <c r="AB192" s="253"/>
      <c r="AC192" s="253"/>
      <c r="AD192" s="253"/>
      <c r="AE192" s="253"/>
      <c r="AF192" s="253"/>
      <c r="AG192" s="253"/>
      <c r="AH192" s="253"/>
      <c r="AI192" s="253"/>
      <c r="AJ192" s="253"/>
      <c r="AK192" s="253"/>
      <c r="AL192" s="253"/>
      <c r="AM192" s="253"/>
      <c r="AN192" s="253"/>
      <c r="AO192" s="253"/>
      <c r="AP192" s="253"/>
      <c r="AQ192" s="253"/>
      <c r="AR192" s="253"/>
      <c r="AS192" s="253"/>
      <c r="AT192" s="253"/>
      <c r="AU192" s="253"/>
      <c r="AV192" s="253"/>
      <c r="AW192" s="253"/>
      <c r="AX192" s="90"/>
      <c r="AY192" s="90"/>
      <c r="AZ192" s="90"/>
      <c r="BA192" s="90"/>
      <c r="BB192" s="90"/>
      <c r="BC192" s="90"/>
      <c r="BD192" s="90"/>
      <c r="BE192" s="90"/>
      <c r="BF192" s="90"/>
      <c r="BG192" s="90"/>
    </row>
    <row r="193" ht="12.75" hidden="1" customHeight="1" outlineLevel="1">
      <c r="A193" s="515"/>
      <c r="B193" s="90"/>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0"/>
      <c r="AH193" s="90"/>
      <c r="AI193" s="90"/>
      <c r="AJ193" s="90"/>
      <c r="AK193" s="90"/>
      <c r="AL193" s="90"/>
      <c r="AM193" s="90"/>
      <c r="AN193" s="90"/>
      <c r="AO193" s="90"/>
      <c r="AP193" s="90"/>
      <c r="AQ193" s="90"/>
      <c r="AR193" s="90"/>
      <c r="AS193" s="90"/>
      <c r="AT193" s="90"/>
      <c r="AU193" s="90"/>
      <c r="AV193" s="90"/>
      <c r="AW193" s="90"/>
      <c r="AX193" s="90"/>
      <c r="AY193" s="90"/>
      <c r="AZ193" s="90"/>
      <c r="BA193" s="90"/>
      <c r="BB193" s="90"/>
      <c r="BC193" s="90"/>
      <c r="BD193" s="90"/>
      <c r="BE193" s="90"/>
      <c r="BF193" s="90"/>
      <c r="BG193" s="90"/>
    </row>
    <row r="194" ht="12.75" hidden="1" customHeight="1" outlineLevel="1">
      <c r="A194" s="316"/>
      <c r="B194" s="90" t="s">
        <v>739</v>
      </c>
      <c r="C194" s="90"/>
      <c r="D194" s="90"/>
      <c r="E194" s="90"/>
      <c r="F194" s="90"/>
      <c r="G194" s="90"/>
      <c r="H194" s="178"/>
      <c r="I194" s="178" t="str">
        <f t="shared" ref="I194:J194" si="152">I89</f>
        <v/>
      </c>
      <c r="J194" s="178">
        <f t="shared" si="152"/>
        <v>0</v>
      </c>
      <c r="K194" s="178">
        <f>Assumptions!D59</f>
        <v>0</v>
      </c>
      <c r="L194" s="178">
        <f>Assumptions!E59</f>
        <v>0.02</v>
      </c>
      <c r="M194" s="178">
        <f>Assumptions!F59</f>
        <v>0.02</v>
      </c>
      <c r="N194" s="178">
        <f>Assumptions!G59</f>
        <v>0.02</v>
      </c>
      <c r="O194" s="178">
        <f>Assumptions!H59</f>
        <v>0.02</v>
      </c>
      <c r="P194" s="178">
        <f>Assumptions!I59</f>
        <v>0.02</v>
      </c>
      <c r="Q194" s="178">
        <f t="shared" ref="Q194:AV194" si="153">P194</f>
        <v>0.02</v>
      </c>
      <c r="R194" s="178">
        <f t="shared" si="153"/>
        <v>0.02</v>
      </c>
      <c r="S194" s="178">
        <f t="shared" si="153"/>
        <v>0.02</v>
      </c>
      <c r="T194" s="178">
        <f t="shared" si="153"/>
        <v>0.02</v>
      </c>
      <c r="U194" s="178">
        <f t="shared" si="153"/>
        <v>0.02</v>
      </c>
      <c r="V194" s="178">
        <f t="shared" si="153"/>
        <v>0.02</v>
      </c>
      <c r="W194" s="178">
        <f t="shared" si="153"/>
        <v>0.02</v>
      </c>
      <c r="X194" s="178">
        <f t="shared" si="153"/>
        <v>0.02</v>
      </c>
      <c r="Y194" s="178">
        <f t="shared" si="153"/>
        <v>0.02</v>
      </c>
      <c r="Z194" s="178">
        <f t="shared" si="153"/>
        <v>0.02</v>
      </c>
      <c r="AA194" s="178">
        <f t="shared" si="153"/>
        <v>0.02</v>
      </c>
      <c r="AB194" s="178">
        <f t="shared" si="153"/>
        <v>0.02</v>
      </c>
      <c r="AC194" s="178">
        <f t="shared" si="153"/>
        <v>0.02</v>
      </c>
      <c r="AD194" s="178">
        <f t="shared" si="153"/>
        <v>0.02</v>
      </c>
      <c r="AE194" s="178">
        <f t="shared" si="153"/>
        <v>0.02</v>
      </c>
      <c r="AF194" s="178">
        <f t="shared" si="153"/>
        <v>0.02</v>
      </c>
      <c r="AG194" s="178">
        <f t="shared" si="153"/>
        <v>0.02</v>
      </c>
      <c r="AH194" s="178">
        <f t="shared" si="153"/>
        <v>0.02</v>
      </c>
      <c r="AI194" s="178">
        <f t="shared" si="153"/>
        <v>0.02</v>
      </c>
      <c r="AJ194" s="178">
        <f t="shared" si="153"/>
        <v>0.02</v>
      </c>
      <c r="AK194" s="178">
        <f t="shared" si="153"/>
        <v>0.02</v>
      </c>
      <c r="AL194" s="178">
        <f t="shared" si="153"/>
        <v>0.02</v>
      </c>
      <c r="AM194" s="178">
        <f t="shared" si="153"/>
        <v>0.02</v>
      </c>
      <c r="AN194" s="178">
        <f t="shared" si="153"/>
        <v>0.02</v>
      </c>
      <c r="AO194" s="178">
        <f t="shared" si="153"/>
        <v>0.02</v>
      </c>
      <c r="AP194" s="178">
        <f t="shared" si="153"/>
        <v>0.02</v>
      </c>
      <c r="AQ194" s="178">
        <f t="shared" si="153"/>
        <v>0.02</v>
      </c>
      <c r="AR194" s="178">
        <f t="shared" si="153"/>
        <v>0.02</v>
      </c>
      <c r="AS194" s="178">
        <f t="shared" si="153"/>
        <v>0.02</v>
      </c>
      <c r="AT194" s="178">
        <f t="shared" si="153"/>
        <v>0.02</v>
      </c>
      <c r="AU194" s="178">
        <f t="shared" si="153"/>
        <v>0.02</v>
      </c>
      <c r="AV194" s="178">
        <f t="shared" si="153"/>
        <v>0.02</v>
      </c>
      <c r="AW194" s="90"/>
      <c r="AX194" s="90"/>
      <c r="AY194" s="90"/>
      <c r="AZ194" s="90"/>
      <c r="BA194" s="90"/>
      <c r="BB194" s="90"/>
      <c r="BC194" s="90"/>
      <c r="BD194" s="90"/>
      <c r="BE194" s="90"/>
      <c r="BF194" s="90"/>
      <c r="BG194" s="90"/>
    </row>
    <row r="195" ht="12.75" hidden="1" customHeight="1" outlineLevel="1">
      <c r="A195" s="316"/>
      <c r="B195" s="90"/>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c r="AE195" s="90"/>
      <c r="AF195" s="90"/>
      <c r="AG195" s="90"/>
      <c r="AH195" s="90"/>
      <c r="AI195" s="90"/>
      <c r="AJ195" s="90"/>
      <c r="AK195" s="90"/>
      <c r="AL195" s="90"/>
      <c r="AM195" s="90"/>
      <c r="AN195" s="90"/>
      <c r="AO195" s="90"/>
      <c r="AP195" s="90"/>
      <c r="AQ195" s="90"/>
      <c r="AR195" s="90"/>
      <c r="AS195" s="90"/>
      <c r="AT195" s="90"/>
      <c r="AU195" s="90"/>
      <c r="AV195" s="90"/>
      <c r="AW195" s="90"/>
      <c r="AX195" s="90"/>
      <c r="AY195" s="90"/>
      <c r="AZ195" s="90"/>
      <c r="BA195" s="90"/>
      <c r="BB195" s="90"/>
      <c r="BC195" s="90"/>
      <c r="BD195" s="90"/>
      <c r="BE195" s="90"/>
      <c r="BF195" s="90"/>
      <c r="BG195" s="90"/>
    </row>
    <row r="196" ht="12.75" hidden="1" customHeight="1" outlineLevel="1">
      <c r="A196" s="316"/>
      <c r="B196" s="67" t="s">
        <v>550</v>
      </c>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c r="AA196" s="90"/>
      <c r="AB196" s="90"/>
      <c r="AC196" s="90"/>
      <c r="AD196" s="90"/>
      <c r="AE196" s="90"/>
      <c r="AF196" s="90"/>
      <c r="AG196" s="90"/>
      <c r="AH196" s="90"/>
      <c r="AI196" s="90"/>
      <c r="AJ196" s="90"/>
      <c r="AK196" s="90"/>
      <c r="AL196" s="90"/>
      <c r="AM196" s="90"/>
      <c r="AN196" s="90"/>
      <c r="AO196" s="90"/>
      <c r="AP196" s="90"/>
      <c r="AQ196" s="90"/>
      <c r="AR196" s="90"/>
      <c r="AS196" s="90"/>
      <c r="AT196" s="90"/>
      <c r="AU196" s="90"/>
      <c r="AV196" s="90"/>
      <c r="AW196" s="90"/>
      <c r="AX196" s="90"/>
      <c r="AY196" s="90"/>
      <c r="AZ196" s="90"/>
      <c r="BA196" s="90"/>
      <c r="BB196" s="90"/>
      <c r="BC196" s="90"/>
      <c r="BD196" s="90"/>
      <c r="BE196" s="90"/>
      <c r="BF196" s="90"/>
      <c r="BG196" s="90"/>
    </row>
    <row r="197" ht="12.75" hidden="1" customHeight="1" outlineLevel="1">
      <c r="A197" s="316"/>
      <c r="B197" s="90"/>
      <c r="C197" s="90" t="s">
        <v>740</v>
      </c>
      <c r="D197" s="90"/>
      <c r="E197" s="90"/>
      <c r="F197" s="90"/>
      <c r="G197" s="90"/>
      <c r="H197" s="254"/>
      <c r="I197" s="99"/>
      <c r="J197" s="99"/>
      <c r="K197" s="99"/>
      <c r="L197" s="99">
        <f>'RSGen 1-7'!L199</f>
        <v>65</v>
      </c>
      <c r="M197" s="99">
        <f t="shared" ref="M197:AV197" si="154">L197*(1+M$194)</f>
        <v>66.3</v>
      </c>
      <c r="N197" s="99">
        <f t="shared" si="154"/>
        <v>67.626</v>
      </c>
      <c r="O197" s="99">
        <f t="shared" si="154"/>
        <v>68.97852</v>
      </c>
      <c r="P197" s="99">
        <f t="shared" si="154"/>
        <v>70.3580904</v>
      </c>
      <c r="Q197" s="99">
        <f t="shared" si="154"/>
        <v>71.76525221</v>
      </c>
      <c r="R197" s="99">
        <f t="shared" si="154"/>
        <v>73.20055725</v>
      </c>
      <c r="S197" s="99">
        <f t="shared" si="154"/>
        <v>74.6645684</v>
      </c>
      <c r="T197" s="99">
        <f t="shared" si="154"/>
        <v>76.15785977</v>
      </c>
      <c r="U197" s="99">
        <f t="shared" si="154"/>
        <v>77.68101696</v>
      </c>
      <c r="V197" s="99">
        <f t="shared" si="154"/>
        <v>79.2346373</v>
      </c>
      <c r="W197" s="99">
        <f t="shared" si="154"/>
        <v>80.81933005</v>
      </c>
      <c r="X197" s="99">
        <f t="shared" si="154"/>
        <v>82.43571665</v>
      </c>
      <c r="Y197" s="99">
        <f t="shared" si="154"/>
        <v>84.08443098</v>
      </c>
      <c r="Z197" s="99">
        <f t="shared" si="154"/>
        <v>85.7661196</v>
      </c>
      <c r="AA197" s="99">
        <f t="shared" si="154"/>
        <v>87.48144199</v>
      </c>
      <c r="AB197" s="99">
        <f t="shared" si="154"/>
        <v>89.23107083</v>
      </c>
      <c r="AC197" s="99">
        <f t="shared" si="154"/>
        <v>91.01569225</v>
      </c>
      <c r="AD197" s="99">
        <f t="shared" si="154"/>
        <v>92.83600609</v>
      </c>
      <c r="AE197" s="99">
        <f t="shared" si="154"/>
        <v>94.69272621</v>
      </c>
      <c r="AF197" s="99">
        <f t="shared" si="154"/>
        <v>96.58658074</v>
      </c>
      <c r="AG197" s="99">
        <f t="shared" si="154"/>
        <v>98.51831235</v>
      </c>
      <c r="AH197" s="99">
        <f t="shared" si="154"/>
        <v>100.4886786</v>
      </c>
      <c r="AI197" s="99">
        <f t="shared" si="154"/>
        <v>102.4984522</v>
      </c>
      <c r="AJ197" s="99">
        <f t="shared" si="154"/>
        <v>104.5484212</v>
      </c>
      <c r="AK197" s="99">
        <f t="shared" si="154"/>
        <v>106.6393896</v>
      </c>
      <c r="AL197" s="99">
        <f t="shared" si="154"/>
        <v>108.7721774</v>
      </c>
      <c r="AM197" s="99">
        <f t="shared" si="154"/>
        <v>110.947621</v>
      </c>
      <c r="AN197" s="99">
        <f t="shared" si="154"/>
        <v>113.1665734</v>
      </c>
      <c r="AO197" s="99">
        <f t="shared" si="154"/>
        <v>115.4299049</v>
      </c>
      <c r="AP197" s="99">
        <f t="shared" si="154"/>
        <v>117.738503</v>
      </c>
      <c r="AQ197" s="99">
        <f t="shared" si="154"/>
        <v>120.093273</v>
      </c>
      <c r="AR197" s="99">
        <f t="shared" si="154"/>
        <v>122.4951385</v>
      </c>
      <c r="AS197" s="99">
        <f t="shared" si="154"/>
        <v>124.9450413</v>
      </c>
      <c r="AT197" s="99">
        <f t="shared" si="154"/>
        <v>127.4439421</v>
      </c>
      <c r="AU197" s="99">
        <f t="shared" si="154"/>
        <v>129.9928209</v>
      </c>
      <c r="AV197" s="99">
        <f t="shared" si="154"/>
        <v>132.5926773</v>
      </c>
      <c r="AW197" s="67"/>
      <c r="AX197" s="90"/>
      <c r="AY197" s="90"/>
      <c r="AZ197" s="90"/>
      <c r="BA197" s="90"/>
      <c r="BB197" s="90"/>
      <c r="BC197" s="90"/>
      <c r="BD197" s="90"/>
      <c r="BE197" s="90"/>
      <c r="BF197" s="90"/>
      <c r="BG197" s="90"/>
    </row>
    <row r="198" ht="12.75" hidden="1" customHeight="1" outlineLevel="1">
      <c r="A198" s="316"/>
      <c r="B198" s="90"/>
      <c r="C198" s="90" t="s">
        <v>741</v>
      </c>
      <c r="D198" s="90"/>
      <c r="E198" s="90"/>
      <c r="F198" s="90"/>
      <c r="G198" s="90"/>
      <c r="H198" s="254"/>
      <c r="I198" s="99"/>
      <c r="J198" s="99"/>
      <c r="K198" s="99"/>
      <c r="L198" s="99">
        <f>'RSGen 1-7'!L200</f>
        <v>25</v>
      </c>
      <c r="M198" s="99">
        <f t="shared" ref="M198:AV198" si="155">L198*(1+M$194)</f>
        <v>25.5</v>
      </c>
      <c r="N198" s="99">
        <f t="shared" si="155"/>
        <v>26.01</v>
      </c>
      <c r="O198" s="99">
        <f t="shared" si="155"/>
        <v>26.5302</v>
      </c>
      <c r="P198" s="99">
        <f t="shared" si="155"/>
        <v>27.060804</v>
      </c>
      <c r="Q198" s="99">
        <f t="shared" si="155"/>
        <v>27.60202008</v>
      </c>
      <c r="R198" s="99">
        <f t="shared" si="155"/>
        <v>28.15406048</v>
      </c>
      <c r="S198" s="99">
        <f t="shared" si="155"/>
        <v>28.71714169</v>
      </c>
      <c r="T198" s="99">
        <f t="shared" si="155"/>
        <v>29.29148453</v>
      </c>
      <c r="U198" s="99">
        <f t="shared" si="155"/>
        <v>29.87731422</v>
      </c>
      <c r="V198" s="99">
        <f t="shared" si="155"/>
        <v>30.4748605</v>
      </c>
      <c r="W198" s="99">
        <f t="shared" si="155"/>
        <v>31.08435771</v>
      </c>
      <c r="X198" s="99">
        <f t="shared" si="155"/>
        <v>31.70604486</v>
      </c>
      <c r="Y198" s="99">
        <f t="shared" si="155"/>
        <v>32.34016576</v>
      </c>
      <c r="Z198" s="99">
        <f t="shared" si="155"/>
        <v>32.98696908</v>
      </c>
      <c r="AA198" s="99">
        <f t="shared" si="155"/>
        <v>33.64670846</v>
      </c>
      <c r="AB198" s="99">
        <f t="shared" si="155"/>
        <v>34.31964263</v>
      </c>
      <c r="AC198" s="99">
        <f t="shared" si="155"/>
        <v>35.00603548</v>
      </c>
      <c r="AD198" s="99">
        <f t="shared" si="155"/>
        <v>35.70615619</v>
      </c>
      <c r="AE198" s="99">
        <f t="shared" si="155"/>
        <v>36.42027931</v>
      </c>
      <c r="AF198" s="99">
        <f t="shared" si="155"/>
        <v>37.1486849</v>
      </c>
      <c r="AG198" s="99">
        <f t="shared" si="155"/>
        <v>37.8916586</v>
      </c>
      <c r="AH198" s="99">
        <f t="shared" si="155"/>
        <v>38.64949177</v>
      </c>
      <c r="AI198" s="99">
        <f t="shared" si="155"/>
        <v>39.4224816</v>
      </c>
      <c r="AJ198" s="99">
        <f t="shared" si="155"/>
        <v>40.21093124</v>
      </c>
      <c r="AK198" s="99">
        <f t="shared" si="155"/>
        <v>41.01514986</v>
      </c>
      <c r="AL198" s="99">
        <f t="shared" si="155"/>
        <v>41.83545286</v>
      </c>
      <c r="AM198" s="99">
        <f t="shared" si="155"/>
        <v>42.67216192</v>
      </c>
      <c r="AN198" s="99">
        <f t="shared" si="155"/>
        <v>43.52560515</v>
      </c>
      <c r="AO198" s="99">
        <f t="shared" si="155"/>
        <v>44.39611726</v>
      </c>
      <c r="AP198" s="99">
        <f t="shared" si="155"/>
        <v>45.2840396</v>
      </c>
      <c r="AQ198" s="99">
        <f t="shared" si="155"/>
        <v>46.18972039</v>
      </c>
      <c r="AR198" s="99">
        <f t="shared" si="155"/>
        <v>47.1135148</v>
      </c>
      <c r="AS198" s="99">
        <f t="shared" si="155"/>
        <v>48.0557851</v>
      </c>
      <c r="AT198" s="99">
        <f t="shared" si="155"/>
        <v>49.0169008</v>
      </c>
      <c r="AU198" s="99">
        <f t="shared" si="155"/>
        <v>49.99723882</v>
      </c>
      <c r="AV198" s="99">
        <f t="shared" si="155"/>
        <v>50.99718359</v>
      </c>
      <c r="AW198" s="67"/>
      <c r="AX198" s="90"/>
      <c r="AY198" s="90"/>
      <c r="AZ198" s="90"/>
      <c r="BA198" s="90"/>
      <c r="BB198" s="90"/>
      <c r="BC198" s="90"/>
      <c r="BD198" s="90"/>
      <c r="BE198" s="90"/>
      <c r="BF198" s="90"/>
      <c r="BG198" s="90"/>
    </row>
    <row r="199" ht="12.75" hidden="1" customHeight="1" outlineLevel="1">
      <c r="A199" s="316"/>
      <c r="B199" s="90"/>
      <c r="C199" s="90" t="s">
        <v>742</v>
      </c>
      <c r="D199" s="90"/>
      <c r="E199" s="90"/>
      <c r="F199" s="90"/>
      <c r="G199" s="90"/>
      <c r="H199" s="254"/>
      <c r="I199" s="99"/>
      <c r="J199" s="99"/>
      <c r="K199" s="99"/>
      <c r="L199" s="99">
        <f>'RSGen 1-7'!L201</f>
        <v>1000</v>
      </c>
      <c r="M199" s="99">
        <f t="shared" ref="M199:AV199" si="156">L199*(1+M$194)</f>
        <v>1020</v>
      </c>
      <c r="N199" s="99">
        <f t="shared" si="156"/>
        <v>1040.4</v>
      </c>
      <c r="O199" s="99">
        <f t="shared" si="156"/>
        <v>1061.208</v>
      </c>
      <c r="P199" s="99">
        <f t="shared" si="156"/>
        <v>1082.43216</v>
      </c>
      <c r="Q199" s="99">
        <f t="shared" si="156"/>
        <v>1104.080803</v>
      </c>
      <c r="R199" s="99">
        <f t="shared" si="156"/>
        <v>1126.162419</v>
      </c>
      <c r="S199" s="99">
        <f t="shared" si="156"/>
        <v>1148.685668</v>
      </c>
      <c r="T199" s="99">
        <f t="shared" si="156"/>
        <v>1171.659381</v>
      </c>
      <c r="U199" s="99">
        <f t="shared" si="156"/>
        <v>1195.092569</v>
      </c>
      <c r="V199" s="99">
        <f t="shared" si="156"/>
        <v>1218.99442</v>
      </c>
      <c r="W199" s="99">
        <f t="shared" si="156"/>
        <v>1243.374308</v>
      </c>
      <c r="X199" s="99">
        <f t="shared" si="156"/>
        <v>1268.241795</v>
      </c>
      <c r="Y199" s="99">
        <f t="shared" si="156"/>
        <v>1293.60663</v>
      </c>
      <c r="Z199" s="99">
        <f t="shared" si="156"/>
        <v>1319.478763</v>
      </c>
      <c r="AA199" s="99">
        <f t="shared" si="156"/>
        <v>1345.868338</v>
      </c>
      <c r="AB199" s="99">
        <f t="shared" si="156"/>
        <v>1372.785705</v>
      </c>
      <c r="AC199" s="99">
        <f t="shared" si="156"/>
        <v>1400.241419</v>
      </c>
      <c r="AD199" s="99">
        <f t="shared" si="156"/>
        <v>1428.246248</v>
      </c>
      <c r="AE199" s="99">
        <f t="shared" si="156"/>
        <v>1456.811173</v>
      </c>
      <c r="AF199" s="99">
        <f t="shared" si="156"/>
        <v>1485.947396</v>
      </c>
      <c r="AG199" s="99">
        <f t="shared" si="156"/>
        <v>1515.666344</v>
      </c>
      <c r="AH199" s="99">
        <f t="shared" si="156"/>
        <v>1545.979671</v>
      </c>
      <c r="AI199" s="99">
        <f t="shared" si="156"/>
        <v>1576.899264</v>
      </c>
      <c r="AJ199" s="99">
        <f t="shared" si="156"/>
        <v>1608.437249</v>
      </c>
      <c r="AK199" s="99">
        <f t="shared" si="156"/>
        <v>1640.605994</v>
      </c>
      <c r="AL199" s="99">
        <f t="shared" si="156"/>
        <v>1673.418114</v>
      </c>
      <c r="AM199" s="99">
        <f t="shared" si="156"/>
        <v>1706.886477</v>
      </c>
      <c r="AN199" s="99">
        <f t="shared" si="156"/>
        <v>1741.024206</v>
      </c>
      <c r="AO199" s="99">
        <f t="shared" si="156"/>
        <v>1775.84469</v>
      </c>
      <c r="AP199" s="99">
        <f t="shared" si="156"/>
        <v>1811.361584</v>
      </c>
      <c r="AQ199" s="99">
        <f t="shared" si="156"/>
        <v>1847.588816</v>
      </c>
      <c r="AR199" s="99">
        <f t="shared" si="156"/>
        <v>1884.540592</v>
      </c>
      <c r="AS199" s="99">
        <f t="shared" si="156"/>
        <v>1922.231404</v>
      </c>
      <c r="AT199" s="99">
        <f t="shared" si="156"/>
        <v>1960.676032</v>
      </c>
      <c r="AU199" s="99">
        <f t="shared" si="156"/>
        <v>1999.889553</v>
      </c>
      <c r="AV199" s="99">
        <f t="shared" si="156"/>
        <v>2039.887344</v>
      </c>
      <c r="AW199" s="67"/>
      <c r="AX199" s="90"/>
      <c r="AY199" s="90"/>
      <c r="AZ199" s="90"/>
      <c r="BA199" s="90"/>
      <c r="BB199" s="90"/>
      <c r="BC199" s="90"/>
      <c r="BD199" s="90"/>
      <c r="BE199" s="90"/>
      <c r="BF199" s="90"/>
      <c r="BG199" s="90"/>
    </row>
    <row r="200" ht="12.75" hidden="1" customHeight="1" outlineLevel="1">
      <c r="A200" s="316"/>
      <c r="B200" s="90"/>
      <c r="C200" s="90" t="s">
        <v>743</v>
      </c>
      <c r="D200" s="90"/>
      <c r="E200" s="90"/>
      <c r="F200" s="90"/>
      <c r="G200" s="90"/>
      <c r="H200" s="254"/>
      <c r="I200" s="99"/>
      <c r="J200" s="99"/>
      <c r="K200" s="99"/>
      <c r="L200" s="99" t="str">
        <f>'RSGen 1-7'!L202</f>
        <v/>
      </c>
      <c r="M200" s="99">
        <f t="shared" ref="M200:AV200" si="157">L200*(1+M$194)</f>
        <v>0</v>
      </c>
      <c r="N200" s="99">
        <f t="shared" si="157"/>
        <v>0</v>
      </c>
      <c r="O200" s="99">
        <f t="shared" si="157"/>
        <v>0</v>
      </c>
      <c r="P200" s="99">
        <f t="shared" si="157"/>
        <v>0</v>
      </c>
      <c r="Q200" s="99">
        <f t="shared" si="157"/>
        <v>0</v>
      </c>
      <c r="R200" s="99">
        <f t="shared" si="157"/>
        <v>0</v>
      </c>
      <c r="S200" s="99">
        <f t="shared" si="157"/>
        <v>0</v>
      </c>
      <c r="T200" s="99">
        <f t="shared" si="157"/>
        <v>0</v>
      </c>
      <c r="U200" s="99">
        <f t="shared" si="157"/>
        <v>0</v>
      </c>
      <c r="V200" s="99">
        <f t="shared" si="157"/>
        <v>0</v>
      </c>
      <c r="W200" s="99">
        <f t="shared" si="157"/>
        <v>0</v>
      </c>
      <c r="X200" s="99">
        <f t="shared" si="157"/>
        <v>0</v>
      </c>
      <c r="Y200" s="99">
        <f t="shared" si="157"/>
        <v>0</v>
      </c>
      <c r="Z200" s="99">
        <f t="shared" si="157"/>
        <v>0</v>
      </c>
      <c r="AA200" s="99">
        <f t="shared" si="157"/>
        <v>0</v>
      </c>
      <c r="AB200" s="99">
        <f t="shared" si="157"/>
        <v>0</v>
      </c>
      <c r="AC200" s="99">
        <f t="shared" si="157"/>
        <v>0</v>
      </c>
      <c r="AD200" s="99">
        <f t="shared" si="157"/>
        <v>0</v>
      </c>
      <c r="AE200" s="99">
        <f t="shared" si="157"/>
        <v>0</v>
      </c>
      <c r="AF200" s="99">
        <f t="shared" si="157"/>
        <v>0</v>
      </c>
      <c r="AG200" s="99">
        <f t="shared" si="157"/>
        <v>0</v>
      </c>
      <c r="AH200" s="99">
        <f t="shared" si="157"/>
        <v>0</v>
      </c>
      <c r="AI200" s="99">
        <f t="shared" si="157"/>
        <v>0</v>
      </c>
      <c r="AJ200" s="99">
        <f t="shared" si="157"/>
        <v>0</v>
      </c>
      <c r="AK200" s="99">
        <f t="shared" si="157"/>
        <v>0</v>
      </c>
      <c r="AL200" s="99">
        <f t="shared" si="157"/>
        <v>0</v>
      </c>
      <c r="AM200" s="99">
        <f t="shared" si="157"/>
        <v>0</v>
      </c>
      <c r="AN200" s="99">
        <f t="shared" si="157"/>
        <v>0</v>
      </c>
      <c r="AO200" s="99">
        <f t="shared" si="157"/>
        <v>0</v>
      </c>
      <c r="AP200" s="99">
        <f t="shared" si="157"/>
        <v>0</v>
      </c>
      <c r="AQ200" s="99">
        <f t="shared" si="157"/>
        <v>0</v>
      </c>
      <c r="AR200" s="99">
        <f t="shared" si="157"/>
        <v>0</v>
      </c>
      <c r="AS200" s="99">
        <f t="shared" si="157"/>
        <v>0</v>
      </c>
      <c r="AT200" s="99">
        <f t="shared" si="157"/>
        <v>0</v>
      </c>
      <c r="AU200" s="99">
        <f t="shared" si="157"/>
        <v>0</v>
      </c>
      <c r="AV200" s="99">
        <f t="shared" si="157"/>
        <v>0</v>
      </c>
      <c r="AW200" s="67"/>
      <c r="AX200" s="90"/>
      <c r="AY200" s="90"/>
      <c r="AZ200" s="90"/>
      <c r="BA200" s="90"/>
      <c r="BB200" s="90"/>
      <c r="BC200" s="90"/>
      <c r="BD200" s="90"/>
      <c r="BE200" s="90"/>
      <c r="BF200" s="90"/>
      <c r="BG200" s="90"/>
    </row>
    <row r="201" ht="12.75" hidden="1" customHeight="1" outlineLevel="1">
      <c r="A201" s="316"/>
      <c r="B201" s="90"/>
      <c r="C201" s="90" t="s">
        <v>744</v>
      </c>
      <c r="D201" s="90"/>
      <c r="E201" s="90"/>
      <c r="F201" s="90"/>
      <c r="G201" s="90"/>
      <c r="H201" s="254"/>
      <c r="I201" s="99"/>
      <c r="J201" s="99"/>
      <c r="K201" s="99"/>
      <c r="L201" s="99">
        <f>'RSGen 1-7'!L203</f>
        <v>150</v>
      </c>
      <c r="M201" s="99">
        <f t="shared" ref="M201:AV201" si="158">L201*(1+M$194)</f>
        <v>153</v>
      </c>
      <c r="N201" s="99">
        <f t="shared" si="158"/>
        <v>156.06</v>
      </c>
      <c r="O201" s="99">
        <f t="shared" si="158"/>
        <v>159.1812</v>
      </c>
      <c r="P201" s="99">
        <f t="shared" si="158"/>
        <v>162.364824</v>
      </c>
      <c r="Q201" s="99">
        <f t="shared" si="158"/>
        <v>165.6121205</v>
      </c>
      <c r="R201" s="99">
        <f t="shared" si="158"/>
        <v>168.9243629</v>
      </c>
      <c r="S201" s="99">
        <f t="shared" si="158"/>
        <v>172.3028501</v>
      </c>
      <c r="T201" s="99">
        <f t="shared" si="158"/>
        <v>175.7489072</v>
      </c>
      <c r="U201" s="99">
        <f t="shared" si="158"/>
        <v>179.2638853</v>
      </c>
      <c r="V201" s="99">
        <f t="shared" si="158"/>
        <v>182.849163</v>
      </c>
      <c r="W201" s="99">
        <f t="shared" si="158"/>
        <v>186.5061463</v>
      </c>
      <c r="X201" s="99">
        <f t="shared" si="158"/>
        <v>190.2362692</v>
      </c>
      <c r="Y201" s="99">
        <f t="shared" si="158"/>
        <v>194.0409946</v>
      </c>
      <c r="Z201" s="99">
        <f t="shared" si="158"/>
        <v>197.9218145</v>
      </c>
      <c r="AA201" s="99">
        <f t="shared" si="158"/>
        <v>201.8802507</v>
      </c>
      <c r="AB201" s="99">
        <f t="shared" si="158"/>
        <v>205.9178558</v>
      </c>
      <c r="AC201" s="99">
        <f t="shared" si="158"/>
        <v>210.0362129</v>
      </c>
      <c r="AD201" s="99">
        <f t="shared" si="158"/>
        <v>214.2369371</v>
      </c>
      <c r="AE201" s="99">
        <f t="shared" si="158"/>
        <v>218.5216759</v>
      </c>
      <c r="AF201" s="99">
        <f t="shared" si="158"/>
        <v>222.8921094</v>
      </c>
      <c r="AG201" s="99">
        <f t="shared" si="158"/>
        <v>227.3499516</v>
      </c>
      <c r="AH201" s="99">
        <f t="shared" si="158"/>
        <v>231.8969506</v>
      </c>
      <c r="AI201" s="99">
        <f t="shared" si="158"/>
        <v>236.5348896</v>
      </c>
      <c r="AJ201" s="99">
        <f t="shared" si="158"/>
        <v>241.2655874</v>
      </c>
      <c r="AK201" s="99">
        <f t="shared" si="158"/>
        <v>246.0908992</v>
      </c>
      <c r="AL201" s="99">
        <f t="shared" si="158"/>
        <v>251.0127172</v>
      </c>
      <c r="AM201" s="99">
        <f t="shared" si="158"/>
        <v>256.0329715</v>
      </c>
      <c r="AN201" s="99">
        <f t="shared" si="158"/>
        <v>261.1536309</v>
      </c>
      <c r="AO201" s="99">
        <f t="shared" si="158"/>
        <v>266.3767035</v>
      </c>
      <c r="AP201" s="99">
        <f t="shared" si="158"/>
        <v>271.7042376</v>
      </c>
      <c r="AQ201" s="99">
        <f t="shared" si="158"/>
        <v>277.1383224</v>
      </c>
      <c r="AR201" s="99">
        <f t="shared" si="158"/>
        <v>282.6810888</v>
      </c>
      <c r="AS201" s="99">
        <f t="shared" si="158"/>
        <v>288.3347106</v>
      </c>
      <c r="AT201" s="99">
        <f t="shared" si="158"/>
        <v>294.1014048</v>
      </c>
      <c r="AU201" s="99">
        <f t="shared" si="158"/>
        <v>299.9834329</v>
      </c>
      <c r="AV201" s="99">
        <f t="shared" si="158"/>
        <v>305.9831016</v>
      </c>
      <c r="AW201" s="67"/>
      <c r="AX201" s="90"/>
      <c r="AY201" s="90"/>
      <c r="AZ201" s="90"/>
      <c r="BA201" s="90"/>
      <c r="BB201" s="90"/>
      <c r="BC201" s="90"/>
      <c r="BD201" s="90"/>
      <c r="BE201" s="90"/>
      <c r="BF201" s="90"/>
      <c r="BG201" s="90"/>
    </row>
    <row r="202" ht="12.75" hidden="1" customHeight="1" outlineLevel="1">
      <c r="A202" s="316"/>
      <c r="B202" s="90"/>
      <c r="C202" s="90" t="s">
        <v>745</v>
      </c>
      <c r="D202" s="90"/>
      <c r="E202" s="90"/>
      <c r="F202" s="90"/>
      <c r="G202" s="90"/>
      <c r="H202" s="254"/>
      <c r="I202" s="99"/>
      <c r="J202" s="99"/>
      <c r="K202" s="99"/>
      <c r="L202" s="99">
        <f>'RSGen 1-7'!L204</f>
        <v>0</v>
      </c>
      <c r="M202" s="99">
        <f t="shared" ref="M202:AV202" si="159">L202*(1+M$194)</f>
        <v>0</v>
      </c>
      <c r="N202" s="99">
        <f t="shared" si="159"/>
        <v>0</v>
      </c>
      <c r="O202" s="99">
        <f t="shared" si="159"/>
        <v>0</v>
      </c>
      <c r="P202" s="99">
        <f t="shared" si="159"/>
        <v>0</v>
      </c>
      <c r="Q202" s="99">
        <f t="shared" si="159"/>
        <v>0</v>
      </c>
      <c r="R202" s="99">
        <f t="shared" si="159"/>
        <v>0</v>
      </c>
      <c r="S202" s="99">
        <f t="shared" si="159"/>
        <v>0</v>
      </c>
      <c r="T202" s="99">
        <f t="shared" si="159"/>
        <v>0</v>
      </c>
      <c r="U202" s="99">
        <f t="shared" si="159"/>
        <v>0</v>
      </c>
      <c r="V202" s="99">
        <f t="shared" si="159"/>
        <v>0</v>
      </c>
      <c r="W202" s="99">
        <f t="shared" si="159"/>
        <v>0</v>
      </c>
      <c r="X202" s="99">
        <f t="shared" si="159"/>
        <v>0</v>
      </c>
      <c r="Y202" s="99">
        <f t="shared" si="159"/>
        <v>0</v>
      </c>
      <c r="Z202" s="99">
        <f t="shared" si="159"/>
        <v>0</v>
      </c>
      <c r="AA202" s="99">
        <f t="shared" si="159"/>
        <v>0</v>
      </c>
      <c r="AB202" s="99">
        <f t="shared" si="159"/>
        <v>0</v>
      </c>
      <c r="AC202" s="99">
        <f t="shared" si="159"/>
        <v>0</v>
      </c>
      <c r="AD202" s="99">
        <f t="shared" si="159"/>
        <v>0</v>
      </c>
      <c r="AE202" s="99">
        <f t="shared" si="159"/>
        <v>0</v>
      </c>
      <c r="AF202" s="99">
        <f t="shared" si="159"/>
        <v>0</v>
      </c>
      <c r="AG202" s="99">
        <f t="shared" si="159"/>
        <v>0</v>
      </c>
      <c r="AH202" s="99">
        <f t="shared" si="159"/>
        <v>0</v>
      </c>
      <c r="AI202" s="99">
        <f t="shared" si="159"/>
        <v>0</v>
      </c>
      <c r="AJ202" s="99">
        <f t="shared" si="159"/>
        <v>0</v>
      </c>
      <c r="AK202" s="99">
        <f t="shared" si="159"/>
        <v>0</v>
      </c>
      <c r="AL202" s="99">
        <f t="shared" si="159"/>
        <v>0</v>
      </c>
      <c r="AM202" s="99">
        <f t="shared" si="159"/>
        <v>0</v>
      </c>
      <c r="AN202" s="99">
        <f t="shared" si="159"/>
        <v>0</v>
      </c>
      <c r="AO202" s="99">
        <f t="shared" si="159"/>
        <v>0</v>
      </c>
      <c r="AP202" s="99">
        <f t="shared" si="159"/>
        <v>0</v>
      </c>
      <c r="AQ202" s="99">
        <f t="shared" si="159"/>
        <v>0</v>
      </c>
      <c r="AR202" s="99">
        <f t="shared" si="159"/>
        <v>0</v>
      </c>
      <c r="AS202" s="99">
        <f t="shared" si="159"/>
        <v>0</v>
      </c>
      <c r="AT202" s="99">
        <f t="shared" si="159"/>
        <v>0</v>
      </c>
      <c r="AU202" s="99">
        <f t="shared" si="159"/>
        <v>0</v>
      </c>
      <c r="AV202" s="99">
        <f t="shared" si="159"/>
        <v>0</v>
      </c>
      <c r="AW202" s="67"/>
      <c r="AX202" s="90"/>
      <c r="AY202" s="90"/>
      <c r="AZ202" s="90"/>
      <c r="BA202" s="90"/>
      <c r="BB202" s="90"/>
      <c r="BC202" s="90"/>
      <c r="BD202" s="90"/>
      <c r="BE202" s="90"/>
      <c r="BF202" s="90"/>
      <c r="BG202" s="90"/>
    </row>
    <row r="203" ht="12.75" hidden="1" customHeight="1" outlineLevel="1">
      <c r="A203" s="316"/>
      <c r="B203" s="90"/>
      <c r="C203" s="90" t="s">
        <v>746</v>
      </c>
      <c r="D203" s="90"/>
      <c r="E203" s="90"/>
      <c r="F203" s="90"/>
      <c r="G203" s="90"/>
      <c r="H203" s="254"/>
      <c r="I203" s="99"/>
      <c r="J203" s="99"/>
      <c r="K203" s="99"/>
      <c r="L203" s="99">
        <f>'RSGen 1-7'!L205</f>
        <v>15000</v>
      </c>
      <c r="M203" s="99">
        <f t="shared" ref="M203:AV203" si="160">L203*(1+M$194)</f>
        <v>15300</v>
      </c>
      <c r="N203" s="99">
        <f t="shared" si="160"/>
        <v>15606</v>
      </c>
      <c r="O203" s="99">
        <f t="shared" si="160"/>
        <v>15918.12</v>
      </c>
      <c r="P203" s="99">
        <f t="shared" si="160"/>
        <v>16236.4824</v>
      </c>
      <c r="Q203" s="99">
        <f t="shared" si="160"/>
        <v>16561.21205</v>
      </c>
      <c r="R203" s="99">
        <f t="shared" si="160"/>
        <v>16892.43629</v>
      </c>
      <c r="S203" s="99">
        <f t="shared" si="160"/>
        <v>17230.28501</v>
      </c>
      <c r="T203" s="99">
        <f t="shared" si="160"/>
        <v>17574.89072</v>
      </c>
      <c r="U203" s="99">
        <f t="shared" si="160"/>
        <v>17926.38853</v>
      </c>
      <c r="V203" s="99">
        <f t="shared" si="160"/>
        <v>18284.9163</v>
      </c>
      <c r="W203" s="99">
        <f t="shared" si="160"/>
        <v>18650.61463</v>
      </c>
      <c r="X203" s="99">
        <f t="shared" si="160"/>
        <v>19023.62692</v>
      </c>
      <c r="Y203" s="99">
        <f t="shared" si="160"/>
        <v>19404.09946</v>
      </c>
      <c r="Z203" s="99">
        <f t="shared" si="160"/>
        <v>19792.18145</v>
      </c>
      <c r="AA203" s="99">
        <f t="shared" si="160"/>
        <v>20188.02507</v>
      </c>
      <c r="AB203" s="99">
        <f t="shared" si="160"/>
        <v>20591.78558</v>
      </c>
      <c r="AC203" s="99">
        <f t="shared" si="160"/>
        <v>21003.62129</v>
      </c>
      <c r="AD203" s="99">
        <f t="shared" si="160"/>
        <v>21423.69371</v>
      </c>
      <c r="AE203" s="99">
        <f t="shared" si="160"/>
        <v>21852.16759</v>
      </c>
      <c r="AF203" s="99">
        <f t="shared" si="160"/>
        <v>22289.21094</v>
      </c>
      <c r="AG203" s="99">
        <f t="shared" si="160"/>
        <v>22734.99516</v>
      </c>
      <c r="AH203" s="99">
        <f t="shared" si="160"/>
        <v>23189.69506</v>
      </c>
      <c r="AI203" s="99">
        <f t="shared" si="160"/>
        <v>23653.48896</v>
      </c>
      <c r="AJ203" s="99">
        <f t="shared" si="160"/>
        <v>24126.55874</v>
      </c>
      <c r="AK203" s="99">
        <f t="shared" si="160"/>
        <v>24609.08992</v>
      </c>
      <c r="AL203" s="99">
        <f t="shared" si="160"/>
        <v>25101.27172</v>
      </c>
      <c r="AM203" s="99">
        <f t="shared" si="160"/>
        <v>25603.29715</v>
      </c>
      <c r="AN203" s="99">
        <f t="shared" si="160"/>
        <v>26115.36309</v>
      </c>
      <c r="AO203" s="99">
        <f t="shared" si="160"/>
        <v>26637.67035</v>
      </c>
      <c r="AP203" s="99">
        <f t="shared" si="160"/>
        <v>27170.42376</v>
      </c>
      <c r="AQ203" s="99">
        <f t="shared" si="160"/>
        <v>27713.83224</v>
      </c>
      <c r="AR203" s="99">
        <f t="shared" si="160"/>
        <v>28268.10888</v>
      </c>
      <c r="AS203" s="99">
        <f t="shared" si="160"/>
        <v>28833.47106</v>
      </c>
      <c r="AT203" s="99">
        <f t="shared" si="160"/>
        <v>29410.14048</v>
      </c>
      <c r="AU203" s="99">
        <f t="shared" si="160"/>
        <v>29998.34329</v>
      </c>
      <c r="AV203" s="99">
        <f t="shared" si="160"/>
        <v>30598.31016</v>
      </c>
      <c r="AW203" s="67"/>
      <c r="AX203" s="90"/>
      <c r="AY203" s="90"/>
      <c r="AZ203" s="90"/>
      <c r="BA203" s="90"/>
      <c r="BB203" s="90"/>
      <c r="BC203" s="90"/>
      <c r="BD203" s="90"/>
      <c r="BE203" s="90"/>
      <c r="BF203" s="90"/>
      <c r="BG203" s="90"/>
    </row>
    <row r="204" ht="12.75" hidden="1" customHeight="1" outlineLevel="1">
      <c r="A204" s="316"/>
      <c r="B204" s="90"/>
      <c r="C204" s="90" t="s">
        <v>747</v>
      </c>
      <c r="D204" s="90"/>
      <c r="E204" s="90"/>
      <c r="F204" s="90"/>
      <c r="G204" s="90"/>
      <c r="H204" s="254"/>
      <c r="I204" s="99"/>
      <c r="J204" s="99"/>
      <c r="K204" s="99"/>
      <c r="L204" s="99">
        <f>'RSGen 1-7'!L206</f>
        <v>100</v>
      </c>
      <c r="M204" s="99">
        <f t="shared" ref="M204:AV204" si="161">L204*(1+M$194)</f>
        <v>102</v>
      </c>
      <c r="N204" s="99">
        <f t="shared" si="161"/>
        <v>104.04</v>
      </c>
      <c r="O204" s="99">
        <f t="shared" si="161"/>
        <v>106.1208</v>
      </c>
      <c r="P204" s="99">
        <f t="shared" si="161"/>
        <v>108.243216</v>
      </c>
      <c r="Q204" s="99">
        <f t="shared" si="161"/>
        <v>110.4080803</v>
      </c>
      <c r="R204" s="99">
        <f t="shared" si="161"/>
        <v>112.6162419</v>
      </c>
      <c r="S204" s="99">
        <f t="shared" si="161"/>
        <v>114.8685668</v>
      </c>
      <c r="T204" s="99">
        <f t="shared" si="161"/>
        <v>117.1659381</v>
      </c>
      <c r="U204" s="99">
        <f t="shared" si="161"/>
        <v>119.5092569</v>
      </c>
      <c r="V204" s="99">
        <f t="shared" si="161"/>
        <v>121.899442</v>
      </c>
      <c r="W204" s="99">
        <f t="shared" si="161"/>
        <v>124.3374308</v>
      </c>
      <c r="X204" s="99">
        <f t="shared" si="161"/>
        <v>126.8241795</v>
      </c>
      <c r="Y204" s="99">
        <f t="shared" si="161"/>
        <v>129.360663</v>
      </c>
      <c r="Z204" s="99">
        <f t="shared" si="161"/>
        <v>131.9478763</v>
      </c>
      <c r="AA204" s="99">
        <f t="shared" si="161"/>
        <v>134.5868338</v>
      </c>
      <c r="AB204" s="99">
        <f t="shared" si="161"/>
        <v>137.2785705</v>
      </c>
      <c r="AC204" s="99">
        <f t="shared" si="161"/>
        <v>140.0241419</v>
      </c>
      <c r="AD204" s="99">
        <f t="shared" si="161"/>
        <v>142.8246248</v>
      </c>
      <c r="AE204" s="99">
        <f t="shared" si="161"/>
        <v>145.6811173</v>
      </c>
      <c r="AF204" s="99">
        <f t="shared" si="161"/>
        <v>148.5947396</v>
      </c>
      <c r="AG204" s="99">
        <f t="shared" si="161"/>
        <v>151.5666344</v>
      </c>
      <c r="AH204" s="99">
        <f t="shared" si="161"/>
        <v>154.5979671</v>
      </c>
      <c r="AI204" s="99">
        <f t="shared" si="161"/>
        <v>157.6899264</v>
      </c>
      <c r="AJ204" s="99">
        <f t="shared" si="161"/>
        <v>160.8437249</v>
      </c>
      <c r="AK204" s="99">
        <f t="shared" si="161"/>
        <v>164.0605994</v>
      </c>
      <c r="AL204" s="99">
        <f t="shared" si="161"/>
        <v>167.3418114</v>
      </c>
      <c r="AM204" s="99">
        <f t="shared" si="161"/>
        <v>170.6886477</v>
      </c>
      <c r="AN204" s="99">
        <f t="shared" si="161"/>
        <v>174.1024206</v>
      </c>
      <c r="AO204" s="99">
        <f t="shared" si="161"/>
        <v>177.584469</v>
      </c>
      <c r="AP204" s="99">
        <f t="shared" si="161"/>
        <v>181.1361584</v>
      </c>
      <c r="AQ204" s="99">
        <f t="shared" si="161"/>
        <v>184.7588816</v>
      </c>
      <c r="AR204" s="99">
        <f t="shared" si="161"/>
        <v>188.4540592</v>
      </c>
      <c r="AS204" s="99">
        <f t="shared" si="161"/>
        <v>192.2231404</v>
      </c>
      <c r="AT204" s="99">
        <f t="shared" si="161"/>
        <v>196.0676032</v>
      </c>
      <c r="AU204" s="99">
        <f t="shared" si="161"/>
        <v>199.9889553</v>
      </c>
      <c r="AV204" s="99">
        <f t="shared" si="161"/>
        <v>203.9887344</v>
      </c>
      <c r="AW204" s="67"/>
      <c r="AX204" s="90"/>
      <c r="AY204" s="90"/>
      <c r="AZ204" s="90"/>
      <c r="BA204" s="90"/>
      <c r="BB204" s="90"/>
      <c r="BC204" s="90"/>
      <c r="BD204" s="90"/>
      <c r="BE204" s="90"/>
      <c r="BF204" s="90"/>
      <c r="BG204" s="90"/>
    </row>
    <row r="205" ht="12.75" hidden="1" customHeight="1" outlineLevel="1">
      <c r="A205" s="316"/>
      <c r="B205" s="90"/>
      <c r="C205" s="90" t="s">
        <v>748</v>
      </c>
      <c r="D205" s="90"/>
      <c r="E205" s="90"/>
      <c r="F205" s="90"/>
      <c r="G205" s="90"/>
      <c r="H205" s="254"/>
      <c r="I205" s="99"/>
      <c r="J205" s="99"/>
      <c r="K205" s="99"/>
      <c r="L205" s="99">
        <f>'RSGen 1-7'!L207</f>
        <v>10000</v>
      </c>
      <c r="M205" s="99">
        <f t="shared" ref="M205:AV205" si="162">L205*(1+M$194)</f>
        <v>10200</v>
      </c>
      <c r="N205" s="99">
        <f t="shared" si="162"/>
        <v>10404</v>
      </c>
      <c r="O205" s="99">
        <f t="shared" si="162"/>
        <v>10612.08</v>
      </c>
      <c r="P205" s="99">
        <f t="shared" si="162"/>
        <v>10824.3216</v>
      </c>
      <c r="Q205" s="99">
        <f t="shared" si="162"/>
        <v>11040.80803</v>
      </c>
      <c r="R205" s="99">
        <f t="shared" si="162"/>
        <v>11261.62419</v>
      </c>
      <c r="S205" s="99">
        <f t="shared" si="162"/>
        <v>11486.85668</v>
      </c>
      <c r="T205" s="99">
        <f t="shared" si="162"/>
        <v>11716.59381</v>
      </c>
      <c r="U205" s="99">
        <f t="shared" si="162"/>
        <v>11950.92569</v>
      </c>
      <c r="V205" s="99">
        <f t="shared" si="162"/>
        <v>12189.9442</v>
      </c>
      <c r="W205" s="99">
        <f t="shared" si="162"/>
        <v>12433.74308</v>
      </c>
      <c r="X205" s="99">
        <f t="shared" si="162"/>
        <v>12682.41795</v>
      </c>
      <c r="Y205" s="99">
        <f t="shared" si="162"/>
        <v>12936.0663</v>
      </c>
      <c r="Z205" s="99">
        <f t="shared" si="162"/>
        <v>13194.78763</v>
      </c>
      <c r="AA205" s="99">
        <f t="shared" si="162"/>
        <v>13458.68338</v>
      </c>
      <c r="AB205" s="99">
        <f t="shared" si="162"/>
        <v>13727.85705</v>
      </c>
      <c r="AC205" s="99">
        <f t="shared" si="162"/>
        <v>14002.41419</v>
      </c>
      <c r="AD205" s="99">
        <f t="shared" si="162"/>
        <v>14282.46248</v>
      </c>
      <c r="AE205" s="99">
        <f t="shared" si="162"/>
        <v>14568.11173</v>
      </c>
      <c r="AF205" s="99">
        <f t="shared" si="162"/>
        <v>14859.47396</v>
      </c>
      <c r="AG205" s="99">
        <f t="shared" si="162"/>
        <v>15156.66344</v>
      </c>
      <c r="AH205" s="99">
        <f t="shared" si="162"/>
        <v>15459.79671</v>
      </c>
      <c r="AI205" s="99">
        <f t="shared" si="162"/>
        <v>15768.99264</v>
      </c>
      <c r="AJ205" s="99">
        <f t="shared" si="162"/>
        <v>16084.37249</v>
      </c>
      <c r="AK205" s="99">
        <f t="shared" si="162"/>
        <v>16406.05994</v>
      </c>
      <c r="AL205" s="99">
        <f t="shared" si="162"/>
        <v>16734.18114</v>
      </c>
      <c r="AM205" s="99">
        <f t="shared" si="162"/>
        <v>17068.86477</v>
      </c>
      <c r="AN205" s="99">
        <f t="shared" si="162"/>
        <v>17410.24206</v>
      </c>
      <c r="AO205" s="99">
        <f t="shared" si="162"/>
        <v>17758.4469</v>
      </c>
      <c r="AP205" s="99">
        <f t="shared" si="162"/>
        <v>18113.61584</v>
      </c>
      <c r="AQ205" s="99">
        <f t="shared" si="162"/>
        <v>18475.88816</v>
      </c>
      <c r="AR205" s="99">
        <f t="shared" si="162"/>
        <v>18845.40592</v>
      </c>
      <c r="AS205" s="99">
        <f t="shared" si="162"/>
        <v>19222.31404</v>
      </c>
      <c r="AT205" s="99">
        <f t="shared" si="162"/>
        <v>19606.76032</v>
      </c>
      <c r="AU205" s="99">
        <f t="shared" si="162"/>
        <v>19998.89553</v>
      </c>
      <c r="AV205" s="99">
        <f t="shared" si="162"/>
        <v>20398.87344</v>
      </c>
      <c r="AW205" s="67"/>
      <c r="AX205" s="90"/>
      <c r="AY205" s="90"/>
      <c r="AZ205" s="90"/>
      <c r="BA205" s="90"/>
      <c r="BB205" s="90"/>
      <c r="BC205" s="90"/>
      <c r="BD205" s="90"/>
      <c r="BE205" s="90"/>
      <c r="BF205" s="90"/>
      <c r="BG205" s="90"/>
    </row>
    <row r="206" ht="12.75" hidden="1" customHeight="1" outlineLevel="1">
      <c r="A206" s="316"/>
      <c r="B206" s="90"/>
      <c r="C206" s="90" t="s">
        <v>749</v>
      </c>
      <c r="D206" s="90"/>
      <c r="E206" s="90"/>
      <c r="F206" s="90"/>
      <c r="G206" s="90"/>
      <c r="H206" s="254"/>
      <c r="I206" s="99"/>
      <c r="J206" s="99"/>
      <c r="K206" s="99"/>
      <c r="L206" s="99">
        <f>'RSGen 1-7'!L208</f>
        <v>750</v>
      </c>
      <c r="M206" s="99">
        <f t="shared" ref="M206:AV206" si="163">L206*(1+M$194)</f>
        <v>765</v>
      </c>
      <c r="N206" s="99">
        <f t="shared" si="163"/>
        <v>780.3</v>
      </c>
      <c r="O206" s="99">
        <f t="shared" si="163"/>
        <v>795.906</v>
      </c>
      <c r="P206" s="99">
        <f t="shared" si="163"/>
        <v>811.82412</v>
      </c>
      <c r="Q206" s="99">
        <f t="shared" si="163"/>
        <v>828.0606024</v>
      </c>
      <c r="R206" s="99">
        <f t="shared" si="163"/>
        <v>844.6218144</v>
      </c>
      <c r="S206" s="99">
        <f t="shared" si="163"/>
        <v>861.5142507</v>
      </c>
      <c r="T206" s="99">
        <f t="shared" si="163"/>
        <v>878.7445358</v>
      </c>
      <c r="U206" s="99">
        <f t="shared" si="163"/>
        <v>896.3194265</v>
      </c>
      <c r="V206" s="99">
        <f t="shared" si="163"/>
        <v>914.245815</v>
      </c>
      <c r="W206" s="99">
        <f t="shared" si="163"/>
        <v>932.5307313</v>
      </c>
      <c r="X206" s="99">
        <f t="shared" si="163"/>
        <v>951.1813459</v>
      </c>
      <c r="Y206" s="99">
        <f t="shared" si="163"/>
        <v>970.2049728</v>
      </c>
      <c r="Z206" s="99">
        <f t="shared" si="163"/>
        <v>989.6090723</v>
      </c>
      <c r="AA206" s="99">
        <f t="shared" si="163"/>
        <v>1009.401254</v>
      </c>
      <c r="AB206" s="99">
        <f t="shared" si="163"/>
        <v>1029.589279</v>
      </c>
      <c r="AC206" s="99">
        <f t="shared" si="163"/>
        <v>1050.181064</v>
      </c>
      <c r="AD206" s="99">
        <f t="shared" si="163"/>
        <v>1071.184686</v>
      </c>
      <c r="AE206" s="99">
        <f t="shared" si="163"/>
        <v>1092.608379</v>
      </c>
      <c r="AF206" s="99">
        <f t="shared" si="163"/>
        <v>1114.460547</v>
      </c>
      <c r="AG206" s="99">
        <f t="shared" si="163"/>
        <v>1136.749758</v>
      </c>
      <c r="AH206" s="99">
        <f t="shared" si="163"/>
        <v>1159.484753</v>
      </c>
      <c r="AI206" s="99">
        <f t="shared" si="163"/>
        <v>1182.674448</v>
      </c>
      <c r="AJ206" s="99">
        <f t="shared" si="163"/>
        <v>1206.327937</v>
      </c>
      <c r="AK206" s="99">
        <f t="shared" si="163"/>
        <v>1230.454496</v>
      </c>
      <c r="AL206" s="99">
        <f t="shared" si="163"/>
        <v>1255.063586</v>
      </c>
      <c r="AM206" s="99">
        <f t="shared" si="163"/>
        <v>1280.164857</v>
      </c>
      <c r="AN206" s="99">
        <f t="shared" si="163"/>
        <v>1305.768155</v>
      </c>
      <c r="AO206" s="99">
        <f t="shared" si="163"/>
        <v>1331.883518</v>
      </c>
      <c r="AP206" s="99">
        <f t="shared" si="163"/>
        <v>1358.521188</v>
      </c>
      <c r="AQ206" s="99">
        <f t="shared" si="163"/>
        <v>1385.691612</v>
      </c>
      <c r="AR206" s="99">
        <f t="shared" si="163"/>
        <v>1413.405444</v>
      </c>
      <c r="AS206" s="99">
        <f t="shared" si="163"/>
        <v>1441.673553</v>
      </c>
      <c r="AT206" s="99">
        <f t="shared" si="163"/>
        <v>1470.507024</v>
      </c>
      <c r="AU206" s="99">
        <f t="shared" si="163"/>
        <v>1499.917164</v>
      </c>
      <c r="AV206" s="99">
        <f t="shared" si="163"/>
        <v>1529.915508</v>
      </c>
      <c r="AW206" s="67"/>
      <c r="AX206" s="90"/>
      <c r="AY206" s="90"/>
      <c r="AZ206" s="90"/>
      <c r="BA206" s="90"/>
      <c r="BB206" s="90"/>
      <c r="BC206" s="90"/>
      <c r="BD206" s="90"/>
      <c r="BE206" s="90"/>
      <c r="BF206" s="90"/>
      <c r="BG206" s="90"/>
    </row>
    <row r="207" ht="12.75" hidden="1" customHeight="1" outlineLevel="1">
      <c r="A207" s="316"/>
      <c r="B207" s="90"/>
      <c r="C207" s="90" t="s">
        <v>750</v>
      </c>
      <c r="D207" s="90"/>
      <c r="E207" s="90"/>
      <c r="F207" s="90"/>
      <c r="G207" s="90"/>
      <c r="H207" s="254"/>
      <c r="I207" s="99"/>
      <c r="J207" s="99"/>
      <c r="K207" s="99"/>
      <c r="L207" s="99">
        <f>'RSGen 1-7'!L209</f>
        <v>440</v>
      </c>
      <c r="M207" s="99">
        <f t="shared" ref="M207:AV207" si="164">L207*(1+M$194)</f>
        <v>448.8</v>
      </c>
      <c r="N207" s="99">
        <f t="shared" si="164"/>
        <v>457.776</v>
      </c>
      <c r="O207" s="99">
        <f t="shared" si="164"/>
        <v>466.93152</v>
      </c>
      <c r="P207" s="99">
        <f t="shared" si="164"/>
        <v>476.2701504</v>
      </c>
      <c r="Q207" s="99">
        <f t="shared" si="164"/>
        <v>485.7955534</v>
      </c>
      <c r="R207" s="99">
        <f t="shared" si="164"/>
        <v>495.5114645</v>
      </c>
      <c r="S207" s="99">
        <f t="shared" si="164"/>
        <v>505.4216938</v>
      </c>
      <c r="T207" s="99">
        <f t="shared" si="164"/>
        <v>515.5301276</v>
      </c>
      <c r="U207" s="99">
        <f t="shared" si="164"/>
        <v>525.8407302</v>
      </c>
      <c r="V207" s="99">
        <f t="shared" si="164"/>
        <v>536.3575448</v>
      </c>
      <c r="W207" s="99">
        <f t="shared" si="164"/>
        <v>547.0846957</v>
      </c>
      <c r="X207" s="99">
        <f t="shared" si="164"/>
        <v>558.0263896</v>
      </c>
      <c r="Y207" s="99">
        <f t="shared" si="164"/>
        <v>569.1869174</v>
      </c>
      <c r="Z207" s="99">
        <f t="shared" si="164"/>
        <v>580.5706557</v>
      </c>
      <c r="AA207" s="99">
        <f t="shared" si="164"/>
        <v>592.1820689</v>
      </c>
      <c r="AB207" s="99">
        <f t="shared" si="164"/>
        <v>604.0257102</v>
      </c>
      <c r="AC207" s="99">
        <f t="shared" si="164"/>
        <v>616.1062244</v>
      </c>
      <c r="AD207" s="99">
        <f t="shared" si="164"/>
        <v>628.4283489</v>
      </c>
      <c r="AE207" s="99">
        <f t="shared" si="164"/>
        <v>640.9969159</v>
      </c>
      <c r="AF207" s="99">
        <f t="shared" si="164"/>
        <v>653.8168542</v>
      </c>
      <c r="AG207" s="99">
        <f t="shared" si="164"/>
        <v>666.8931913</v>
      </c>
      <c r="AH207" s="99">
        <f t="shared" si="164"/>
        <v>680.2310551</v>
      </c>
      <c r="AI207" s="99">
        <f t="shared" si="164"/>
        <v>693.8356762</v>
      </c>
      <c r="AJ207" s="99">
        <f t="shared" si="164"/>
        <v>707.7123898</v>
      </c>
      <c r="AK207" s="99">
        <f t="shared" si="164"/>
        <v>721.8666376</v>
      </c>
      <c r="AL207" s="99">
        <f t="shared" si="164"/>
        <v>736.3039703</v>
      </c>
      <c r="AM207" s="99">
        <f t="shared" si="164"/>
        <v>751.0300497</v>
      </c>
      <c r="AN207" s="99">
        <f t="shared" si="164"/>
        <v>766.0506507</v>
      </c>
      <c r="AO207" s="99">
        <f t="shared" si="164"/>
        <v>781.3716637</v>
      </c>
      <c r="AP207" s="99">
        <f t="shared" si="164"/>
        <v>796.999097</v>
      </c>
      <c r="AQ207" s="99">
        <f t="shared" si="164"/>
        <v>812.9390789</v>
      </c>
      <c r="AR207" s="99">
        <f t="shared" si="164"/>
        <v>829.1978605</v>
      </c>
      <c r="AS207" s="99">
        <f t="shared" si="164"/>
        <v>845.7818177</v>
      </c>
      <c r="AT207" s="99">
        <f t="shared" si="164"/>
        <v>862.6974541</v>
      </c>
      <c r="AU207" s="99">
        <f t="shared" si="164"/>
        <v>879.9514032</v>
      </c>
      <c r="AV207" s="99">
        <f t="shared" si="164"/>
        <v>897.5504312</v>
      </c>
      <c r="AW207" s="67"/>
      <c r="AX207" s="90"/>
      <c r="AY207" s="90"/>
      <c r="AZ207" s="90"/>
      <c r="BA207" s="90"/>
      <c r="BB207" s="90"/>
      <c r="BC207" s="90"/>
      <c r="BD207" s="90"/>
      <c r="BE207" s="90"/>
      <c r="BF207" s="90"/>
      <c r="BG207" s="90"/>
    </row>
    <row r="208" ht="12.75" hidden="1" customHeight="1" outlineLevel="1">
      <c r="A208" s="316"/>
      <c r="B208" s="90"/>
      <c r="C208" s="90"/>
      <c r="D208" s="90"/>
      <c r="E208" s="90"/>
      <c r="F208" s="90"/>
      <c r="G208" s="90"/>
      <c r="H208" s="254"/>
      <c r="I208" s="99"/>
      <c r="J208" s="99"/>
      <c r="K208" s="99"/>
      <c r="L208" s="99"/>
      <c r="M208" s="99"/>
      <c r="N208" s="99"/>
      <c r="O208" s="99"/>
      <c r="P208" s="99"/>
      <c r="Q208" s="99"/>
      <c r="R208" s="99"/>
      <c r="S208" s="99"/>
      <c r="T208" s="99"/>
      <c r="U208" s="99"/>
      <c r="V208" s="99"/>
      <c r="W208" s="99"/>
      <c r="X208" s="99"/>
      <c r="Y208" s="99"/>
      <c r="Z208" s="99"/>
      <c r="AA208" s="99"/>
      <c r="AB208" s="99"/>
      <c r="AC208" s="99"/>
      <c r="AD208" s="99"/>
      <c r="AE208" s="99"/>
      <c r="AF208" s="99"/>
      <c r="AG208" s="99"/>
      <c r="AH208" s="99"/>
      <c r="AI208" s="99"/>
      <c r="AJ208" s="99"/>
      <c r="AK208" s="99"/>
      <c r="AL208" s="99"/>
      <c r="AM208" s="99"/>
      <c r="AN208" s="99"/>
      <c r="AO208" s="99"/>
      <c r="AP208" s="99"/>
      <c r="AQ208" s="99"/>
      <c r="AR208" s="99"/>
      <c r="AS208" s="99"/>
      <c r="AT208" s="99"/>
      <c r="AU208" s="99"/>
      <c r="AV208" s="99"/>
      <c r="AW208" s="67"/>
      <c r="AX208" s="90"/>
      <c r="AY208" s="90"/>
      <c r="AZ208" s="90"/>
      <c r="BA208" s="90"/>
      <c r="BB208" s="90"/>
      <c r="BC208" s="90"/>
      <c r="BD208" s="90"/>
      <c r="BE208" s="90"/>
      <c r="BF208" s="90"/>
      <c r="BG208" s="90"/>
    </row>
    <row r="209" ht="12.75" hidden="1" customHeight="1" outlineLevel="1">
      <c r="A209" s="316"/>
      <c r="B209" s="90"/>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c r="AE209" s="90"/>
      <c r="AF209" s="90"/>
      <c r="AG209" s="90"/>
      <c r="AH209" s="90"/>
      <c r="AI209" s="90"/>
      <c r="AJ209" s="90"/>
      <c r="AK209" s="90"/>
      <c r="AL209" s="90"/>
      <c r="AM209" s="90"/>
      <c r="AN209" s="90"/>
      <c r="AO209" s="90"/>
      <c r="AP209" s="90"/>
      <c r="AQ209" s="90"/>
      <c r="AR209" s="90"/>
      <c r="AS209" s="90"/>
      <c r="AT209" s="90"/>
      <c r="AU209" s="90"/>
      <c r="AV209" s="90"/>
      <c r="AW209" s="90"/>
      <c r="AX209" s="90"/>
      <c r="AY209" s="90"/>
      <c r="AZ209" s="90"/>
      <c r="BA209" s="90"/>
      <c r="BB209" s="90"/>
      <c r="BC209" s="90"/>
      <c r="BD209" s="90"/>
      <c r="BE209" s="90"/>
      <c r="BF209" s="90"/>
      <c r="BG209" s="90"/>
    </row>
    <row r="210" ht="12.75" hidden="1" customHeight="1" outlineLevel="1">
      <c r="A210" s="316"/>
      <c r="B210" s="67" t="s">
        <v>626</v>
      </c>
      <c r="C210" s="90"/>
      <c r="D210" s="90"/>
      <c r="E210" s="90"/>
      <c r="F210" s="90"/>
      <c r="G210" s="254"/>
      <c r="H210" s="99"/>
      <c r="I210" s="99"/>
      <c r="J210" s="99"/>
      <c r="K210" s="99"/>
      <c r="L210" s="99"/>
      <c r="M210" s="99"/>
      <c r="N210" s="99"/>
      <c r="O210" s="99"/>
      <c r="P210" s="99"/>
      <c r="Q210" s="99"/>
      <c r="R210" s="99"/>
      <c r="S210" s="99"/>
      <c r="T210" s="99"/>
      <c r="U210" s="99"/>
      <c r="V210" s="99"/>
      <c r="W210" s="99"/>
      <c r="X210" s="99"/>
      <c r="Y210" s="99"/>
      <c r="Z210" s="99"/>
      <c r="AA210" s="99"/>
      <c r="AB210" s="99"/>
      <c r="AC210" s="99"/>
      <c r="AD210" s="99"/>
      <c r="AE210" s="99"/>
      <c r="AF210" s="99"/>
      <c r="AG210" s="99"/>
      <c r="AH210" s="99"/>
      <c r="AI210" s="99"/>
      <c r="AJ210" s="99"/>
      <c r="AK210" s="99"/>
      <c r="AL210" s="99"/>
      <c r="AM210" s="99"/>
      <c r="AN210" s="99"/>
      <c r="AO210" s="99"/>
      <c r="AP210" s="99"/>
      <c r="AQ210" s="99"/>
      <c r="AR210" s="99"/>
      <c r="AS210" s="99"/>
      <c r="AT210" s="99"/>
      <c r="AU210" s="99"/>
      <c r="AV210" s="99"/>
      <c r="AW210" s="90"/>
      <c r="AX210" s="90"/>
      <c r="AY210" s="90"/>
      <c r="AZ210" s="90"/>
      <c r="BA210" s="90"/>
      <c r="BB210" s="90"/>
      <c r="BC210" s="90"/>
      <c r="BD210" s="90"/>
      <c r="BE210" s="90"/>
      <c r="BF210" s="90"/>
      <c r="BG210" s="90"/>
    </row>
    <row r="211" ht="12.75" hidden="1" customHeight="1" outlineLevel="1">
      <c r="A211" s="316"/>
      <c r="B211" s="90"/>
      <c r="C211" s="90" t="s">
        <v>751</v>
      </c>
      <c r="D211" s="90"/>
      <c r="E211" s="90"/>
      <c r="F211" s="90"/>
      <c r="G211" s="254"/>
      <c r="H211" s="99"/>
      <c r="I211" s="254">
        <v>12000.0</v>
      </c>
      <c r="J211" s="99"/>
      <c r="K211" s="99"/>
      <c r="L211" s="99">
        <f>'RSGen 1-7'!K212</f>
        <v>3500</v>
      </c>
      <c r="M211" s="99">
        <f t="shared" ref="M211:AV211" si="165">L211*(1+M$194)</f>
        <v>3570</v>
      </c>
      <c r="N211" s="99">
        <f t="shared" si="165"/>
        <v>3641.4</v>
      </c>
      <c r="O211" s="99">
        <f t="shared" si="165"/>
        <v>3714.228</v>
      </c>
      <c r="P211" s="99">
        <f t="shared" si="165"/>
        <v>3788.51256</v>
      </c>
      <c r="Q211" s="99">
        <f t="shared" si="165"/>
        <v>3864.282811</v>
      </c>
      <c r="R211" s="99">
        <f t="shared" si="165"/>
        <v>3941.568467</v>
      </c>
      <c r="S211" s="99">
        <f t="shared" si="165"/>
        <v>4020.399837</v>
      </c>
      <c r="T211" s="99">
        <f t="shared" si="165"/>
        <v>4100.807834</v>
      </c>
      <c r="U211" s="99">
        <f t="shared" si="165"/>
        <v>4182.82399</v>
      </c>
      <c r="V211" s="99">
        <f t="shared" si="165"/>
        <v>4266.48047</v>
      </c>
      <c r="W211" s="99">
        <f t="shared" si="165"/>
        <v>4351.810079</v>
      </c>
      <c r="X211" s="99">
        <f t="shared" si="165"/>
        <v>4438.846281</v>
      </c>
      <c r="Y211" s="99">
        <f t="shared" si="165"/>
        <v>4527.623207</v>
      </c>
      <c r="Z211" s="99">
        <f t="shared" si="165"/>
        <v>4618.175671</v>
      </c>
      <c r="AA211" s="99">
        <f t="shared" si="165"/>
        <v>4710.539184</v>
      </c>
      <c r="AB211" s="99">
        <f t="shared" si="165"/>
        <v>4804.749968</v>
      </c>
      <c r="AC211" s="99">
        <f t="shared" si="165"/>
        <v>4900.844967</v>
      </c>
      <c r="AD211" s="99">
        <f t="shared" si="165"/>
        <v>4998.861867</v>
      </c>
      <c r="AE211" s="99">
        <f t="shared" si="165"/>
        <v>5098.839104</v>
      </c>
      <c r="AF211" s="99">
        <f t="shared" si="165"/>
        <v>5200.815886</v>
      </c>
      <c r="AG211" s="99">
        <f t="shared" si="165"/>
        <v>5304.832204</v>
      </c>
      <c r="AH211" s="99">
        <f t="shared" si="165"/>
        <v>5410.928848</v>
      </c>
      <c r="AI211" s="99">
        <f t="shared" si="165"/>
        <v>5519.147425</v>
      </c>
      <c r="AJ211" s="99">
        <f t="shared" si="165"/>
        <v>5629.530373</v>
      </c>
      <c r="AK211" s="99">
        <f t="shared" si="165"/>
        <v>5742.120981</v>
      </c>
      <c r="AL211" s="99">
        <f t="shared" si="165"/>
        <v>5856.9634</v>
      </c>
      <c r="AM211" s="99">
        <f t="shared" si="165"/>
        <v>5974.102668</v>
      </c>
      <c r="AN211" s="99">
        <f t="shared" si="165"/>
        <v>6093.584722</v>
      </c>
      <c r="AO211" s="99">
        <f t="shared" si="165"/>
        <v>6215.456416</v>
      </c>
      <c r="AP211" s="99">
        <f t="shared" si="165"/>
        <v>6339.765544</v>
      </c>
      <c r="AQ211" s="99">
        <f t="shared" si="165"/>
        <v>6466.560855</v>
      </c>
      <c r="AR211" s="99">
        <f t="shared" si="165"/>
        <v>6595.892072</v>
      </c>
      <c r="AS211" s="99">
        <f t="shared" si="165"/>
        <v>6727.809914</v>
      </c>
      <c r="AT211" s="99">
        <f t="shared" si="165"/>
        <v>6862.366112</v>
      </c>
      <c r="AU211" s="99">
        <f t="shared" si="165"/>
        <v>6999.613434</v>
      </c>
      <c r="AV211" s="99">
        <f t="shared" si="165"/>
        <v>7139.605703</v>
      </c>
      <c r="AW211" s="67"/>
      <c r="AX211" s="90"/>
      <c r="AY211" s="90"/>
      <c r="AZ211" s="90"/>
      <c r="BA211" s="90"/>
      <c r="BB211" s="90"/>
      <c r="BC211" s="90"/>
      <c r="BD211" s="90"/>
      <c r="BE211" s="90"/>
      <c r="BF211" s="90"/>
      <c r="BG211" s="90"/>
    </row>
    <row r="212" ht="12.75" hidden="1" customHeight="1" outlineLevel="1">
      <c r="A212" s="316"/>
      <c r="B212" s="90"/>
      <c r="C212" s="90" t="s">
        <v>752</v>
      </c>
      <c r="D212" s="90"/>
      <c r="E212" s="90"/>
      <c r="F212" s="90"/>
      <c r="G212" s="90"/>
      <c r="H212" s="254"/>
      <c r="I212" s="254">
        <v>1500.0</v>
      </c>
      <c r="J212" s="99"/>
      <c r="K212" s="99"/>
      <c r="L212" s="99">
        <f>'RSGen 1-7'!K213</f>
        <v>700</v>
      </c>
      <c r="M212" s="99">
        <f t="shared" ref="M212:AV212" si="166">L212*(1+M$194)</f>
        <v>714</v>
      </c>
      <c r="N212" s="99">
        <f t="shared" si="166"/>
        <v>728.28</v>
      </c>
      <c r="O212" s="99">
        <f t="shared" si="166"/>
        <v>742.8456</v>
      </c>
      <c r="P212" s="99">
        <f t="shared" si="166"/>
        <v>757.702512</v>
      </c>
      <c r="Q212" s="99">
        <f t="shared" si="166"/>
        <v>772.8565622</v>
      </c>
      <c r="R212" s="99">
        <f t="shared" si="166"/>
        <v>788.3136935</v>
      </c>
      <c r="S212" s="99">
        <f t="shared" si="166"/>
        <v>804.0799674</v>
      </c>
      <c r="T212" s="99">
        <f t="shared" si="166"/>
        <v>820.1615667</v>
      </c>
      <c r="U212" s="99">
        <f t="shared" si="166"/>
        <v>836.564798</v>
      </c>
      <c r="V212" s="99">
        <f t="shared" si="166"/>
        <v>853.296094</v>
      </c>
      <c r="W212" s="99">
        <f t="shared" si="166"/>
        <v>870.3620159</v>
      </c>
      <c r="X212" s="99">
        <f t="shared" si="166"/>
        <v>887.7692562</v>
      </c>
      <c r="Y212" s="99">
        <f t="shared" si="166"/>
        <v>905.5246413</v>
      </c>
      <c r="Z212" s="99">
        <f t="shared" si="166"/>
        <v>923.6351341</v>
      </c>
      <c r="AA212" s="99">
        <f t="shared" si="166"/>
        <v>942.1078368</v>
      </c>
      <c r="AB212" s="99">
        <f t="shared" si="166"/>
        <v>960.9499936</v>
      </c>
      <c r="AC212" s="99">
        <f t="shared" si="166"/>
        <v>980.1689934</v>
      </c>
      <c r="AD212" s="99">
        <f t="shared" si="166"/>
        <v>999.7723733</v>
      </c>
      <c r="AE212" s="99">
        <f t="shared" si="166"/>
        <v>1019.767821</v>
      </c>
      <c r="AF212" s="99">
        <f t="shared" si="166"/>
        <v>1040.163177</v>
      </c>
      <c r="AG212" s="99">
        <f t="shared" si="166"/>
        <v>1060.966441</v>
      </c>
      <c r="AH212" s="99">
        <f t="shared" si="166"/>
        <v>1082.18577</v>
      </c>
      <c r="AI212" s="99">
        <f t="shared" si="166"/>
        <v>1103.829485</v>
      </c>
      <c r="AJ212" s="99">
        <f t="shared" si="166"/>
        <v>1125.906075</v>
      </c>
      <c r="AK212" s="99">
        <f t="shared" si="166"/>
        <v>1148.424196</v>
      </c>
      <c r="AL212" s="99">
        <f t="shared" si="166"/>
        <v>1171.39268</v>
      </c>
      <c r="AM212" s="99">
        <f t="shared" si="166"/>
        <v>1194.820534</v>
      </c>
      <c r="AN212" s="99">
        <f t="shared" si="166"/>
        <v>1218.716944</v>
      </c>
      <c r="AO212" s="99">
        <f t="shared" si="166"/>
        <v>1243.091283</v>
      </c>
      <c r="AP212" s="99">
        <f t="shared" si="166"/>
        <v>1267.953109</v>
      </c>
      <c r="AQ212" s="99">
        <f t="shared" si="166"/>
        <v>1293.312171</v>
      </c>
      <c r="AR212" s="99">
        <f t="shared" si="166"/>
        <v>1319.178414</v>
      </c>
      <c r="AS212" s="99">
        <f t="shared" si="166"/>
        <v>1345.561983</v>
      </c>
      <c r="AT212" s="99">
        <f t="shared" si="166"/>
        <v>1372.473222</v>
      </c>
      <c r="AU212" s="99">
        <f t="shared" si="166"/>
        <v>1399.922687</v>
      </c>
      <c r="AV212" s="99">
        <f t="shared" si="166"/>
        <v>1427.921141</v>
      </c>
      <c r="AW212" s="67"/>
      <c r="AX212" s="90"/>
      <c r="AY212" s="90"/>
      <c r="AZ212" s="90"/>
      <c r="BA212" s="90"/>
      <c r="BB212" s="90"/>
      <c r="BC212" s="90"/>
      <c r="BD212" s="90"/>
      <c r="BE212" s="90"/>
      <c r="BF212" s="90"/>
      <c r="BG212" s="90"/>
    </row>
    <row r="213" ht="12.75" hidden="1" customHeight="1" outlineLevel="1">
      <c r="A213" s="316"/>
      <c r="B213" s="90"/>
      <c r="C213" s="90" t="s">
        <v>753</v>
      </c>
      <c r="D213" s="90"/>
      <c r="E213" s="90"/>
      <c r="F213" s="90"/>
      <c r="G213" s="90"/>
      <c r="H213" s="254"/>
      <c r="I213" s="254">
        <v>2500.0</v>
      </c>
      <c r="J213" s="254"/>
      <c r="K213" s="99"/>
      <c r="L213" s="99" t="str">
        <f>'RSGen 1-7'!K214</f>
        <v/>
      </c>
      <c r="M213" s="99">
        <f t="shared" ref="M213:AV213" si="167">L213*(1+M$194)</f>
        <v>0</v>
      </c>
      <c r="N213" s="99">
        <f t="shared" si="167"/>
        <v>0</v>
      </c>
      <c r="O213" s="99">
        <f t="shared" si="167"/>
        <v>0</v>
      </c>
      <c r="P213" s="99">
        <f t="shared" si="167"/>
        <v>0</v>
      </c>
      <c r="Q213" s="99">
        <f t="shared" si="167"/>
        <v>0</v>
      </c>
      <c r="R213" s="99">
        <f t="shared" si="167"/>
        <v>0</v>
      </c>
      <c r="S213" s="99">
        <f t="shared" si="167"/>
        <v>0</v>
      </c>
      <c r="T213" s="99">
        <f t="shared" si="167"/>
        <v>0</v>
      </c>
      <c r="U213" s="99">
        <f t="shared" si="167"/>
        <v>0</v>
      </c>
      <c r="V213" s="99">
        <f t="shared" si="167"/>
        <v>0</v>
      </c>
      <c r="W213" s="99">
        <f t="shared" si="167"/>
        <v>0</v>
      </c>
      <c r="X213" s="99">
        <f t="shared" si="167"/>
        <v>0</v>
      </c>
      <c r="Y213" s="99">
        <f t="shared" si="167"/>
        <v>0</v>
      </c>
      <c r="Z213" s="99">
        <f t="shared" si="167"/>
        <v>0</v>
      </c>
      <c r="AA213" s="99">
        <f t="shared" si="167"/>
        <v>0</v>
      </c>
      <c r="AB213" s="99">
        <f t="shared" si="167"/>
        <v>0</v>
      </c>
      <c r="AC213" s="99">
        <f t="shared" si="167"/>
        <v>0</v>
      </c>
      <c r="AD213" s="99">
        <f t="shared" si="167"/>
        <v>0</v>
      </c>
      <c r="AE213" s="99">
        <f t="shared" si="167"/>
        <v>0</v>
      </c>
      <c r="AF213" s="99">
        <f t="shared" si="167"/>
        <v>0</v>
      </c>
      <c r="AG213" s="99">
        <f t="shared" si="167"/>
        <v>0</v>
      </c>
      <c r="AH213" s="99">
        <f t="shared" si="167"/>
        <v>0</v>
      </c>
      <c r="AI213" s="99">
        <f t="shared" si="167"/>
        <v>0</v>
      </c>
      <c r="AJ213" s="99">
        <f t="shared" si="167"/>
        <v>0</v>
      </c>
      <c r="AK213" s="99">
        <f t="shared" si="167"/>
        <v>0</v>
      </c>
      <c r="AL213" s="99">
        <f t="shared" si="167"/>
        <v>0</v>
      </c>
      <c r="AM213" s="99">
        <f t="shared" si="167"/>
        <v>0</v>
      </c>
      <c r="AN213" s="99">
        <f t="shared" si="167"/>
        <v>0</v>
      </c>
      <c r="AO213" s="99">
        <f t="shared" si="167"/>
        <v>0</v>
      </c>
      <c r="AP213" s="99">
        <f t="shared" si="167"/>
        <v>0</v>
      </c>
      <c r="AQ213" s="99">
        <f t="shared" si="167"/>
        <v>0</v>
      </c>
      <c r="AR213" s="99">
        <f t="shared" si="167"/>
        <v>0</v>
      </c>
      <c r="AS213" s="99">
        <f t="shared" si="167"/>
        <v>0</v>
      </c>
      <c r="AT213" s="99">
        <f t="shared" si="167"/>
        <v>0</v>
      </c>
      <c r="AU213" s="99">
        <f t="shared" si="167"/>
        <v>0</v>
      </c>
      <c r="AV213" s="99">
        <f t="shared" si="167"/>
        <v>0</v>
      </c>
      <c r="AW213" s="67" t="s">
        <v>1204</v>
      </c>
      <c r="AX213" s="90"/>
      <c r="AY213" s="90"/>
      <c r="AZ213" s="90"/>
      <c r="BA213" s="90"/>
      <c r="BB213" s="90"/>
      <c r="BC213" s="90"/>
      <c r="BD213" s="90"/>
      <c r="BE213" s="90"/>
      <c r="BF213" s="90"/>
      <c r="BG213" s="90"/>
    </row>
    <row r="214" ht="12.75" hidden="1" customHeight="1" outlineLevel="1">
      <c r="A214" s="316"/>
      <c r="B214" s="90"/>
      <c r="C214" s="90" t="s">
        <v>754</v>
      </c>
      <c r="D214" s="90"/>
      <c r="E214" s="90"/>
      <c r="F214" s="90"/>
      <c r="G214" s="90"/>
      <c r="H214" s="254"/>
      <c r="I214" s="254"/>
      <c r="J214" s="254"/>
      <c r="K214" s="99"/>
      <c r="L214" s="99">
        <f>'RSGen 1-7'!K215</f>
        <v>25000</v>
      </c>
      <c r="M214" s="99">
        <f t="shared" ref="M214:AV214" si="168">L214*(1+M$194)</f>
        <v>25500</v>
      </c>
      <c r="N214" s="99">
        <f t="shared" si="168"/>
        <v>26010</v>
      </c>
      <c r="O214" s="99">
        <f t="shared" si="168"/>
        <v>26530.2</v>
      </c>
      <c r="P214" s="99">
        <f t="shared" si="168"/>
        <v>27060.804</v>
      </c>
      <c r="Q214" s="99">
        <f t="shared" si="168"/>
        <v>27602.02008</v>
      </c>
      <c r="R214" s="99">
        <f t="shared" si="168"/>
        <v>28154.06048</v>
      </c>
      <c r="S214" s="99">
        <f t="shared" si="168"/>
        <v>28717.14169</v>
      </c>
      <c r="T214" s="99">
        <f t="shared" si="168"/>
        <v>29291.48453</v>
      </c>
      <c r="U214" s="99">
        <f t="shared" si="168"/>
        <v>29877.31422</v>
      </c>
      <c r="V214" s="99">
        <f t="shared" si="168"/>
        <v>30474.8605</v>
      </c>
      <c r="W214" s="99">
        <f t="shared" si="168"/>
        <v>31084.35771</v>
      </c>
      <c r="X214" s="99">
        <f t="shared" si="168"/>
        <v>31706.04486</v>
      </c>
      <c r="Y214" s="99">
        <f t="shared" si="168"/>
        <v>32340.16576</v>
      </c>
      <c r="Z214" s="99">
        <f t="shared" si="168"/>
        <v>32986.96908</v>
      </c>
      <c r="AA214" s="99">
        <f t="shared" si="168"/>
        <v>33646.70846</v>
      </c>
      <c r="AB214" s="99">
        <f t="shared" si="168"/>
        <v>34319.64263</v>
      </c>
      <c r="AC214" s="99">
        <f t="shared" si="168"/>
        <v>35006.03548</v>
      </c>
      <c r="AD214" s="99">
        <f t="shared" si="168"/>
        <v>35706.15619</v>
      </c>
      <c r="AE214" s="99">
        <f t="shared" si="168"/>
        <v>36420.27931</v>
      </c>
      <c r="AF214" s="99">
        <f t="shared" si="168"/>
        <v>37148.6849</v>
      </c>
      <c r="AG214" s="99">
        <f t="shared" si="168"/>
        <v>37891.6586</v>
      </c>
      <c r="AH214" s="99">
        <f t="shared" si="168"/>
        <v>38649.49177</v>
      </c>
      <c r="AI214" s="99">
        <f t="shared" si="168"/>
        <v>39422.4816</v>
      </c>
      <c r="AJ214" s="99">
        <f t="shared" si="168"/>
        <v>40210.93124</v>
      </c>
      <c r="AK214" s="99">
        <f t="shared" si="168"/>
        <v>41015.14986</v>
      </c>
      <c r="AL214" s="99">
        <f t="shared" si="168"/>
        <v>41835.45286</v>
      </c>
      <c r="AM214" s="99">
        <f t="shared" si="168"/>
        <v>42672.16192</v>
      </c>
      <c r="AN214" s="99">
        <f t="shared" si="168"/>
        <v>43525.60515</v>
      </c>
      <c r="AO214" s="99">
        <f t="shared" si="168"/>
        <v>44396.11726</v>
      </c>
      <c r="AP214" s="99">
        <f t="shared" si="168"/>
        <v>45284.0396</v>
      </c>
      <c r="AQ214" s="99">
        <f t="shared" si="168"/>
        <v>46189.72039</v>
      </c>
      <c r="AR214" s="99">
        <f t="shared" si="168"/>
        <v>47113.5148</v>
      </c>
      <c r="AS214" s="99">
        <f t="shared" si="168"/>
        <v>48055.7851</v>
      </c>
      <c r="AT214" s="99">
        <f t="shared" si="168"/>
        <v>49016.9008</v>
      </c>
      <c r="AU214" s="99">
        <f t="shared" si="168"/>
        <v>49997.23882</v>
      </c>
      <c r="AV214" s="99">
        <f t="shared" si="168"/>
        <v>50997.18359</v>
      </c>
      <c r="AW214" s="67"/>
      <c r="AX214" s="90"/>
      <c r="AY214" s="90"/>
      <c r="AZ214" s="90"/>
      <c r="BA214" s="90"/>
      <c r="BB214" s="90"/>
      <c r="BC214" s="90"/>
      <c r="BD214" s="90"/>
      <c r="BE214" s="90"/>
      <c r="BF214" s="90"/>
      <c r="BG214" s="90"/>
    </row>
    <row r="215" ht="12.75" hidden="1" customHeight="1" outlineLevel="1">
      <c r="A215" s="316"/>
      <c r="B215" s="90"/>
      <c r="C215" s="90" t="s">
        <v>755</v>
      </c>
      <c r="D215" s="90"/>
      <c r="E215" s="90"/>
      <c r="F215" s="90"/>
      <c r="G215" s="254"/>
      <c r="H215" s="254"/>
      <c r="I215" s="254">
        <v>13000.0</v>
      </c>
      <c r="J215" s="254"/>
      <c r="K215" s="99"/>
      <c r="L215" s="99">
        <f>'RSGen 1-7'!K216</f>
        <v>65000</v>
      </c>
      <c r="M215" s="99">
        <f t="shared" ref="M215:AV215" si="169">L215*(1+M$194)</f>
        <v>66300</v>
      </c>
      <c r="N215" s="99">
        <f t="shared" si="169"/>
        <v>67626</v>
      </c>
      <c r="O215" s="99">
        <f t="shared" si="169"/>
        <v>68978.52</v>
      </c>
      <c r="P215" s="99">
        <f t="shared" si="169"/>
        <v>70358.0904</v>
      </c>
      <c r="Q215" s="99">
        <f t="shared" si="169"/>
        <v>71765.25221</v>
      </c>
      <c r="R215" s="99">
        <f t="shared" si="169"/>
        <v>73200.55725</v>
      </c>
      <c r="S215" s="99">
        <f t="shared" si="169"/>
        <v>74664.5684</v>
      </c>
      <c r="T215" s="99">
        <f t="shared" si="169"/>
        <v>76157.85977</v>
      </c>
      <c r="U215" s="99">
        <f t="shared" si="169"/>
        <v>77681.01696</v>
      </c>
      <c r="V215" s="99">
        <f t="shared" si="169"/>
        <v>79234.6373</v>
      </c>
      <c r="W215" s="99">
        <f t="shared" si="169"/>
        <v>80819.33005</v>
      </c>
      <c r="X215" s="99">
        <f t="shared" si="169"/>
        <v>82435.71665</v>
      </c>
      <c r="Y215" s="99">
        <f t="shared" si="169"/>
        <v>84084.43098</v>
      </c>
      <c r="Z215" s="99">
        <f t="shared" si="169"/>
        <v>85766.1196</v>
      </c>
      <c r="AA215" s="99">
        <f t="shared" si="169"/>
        <v>87481.44199</v>
      </c>
      <c r="AB215" s="99">
        <f t="shared" si="169"/>
        <v>89231.07083</v>
      </c>
      <c r="AC215" s="99">
        <f t="shared" si="169"/>
        <v>91015.69225</v>
      </c>
      <c r="AD215" s="99">
        <f t="shared" si="169"/>
        <v>92836.00609</v>
      </c>
      <c r="AE215" s="99">
        <f t="shared" si="169"/>
        <v>94692.72621</v>
      </c>
      <c r="AF215" s="99">
        <f t="shared" si="169"/>
        <v>96586.58074</v>
      </c>
      <c r="AG215" s="99">
        <f t="shared" si="169"/>
        <v>98518.31235</v>
      </c>
      <c r="AH215" s="99">
        <f t="shared" si="169"/>
        <v>100488.6786</v>
      </c>
      <c r="AI215" s="99">
        <f t="shared" si="169"/>
        <v>102498.4522</v>
      </c>
      <c r="AJ215" s="99">
        <f t="shared" si="169"/>
        <v>104548.4212</v>
      </c>
      <c r="AK215" s="99">
        <f t="shared" si="169"/>
        <v>106639.3896</v>
      </c>
      <c r="AL215" s="99">
        <f t="shared" si="169"/>
        <v>108772.1774</v>
      </c>
      <c r="AM215" s="99">
        <f t="shared" si="169"/>
        <v>110947.621</v>
      </c>
      <c r="AN215" s="99">
        <f t="shared" si="169"/>
        <v>113166.5734</v>
      </c>
      <c r="AO215" s="99">
        <f t="shared" si="169"/>
        <v>115429.9049</v>
      </c>
      <c r="AP215" s="99">
        <f t="shared" si="169"/>
        <v>117738.503</v>
      </c>
      <c r="AQ215" s="99">
        <f t="shared" si="169"/>
        <v>120093.273</v>
      </c>
      <c r="AR215" s="99">
        <f t="shared" si="169"/>
        <v>122495.1385</v>
      </c>
      <c r="AS215" s="99">
        <f t="shared" si="169"/>
        <v>124945.0413</v>
      </c>
      <c r="AT215" s="99">
        <f t="shared" si="169"/>
        <v>127443.9421</v>
      </c>
      <c r="AU215" s="99">
        <f t="shared" si="169"/>
        <v>129992.8209</v>
      </c>
      <c r="AV215" s="99">
        <f t="shared" si="169"/>
        <v>132592.6773</v>
      </c>
      <c r="AW215" s="67"/>
      <c r="AX215" s="90"/>
      <c r="AY215" s="90"/>
      <c r="AZ215" s="90"/>
      <c r="BA215" s="90"/>
      <c r="BB215" s="90"/>
      <c r="BC215" s="90"/>
      <c r="BD215" s="90"/>
      <c r="BE215" s="90"/>
      <c r="BF215" s="90"/>
      <c r="BG215" s="90"/>
    </row>
    <row r="216" ht="12.75" hidden="1" customHeight="1" outlineLevel="1">
      <c r="A216" s="316"/>
      <c r="B216" s="90"/>
      <c r="C216" s="90" t="s">
        <v>756</v>
      </c>
      <c r="D216" s="90"/>
      <c r="E216" s="90"/>
      <c r="F216" s="90"/>
      <c r="G216" s="99"/>
      <c r="H216" s="99"/>
      <c r="I216" s="99" t="str">
        <f>'[4]'!I80</f>
        <v>#REF!</v>
      </c>
      <c r="J216" s="99"/>
      <c r="K216" s="99"/>
      <c r="L216" s="99">
        <f>'RSGen 1-7'!K217</f>
        <v>2000</v>
      </c>
      <c r="M216" s="99">
        <f t="shared" ref="M216:AV216" si="170">L216*(1+M$194)</f>
        <v>2040</v>
      </c>
      <c r="N216" s="99">
        <f t="shared" si="170"/>
        <v>2080.8</v>
      </c>
      <c r="O216" s="99">
        <f t="shared" si="170"/>
        <v>2122.416</v>
      </c>
      <c r="P216" s="99">
        <f t="shared" si="170"/>
        <v>2164.86432</v>
      </c>
      <c r="Q216" s="99">
        <f t="shared" si="170"/>
        <v>2208.161606</v>
      </c>
      <c r="R216" s="99">
        <f t="shared" si="170"/>
        <v>2252.324839</v>
      </c>
      <c r="S216" s="99">
        <f t="shared" si="170"/>
        <v>2297.371335</v>
      </c>
      <c r="T216" s="99">
        <f t="shared" si="170"/>
        <v>2343.318762</v>
      </c>
      <c r="U216" s="99">
        <f t="shared" si="170"/>
        <v>2390.185137</v>
      </c>
      <c r="V216" s="99">
        <f t="shared" si="170"/>
        <v>2437.98884</v>
      </c>
      <c r="W216" s="99">
        <f t="shared" si="170"/>
        <v>2486.748617</v>
      </c>
      <c r="X216" s="99">
        <f t="shared" si="170"/>
        <v>2536.483589</v>
      </c>
      <c r="Y216" s="99">
        <f t="shared" si="170"/>
        <v>2587.213261</v>
      </c>
      <c r="Z216" s="99">
        <f t="shared" si="170"/>
        <v>2638.957526</v>
      </c>
      <c r="AA216" s="99">
        <f t="shared" si="170"/>
        <v>2691.736677</v>
      </c>
      <c r="AB216" s="99">
        <f t="shared" si="170"/>
        <v>2745.57141</v>
      </c>
      <c r="AC216" s="99">
        <f t="shared" si="170"/>
        <v>2800.482838</v>
      </c>
      <c r="AD216" s="99">
        <f t="shared" si="170"/>
        <v>2856.492495</v>
      </c>
      <c r="AE216" s="99">
        <f t="shared" si="170"/>
        <v>2913.622345</v>
      </c>
      <c r="AF216" s="99">
        <f t="shared" si="170"/>
        <v>2971.894792</v>
      </c>
      <c r="AG216" s="99">
        <f t="shared" si="170"/>
        <v>3031.332688</v>
      </c>
      <c r="AH216" s="99">
        <f t="shared" si="170"/>
        <v>3091.959342</v>
      </c>
      <c r="AI216" s="99">
        <f t="shared" si="170"/>
        <v>3153.798528</v>
      </c>
      <c r="AJ216" s="99">
        <f t="shared" si="170"/>
        <v>3216.874499</v>
      </c>
      <c r="AK216" s="99">
        <f t="shared" si="170"/>
        <v>3281.211989</v>
      </c>
      <c r="AL216" s="99">
        <f t="shared" si="170"/>
        <v>3346.836229</v>
      </c>
      <c r="AM216" s="99">
        <f t="shared" si="170"/>
        <v>3413.772953</v>
      </c>
      <c r="AN216" s="99">
        <f t="shared" si="170"/>
        <v>3482.048412</v>
      </c>
      <c r="AO216" s="99">
        <f t="shared" si="170"/>
        <v>3551.689381</v>
      </c>
      <c r="AP216" s="99">
        <f t="shared" si="170"/>
        <v>3622.723168</v>
      </c>
      <c r="AQ216" s="99">
        <f t="shared" si="170"/>
        <v>3695.177632</v>
      </c>
      <c r="AR216" s="99">
        <f t="shared" si="170"/>
        <v>3769.081184</v>
      </c>
      <c r="AS216" s="99">
        <f t="shared" si="170"/>
        <v>3844.462808</v>
      </c>
      <c r="AT216" s="99">
        <f t="shared" si="170"/>
        <v>3921.352064</v>
      </c>
      <c r="AU216" s="99">
        <f t="shared" si="170"/>
        <v>3999.779105</v>
      </c>
      <c r="AV216" s="99">
        <f t="shared" si="170"/>
        <v>4079.774687</v>
      </c>
      <c r="AW216" s="90"/>
      <c r="AX216" s="90"/>
      <c r="AY216" s="90"/>
      <c r="AZ216" s="90"/>
      <c r="BA216" s="90"/>
      <c r="BB216" s="90"/>
      <c r="BC216" s="90"/>
      <c r="BD216" s="90"/>
      <c r="BE216" s="90"/>
      <c r="BF216" s="90"/>
      <c r="BG216" s="90"/>
    </row>
    <row r="217" ht="12.75" hidden="1" customHeight="1" outlineLevel="1">
      <c r="A217" s="316"/>
      <c r="B217" s="90"/>
      <c r="C217" s="90" t="s">
        <v>757</v>
      </c>
      <c r="D217" s="90"/>
      <c r="E217" s="90"/>
      <c r="F217" s="90"/>
      <c r="G217" s="254"/>
      <c r="H217" s="254"/>
      <c r="I217" s="254"/>
      <c r="J217" s="254"/>
      <c r="K217" s="254"/>
      <c r="L217" s="99" t="str">
        <f>'RSGen 1-7'!K218</f>
        <v/>
      </c>
      <c r="M217" s="254"/>
      <c r="N217" s="254"/>
      <c r="O217" s="254"/>
      <c r="P217" s="254"/>
      <c r="Q217" s="254"/>
      <c r="R217" s="254"/>
      <c r="S217" s="254"/>
      <c r="T217" s="254"/>
      <c r="U217" s="254"/>
      <c r="V217" s="254"/>
      <c r="W217" s="254"/>
      <c r="X217" s="254"/>
      <c r="Y217" s="254"/>
      <c r="Z217" s="254"/>
      <c r="AA217" s="254"/>
      <c r="AB217" s="254"/>
      <c r="AC217" s="254"/>
      <c r="AD217" s="254"/>
      <c r="AE217" s="254"/>
      <c r="AF217" s="254"/>
      <c r="AG217" s="254"/>
      <c r="AH217" s="254"/>
      <c r="AI217" s="254"/>
      <c r="AJ217" s="254"/>
      <c r="AK217" s="254"/>
      <c r="AL217" s="254"/>
      <c r="AM217" s="254"/>
      <c r="AN217" s="254"/>
      <c r="AO217" s="254"/>
      <c r="AP217" s="254"/>
      <c r="AQ217" s="254"/>
      <c r="AR217" s="254"/>
      <c r="AS217" s="254"/>
      <c r="AT217" s="254"/>
      <c r="AU217" s="254"/>
      <c r="AV217" s="254"/>
      <c r="AW217" s="67"/>
      <c r="AX217" s="90"/>
      <c r="AY217" s="90"/>
      <c r="AZ217" s="90"/>
      <c r="BA217" s="90"/>
      <c r="BB217" s="90"/>
      <c r="BC217" s="90"/>
      <c r="BD217" s="90"/>
      <c r="BE217" s="90"/>
      <c r="BF217" s="90"/>
      <c r="BG217" s="90"/>
    </row>
    <row r="218" ht="12.75" hidden="1" customHeight="1" outlineLevel="1">
      <c r="A218" s="316"/>
      <c r="B218" s="90"/>
      <c r="C218" s="90"/>
      <c r="D218" s="90" t="s">
        <v>339</v>
      </c>
      <c r="E218" s="90"/>
      <c r="F218" s="90"/>
      <c r="G218" s="254"/>
      <c r="H218" s="254"/>
      <c r="I218" s="254">
        <v>1000.0</v>
      </c>
      <c r="J218" s="254"/>
      <c r="K218" s="99"/>
      <c r="L218" s="99">
        <f>'RSGen 1-7'!K219</f>
        <v>600</v>
      </c>
      <c r="M218" s="99">
        <f t="shared" ref="M218:AV218" si="171">L218*(1+M$194)</f>
        <v>612</v>
      </c>
      <c r="N218" s="99">
        <f t="shared" si="171"/>
        <v>624.24</v>
      </c>
      <c r="O218" s="99">
        <f t="shared" si="171"/>
        <v>636.7248</v>
      </c>
      <c r="P218" s="99">
        <f t="shared" si="171"/>
        <v>649.459296</v>
      </c>
      <c r="Q218" s="99">
        <f t="shared" si="171"/>
        <v>662.4484819</v>
      </c>
      <c r="R218" s="99">
        <f t="shared" si="171"/>
        <v>675.6974516</v>
      </c>
      <c r="S218" s="99">
        <f t="shared" si="171"/>
        <v>689.2114006</v>
      </c>
      <c r="T218" s="99">
        <f t="shared" si="171"/>
        <v>702.9956286</v>
      </c>
      <c r="U218" s="99">
        <f t="shared" si="171"/>
        <v>717.0555412</v>
      </c>
      <c r="V218" s="99">
        <f t="shared" si="171"/>
        <v>731.396652</v>
      </c>
      <c r="W218" s="99">
        <f t="shared" si="171"/>
        <v>746.024585</v>
      </c>
      <c r="X218" s="99">
        <f t="shared" si="171"/>
        <v>760.9450767</v>
      </c>
      <c r="Y218" s="99">
        <f t="shared" si="171"/>
        <v>776.1639783</v>
      </c>
      <c r="Z218" s="99">
        <f t="shared" si="171"/>
        <v>791.6872578</v>
      </c>
      <c r="AA218" s="99">
        <f t="shared" si="171"/>
        <v>807.521003</v>
      </c>
      <c r="AB218" s="99">
        <f t="shared" si="171"/>
        <v>823.6714231</v>
      </c>
      <c r="AC218" s="99">
        <f t="shared" si="171"/>
        <v>840.1448515</v>
      </c>
      <c r="AD218" s="99">
        <f t="shared" si="171"/>
        <v>856.9477485</v>
      </c>
      <c r="AE218" s="99">
        <f t="shared" si="171"/>
        <v>874.0867035</v>
      </c>
      <c r="AF218" s="99">
        <f t="shared" si="171"/>
        <v>891.5684376</v>
      </c>
      <c r="AG218" s="99">
        <f t="shared" si="171"/>
        <v>909.3998063</v>
      </c>
      <c r="AH218" s="99">
        <f t="shared" si="171"/>
        <v>927.5878025</v>
      </c>
      <c r="AI218" s="99">
        <f t="shared" si="171"/>
        <v>946.1395585</v>
      </c>
      <c r="AJ218" s="99">
        <f t="shared" si="171"/>
        <v>965.0623497</v>
      </c>
      <c r="AK218" s="99">
        <f t="shared" si="171"/>
        <v>984.3635967</v>
      </c>
      <c r="AL218" s="99">
        <f t="shared" si="171"/>
        <v>1004.050869</v>
      </c>
      <c r="AM218" s="99">
        <f t="shared" si="171"/>
        <v>1024.131886</v>
      </c>
      <c r="AN218" s="99">
        <f t="shared" si="171"/>
        <v>1044.614524</v>
      </c>
      <c r="AO218" s="99">
        <f t="shared" si="171"/>
        <v>1065.506814</v>
      </c>
      <c r="AP218" s="99">
        <f t="shared" si="171"/>
        <v>1086.81695</v>
      </c>
      <c r="AQ218" s="99">
        <f t="shared" si="171"/>
        <v>1108.553289</v>
      </c>
      <c r="AR218" s="99">
        <f t="shared" si="171"/>
        <v>1130.724355</v>
      </c>
      <c r="AS218" s="99">
        <f t="shared" si="171"/>
        <v>1153.338842</v>
      </c>
      <c r="AT218" s="99">
        <f t="shared" si="171"/>
        <v>1176.405619</v>
      </c>
      <c r="AU218" s="99">
        <f t="shared" si="171"/>
        <v>1199.933732</v>
      </c>
      <c r="AV218" s="99">
        <f t="shared" si="171"/>
        <v>1223.932406</v>
      </c>
      <c r="AW218" s="67"/>
      <c r="AX218" s="90"/>
      <c r="AY218" s="90"/>
      <c r="AZ218" s="90"/>
      <c r="BA218" s="90"/>
      <c r="BB218" s="90"/>
      <c r="BC218" s="90"/>
      <c r="BD218" s="90"/>
      <c r="BE218" s="90"/>
      <c r="BF218" s="90"/>
      <c r="BG218" s="90"/>
    </row>
    <row r="219" ht="12.75" hidden="1" customHeight="1" outlineLevel="1">
      <c r="A219" s="316"/>
      <c r="B219" s="90"/>
      <c r="C219" s="90"/>
      <c r="D219" s="90" t="s">
        <v>758</v>
      </c>
      <c r="E219" s="90"/>
      <c r="F219" s="90"/>
      <c r="G219" s="254"/>
      <c r="H219" s="254"/>
      <c r="I219" s="254">
        <v>8000.0</v>
      </c>
      <c r="J219" s="254"/>
      <c r="K219" s="99"/>
      <c r="L219" s="99">
        <f>'RSGen 1-7'!K220</f>
        <v>30000</v>
      </c>
      <c r="M219" s="99">
        <f t="shared" ref="M219:AV219" si="172">L219*(1+M$194)</f>
        <v>30600</v>
      </c>
      <c r="N219" s="99">
        <f t="shared" si="172"/>
        <v>31212</v>
      </c>
      <c r="O219" s="99">
        <f t="shared" si="172"/>
        <v>31836.24</v>
      </c>
      <c r="P219" s="99">
        <f t="shared" si="172"/>
        <v>32472.9648</v>
      </c>
      <c r="Q219" s="99">
        <f t="shared" si="172"/>
        <v>33122.4241</v>
      </c>
      <c r="R219" s="99">
        <f t="shared" si="172"/>
        <v>33784.87258</v>
      </c>
      <c r="S219" s="99">
        <f t="shared" si="172"/>
        <v>34460.57003</v>
      </c>
      <c r="T219" s="99">
        <f t="shared" si="172"/>
        <v>35149.78143</v>
      </c>
      <c r="U219" s="99">
        <f t="shared" si="172"/>
        <v>35852.77706</v>
      </c>
      <c r="V219" s="99">
        <f t="shared" si="172"/>
        <v>36569.8326</v>
      </c>
      <c r="W219" s="99">
        <f t="shared" si="172"/>
        <v>37301.22925</v>
      </c>
      <c r="X219" s="99">
        <f t="shared" si="172"/>
        <v>38047.25384</v>
      </c>
      <c r="Y219" s="99">
        <f t="shared" si="172"/>
        <v>38808.19891</v>
      </c>
      <c r="Z219" s="99">
        <f t="shared" si="172"/>
        <v>39584.36289</v>
      </c>
      <c r="AA219" s="99">
        <f t="shared" si="172"/>
        <v>40376.05015</v>
      </c>
      <c r="AB219" s="99">
        <f t="shared" si="172"/>
        <v>41183.57115</v>
      </c>
      <c r="AC219" s="99">
        <f t="shared" si="172"/>
        <v>42007.24258</v>
      </c>
      <c r="AD219" s="99">
        <f t="shared" si="172"/>
        <v>42847.38743</v>
      </c>
      <c r="AE219" s="99">
        <f t="shared" si="172"/>
        <v>43704.33518</v>
      </c>
      <c r="AF219" s="99">
        <f t="shared" si="172"/>
        <v>44578.42188</v>
      </c>
      <c r="AG219" s="99">
        <f t="shared" si="172"/>
        <v>45469.99032</v>
      </c>
      <c r="AH219" s="99">
        <f t="shared" si="172"/>
        <v>46379.39012</v>
      </c>
      <c r="AI219" s="99">
        <f t="shared" si="172"/>
        <v>47306.97793</v>
      </c>
      <c r="AJ219" s="99">
        <f t="shared" si="172"/>
        <v>48253.11748</v>
      </c>
      <c r="AK219" s="99">
        <f t="shared" si="172"/>
        <v>49218.17983</v>
      </c>
      <c r="AL219" s="99">
        <f t="shared" si="172"/>
        <v>50202.54343</v>
      </c>
      <c r="AM219" s="99">
        <f t="shared" si="172"/>
        <v>51206.5943</v>
      </c>
      <c r="AN219" s="99">
        <f t="shared" si="172"/>
        <v>52230.72619</v>
      </c>
      <c r="AO219" s="99">
        <f t="shared" si="172"/>
        <v>53275.34071</v>
      </c>
      <c r="AP219" s="99">
        <f t="shared" si="172"/>
        <v>54340.84752</v>
      </c>
      <c r="AQ219" s="99">
        <f t="shared" si="172"/>
        <v>55427.66447</v>
      </c>
      <c r="AR219" s="99">
        <f t="shared" si="172"/>
        <v>56536.21776</v>
      </c>
      <c r="AS219" s="99">
        <f t="shared" si="172"/>
        <v>57666.94212</v>
      </c>
      <c r="AT219" s="99">
        <f t="shared" si="172"/>
        <v>58820.28096</v>
      </c>
      <c r="AU219" s="99">
        <f t="shared" si="172"/>
        <v>59996.68658</v>
      </c>
      <c r="AV219" s="99">
        <f t="shared" si="172"/>
        <v>61196.62031</v>
      </c>
      <c r="AW219" s="67"/>
      <c r="AX219" s="90"/>
      <c r="AY219" s="90"/>
      <c r="AZ219" s="90"/>
      <c r="BA219" s="90"/>
      <c r="BB219" s="90"/>
      <c r="BC219" s="90"/>
      <c r="BD219" s="90"/>
      <c r="BE219" s="90"/>
      <c r="BF219" s="90"/>
      <c r="BG219" s="90"/>
    </row>
    <row r="220" ht="12.75" hidden="1" customHeight="1" outlineLevel="1">
      <c r="A220" s="316"/>
      <c r="B220" s="90"/>
      <c r="C220" s="90"/>
      <c r="D220" s="90" t="s">
        <v>376</v>
      </c>
      <c r="E220" s="90"/>
      <c r="F220" s="90"/>
      <c r="G220" s="254"/>
      <c r="H220" s="254"/>
      <c r="I220" s="254">
        <v>14000.0</v>
      </c>
      <c r="J220" s="254"/>
      <c r="K220" s="99"/>
      <c r="L220" s="99">
        <f>'RSGen 1-7'!K221</f>
        <v>8000</v>
      </c>
      <c r="M220" s="99">
        <f t="shared" ref="M220:AV220" si="173">L220*(1+M$194)</f>
        <v>8160</v>
      </c>
      <c r="N220" s="99">
        <f t="shared" si="173"/>
        <v>8323.2</v>
      </c>
      <c r="O220" s="99">
        <f t="shared" si="173"/>
        <v>8489.664</v>
      </c>
      <c r="P220" s="93">
        <f t="shared" si="173"/>
        <v>8659.45728</v>
      </c>
      <c r="Q220" s="93">
        <f t="shared" si="173"/>
        <v>8832.646426</v>
      </c>
      <c r="R220" s="93">
        <f t="shared" si="173"/>
        <v>9009.299354</v>
      </c>
      <c r="S220" s="93">
        <f t="shared" si="173"/>
        <v>9189.485341</v>
      </c>
      <c r="T220" s="93">
        <f t="shared" si="173"/>
        <v>9373.275048</v>
      </c>
      <c r="U220" s="93">
        <f t="shared" si="173"/>
        <v>9560.740549</v>
      </c>
      <c r="V220" s="93">
        <f t="shared" si="173"/>
        <v>9751.95536</v>
      </c>
      <c r="W220" s="93">
        <f t="shared" si="173"/>
        <v>9946.994467</v>
      </c>
      <c r="X220" s="93">
        <f t="shared" si="173"/>
        <v>10145.93436</v>
      </c>
      <c r="Y220" s="93">
        <f t="shared" si="173"/>
        <v>10348.85304</v>
      </c>
      <c r="Z220" s="93">
        <f t="shared" si="173"/>
        <v>10555.8301</v>
      </c>
      <c r="AA220" s="93">
        <f t="shared" si="173"/>
        <v>10766.94671</v>
      </c>
      <c r="AB220" s="93">
        <f t="shared" si="173"/>
        <v>10982.28564</v>
      </c>
      <c r="AC220" s="93">
        <f t="shared" si="173"/>
        <v>11201.93135</v>
      </c>
      <c r="AD220" s="93">
        <f t="shared" si="173"/>
        <v>11425.96998</v>
      </c>
      <c r="AE220" s="93">
        <f t="shared" si="173"/>
        <v>11654.48938</v>
      </c>
      <c r="AF220" s="93">
        <f t="shared" si="173"/>
        <v>11887.57917</v>
      </c>
      <c r="AG220" s="93">
        <f t="shared" si="173"/>
        <v>12125.33075</v>
      </c>
      <c r="AH220" s="93">
        <f t="shared" si="173"/>
        <v>12367.83737</v>
      </c>
      <c r="AI220" s="93">
        <f t="shared" si="173"/>
        <v>12615.19411</v>
      </c>
      <c r="AJ220" s="93">
        <f t="shared" si="173"/>
        <v>12867.498</v>
      </c>
      <c r="AK220" s="93">
        <f t="shared" si="173"/>
        <v>13124.84796</v>
      </c>
      <c r="AL220" s="93">
        <f t="shared" si="173"/>
        <v>13387.34491</v>
      </c>
      <c r="AM220" s="93">
        <f t="shared" si="173"/>
        <v>13655.09181</v>
      </c>
      <c r="AN220" s="93">
        <f t="shared" si="173"/>
        <v>13928.19365</v>
      </c>
      <c r="AO220" s="93">
        <f t="shared" si="173"/>
        <v>14206.75752</v>
      </c>
      <c r="AP220" s="93">
        <f t="shared" si="173"/>
        <v>14490.89267</v>
      </c>
      <c r="AQ220" s="93">
        <f t="shared" si="173"/>
        <v>14780.71053</v>
      </c>
      <c r="AR220" s="93">
        <f t="shared" si="173"/>
        <v>15076.32474</v>
      </c>
      <c r="AS220" s="93">
        <f t="shared" si="173"/>
        <v>15377.85123</v>
      </c>
      <c r="AT220" s="93">
        <f t="shared" si="173"/>
        <v>15685.40826</v>
      </c>
      <c r="AU220" s="93">
        <f t="shared" si="173"/>
        <v>15999.11642</v>
      </c>
      <c r="AV220" s="93">
        <f t="shared" si="173"/>
        <v>16319.09875</v>
      </c>
      <c r="AW220" s="115"/>
      <c r="AX220" s="93"/>
      <c r="AY220" s="93"/>
      <c r="AZ220" s="90"/>
      <c r="BA220" s="90"/>
      <c r="BB220" s="90"/>
      <c r="BC220" s="90"/>
      <c r="BD220" s="90"/>
      <c r="BE220" s="90"/>
      <c r="BF220" s="90"/>
      <c r="BG220" s="90"/>
    </row>
    <row r="221" ht="12.75" hidden="1" customHeight="1" outlineLevel="1">
      <c r="A221" s="316"/>
      <c r="B221" s="90"/>
      <c r="C221" s="90"/>
      <c r="D221" s="90" t="s">
        <v>759</v>
      </c>
      <c r="E221" s="90"/>
      <c r="F221" s="90"/>
      <c r="G221" s="254"/>
      <c r="H221" s="254"/>
      <c r="I221" s="254">
        <v>7776.0</v>
      </c>
      <c r="J221" s="254"/>
      <c r="K221" s="99"/>
      <c r="L221" s="99">
        <f>'RSGen 1-7'!K222</f>
        <v>1000</v>
      </c>
      <c r="M221" s="99">
        <f t="shared" ref="M221:AV221" si="174">L221*(1+M$194)</f>
        <v>1020</v>
      </c>
      <c r="N221" s="99">
        <f t="shared" si="174"/>
        <v>1040.4</v>
      </c>
      <c r="O221" s="99">
        <f t="shared" si="174"/>
        <v>1061.208</v>
      </c>
      <c r="P221" s="93">
        <f t="shared" si="174"/>
        <v>1082.43216</v>
      </c>
      <c r="Q221" s="93">
        <f t="shared" si="174"/>
        <v>1104.080803</v>
      </c>
      <c r="R221" s="93">
        <f t="shared" si="174"/>
        <v>1126.162419</v>
      </c>
      <c r="S221" s="93">
        <f t="shared" si="174"/>
        <v>1148.685668</v>
      </c>
      <c r="T221" s="93">
        <f t="shared" si="174"/>
        <v>1171.659381</v>
      </c>
      <c r="U221" s="93">
        <f t="shared" si="174"/>
        <v>1195.092569</v>
      </c>
      <c r="V221" s="93">
        <f t="shared" si="174"/>
        <v>1218.99442</v>
      </c>
      <c r="W221" s="93">
        <f t="shared" si="174"/>
        <v>1243.374308</v>
      </c>
      <c r="X221" s="93">
        <f t="shared" si="174"/>
        <v>1268.241795</v>
      </c>
      <c r="Y221" s="93">
        <f t="shared" si="174"/>
        <v>1293.60663</v>
      </c>
      <c r="Z221" s="93">
        <f t="shared" si="174"/>
        <v>1319.478763</v>
      </c>
      <c r="AA221" s="93">
        <f t="shared" si="174"/>
        <v>1345.868338</v>
      </c>
      <c r="AB221" s="93">
        <f t="shared" si="174"/>
        <v>1372.785705</v>
      </c>
      <c r="AC221" s="93">
        <f t="shared" si="174"/>
        <v>1400.241419</v>
      </c>
      <c r="AD221" s="93">
        <f t="shared" si="174"/>
        <v>1428.246248</v>
      </c>
      <c r="AE221" s="93">
        <f t="shared" si="174"/>
        <v>1456.811173</v>
      </c>
      <c r="AF221" s="93">
        <f t="shared" si="174"/>
        <v>1485.947396</v>
      </c>
      <c r="AG221" s="93">
        <f t="shared" si="174"/>
        <v>1515.666344</v>
      </c>
      <c r="AH221" s="93">
        <f t="shared" si="174"/>
        <v>1545.979671</v>
      </c>
      <c r="AI221" s="93">
        <f t="shared" si="174"/>
        <v>1576.899264</v>
      </c>
      <c r="AJ221" s="93">
        <f t="shared" si="174"/>
        <v>1608.437249</v>
      </c>
      <c r="AK221" s="93">
        <f t="shared" si="174"/>
        <v>1640.605994</v>
      </c>
      <c r="AL221" s="93">
        <f t="shared" si="174"/>
        <v>1673.418114</v>
      </c>
      <c r="AM221" s="93">
        <f t="shared" si="174"/>
        <v>1706.886477</v>
      </c>
      <c r="AN221" s="93">
        <f t="shared" si="174"/>
        <v>1741.024206</v>
      </c>
      <c r="AO221" s="93">
        <f t="shared" si="174"/>
        <v>1775.84469</v>
      </c>
      <c r="AP221" s="93">
        <f t="shared" si="174"/>
        <v>1811.361584</v>
      </c>
      <c r="AQ221" s="93">
        <f t="shared" si="174"/>
        <v>1847.588816</v>
      </c>
      <c r="AR221" s="93">
        <f t="shared" si="174"/>
        <v>1884.540592</v>
      </c>
      <c r="AS221" s="93">
        <f t="shared" si="174"/>
        <v>1922.231404</v>
      </c>
      <c r="AT221" s="93">
        <f t="shared" si="174"/>
        <v>1960.676032</v>
      </c>
      <c r="AU221" s="93">
        <f t="shared" si="174"/>
        <v>1999.889553</v>
      </c>
      <c r="AV221" s="93">
        <f t="shared" si="174"/>
        <v>2039.887344</v>
      </c>
      <c r="AW221" s="115"/>
      <c r="AX221" s="93"/>
      <c r="AY221" s="93"/>
      <c r="AZ221" s="90"/>
      <c r="BA221" s="90"/>
      <c r="BB221" s="90"/>
      <c r="BC221" s="90"/>
      <c r="BD221" s="90"/>
      <c r="BE221" s="90"/>
      <c r="BF221" s="90"/>
      <c r="BG221" s="90"/>
    </row>
    <row r="222" ht="12.75" hidden="1" customHeight="1" outlineLevel="1">
      <c r="A222" s="316"/>
      <c r="B222" s="90"/>
      <c r="C222" s="90"/>
      <c r="D222" s="90" t="s">
        <v>760</v>
      </c>
      <c r="E222" s="90"/>
      <c r="F222" s="90"/>
      <c r="G222" s="254"/>
      <c r="H222" s="254"/>
      <c r="I222" s="254">
        <v>17320.0</v>
      </c>
      <c r="J222" s="254"/>
      <c r="K222" s="99"/>
      <c r="L222" s="99">
        <f>'RSGen 1-7'!K223</f>
        <v>5000</v>
      </c>
      <c r="M222" s="99">
        <f t="shared" ref="M222:AV222" si="175">L222*(1+M$194)</f>
        <v>5100</v>
      </c>
      <c r="N222" s="99">
        <f t="shared" si="175"/>
        <v>5202</v>
      </c>
      <c r="O222" s="99">
        <f t="shared" si="175"/>
        <v>5306.04</v>
      </c>
      <c r="P222" s="93">
        <f t="shared" si="175"/>
        <v>5412.1608</v>
      </c>
      <c r="Q222" s="93">
        <f t="shared" si="175"/>
        <v>5520.404016</v>
      </c>
      <c r="R222" s="93">
        <f t="shared" si="175"/>
        <v>5630.812096</v>
      </c>
      <c r="S222" s="93">
        <f t="shared" si="175"/>
        <v>5743.428338</v>
      </c>
      <c r="T222" s="93">
        <f t="shared" si="175"/>
        <v>5858.296905</v>
      </c>
      <c r="U222" s="93">
        <f t="shared" si="175"/>
        <v>5975.462843</v>
      </c>
      <c r="V222" s="93">
        <f t="shared" si="175"/>
        <v>6094.9721</v>
      </c>
      <c r="W222" s="93">
        <f t="shared" si="175"/>
        <v>6216.871542</v>
      </c>
      <c r="X222" s="93">
        <f t="shared" si="175"/>
        <v>6341.208973</v>
      </c>
      <c r="Y222" s="93">
        <f t="shared" si="175"/>
        <v>6468.033152</v>
      </c>
      <c r="Z222" s="93">
        <f t="shared" si="175"/>
        <v>6597.393815</v>
      </c>
      <c r="AA222" s="93">
        <f t="shared" si="175"/>
        <v>6729.341692</v>
      </c>
      <c r="AB222" s="93">
        <f t="shared" si="175"/>
        <v>6863.928525</v>
      </c>
      <c r="AC222" s="93">
        <f t="shared" si="175"/>
        <v>7001.207096</v>
      </c>
      <c r="AD222" s="93">
        <f t="shared" si="175"/>
        <v>7141.231238</v>
      </c>
      <c r="AE222" s="93">
        <f t="shared" si="175"/>
        <v>7284.055863</v>
      </c>
      <c r="AF222" s="93">
        <f t="shared" si="175"/>
        <v>7429.73698</v>
      </c>
      <c r="AG222" s="93">
        <f t="shared" si="175"/>
        <v>7578.331719</v>
      </c>
      <c r="AH222" s="93">
        <f t="shared" si="175"/>
        <v>7729.898354</v>
      </c>
      <c r="AI222" s="93">
        <f t="shared" si="175"/>
        <v>7884.496321</v>
      </c>
      <c r="AJ222" s="93">
        <f t="shared" si="175"/>
        <v>8042.186247</v>
      </c>
      <c r="AK222" s="93">
        <f t="shared" si="175"/>
        <v>8203.029972</v>
      </c>
      <c r="AL222" s="93">
        <f t="shared" si="175"/>
        <v>8367.090572</v>
      </c>
      <c r="AM222" s="93">
        <f t="shared" si="175"/>
        <v>8534.432383</v>
      </c>
      <c r="AN222" s="93">
        <f t="shared" si="175"/>
        <v>8705.121031</v>
      </c>
      <c r="AO222" s="93">
        <f t="shared" si="175"/>
        <v>8879.223451</v>
      </c>
      <c r="AP222" s="93">
        <f t="shared" si="175"/>
        <v>9056.807921</v>
      </c>
      <c r="AQ222" s="93">
        <f t="shared" si="175"/>
        <v>9237.944079</v>
      </c>
      <c r="AR222" s="93">
        <f t="shared" si="175"/>
        <v>9422.702961</v>
      </c>
      <c r="AS222" s="93">
        <f t="shared" si="175"/>
        <v>9611.15702</v>
      </c>
      <c r="AT222" s="93">
        <f t="shared" si="175"/>
        <v>9803.38016</v>
      </c>
      <c r="AU222" s="93">
        <f t="shared" si="175"/>
        <v>9999.447763</v>
      </c>
      <c r="AV222" s="93">
        <f t="shared" si="175"/>
        <v>10199.43672</v>
      </c>
      <c r="AW222" s="115"/>
      <c r="AX222" s="93"/>
      <c r="AY222" s="93"/>
      <c r="AZ222" s="90"/>
      <c r="BA222" s="90"/>
      <c r="BB222" s="90"/>
      <c r="BC222" s="90"/>
      <c r="BD222" s="90"/>
      <c r="BE222" s="90"/>
      <c r="BF222" s="90"/>
      <c r="BG222" s="90"/>
    </row>
    <row r="223" ht="12.75" hidden="1" customHeight="1" outlineLevel="1">
      <c r="A223" s="316"/>
      <c r="B223" s="90"/>
      <c r="C223" s="90"/>
      <c r="D223" s="90" t="s">
        <v>761</v>
      </c>
      <c r="E223" s="90"/>
      <c r="F223" s="90"/>
      <c r="G223" s="254"/>
      <c r="H223" s="254"/>
      <c r="I223" s="254">
        <v>2000.0</v>
      </c>
      <c r="J223" s="254"/>
      <c r="K223" s="99"/>
      <c r="L223" s="99" t="str">
        <f>'RSGen 1-7'!K224</f>
        <v/>
      </c>
      <c r="M223" s="99" t="str">
        <f t="shared" ref="M223:AV223" si="176">L223</f>
        <v/>
      </c>
      <c r="N223" s="99" t="str">
        <f t="shared" si="176"/>
        <v/>
      </c>
      <c r="O223" s="99" t="str">
        <f t="shared" si="176"/>
        <v/>
      </c>
      <c r="P223" s="93" t="str">
        <f t="shared" si="176"/>
        <v/>
      </c>
      <c r="Q223" s="93" t="str">
        <f t="shared" si="176"/>
        <v/>
      </c>
      <c r="R223" s="93" t="str">
        <f t="shared" si="176"/>
        <v/>
      </c>
      <c r="S223" s="93" t="str">
        <f t="shared" si="176"/>
        <v/>
      </c>
      <c r="T223" s="93" t="str">
        <f t="shared" si="176"/>
        <v/>
      </c>
      <c r="U223" s="93" t="str">
        <f t="shared" si="176"/>
        <v/>
      </c>
      <c r="V223" s="93" t="str">
        <f t="shared" si="176"/>
        <v/>
      </c>
      <c r="W223" s="93" t="str">
        <f t="shared" si="176"/>
        <v/>
      </c>
      <c r="X223" s="93" t="str">
        <f t="shared" si="176"/>
        <v/>
      </c>
      <c r="Y223" s="93" t="str">
        <f t="shared" si="176"/>
        <v/>
      </c>
      <c r="Z223" s="93" t="str">
        <f t="shared" si="176"/>
        <v/>
      </c>
      <c r="AA223" s="93" t="str">
        <f t="shared" si="176"/>
        <v/>
      </c>
      <c r="AB223" s="93" t="str">
        <f t="shared" si="176"/>
        <v/>
      </c>
      <c r="AC223" s="93" t="str">
        <f t="shared" si="176"/>
        <v/>
      </c>
      <c r="AD223" s="93" t="str">
        <f t="shared" si="176"/>
        <v/>
      </c>
      <c r="AE223" s="93" t="str">
        <f t="shared" si="176"/>
        <v/>
      </c>
      <c r="AF223" s="93" t="str">
        <f t="shared" si="176"/>
        <v/>
      </c>
      <c r="AG223" s="93" t="str">
        <f t="shared" si="176"/>
        <v/>
      </c>
      <c r="AH223" s="93" t="str">
        <f t="shared" si="176"/>
        <v/>
      </c>
      <c r="AI223" s="93" t="str">
        <f t="shared" si="176"/>
        <v/>
      </c>
      <c r="AJ223" s="93" t="str">
        <f t="shared" si="176"/>
        <v/>
      </c>
      <c r="AK223" s="93" t="str">
        <f t="shared" si="176"/>
        <v/>
      </c>
      <c r="AL223" s="93" t="str">
        <f t="shared" si="176"/>
        <v/>
      </c>
      <c r="AM223" s="93" t="str">
        <f t="shared" si="176"/>
        <v/>
      </c>
      <c r="AN223" s="93" t="str">
        <f t="shared" si="176"/>
        <v/>
      </c>
      <c r="AO223" s="93" t="str">
        <f t="shared" si="176"/>
        <v/>
      </c>
      <c r="AP223" s="93" t="str">
        <f t="shared" si="176"/>
        <v/>
      </c>
      <c r="AQ223" s="93" t="str">
        <f t="shared" si="176"/>
        <v/>
      </c>
      <c r="AR223" s="93" t="str">
        <f t="shared" si="176"/>
        <v/>
      </c>
      <c r="AS223" s="93" t="str">
        <f t="shared" si="176"/>
        <v/>
      </c>
      <c r="AT223" s="93" t="str">
        <f t="shared" si="176"/>
        <v/>
      </c>
      <c r="AU223" s="93" t="str">
        <f t="shared" si="176"/>
        <v/>
      </c>
      <c r="AV223" s="93" t="str">
        <f t="shared" si="176"/>
        <v/>
      </c>
      <c r="AW223" s="115"/>
      <c r="AX223" s="93"/>
      <c r="AY223" s="93"/>
      <c r="AZ223" s="90"/>
      <c r="BA223" s="90"/>
      <c r="BB223" s="90"/>
      <c r="BC223" s="90"/>
      <c r="BD223" s="90"/>
      <c r="BE223" s="90"/>
      <c r="BF223" s="90"/>
      <c r="BG223" s="90"/>
    </row>
    <row r="224" ht="12.75" hidden="1" customHeight="1" outlineLevel="1">
      <c r="A224" s="316"/>
      <c r="B224" s="90"/>
      <c r="C224" s="90"/>
      <c r="D224" s="90" t="s">
        <v>762</v>
      </c>
      <c r="E224" s="90"/>
      <c r="F224" s="90"/>
      <c r="G224" s="254"/>
      <c r="H224" s="254"/>
      <c r="I224" s="254">
        <v>2000.0</v>
      </c>
      <c r="J224" s="254"/>
      <c r="K224" s="254"/>
      <c r="L224" s="99">
        <f>'RSGen 1-7'!K225</f>
        <v>6000</v>
      </c>
      <c r="M224" s="99">
        <f t="shared" ref="M224:AV224" si="177">L224*(1+M$194)</f>
        <v>6120</v>
      </c>
      <c r="N224" s="99">
        <f t="shared" si="177"/>
        <v>6242.4</v>
      </c>
      <c r="O224" s="99">
        <f t="shared" si="177"/>
        <v>6367.248</v>
      </c>
      <c r="P224" s="93">
        <f t="shared" si="177"/>
        <v>6494.59296</v>
      </c>
      <c r="Q224" s="93">
        <f t="shared" si="177"/>
        <v>6624.484819</v>
      </c>
      <c r="R224" s="93">
        <f t="shared" si="177"/>
        <v>6756.974516</v>
      </c>
      <c r="S224" s="93">
        <f t="shared" si="177"/>
        <v>6892.114006</v>
      </c>
      <c r="T224" s="93">
        <f t="shared" si="177"/>
        <v>7029.956286</v>
      </c>
      <c r="U224" s="93">
        <f t="shared" si="177"/>
        <v>7170.555412</v>
      </c>
      <c r="V224" s="93">
        <f t="shared" si="177"/>
        <v>7313.96652</v>
      </c>
      <c r="W224" s="93">
        <f t="shared" si="177"/>
        <v>7460.24585</v>
      </c>
      <c r="X224" s="93">
        <f t="shared" si="177"/>
        <v>7609.450767</v>
      </c>
      <c r="Y224" s="93">
        <f t="shared" si="177"/>
        <v>7761.639783</v>
      </c>
      <c r="Z224" s="93">
        <f t="shared" si="177"/>
        <v>7916.872578</v>
      </c>
      <c r="AA224" s="93">
        <f t="shared" si="177"/>
        <v>8075.21003</v>
      </c>
      <c r="AB224" s="93">
        <f t="shared" si="177"/>
        <v>8236.714231</v>
      </c>
      <c r="AC224" s="93">
        <f t="shared" si="177"/>
        <v>8401.448515</v>
      </c>
      <c r="AD224" s="93">
        <f t="shared" si="177"/>
        <v>8569.477485</v>
      </c>
      <c r="AE224" s="93">
        <f t="shared" si="177"/>
        <v>8740.867035</v>
      </c>
      <c r="AF224" s="93">
        <f t="shared" si="177"/>
        <v>8915.684376</v>
      </c>
      <c r="AG224" s="93">
        <f t="shared" si="177"/>
        <v>9093.998063</v>
      </c>
      <c r="AH224" s="93">
        <f t="shared" si="177"/>
        <v>9275.878025</v>
      </c>
      <c r="AI224" s="93">
        <f t="shared" si="177"/>
        <v>9461.395585</v>
      </c>
      <c r="AJ224" s="93">
        <f t="shared" si="177"/>
        <v>9650.623497</v>
      </c>
      <c r="AK224" s="93">
        <f t="shared" si="177"/>
        <v>9843.635967</v>
      </c>
      <c r="AL224" s="93">
        <f t="shared" si="177"/>
        <v>10040.50869</v>
      </c>
      <c r="AM224" s="93">
        <f t="shared" si="177"/>
        <v>10241.31886</v>
      </c>
      <c r="AN224" s="93">
        <f t="shared" si="177"/>
        <v>10446.14524</v>
      </c>
      <c r="AO224" s="93">
        <f t="shared" si="177"/>
        <v>10655.06814</v>
      </c>
      <c r="AP224" s="93">
        <f t="shared" si="177"/>
        <v>10868.1695</v>
      </c>
      <c r="AQ224" s="93">
        <f t="shared" si="177"/>
        <v>11085.53289</v>
      </c>
      <c r="AR224" s="93">
        <f t="shared" si="177"/>
        <v>11307.24355</v>
      </c>
      <c r="AS224" s="93">
        <f t="shared" si="177"/>
        <v>11533.38842</v>
      </c>
      <c r="AT224" s="93">
        <f t="shared" si="177"/>
        <v>11764.05619</v>
      </c>
      <c r="AU224" s="93">
        <f t="shared" si="177"/>
        <v>11999.33732</v>
      </c>
      <c r="AV224" s="93">
        <f t="shared" si="177"/>
        <v>12239.32406</v>
      </c>
      <c r="AW224" s="115"/>
      <c r="AX224" s="93"/>
      <c r="AY224" s="93"/>
      <c r="AZ224" s="90"/>
      <c r="BA224" s="90"/>
      <c r="BB224" s="90"/>
      <c r="BC224" s="90"/>
      <c r="BD224" s="90"/>
      <c r="BE224" s="90"/>
      <c r="BF224" s="90"/>
      <c r="BG224" s="90"/>
    </row>
    <row r="225" ht="12.75" hidden="1" customHeight="1" outlineLevel="1">
      <c r="A225" s="316"/>
      <c r="B225" s="90"/>
      <c r="C225" s="90"/>
      <c r="D225" s="90" t="s">
        <v>763</v>
      </c>
      <c r="E225" s="90"/>
      <c r="F225" s="90"/>
      <c r="G225" s="254"/>
      <c r="H225" s="254"/>
      <c r="I225" s="254">
        <v>400.0</v>
      </c>
      <c r="J225" s="254"/>
      <c r="K225" s="99"/>
      <c r="L225" s="99" t="str">
        <f>'RSGen 1-7'!K226</f>
        <v/>
      </c>
      <c r="M225" s="99">
        <f t="shared" ref="M225:AV225" si="178">L225*(1+M$194)</f>
        <v>0</v>
      </c>
      <c r="N225" s="99">
        <f t="shared" si="178"/>
        <v>0</v>
      </c>
      <c r="O225" s="99">
        <f t="shared" si="178"/>
        <v>0</v>
      </c>
      <c r="P225" s="93">
        <f t="shared" si="178"/>
        <v>0</v>
      </c>
      <c r="Q225" s="93">
        <f t="shared" si="178"/>
        <v>0</v>
      </c>
      <c r="R225" s="93">
        <f t="shared" si="178"/>
        <v>0</v>
      </c>
      <c r="S225" s="93">
        <f t="shared" si="178"/>
        <v>0</v>
      </c>
      <c r="T225" s="93">
        <f t="shared" si="178"/>
        <v>0</v>
      </c>
      <c r="U225" s="93">
        <f t="shared" si="178"/>
        <v>0</v>
      </c>
      <c r="V225" s="93">
        <f t="shared" si="178"/>
        <v>0</v>
      </c>
      <c r="W225" s="93">
        <f t="shared" si="178"/>
        <v>0</v>
      </c>
      <c r="X225" s="93">
        <f t="shared" si="178"/>
        <v>0</v>
      </c>
      <c r="Y225" s="93">
        <f t="shared" si="178"/>
        <v>0</v>
      </c>
      <c r="Z225" s="93">
        <f t="shared" si="178"/>
        <v>0</v>
      </c>
      <c r="AA225" s="93">
        <f t="shared" si="178"/>
        <v>0</v>
      </c>
      <c r="AB225" s="93">
        <f t="shared" si="178"/>
        <v>0</v>
      </c>
      <c r="AC225" s="93">
        <f t="shared" si="178"/>
        <v>0</v>
      </c>
      <c r="AD225" s="93">
        <f t="shared" si="178"/>
        <v>0</v>
      </c>
      <c r="AE225" s="93">
        <f t="shared" si="178"/>
        <v>0</v>
      </c>
      <c r="AF225" s="93">
        <f t="shared" si="178"/>
        <v>0</v>
      </c>
      <c r="AG225" s="93">
        <f t="shared" si="178"/>
        <v>0</v>
      </c>
      <c r="AH225" s="93">
        <f t="shared" si="178"/>
        <v>0</v>
      </c>
      <c r="AI225" s="93">
        <f t="shared" si="178"/>
        <v>0</v>
      </c>
      <c r="AJ225" s="93">
        <f t="shared" si="178"/>
        <v>0</v>
      </c>
      <c r="AK225" s="93">
        <f t="shared" si="178"/>
        <v>0</v>
      </c>
      <c r="AL225" s="93">
        <f t="shared" si="178"/>
        <v>0</v>
      </c>
      <c r="AM225" s="93">
        <f t="shared" si="178"/>
        <v>0</v>
      </c>
      <c r="AN225" s="93">
        <f t="shared" si="178"/>
        <v>0</v>
      </c>
      <c r="AO225" s="93">
        <f t="shared" si="178"/>
        <v>0</v>
      </c>
      <c r="AP225" s="93">
        <f t="shared" si="178"/>
        <v>0</v>
      </c>
      <c r="AQ225" s="93">
        <f t="shared" si="178"/>
        <v>0</v>
      </c>
      <c r="AR225" s="93">
        <f t="shared" si="178"/>
        <v>0</v>
      </c>
      <c r="AS225" s="93">
        <f t="shared" si="178"/>
        <v>0</v>
      </c>
      <c r="AT225" s="93">
        <f t="shared" si="178"/>
        <v>0</v>
      </c>
      <c r="AU225" s="93">
        <f t="shared" si="178"/>
        <v>0</v>
      </c>
      <c r="AV225" s="93">
        <f t="shared" si="178"/>
        <v>0</v>
      </c>
      <c r="AW225" s="115"/>
      <c r="AX225" s="93"/>
      <c r="AY225" s="93"/>
      <c r="AZ225" s="90"/>
      <c r="BA225" s="90"/>
      <c r="BB225" s="90"/>
      <c r="BC225" s="90"/>
      <c r="BD225" s="90"/>
      <c r="BE225" s="90"/>
      <c r="BF225" s="90"/>
      <c r="BG225" s="90"/>
    </row>
    <row r="226" ht="12.75" hidden="1" customHeight="1" outlineLevel="1">
      <c r="A226" s="316"/>
      <c r="B226" s="90"/>
      <c r="C226" s="90"/>
      <c r="D226" s="90" t="s">
        <v>764</v>
      </c>
      <c r="E226" s="90"/>
      <c r="F226" s="90"/>
      <c r="G226" s="254"/>
      <c r="H226" s="254"/>
      <c r="I226" s="254">
        <v>300.0</v>
      </c>
      <c r="J226" s="254"/>
      <c r="K226" s="254"/>
      <c r="L226" s="99">
        <f>'RSGen 1-7'!K227</f>
        <v>300</v>
      </c>
      <c r="M226" s="254">
        <f t="shared" ref="M226:AV226" si="179">L226</f>
        <v>300</v>
      </c>
      <c r="N226" s="254">
        <f t="shared" si="179"/>
        <v>300</v>
      </c>
      <c r="O226" s="254">
        <f t="shared" si="179"/>
        <v>300</v>
      </c>
      <c r="P226" s="69">
        <f t="shared" si="179"/>
        <v>300</v>
      </c>
      <c r="Q226" s="69">
        <f t="shared" si="179"/>
        <v>300</v>
      </c>
      <c r="R226" s="69">
        <f t="shared" si="179"/>
        <v>300</v>
      </c>
      <c r="S226" s="69">
        <f t="shared" si="179"/>
        <v>300</v>
      </c>
      <c r="T226" s="69">
        <f t="shared" si="179"/>
        <v>300</v>
      </c>
      <c r="U226" s="69">
        <f t="shared" si="179"/>
        <v>300</v>
      </c>
      <c r="V226" s="69">
        <f t="shared" si="179"/>
        <v>300</v>
      </c>
      <c r="W226" s="69">
        <f t="shared" si="179"/>
        <v>300</v>
      </c>
      <c r="X226" s="69">
        <f t="shared" si="179"/>
        <v>300</v>
      </c>
      <c r="Y226" s="69">
        <f t="shared" si="179"/>
        <v>300</v>
      </c>
      <c r="Z226" s="69">
        <f t="shared" si="179"/>
        <v>300</v>
      </c>
      <c r="AA226" s="69">
        <f t="shared" si="179"/>
        <v>300</v>
      </c>
      <c r="AB226" s="69">
        <f t="shared" si="179"/>
        <v>300</v>
      </c>
      <c r="AC226" s="69">
        <f t="shared" si="179"/>
        <v>300</v>
      </c>
      <c r="AD226" s="69">
        <f t="shared" si="179"/>
        <v>300</v>
      </c>
      <c r="AE226" s="69">
        <f t="shared" si="179"/>
        <v>300</v>
      </c>
      <c r="AF226" s="69">
        <f t="shared" si="179"/>
        <v>300</v>
      </c>
      <c r="AG226" s="69">
        <f t="shared" si="179"/>
        <v>300</v>
      </c>
      <c r="AH226" s="69">
        <f t="shared" si="179"/>
        <v>300</v>
      </c>
      <c r="AI226" s="69">
        <f t="shared" si="179"/>
        <v>300</v>
      </c>
      <c r="AJ226" s="69">
        <f t="shared" si="179"/>
        <v>300</v>
      </c>
      <c r="AK226" s="69">
        <f t="shared" si="179"/>
        <v>300</v>
      </c>
      <c r="AL226" s="69">
        <f t="shared" si="179"/>
        <v>300</v>
      </c>
      <c r="AM226" s="69">
        <f t="shared" si="179"/>
        <v>300</v>
      </c>
      <c r="AN226" s="69">
        <f t="shared" si="179"/>
        <v>300</v>
      </c>
      <c r="AO226" s="69">
        <f t="shared" si="179"/>
        <v>300</v>
      </c>
      <c r="AP226" s="69">
        <f t="shared" si="179"/>
        <v>300</v>
      </c>
      <c r="AQ226" s="69">
        <f t="shared" si="179"/>
        <v>300</v>
      </c>
      <c r="AR226" s="69">
        <f t="shared" si="179"/>
        <v>300</v>
      </c>
      <c r="AS226" s="69">
        <f t="shared" si="179"/>
        <v>300</v>
      </c>
      <c r="AT226" s="69">
        <f t="shared" si="179"/>
        <v>300</v>
      </c>
      <c r="AU226" s="69">
        <f t="shared" si="179"/>
        <v>300</v>
      </c>
      <c r="AV226" s="69">
        <f t="shared" si="179"/>
        <v>300</v>
      </c>
      <c r="AW226" s="115"/>
      <c r="AX226" s="93"/>
      <c r="AY226" s="93"/>
      <c r="AZ226" s="90"/>
      <c r="BA226" s="90"/>
      <c r="BB226" s="90"/>
      <c r="BC226" s="90"/>
      <c r="BD226" s="90"/>
      <c r="BE226" s="90"/>
      <c r="BF226" s="90"/>
      <c r="BG226" s="90"/>
    </row>
    <row r="227" ht="12.75" hidden="1" customHeight="1" outlineLevel="1">
      <c r="A227" s="316"/>
      <c r="B227" s="90"/>
      <c r="C227" s="90"/>
      <c r="D227" s="90" t="s">
        <v>765</v>
      </c>
      <c r="E227" s="90"/>
      <c r="F227" s="90"/>
      <c r="G227" s="254"/>
      <c r="H227" s="254"/>
      <c r="I227" s="254">
        <v>1000.0</v>
      </c>
      <c r="J227" s="254"/>
      <c r="K227" s="254"/>
      <c r="L227" s="99">
        <f>'RSGen 1-7'!K228</f>
        <v>1500</v>
      </c>
      <c r="M227" s="99">
        <f t="shared" ref="M227:AV227" si="180">L227*(1+M$194)</f>
        <v>1530</v>
      </c>
      <c r="N227" s="99">
        <f t="shared" si="180"/>
        <v>1560.6</v>
      </c>
      <c r="O227" s="99">
        <f t="shared" si="180"/>
        <v>1591.812</v>
      </c>
      <c r="P227" s="93">
        <f t="shared" si="180"/>
        <v>1623.64824</v>
      </c>
      <c r="Q227" s="93">
        <f t="shared" si="180"/>
        <v>1656.121205</v>
      </c>
      <c r="R227" s="93">
        <f t="shared" si="180"/>
        <v>1689.243629</v>
      </c>
      <c r="S227" s="93">
        <f t="shared" si="180"/>
        <v>1723.028501</v>
      </c>
      <c r="T227" s="93">
        <f t="shared" si="180"/>
        <v>1757.489072</v>
      </c>
      <c r="U227" s="93">
        <f t="shared" si="180"/>
        <v>1792.638853</v>
      </c>
      <c r="V227" s="93">
        <f t="shared" si="180"/>
        <v>1828.49163</v>
      </c>
      <c r="W227" s="93">
        <f t="shared" si="180"/>
        <v>1865.061463</v>
      </c>
      <c r="X227" s="93">
        <f t="shared" si="180"/>
        <v>1902.362692</v>
      </c>
      <c r="Y227" s="93">
        <f t="shared" si="180"/>
        <v>1940.409946</v>
      </c>
      <c r="Z227" s="93">
        <f t="shared" si="180"/>
        <v>1979.218145</v>
      </c>
      <c r="AA227" s="93">
        <f t="shared" si="180"/>
        <v>2018.802507</v>
      </c>
      <c r="AB227" s="93">
        <f t="shared" si="180"/>
        <v>2059.178558</v>
      </c>
      <c r="AC227" s="93">
        <f t="shared" si="180"/>
        <v>2100.362129</v>
      </c>
      <c r="AD227" s="93">
        <f t="shared" si="180"/>
        <v>2142.369371</v>
      </c>
      <c r="AE227" s="93">
        <f t="shared" si="180"/>
        <v>2185.216759</v>
      </c>
      <c r="AF227" s="93">
        <f t="shared" si="180"/>
        <v>2228.921094</v>
      </c>
      <c r="AG227" s="93">
        <f t="shared" si="180"/>
        <v>2273.499516</v>
      </c>
      <c r="AH227" s="93">
        <f t="shared" si="180"/>
        <v>2318.969506</v>
      </c>
      <c r="AI227" s="93">
        <f t="shared" si="180"/>
        <v>2365.348896</v>
      </c>
      <c r="AJ227" s="93">
        <f t="shared" si="180"/>
        <v>2412.655874</v>
      </c>
      <c r="AK227" s="93">
        <f t="shared" si="180"/>
        <v>2460.908992</v>
      </c>
      <c r="AL227" s="93">
        <f t="shared" si="180"/>
        <v>2510.127172</v>
      </c>
      <c r="AM227" s="93">
        <f t="shared" si="180"/>
        <v>2560.329715</v>
      </c>
      <c r="AN227" s="93">
        <f t="shared" si="180"/>
        <v>2611.536309</v>
      </c>
      <c r="AO227" s="93">
        <f t="shared" si="180"/>
        <v>2663.767035</v>
      </c>
      <c r="AP227" s="93">
        <f t="shared" si="180"/>
        <v>2717.042376</v>
      </c>
      <c r="AQ227" s="93">
        <f t="shared" si="180"/>
        <v>2771.383224</v>
      </c>
      <c r="AR227" s="93">
        <f t="shared" si="180"/>
        <v>2826.810888</v>
      </c>
      <c r="AS227" s="93">
        <f t="shared" si="180"/>
        <v>2883.347106</v>
      </c>
      <c r="AT227" s="93">
        <f t="shared" si="180"/>
        <v>2941.014048</v>
      </c>
      <c r="AU227" s="93">
        <f t="shared" si="180"/>
        <v>2999.834329</v>
      </c>
      <c r="AV227" s="93">
        <f t="shared" si="180"/>
        <v>3059.831016</v>
      </c>
      <c r="AW227" s="115"/>
      <c r="AX227" s="93"/>
      <c r="AY227" s="93"/>
      <c r="AZ227" s="90"/>
      <c r="BA227" s="90"/>
      <c r="BB227" s="90"/>
      <c r="BC227" s="90"/>
      <c r="BD227" s="90"/>
      <c r="BE227" s="90"/>
      <c r="BF227" s="90"/>
      <c r="BG227" s="90"/>
    </row>
    <row r="228" ht="12.75" hidden="1" customHeight="1" outlineLevel="1">
      <c r="A228" s="316"/>
      <c r="B228" s="90"/>
      <c r="C228" s="90"/>
      <c r="D228" s="90" t="s">
        <v>766</v>
      </c>
      <c r="E228" s="90"/>
      <c r="F228" s="90"/>
      <c r="G228" s="254"/>
      <c r="H228" s="254"/>
      <c r="I228" s="254">
        <v>15470.0</v>
      </c>
      <c r="J228" s="254"/>
      <c r="K228" s="254"/>
      <c r="L228" s="99">
        <f>'RSGen 1-7'!K229</f>
        <v>0</v>
      </c>
      <c r="M228" s="254">
        <f t="shared" ref="M228:AV228" si="181">L228</f>
        <v>0</v>
      </c>
      <c r="N228" s="254">
        <f t="shared" si="181"/>
        <v>0</v>
      </c>
      <c r="O228" s="254">
        <f t="shared" si="181"/>
        <v>0</v>
      </c>
      <c r="P228" s="69">
        <f t="shared" si="181"/>
        <v>0</v>
      </c>
      <c r="Q228" s="69">
        <f t="shared" si="181"/>
        <v>0</v>
      </c>
      <c r="R228" s="69">
        <f t="shared" si="181"/>
        <v>0</v>
      </c>
      <c r="S228" s="69">
        <f t="shared" si="181"/>
        <v>0</v>
      </c>
      <c r="T228" s="69">
        <f t="shared" si="181"/>
        <v>0</v>
      </c>
      <c r="U228" s="69">
        <f t="shared" si="181"/>
        <v>0</v>
      </c>
      <c r="V228" s="69">
        <f t="shared" si="181"/>
        <v>0</v>
      </c>
      <c r="W228" s="69">
        <f t="shared" si="181"/>
        <v>0</v>
      </c>
      <c r="X228" s="69">
        <f t="shared" si="181"/>
        <v>0</v>
      </c>
      <c r="Y228" s="69">
        <f t="shared" si="181"/>
        <v>0</v>
      </c>
      <c r="Z228" s="69">
        <f t="shared" si="181"/>
        <v>0</v>
      </c>
      <c r="AA228" s="69">
        <f t="shared" si="181"/>
        <v>0</v>
      </c>
      <c r="AB228" s="69">
        <f t="shared" si="181"/>
        <v>0</v>
      </c>
      <c r="AC228" s="69">
        <f t="shared" si="181"/>
        <v>0</v>
      </c>
      <c r="AD228" s="69">
        <f t="shared" si="181"/>
        <v>0</v>
      </c>
      <c r="AE228" s="69">
        <f t="shared" si="181"/>
        <v>0</v>
      </c>
      <c r="AF228" s="69">
        <f t="shared" si="181"/>
        <v>0</v>
      </c>
      <c r="AG228" s="69">
        <f t="shared" si="181"/>
        <v>0</v>
      </c>
      <c r="AH228" s="69">
        <f t="shared" si="181"/>
        <v>0</v>
      </c>
      <c r="AI228" s="69">
        <f t="shared" si="181"/>
        <v>0</v>
      </c>
      <c r="AJ228" s="69">
        <f t="shared" si="181"/>
        <v>0</v>
      </c>
      <c r="AK228" s="69">
        <f t="shared" si="181"/>
        <v>0</v>
      </c>
      <c r="AL228" s="69">
        <f t="shared" si="181"/>
        <v>0</v>
      </c>
      <c r="AM228" s="69">
        <f t="shared" si="181"/>
        <v>0</v>
      </c>
      <c r="AN228" s="69">
        <f t="shared" si="181"/>
        <v>0</v>
      </c>
      <c r="AO228" s="69">
        <f t="shared" si="181"/>
        <v>0</v>
      </c>
      <c r="AP228" s="69">
        <f t="shared" si="181"/>
        <v>0</v>
      </c>
      <c r="AQ228" s="69">
        <f t="shared" si="181"/>
        <v>0</v>
      </c>
      <c r="AR228" s="69">
        <f t="shared" si="181"/>
        <v>0</v>
      </c>
      <c r="AS228" s="69">
        <f t="shared" si="181"/>
        <v>0</v>
      </c>
      <c r="AT228" s="69">
        <f t="shared" si="181"/>
        <v>0</v>
      </c>
      <c r="AU228" s="69">
        <f t="shared" si="181"/>
        <v>0</v>
      </c>
      <c r="AV228" s="69">
        <f t="shared" si="181"/>
        <v>0</v>
      </c>
      <c r="AW228" s="115"/>
      <c r="AX228" s="93"/>
      <c r="AY228" s="93"/>
      <c r="AZ228" s="90"/>
      <c r="BA228" s="90"/>
      <c r="BB228" s="90"/>
      <c r="BC228" s="90"/>
      <c r="BD228" s="90"/>
      <c r="BE228" s="90"/>
      <c r="BF228" s="90"/>
      <c r="BG228" s="90"/>
    </row>
    <row r="229" ht="12.75" hidden="1" customHeight="1" outlineLevel="1">
      <c r="A229" s="316"/>
      <c r="B229" s="90"/>
      <c r="C229" s="90" t="s">
        <v>767</v>
      </c>
      <c r="D229" s="90"/>
      <c r="E229" s="90"/>
      <c r="F229" s="90"/>
      <c r="G229" s="254"/>
      <c r="H229" s="254"/>
      <c r="I229" s="254"/>
      <c r="J229" s="254"/>
      <c r="K229" s="99"/>
      <c r="L229" s="99" t="str">
        <f>'RSGen 1-7'!K230</f>
        <v/>
      </c>
      <c r="M229" s="99"/>
      <c r="N229" s="99"/>
      <c r="O229" s="99"/>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93"/>
      <c r="AU229" s="93"/>
      <c r="AV229" s="93"/>
      <c r="AW229" s="115"/>
      <c r="AX229" s="93"/>
      <c r="AY229" s="93"/>
      <c r="AZ229" s="90"/>
      <c r="BA229" s="90"/>
      <c r="BB229" s="90"/>
      <c r="BC229" s="90"/>
      <c r="BD229" s="90"/>
      <c r="BE229" s="90"/>
      <c r="BF229" s="90"/>
      <c r="BG229" s="90"/>
    </row>
    <row r="230" ht="12.75" hidden="1" customHeight="1" outlineLevel="1">
      <c r="A230" s="316"/>
      <c r="B230" s="90"/>
      <c r="C230" s="90"/>
      <c r="D230" s="90" t="s">
        <v>768</v>
      </c>
      <c r="E230" s="90"/>
      <c r="F230" s="90"/>
      <c r="G230" s="254"/>
      <c r="H230" s="254"/>
      <c r="I230" s="254">
        <f>1000/I46</f>
        <v>6.25</v>
      </c>
      <c r="J230" s="254"/>
      <c r="K230" s="99"/>
      <c r="L230" s="99">
        <f>'RSGen 1-7'!K231</f>
        <v>3.825</v>
      </c>
      <c r="M230" s="99">
        <f t="shared" ref="M230:AV230" si="182">L230*(1+M$194)</f>
        <v>3.9015</v>
      </c>
      <c r="N230" s="99">
        <f t="shared" si="182"/>
        <v>3.97953</v>
      </c>
      <c r="O230" s="99">
        <f t="shared" si="182"/>
        <v>4.0591206</v>
      </c>
      <c r="P230" s="99">
        <f t="shared" si="182"/>
        <v>4.140303012</v>
      </c>
      <c r="Q230" s="99">
        <f t="shared" si="182"/>
        <v>4.223109072</v>
      </c>
      <c r="R230" s="99">
        <f t="shared" si="182"/>
        <v>4.307571254</v>
      </c>
      <c r="S230" s="99">
        <f t="shared" si="182"/>
        <v>4.393722679</v>
      </c>
      <c r="T230" s="99">
        <f t="shared" si="182"/>
        <v>4.481597132</v>
      </c>
      <c r="U230" s="99">
        <f t="shared" si="182"/>
        <v>4.571229075</v>
      </c>
      <c r="V230" s="99">
        <f t="shared" si="182"/>
        <v>4.662653656</v>
      </c>
      <c r="W230" s="99">
        <f t="shared" si="182"/>
        <v>4.75590673</v>
      </c>
      <c r="X230" s="99">
        <f t="shared" si="182"/>
        <v>4.851024864</v>
      </c>
      <c r="Y230" s="99">
        <f t="shared" si="182"/>
        <v>4.948045361</v>
      </c>
      <c r="Z230" s="99">
        <f t="shared" si="182"/>
        <v>5.047006269</v>
      </c>
      <c r="AA230" s="99">
        <f t="shared" si="182"/>
        <v>5.147946394</v>
      </c>
      <c r="AB230" s="99">
        <f t="shared" si="182"/>
        <v>5.250905322</v>
      </c>
      <c r="AC230" s="99">
        <f t="shared" si="182"/>
        <v>5.355923428</v>
      </c>
      <c r="AD230" s="99">
        <f t="shared" si="182"/>
        <v>5.463041897</v>
      </c>
      <c r="AE230" s="99">
        <f t="shared" si="182"/>
        <v>5.572302735</v>
      </c>
      <c r="AF230" s="99">
        <f t="shared" si="182"/>
        <v>5.68374879</v>
      </c>
      <c r="AG230" s="99">
        <f t="shared" si="182"/>
        <v>5.797423765</v>
      </c>
      <c r="AH230" s="99">
        <f t="shared" si="182"/>
        <v>5.913372241</v>
      </c>
      <c r="AI230" s="99">
        <f t="shared" si="182"/>
        <v>6.031639686</v>
      </c>
      <c r="AJ230" s="99">
        <f t="shared" si="182"/>
        <v>6.152272479</v>
      </c>
      <c r="AK230" s="99">
        <f t="shared" si="182"/>
        <v>6.275317929</v>
      </c>
      <c r="AL230" s="99">
        <f t="shared" si="182"/>
        <v>6.400824287</v>
      </c>
      <c r="AM230" s="99">
        <f t="shared" si="182"/>
        <v>6.528840773</v>
      </c>
      <c r="AN230" s="99">
        <f t="shared" si="182"/>
        <v>6.659417589</v>
      </c>
      <c r="AO230" s="99">
        <f t="shared" si="182"/>
        <v>6.79260594</v>
      </c>
      <c r="AP230" s="99">
        <f t="shared" si="182"/>
        <v>6.928458059</v>
      </c>
      <c r="AQ230" s="99">
        <f t="shared" si="182"/>
        <v>7.06702722</v>
      </c>
      <c r="AR230" s="99">
        <f t="shared" si="182"/>
        <v>7.208367765</v>
      </c>
      <c r="AS230" s="99">
        <f t="shared" si="182"/>
        <v>7.35253512</v>
      </c>
      <c r="AT230" s="99">
        <f t="shared" si="182"/>
        <v>7.499585822</v>
      </c>
      <c r="AU230" s="99">
        <f t="shared" si="182"/>
        <v>7.649577539</v>
      </c>
      <c r="AV230" s="99">
        <f t="shared" si="182"/>
        <v>7.80256909</v>
      </c>
      <c r="AW230" s="67"/>
      <c r="AX230" s="90"/>
      <c r="AY230" s="90"/>
      <c r="AZ230" s="90"/>
      <c r="BA230" s="90"/>
      <c r="BB230" s="90"/>
      <c r="BC230" s="90"/>
      <c r="BD230" s="90"/>
      <c r="BE230" s="90"/>
      <c r="BF230" s="90"/>
      <c r="BG230" s="90"/>
    </row>
    <row r="231" ht="12.75" hidden="1" customHeight="1" outlineLevel="1">
      <c r="A231" s="316"/>
      <c r="B231" s="90"/>
      <c r="C231" s="90"/>
      <c r="D231" s="90" t="s">
        <v>769</v>
      </c>
      <c r="E231" s="90"/>
      <c r="F231" s="90"/>
      <c r="G231" s="254"/>
      <c r="H231" s="254"/>
      <c r="I231" s="254">
        <f>5000/I46</f>
        <v>31.25</v>
      </c>
      <c r="J231" s="254"/>
      <c r="K231" s="99"/>
      <c r="L231" s="99">
        <f>'RSGen 1-7'!K232</f>
        <v>52</v>
      </c>
      <c r="M231" s="99">
        <f t="shared" ref="M231:AV231" si="183">L231*(1+M$194)</f>
        <v>53.04</v>
      </c>
      <c r="N231" s="99">
        <f t="shared" si="183"/>
        <v>54.1008</v>
      </c>
      <c r="O231" s="99">
        <f t="shared" si="183"/>
        <v>55.182816</v>
      </c>
      <c r="P231" s="99">
        <f t="shared" si="183"/>
        <v>56.28647232</v>
      </c>
      <c r="Q231" s="99">
        <f t="shared" si="183"/>
        <v>57.41220177</v>
      </c>
      <c r="R231" s="99">
        <f t="shared" si="183"/>
        <v>58.5604458</v>
      </c>
      <c r="S231" s="99">
        <f t="shared" si="183"/>
        <v>59.73165472</v>
      </c>
      <c r="T231" s="99">
        <f t="shared" si="183"/>
        <v>60.92628781</v>
      </c>
      <c r="U231" s="99">
        <f t="shared" si="183"/>
        <v>62.14481357</v>
      </c>
      <c r="V231" s="99">
        <f t="shared" si="183"/>
        <v>63.38770984</v>
      </c>
      <c r="W231" s="99">
        <f t="shared" si="183"/>
        <v>64.65546404</v>
      </c>
      <c r="X231" s="99">
        <f t="shared" si="183"/>
        <v>65.94857332</v>
      </c>
      <c r="Y231" s="99">
        <f t="shared" si="183"/>
        <v>67.26754478</v>
      </c>
      <c r="Z231" s="99">
        <f t="shared" si="183"/>
        <v>68.61289568</v>
      </c>
      <c r="AA231" s="99">
        <f t="shared" si="183"/>
        <v>69.98515359</v>
      </c>
      <c r="AB231" s="99">
        <f t="shared" si="183"/>
        <v>71.38485666</v>
      </c>
      <c r="AC231" s="99">
        <f t="shared" si="183"/>
        <v>72.8125538</v>
      </c>
      <c r="AD231" s="99">
        <f t="shared" si="183"/>
        <v>74.26880487</v>
      </c>
      <c r="AE231" s="99">
        <f t="shared" si="183"/>
        <v>75.75418097</v>
      </c>
      <c r="AF231" s="99">
        <f t="shared" si="183"/>
        <v>77.26926459</v>
      </c>
      <c r="AG231" s="99">
        <f t="shared" si="183"/>
        <v>78.81464988</v>
      </c>
      <c r="AH231" s="99">
        <f t="shared" si="183"/>
        <v>80.39094288</v>
      </c>
      <c r="AI231" s="99">
        <f t="shared" si="183"/>
        <v>81.99876174</v>
      </c>
      <c r="AJ231" s="99">
        <f t="shared" si="183"/>
        <v>83.63873697</v>
      </c>
      <c r="AK231" s="99">
        <f t="shared" si="183"/>
        <v>85.31151171</v>
      </c>
      <c r="AL231" s="99">
        <f t="shared" si="183"/>
        <v>87.01774195</v>
      </c>
      <c r="AM231" s="99">
        <f t="shared" si="183"/>
        <v>88.75809679</v>
      </c>
      <c r="AN231" s="99">
        <f t="shared" si="183"/>
        <v>90.53325872</v>
      </c>
      <c r="AO231" s="99">
        <f t="shared" si="183"/>
        <v>92.3439239</v>
      </c>
      <c r="AP231" s="99">
        <f t="shared" si="183"/>
        <v>94.19080237</v>
      </c>
      <c r="AQ231" s="99">
        <f t="shared" si="183"/>
        <v>96.07461842</v>
      </c>
      <c r="AR231" s="99">
        <f t="shared" si="183"/>
        <v>97.99611079</v>
      </c>
      <c r="AS231" s="99">
        <f t="shared" si="183"/>
        <v>99.95603301</v>
      </c>
      <c r="AT231" s="99">
        <f t="shared" si="183"/>
        <v>101.9551537</v>
      </c>
      <c r="AU231" s="99">
        <f t="shared" si="183"/>
        <v>103.9942567</v>
      </c>
      <c r="AV231" s="99">
        <f t="shared" si="183"/>
        <v>106.0741419</v>
      </c>
      <c r="AW231" s="67"/>
      <c r="AX231" s="90"/>
      <c r="AY231" s="90"/>
      <c r="AZ231" s="90"/>
      <c r="BA231" s="90"/>
      <c r="BB231" s="90"/>
      <c r="BC231" s="90"/>
      <c r="BD231" s="90"/>
      <c r="BE231" s="90"/>
      <c r="BF231" s="90"/>
      <c r="BG231" s="90"/>
    </row>
    <row r="232" ht="12.75" hidden="1" customHeight="1" outlineLevel="1">
      <c r="A232" s="316"/>
      <c r="B232" s="90"/>
      <c r="C232" s="90"/>
      <c r="D232" s="90" t="s">
        <v>770</v>
      </c>
      <c r="E232" s="90"/>
      <c r="F232" s="90"/>
      <c r="G232" s="254"/>
      <c r="H232" s="254"/>
      <c r="I232" s="254">
        <f>1500/I46</f>
        <v>9.375</v>
      </c>
      <c r="J232" s="254"/>
      <c r="K232" s="99"/>
      <c r="L232" s="99">
        <f>'RSGen 1-7'!K233</f>
        <v>9.5625</v>
      </c>
      <c r="M232" s="99">
        <f t="shared" ref="M232:AV232" si="184">L232*(1+M$194)</f>
        <v>9.75375</v>
      </c>
      <c r="N232" s="99">
        <f t="shared" si="184"/>
        <v>9.948825</v>
      </c>
      <c r="O232" s="99">
        <f t="shared" si="184"/>
        <v>10.1478015</v>
      </c>
      <c r="P232" s="99">
        <f t="shared" si="184"/>
        <v>10.35075753</v>
      </c>
      <c r="Q232" s="99">
        <f t="shared" si="184"/>
        <v>10.55777268</v>
      </c>
      <c r="R232" s="99">
        <f t="shared" si="184"/>
        <v>10.76892813</v>
      </c>
      <c r="S232" s="99">
        <f t="shared" si="184"/>
        <v>10.9843067</v>
      </c>
      <c r="T232" s="99">
        <f t="shared" si="184"/>
        <v>11.20399283</v>
      </c>
      <c r="U232" s="99">
        <f t="shared" si="184"/>
        <v>11.42807269</v>
      </c>
      <c r="V232" s="99">
        <f t="shared" si="184"/>
        <v>11.65663414</v>
      </c>
      <c r="W232" s="99">
        <f t="shared" si="184"/>
        <v>11.88976682</v>
      </c>
      <c r="X232" s="99">
        <f t="shared" si="184"/>
        <v>12.12756216</v>
      </c>
      <c r="Y232" s="99">
        <f t="shared" si="184"/>
        <v>12.3701134</v>
      </c>
      <c r="Z232" s="99">
        <f t="shared" si="184"/>
        <v>12.61751567</v>
      </c>
      <c r="AA232" s="99">
        <f t="shared" si="184"/>
        <v>12.86986599</v>
      </c>
      <c r="AB232" s="99">
        <f t="shared" si="184"/>
        <v>13.1272633</v>
      </c>
      <c r="AC232" s="99">
        <f t="shared" si="184"/>
        <v>13.38980857</v>
      </c>
      <c r="AD232" s="99">
        <f t="shared" si="184"/>
        <v>13.65760474</v>
      </c>
      <c r="AE232" s="99">
        <f t="shared" si="184"/>
        <v>13.93075684</v>
      </c>
      <c r="AF232" s="99">
        <f t="shared" si="184"/>
        <v>14.20937197</v>
      </c>
      <c r="AG232" s="99">
        <f t="shared" si="184"/>
        <v>14.49355941</v>
      </c>
      <c r="AH232" s="99">
        <f t="shared" si="184"/>
        <v>14.7834306</v>
      </c>
      <c r="AI232" s="99">
        <f t="shared" si="184"/>
        <v>15.07909921</v>
      </c>
      <c r="AJ232" s="99">
        <f t="shared" si="184"/>
        <v>15.3806812</v>
      </c>
      <c r="AK232" s="99">
        <f t="shared" si="184"/>
        <v>15.68829482</v>
      </c>
      <c r="AL232" s="99">
        <f t="shared" si="184"/>
        <v>16.00206072</v>
      </c>
      <c r="AM232" s="99">
        <f t="shared" si="184"/>
        <v>16.32210193</v>
      </c>
      <c r="AN232" s="99">
        <f t="shared" si="184"/>
        <v>16.64854397</v>
      </c>
      <c r="AO232" s="99">
        <f t="shared" si="184"/>
        <v>16.98151485</v>
      </c>
      <c r="AP232" s="99">
        <f t="shared" si="184"/>
        <v>17.32114515</v>
      </c>
      <c r="AQ232" s="99">
        <f t="shared" si="184"/>
        <v>17.66756805</v>
      </c>
      <c r="AR232" s="99">
        <f t="shared" si="184"/>
        <v>18.02091941</v>
      </c>
      <c r="AS232" s="99">
        <f t="shared" si="184"/>
        <v>18.3813378</v>
      </c>
      <c r="AT232" s="99">
        <f t="shared" si="184"/>
        <v>18.74896456</v>
      </c>
      <c r="AU232" s="99">
        <f t="shared" si="184"/>
        <v>19.12394385</v>
      </c>
      <c r="AV232" s="99">
        <f t="shared" si="184"/>
        <v>19.50642272</v>
      </c>
      <c r="AW232" s="67"/>
      <c r="AX232" s="90"/>
      <c r="AY232" s="90"/>
      <c r="AZ232" s="90"/>
      <c r="BA232" s="90"/>
      <c r="BB232" s="90"/>
      <c r="BC232" s="90"/>
      <c r="BD232" s="90"/>
      <c r="BE232" s="90"/>
      <c r="BF232" s="90"/>
      <c r="BG232" s="90"/>
    </row>
    <row r="233" ht="12.75" hidden="1" customHeight="1" outlineLevel="1">
      <c r="A233" s="316"/>
      <c r="B233" s="90"/>
      <c r="C233" s="90"/>
      <c r="D233" s="90" t="s">
        <v>771</v>
      </c>
      <c r="E233" s="90"/>
      <c r="F233" s="90"/>
      <c r="G233" s="254"/>
      <c r="H233" s="254"/>
      <c r="I233" s="254">
        <f>500/I46</f>
        <v>3.125</v>
      </c>
      <c r="J233" s="254"/>
      <c r="K233" s="99"/>
      <c r="L233" s="99">
        <f>'RSGen 1-7'!K234</f>
        <v>3.1875</v>
      </c>
      <c r="M233" s="99">
        <f t="shared" ref="M233:AV233" si="185">L233*(1+M$194)</f>
        <v>3.25125</v>
      </c>
      <c r="N233" s="99">
        <f t="shared" si="185"/>
        <v>3.316275</v>
      </c>
      <c r="O233" s="99">
        <f t="shared" si="185"/>
        <v>3.3826005</v>
      </c>
      <c r="P233" s="99">
        <f t="shared" si="185"/>
        <v>3.45025251</v>
      </c>
      <c r="Q233" s="99">
        <f t="shared" si="185"/>
        <v>3.51925756</v>
      </c>
      <c r="R233" s="99">
        <f t="shared" si="185"/>
        <v>3.589642711</v>
      </c>
      <c r="S233" s="99">
        <f t="shared" si="185"/>
        <v>3.661435566</v>
      </c>
      <c r="T233" s="99">
        <f t="shared" si="185"/>
        <v>3.734664277</v>
      </c>
      <c r="U233" s="99">
        <f t="shared" si="185"/>
        <v>3.809357562</v>
      </c>
      <c r="V233" s="99">
        <f t="shared" si="185"/>
        <v>3.885544714</v>
      </c>
      <c r="W233" s="99">
        <f t="shared" si="185"/>
        <v>3.963255608</v>
      </c>
      <c r="X233" s="99">
        <f t="shared" si="185"/>
        <v>4.04252072</v>
      </c>
      <c r="Y233" s="99">
        <f t="shared" si="185"/>
        <v>4.123371135</v>
      </c>
      <c r="Z233" s="99">
        <f t="shared" si="185"/>
        <v>4.205838557</v>
      </c>
      <c r="AA233" s="99">
        <f t="shared" si="185"/>
        <v>4.289955328</v>
      </c>
      <c r="AB233" s="99">
        <f t="shared" si="185"/>
        <v>4.375754435</v>
      </c>
      <c r="AC233" s="99">
        <f t="shared" si="185"/>
        <v>4.463269524</v>
      </c>
      <c r="AD233" s="99">
        <f t="shared" si="185"/>
        <v>4.552534914</v>
      </c>
      <c r="AE233" s="99">
        <f t="shared" si="185"/>
        <v>4.643585612</v>
      </c>
      <c r="AF233" s="99">
        <f t="shared" si="185"/>
        <v>4.736457325</v>
      </c>
      <c r="AG233" s="99">
        <f t="shared" si="185"/>
        <v>4.831186471</v>
      </c>
      <c r="AH233" s="99">
        <f t="shared" si="185"/>
        <v>4.927810201</v>
      </c>
      <c r="AI233" s="99">
        <f t="shared" si="185"/>
        <v>5.026366405</v>
      </c>
      <c r="AJ233" s="99">
        <f t="shared" si="185"/>
        <v>5.126893733</v>
      </c>
      <c r="AK233" s="99">
        <f t="shared" si="185"/>
        <v>5.229431607</v>
      </c>
      <c r="AL233" s="99">
        <f t="shared" si="185"/>
        <v>5.33402024</v>
      </c>
      <c r="AM233" s="99">
        <f t="shared" si="185"/>
        <v>5.440700644</v>
      </c>
      <c r="AN233" s="99">
        <f t="shared" si="185"/>
        <v>5.549514657</v>
      </c>
      <c r="AO233" s="99">
        <f t="shared" si="185"/>
        <v>5.66050495</v>
      </c>
      <c r="AP233" s="99">
        <f t="shared" si="185"/>
        <v>5.773715049</v>
      </c>
      <c r="AQ233" s="99">
        <f t="shared" si="185"/>
        <v>5.88918935</v>
      </c>
      <c r="AR233" s="99">
        <f t="shared" si="185"/>
        <v>6.006973137</v>
      </c>
      <c r="AS233" s="99">
        <f t="shared" si="185"/>
        <v>6.1271126</v>
      </c>
      <c r="AT233" s="99">
        <f t="shared" si="185"/>
        <v>6.249654852</v>
      </c>
      <c r="AU233" s="99">
        <f t="shared" si="185"/>
        <v>6.374647949</v>
      </c>
      <c r="AV233" s="99">
        <f t="shared" si="185"/>
        <v>6.502140908</v>
      </c>
      <c r="AW233" s="67"/>
      <c r="AX233" s="90"/>
      <c r="AY233" s="90"/>
      <c r="AZ233" s="90"/>
      <c r="BA233" s="90"/>
      <c r="BB233" s="90"/>
      <c r="BC233" s="90"/>
      <c r="BD233" s="90"/>
      <c r="BE233" s="90"/>
      <c r="BF233" s="90"/>
      <c r="BG233" s="90"/>
    </row>
    <row r="234" ht="12.75" hidden="1" customHeight="1" outlineLevel="1">
      <c r="A234" s="316"/>
      <c r="B234" s="90"/>
      <c r="C234" s="90"/>
      <c r="D234" s="90" t="s">
        <v>772</v>
      </c>
      <c r="E234" s="90"/>
      <c r="F234" s="90"/>
      <c r="G234" s="254"/>
      <c r="H234" s="254"/>
      <c r="I234" s="254">
        <f>2400/I46</f>
        <v>15</v>
      </c>
      <c r="J234" s="254"/>
      <c r="K234" s="99"/>
      <c r="L234" s="99" t="str">
        <f>'RSGen 1-7'!K235</f>
        <v/>
      </c>
      <c r="M234" s="99">
        <f t="shared" ref="M234:AV234" si="186">L234*(1+M$194)</f>
        <v>0</v>
      </c>
      <c r="N234" s="99">
        <f t="shared" si="186"/>
        <v>0</v>
      </c>
      <c r="O234" s="99">
        <f t="shared" si="186"/>
        <v>0</v>
      </c>
      <c r="P234" s="99">
        <f t="shared" si="186"/>
        <v>0</v>
      </c>
      <c r="Q234" s="99">
        <f t="shared" si="186"/>
        <v>0</v>
      </c>
      <c r="R234" s="99">
        <f t="shared" si="186"/>
        <v>0</v>
      </c>
      <c r="S234" s="99">
        <f t="shared" si="186"/>
        <v>0</v>
      </c>
      <c r="T234" s="99">
        <f t="shared" si="186"/>
        <v>0</v>
      </c>
      <c r="U234" s="99">
        <f t="shared" si="186"/>
        <v>0</v>
      </c>
      <c r="V234" s="99">
        <f t="shared" si="186"/>
        <v>0</v>
      </c>
      <c r="W234" s="99">
        <f t="shared" si="186"/>
        <v>0</v>
      </c>
      <c r="X234" s="99">
        <f t="shared" si="186"/>
        <v>0</v>
      </c>
      <c r="Y234" s="99">
        <f t="shared" si="186"/>
        <v>0</v>
      </c>
      <c r="Z234" s="99">
        <f t="shared" si="186"/>
        <v>0</v>
      </c>
      <c r="AA234" s="99">
        <f t="shared" si="186"/>
        <v>0</v>
      </c>
      <c r="AB234" s="99">
        <f t="shared" si="186"/>
        <v>0</v>
      </c>
      <c r="AC234" s="99">
        <f t="shared" si="186"/>
        <v>0</v>
      </c>
      <c r="AD234" s="99">
        <f t="shared" si="186"/>
        <v>0</v>
      </c>
      <c r="AE234" s="99">
        <f t="shared" si="186"/>
        <v>0</v>
      </c>
      <c r="AF234" s="99">
        <f t="shared" si="186"/>
        <v>0</v>
      </c>
      <c r="AG234" s="99">
        <f t="shared" si="186"/>
        <v>0</v>
      </c>
      <c r="AH234" s="99">
        <f t="shared" si="186"/>
        <v>0</v>
      </c>
      <c r="AI234" s="99">
        <f t="shared" si="186"/>
        <v>0</v>
      </c>
      <c r="AJ234" s="99">
        <f t="shared" si="186"/>
        <v>0</v>
      </c>
      <c r="AK234" s="99">
        <f t="shared" si="186"/>
        <v>0</v>
      </c>
      <c r="AL234" s="99">
        <f t="shared" si="186"/>
        <v>0</v>
      </c>
      <c r="AM234" s="99">
        <f t="shared" si="186"/>
        <v>0</v>
      </c>
      <c r="AN234" s="99">
        <f t="shared" si="186"/>
        <v>0</v>
      </c>
      <c r="AO234" s="99">
        <f t="shared" si="186"/>
        <v>0</v>
      </c>
      <c r="AP234" s="99">
        <f t="shared" si="186"/>
        <v>0</v>
      </c>
      <c r="AQ234" s="99">
        <f t="shared" si="186"/>
        <v>0</v>
      </c>
      <c r="AR234" s="99">
        <f t="shared" si="186"/>
        <v>0</v>
      </c>
      <c r="AS234" s="99">
        <f t="shared" si="186"/>
        <v>0</v>
      </c>
      <c r="AT234" s="99">
        <f t="shared" si="186"/>
        <v>0</v>
      </c>
      <c r="AU234" s="99">
        <f t="shared" si="186"/>
        <v>0</v>
      </c>
      <c r="AV234" s="99">
        <f t="shared" si="186"/>
        <v>0</v>
      </c>
      <c r="AW234" s="67"/>
      <c r="AX234" s="90"/>
      <c r="AY234" s="90"/>
      <c r="AZ234" s="90"/>
      <c r="BA234" s="90"/>
      <c r="BB234" s="90"/>
      <c r="BC234" s="90"/>
      <c r="BD234" s="90"/>
      <c r="BE234" s="90"/>
      <c r="BF234" s="90"/>
      <c r="BG234" s="90"/>
    </row>
    <row r="235" ht="12.75" hidden="1" customHeight="1" outlineLevel="1">
      <c r="A235" s="316"/>
      <c r="B235" s="90"/>
      <c r="C235" s="90"/>
      <c r="D235" s="90" t="s">
        <v>773</v>
      </c>
      <c r="E235" s="90"/>
      <c r="F235" s="90"/>
      <c r="G235" s="254"/>
      <c r="H235" s="254"/>
      <c r="I235" s="254">
        <f>500/I46</f>
        <v>3.125</v>
      </c>
      <c r="J235" s="254"/>
      <c r="K235" s="99"/>
      <c r="L235" s="99">
        <f>'RSGen 1-7'!K236</f>
        <v>5</v>
      </c>
      <c r="M235" s="99">
        <f t="shared" ref="M235:AV235" si="187">L235*(1+M$194)</f>
        <v>5.1</v>
      </c>
      <c r="N235" s="99">
        <f t="shared" si="187"/>
        <v>5.202</v>
      </c>
      <c r="O235" s="99">
        <f t="shared" si="187"/>
        <v>5.30604</v>
      </c>
      <c r="P235" s="99">
        <f t="shared" si="187"/>
        <v>5.4121608</v>
      </c>
      <c r="Q235" s="99">
        <f t="shared" si="187"/>
        <v>5.520404016</v>
      </c>
      <c r="R235" s="99">
        <f t="shared" si="187"/>
        <v>5.630812096</v>
      </c>
      <c r="S235" s="99">
        <f t="shared" si="187"/>
        <v>5.743428338</v>
      </c>
      <c r="T235" s="99">
        <f t="shared" si="187"/>
        <v>5.858296905</v>
      </c>
      <c r="U235" s="99">
        <f t="shared" si="187"/>
        <v>5.975462843</v>
      </c>
      <c r="V235" s="99">
        <f t="shared" si="187"/>
        <v>6.0949721</v>
      </c>
      <c r="W235" s="99">
        <f t="shared" si="187"/>
        <v>6.216871542</v>
      </c>
      <c r="X235" s="99">
        <f t="shared" si="187"/>
        <v>6.341208973</v>
      </c>
      <c r="Y235" s="99">
        <f t="shared" si="187"/>
        <v>6.468033152</v>
      </c>
      <c r="Z235" s="99">
        <f t="shared" si="187"/>
        <v>6.597393815</v>
      </c>
      <c r="AA235" s="99">
        <f t="shared" si="187"/>
        <v>6.729341692</v>
      </c>
      <c r="AB235" s="99">
        <f t="shared" si="187"/>
        <v>6.863928525</v>
      </c>
      <c r="AC235" s="99">
        <f t="shared" si="187"/>
        <v>7.001207096</v>
      </c>
      <c r="AD235" s="99">
        <f t="shared" si="187"/>
        <v>7.141231238</v>
      </c>
      <c r="AE235" s="99">
        <f t="shared" si="187"/>
        <v>7.284055863</v>
      </c>
      <c r="AF235" s="99">
        <f t="shared" si="187"/>
        <v>7.42973698</v>
      </c>
      <c r="AG235" s="99">
        <f t="shared" si="187"/>
        <v>7.578331719</v>
      </c>
      <c r="AH235" s="99">
        <f t="shared" si="187"/>
        <v>7.729898354</v>
      </c>
      <c r="AI235" s="99">
        <f t="shared" si="187"/>
        <v>7.884496321</v>
      </c>
      <c r="AJ235" s="99">
        <f t="shared" si="187"/>
        <v>8.042186247</v>
      </c>
      <c r="AK235" s="99">
        <f t="shared" si="187"/>
        <v>8.203029972</v>
      </c>
      <c r="AL235" s="99">
        <f t="shared" si="187"/>
        <v>8.367090572</v>
      </c>
      <c r="AM235" s="99">
        <f t="shared" si="187"/>
        <v>8.534432383</v>
      </c>
      <c r="AN235" s="99">
        <f t="shared" si="187"/>
        <v>8.705121031</v>
      </c>
      <c r="AO235" s="99">
        <f t="shared" si="187"/>
        <v>8.879223451</v>
      </c>
      <c r="AP235" s="99">
        <f t="shared" si="187"/>
        <v>9.056807921</v>
      </c>
      <c r="AQ235" s="99">
        <f t="shared" si="187"/>
        <v>9.237944079</v>
      </c>
      <c r="AR235" s="99">
        <f t="shared" si="187"/>
        <v>9.422702961</v>
      </c>
      <c r="AS235" s="99">
        <f t="shared" si="187"/>
        <v>9.61115702</v>
      </c>
      <c r="AT235" s="99">
        <f t="shared" si="187"/>
        <v>9.80338016</v>
      </c>
      <c r="AU235" s="99">
        <f t="shared" si="187"/>
        <v>9.999447763</v>
      </c>
      <c r="AV235" s="99">
        <f t="shared" si="187"/>
        <v>10.19943672</v>
      </c>
      <c r="AW235" s="67"/>
      <c r="AX235" s="90"/>
      <c r="AY235" s="90"/>
      <c r="AZ235" s="90"/>
      <c r="BA235" s="90"/>
      <c r="BB235" s="90"/>
      <c r="BC235" s="90"/>
      <c r="BD235" s="90"/>
      <c r="BE235" s="90"/>
      <c r="BF235" s="90"/>
      <c r="BG235" s="90"/>
    </row>
    <row r="236" ht="12.75" hidden="1" customHeight="1" outlineLevel="1">
      <c r="A236" s="316"/>
      <c r="B236" s="90"/>
      <c r="C236" s="90"/>
      <c r="D236" s="90" t="s">
        <v>774</v>
      </c>
      <c r="E236" s="90"/>
      <c r="F236" s="90"/>
      <c r="G236" s="254"/>
      <c r="H236" s="254"/>
      <c r="I236" s="254">
        <f>500/I46</f>
        <v>3.125</v>
      </c>
      <c r="J236" s="254"/>
      <c r="K236" s="99"/>
      <c r="L236" s="99" t="str">
        <f>'RSGen 1-7'!K237</f>
        <v/>
      </c>
      <c r="M236" s="99">
        <f t="shared" ref="M236:AV236" si="188">L236*(1+M$194)</f>
        <v>0</v>
      </c>
      <c r="N236" s="99">
        <f t="shared" si="188"/>
        <v>0</v>
      </c>
      <c r="O236" s="99">
        <f t="shared" si="188"/>
        <v>0</v>
      </c>
      <c r="P236" s="99">
        <f t="shared" si="188"/>
        <v>0</v>
      </c>
      <c r="Q236" s="99">
        <f t="shared" si="188"/>
        <v>0</v>
      </c>
      <c r="R236" s="99">
        <f t="shared" si="188"/>
        <v>0</v>
      </c>
      <c r="S236" s="99">
        <f t="shared" si="188"/>
        <v>0</v>
      </c>
      <c r="T236" s="99">
        <f t="shared" si="188"/>
        <v>0</v>
      </c>
      <c r="U236" s="99">
        <f t="shared" si="188"/>
        <v>0</v>
      </c>
      <c r="V236" s="99">
        <f t="shared" si="188"/>
        <v>0</v>
      </c>
      <c r="W236" s="99">
        <f t="shared" si="188"/>
        <v>0</v>
      </c>
      <c r="X236" s="99">
        <f t="shared" si="188"/>
        <v>0</v>
      </c>
      <c r="Y236" s="99">
        <f t="shared" si="188"/>
        <v>0</v>
      </c>
      <c r="Z236" s="99">
        <f t="shared" si="188"/>
        <v>0</v>
      </c>
      <c r="AA236" s="99">
        <f t="shared" si="188"/>
        <v>0</v>
      </c>
      <c r="AB236" s="99">
        <f t="shared" si="188"/>
        <v>0</v>
      </c>
      <c r="AC236" s="99">
        <f t="shared" si="188"/>
        <v>0</v>
      </c>
      <c r="AD236" s="99">
        <f t="shared" si="188"/>
        <v>0</v>
      </c>
      <c r="AE236" s="99">
        <f t="shared" si="188"/>
        <v>0</v>
      </c>
      <c r="AF236" s="99">
        <f t="shared" si="188"/>
        <v>0</v>
      </c>
      <c r="AG236" s="99">
        <f t="shared" si="188"/>
        <v>0</v>
      </c>
      <c r="AH236" s="99">
        <f t="shared" si="188"/>
        <v>0</v>
      </c>
      <c r="AI236" s="99">
        <f t="shared" si="188"/>
        <v>0</v>
      </c>
      <c r="AJ236" s="99">
        <f t="shared" si="188"/>
        <v>0</v>
      </c>
      <c r="AK236" s="99">
        <f t="shared" si="188"/>
        <v>0</v>
      </c>
      <c r="AL236" s="99">
        <f t="shared" si="188"/>
        <v>0</v>
      </c>
      <c r="AM236" s="99">
        <f t="shared" si="188"/>
        <v>0</v>
      </c>
      <c r="AN236" s="99">
        <f t="shared" si="188"/>
        <v>0</v>
      </c>
      <c r="AO236" s="99">
        <f t="shared" si="188"/>
        <v>0</v>
      </c>
      <c r="AP236" s="99">
        <f t="shared" si="188"/>
        <v>0</v>
      </c>
      <c r="AQ236" s="99">
        <f t="shared" si="188"/>
        <v>0</v>
      </c>
      <c r="AR236" s="99">
        <f t="shared" si="188"/>
        <v>0</v>
      </c>
      <c r="AS236" s="99">
        <f t="shared" si="188"/>
        <v>0</v>
      </c>
      <c r="AT236" s="99">
        <f t="shared" si="188"/>
        <v>0</v>
      </c>
      <c r="AU236" s="99">
        <f t="shared" si="188"/>
        <v>0</v>
      </c>
      <c r="AV236" s="99">
        <f t="shared" si="188"/>
        <v>0</v>
      </c>
      <c r="AW236" s="67"/>
      <c r="AX236" s="90"/>
      <c r="AY236" s="90"/>
      <c r="AZ236" s="90"/>
      <c r="BA236" s="90"/>
      <c r="BB236" s="90"/>
      <c r="BC236" s="90"/>
      <c r="BD236" s="90"/>
      <c r="BE236" s="90"/>
      <c r="BF236" s="90"/>
      <c r="BG236" s="90"/>
    </row>
    <row r="237" ht="12.75" hidden="1" customHeight="1" outlineLevel="1">
      <c r="A237" s="316"/>
      <c r="B237" s="90"/>
      <c r="C237" s="90"/>
      <c r="D237" s="90"/>
      <c r="E237" s="90"/>
      <c r="F237" s="90"/>
      <c r="G237" s="90"/>
      <c r="H237" s="99"/>
      <c r="I237" s="99"/>
      <c r="J237" s="99"/>
      <c r="K237" s="99"/>
      <c r="L237" s="99"/>
      <c r="M237" s="99"/>
      <c r="N237" s="99"/>
      <c r="O237" s="99"/>
      <c r="P237" s="99"/>
      <c r="Q237" s="99"/>
      <c r="R237" s="99"/>
      <c r="S237" s="99"/>
      <c r="T237" s="99"/>
      <c r="U237" s="99"/>
      <c r="V237" s="99"/>
      <c r="W237" s="99"/>
      <c r="X237" s="99"/>
      <c r="Y237" s="99"/>
      <c r="Z237" s="99"/>
      <c r="AA237" s="99"/>
      <c r="AB237" s="99"/>
      <c r="AC237" s="99"/>
      <c r="AD237" s="99"/>
      <c r="AE237" s="99"/>
      <c r="AF237" s="99"/>
      <c r="AG237" s="99"/>
      <c r="AH237" s="99"/>
      <c r="AI237" s="99"/>
      <c r="AJ237" s="99"/>
      <c r="AK237" s="99"/>
      <c r="AL237" s="99"/>
      <c r="AM237" s="99"/>
      <c r="AN237" s="99"/>
      <c r="AO237" s="99"/>
      <c r="AP237" s="99"/>
      <c r="AQ237" s="99"/>
      <c r="AR237" s="99"/>
      <c r="AS237" s="99"/>
      <c r="AT237" s="99"/>
      <c r="AU237" s="99"/>
      <c r="AV237" s="99"/>
      <c r="AW237" s="90"/>
      <c r="AX237" s="90"/>
      <c r="AY237" s="90"/>
      <c r="AZ237" s="90"/>
      <c r="BA237" s="90"/>
      <c r="BB237" s="90"/>
      <c r="BC237" s="90"/>
      <c r="BD237" s="90"/>
      <c r="BE237" s="90"/>
      <c r="BF237" s="90"/>
      <c r="BG237" s="90"/>
    </row>
    <row r="238" ht="12.75" hidden="1" customHeight="1" outlineLevel="1">
      <c r="A238" s="316"/>
      <c r="B238" s="67" t="s">
        <v>775</v>
      </c>
      <c r="C238" s="90"/>
      <c r="D238" s="90"/>
      <c r="E238" s="90"/>
      <c r="F238" s="90"/>
      <c r="G238" s="254"/>
      <c r="H238" s="254"/>
      <c r="I238" s="254">
        <v>0.0</v>
      </c>
      <c r="J238" s="254">
        <v>0.0</v>
      </c>
      <c r="K238" s="99">
        <f t="shared" ref="K238:AV238" si="189">J238*(1+K$194)</f>
        <v>0</v>
      </c>
      <c r="L238" s="99">
        <f t="shared" si="189"/>
        <v>0</v>
      </c>
      <c r="M238" s="99">
        <f t="shared" si="189"/>
        <v>0</v>
      </c>
      <c r="N238" s="99">
        <f t="shared" si="189"/>
        <v>0</v>
      </c>
      <c r="O238" s="99">
        <f t="shared" si="189"/>
        <v>0</v>
      </c>
      <c r="P238" s="99">
        <f t="shared" si="189"/>
        <v>0</v>
      </c>
      <c r="Q238" s="99">
        <f t="shared" si="189"/>
        <v>0</v>
      </c>
      <c r="R238" s="99">
        <f t="shared" si="189"/>
        <v>0</v>
      </c>
      <c r="S238" s="99">
        <f t="shared" si="189"/>
        <v>0</v>
      </c>
      <c r="T238" s="99">
        <f t="shared" si="189"/>
        <v>0</v>
      </c>
      <c r="U238" s="99">
        <f t="shared" si="189"/>
        <v>0</v>
      </c>
      <c r="V238" s="99">
        <f t="shared" si="189"/>
        <v>0</v>
      </c>
      <c r="W238" s="99">
        <f t="shared" si="189"/>
        <v>0</v>
      </c>
      <c r="X238" s="99">
        <f t="shared" si="189"/>
        <v>0</v>
      </c>
      <c r="Y238" s="99">
        <f t="shared" si="189"/>
        <v>0</v>
      </c>
      <c r="Z238" s="99">
        <f t="shared" si="189"/>
        <v>0</v>
      </c>
      <c r="AA238" s="99">
        <f t="shared" si="189"/>
        <v>0</v>
      </c>
      <c r="AB238" s="99">
        <f t="shared" si="189"/>
        <v>0</v>
      </c>
      <c r="AC238" s="99">
        <f t="shared" si="189"/>
        <v>0</v>
      </c>
      <c r="AD238" s="99">
        <f t="shared" si="189"/>
        <v>0</v>
      </c>
      <c r="AE238" s="99">
        <f t="shared" si="189"/>
        <v>0</v>
      </c>
      <c r="AF238" s="99">
        <f t="shared" si="189"/>
        <v>0</v>
      </c>
      <c r="AG238" s="99">
        <f t="shared" si="189"/>
        <v>0</v>
      </c>
      <c r="AH238" s="99">
        <f t="shared" si="189"/>
        <v>0</v>
      </c>
      <c r="AI238" s="99">
        <f t="shared" si="189"/>
        <v>0</v>
      </c>
      <c r="AJ238" s="99">
        <f t="shared" si="189"/>
        <v>0</v>
      </c>
      <c r="AK238" s="99">
        <f t="shared" si="189"/>
        <v>0</v>
      </c>
      <c r="AL238" s="99">
        <f t="shared" si="189"/>
        <v>0</v>
      </c>
      <c r="AM238" s="99">
        <f t="shared" si="189"/>
        <v>0</v>
      </c>
      <c r="AN238" s="99">
        <f t="shared" si="189"/>
        <v>0</v>
      </c>
      <c r="AO238" s="99">
        <f t="shared" si="189"/>
        <v>0</v>
      </c>
      <c r="AP238" s="99">
        <f t="shared" si="189"/>
        <v>0</v>
      </c>
      <c r="AQ238" s="99">
        <f t="shared" si="189"/>
        <v>0</v>
      </c>
      <c r="AR238" s="99">
        <f t="shared" si="189"/>
        <v>0</v>
      </c>
      <c r="AS238" s="99">
        <f t="shared" si="189"/>
        <v>0</v>
      </c>
      <c r="AT238" s="99">
        <f t="shared" si="189"/>
        <v>0</v>
      </c>
      <c r="AU238" s="99">
        <f t="shared" si="189"/>
        <v>0</v>
      </c>
      <c r="AV238" s="99">
        <f t="shared" si="189"/>
        <v>0</v>
      </c>
      <c r="AW238" s="90"/>
      <c r="AX238" s="90"/>
      <c r="AY238" s="90"/>
      <c r="AZ238" s="90"/>
      <c r="BA238" s="90"/>
      <c r="BB238" s="90"/>
      <c r="BC238" s="90"/>
      <c r="BD238" s="90"/>
      <c r="BE238" s="90"/>
      <c r="BF238" s="90"/>
      <c r="BG238" s="90"/>
    </row>
    <row r="239" ht="12.75" hidden="1" customHeight="1" outlineLevel="1">
      <c r="A239" s="316"/>
      <c r="B239" s="90"/>
      <c r="C239" s="90"/>
      <c r="D239" s="90"/>
      <c r="E239" s="90"/>
      <c r="F239" s="90"/>
      <c r="G239" s="90"/>
      <c r="H239" s="99"/>
      <c r="I239" s="99"/>
      <c r="J239" s="99"/>
      <c r="K239" s="99"/>
      <c r="L239" s="99"/>
      <c r="M239" s="99"/>
      <c r="N239" s="99"/>
      <c r="O239" s="99"/>
      <c r="P239" s="99"/>
      <c r="Q239" s="99"/>
      <c r="R239" s="99"/>
      <c r="S239" s="99"/>
      <c r="T239" s="99"/>
      <c r="U239" s="99"/>
      <c r="V239" s="99"/>
      <c r="W239" s="99"/>
      <c r="X239" s="99"/>
      <c r="Y239" s="99"/>
      <c r="Z239" s="99"/>
      <c r="AA239" s="99"/>
      <c r="AB239" s="99"/>
      <c r="AC239" s="99"/>
      <c r="AD239" s="99"/>
      <c r="AE239" s="99"/>
      <c r="AF239" s="99"/>
      <c r="AG239" s="99"/>
      <c r="AH239" s="99"/>
      <c r="AI239" s="99"/>
      <c r="AJ239" s="99"/>
      <c r="AK239" s="99"/>
      <c r="AL239" s="99"/>
      <c r="AM239" s="99"/>
      <c r="AN239" s="99"/>
      <c r="AO239" s="99"/>
      <c r="AP239" s="99"/>
      <c r="AQ239" s="99"/>
      <c r="AR239" s="99"/>
      <c r="AS239" s="99"/>
      <c r="AT239" s="99"/>
      <c r="AU239" s="99"/>
      <c r="AV239" s="99"/>
      <c r="AW239" s="90"/>
      <c r="AX239" s="90"/>
      <c r="AY239" s="90"/>
      <c r="AZ239" s="90"/>
      <c r="BA239" s="90"/>
      <c r="BB239" s="90"/>
      <c r="BC239" s="90"/>
      <c r="BD239" s="90"/>
      <c r="BE239" s="90"/>
      <c r="BF239" s="90"/>
      <c r="BG239" s="90"/>
    </row>
    <row r="240" ht="12.75" hidden="1" customHeight="1" outlineLevel="1">
      <c r="A240" s="316"/>
      <c r="B240" s="67" t="s">
        <v>555</v>
      </c>
      <c r="C240" s="90"/>
      <c r="D240" s="90"/>
      <c r="E240" s="90"/>
      <c r="F240" s="90"/>
      <c r="G240" s="90"/>
      <c r="H240" s="90"/>
      <c r="I240" s="90"/>
      <c r="J240" s="90"/>
      <c r="K240" s="90"/>
      <c r="L240" s="90"/>
      <c r="M240" s="90"/>
      <c r="N240" s="90"/>
      <c r="O240" s="90"/>
      <c r="P240" s="90"/>
      <c r="Q240" s="90"/>
      <c r="R240" s="90"/>
      <c r="S240" s="90"/>
      <c r="T240" s="90"/>
      <c r="U240" s="90"/>
      <c r="V240" s="90"/>
      <c r="W240" s="90"/>
      <c r="X240" s="90"/>
      <c r="Y240" s="90"/>
      <c r="Z240" s="90"/>
      <c r="AA240" s="90"/>
      <c r="AB240" s="90"/>
      <c r="AC240" s="90"/>
      <c r="AD240" s="90"/>
      <c r="AE240" s="90"/>
      <c r="AF240" s="90"/>
      <c r="AG240" s="90"/>
      <c r="AH240" s="90"/>
      <c r="AI240" s="90"/>
      <c r="AJ240" s="90"/>
      <c r="AK240" s="90"/>
      <c r="AL240" s="90"/>
      <c r="AM240" s="90"/>
      <c r="AN240" s="90"/>
      <c r="AO240" s="90"/>
      <c r="AP240" s="90"/>
      <c r="AQ240" s="90"/>
      <c r="AR240" s="90"/>
      <c r="AS240" s="90"/>
      <c r="AT240" s="90"/>
      <c r="AU240" s="90"/>
      <c r="AV240" s="90"/>
      <c r="AW240" s="90"/>
      <c r="AX240" s="90"/>
      <c r="AY240" s="90"/>
      <c r="AZ240" s="90"/>
      <c r="BA240" s="90"/>
      <c r="BB240" s="90"/>
      <c r="BC240" s="90"/>
      <c r="BD240" s="90"/>
      <c r="BE240" s="90"/>
      <c r="BF240" s="90"/>
      <c r="BG240" s="90"/>
    </row>
    <row r="241" ht="12.75" hidden="1" customHeight="1" outlineLevel="1">
      <c r="A241" s="316"/>
      <c r="B241" s="67"/>
      <c r="C241" s="90" t="s">
        <v>776</v>
      </c>
      <c r="D241" s="90"/>
      <c r="E241" s="90"/>
      <c r="F241" s="90"/>
      <c r="G241" s="90"/>
      <c r="H241" s="90"/>
      <c r="I241" s="90"/>
      <c r="J241" s="90"/>
      <c r="K241" s="90"/>
      <c r="L241" s="90"/>
      <c r="M241" s="90"/>
      <c r="N241" s="90"/>
      <c r="O241" s="90"/>
      <c r="P241" s="90"/>
      <c r="Q241" s="90"/>
      <c r="R241" s="90"/>
      <c r="S241" s="90"/>
      <c r="T241" s="90"/>
      <c r="U241" s="90"/>
      <c r="V241" s="90"/>
      <c r="W241" s="90"/>
      <c r="X241" s="90"/>
      <c r="Y241" s="90"/>
      <c r="Z241" s="90"/>
      <c r="AA241" s="90"/>
      <c r="AB241" s="90"/>
      <c r="AC241" s="90"/>
      <c r="AD241" s="90"/>
      <c r="AE241" s="90"/>
      <c r="AF241" s="90"/>
      <c r="AG241" s="90"/>
      <c r="AH241" s="90"/>
      <c r="AI241" s="90"/>
      <c r="AJ241" s="90"/>
      <c r="AK241" s="90"/>
      <c r="AL241" s="90"/>
      <c r="AM241" s="90"/>
      <c r="AN241" s="90"/>
      <c r="AO241" s="90"/>
      <c r="AP241" s="90"/>
      <c r="AQ241" s="90"/>
      <c r="AR241" s="90"/>
      <c r="AS241" s="90"/>
      <c r="AT241" s="90"/>
      <c r="AU241" s="90"/>
      <c r="AV241" s="90"/>
      <c r="AW241" s="90"/>
      <c r="AX241" s="90"/>
      <c r="AY241" s="90"/>
      <c r="AZ241" s="90"/>
      <c r="BA241" s="90"/>
      <c r="BB241" s="90"/>
      <c r="BC241" s="90"/>
      <c r="BD241" s="90"/>
      <c r="BE241" s="90"/>
      <c r="BF241" s="90"/>
      <c r="BG241" s="90"/>
    </row>
    <row r="242" ht="12.75" hidden="1" customHeight="1" outlineLevel="1">
      <c r="A242" s="316"/>
      <c r="B242" s="90"/>
      <c r="C242" s="90"/>
      <c r="D242" s="90" t="s">
        <v>276</v>
      </c>
      <c r="E242" s="90"/>
      <c r="F242" s="90"/>
      <c r="G242" s="157"/>
      <c r="H242" s="152"/>
      <c r="I242" s="157">
        <v>0.12</v>
      </c>
      <c r="J242" s="302">
        <v>0.12</v>
      </c>
      <c r="K242" s="302">
        <f>Assumptions!H63</f>
        <v>0.12</v>
      </c>
      <c r="L242" s="302">
        <f>Assumptions!I63</f>
        <v>0.12</v>
      </c>
      <c r="M242" s="302">
        <f>Assumptions!J63</f>
        <v>0.12</v>
      </c>
      <c r="N242" s="302">
        <f>Assumptions!K63</f>
        <v>0.12</v>
      </c>
      <c r="O242" s="302">
        <f>Assumptions!L63</f>
        <v>0.12</v>
      </c>
      <c r="P242" s="302">
        <f>Assumptions!M63</f>
        <v>0.12</v>
      </c>
      <c r="Q242" s="302">
        <f t="shared" ref="Q242:AV242" si="190">P242</f>
        <v>0.12</v>
      </c>
      <c r="R242" s="302">
        <f t="shared" si="190"/>
        <v>0.12</v>
      </c>
      <c r="S242" s="302">
        <f t="shared" si="190"/>
        <v>0.12</v>
      </c>
      <c r="T242" s="302">
        <f t="shared" si="190"/>
        <v>0.12</v>
      </c>
      <c r="U242" s="302">
        <f t="shared" si="190"/>
        <v>0.12</v>
      </c>
      <c r="V242" s="302">
        <f t="shared" si="190"/>
        <v>0.12</v>
      </c>
      <c r="W242" s="302">
        <f t="shared" si="190"/>
        <v>0.12</v>
      </c>
      <c r="X242" s="302">
        <f t="shared" si="190"/>
        <v>0.12</v>
      </c>
      <c r="Y242" s="302">
        <f t="shared" si="190"/>
        <v>0.12</v>
      </c>
      <c r="Z242" s="302">
        <f t="shared" si="190"/>
        <v>0.12</v>
      </c>
      <c r="AA242" s="302">
        <f t="shared" si="190"/>
        <v>0.12</v>
      </c>
      <c r="AB242" s="302">
        <f t="shared" si="190"/>
        <v>0.12</v>
      </c>
      <c r="AC242" s="302">
        <f t="shared" si="190"/>
        <v>0.12</v>
      </c>
      <c r="AD242" s="302">
        <f t="shared" si="190"/>
        <v>0.12</v>
      </c>
      <c r="AE242" s="302">
        <f t="shared" si="190"/>
        <v>0.12</v>
      </c>
      <c r="AF242" s="302">
        <f t="shared" si="190"/>
        <v>0.12</v>
      </c>
      <c r="AG242" s="302">
        <f t="shared" si="190"/>
        <v>0.12</v>
      </c>
      <c r="AH242" s="302">
        <f t="shared" si="190"/>
        <v>0.12</v>
      </c>
      <c r="AI242" s="302">
        <f t="shared" si="190"/>
        <v>0.12</v>
      </c>
      <c r="AJ242" s="302">
        <f t="shared" si="190"/>
        <v>0.12</v>
      </c>
      <c r="AK242" s="302">
        <f t="shared" si="190"/>
        <v>0.12</v>
      </c>
      <c r="AL242" s="302">
        <f t="shared" si="190"/>
        <v>0.12</v>
      </c>
      <c r="AM242" s="302">
        <f t="shared" si="190"/>
        <v>0.12</v>
      </c>
      <c r="AN242" s="302">
        <f t="shared" si="190"/>
        <v>0.12</v>
      </c>
      <c r="AO242" s="302">
        <f t="shared" si="190"/>
        <v>0.12</v>
      </c>
      <c r="AP242" s="302">
        <f t="shared" si="190"/>
        <v>0.12</v>
      </c>
      <c r="AQ242" s="302">
        <f t="shared" si="190"/>
        <v>0.12</v>
      </c>
      <c r="AR242" s="302">
        <f t="shared" si="190"/>
        <v>0.12</v>
      </c>
      <c r="AS242" s="302">
        <f t="shared" si="190"/>
        <v>0.12</v>
      </c>
      <c r="AT242" s="302">
        <f t="shared" si="190"/>
        <v>0.12</v>
      </c>
      <c r="AU242" s="302">
        <f t="shared" si="190"/>
        <v>0.12</v>
      </c>
      <c r="AV242" s="302">
        <f t="shared" si="190"/>
        <v>0.12</v>
      </c>
      <c r="AW242" s="90" t="s">
        <v>1205</v>
      </c>
      <c r="AX242" s="90"/>
      <c r="AY242" s="90"/>
      <c r="AZ242" s="90"/>
      <c r="BA242" s="90"/>
      <c r="BB242" s="90"/>
      <c r="BC242" s="90"/>
      <c r="BD242" s="90"/>
      <c r="BE242" s="90"/>
      <c r="BF242" s="90"/>
      <c r="BG242" s="90"/>
    </row>
    <row r="243" ht="12.75" hidden="1" customHeight="1" outlineLevel="1">
      <c r="A243" s="316"/>
      <c r="B243" s="90"/>
      <c r="C243" s="90"/>
      <c r="D243" s="90" t="s">
        <v>183</v>
      </c>
      <c r="E243" s="90"/>
      <c r="F243" s="90"/>
      <c r="G243" s="157"/>
      <c r="H243" s="152"/>
      <c r="I243" s="157"/>
      <c r="J243" s="302">
        <v>0.2</v>
      </c>
      <c r="K243" s="302">
        <f>Assumptions!H64</f>
        <v>0.2</v>
      </c>
      <c r="L243" s="302">
        <f>Assumptions!I64</f>
        <v>0.2</v>
      </c>
      <c r="M243" s="302">
        <f>Assumptions!J64</f>
        <v>0.2</v>
      </c>
      <c r="N243" s="302">
        <f>Assumptions!K64</f>
        <v>0.2</v>
      </c>
      <c r="O243" s="302">
        <f>Assumptions!L64</f>
        <v>0.2</v>
      </c>
      <c r="P243" s="302">
        <f>Assumptions!M64</f>
        <v>0.2</v>
      </c>
      <c r="Q243" s="302">
        <f t="shared" ref="Q243:AV243" si="191">P243</f>
        <v>0.2</v>
      </c>
      <c r="R243" s="302">
        <f t="shared" si="191"/>
        <v>0.2</v>
      </c>
      <c r="S243" s="302">
        <f t="shared" si="191"/>
        <v>0.2</v>
      </c>
      <c r="T243" s="302">
        <f t="shared" si="191"/>
        <v>0.2</v>
      </c>
      <c r="U243" s="302">
        <f t="shared" si="191"/>
        <v>0.2</v>
      </c>
      <c r="V243" s="302">
        <f t="shared" si="191"/>
        <v>0.2</v>
      </c>
      <c r="W243" s="302">
        <f t="shared" si="191"/>
        <v>0.2</v>
      </c>
      <c r="X243" s="302">
        <f t="shared" si="191"/>
        <v>0.2</v>
      </c>
      <c r="Y243" s="302">
        <f t="shared" si="191"/>
        <v>0.2</v>
      </c>
      <c r="Z243" s="302">
        <f t="shared" si="191"/>
        <v>0.2</v>
      </c>
      <c r="AA243" s="302">
        <f t="shared" si="191"/>
        <v>0.2</v>
      </c>
      <c r="AB243" s="302">
        <f t="shared" si="191"/>
        <v>0.2</v>
      </c>
      <c r="AC243" s="302">
        <f t="shared" si="191"/>
        <v>0.2</v>
      </c>
      <c r="AD243" s="302">
        <f t="shared" si="191"/>
        <v>0.2</v>
      </c>
      <c r="AE243" s="302">
        <f t="shared" si="191"/>
        <v>0.2</v>
      </c>
      <c r="AF243" s="302">
        <f t="shared" si="191"/>
        <v>0.2</v>
      </c>
      <c r="AG243" s="302">
        <f t="shared" si="191"/>
        <v>0.2</v>
      </c>
      <c r="AH243" s="302">
        <f t="shared" si="191"/>
        <v>0.2</v>
      </c>
      <c r="AI243" s="302">
        <f t="shared" si="191"/>
        <v>0.2</v>
      </c>
      <c r="AJ243" s="302">
        <f t="shared" si="191"/>
        <v>0.2</v>
      </c>
      <c r="AK243" s="302">
        <f t="shared" si="191"/>
        <v>0.2</v>
      </c>
      <c r="AL243" s="302">
        <f t="shared" si="191"/>
        <v>0.2</v>
      </c>
      <c r="AM243" s="302">
        <f t="shared" si="191"/>
        <v>0.2</v>
      </c>
      <c r="AN243" s="302">
        <f t="shared" si="191"/>
        <v>0.2</v>
      </c>
      <c r="AO243" s="302">
        <f t="shared" si="191"/>
        <v>0.2</v>
      </c>
      <c r="AP243" s="302">
        <f t="shared" si="191"/>
        <v>0.2</v>
      </c>
      <c r="AQ243" s="302">
        <f t="shared" si="191"/>
        <v>0.2</v>
      </c>
      <c r="AR243" s="302">
        <f t="shared" si="191"/>
        <v>0.2</v>
      </c>
      <c r="AS243" s="302">
        <f t="shared" si="191"/>
        <v>0.2</v>
      </c>
      <c r="AT243" s="302">
        <f t="shared" si="191"/>
        <v>0.2</v>
      </c>
      <c r="AU243" s="302">
        <f t="shared" si="191"/>
        <v>0.2</v>
      </c>
      <c r="AV243" s="302">
        <f t="shared" si="191"/>
        <v>0.2</v>
      </c>
      <c r="AW243" s="90" t="s">
        <v>1205</v>
      </c>
      <c r="AX243" s="90"/>
      <c r="AY243" s="90"/>
      <c r="AZ243" s="90"/>
      <c r="BA243" s="90"/>
      <c r="BB243" s="90"/>
      <c r="BC243" s="90"/>
      <c r="BD243" s="90"/>
      <c r="BE243" s="90"/>
      <c r="BF243" s="90"/>
      <c r="BG243" s="90"/>
    </row>
    <row r="244" ht="12.75" hidden="1" customHeight="1" outlineLevel="1">
      <c r="A244" s="316"/>
      <c r="B244" s="90"/>
      <c r="C244" s="90"/>
      <c r="D244" s="90" t="s">
        <v>601</v>
      </c>
      <c r="E244" s="90"/>
      <c r="F244" s="90"/>
      <c r="G244" s="157"/>
      <c r="H244" s="152"/>
      <c r="I244" s="157"/>
      <c r="J244" s="302">
        <v>0.05</v>
      </c>
      <c r="K244" s="302">
        <f>Assumptions!H65</f>
        <v>0.03</v>
      </c>
      <c r="L244" s="302">
        <f>Assumptions!I65</f>
        <v>0.03</v>
      </c>
      <c r="M244" s="302">
        <f>Assumptions!J65</f>
        <v>0.03</v>
      </c>
      <c r="N244" s="302">
        <f>Assumptions!K65</f>
        <v>0.03</v>
      </c>
      <c r="O244" s="302">
        <f>Assumptions!L65</f>
        <v>0.03</v>
      </c>
      <c r="P244" s="302">
        <f>Assumptions!M65</f>
        <v>0.03</v>
      </c>
      <c r="Q244" s="302">
        <f t="shared" ref="Q244:AV244" si="192">P244</f>
        <v>0.03</v>
      </c>
      <c r="R244" s="302">
        <f t="shared" si="192"/>
        <v>0.03</v>
      </c>
      <c r="S244" s="302">
        <f t="shared" si="192"/>
        <v>0.03</v>
      </c>
      <c r="T244" s="302">
        <f t="shared" si="192"/>
        <v>0.03</v>
      </c>
      <c r="U244" s="302">
        <f t="shared" si="192"/>
        <v>0.03</v>
      </c>
      <c r="V244" s="302">
        <f t="shared" si="192"/>
        <v>0.03</v>
      </c>
      <c r="W244" s="302">
        <f t="shared" si="192"/>
        <v>0.03</v>
      </c>
      <c r="X244" s="302">
        <f t="shared" si="192"/>
        <v>0.03</v>
      </c>
      <c r="Y244" s="302">
        <f t="shared" si="192"/>
        <v>0.03</v>
      </c>
      <c r="Z244" s="302">
        <f t="shared" si="192"/>
        <v>0.03</v>
      </c>
      <c r="AA244" s="302">
        <f t="shared" si="192"/>
        <v>0.03</v>
      </c>
      <c r="AB244" s="302">
        <f t="shared" si="192"/>
        <v>0.03</v>
      </c>
      <c r="AC244" s="302">
        <f t="shared" si="192"/>
        <v>0.03</v>
      </c>
      <c r="AD244" s="302">
        <f t="shared" si="192"/>
        <v>0.03</v>
      </c>
      <c r="AE244" s="302">
        <f t="shared" si="192"/>
        <v>0.03</v>
      </c>
      <c r="AF244" s="302">
        <f t="shared" si="192"/>
        <v>0.03</v>
      </c>
      <c r="AG244" s="302">
        <f t="shared" si="192"/>
        <v>0.03</v>
      </c>
      <c r="AH244" s="302">
        <f t="shared" si="192"/>
        <v>0.03</v>
      </c>
      <c r="AI244" s="302">
        <f t="shared" si="192"/>
        <v>0.03</v>
      </c>
      <c r="AJ244" s="302">
        <f t="shared" si="192"/>
        <v>0.03</v>
      </c>
      <c r="AK244" s="302">
        <f t="shared" si="192"/>
        <v>0.03</v>
      </c>
      <c r="AL244" s="302">
        <f t="shared" si="192"/>
        <v>0.03</v>
      </c>
      <c r="AM244" s="302">
        <f t="shared" si="192"/>
        <v>0.03</v>
      </c>
      <c r="AN244" s="302">
        <f t="shared" si="192"/>
        <v>0.03</v>
      </c>
      <c r="AO244" s="302">
        <f t="shared" si="192"/>
        <v>0.03</v>
      </c>
      <c r="AP244" s="302">
        <f t="shared" si="192"/>
        <v>0.03</v>
      </c>
      <c r="AQ244" s="302">
        <f t="shared" si="192"/>
        <v>0.03</v>
      </c>
      <c r="AR244" s="302">
        <f t="shared" si="192"/>
        <v>0.03</v>
      </c>
      <c r="AS244" s="302">
        <f t="shared" si="192"/>
        <v>0.03</v>
      </c>
      <c r="AT244" s="302">
        <f t="shared" si="192"/>
        <v>0.03</v>
      </c>
      <c r="AU244" s="302">
        <f t="shared" si="192"/>
        <v>0.03</v>
      </c>
      <c r="AV244" s="302">
        <f t="shared" si="192"/>
        <v>0.03</v>
      </c>
      <c r="AW244" s="90" t="s">
        <v>1205</v>
      </c>
      <c r="AX244" s="90"/>
      <c r="AY244" s="90"/>
      <c r="AZ244" s="90"/>
      <c r="BA244" s="90"/>
      <c r="BB244" s="90"/>
      <c r="BC244" s="90"/>
      <c r="BD244" s="90"/>
      <c r="BE244" s="90"/>
      <c r="BF244" s="90"/>
      <c r="BG244" s="90"/>
    </row>
    <row r="245" ht="12.75" hidden="1" customHeight="1" outlineLevel="1">
      <c r="A245" s="316"/>
      <c r="B245" s="90"/>
      <c r="C245" s="148" t="s">
        <v>777</v>
      </c>
      <c r="D245" s="148"/>
      <c r="E245" s="148"/>
      <c r="F245" s="148"/>
      <c r="G245" s="541"/>
      <c r="H245" s="375"/>
      <c r="I245" s="375">
        <f t="shared" ref="I245:AV245" si="193">SUM(I242:I244)</f>
        <v>0.12</v>
      </c>
      <c r="J245" s="375">
        <f t="shared" si="193"/>
        <v>0.37</v>
      </c>
      <c r="K245" s="375">
        <f t="shared" si="193"/>
        <v>0.35</v>
      </c>
      <c r="L245" s="375">
        <f t="shared" si="193"/>
        <v>0.35</v>
      </c>
      <c r="M245" s="375">
        <f t="shared" si="193"/>
        <v>0.35</v>
      </c>
      <c r="N245" s="375">
        <f t="shared" si="193"/>
        <v>0.35</v>
      </c>
      <c r="O245" s="375">
        <f t="shared" si="193"/>
        <v>0.35</v>
      </c>
      <c r="P245" s="375">
        <f t="shared" si="193"/>
        <v>0.35</v>
      </c>
      <c r="Q245" s="375">
        <f t="shared" si="193"/>
        <v>0.35</v>
      </c>
      <c r="R245" s="375">
        <f t="shared" si="193"/>
        <v>0.35</v>
      </c>
      <c r="S245" s="375">
        <f t="shared" si="193"/>
        <v>0.35</v>
      </c>
      <c r="T245" s="375">
        <f t="shared" si="193"/>
        <v>0.35</v>
      </c>
      <c r="U245" s="375">
        <f t="shared" si="193"/>
        <v>0.35</v>
      </c>
      <c r="V245" s="375">
        <f t="shared" si="193"/>
        <v>0.35</v>
      </c>
      <c r="W245" s="375">
        <f t="shared" si="193"/>
        <v>0.35</v>
      </c>
      <c r="X245" s="375">
        <f t="shared" si="193"/>
        <v>0.35</v>
      </c>
      <c r="Y245" s="375">
        <f t="shared" si="193"/>
        <v>0.35</v>
      </c>
      <c r="Z245" s="375">
        <f t="shared" si="193"/>
        <v>0.35</v>
      </c>
      <c r="AA245" s="375">
        <f t="shared" si="193"/>
        <v>0.35</v>
      </c>
      <c r="AB245" s="375">
        <f t="shared" si="193"/>
        <v>0.35</v>
      </c>
      <c r="AC245" s="375">
        <f t="shared" si="193"/>
        <v>0.35</v>
      </c>
      <c r="AD245" s="375">
        <f t="shared" si="193"/>
        <v>0.35</v>
      </c>
      <c r="AE245" s="375">
        <f t="shared" si="193"/>
        <v>0.35</v>
      </c>
      <c r="AF245" s="375">
        <f t="shared" si="193"/>
        <v>0.35</v>
      </c>
      <c r="AG245" s="375">
        <f t="shared" si="193"/>
        <v>0.35</v>
      </c>
      <c r="AH245" s="375">
        <f t="shared" si="193"/>
        <v>0.35</v>
      </c>
      <c r="AI245" s="375">
        <f t="shared" si="193"/>
        <v>0.35</v>
      </c>
      <c r="AJ245" s="375">
        <f t="shared" si="193"/>
        <v>0.35</v>
      </c>
      <c r="AK245" s="375">
        <f t="shared" si="193"/>
        <v>0.35</v>
      </c>
      <c r="AL245" s="375">
        <f t="shared" si="193"/>
        <v>0.35</v>
      </c>
      <c r="AM245" s="375">
        <f t="shared" si="193"/>
        <v>0.35</v>
      </c>
      <c r="AN245" s="375">
        <f t="shared" si="193"/>
        <v>0.35</v>
      </c>
      <c r="AO245" s="375">
        <f t="shared" si="193"/>
        <v>0.35</v>
      </c>
      <c r="AP245" s="375">
        <f t="shared" si="193"/>
        <v>0.35</v>
      </c>
      <c r="AQ245" s="375">
        <f t="shared" si="193"/>
        <v>0.35</v>
      </c>
      <c r="AR245" s="375">
        <f t="shared" si="193"/>
        <v>0.35</v>
      </c>
      <c r="AS245" s="375">
        <f t="shared" si="193"/>
        <v>0.35</v>
      </c>
      <c r="AT245" s="375">
        <f t="shared" si="193"/>
        <v>0.35</v>
      </c>
      <c r="AU245" s="375">
        <f t="shared" si="193"/>
        <v>0.35</v>
      </c>
      <c r="AV245" s="375">
        <f t="shared" si="193"/>
        <v>0.35</v>
      </c>
      <c r="AW245" s="90"/>
      <c r="AX245" s="90"/>
      <c r="AY245" s="90"/>
      <c r="AZ245" s="90"/>
      <c r="BA245" s="90"/>
      <c r="BB245" s="90"/>
      <c r="BC245" s="90"/>
      <c r="BD245" s="90"/>
      <c r="BE245" s="90"/>
      <c r="BF245" s="90"/>
      <c r="BG245" s="90"/>
    </row>
    <row r="246" ht="12.75" hidden="1" customHeight="1" outlineLevel="1">
      <c r="A246" s="316"/>
      <c r="B246" s="90"/>
      <c r="C246" s="90" t="s">
        <v>1206</v>
      </c>
      <c r="D246" s="90"/>
      <c r="E246" s="90"/>
      <c r="F246" s="90"/>
      <c r="G246" s="157"/>
      <c r="H246" s="152"/>
      <c r="I246" s="157">
        <v>0.1</v>
      </c>
      <c r="J246" s="152">
        <f t="shared" ref="J246:AV246" si="194">I246</f>
        <v>0.1</v>
      </c>
      <c r="K246" s="152">
        <f t="shared" si="194"/>
        <v>0.1</v>
      </c>
      <c r="L246" s="152">
        <f t="shared" si="194"/>
        <v>0.1</v>
      </c>
      <c r="M246" s="152">
        <f t="shared" si="194"/>
        <v>0.1</v>
      </c>
      <c r="N246" s="152">
        <f t="shared" si="194"/>
        <v>0.1</v>
      </c>
      <c r="O246" s="152">
        <f t="shared" si="194"/>
        <v>0.1</v>
      </c>
      <c r="P246" s="152">
        <f t="shared" si="194"/>
        <v>0.1</v>
      </c>
      <c r="Q246" s="152">
        <f t="shared" si="194"/>
        <v>0.1</v>
      </c>
      <c r="R246" s="152">
        <f t="shared" si="194"/>
        <v>0.1</v>
      </c>
      <c r="S246" s="152">
        <f t="shared" si="194"/>
        <v>0.1</v>
      </c>
      <c r="T246" s="152">
        <f t="shared" si="194"/>
        <v>0.1</v>
      </c>
      <c r="U246" s="152">
        <f t="shared" si="194"/>
        <v>0.1</v>
      </c>
      <c r="V246" s="152">
        <f t="shared" si="194"/>
        <v>0.1</v>
      </c>
      <c r="W246" s="152">
        <f t="shared" si="194"/>
        <v>0.1</v>
      </c>
      <c r="X246" s="152">
        <f t="shared" si="194"/>
        <v>0.1</v>
      </c>
      <c r="Y246" s="152">
        <f t="shared" si="194"/>
        <v>0.1</v>
      </c>
      <c r="Z246" s="152">
        <f t="shared" si="194"/>
        <v>0.1</v>
      </c>
      <c r="AA246" s="152">
        <f t="shared" si="194"/>
        <v>0.1</v>
      </c>
      <c r="AB246" s="152">
        <f t="shared" si="194"/>
        <v>0.1</v>
      </c>
      <c r="AC246" s="152">
        <f t="shared" si="194"/>
        <v>0.1</v>
      </c>
      <c r="AD246" s="152">
        <f t="shared" si="194"/>
        <v>0.1</v>
      </c>
      <c r="AE246" s="152">
        <f t="shared" si="194"/>
        <v>0.1</v>
      </c>
      <c r="AF246" s="152">
        <f t="shared" si="194"/>
        <v>0.1</v>
      </c>
      <c r="AG246" s="152">
        <f t="shared" si="194"/>
        <v>0.1</v>
      </c>
      <c r="AH246" s="152">
        <f t="shared" si="194"/>
        <v>0.1</v>
      </c>
      <c r="AI246" s="152">
        <f t="shared" si="194"/>
        <v>0.1</v>
      </c>
      <c r="AJ246" s="152">
        <f t="shared" si="194"/>
        <v>0.1</v>
      </c>
      <c r="AK246" s="152">
        <f t="shared" si="194"/>
        <v>0.1</v>
      </c>
      <c r="AL246" s="152">
        <f t="shared" si="194"/>
        <v>0.1</v>
      </c>
      <c r="AM246" s="152">
        <f t="shared" si="194"/>
        <v>0.1</v>
      </c>
      <c r="AN246" s="152">
        <f t="shared" si="194"/>
        <v>0.1</v>
      </c>
      <c r="AO246" s="152">
        <f t="shared" si="194"/>
        <v>0.1</v>
      </c>
      <c r="AP246" s="152">
        <f t="shared" si="194"/>
        <v>0.1</v>
      </c>
      <c r="AQ246" s="152">
        <f t="shared" si="194"/>
        <v>0.1</v>
      </c>
      <c r="AR246" s="152">
        <f t="shared" si="194"/>
        <v>0.1</v>
      </c>
      <c r="AS246" s="152">
        <f t="shared" si="194"/>
        <v>0.1</v>
      </c>
      <c r="AT246" s="152">
        <f t="shared" si="194"/>
        <v>0.1</v>
      </c>
      <c r="AU246" s="152">
        <f t="shared" si="194"/>
        <v>0.1</v>
      </c>
      <c r="AV246" s="152">
        <f t="shared" si="194"/>
        <v>0.1</v>
      </c>
      <c r="AW246" s="90"/>
      <c r="AX246" s="90"/>
      <c r="AY246" s="90"/>
      <c r="AZ246" s="90"/>
      <c r="BA246" s="90"/>
      <c r="BB246" s="90"/>
      <c r="BC246" s="90"/>
      <c r="BD246" s="90"/>
      <c r="BE246" s="90"/>
      <c r="BF246" s="90"/>
      <c r="BG246" s="90"/>
    </row>
    <row r="247" ht="12.75" hidden="1" customHeight="1" outlineLevel="1">
      <c r="A247" s="316"/>
      <c r="B247" s="90"/>
      <c r="C247" s="90" t="s">
        <v>778</v>
      </c>
      <c r="D247" s="90"/>
      <c r="E247" s="90"/>
      <c r="F247" s="90"/>
      <c r="G247" s="157"/>
      <c r="H247" s="152"/>
      <c r="I247" s="157">
        <v>0.0</v>
      </c>
      <c r="J247" s="152">
        <f t="shared" ref="J247:AV247" si="195">I247</f>
        <v>0</v>
      </c>
      <c r="K247" s="152">
        <f t="shared" si="195"/>
        <v>0</v>
      </c>
      <c r="L247" s="152">
        <f t="shared" si="195"/>
        <v>0</v>
      </c>
      <c r="M247" s="152">
        <f t="shared" si="195"/>
        <v>0</v>
      </c>
      <c r="N247" s="152">
        <f t="shared" si="195"/>
        <v>0</v>
      </c>
      <c r="O247" s="152">
        <f t="shared" si="195"/>
        <v>0</v>
      </c>
      <c r="P247" s="152">
        <f t="shared" si="195"/>
        <v>0</v>
      </c>
      <c r="Q247" s="152">
        <f t="shared" si="195"/>
        <v>0</v>
      </c>
      <c r="R247" s="152">
        <f t="shared" si="195"/>
        <v>0</v>
      </c>
      <c r="S247" s="152">
        <f t="shared" si="195"/>
        <v>0</v>
      </c>
      <c r="T247" s="152">
        <f t="shared" si="195"/>
        <v>0</v>
      </c>
      <c r="U247" s="152">
        <f t="shared" si="195"/>
        <v>0</v>
      </c>
      <c r="V247" s="152">
        <f t="shared" si="195"/>
        <v>0</v>
      </c>
      <c r="W247" s="152">
        <f t="shared" si="195"/>
        <v>0</v>
      </c>
      <c r="X247" s="152">
        <f t="shared" si="195"/>
        <v>0</v>
      </c>
      <c r="Y247" s="152">
        <f t="shared" si="195"/>
        <v>0</v>
      </c>
      <c r="Z247" s="152">
        <f t="shared" si="195"/>
        <v>0</v>
      </c>
      <c r="AA247" s="152">
        <f t="shared" si="195"/>
        <v>0</v>
      </c>
      <c r="AB247" s="152">
        <f t="shared" si="195"/>
        <v>0</v>
      </c>
      <c r="AC247" s="152">
        <f t="shared" si="195"/>
        <v>0</v>
      </c>
      <c r="AD247" s="152">
        <f t="shared" si="195"/>
        <v>0</v>
      </c>
      <c r="AE247" s="152">
        <f t="shared" si="195"/>
        <v>0</v>
      </c>
      <c r="AF247" s="152">
        <f t="shared" si="195"/>
        <v>0</v>
      </c>
      <c r="AG247" s="152">
        <f t="shared" si="195"/>
        <v>0</v>
      </c>
      <c r="AH247" s="152">
        <f t="shared" si="195"/>
        <v>0</v>
      </c>
      <c r="AI247" s="152">
        <f t="shared" si="195"/>
        <v>0</v>
      </c>
      <c r="AJ247" s="152">
        <f t="shared" si="195"/>
        <v>0</v>
      </c>
      <c r="AK247" s="152">
        <f t="shared" si="195"/>
        <v>0</v>
      </c>
      <c r="AL247" s="152">
        <f t="shared" si="195"/>
        <v>0</v>
      </c>
      <c r="AM247" s="152">
        <f t="shared" si="195"/>
        <v>0</v>
      </c>
      <c r="AN247" s="152">
        <f t="shared" si="195"/>
        <v>0</v>
      </c>
      <c r="AO247" s="152">
        <f t="shared" si="195"/>
        <v>0</v>
      </c>
      <c r="AP247" s="152">
        <f t="shared" si="195"/>
        <v>0</v>
      </c>
      <c r="AQ247" s="152">
        <f t="shared" si="195"/>
        <v>0</v>
      </c>
      <c r="AR247" s="152">
        <f t="shared" si="195"/>
        <v>0</v>
      </c>
      <c r="AS247" s="152">
        <f t="shared" si="195"/>
        <v>0</v>
      </c>
      <c r="AT247" s="152">
        <f t="shared" si="195"/>
        <v>0</v>
      </c>
      <c r="AU247" s="152">
        <f t="shared" si="195"/>
        <v>0</v>
      </c>
      <c r="AV247" s="152">
        <f t="shared" si="195"/>
        <v>0</v>
      </c>
      <c r="AW247" s="90"/>
      <c r="AX247" s="90"/>
      <c r="AY247" s="90"/>
      <c r="AZ247" s="90"/>
      <c r="BA247" s="90"/>
      <c r="BB247" s="90"/>
      <c r="BC247" s="90"/>
      <c r="BD247" s="90"/>
      <c r="BE247" s="90"/>
      <c r="BF247" s="90"/>
      <c r="BG247" s="90"/>
    </row>
    <row r="248" ht="12.75" hidden="1" customHeight="1" outlineLevel="1">
      <c r="A248" s="316"/>
      <c r="B248" s="90"/>
      <c r="C248" s="90" t="s">
        <v>779</v>
      </c>
      <c r="D248" s="90"/>
      <c r="E248" s="90"/>
      <c r="F248" s="90"/>
      <c r="G248" s="157"/>
      <c r="H248" s="152"/>
      <c r="I248" s="157">
        <v>0.01</v>
      </c>
      <c r="J248" s="152">
        <f t="shared" ref="J248:AV248" si="196">I248</f>
        <v>0.01</v>
      </c>
      <c r="K248" s="152">
        <f t="shared" si="196"/>
        <v>0.01</v>
      </c>
      <c r="L248" s="152">
        <f t="shared" si="196"/>
        <v>0.01</v>
      </c>
      <c r="M248" s="152">
        <f t="shared" si="196"/>
        <v>0.01</v>
      </c>
      <c r="N248" s="152">
        <f t="shared" si="196"/>
        <v>0.01</v>
      </c>
      <c r="O248" s="152">
        <f t="shared" si="196"/>
        <v>0.01</v>
      </c>
      <c r="P248" s="152">
        <f t="shared" si="196"/>
        <v>0.01</v>
      </c>
      <c r="Q248" s="152">
        <f t="shared" si="196"/>
        <v>0.01</v>
      </c>
      <c r="R248" s="152">
        <f t="shared" si="196"/>
        <v>0.01</v>
      </c>
      <c r="S248" s="152">
        <f t="shared" si="196"/>
        <v>0.01</v>
      </c>
      <c r="T248" s="152">
        <f t="shared" si="196"/>
        <v>0.01</v>
      </c>
      <c r="U248" s="152">
        <f t="shared" si="196"/>
        <v>0.01</v>
      </c>
      <c r="V248" s="152">
        <f t="shared" si="196"/>
        <v>0.01</v>
      </c>
      <c r="W248" s="152">
        <f t="shared" si="196"/>
        <v>0.01</v>
      </c>
      <c r="X248" s="152">
        <f t="shared" si="196"/>
        <v>0.01</v>
      </c>
      <c r="Y248" s="152">
        <f t="shared" si="196"/>
        <v>0.01</v>
      </c>
      <c r="Z248" s="152">
        <f t="shared" si="196"/>
        <v>0.01</v>
      </c>
      <c r="AA248" s="152">
        <f t="shared" si="196"/>
        <v>0.01</v>
      </c>
      <c r="AB248" s="152">
        <f t="shared" si="196"/>
        <v>0.01</v>
      </c>
      <c r="AC248" s="152">
        <f t="shared" si="196"/>
        <v>0.01</v>
      </c>
      <c r="AD248" s="152">
        <f t="shared" si="196"/>
        <v>0.01</v>
      </c>
      <c r="AE248" s="152">
        <f t="shared" si="196"/>
        <v>0.01</v>
      </c>
      <c r="AF248" s="152">
        <f t="shared" si="196"/>
        <v>0.01</v>
      </c>
      <c r="AG248" s="152">
        <f t="shared" si="196"/>
        <v>0.01</v>
      </c>
      <c r="AH248" s="152">
        <f t="shared" si="196"/>
        <v>0.01</v>
      </c>
      <c r="AI248" s="152">
        <f t="shared" si="196"/>
        <v>0.01</v>
      </c>
      <c r="AJ248" s="152">
        <f t="shared" si="196"/>
        <v>0.01</v>
      </c>
      <c r="AK248" s="152">
        <f t="shared" si="196"/>
        <v>0.01</v>
      </c>
      <c r="AL248" s="152">
        <f t="shared" si="196"/>
        <v>0.01</v>
      </c>
      <c r="AM248" s="152">
        <f t="shared" si="196"/>
        <v>0.01</v>
      </c>
      <c r="AN248" s="152">
        <f t="shared" si="196"/>
        <v>0.01</v>
      </c>
      <c r="AO248" s="152">
        <f t="shared" si="196"/>
        <v>0.01</v>
      </c>
      <c r="AP248" s="152">
        <f t="shared" si="196"/>
        <v>0.01</v>
      </c>
      <c r="AQ248" s="152">
        <f t="shared" si="196"/>
        <v>0.01</v>
      </c>
      <c r="AR248" s="152">
        <f t="shared" si="196"/>
        <v>0.01</v>
      </c>
      <c r="AS248" s="152">
        <f t="shared" si="196"/>
        <v>0.01</v>
      </c>
      <c r="AT248" s="152">
        <f t="shared" si="196"/>
        <v>0.01</v>
      </c>
      <c r="AU248" s="152">
        <f t="shared" si="196"/>
        <v>0.01</v>
      </c>
      <c r="AV248" s="152">
        <f t="shared" si="196"/>
        <v>0.01</v>
      </c>
      <c r="AW248" s="90"/>
      <c r="AX248" s="90"/>
      <c r="AY248" s="90"/>
      <c r="AZ248" s="90"/>
      <c r="BA248" s="90"/>
      <c r="BB248" s="90"/>
      <c r="BC248" s="90"/>
      <c r="BD248" s="90"/>
      <c r="BE248" s="90"/>
      <c r="BF248" s="90"/>
      <c r="BG248" s="90"/>
    </row>
    <row r="249" ht="12.75" hidden="1" customHeight="1" outlineLevel="1">
      <c r="A249" s="316"/>
      <c r="B249" s="90"/>
      <c r="C249" s="90" t="s">
        <v>780</v>
      </c>
      <c r="D249" s="90"/>
      <c r="E249" s="90"/>
      <c r="F249" s="90"/>
      <c r="G249" s="157"/>
      <c r="H249" s="152"/>
      <c r="I249" s="157">
        <v>0.04</v>
      </c>
      <c r="J249" s="157">
        <v>0.0343</v>
      </c>
      <c r="K249" s="157">
        <f t="shared" ref="K249:AV249" si="197">J249</f>
        <v>0.0343</v>
      </c>
      <c r="L249" s="157">
        <f t="shared" si="197"/>
        <v>0.0343</v>
      </c>
      <c r="M249" s="157">
        <f t="shared" si="197"/>
        <v>0.0343</v>
      </c>
      <c r="N249" s="157">
        <f t="shared" si="197"/>
        <v>0.0343</v>
      </c>
      <c r="O249" s="157">
        <f t="shared" si="197"/>
        <v>0.0343</v>
      </c>
      <c r="P249" s="157">
        <f t="shared" si="197"/>
        <v>0.0343</v>
      </c>
      <c r="Q249" s="157">
        <f t="shared" si="197"/>
        <v>0.0343</v>
      </c>
      <c r="R249" s="157">
        <f t="shared" si="197"/>
        <v>0.0343</v>
      </c>
      <c r="S249" s="157">
        <f t="shared" si="197"/>
        <v>0.0343</v>
      </c>
      <c r="T249" s="157">
        <f t="shared" si="197"/>
        <v>0.0343</v>
      </c>
      <c r="U249" s="157">
        <f t="shared" si="197"/>
        <v>0.0343</v>
      </c>
      <c r="V249" s="157">
        <f t="shared" si="197"/>
        <v>0.0343</v>
      </c>
      <c r="W249" s="157">
        <f t="shared" si="197"/>
        <v>0.0343</v>
      </c>
      <c r="X249" s="157">
        <f t="shared" si="197"/>
        <v>0.0343</v>
      </c>
      <c r="Y249" s="157">
        <f t="shared" si="197"/>
        <v>0.0343</v>
      </c>
      <c r="Z249" s="157">
        <f t="shared" si="197"/>
        <v>0.0343</v>
      </c>
      <c r="AA249" s="157">
        <f t="shared" si="197"/>
        <v>0.0343</v>
      </c>
      <c r="AB249" s="157">
        <f t="shared" si="197"/>
        <v>0.0343</v>
      </c>
      <c r="AC249" s="157">
        <f t="shared" si="197"/>
        <v>0.0343</v>
      </c>
      <c r="AD249" s="157">
        <f t="shared" si="197"/>
        <v>0.0343</v>
      </c>
      <c r="AE249" s="157">
        <f t="shared" si="197"/>
        <v>0.0343</v>
      </c>
      <c r="AF249" s="157">
        <f t="shared" si="197"/>
        <v>0.0343</v>
      </c>
      <c r="AG249" s="157">
        <f t="shared" si="197"/>
        <v>0.0343</v>
      </c>
      <c r="AH249" s="157">
        <f t="shared" si="197"/>
        <v>0.0343</v>
      </c>
      <c r="AI249" s="157">
        <f t="shared" si="197"/>
        <v>0.0343</v>
      </c>
      <c r="AJ249" s="157">
        <f t="shared" si="197"/>
        <v>0.0343</v>
      </c>
      <c r="AK249" s="157">
        <f t="shared" si="197"/>
        <v>0.0343</v>
      </c>
      <c r="AL249" s="157">
        <f t="shared" si="197"/>
        <v>0.0343</v>
      </c>
      <c r="AM249" s="157">
        <f t="shared" si="197"/>
        <v>0.0343</v>
      </c>
      <c r="AN249" s="157">
        <f t="shared" si="197"/>
        <v>0.0343</v>
      </c>
      <c r="AO249" s="157">
        <f t="shared" si="197"/>
        <v>0.0343</v>
      </c>
      <c r="AP249" s="157">
        <f t="shared" si="197"/>
        <v>0.0343</v>
      </c>
      <c r="AQ249" s="157">
        <f t="shared" si="197"/>
        <v>0.0343</v>
      </c>
      <c r="AR249" s="157">
        <f t="shared" si="197"/>
        <v>0.0343</v>
      </c>
      <c r="AS249" s="157">
        <f t="shared" si="197"/>
        <v>0.0343</v>
      </c>
      <c r="AT249" s="157">
        <f t="shared" si="197"/>
        <v>0.0343</v>
      </c>
      <c r="AU249" s="157">
        <f t="shared" si="197"/>
        <v>0.0343</v>
      </c>
      <c r="AV249" s="157">
        <f t="shared" si="197"/>
        <v>0.0343</v>
      </c>
      <c r="AW249" s="90"/>
      <c r="AX249" s="90"/>
      <c r="AY249" s="90"/>
      <c r="AZ249" s="90"/>
      <c r="BA249" s="90"/>
      <c r="BB249" s="90"/>
      <c r="BC249" s="90"/>
      <c r="BD249" s="90"/>
      <c r="BE249" s="90"/>
      <c r="BF249" s="90"/>
      <c r="BG249" s="90"/>
    </row>
    <row r="250" ht="12.75" hidden="1" customHeight="1" outlineLevel="1">
      <c r="A250" s="316"/>
      <c r="B250" s="90"/>
      <c r="C250" s="90"/>
      <c r="D250" s="90" t="s">
        <v>781</v>
      </c>
      <c r="E250" s="90"/>
      <c r="F250" s="90"/>
      <c r="G250" s="254"/>
      <c r="H250" s="99"/>
      <c r="I250" s="254">
        <v>250000.0</v>
      </c>
      <c r="J250" s="254">
        <v>0.0</v>
      </c>
      <c r="K250" s="254">
        <v>0.0</v>
      </c>
      <c r="L250" s="254">
        <v>0.0</v>
      </c>
      <c r="M250" s="254">
        <v>0.0</v>
      </c>
      <c r="N250" s="254">
        <v>0.0</v>
      </c>
      <c r="O250" s="254">
        <v>0.0</v>
      </c>
      <c r="P250" s="254">
        <v>0.0</v>
      </c>
      <c r="Q250" s="254">
        <v>0.0</v>
      </c>
      <c r="R250" s="254">
        <v>0.0</v>
      </c>
      <c r="S250" s="254">
        <v>0.0</v>
      </c>
      <c r="T250" s="254">
        <v>0.0</v>
      </c>
      <c r="U250" s="254">
        <v>0.0</v>
      </c>
      <c r="V250" s="254">
        <v>0.0</v>
      </c>
      <c r="W250" s="254">
        <v>0.0</v>
      </c>
      <c r="X250" s="254">
        <v>0.0</v>
      </c>
      <c r="Y250" s="254">
        <v>0.0</v>
      </c>
      <c r="Z250" s="254">
        <v>0.0</v>
      </c>
      <c r="AA250" s="254">
        <v>0.0</v>
      </c>
      <c r="AB250" s="254">
        <v>0.0</v>
      </c>
      <c r="AC250" s="254">
        <v>0.0</v>
      </c>
      <c r="AD250" s="254">
        <v>0.0</v>
      </c>
      <c r="AE250" s="254">
        <v>0.0</v>
      </c>
      <c r="AF250" s="254">
        <v>0.0</v>
      </c>
      <c r="AG250" s="254">
        <v>0.0</v>
      </c>
      <c r="AH250" s="254">
        <v>0.0</v>
      </c>
      <c r="AI250" s="254">
        <v>0.0</v>
      </c>
      <c r="AJ250" s="254">
        <v>0.0</v>
      </c>
      <c r="AK250" s="254">
        <v>0.0</v>
      </c>
      <c r="AL250" s="254">
        <v>0.0</v>
      </c>
      <c r="AM250" s="254">
        <v>0.0</v>
      </c>
      <c r="AN250" s="254">
        <v>0.0</v>
      </c>
      <c r="AO250" s="254">
        <v>0.0</v>
      </c>
      <c r="AP250" s="254">
        <v>0.0</v>
      </c>
      <c r="AQ250" s="254">
        <v>0.0</v>
      </c>
      <c r="AR250" s="254">
        <v>0.0</v>
      </c>
      <c r="AS250" s="254">
        <v>0.0</v>
      </c>
      <c r="AT250" s="254">
        <v>0.0</v>
      </c>
      <c r="AU250" s="254">
        <v>0.0</v>
      </c>
      <c r="AV250" s="254">
        <v>0.0</v>
      </c>
      <c r="AW250" s="90" t="s">
        <v>1207</v>
      </c>
      <c r="AX250" s="90"/>
      <c r="AY250" s="90"/>
      <c r="AZ250" s="90"/>
      <c r="BA250" s="90"/>
      <c r="BB250" s="90"/>
      <c r="BC250" s="90"/>
      <c r="BD250" s="90"/>
      <c r="BE250" s="90"/>
      <c r="BF250" s="90"/>
      <c r="BG250" s="90"/>
    </row>
    <row r="251" ht="12.75" hidden="1" customHeight="1" outlineLevel="1">
      <c r="A251" s="316"/>
      <c r="B251" s="90"/>
      <c r="C251" s="90" t="s">
        <v>783</v>
      </c>
      <c r="D251" s="90"/>
      <c r="E251" s="90"/>
      <c r="F251" s="90"/>
      <c r="G251" s="157"/>
      <c r="H251" s="152"/>
      <c r="I251" s="157">
        <v>0.08</v>
      </c>
      <c r="J251" s="152">
        <f t="shared" ref="J251:J253" si="199">I251</f>
        <v>0.08</v>
      </c>
      <c r="K251" s="152">
        <v>0.05</v>
      </c>
      <c r="L251" s="152">
        <f>'RSGen 1-7'!K252</f>
        <v>0.04</v>
      </c>
      <c r="M251" s="152">
        <f t="shared" ref="M251:AV251" si="198">L251</f>
        <v>0.04</v>
      </c>
      <c r="N251" s="152">
        <f t="shared" si="198"/>
        <v>0.04</v>
      </c>
      <c r="O251" s="152">
        <f t="shared" si="198"/>
        <v>0.04</v>
      </c>
      <c r="P251" s="152">
        <f t="shared" si="198"/>
        <v>0.04</v>
      </c>
      <c r="Q251" s="152">
        <f t="shared" si="198"/>
        <v>0.04</v>
      </c>
      <c r="R251" s="152">
        <f t="shared" si="198"/>
        <v>0.04</v>
      </c>
      <c r="S251" s="152">
        <f t="shared" si="198"/>
        <v>0.04</v>
      </c>
      <c r="T251" s="152">
        <f t="shared" si="198"/>
        <v>0.04</v>
      </c>
      <c r="U251" s="152">
        <f t="shared" si="198"/>
        <v>0.04</v>
      </c>
      <c r="V251" s="152">
        <f t="shared" si="198"/>
        <v>0.04</v>
      </c>
      <c r="W251" s="152">
        <f t="shared" si="198"/>
        <v>0.04</v>
      </c>
      <c r="X251" s="152">
        <f t="shared" si="198"/>
        <v>0.04</v>
      </c>
      <c r="Y251" s="152">
        <f t="shared" si="198"/>
        <v>0.04</v>
      </c>
      <c r="Z251" s="152">
        <f t="shared" si="198"/>
        <v>0.04</v>
      </c>
      <c r="AA251" s="152">
        <f t="shared" si="198"/>
        <v>0.04</v>
      </c>
      <c r="AB251" s="152">
        <f t="shared" si="198"/>
        <v>0.04</v>
      </c>
      <c r="AC251" s="152">
        <f t="shared" si="198"/>
        <v>0.04</v>
      </c>
      <c r="AD251" s="152">
        <f t="shared" si="198"/>
        <v>0.04</v>
      </c>
      <c r="AE251" s="152">
        <f t="shared" si="198"/>
        <v>0.04</v>
      </c>
      <c r="AF251" s="152">
        <f t="shared" si="198"/>
        <v>0.04</v>
      </c>
      <c r="AG251" s="152">
        <f t="shared" si="198"/>
        <v>0.04</v>
      </c>
      <c r="AH251" s="152">
        <f t="shared" si="198"/>
        <v>0.04</v>
      </c>
      <c r="AI251" s="152">
        <f t="shared" si="198"/>
        <v>0.04</v>
      </c>
      <c r="AJ251" s="152">
        <f t="shared" si="198"/>
        <v>0.04</v>
      </c>
      <c r="AK251" s="152">
        <f t="shared" si="198"/>
        <v>0.04</v>
      </c>
      <c r="AL251" s="152">
        <f t="shared" si="198"/>
        <v>0.04</v>
      </c>
      <c r="AM251" s="152">
        <f t="shared" si="198"/>
        <v>0.04</v>
      </c>
      <c r="AN251" s="152">
        <f t="shared" si="198"/>
        <v>0.04</v>
      </c>
      <c r="AO251" s="152">
        <f t="shared" si="198"/>
        <v>0.04</v>
      </c>
      <c r="AP251" s="152">
        <f t="shared" si="198"/>
        <v>0.04</v>
      </c>
      <c r="AQ251" s="152">
        <f t="shared" si="198"/>
        <v>0.04</v>
      </c>
      <c r="AR251" s="152">
        <f t="shared" si="198"/>
        <v>0.04</v>
      </c>
      <c r="AS251" s="152">
        <f t="shared" si="198"/>
        <v>0.04</v>
      </c>
      <c r="AT251" s="152">
        <f t="shared" si="198"/>
        <v>0.04</v>
      </c>
      <c r="AU251" s="152">
        <f t="shared" si="198"/>
        <v>0.04</v>
      </c>
      <c r="AV251" s="152">
        <f t="shared" si="198"/>
        <v>0.04</v>
      </c>
      <c r="AW251" s="90"/>
      <c r="AX251" s="90"/>
      <c r="AY251" s="90"/>
      <c r="AZ251" s="90"/>
      <c r="BA251" s="90"/>
      <c r="BB251" s="90"/>
      <c r="BC251" s="90"/>
      <c r="BD251" s="90"/>
      <c r="BE251" s="90"/>
      <c r="BF251" s="90"/>
      <c r="BG251" s="90"/>
    </row>
    <row r="252" ht="12.75" hidden="1" customHeight="1" outlineLevel="1">
      <c r="A252" s="316"/>
      <c r="B252" s="90"/>
      <c r="C252" s="90" t="s">
        <v>1208</v>
      </c>
      <c r="D252" s="90"/>
      <c r="E252" s="90"/>
      <c r="F252" s="90"/>
      <c r="G252" s="157"/>
      <c r="H252" s="152"/>
      <c r="I252" s="157">
        <v>0.08</v>
      </c>
      <c r="J252" s="152">
        <f t="shared" si="199"/>
        <v>0.08</v>
      </c>
      <c r="K252" s="152">
        <v>0.04</v>
      </c>
      <c r="L252" s="152">
        <f>'RSGen 1-7'!K253</f>
        <v>0.04</v>
      </c>
      <c r="M252" s="152">
        <f t="shared" ref="M252:AV252" si="200">L252</f>
        <v>0.04</v>
      </c>
      <c r="N252" s="152">
        <f t="shared" si="200"/>
        <v>0.04</v>
      </c>
      <c r="O252" s="152">
        <f t="shared" si="200"/>
        <v>0.04</v>
      </c>
      <c r="P252" s="152">
        <f t="shared" si="200"/>
        <v>0.04</v>
      </c>
      <c r="Q252" s="152">
        <f t="shared" si="200"/>
        <v>0.04</v>
      </c>
      <c r="R252" s="152">
        <f t="shared" si="200"/>
        <v>0.04</v>
      </c>
      <c r="S252" s="152">
        <f t="shared" si="200"/>
        <v>0.04</v>
      </c>
      <c r="T252" s="152">
        <f t="shared" si="200"/>
        <v>0.04</v>
      </c>
      <c r="U252" s="152">
        <f t="shared" si="200"/>
        <v>0.04</v>
      </c>
      <c r="V252" s="152">
        <f t="shared" si="200"/>
        <v>0.04</v>
      </c>
      <c r="W252" s="152">
        <f t="shared" si="200"/>
        <v>0.04</v>
      </c>
      <c r="X252" s="152">
        <f t="shared" si="200"/>
        <v>0.04</v>
      </c>
      <c r="Y252" s="152">
        <f t="shared" si="200"/>
        <v>0.04</v>
      </c>
      <c r="Z252" s="152">
        <f t="shared" si="200"/>
        <v>0.04</v>
      </c>
      <c r="AA252" s="152">
        <f t="shared" si="200"/>
        <v>0.04</v>
      </c>
      <c r="AB252" s="152">
        <f t="shared" si="200"/>
        <v>0.04</v>
      </c>
      <c r="AC252" s="152">
        <f t="shared" si="200"/>
        <v>0.04</v>
      </c>
      <c r="AD252" s="152">
        <f t="shared" si="200"/>
        <v>0.04</v>
      </c>
      <c r="AE252" s="152">
        <f t="shared" si="200"/>
        <v>0.04</v>
      </c>
      <c r="AF252" s="152">
        <f t="shared" si="200"/>
        <v>0.04</v>
      </c>
      <c r="AG252" s="152">
        <f t="shared" si="200"/>
        <v>0.04</v>
      </c>
      <c r="AH252" s="152">
        <f t="shared" si="200"/>
        <v>0.04</v>
      </c>
      <c r="AI252" s="152">
        <f t="shared" si="200"/>
        <v>0.04</v>
      </c>
      <c r="AJ252" s="152">
        <f t="shared" si="200"/>
        <v>0.04</v>
      </c>
      <c r="AK252" s="152">
        <f t="shared" si="200"/>
        <v>0.04</v>
      </c>
      <c r="AL252" s="152">
        <f t="shared" si="200"/>
        <v>0.04</v>
      </c>
      <c r="AM252" s="152">
        <f t="shared" si="200"/>
        <v>0.04</v>
      </c>
      <c r="AN252" s="152">
        <f t="shared" si="200"/>
        <v>0.04</v>
      </c>
      <c r="AO252" s="152">
        <f t="shared" si="200"/>
        <v>0.04</v>
      </c>
      <c r="AP252" s="152">
        <f t="shared" si="200"/>
        <v>0.04</v>
      </c>
      <c r="AQ252" s="152">
        <f t="shared" si="200"/>
        <v>0.04</v>
      </c>
      <c r="AR252" s="152">
        <f t="shared" si="200"/>
        <v>0.04</v>
      </c>
      <c r="AS252" s="152">
        <f t="shared" si="200"/>
        <v>0.04</v>
      </c>
      <c r="AT252" s="152">
        <f t="shared" si="200"/>
        <v>0.04</v>
      </c>
      <c r="AU252" s="152">
        <f t="shared" si="200"/>
        <v>0.04</v>
      </c>
      <c r="AV252" s="152">
        <f t="shared" si="200"/>
        <v>0.04</v>
      </c>
      <c r="AW252" s="90"/>
      <c r="AX252" s="90"/>
      <c r="AY252" s="90"/>
      <c r="AZ252" s="90"/>
      <c r="BA252" s="90"/>
      <c r="BB252" s="90"/>
      <c r="BC252" s="90"/>
      <c r="BD252" s="90"/>
      <c r="BE252" s="90"/>
      <c r="BF252" s="90"/>
      <c r="BG252" s="90"/>
    </row>
    <row r="253" ht="12.75" hidden="1" customHeight="1" outlineLevel="1">
      <c r="A253" s="316"/>
      <c r="B253" s="90"/>
      <c r="C253" s="90" t="s">
        <v>784</v>
      </c>
      <c r="D253" s="90"/>
      <c r="E253" s="90"/>
      <c r="F253" s="90"/>
      <c r="G253" s="157"/>
      <c r="H253" s="152"/>
      <c r="I253" s="157">
        <v>0.01</v>
      </c>
      <c r="J253" s="152">
        <f t="shared" si="199"/>
        <v>0.01</v>
      </c>
      <c r="K253" s="152">
        <f>J253</f>
        <v>0.01</v>
      </c>
      <c r="L253" s="152">
        <f>'RSGen 1-7'!K254</f>
        <v>0.01</v>
      </c>
      <c r="M253" s="152">
        <f t="shared" ref="M253:AV253" si="201">L253</f>
        <v>0.01</v>
      </c>
      <c r="N253" s="152">
        <f t="shared" si="201"/>
        <v>0.01</v>
      </c>
      <c r="O253" s="152">
        <f t="shared" si="201"/>
        <v>0.01</v>
      </c>
      <c r="P253" s="152">
        <f t="shared" si="201"/>
        <v>0.01</v>
      </c>
      <c r="Q253" s="152">
        <f t="shared" si="201"/>
        <v>0.01</v>
      </c>
      <c r="R253" s="152">
        <f t="shared" si="201"/>
        <v>0.01</v>
      </c>
      <c r="S253" s="152">
        <f t="shared" si="201"/>
        <v>0.01</v>
      </c>
      <c r="T253" s="152">
        <f t="shared" si="201"/>
        <v>0.01</v>
      </c>
      <c r="U253" s="152">
        <f t="shared" si="201"/>
        <v>0.01</v>
      </c>
      <c r="V253" s="152">
        <f t="shared" si="201"/>
        <v>0.01</v>
      </c>
      <c r="W253" s="152">
        <f t="shared" si="201"/>
        <v>0.01</v>
      </c>
      <c r="X253" s="152">
        <f t="shared" si="201"/>
        <v>0.01</v>
      </c>
      <c r="Y253" s="152">
        <f t="shared" si="201"/>
        <v>0.01</v>
      </c>
      <c r="Z253" s="152">
        <f t="shared" si="201"/>
        <v>0.01</v>
      </c>
      <c r="AA253" s="152">
        <f t="shared" si="201"/>
        <v>0.01</v>
      </c>
      <c r="AB253" s="152">
        <f t="shared" si="201"/>
        <v>0.01</v>
      </c>
      <c r="AC253" s="152">
        <f t="shared" si="201"/>
        <v>0.01</v>
      </c>
      <c r="AD253" s="152">
        <f t="shared" si="201"/>
        <v>0.01</v>
      </c>
      <c r="AE253" s="152">
        <f t="shared" si="201"/>
        <v>0.01</v>
      </c>
      <c r="AF253" s="152">
        <f t="shared" si="201"/>
        <v>0.01</v>
      </c>
      <c r="AG253" s="152">
        <f t="shared" si="201"/>
        <v>0.01</v>
      </c>
      <c r="AH253" s="152">
        <f t="shared" si="201"/>
        <v>0.01</v>
      </c>
      <c r="AI253" s="152">
        <f t="shared" si="201"/>
        <v>0.01</v>
      </c>
      <c r="AJ253" s="152">
        <f t="shared" si="201"/>
        <v>0.01</v>
      </c>
      <c r="AK253" s="152">
        <f t="shared" si="201"/>
        <v>0.01</v>
      </c>
      <c r="AL253" s="152">
        <f t="shared" si="201"/>
        <v>0.01</v>
      </c>
      <c r="AM253" s="152">
        <f t="shared" si="201"/>
        <v>0.01</v>
      </c>
      <c r="AN253" s="152">
        <f t="shared" si="201"/>
        <v>0.01</v>
      </c>
      <c r="AO253" s="152">
        <f t="shared" si="201"/>
        <v>0.01</v>
      </c>
      <c r="AP253" s="152">
        <f t="shared" si="201"/>
        <v>0.01</v>
      </c>
      <c r="AQ253" s="152">
        <f t="shared" si="201"/>
        <v>0.01</v>
      </c>
      <c r="AR253" s="152">
        <f t="shared" si="201"/>
        <v>0.01</v>
      </c>
      <c r="AS253" s="152">
        <f t="shared" si="201"/>
        <v>0.01</v>
      </c>
      <c r="AT253" s="152">
        <f t="shared" si="201"/>
        <v>0.01</v>
      </c>
      <c r="AU253" s="152">
        <f t="shared" si="201"/>
        <v>0.01</v>
      </c>
      <c r="AV253" s="152">
        <f t="shared" si="201"/>
        <v>0.01</v>
      </c>
      <c r="AW253" s="90"/>
      <c r="AX253" s="90"/>
      <c r="AY253" s="90"/>
      <c r="AZ253" s="90"/>
      <c r="BA253" s="90"/>
      <c r="BB253" s="90"/>
      <c r="BC253" s="90"/>
      <c r="BD253" s="90"/>
      <c r="BE253" s="90"/>
      <c r="BF253" s="90"/>
      <c r="BG253" s="90"/>
    </row>
    <row r="254" ht="12.75" hidden="1" customHeight="1" outlineLevel="1">
      <c r="A254" s="316"/>
      <c r="B254" s="90"/>
      <c r="C254" s="90"/>
      <c r="D254" s="90"/>
      <c r="E254" s="90"/>
      <c r="F254" s="90"/>
      <c r="G254" s="157"/>
      <c r="H254" s="152"/>
      <c r="I254" s="157"/>
      <c r="J254" s="152"/>
      <c r="K254" s="152"/>
      <c r="L254" s="152"/>
      <c r="M254" s="152"/>
      <c r="N254" s="152"/>
      <c r="O254" s="152"/>
      <c r="P254" s="152"/>
      <c r="Q254" s="152"/>
      <c r="R254" s="152"/>
      <c r="S254" s="152"/>
      <c r="T254" s="152"/>
      <c r="U254" s="152"/>
      <c r="V254" s="152"/>
      <c r="W254" s="152"/>
      <c r="X254" s="152"/>
      <c r="Y254" s="152"/>
      <c r="Z254" s="152"/>
      <c r="AA254" s="152"/>
      <c r="AB254" s="152"/>
      <c r="AC254" s="152"/>
      <c r="AD254" s="152"/>
      <c r="AE254" s="152"/>
      <c r="AF254" s="152"/>
      <c r="AG254" s="152"/>
      <c r="AH254" s="152"/>
      <c r="AI254" s="152"/>
      <c r="AJ254" s="152"/>
      <c r="AK254" s="152"/>
      <c r="AL254" s="152"/>
      <c r="AM254" s="152"/>
      <c r="AN254" s="152"/>
      <c r="AO254" s="152"/>
      <c r="AP254" s="152"/>
      <c r="AQ254" s="152"/>
      <c r="AR254" s="152"/>
      <c r="AS254" s="152"/>
      <c r="AT254" s="152"/>
      <c r="AU254" s="152"/>
      <c r="AV254" s="152"/>
      <c r="AW254" s="90"/>
      <c r="AX254" s="90"/>
      <c r="AY254" s="90"/>
      <c r="AZ254" s="90"/>
      <c r="BA254" s="90"/>
      <c r="BB254" s="90"/>
      <c r="BC254" s="90"/>
      <c r="BD254" s="90"/>
      <c r="BE254" s="90"/>
      <c r="BF254" s="90"/>
      <c r="BG254" s="90"/>
    </row>
    <row r="255" ht="12.75" customHeight="1">
      <c r="A255" s="316"/>
      <c r="B255" s="90"/>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c r="AA255" s="90"/>
      <c r="AB255" s="90"/>
      <c r="AC255" s="90"/>
      <c r="AD255" s="90"/>
      <c r="AE255" s="90"/>
      <c r="AF255" s="90"/>
      <c r="AG255" s="90"/>
      <c r="AH255" s="90"/>
      <c r="AI255" s="90"/>
      <c r="AJ255" s="90"/>
      <c r="AK255" s="90"/>
      <c r="AL255" s="90"/>
      <c r="AM255" s="90"/>
      <c r="AN255" s="90"/>
      <c r="AO255" s="90"/>
      <c r="AP255" s="90"/>
      <c r="AQ255" s="90"/>
      <c r="AR255" s="90"/>
      <c r="AS255" s="90"/>
      <c r="AT255" s="90"/>
      <c r="AU255" s="90"/>
      <c r="AV255" s="90"/>
      <c r="AW255" s="90"/>
      <c r="AX255" s="90"/>
      <c r="AY255" s="90"/>
      <c r="AZ255" s="90"/>
      <c r="BA255" s="90"/>
      <c r="BB255" s="90"/>
      <c r="BC255" s="90"/>
      <c r="BD255" s="90"/>
      <c r="BE255" s="90"/>
      <c r="BF255" s="90"/>
      <c r="BG255" s="90"/>
    </row>
    <row r="256" ht="12.75" customHeight="1">
      <c r="A256" s="105" t="s">
        <v>539</v>
      </c>
      <c r="B256" s="253"/>
      <c r="C256" s="253"/>
      <c r="D256" s="253"/>
      <c r="E256" s="253"/>
      <c r="F256" s="253"/>
      <c r="G256" s="253"/>
      <c r="H256" s="253"/>
      <c r="I256" s="253"/>
      <c r="J256" s="542" t="s">
        <v>1209</v>
      </c>
      <c r="K256" s="253"/>
      <c r="L256" s="253"/>
      <c r="M256" s="253"/>
      <c r="N256" s="253"/>
      <c r="O256" s="253"/>
      <c r="P256" s="253"/>
      <c r="Q256" s="253"/>
      <c r="R256" s="253"/>
      <c r="S256" s="253"/>
      <c r="T256" s="253"/>
      <c r="U256" s="253"/>
      <c r="V256" s="253"/>
      <c r="W256" s="253"/>
      <c r="X256" s="253"/>
      <c r="Y256" s="253"/>
      <c r="Z256" s="253"/>
      <c r="AA256" s="253"/>
      <c r="AB256" s="253"/>
      <c r="AC256" s="253"/>
      <c r="AD256" s="253"/>
      <c r="AE256" s="253"/>
      <c r="AF256" s="253"/>
      <c r="AG256" s="253"/>
      <c r="AH256" s="253"/>
      <c r="AI256" s="253"/>
      <c r="AJ256" s="253"/>
      <c r="AK256" s="253"/>
      <c r="AL256" s="253"/>
      <c r="AM256" s="253"/>
      <c r="AN256" s="253"/>
      <c r="AO256" s="253"/>
      <c r="AP256" s="253"/>
      <c r="AQ256" s="253"/>
      <c r="AR256" s="253"/>
      <c r="AS256" s="253"/>
      <c r="AT256" s="253"/>
      <c r="AU256" s="253"/>
      <c r="AV256" s="253"/>
      <c r="AW256" s="253"/>
      <c r="AX256" s="90"/>
      <c r="AY256" s="90"/>
      <c r="AZ256" s="90"/>
      <c r="BA256" s="90"/>
      <c r="BB256" s="90"/>
      <c r="BC256" s="90"/>
      <c r="BD256" s="90"/>
      <c r="BE256" s="90"/>
      <c r="BF256" s="90"/>
      <c r="BG256" s="90"/>
    </row>
    <row r="257" ht="12.75" customHeight="1" outlineLevel="1">
      <c r="A257" s="515"/>
      <c r="B257" s="90"/>
      <c r="C257" s="90"/>
      <c r="D257" s="90"/>
      <c r="E257" s="90"/>
      <c r="F257" s="90"/>
      <c r="G257" s="90"/>
      <c r="H257" s="90"/>
      <c r="I257" s="90"/>
      <c r="J257" s="89"/>
      <c r="K257" s="90"/>
      <c r="L257" s="90"/>
      <c r="M257" s="90"/>
      <c r="N257" s="90"/>
      <c r="O257" s="90"/>
      <c r="P257" s="90"/>
      <c r="Q257" s="90"/>
      <c r="R257" s="90"/>
      <c r="S257" s="90"/>
      <c r="T257" s="90"/>
      <c r="U257" s="90"/>
      <c r="V257" s="90"/>
      <c r="W257" s="90"/>
      <c r="X257" s="90"/>
      <c r="Y257" s="90"/>
      <c r="Z257" s="90"/>
      <c r="AA257" s="90"/>
      <c r="AB257" s="90"/>
      <c r="AC257" s="90"/>
      <c r="AD257" s="90"/>
      <c r="AE257" s="90"/>
      <c r="AF257" s="90"/>
      <c r="AG257" s="90"/>
      <c r="AH257" s="90"/>
      <c r="AI257" s="90"/>
      <c r="AJ257" s="90"/>
      <c r="AK257" s="90"/>
      <c r="AL257" s="90"/>
      <c r="AM257" s="90"/>
      <c r="AN257" s="90"/>
      <c r="AO257" s="90"/>
      <c r="AP257" s="90"/>
      <c r="AQ257" s="90"/>
      <c r="AR257" s="90"/>
      <c r="AS257" s="90"/>
      <c r="AT257" s="90"/>
      <c r="AU257" s="90"/>
      <c r="AV257" s="90"/>
      <c r="AW257" s="90"/>
      <c r="AX257" s="90"/>
      <c r="AY257" s="90"/>
      <c r="AZ257" s="90"/>
      <c r="BA257" s="90"/>
      <c r="BB257" s="90"/>
      <c r="BC257" s="90"/>
      <c r="BD257" s="90"/>
      <c r="BE257" s="90"/>
      <c r="BF257" s="90"/>
      <c r="BG257" s="90"/>
    </row>
    <row r="258" ht="12.75" customHeight="1" outlineLevel="1">
      <c r="A258" s="515" t="s">
        <v>275</v>
      </c>
      <c r="B258" s="90"/>
      <c r="C258" s="90"/>
      <c r="D258" s="90"/>
      <c r="E258" s="90"/>
      <c r="F258" s="90"/>
      <c r="G258" s="90"/>
      <c r="H258" s="90"/>
      <c r="I258" s="99"/>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c r="AG258" s="90"/>
      <c r="AH258" s="90"/>
      <c r="AI258" s="90"/>
      <c r="AJ258" s="90"/>
      <c r="AK258" s="90"/>
      <c r="AL258" s="90"/>
      <c r="AM258" s="90"/>
      <c r="AN258" s="90"/>
      <c r="AO258" s="90"/>
      <c r="AP258" s="90"/>
      <c r="AQ258" s="90"/>
      <c r="AR258" s="90"/>
      <c r="AS258" s="90"/>
      <c r="AT258" s="90"/>
      <c r="AU258" s="90"/>
      <c r="AV258" s="90"/>
      <c r="AW258" s="90"/>
      <c r="AX258" s="90"/>
      <c r="AY258" s="90"/>
      <c r="AZ258" s="90"/>
      <c r="BA258" s="90"/>
      <c r="BB258" s="90"/>
      <c r="BC258" s="90"/>
      <c r="BD258" s="90"/>
      <c r="BE258" s="90"/>
      <c r="BF258" s="90"/>
      <c r="BG258" s="90"/>
    </row>
    <row r="259" ht="12.75" customHeight="1" outlineLevel="1">
      <c r="A259" s="316"/>
      <c r="B259" s="67" t="s">
        <v>544</v>
      </c>
      <c r="C259" s="90"/>
      <c r="D259" s="90"/>
      <c r="E259" s="90"/>
      <c r="F259" s="90"/>
      <c r="G259" s="90"/>
      <c r="H259" s="301"/>
      <c r="I259" s="90"/>
      <c r="J259" s="152"/>
      <c r="K259" s="152"/>
      <c r="L259" s="152"/>
      <c r="M259" s="152"/>
      <c r="N259" s="90"/>
      <c r="O259" s="90"/>
      <c r="P259" s="90"/>
      <c r="Q259" s="90"/>
      <c r="R259" s="90"/>
      <c r="S259" s="90"/>
      <c r="T259" s="90"/>
      <c r="U259" s="90"/>
      <c r="V259" s="90"/>
      <c r="W259" s="90"/>
      <c r="X259" s="90"/>
      <c r="Y259" s="90"/>
      <c r="Z259" s="90"/>
      <c r="AA259" s="90"/>
      <c r="AB259" s="90"/>
      <c r="AC259" s="90"/>
      <c r="AD259" s="90"/>
      <c r="AE259" s="90"/>
      <c r="AF259" s="90"/>
      <c r="AG259" s="90"/>
      <c r="AH259" s="90"/>
      <c r="AI259" s="90"/>
      <c r="AJ259" s="90"/>
      <c r="AK259" s="90"/>
      <c r="AL259" s="90"/>
      <c r="AM259" s="90"/>
      <c r="AN259" s="90"/>
      <c r="AO259" s="90"/>
      <c r="AP259" s="90"/>
      <c r="AQ259" s="90"/>
      <c r="AR259" s="90"/>
      <c r="AS259" s="90"/>
      <c r="AT259" s="90"/>
      <c r="AU259" s="90"/>
      <c r="AV259" s="90"/>
      <c r="AW259" s="90"/>
      <c r="AX259" s="90"/>
      <c r="AY259" s="90"/>
      <c r="AZ259" s="90"/>
      <c r="BA259" s="90"/>
      <c r="BB259" s="90"/>
      <c r="BC259" s="90"/>
      <c r="BD259" s="90"/>
      <c r="BE259" s="90"/>
      <c r="BF259" s="90"/>
      <c r="BG259" s="90"/>
    </row>
    <row r="260" ht="12.75" customHeight="1" outlineLevel="1">
      <c r="A260" s="316"/>
      <c r="B260" s="90"/>
      <c r="C260" s="90" t="s">
        <v>785</v>
      </c>
      <c r="D260" s="90"/>
      <c r="E260" s="90"/>
      <c r="F260" s="90"/>
      <c r="G260" s="99"/>
      <c r="H260" s="99"/>
      <c r="I260" s="543" t="str">
        <f>'[4]'!H37+'[4]'!H13</f>
        <v>#REF!</v>
      </c>
      <c r="J260" s="99">
        <f>'FY09 P&amp;L'!B74</f>
        <v>1703049</v>
      </c>
      <c r="K260" s="99">
        <v>2174030.51</v>
      </c>
      <c r="L260" s="99">
        <f t="shared" ref="L260:AV260" si="202">L90*L53+L91*L54</f>
        <v>2211681.6</v>
      </c>
      <c r="M260" s="99">
        <f t="shared" si="202"/>
        <v>2233798.416</v>
      </c>
      <c r="N260" s="99">
        <f t="shared" si="202"/>
        <v>2278474.384</v>
      </c>
      <c r="O260" s="99">
        <f t="shared" si="202"/>
        <v>2324043.872</v>
      </c>
      <c r="P260" s="99">
        <f t="shared" si="202"/>
        <v>2370524.749</v>
      </c>
      <c r="Q260" s="99">
        <f t="shared" si="202"/>
        <v>2417935.244</v>
      </c>
      <c r="R260" s="99">
        <f t="shared" si="202"/>
        <v>2490795.818</v>
      </c>
      <c r="S260" s="99">
        <f t="shared" si="202"/>
        <v>2540611.734</v>
      </c>
      <c r="T260" s="99">
        <f t="shared" si="202"/>
        <v>2591423.969</v>
      </c>
      <c r="U260" s="99">
        <f t="shared" si="202"/>
        <v>2643252.448</v>
      </c>
      <c r="V260" s="99">
        <f t="shared" si="202"/>
        <v>2696117.497</v>
      </c>
      <c r="W260" s="99">
        <f t="shared" si="202"/>
        <v>2750039.847</v>
      </c>
      <c r="X260" s="99">
        <f t="shared" si="202"/>
        <v>2805040.644</v>
      </c>
      <c r="Y260" s="99">
        <f t="shared" si="202"/>
        <v>2861141.457</v>
      </c>
      <c r="Z260" s="99">
        <f t="shared" si="202"/>
        <v>2918364.286</v>
      </c>
      <c r="AA260" s="99">
        <f t="shared" si="202"/>
        <v>2976731.572</v>
      </c>
      <c r="AB260" s="99">
        <f t="shared" si="202"/>
        <v>3036266.203</v>
      </c>
      <c r="AC260" s="99">
        <f t="shared" si="202"/>
        <v>3096991.527</v>
      </c>
      <c r="AD260" s="99">
        <f t="shared" si="202"/>
        <v>3158931.358</v>
      </c>
      <c r="AE260" s="99">
        <f t="shared" si="202"/>
        <v>3222109.985</v>
      </c>
      <c r="AF260" s="99">
        <f t="shared" si="202"/>
        <v>3286552.185</v>
      </c>
      <c r="AG260" s="99">
        <f t="shared" si="202"/>
        <v>3352283.229</v>
      </c>
      <c r="AH260" s="99">
        <f t="shared" si="202"/>
        <v>3419328.893</v>
      </c>
      <c r="AI260" s="99">
        <f t="shared" si="202"/>
        <v>3487715.471</v>
      </c>
      <c r="AJ260" s="99">
        <f t="shared" si="202"/>
        <v>3557469.78</v>
      </c>
      <c r="AK260" s="99">
        <f t="shared" si="202"/>
        <v>3628619.176</v>
      </c>
      <c r="AL260" s="99">
        <f t="shared" si="202"/>
        <v>3701191.56</v>
      </c>
      <c r="AM260" s="99">
        <f t="shared" si="202"/>
        <v>3775215.391</v>
      </c>
      <c r="AN260" s="99">
        <f t="shared" si="202"/>
        <v>3850719.699</v>
      </c>
      <c r="AO260" s="99">
        <f t="shared" si="202"/>
        <v>3927734.093</v>
      </c>
      <c r="AP260" s="99">
        <f t="shared" si="202"/>
        <v>4006288.774</v>
      </c>
      <c r="AQ260" s="99">
        <f t="shared" si="202"/>
        <v>4086414.55</v>
      </c>
      <c r="AR260" s="99">
        <f t="shared" si="202"/>
        <v>4168142.841</v>
      </c>
      <c r="AS260" s="99">
        <f t="shared" si="202"/>
        <v>4251505.698</v>
      </c>
      <c r="AT260" s="99">
        <f t="shared" si="202"/>
        <v>4336535.812</v>
      </c>
      <c r="AU260" s="99">
        <f t="shared" si="202"/>
        <v>4423266.528</v>
      </c>
      <c r="AV260" s="99">
        <f t="shared" si="202"/>
        <v>4511731.858</v>
      </c>
      <c r="AW260" s="90"/>
      <c r="AX260" s="90"/>
      <c r="AY260" s="90"/>
      <c r="AZ260" s="90"/>
      <c r="BA260" s="90"/>
      <c r="BB260" s="90"/>
      <c r="BC260" s="90"/>
      <c r="BD260" s="90"/>
      <c r="BE260" s="90"/>
      <c r="BF260" s="90"/>
      <c r="BG260" s="90"/>
    </row>
    <row r="261" ht="12.75" customHeight="1" outlineLevel="1">
      <c r="A261" s="316"/>
      <c r="B261" s="90"/>
      <c r="C261" s="90" t="s">
        <v>669</v>
      </c>
      <c r="D261" s="90"/>
      <c r="E261" s="90"/>
      <c r="F261" s="90"/>
      <c r="G261" s="99"/>
      <c r="H261" s="99"/>
      <c r="I261" s="543" t="str">
        <f>'[4]'!H21</f>
        <v>#REF!</v>
      </c>
      <c r="J261" s="99">
        <f>'FY09 P&amp;L'!B61</f>
        <v>216738</v>
      </c>
      <c r="K261" s="99">
        <v>359105.96</v>
      </c>
      <c r="L261" s="99">
        <f t="shared" ref="L261:AV261" si="203">L92*L55</f>
        <v>184780.8</v>
      </c>
      <c r="M261" s="99">
        <f t="shared" si="203"/>
        <v>186628.608</v>
      </c>
      <c r="N261" s="99">
        <f t="shared" si="203"/>
        <v>190361.1802</v>
      </c>
      <c r="O261" s="99">
        <f t="shared" si="203"/>
        <v>194168.4038</v>
      </c>
      <c r="P261" s="99">
        <f t="shared" si="203"/>
        <v>198051.7718</v>
      </c>
      <c r="Q261" s="99">
        <f t="shared" si="203"/>
        <v>202012.8073</v>
      </c>
      <c r="R261" s="99">
        <f t="shared" si="203"/>
        <v>208100.137</v>
      </c>
      <c r="S261" s="99">
        <f t="shared" si="203"/>
        <v>212262.1397</v>
      </c>
      <c r="T261" s="99">
        <f t="shared" si="203"/>
        <v>216507.3825</v>
      </c>
      <c r="U261" s="99">
        <f t="shared" si="203"/>
        <v>220837.5301</v>
      </c>
      <c r="V261" s="99">
        <f t="shared" si="203"/>
        <v>225254.2807</v>
      </c>
      <c r="W261" s="99">
        <f t="shared" si="203"/>
        <v>229759.3664</v>
      </c>
      <c r="X261" s="99">
        <f t="shared" si="203"/>
        <v>234354.5537</v>
      </c>
      <c r="Y261" s="99">
        <f t="shared" si="203"/>
        <v>239041.6448</v>
      </c>
      <c r="Z261" s="99">
        <f t="shared" si="203"/>
        <v>243822.4777</v>
      </c>
      <c r="AA261" s="99">
        <f t="shared" si="203"/>
        <v>248698.9272</v>
      </c>
      <c r="AB261" s="99">
        <f t="shared" si="203"/>
        <v>253672.9058</v>
      </c>
      <c r="AC261" s="99">
        <f t="shared" si="203"/>
        <v>258746.3639</v>
      </c>
      <c r="AD261" s="99">
        <f t="shared" si="203"/>
        <v>263921.2911</v>
      </c>
      <c r="AE261" s="99">
        <f t="shared" si="203"/>
        <v>269199.717</v>
      </c>
      <c r="AF261" s="99">
        <f t="shared" si="203"/>
        <v>274583.7113</v>
      </c>
      <c r="AG261" s="99">
        <f t="shared" si="203"/>
        <v>280075.3855</v>
      </c>
      <c r="AH261" s="99">
        <f t="shared" si="203"/>
        <v>285676.8932</v>
      </c>
      <c r="AI261" s="99">
        <f t="shared" si="203"/>
        <v>291390.4311</v>
      </c>
      <c r="AJ261" s="99">
        <f t="shared" si="203"/>
        <v>297218.2397</v>
      </c>
      <c r="AK261" s="99">
        <f t="shared" si="203"/>
        <v>303162.6045</v>
      </c>
      <c r="AL261" s="99">
        <f t="shared" si="203"/>
        <v>309225.8566</v>
      </c>
      <c r="AM261" s="99">
        <f t="shared" si="203"/>
        <v>315410.3738</v>
      </c>
      <c r="AN261" s="99">
        <f t="shared" si="203"/>
        <v>321718.5812</v>
      </c>
      <c r="AO261" s="99">
        <f t="shared" si="203"/>
        <v>328152.9529</v>
      </c>
      <c r="AP261" s="99">
        <f t="shared" si="203"/>
        <v>334716.0119</v>
      </c>
      <c r="AQ261" s="99">
        <f t="shared" si="203"/>
        <v>341410.3321</v>
      </c>
      <c r="AR261" s="99">
        <f t="shared" si="203"/>
        <v>348238.5388</v>
      </c>
      <c r="AS261" s="99">
        <f t="shared" si="203"/>
        <v>355203.3096</v>
      </c>
      <c r="AT261" s="99">
        <f t="shared" si="203"/>
        <v>362307.3758</v>
      </c>
      <c r="AU261" s="99">
        <f t="shared" si="203"/>
        <v>369553.5233</v>
      </c>
      <c r="AV261" s="99">
        <f t="shared" si="203"/>
        <v>376944.5937</v>
      </c>
      <c r="AW261" s="90"/>
      <c r="AX261" s="90"/>
      <c r="AY261" s="90"/>
      <c r="AZ261" s="90"/>
      <c r="BA261" s="90"/>
      <c r="BB261" s="90"/>
      <c r="BC261" s="90"/>
      <c r="BD261" s="90"/>
      <c r="BE261" s="90"/>
      <c r="BF261" s="90"/>
      <c r="BG261" s="90"/>
    </row>
    <row r="262" ht="12.75" customHeight="1" outlineLevel="1">
      <c r="A262" s="316"/>
      <c r="B262" s="90"/>
      <c r="C262" s="90" t="s">
        <v>670</v>
      </c>
      <c r="D262" s="90"/>
      <c r="E262" s="90"/>
      <c r="F262" s="90"/>
      <c r="G262" s="99"/>
      <c r="H262" s="99"/>
      <c r="I262" s="543" t="str">
        <f>'[4]'!H12</f>
        <v>#REF!</v>
      </c>
      <c r="J262" s="99">
        <v>0.0</v>
      </c>
      <c r="K262" s="99">
        <v>0.0</v>
      </c>
      <c r="L262" s="99">
        <f t="shared" ref="L262:AV262" si="204">L76*L93</f>
        <v>224190</v>
      </c>
      <c r="M262" s="99">
        <f t="shared" si="204"/>
        <v>223220.1</v>
      </c>
      <c r="N262" s="99">
        <f t="shared" si="204"/>
        <v>194400</v>
      </c>
      <c r="O262" s="99">
        <f t="shared" si="204"/>
        <v>185130</v>
      </c>
      <c r="P262" s="99">
        <f t="shared" si="204"/>
        <v>181653.84</v>
      </c>
      <c r="Q262" s="99">
        <f t="shared" si="204"/>
        <v>185286.9168</v>
      </c>
      <c r="R262" s="99">
        <f t="shared" si="204"/>
        <v>190870.2388</v>
      </c>
      <c r="S262" s="99">
        <f t="shared" si="204"/>
        <v>194687.6436</v>
      </c>
      <c r="T262" s="99">
        <f t="shared" si="204"/>
        <v>198581.3964</v>
      </c>
      <c r="U262" s="99">
        <f t="shared" si="204"/>
        <v>202553.0244</v>
      </c>
      <c r="V262" s="99">
        <f t="shared" si="204"/>
        <v>206604.0849</v>
      </c>
      <c r="W262" s="99">
        <f t="shared" si="204"/>
        <v>210736.1665</v>
      </c>
      <c r="X262" s="99">
        <f t="shared" si="204"/>
        <v>214950.8899</v>
      </c>
      <c r="Y262" s="99">
        <f t="shared" si="204"/>
        <v>219249.9077</v>
      </c>
      <c r="Z262" s="99">
        <f t="shared" si="204"/>
        <v>223634.9058</v>
      </c>
      <c r="AA262" s="99">
        <f t="shared" si="204"/>
        <v>228107.6039</v>
      </c>
      <c r="AB262" s="99">
        <f t="shared" si="204"/>
        <v>232669.756</v>
      </c>
      <c r="AC262" s="99">
        <f t="shared" si="204"/>
        <v>237323.1511</v>
      </c>
      <c r="AD262" s="99">
        <f t="shared" si="204"/>
        <v>242069.6142</v>
      </c>
      <c r="AE262" s="99">
        <f t="shared" si="204"/>
        <v>246911.0065</v>
      </c>
      <c r="AF262" s="99">
        <f t="shared" si="204"/>
        <v>251849.2266</v>
      </c>
      <c r="AG262" s="99">
        <f t="shared" si="204"/>
        <v>256886.2111</v>
      </c>
      <c r="AH262" s="99">
        <f t="shared" si="204"/>
        <v>262023.9353</v>
      </c>
      <c r="AI262" s="99">
        <f t="shared" si="204"/>
        <v>267264.414</v>
      </c>
      <c r="AJ262" s="99">
        <f t="shared" si="204"/>
        <v>272609.7023</v>
      </c>
      <c r="AK262" s="99">
        <f t="shared" si="204"/>
        <v>278061.8964</v>
      </c>
      <c r="AL262" s="99">
        <f t="shared" si="204"/>
        <v>283623.1343</v>
      </c>
      <c r="AM262" s="99">
        <f t="shared" si="204"/>
        <v>289295.597</v>
      </c>
      <c r="AN262" s="99">
        <f t="shared" si="204"/>
        <v>295081.5089</v>
      </c>
      <c r="AO262" s="99">
        <f t="shared" si="204"/>
        <v>300983.1391</v>
      </c>
      <c r="AP262" s="99">
        <f t="shared" si="204"/>
        <v>307002.8019</v>
      </c>
      <c r="AQ262" s="99">
        <f t="shared" si="204"/>
        <v>313142.8579</v>
      </c>
      <c r="AR262" s="99">
        <f t="shared" si="204"/>
        <v>319405.7151</v>
      </c>
      <c r="AS262" s="99">
        <f t="shared" si="204"/>
        <v>325793.8294</v>
      </c>
      <c r="AT262" s="99">
        <f t="shared" si="204"/>
        <v>332309.706</v>
      </c>
      <c r="AU262" s="99">
        <f t="shared" si="204"/>
        <v>338955.9001</v>
      </c>
      <c r="AV262" s="99">
        <f t="shared" si="204"/>
        <v>345735.0181</v>
      </c>
      <c r="AW262" s="90" t="s">
        <v>1210</v>
      </c>
      <c r="AX262" s="90"/>
      <c r="AY262" s="90"/>
      <c r="AZ262" s="90"/>
      <c r="BA262" s="90"/>
      <c r="BB262" s="90"/>
      <c r="BC262" s="90"/>
      <c r="BD262" s="90"/>
      <c r="BE262" s="90"/>
      <c r="BF262" s="90"/>
      <c r="BG262" s="90"/>
    </row>
    <row r="263" ht="12.75" customHeight="1" outlineLevel="1">
      <c r="A263" s="316"/>
      <c r="B263" s="90"/>
      <c r="C263" s="90" t="s">
        <v>671</v>
      </c>
      <c r="D263" s="90"/>
      <c r="E263" s="90"/>
      <c r="F263" s="90"/>
      <c r="G263" s="99"/>
      <c r="H263" s="99"/>
      <c r="I263" s="543" t="str">
        <f>'[4]'!H20</f>
        <v>#REF!</v>
      </c>
      <c r="J263" s="99">
        <f>'FY09 P&amp;L'!B48+'FY09 P&amp;L'!B49</f>
        <v>310270</v>
      </c>
      <c r="K263" s="99">
        <v>299880.0</v>
      </c>
      <c r="L263" s="99">
        <f t="shared" ref="L263:AV263" si="205">MIN(L40,$AY$95)*L95+MIN(L41,$AY$96)*L96+MIN(L42,$AY$97)*L97+MIN(L43,$AY$98)*L98</f>
        <v>198000</v>
      </c>
      <c r="M263" s="99">
        <f t="shared" si="205"/>
        <v>199980</v>
      </c>
      <c r="N263" s="99">
        <f t="shared" si="205"/>
        <v>198000</v>
      </c>
      <c r="O263" s="99">
        <f t="shared" si="205"/>
        <v>198000</v>
      </c>
      <c r="P263" s="99">
        <f t="shared" si="205"/>
        <v>201960</v>
      </c>
      <c r="Q263" s="99">
        <f t="shared" si="205"/>
        <v>205999.2</v>
      </c>
      <c r="R263" s="99">
        <f t="shared" si="205"/>
        <v>212206.6532</v>
      </c>
      <c r="S263" s="99">
        <f t="shared" si="205"/>
        <v>216450.7863</v>
      </c>
      <c r="T263" s="99">
        <f t="shared" si="205"/>
        <v>220779.802</v>
      </c>
      <c r="U263" s="99">
        <f t="shared" si="205"/>
        <v>225195.398</v>
      </c>
      <c r="V263" s="99">
        <f t="shared" si="205"/>
        <v>229699.306</v>
      </c>
      <c r="W263" s="99">
        <f t="shared" si="205"/>
        <v>234293.2921</v>
      </c>
      <c r="X263" s="99">
        <f t="shared" si="205"/>
        <v>238979.1579</v>
      </c>
      <c r="Y263" s="99">
        <f t="shared" si="205"/>
        <v>243758.7411</v>
      </c>
      <c r="Z263" s="99">
        <f t="shared" si="205"/>
        <v>248633.9159</v>
      </c>
      <c r="AA263" s="99">
        <f t="shared" si="205"/>
        <v>253606.5942</v>
      </c>
      <c r="AB263" s="99">
        <f t="shared" si="205"/>
        <v>258678.7261</v>
      </c>
      <c r="AC263" s="99">
        <f t="shared" si="205"/>
        <v>263852.3006</v>
      </c>
      <c r="AD263" s="99">
        <f t="shared" si="205"/>
        <v>269129.3467</v>
      </c>
      <c r="AE263" s="99">
        <f t="shared" si="205"/>
        <v>274511.9336</v>
      </c>
      <c r="AF263" s="99">
        <f t="shared" si="205"/>
        <v>280002.1723</v>
      </c>
      <c r="AG263" s="99">
        <f t="shared" si="205"/>
        <v>285602.2157</v>
      </c>
      <c r="AH263" s="99">
        <f t="shared" si="205"/>
        <v>291314.26</v>
      </c>
      <c r="AI263" s="99">
        <f t="shared" si="205"/>
        <v>297140.5452</v>
      </c>
      <c r="AJ263" s="99">
        <f t="shared" si="205"/>
        <v>303083.3561</v>
      </c>
      <c r="AK263" s="99">
        <f t="shared" si="205"/>
        <v>309145.0233</v>
      </c>
      <c r="AL263" s="99">
        <f t="shared" si="205"/>
        <v>315327.9237</v>
      </c>
      <c r="AM263" s="99">
        <f t="shared" si="205"/>
        <v>321634.4822</v>
      </c>
      <c r="AN263" s="99">
        <f t="shared" si="205"/>
        <v>328067.1718</v>
      </c>
      <c r="AO263" s="99">
        <f t="shared" si="205"/>
        <v>334628.5153</v>
      </c>
      <c r="AP263" s="99">
        <f t="shared" si="205"/>
        <v>341321.0856</v>
      </c>
      <c r="AQ263" s="99">
        <f t="shared" si="205"/>
        <v>348147.5073</v>
      </c>
      <c r="AR263" s="99">
        <f t="shared" si="205"/>
        <v>355110.4574</v>
      </c>
      <c r="AS263" s="99">
        <f t="shared" si="205"/>
        <v>362212.6666</v>
      </c>
      <c r="AT263" s="99">
        <f t="shared" si="205"/>
        <v>369456.9199</v>
      </c>
      <c r="AU263" s="99">
        <f t="shared" si="205"/>
        <v>376846.0583</v>
      </c>
      <c r="AV263" s="99">
        <f t="shared" si="205"/>
        <v>384382.9795</v>
      </c>
      <c r="AW263" s="90"/>
      <c r="AX263" s="90"/>
      <c r="AY263" s="90"/>
      <c r="AZ263" s="90"/>
      <c r="BA263" s="90"/>
      <c r="BB263" s="90"/>
      <c r="BC263" s="90"/>
      <c r="BD263" s="90"/>
      <c r="BE263" s="90"/>
      <c r="BF263" s="90"/>
      <c r="BG263" s="90"/>
    </row>
    <row r="264" ht="12.75" customHeight="1" outlineLevel="1">
      <c r="A264" s="316"/>
      <c r="B264" s="90"/>
      <c r="C264" s="90" t="s">
        <v>676</v>
      </c>
      <c r="D264" s="90"/>
      <c r="E264" s="90"/>
      <c r="F264" s="90"/>
      <c r="G264" s="99"/>
      <c r="H264" s="99"/>
      <c r="I264" s="543" t="str">
        <f>'[4]'!H26</f>
        <v>#REF!</v>
      </c>
      <c r="J264" s="99">
        <f>'FY09 P&amp;L'!B53</f>
        <v>74502</v>
      </c>
      <c r="K264" s="99">
        <f>'FY10 Projection'!D18</f>
        <v>-74502</v>
      </c>
      <c r="L264" s="99">
        <v>0.0</v>
      </c>
      <c r="M264" s="99">
        <v>0.0</v>
      </c>
      <c r="N264" s="99">
        <v>0.0</v>
      </c>
      <c r="O264" s="99">
        <v>0.0</v>
      </c>
      <c r="P264" s="99">
        <v>0.0</v>
      </c>
      <c r="Q264" s="99">
        <v>0.0</v>
      </c>
      <c r="R264" s="99">
        <v>0.0</v>
      </c>
      <c r="S264" s="99">
        <v>0.0</v>
      </c>
      <c r="T264" s="99">
        <v>0.0</v>
      </c>
      <c r="U264" s="99">
        <v>0.0</v>
      </c>
      <c r="V264" s="99">
        <v>0.0</v>
      </c>
      <c r="W264" s="99">
        <v>0.0</v>
      </c>
      <c r="X264" s="99">
        <v>0.0</v>
      </c>
      <c r="Y264" s="99">
        <v>0.0</v>
      </c>
      <c r="Z264" s="99">
        <v>0.0</v>
      </c>
      <c r="AA264" s="99">
        <v>0.0</v>
      </c>
      <c r="AB264" s="99">
        <v>0.0</v>
      </c>
      <c r="AC264" s="99">
        <v>0.0</v>
      </c>
      <c r="AD264" s="99">
        <v>0.0</v>
      </c>
      <c r="AE264" s="99">
        <v>0.0</v>
      </c>
      <c r="AF264" s="99">
        <v>0.0</v>
      </c>
      <c r="AG264" s="99">
        <v>0.0</v>
      </c>
      <c r="AH264" s="99">
        <v>0.0</v>
      </c>
      <c r="AI264" s="99">
        <v>0.0</v>
      </c>
      <c r="AJ264" s="99">
        <v>0.0</v>
      </c>
      <c r="AK264" s="99">
        <v>0.0</v>
      </c>
      <c r="AL264" s="99">
        <v>0.0</v>
      </c>
      <c r="AM264" s="99">
        <v>0.0</v>
      </c>
      <c r="AN264" s="99">
        <v>0.0</v>
      </c>
      <c r="AO264" s="99">
        <v>0.0</v>
      </c>
      <c r="AP264" s="99">
        <v>0.0</v>
      </c>
      <c r="AQ264" s="99">
        <v>0.0</v>
      </c>
      <c r="AR264" s="99">
        <v>0.0</v>
      </c>
      <c r="AS264" s="99">
        <v>0.0</v>
      </c>
      <c r="AT264" s="99">
        <v>0.0</v>
      </c>
      <c r="AU264" s="99">
        <v>0.0</v>
      </c>
      <c r="AV264" s="99">
        <v>0.0</v>
      </c>
      <c r="AW264" s="90"/>
      <c r="AX264" s="90"/>
      <c r="AY264" s="90"/>
      <c r="AZ264" s="90"/>
      <c r="BA264" s="90"/>
      <c r="BB264" s="90"/>
      <c r="BC264" s="90"/>
      <c r="BD264" s="90"/>
      <c r="BE264" s="90"/>
      <c r="BF264" s="90"/>
      <c r="BG264" s="90"/>
    </row>
    <row r="265" ht="12.75" customHeight="1" outlineLevel="1">
      <c r="A265" s="316"/>
      <c r="B265" s="90"/>
      <c r="C265" s="90" t="s">
        <v>786</v>
      </c>
      <c r="D265" s="90"/>
      <c r="E265" s="90"/>
      <c r="F265" s="90"/>
      <c r="G265" s="99"/>
      <c r="H265" s="99"/>
      <c r="I265" s="543" t="str">
        <f>'[4]'!H10+'[4]'!H24</f>
        <v>#REF!</v>
      </c>
      <c r="J265" s="99">
        <f>'FY09 P&amp;L'!B50+'FY09 P&amp;L'!B51+'FY09 P&amp;L'!B52</f>
        <v>38908.01</v>
      </c>
      <c r="K265" s="99">
        <v>56807.0</v>
      </c>
      <c r="L265" s="99">
        <f t="shared" ref="L265:AV265" si="206">(L100+L101)*L55</f>
        <v>57277.44</v>
      </c>
      <c r="M265" s="99">
        <f t="shared" si="206"/>
        <v>57850.2144</v>
      </c>
      <c r="N265" s="99">
        <f t="shared" si="206"/>
        <v>59007.21869</v>
      </c>
      <c r="O265" s="99">
        <f t="shared" si="206"/>
        <v>60187.36306</v>
      </c>
      <c r="P265" s="99">
        <f t="shared" si="206"/>
        <v>61391.11032</v>
      </c>
      <c r="Q265" s="99">
        <f t="shared" si="206"/>
        <v>62618.93253</v>
      </c>
      <c r="R265" s="99">
        <f t="shared" si="206"/>
        <v>64505.85293</v>
      </c>
      <c r="S265" s="99">
        <f t="shared" si="206"/>
        <v>65795.96999</v>
      </c>
      <c r="T265" s="99">
        <f t="shared" si="206"/>
        <v>67111.88939</v>
      </c>
      <c r="U265" s="99">
        <f t="shared" si="206"/>
        <v>68454.12717</v>
      </c>
      <c r="V265" s="99">
        <f t="shared" si="206"/>
        <v>69823.20972</v>
      </c>
      <c r="W265" s="99">
        <f t="shared" si="206"/>
        <v>71219.67391</v>
      </c>
      <c r="X265" s="99">
        <f t="shared" si="206"/>
        <v>72644.06739</v>
      </c>
      <c r="Y265" s="99">
        <f t="shared" si="206"/>
        <v>74096.94874</v>
      </c>
      <c r="Z265" s="99">
        <f t="shared" si="206"/>
        <v>75578.88771</v>
      </c>
      <c r="AA265" s="99">
        <f t="shared" si="206"/>
        <v>77090.46547</v>
      </c>
      <c r="AB265" s="99">
        <f t="shared" si="206"/>
        <v>78632.27478</v>
      </c>
      <c r="AC265" s="99">
        <f t="shared" si="206"/>
        <v>80204.92027</v>
      </c>
      <c r="AD265" s="99">
        <f t="shared" si="206"/>
        <v>81809.01868</v>
      </c>
      <c r="AE265" s="99">
        <f t="shared" si="206"/>
        <v>83445.19905</v>
      </c>
      <c r="AF265" s="99">
        <f t="shared" si="206"/>
        <v>85114.10303</v>
      </c>
      <c r="AG265" s="99">
        <f t="shared" si="206"/>
        <v>86816.38509</v>
      </c>
      <c r="AH265" s="99">
        <f t="shared" si="206"/>
        <v>88552.71279</v>
      </c>
      <c r="AI265" s="99">
        <f t="shared" si="206"/>
        <v>90323.76705</v>
      </c>
      <c r="AJ265" s="99">
        <f t="shared" si="206"/>
        <v>92130.24239</v>
      </c>
      <c r="AK265" s="99">
        <f t="shared" si="206"/>
        <v>93972.84724</v>
      </c>
      <c r="AL265" s="99">
        <f t="shared" si="206"/>
        <v>95852.30418</v>
      </c>
      <c r="AM265" s="99">
        <f t="shared" si="206"/>
        <v>97769.35027</v>
      </c>
      <c r="AN265" s="99">
        <f t="shared" si="206"/>
        <v>99724.73727</v>
      </c>
      <c r="AO265" s="99">
        <f t="shared" si="206"/>
        <v>101719.232</v>
      </c>
      <c r="AP265" s="99">
        <f t="shared" si="206"/>
        <v>103753.6167</v>
      </c>
      <c r="AQ265" s="99">
        <f t="shared" si="206"/>
        <v>105828.689</v>
      </c>
      <c r="AR265" s="99">
        <f t="shared" si="206"/>
        <v>107945.2628</v>
      </c>
      <c r="AS265" s="99">
        <f t="shared" si="206"/>
        <v>110104.168</v>
      </c>
      <c r="AT265" s="99">
        <f t="shared" si="206"/>
        <v>112306.2514</v>
      </c>
      <c r="AU265" s="99">
        <f t="shared" si="206"/>
        <v>114552.3764</v>
      </c>
      <c r="AV265" s="99">
        <f t="shared" si="206"/>
        <v>116843.4239</v>
      </c>
      <c r="AW265" s="90"/>
      <c r="AX265" s="90"/>
      <c r="AY265" s="90"/>
      <c r="AZ265" s="90"/>
      <c r="BA265" s="90"/>
      <c r="BB265" s="90"/>
      <c r="BC265" s="90"/>
      <c r="BD265" s="90"/>
      <c r="BE265" s="90"/>
      <c r="BF265" s="90"/>
      <c r="BG265" s="90"/>
    </row>
    <row r="266" ht="12.75" customHeight="1" outlineLevel="1">
      <c r="A266" s="316"/>
      <c r="B266" s="90"/>
      <c r="C266" s="90" t="s">
        <v>679</v>
      </c>
      <c r="D266" s="90"/>
      <c r="E266" s="90"/>
      <c r="F266" s="90"/>
      <c r="G266" s="99"/>
      <c r="H266" s="99"/>
      <c r="I266" s="543" t="str">
        <f>'[4]'!H15</f>
        <v>#REF!</v>
      </c>
      <c r="J266" s="99">
        <f>'FY09 P&amp;L'!B66</f>
        <v>148369.67</v>
      </c>
      <c r="K266" s="99"/>
      <c r="L266" s="99">
        <v>0.0</v>
      </c>
      <c r="M266" s="99">
        <v>0.0</v>
      </c>
      <c r="N266" s="99">
        <v>0.0</v>
      </c>
      <c r="O266" s="99">
        <v>0.0</v>
      </c>
      <c r="P266" s="99">
        <v>0.0</v>
      </c>
      <c r="Q266" s="99">
        <v>0.0</v>
      </c>
      <c r="R266" s="99">
        <v>0.0</v>
      </c>
      <c r="S266" s="99">
        <v>0.0</v>
      </c>
      <c r="T266" s="99">
        <v>0.0</v>
      </c>
      <c r="U266" s="99">
        <v>0.0</v>
      </c>
      <c r="V266" s="99">
        <v>0.0</v>
      </c>
      <c r="W266" s="99">
        <v>0.0</v>
      </c>
      <c r="X266" s="99">
        <v>0.0</v>
      </c>
      <c r="Y266" s="99">
        <v>0.0</v>
      </c>
      <c r="Z266" s="99">
        <v>0.0</v>
      </c>
      <c r="AA266" s="99">
        <v>0.0</v>
      </c>
      <c r="AB266" s="99">
        <v>0.0</v>
      </c>
      <c r="AC266" s="99">
        <v>0.0</v>
      </c>
      <c r="AD266" s="99">
        <v>0.0</v>
      </c>
      <c r="AE266" s="99">
        <v>0.0</v>
      </c>
      <c r="AF266" s="99">
        <v>0.0</v>
      </c>
      <c r="AG266" s="99">
        <v>0.0</v>
      </c>
      <c r="AH266" s="99">
        <v>0.0</v>
      </c>
      <c r="AI266" s="99">
        <v>0.0</v>
      </c>
      <c r="AJ266" s="99">
        <v>0.0</v>
      </c>
      <c r="AK266" s="99">
        <v>0.0</v>
      </c>
      <c r="AL266" s="99">
        <v>0.0</v>
      </c>
      <c r="AM266" s="99">
        <v>0.0</v>
      </c>
      <c r="AN266" s="99">
        <v>0.0</v>
      </c>
      <c r="AO266" s="99">
        <v>0.0</v>
      </c>
      <c r="AP266" s="99">
        <v>0.0</v>
      </c>
      <c r="AQ266" s="99">
        <v>0.0</v>
      </c>
      <c r="AR266" s="99">
        <v>0.0</v>
      </c>
      <c r="AS266" s="99">
        <v>0.0</v>
      </c>
      <c r="AT266" s="99">
        <v>0.0</v>
      </c>
      <c r="AU266" s="99">
        <v>0.0</v>
      </c>
      <c r="AV266" s="99">
        <v>0.0</v>
      </c>
      <c r="AW266" s="90"/>
      <c r="AX266" s="90"/>
      <c r="AY266" s="90"/>
      <c r="AZ266" s="90"/>
      <c r="BA266" s="90"/>
      <c r="BB266" s="90"/>
      <c r="BC266" s="90"/>
      <c r="BD266" s="90"/>
      <c r="BE266" s="90"/>
      <c r="BF266" s="90"/>
      <c r="BG266" s="90"/>
    </row>
    <row r="267" ht="12.75" customHeight="1" outlineLevel="1">
      <c r="A267" s="316"/>
      <c r="B267" s="90"/>
      <c r="C267" s="90" t="s">
        <v>680</v>
      </c>
      <c r="D267" s="90"/>
      <c r="E267" s="90"/>
      <c r="F267" s="90"/>
      <c r="G267" s="99"/>
      <c r="H267" s="99"/>
      <c r="I267" s="99">
        <v>0.0</v>
      </c>
      <c r="J267" s="99">
        <f>'FY09 P&amp;L'!B54</f>
        <v>159857</v>
      </c>
      <c r="K267" s="99">
        <v>336899.0</v>
      </c>
      <c r="L267" s="99">
        <f t="shared" ref="L267:AV267" si="207">MIN(L103*L55,0.75*(K382))</f>
        <v>276480</v>
      </c>
      <c r="M267" s="99">
        <f t="shared" si="207"/>
        <v>279244.8</v>
      </c>
      <c r="N267" s="99">
        <f t="shared" si="207"/>
        <v>284829.696</v>
      </c>
      <c r="O267" s="99">
        <f t="shared" si="207"/>
        <v>290526.2899</v>
      </c>
      <c r="P267" s="99">
        <f t="shared" si="207"/>
        <v>296336.8157</v>
      </c>
      <c r="Q267" s="99">
        <f t="shared" si="207"/>
        <v>302263.552</v>
      </c>
      <c r="R267" s="99">
        <f t="shared" si="207"/>
        <v>311371.776</v>
      </c>
      <c r="S267" s="99">
        <f t="shared" si="207"/>
        <v>317599.2115</v>
      </c>
      <c r="T267" s="99">
        <f t="shared" si="207"/>
        <v>323951.1958</v>
      </c>
      <c r="U267" s="99">
        <f t="shared" si="207"/>
        <v>330430.2197</v>
      </c>
      <c r="V267" s="99">
        <f t="shared" si="207"/>
        <v>337038.8241</v>
      </c>
      <c r="W267" s="99">
        <f t="shared" si="207"/>
        <v>343779.6005</v>
      </c>
      <c r="X267" s="99">
        <f t="shared" si="207"/>
        <v>350655.1926</v>
      </c>
      <c r="Y267" s="99">
        <f t="shared" si="207"/>
        <v>357668.2964</v>
      </c>
      <c r="Z267" s="99">
        <f t="shared" si="207"/>
        <v>364821.6623</v>
      </c>
      <c r="AA267" s="99">
        <f t="shared" si="207"/>
        <v>372118.0956</v>
      </c>
      <c r="AB267" s="99">
        <f t="shared" si="207"/>
        <v>379560.4575</v>
      </c>
      <c r="AC267" s="99">
        <f t="shared" si="207"/>
        <v>387151.6666</v>
      </c>
      <c r="AD267" s="99">
        <f t="shared" si="207"/>
        <v>394894.7</v>
      </c>
      <c r="AE267" s="99">
        <f t="shared" si="207"/>
        <v>402792.594</v>
      </c>
      <c r="AF267" s="99">
        <f t="shared" si="207"/>
        <v>410848.4458</v>
      </c>
      <c r="AG267" s="99">
        <f t="shared" si="207"/>
        <v>419065.4148</v>
      </c>
      <c r="AH267" s="99">
        <f t="shared" si="207"/>
        <v>427446.7231</v>
      </c>
      <c r="AI267" s="99">
        <f t="shared" si="207"/>
        <v>435995.6575</v>
      </c>
      <c r="AJ267" s="99">
        <f t="shared" si="207"/>
        <v>444715.5707</v>
      </c>
      <c r="AK267" s="99">
        <f t="shared" si="207"/>
        <v>453609.8821</v>
      </c>
      <c r="AL267" s="99">
        <f t="shared" si="207"/>
        <v>462682.0797</v>
      </c>
      <c r="AM267" s="99">
        <f t="shared" si="207"/>
        <v>471935.7213</v>
      </c>
      <c r="AN267" s="99">
        <f t="shared" si="207"/>
        <v>481374.4357</v>
      </c>
      <c r="AO267" s="99">
        <f t="shared" si="207"/>
        <v>491001.9245</v>
      </c>
      <c r="AP267" s="99">
        <f t="shared" si="207"/>
        <v>500821.963</v>
      </c>
      <c r="AQ267" s="99">
        <f t="shared" si="207"/>
        <v>510838.4022</v>
      </c>
      <c r="AR267" s="99">
        <f t="shared" si="207"/>
        <v>521055.1703</v>
      </c>
      <c r="AS267" s="99">
        <f t="shared" si="207"/>
        <v>531476.2737</v>
      </c>
      <c r="AT267" s="99">
        <f t="shared" si="207"/>
        <v>542105.7991</v>
      </c>
      <c r="AU267" s="99">
        <f t="shared" si="207"/>
        <v>552947.9151</v>
      </c>
      <c r="AV267" s="99">
        <f t="shared" si="207"/>
        <v>564006.8734</v>
      </c>
      <c r="AW267" s="90" t="s">
        <v>1211</v>
      </c>
      <c r="AX267" s="90"/>
      <c r="AY267" s="90"/>
      <c r="AZ267" s="90"/>
      <c r="BA267" s="90"/>
      <c r="BB267" s="90"/>
      <c r="BC267" s="90"/>
      <c r="BD267" s="90"/>
      <c r="BE267" s="90"/>
      <c r="BF267" s="90"/>
      <c r="BG267" s="90"/>
    </row>
    <row r="268" ht="12.75" customHeight="1" outlineLevel="1">
      <c r="A268" s="316"/>
      <c r="B268" s="90"/>
      <c r="C268" s="90" t="s">
        <v>1212</v>
      </c>
      <c r="D268" s="90"/>
      <c r="E268" s="90"/>
      <c r="F268" s="90"/>
      <c r="G268" s="99"/>
      <c r="H268" s="99"/>
      <c r="I268" s="543" t="str">
        <f>'[4]'!H14</f>
        <v>#REF!</v>
      </c>
      <c r="J268" s="99">
        <f>'FY09 P&amp;L'!B55</f>
        <v>4618</v>
      </c>
      <c r="K268" s="99">
        <v>5539.0</v>
      </c>
      <c r="L268" s="99">
        <v>4000.0</v>
      </c>
      <c r="M268" s="99">
        <v>4000.0</v>
      </c>
      <c r="N268" s="99">
        <v>4000.0</v>
      </c>
      <c r="O268" s="99">
        <v>4000.0</v>
      </c>
      <c r="P268" s="99">
        <v>4000.0</v>
      </c>
      <c r="Q268" s="99">
        <v>4000.0</v>
      </c>
      <c r="R268" s="99">
        <v>4000.0</v>
      </c>
      <c r="S268" s="99">
        <v>4000.0</v>
      </c>
      <c r="T268" s="99">
        <v>4000.0</v>
      </c>
      <c r="U268" s="99">
        <v>4000.0</v>
      </c>
      <c r="V268" s="99">
        <v>4000.0</v>
      </c>
      <c r="W268" s="99">
        <v>4000.0</v>
      </c>
      <c r="X268" s="99">
        <v>4000.0</v>
      </c>
      <c r="Y268" s="99">
        <v>4000.0</v>
      </c>
      <c r="Z268" s="99">
        <v>4000.0</v>
      </c>
      <c r="AA268" s="99">
        <v>4000.0</v>
      </c>
      <c r="AB268" s="99">
        <v>4000.0</v>
      </c>
      <c r="AC268" s="99">
        <v>4000.0</v>
      </c>
      <c r="AD268" s="99">
        <v>4000.0</v>
      </c>
      <c r="AE268" s="99">
        <v>4000.0</v>
      </c>
      <c r="AF268" s="99">
        <v>4000.0</v>
      </c>
      <c r="AG268" s="99">
        <v>4000.0</v>
      </c>
      <c r="AH268" s="99">
        <v>4000.0</v>
      </c>
      <c r="AI268" s="99">
        <v>4000.0</v>
      </c>
      <c r="AJ268" s="99">
        <v>4000.0</v>
      </c>
      <c r="AK268" s="99">
        <v>4000.0</v>
      </c>
      <c r="AL268" s="99">
        <v>4000.0</v>
      </c>
      <c r="AM268" s="99">
        <v>4000.0</v>
      </c>
      <c r="AN268" s="99">
        <v>4000.0</v>
      </c>
      <c r="AO268" s="99">
        <v>4000.0</v>
      </c>
      <c r="AP268" s="99">
        <v>4000.0</v>
      </c>
      <c r="AQ268" s="99">
        <v>4000.0</v>
      </c>
      <c r="AR268" s="99">
        <v>4000.0</v>
      </c>
      <c r="AS268" s="99">
        <v>4000.0</v>
      </c>
      <c r="AT268" s="99">
        <v>4000.0</v>
      </c>
      <c r="AU268" s="99">
        <v>4000.0</v>
      </c>
      <c r="AV268" s="99">
        <v>4000.0</v>
      </c>
      <c r="AW268" s="90"/>
      <c r="AX268" s="90"/>
      <c r="AY268" s="90"/>
      <c r="AZ268" s="90"/>
      <c r="BA268" s="90"/>
      <c r="BB268" s="90"/>
      <c r="BC268" s="90"/>
      <c r="BD268" s="90"/>
      <c r="BE268" s="90"/>
      <c r="BF268" s="90"/>
      <c r="BG268" s="90"/>
    </row>
    <row r="269" ht="12.75" customHeight="1" outlineLevel="1">
      <c r="A269" s="316"/>
      <c r="B269" s="90"/>
      <c r="C269" s="90" t="s">
        <v>1213</v>
      </c>
      <c r="D269" s="90"/>
      <c r="E269" s="90"/>
      <c r="F269" s="90"/>
      <c r="G269" s="99"/>
      <c r="H269" s="99"/>
      <c r="I269" s="99">
        <v>0.0</v>
      </c>
      <c r="J269" s="99">
        <f>'FY09 P&amp;L'!B44</f>
        <v>7997.26</v>
      </c>
      <c r="K269" s="99">
        <v>12240.01</v>
      </c>
      <c r="L269" s="99"/>
      <c r="M269" s="99"/>
      <c r="N269" s="99"/>
      <c r="O269" s="99"/>
      <c r="P269" s="99"/>
      <c r="Q269" s="99"/>
      <c r="R269" s="99"/>
      <c r="S269" s="99"/>
      <c r="T269" s="99"/>
      <c r="U269" s="99"/>
      <c r="V269" s="99"/>
      <c r="W269" s="99"/>
      <c r="X269" s="99"/>
      <c r="Y269" s="99"/>
      <c r="Z269" s="99"/>
      <c r="AA269" s="99"/>
      <c r="AB269" s="99"/>
      <c r="AC269" s="99"/>
      <c r="AD269" s="99"/>
      <c r="AE269" s="99"/>
      <c r="AF269" s="99"/>
      <c r="AG269" s="99"/>
      <c r="AH269" s="99"/>
      <c r="AI269" s="99"/>
      <c r="AJ269" s="99"/>
      <c r="AK269" s="99"/>
      <c r="AL269" s="99"/>
      <c r="AM269" s="99"/>
      <c r="AN269" s="99"/>
      <c r="AO269" s="99"/>
      <c r="AP269" s="99"/>
      <c r="AQ269" s="99"/>
      <c r="AR269" s="99"/>
      <c r="AS269" s="99"/>
      <c r="AT269" s="99"/>
      <c r="AU269" s="99"/>
      <c r="AV269" s="99"/>
      <c r="AW269" s="90"/>
      <c r="AX269" s="90"/>
      <c r="AY269" s="90"/>
      <c r="AZ269" s="90"/>
      <c r="BA269" s="90"/>
      <c r="BB269" s="90"/>
      <c r="BC269" s="90"/>
      <c r="BD269" s="90"/>
      <c r="BE269" s="90"/>
      <c r="BF269" s="90"/>
      <c r="BG269" s="90"/>
    </row>
    <row r="270" ht="12.75" customHeight="1" outlineLevel="1">
      <c r="A270" s="316"/>
      <c r="B270" s="90"/>
      <c r="C270" s="90" t="s">
        <v>683</v>
      </c>
      <c r="D270" s="90"/>
      <c r="E270" s="90"/>
      <c r="F270" s="90"/>
      <c r="G270" s="99"/>
      <c r="H270" s="99"/>
      <c r="I270" s="99">
        <v>0.0</v>
      </c>
      <c r="J270" s="99">
        <f>'FY09 P&amp;L'!B46</f>
        <v>98.16</v>
      </c>
      <c r="K270" s="99">
        <v>486.35</v>
      </c>
      <c r="L270" s="99">
        <f t="shared" ref="L270:AV270" si="208">L106*L$55</f>
        <v>0</v>
      </c>
      <c r="M270" s="99">
        <f t="shared" si="208"/>
        <v>0</v>
      </c>
      <c r="N270" s="99">
        <f t="shared" si="208"/>
        <v>0</v>
      </c>
      <c r="O270" s="99">
        <f t="shared" si="208"/>
        <v>0</v>
      </c>
      <c r="P270" s="99">
        <f t="shared" si="208"/>
        <v>0</v>
      </c>
      <c r="Q270" s="99">
        <f t="shared" si="208"/>
        <v>0</v>
      </c>
      <c r="R270" s="99">
        <f t="shared" si="208"/>
        <v>0</v>
      </c>
      <c r="S270" s="99">
        <f t="shared" si="208"/>
        <v>0</v>
      </c>
      <c r="T270" s="99">
        <f t="shared" si="208"/>
        <v>0</v>
      </c>
      <c r="U270" s="99">
        <f t="shared" si="208"/>
        <v>0</v>
      </c>
      <c r="V270" s="99">
        <f t="shared" si="208"/>
        <v>0</v>
      </c>
      <c r="W270" s="99">
        <f t="shared" si="208"/>
        <v>0</v>
      </c>
      <c r="X270" s="99">
        <f t="shared" si="208"/>
        <v>0</v>
      </c>
      <c r="Y270" s="99">
        <f t="shared" si="208"/>
        <v>0</v>
      </c>
      <c r="Z270" s="99">
        <f t="shared" si="208"/>
        <v>0</v>
      </c>
      <c r="AA270" s="99">
        <f t="shared" si="208"/>
        <v>0</v>
      </c>
      <c r="AB270" s="99">
        <f t="shared" si="208"/>
        <v>0</v>
      </c>
      <c r="AC270" s="99">
        <f t="shared" si="208"/>
        <v>0</v>
      </c>
      <c r="AD270" s="99">
        <f t="shared" si="208"/>
        <v>0</v>
      </c>
      <c r="AE270" s="99">
        <f t="shared" si="208"/>
        <v>0</v>
      </c>
      <c r="AF270" s="99">
        <f t="shared" si="208"/>
        <v>0</v>
      </c>
      <c r="AG270" s="99">
        <f t="shared" si="208"/>
        <v>0</v>
      </c>
      <c r="AH270" s="99">
        <f t="shared" si="208"/>
        <v>0</v>
      </c>
      <c r="AI270" s="99">
        <f t="shared" si="208"/>
        <v>0</v>
      </c>
      <c r="AJ270" s="99">
        <f t="shared" si="208"/>
        <v>0</v>
      </c>
      <c r="AK270" s="99">
        <f t="shared" si="208"/>
        <v>0</v>
      </c>
      <c r="AL270" s="99">
        <f t="shared" si="208"/>
        <v>0</v>
      </c>
      <c r="AM270" s="99">
        <f t="shared" si="208"/>
        <v>0</v>
      </c>
      <c r="AN270" s="99">
        <f t="shared" si="208"/>
        <v>0</v>
      </c>
      <c r="AO270" s="99">
        <f t="shared" si="208"/>
        <v>0</v>
      </c>
      <c r="AP270" s="99">
        <f t="shared" si="208"/>
        <v>0</v>
      </c>
      <c r="AQ270" s="99">
        <f t="shared" si="208"/>
        <v>0</v>
      </c>
      <c r="AR270" s="99">
        <f t="shared" si="208"/>
        <v>0</v>
      </c>
      <c r="AS270" s="99">
        <f t="shared" si="208"/>
        <v>0</v>
      </c>
      <c r="AT270" s="99">
        <f t="shared" si="208"/>
        <v>0</v>
      </c>
      <c r="AU270" s="99">
        <f t="shared" si="208"/>
        <v>0</v>
      </c>
      <c r="AV270" s="99">
        <f t="shared" si="208"/>
        <v>0</v>
      </c>
      <c r="AW270" s="90"/>
      <c r="AX270" s="90"/>
      <c r="AY270" s="90"/>
      <c r="AZ270" s="90"/>
      <c r="BA270" s="90"/>
      <c r="BB270" s="90"/>
      <c r="BC270" s="90"/>
      <c r="BD270" s="90"/>
      <c r="BE270" s="90"/>
      <c r="BF270" s="90"/>
      <c r="BG270" s="90"/>
    </row>
    <row r="271" ht="12.75" customHeight="1" outlineLevel="1">
      <c r="A271" s="316"/>
      <c r="B271" s="87"/>
      <c r="C271" s="87" t="s">
        <v>684</v>
      </c>
      <c r="D271" s="87"/>
      <c r="E271" s="87"/>
      <c r="F271" s="87"/>
      <c r="G271" s="125"/>
      <c r="H271" s="125"/>
      <c r="I271" s="99">
        <v>0.0</v>
      </c>
      <c r="J271" s="125">
        <f>'FY09 P&amp;L'!B56</f>
        <v>2464</v>
      </c>
      <c r="K271" s="125">
        <f t="shared" ref="K271:AV271" si="209">K107*K$55</f>
        <v>0</v>
      </c>
      <c r="L271" s="125">
        <f t="shared" si="209"/>
        <v>0</v>
      </c>
      <c r="M271" s="125">
        <f t="shared" si="209"/>
        <v>0</v>
      </c>
      <c r="N271" s="125">
        <f t="shared" si="209"/>
        <v>0</v>
      </c>
      <c r="O271" s="125">
        <f t="shared" si="209"/>
        <v>0</v>
      </c>
      <c r="P271" s="125">
        <f t="shared" si="209"/>
        <v>0</v>
      </c>
      <c r="Q271" s="125">
        <f t="shared" si="209"/>
        <v>0</v>
      </c>
      <c r="R271" s="125">
        <f t="shared" si="209"/>
        <v>0</v>
      </c>
      <c r="S271" s="125">
        <f t="shared" si="209"/>
        <v>0</v>
      </c>
      <c r="T271" s="125">
        <f t="shared" si="209"/>
        <v>0</v>
      </c>
      <c r="U271" s="125">
        <f t="shared" si="209"/>
        <v>0</v>
      </c>
      <c r="V271" s="125">
        <f t="shared" si="209"/>
        <v>0</v>
      </c>
      <c r="W271" s="125">
        <f t="shared" si="209"/>
        <v>0</v>
      </c>
      <c r="X271" s="125">
        <f t="shared" si="209"/>
        <v>0</v>
      </c>
      <c r="Y271" s="125">
        <f t="shared" si="209"/>
        <v>0</v>
      </c>
      <c r="Z271" s="125">
        <f t="shared" si="209"/>
        <v>0</v>
      </c>
      <c r="AA271" s="125">
        <f t="shared" si="209"/>
        <v>0</v>
      </c>
      <c r="AB271" s="125">
        <f t="shared" si="209"/>
        <v>0</v>
      </c>
      <c r="AC271" s="125">
        <f t="shared" si="209"/>
        <v>0</v>
      </c>
      <c r="AD271" s="125">
        <f t="shared" si="209"/>
        <v>0</v>
      </c>
      <c r="AE271" s="125">
        <f t="shared" si="209"/>
        <v>0</v>
      </c>
      <c r="AF271" s="125">
        <f t="shared" si="209"/>
        <v>0</v>
      </c>
      <c r="AG271" s="125">
        <f t="shared" si="209"/>
        <v>0</v>
      </c>
      <c r="AH271" s="125">
        <f t="shared" si="209"/>
        <v>0</v>
      </c>
      <c r="AI271" s="125">
        <f t="shared" si="209"/>
        <v>0</v>
      </c>
      <c r="AJ271" s="125">
        <f t="shared" si="209"/>
        <v>0</v>
      </c>
      <c r="AK271" s="125">
        <f t="shared" si="209"/>
        <v>0</v>
      </c>
      <c r="AL271" s="125">
        <f t="shared" si="209"/>
        <v>0</v>
      </c>
      <c r="AM271" s="125">
        <f t="shared" si="209"/>
        <v>0</v>
      </c>
      <c r="AN271" s="125">
        <f t="shared" si="209"/>
        <v>0</v>
      </c>
      <c r="AO271" s="125">
        <f t="shared" si="209"/>
        <v>0</v>
      </c>
      <c r="AP271" s="125">
        <f t="shared" si="209"/>
        <v>0</v>
      </c>
      <c r="AQ271" s="125">
        <f t="shared" si="209"/>
        <v>0</v>
      </c>
      <c r="AR271" s="125">
        <f t="shared" si="209"/>
        <v>0</v>
      </c>
      <c r="AS271" s="125">
        <f t="shared" si="209"/>
        <v>0</v>
      </c>
      <c r="AT271" s="125">
        <f t="shared" si="209"/>
        <v>0</v>
      </c>
      <c r="AU271" s="125">
        <f t="shared" si="209"/>
        <v>0</v>
      </c>
      <c r="AV271" s="125">
        <f t="shared" si="209"/>
        <v>0</v>
      </c>
      <c r="AW271" s="87"/>
      <c r="AX271" s="90"/>
      <c r="AY271" s="90"/>
      <c r="AZ271" s="90"/>
      <c r="BA271" s="90"/>
      <c r="BB271" s="90"/>
      <c r="BC271" s="90"/>
      <c r="BD271" s="90"/>
      <c r="BE271" s="90"/>
      <c r="BF271" s="90"/>
      <c r="BG271" s="90"/>
    </row>
    <row r="272" ht="12.75" customHeight="1" outlineLevel="1">
      <c r="A272" s="316"/>
      <c r="B272" s="67" t="s">
        <v>590</v>
      </c>
      <c r="C272" s="90"/>
      <c r="D272" s="90"/>
      <c r="E272" s="90"/>
      <c r="F272" s="90"/>
      <c r="G272" s="379"/>
      <c r="H272" s="379"/>
      <c r="I272" s="379" t="str">
        <f t="shared" ref="I272:AV272" si="210">SUM(I260:I271)</f>
        <v>#REF!</v>
      </c>
      <c r="J272" s="79">
        <f t="shared" si="210"/>
        <v>2666871.1</v>
      </c>
      <c r="K272" s="79">
        <f t="shared" si="210"/>
        <v>3170485.83</v>
      </c>
      <c r="L272" s="79">
        <f t="shared" si="210"/>
        <v>3156409.84</v>
      </c>
      <c r="M272" s="79">
        <f t="shared" si="210"/>
        <v>3184722.138</v>
      </c>
      <c r="N272" s="79">
        <f t="shared" si="210"/>
        <v>3209072.479</v>
      </c>
      <c r="O272" s="79">
        <f t="shared" si="210"/>
        <v>3256055.929</v>
      </c>
      <c r="P272" s="79">
        <f t="shared" si="210"/>
        <v>3313918.287</v>
      </c>
      <c r="Q272" s="79">
        <f t="shared" si="210"/>
        <v>3380116.653</v>
      </c>
      <c r="R272" s="79">
        <f t="shared" si="210"/>
        <v>3481850.476</v>
      </c>
      <c r="S272" s="79">
        <f t="shared" si="210"/>
        <v>3551407.485</v>
      </c>
      <c r="T272" s="79">
        <f t="shared" si="210"/>
        <v>3622355.635</v>
      </c>
      <c r="U272" s="79">
        <f t="shared" si="210"/>
        <v>3694722.748</v>
      </c>
      <c r="V272" s="79">
        <f t="shared" si="210"/>
        <v>3768537.203</v>
      </c>
      <c r="W272" s="79">
        <f t="shared" si="210"/>
        <v>3843827.947</v>
      </c>
      <c r="X272" s="79">
        <f t="shared" si="210"/>
        <v>3920624.506</v>
      </c>
      <c r="Y272" s="79">
        <f t="shared" si="210"/>
        <v>3998956.996</v>
      </c>
      <c r="Z272" s="79">
        <f t="shared" si="210"/>
        <v>4078856.136</v>
      </c>
      <c r="AA272" s="79">
        <f t="shared" si="210"/>
        <v>4160353.258</v>
      </c>
      <c r="AB272" s="79">
        <f t="shared" si="210"/>
        <v>4243480.324</v>
      </c>
      <c r="AC272" s="79">
        <f t="shared" si="210"/>
        <v>4328269.93</v>
      </c>
      <c r="AD272" s="79">
        <f t="shared" si="210"/>
        <v>4414755.329</v>
      </c>
      <c r="AE272" s="79">
        <f t="shared" si="210"/>
        <v>4502970.435</v>
      </c>
      <c r="AF272" s="79">
        <f t="shared" si="210"/>
        <v>4592949.844</v>
      </c>
      <c r="AG272" s="79">
        <f t="shared" si="210"/>
        <v>4684728.841</v>
      </c>
      <c r="AH272" s="79">
        <f t="shared" si="210"/>
        <v>4778343.418</v>
      </c>
      <c r="AI272" s="79">
        <f t="shared" si="210"/>
        <v>4873830.286</v>
      </c>
      <c r="AJ272" s="79">
        <f t="shared" si="210"/>
        <v>4971226.892</v>
      </c>
      <c r="AK272" s="79">
        <f t="shared" si="210"/>
        <v>5070571.43</v>
      </c>
      <c r="AL272" s="79">
        <f t="shared" si="210"/>
        <v>5171902.858</v>
      </c>
      <c r="AM272" s="79">
        <f t="shared" si="210"/>
        <v>5275260.915</v>
      </c>
      <c r="AN272" s="79">
        <f t="shared" si="210"/>
        <v>5380686.134</v>
      </c>
      <c r="AO272" s="79">
        <f t="shared" si="210"/>
        <v>5488219.856</v>
      </c>
      <c r="AP272" s="79">
        <f t="shared" si="210"/>
        <v>5597904.253</v>
      </c>
      <c r="AQ272" s="79">
        <f t="shared" si="210"/>
        <v>5709782.338</v>
      </c>
      <c r="AR272" s="79">
        <f t="shared" si="210"/>
        <v>5823897.985</v>
      </c>
      <c r="AS272" s="79">
        <f t="shared" si="210"/>
        <v>5940295.945</v>
      </c>
      <c r="AT272" s="79">
        <f t="shared" si="210"/>
        <v>6059021.864</v>
      </c>
      <c r="AU272" s="79">
        <f t="shared" si="210"/>
        <v>6180122.301</v>
      </c>
      <c r="AV272" s="79">
        <f t="shared" si="210"/>
        <v>6303644.747</v>
      </c>
      <c r="AW272" s="90"/>
      <c r="AX272" s="90"/>
      <c r="AY272" s="90"/>
      <c r="AZ272" s="90"/>
      <c r="BA272" s="90"/>
      <c r="BB272" s="90"/>
      <c r="BC272" s="90"/>
      <c r="BD272" s="90"/>
      <c r="BE272" s="90"/>
      <c r="BF272" s="90"/>
      <c r="BG272" s="90"/>
    </row>
    <row r="273" ht="12.75" customHeight="1" outlineLevel="1">
      <c r="A273" s="316"/>
      <c r="B273" s="67"/>
      <c r="C273" s="90"/>
      <c r="D273" s="90"/>
      <c r="E273" s="90"/>
      <c r="F273" s="90"/>
      <c r="G273" s="79"/>
      <c r="H273" s="79"/>
      <c r="I273" s="79"/>
      <c r="J273" s="79"/>
      <c r="K273" s="79"/>
      <c r="L273" s="79"/>
      <c r="M273" s="79"/>
      <c r="N273" s="79"/>
      <c r="O273" s="79"/>
      <c r="P273" s="79"/>
      <c r="Q273" s="79"/>
      <c r="R273" s="79"/>
      <c r="S273" s="79"/>
      <c r="T273" s="79"/>
      <c r="U273" s="79"/>
      <c r="V273" s="79"/>
      <c r="W273" s="79"/>
      <c r="X273" s="79"/>
      <c r="Y273" s="79"/>
      <c r="Z273" s="79"/>
      <c r="AA273" s="79"/>
      <c r="AB273" s="79"/>
      <c r="AC273" s="79"/>
      <c r="AD273" s="79"/>
      <c r="AE273" s="79"/>
      <c r="AF273" s="79"/>
      <c r="AG273" s="79"/>
      <c r="AH273" s="79"/>
      <c r="AI273" s="79"/>
      <c r="AJ273" s="79"/>
      <c r="AK273" s="79"/>
      <c r="AL273" s="79"/>
      <c r="AM273" s="79"/>
      <c r="AN273" s="79"/>
      <c r="AO273" s="79"/>
      <c r="AP273" s="79"/>
      <c r="AQ273" s="79"/>
      <c r="AR273" s="79"/>
      <c r="AS273" s="79"/>
      <c r="AT273" s="79"/>
      <c r="AU273" s="79"/>
      <c r="AV273" s="79"/>
      <c r="AW273" s="90"/>
      <c r="AX273" s="90"/>
      <c r="AY273" s="90"/>
      <c r="AZ273" s="90"/>
      <c r="BA273" s="90"/>
      <c r="BB273" s="90"/>
      <c r="BC273" s="90"/>
      <c r="BD273" s="90"/>
      <c r="BE273" s="90"/>
      <c r="BF273" s="90"/>
      <c r="BG273" s="90"/>
    </row>
    <row r="274" ht="12.75" customHeight="1" outlineLevel="1">
      <c r="A274" s="316"/>
      <c r="B274" s="67" t="s">
        <v>545</v>
      </c>
      <c r="C274" s="90"/>
      <c r="D274" s="90"/>
      <c r="E274" s="90"/>
      <c r="F274" s="90"/>
      <c r="G274" s="90"/>
      <c r="H274" s="90"/>
      <c r="I274" s="90"/>
      <c r="J274" s="90"/>
      <c r="K274" s="90"/>
      <c r="L274" s="90"/>
      <c r="M274" s="90"/>
      <c r="N274" s="90"/>
      <c r="O274" s="90"/>
      <c r="P274" s="90"/>
      <c r="Q274" s="90"/>
      <c r="R274" s="90"/>
      <c r="S274" s="90"/>
      <c r="T274" s="90"/>
      <c r="U274" s="90"/>
      <c r="V274" s="90"/>
      <c r="W274" s="90"/>
      <c r="X274" s="90"/>
      <c r="Y274" s="90"/>
      <c r="Z274" s="90"/>
      <c r="AA274" s="90"/>
      <c r="AB274" s="90"/>
      <c r="AC274" s="90"/>
      <c r="AD274" s="90"/>
      <c r="AE274" s="90"/>
      <c r="AF274" s="90"/>
      <c r="AG274" s="90"/>
      <c r="AH274" s="90"/>
      <c r="AI274" s="90"/>
      <c r="AJ274" s="90"/>
      <c r="AK274" s="90"/>
      <c r="AL274" s="90"/>
      <c r="AM274" s="90"/>
      <c r="AN274" s="90"/>
      <c r="AO274" s="90"/>
      <c r="AP274" s="90"/>
      <c r="AQ274" s="90"/>
      <c r="AR274" s="90"/>
      <c r="AS274" s="90"/>
      <c r="AT274" s="90"/>
      <c r="AU274" s="90"/>
      <c r="AV274" s="90"/>
      <c r="AW274" s="90"/>
      <c r="AX274" s="90"/>
      <c r="AY274" s="90"/>
      <c r="AZ274" s="90"/>
      <c r="BA274" s="90"/>
      <c r="BB274" s="90"/>
      <c r="BC274" s="90"/>
      <c r="BD274" s="90"/>
      <c r="BE274" s="90"/>
      <c r="BF274" s="90"/>
      <c r="BG274" s="90"/>
    </row>
    <row r="275" ht="12.75" customHeight="1" outlineLevel="1">
      <c r="A275" s="316"/>
      <c r="B275" s="90"/>
      <c r="C275" s="90" t="s">
        <v>788</v>
      </c>
      <c r="D275" s="90"/>
      <c r="E275" s="90"/>
      <c r="F275" s="90"/>
      <c r="G275" s="99"/>
      <c r="H275" s="99"/>
      <c r="I275" s="543" t="str">
        <f>'[4]'!H8</f>
        <v>#REF!</v>
      </c>
      <c r="J275" s="99">
        <f>'FY09 P&amp;L'!B22</f>
        <v>91807</v>
      </c>
      <c r="K275" s="99">
        <v>190093.0</v>
      </c>
      <c r="L275" s="99">
        <f t="shared" ref="L275:AV275" si="211">L111*L63</f>
        <v>131604.48</v>
      </c>
      <c r="M275" s="99">
        <f t="shared" si="211"/>
        <v>134236.5696</v>
      </c>
      <c r="N275" s="99">
        <f t="shared" si="211"/>
        <v>136921.301</v>
      </c>
      <c r="O275" s="99">
        <f t="shared" si="211"/>
        <v>139659.727</v>
      </c>
      <c r="P275" s="99">
        <f t="shared" si="211"/>
        <v>142452.9216</v>
      </c>
      <c r="Q275" s="99">
        <f t="shared" si="211"/>
        <v>145301.98</v>
      </c>
      <c r="R275" s="99">
        <f t="shared" si="211"/>
        <v>148208.0196</v>
      </c>
      <c r="S275" s="99">
        <f t="shared" si="211"/>
        <v>151172.18</v>
      </c>
      <c r="T275" s="99">
        <f t="shared" si="211"/>
        <v>154195.6236</v>
      </c>
      <c r="U275" s="99">
        <f t="shared" si="211"/>
        <v>157279.536</v>
      </c>
      <c r="V275" s="99">
        <f t="shared" si="211"/>
        <v>160425.1268</v>
      </c>
      <c r="W275" s="99">
        <f t="shared" si="211"/>
        <v>163633.6293</v>
      </c>
      <c r="X275" s="99">
        <f t="shared" si="211"/>
        <v>166906.3019</v>
      </c>
      <c r="Y275" s="99">
        <f t="shared" si="211"/>
        <v>170244.4279</v>
      </c>
      <c r="Z275" s="99">
        <f t="shared" si="211"/>
        <v>173649.3165</v>
      </c>
      <c r="AA275" s="99">
        <f t="shared" si="211"/>
        <v>177122.3028</v>
      </c>
      <c r="AB275" s="99">
        <f t="shared" si="211"/>
        <v>180664.7489</v>
      </c>
      <c r="AC275" s="99">
        <f t="shared" si="211"/>
        <v>184278.0438</v>
      </c>
      <c r="AD275" s="99">
        <f t="shared" si="211"/>
        <v>187963.6047</v>
      </c>
      <c r="AE275" s="99">
        <f t="shared" si="211"/>
        <v>191722.8768</v>
      </c>
      <c r="AF275" s="99">
        <f t="shared" si="211"/>
        <v>195557.3344</v>
      </c>
      <c r="AG275" s="99">
        <f t="shared" si="211"/>
        <v>199468.481</v>
      </c>
      <c r="AH275" s="99">
        <f t="shared" si="211"/>
        <v>203457.8507</v>
      </c>
      <c r="AI275" s="99">
        <f t="shared" si="211"/>
        <v>207527.0077</v>
      </c>
      <c r="AJ275" s="99">
        <f t="shared" si="211"/>
        <v>211677.5478</v>
      </c>
      <c r="AK275" s="99">
        <f t="shared" si="211"/>
        <v>215911.0988</v>
      </c>
      <c r="AL275" s="99">
        <f t="shared" si="211"/>
        <v>220229.3208</v>
      </c>
      <c r="AM275" s="99">
        <f t="shared" si="211"/>
        <v>224633.9072</v>
      </c>
      <c r="AN275" s="99">
        <f t="shared" si="211"/>
        <v>229126.5853</v>
      </c>
      <c r="AO275" s="99">
        <f t="shared" si="211"/>
        <v>233709.117</v>
      </c>
      <c r="AP275" s="99">
        <f t="shared" si="211"/>
        <v>238383.2994</v>
      </c>
      <c r="AQ275" s="99">
        <f t="shared" si="211"/>
        <v>243150.9654</v>
      </c>
      <c r="AR275" s="99">
        <f t="shared" si="211"/>
        <v>248013.9847</v>
      </c>
      <c r="AS275" s="99">
        <f t="shared" si="211"/>
        <v>252974.2644</v>
      </c>
      <c r="AT275" s="99">
        <f t="shared" si="211"/>
        <v>258033.7496</v>
      </c>
      <c r="AU275" s="99">
        <f t="shared" si="211"/>
        <v>263194.4246</v>
      </c>
      <c r="AV275" s="99">
        <f t="shared" si="211"/>
        <v>268458.3131</v>
      </c>
      <c r="AW275" s="90"/>
      <c r="AX275" s="90"/>
      <c r="AY275" s="90"/>
      <c r="AZ275" s="90"/>
      <c r="BA275" s="90"/>
      <c r="BB275" s="90"/>
      <c r="BC275" s="90"/>
      <c r="BD275" s="90"/>
      <c r="BE275" s="90"/>
      <c r="BF275" s="90"/>
      <c r="BG275" s="90"/>
    </row>
    <row r="276" ht="12.75" customHeight="1" outlineLevel="1">
      <c r="A276" s="316"/>
      <c r="B276" s="90"/>
      <c r="C276" s="90" t="s">
        <v>789</v>
      </c>
      <c r="D276" s="90"/>
      <c r="E276" s="90"/>
      <c r="F276" s="90"/>
      <c r="G276" s="99"/>
      <c r="H276" s="99"/>
      <c r="I276" s="543" t="str">
        <f>'[4]'!H16</f>
        <v>#REF!</v>
      </c>
      <c r="J276" s="99">
        <f>'FY09 P&amp;L'!B14</f>
        <v>110388.2</v>
      </c>
      <c r="K276" s="99">
        <v>149030.79</v>
      </c>
      <c r="L276" s="99">
        <f t="shared" ref="L276:AV276" si="212">L112*L338</f>
        <v>152064</v>
      </c>
      <c r="M276" s="99">
        <f t="shared" si="212"/>
        <v>155105.28</v>
      </c>
      <c r="N276" s="99">
        <f t="shared" si="212"/>
        <v>158207.3856</v>
      </c>
      <c r="O276" s="99">
        <f t="shared" si="212"/>
        <v>161371.5333</v>
      </c>
      <c r="P276" s="99">
        <f t="shared" si="212"/>
        <v>164598.964</v>
      </c>
      <c r="Q276" s="99">
        <f t="shared" si="212"/>
        <v>167890.9433</v>
      </c>
      <c r="R276" s="99">
        <f t="shared" si="212"/>
        <v>171248.7621</v>
      </c>
      <c r="S276" s="99">
        <f t="shared" si="212"/>
        <v>174673.7374</v>
      </c>
      <c r="T276" s="99">
        <f t="shared" si="212"/>
        <v>178167.2121</v>
      </c>
      <c r="U276" s="99">
        <f t="shared" si="212"/>
        <v>181730.5564</v>
      </c>
      <c r="V276" s="99">
        <f t="shared" si="212"/>
        <v>185365.1675</v>
      </c>
      <c r="W276" s="99">
        <f t="shared" si="212"/>
        <v>189072.4708</v>
      </c>
      <c r="X276" s="99">
        <f t="shared" si="212"/>
        <v>192853.9202</v>
      </c>
      <c r="Y276" s="99">
        <f t="shared" si="212"/>
        <v>196710.9987</v>
      </c>
      <c r="Z276" s="99">
        <f t="shared" si="212"/>
        <v>200645.2186</v>
      </c>
      <c r="AA276" s="99">
        <f t="shared" si="212"/>
        <v>204658.123</v>
      </c>
      <c r="AB276" s="99">
        <f t="shared" si="212"/>
        <v>208751.2855</v>
      </c>
      <c r="AC276" s="99">
        <f t="shared" si="212"/>
        <v>212926.3112</v>
      </c>
      <c r="AD276" s="99">
        <f t="shared" si="212"/>
        <v>217184.8374</v>
      </c>
      <c r="AE276" s="99">
        <f t="shared" si="212"/>
        <v>221528.5341</v>
      </c>
      <c r="AF276" s="99">
        <f t="shared" si="212"/>
        <v>225959.1048</v>
      </c>
      <c r="AG276" s="99">
        <f t="shared" si="212"/>
        <v>230478.2869</v>
      </c>
      <c r="AH276" s="99">
        <f t="shared" si="212"/>
        <v>235087.8527</v>
      </c>
      <c r="AI276" s="99">
        <f t="shared" si="212"/>
        <v>239789.6097</v>
      </c>
      <c r="AJ276" s="99">
        <f t="shared" si="212"/>
        <v>244585.4019</v>
      </c>
      <c r="AK276" s="99">
        <f t="shared" si="212"/>
        <v>249477.1099</v>
      </c>
      <c r="AL276" s="99">
        <f t="shared" si="212"/>
        <v>254466.6521</v>
      </c>
      <c r="AM276" s="99">
        <f t="shared" si="212"/>
        <v>259555.9852</v>
      </c>
      <c r="AN276" s="99">
        <f t="shared" si="212"/>
        <v>264747.1049</v>
      </c>
      <c r="AO276" s="99">
        <f t="shared" si="212"/>
        <v>270042.047</v>
      </c>
      <c r="AP276" s="99">
        <f t="shared" si="212"/>
        <v>275442.8879</v>
      </c>
      <c r="AQ276" s="99">
        <f t="shared" si="212"/>
        <v>280951.7457</v>
      </c>
      <c r="AR276" s="99">
        <f t="shared" si="212"/>
        <v>286570.7806</v>
      </c>
      <c r="AS276" s="99">
        <f t="shared" si="212"/>
        <v>292302.1962</v>
      </c>
      <c r="AT276" s="99">
        <f t="shared" si="212"/>
        <v>298148.2401</v>
      </c>
      <c r="AU276" s="99">
        <f t="shared" si="212"/>
        <v>304111.2049</v>
      </c>
      <c r="AV276" s="99">
        <f t="shared" si="212"/>
        <v>310193.429</v>
      </c>
      <c r="AW276" s="90"/>
      <c r="AX276" s="90"/>
      <c r="AY276" s="90"/>
      <c r="AZ276" s="90"/>
      <c r="BA276" s="90"/>
      <c r="BB276" s="90"/>
      <c r="BC276" s="90"/>
      <c r="BD276" s="90"/>
      <c r="BE276" s="90"/>
      <c r="BF276" s="90"/>
      <c r="BG276" s="90"/>
    </row>
    <row r="277" ht="12.75" customHeight="1" outlineLevel="1">
      <c r="A277" s="316"/>
      <c r="B277" s="90"/>
      <c r="C277" s="90" t="s">
        <v>689</v>
      </c>
      <c r="D277" s="90"/>
      <c r="E277" s="90"/>
      <c r="F277" s="90"/>
      <c r="G277" s="99"/>
      <c r="H277" s="99"/>
      <c r="I277" s="99">
        <v>0.0</v>
      </c>
      <c r="J277" s="99">
        <v>0.0</v>
      </c>
      <c r="K277" s="99">
        <v>11600.0</v>
      </c>
      <c r="L277" s="99">
        <f t="shared" ref="L277:AV277" si="213">L113*L55</f>
        <v>12318.58407</v>
      </c>
      <c r="M277" s="99">
        <f t="shared" si="213"/>
        <v>12564.95575</v>
      </c>
      <c r="N277" s="99">
        <f t="shared" si="213"/>
        <v>12816.25487</v>
      </c>
      <c r="O277" s="99">
        <f t="shared" si="213"/>
        <v>13072.57996</v>
      </c>
      <c r="P277" s="99">
        <f t="shared" si="213"/>
        <v>13334.03156</v>
      </c>
      <c r="Q277" s="99">
        <f t="shared" si="213"/>
        <v>13600.7122</v>
      </c>
      <c r="R277" s="99">
        <f t="shared" si="213"/>
        <v>13872.72644</v>
      </c>
      <c r="S277" s="99">
        <f t="shared" si="213"/>
        <v>14150.18097</v>
      </c>
      <c r="T277" s="99">
        <f t="shared" si="213"/>
        <v>14433.18459</v>
      </c>
      <c r="U277" s="99">
        <f t="shared" si="213"/>
        <v>14721.84828</v>
      </c>
      <c r="V277" s="99">
        <f t="shared" si="213"/>
        <v>15016.28524</v>
      </c>
      <c r="W277" s="99">
        <f t="shared" si="213"/>
        <v>15316.61095</v>
      </c>
      <c r="X277" s="99">
        <f t="shared" si="213"/>
        <v>15622.94317</v>
      </c>
      <c r="Y277" s="99">
        <f t="shared" si="213"/>
        <v>15935.40203</v>
      </c>
      <c r="Z277" s="99">
        <f t="shared" si="213"/>
        <v>16254.11007</v>
      </c>
      <c r="AA277" s="99">
        <f t="shared" si="213"/>
        <v>16579.19227</v>
      </c>
      <c r="AB277" s="99">
        <f t="shared" si="213"/>
        <v>16910.77612</v>
      </c>
      <c r="AC277" s="99">
        <f t="shared" si="213"/>
        <v>17248.99164</v>
      </c>
      <c r="AD277" s="99">
        <f t="shared" si="213"/>
        <v>17593.97147</v>
      </c>
      <c r="AE277" s="99">
        <f t="shared" si="213"/>
        <v>17945.8509</v>
      </c>
      <c r="AF277" s="99">
        <f t="shared" si="213"/>
        <v>18304.76792</v>
      </c>
      <c r="AG277" s="99">
        <f t="shared" si="213"/>
        <v>18670.86328</v>
      </c>
      <c r="AH277" s="99">
        <f t="shared" si="213"/>
        <v>19044.28055</v>
      </c>
      <c r="AI277" s="99">
        <f t="shared" si="213"/>
        <v>19425.16616</v>
      </c>
      <c r="AJ277" s="99">
        <f t="shared" si="213"/>
        <v>19813.66948</v>
      </c>
      <c r="AK277" s="99">
        <f t="shared" si="213"/>
        <v>20209.94287</v>
      </c>
      <c r="AL277" s="99">
        <f t="shared" si="213"/>
        <v>20614.14173</v>
      </c>
      <c r="AM277" s="99">
        <f t="shared" si="213"/>
        <v>21026.42456</v>
      </c>
      <c r="AN277" s="99">
        <f t="shared" si="213"/>
        <v>21446.95305</v>
      </c>
      <c r="AO277" s="99">
        <f t="shared" si="213"/>
        <v>21875.89211</v>
      </c>
      <c r="AP277" s="99">
        <f t="shared" si="213"/>
        <v>22313.40996</v>
      </c>
      <c r="AQ277" s="99">
        <f t="shared" si="213"/>
        <v>22759.67816</v>
      </c>
      <c r="AR277" s="99">
        <f t="shared" si="213"/>
        <v>23214.87172</v>
      </c>
      <c r="AS277" s="99">
        <f t="shared" si="213"/>
        <v>23679.16915</v>
      </c>
      <c r="AT277" s="99">
        <f t="shared" si="213"/>
        <v>24152.75254</v>
      </c>
      <c r="AU277" s="99">
        <f t="shared" si="213"/>
        <v>24635.80759</v>
      </c>
      <c r="AV277" s="99">
        <f t="shared" si="213"/>
        <v>25128.52374</v>
      </c>
      <c r="AW277" s="90"/>
      <c r="AX277" s="90"/>
      <c r="AY277" s="90"/>
      <c r="AZ277" s="90"/>
      <c r="BA277" s="90"/>
      <c r="BB277" s="90"/>
      <c r="BC277" s="90"/>
      <c r="BD277" s="90"/>
      <c r="BE277" s="90"/>
      <c r="BF277" s="90"/>
      <c r="BG277" s="90"/>
    </row>
    <row r="278" ht="12.75" customHeight="1" outlineLevel="1">
      <c r="A278" s="316"/>
      <c r="B278" s="90"/>
      <c r="C278" s="90" t="s">
        <v>679</v>
      </c>
      <c r="D278" s="90"/>
      <c r="E278" s="90"/>
      <c r="F278" s="90"/>
      <c r="G278" s="99"/>
      <c r="H278" s="99"/>
      <c r="I278" s="99"/>
      <c r="J278" s="99">
        <f>'FY09 P&amp;L'!B11</f>
        <v>32927</v>
      </c>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c r="AI278" s="99"/>
      <c r="AJ278" s="99"/>
      <c r="AK278" s="99"/>
      <c r="AL278" s="99"/>
      <c r="AM278" s="99"/>
      <c r="AN278" s="99"/>
      <c r="AO278" s="99"/>
      <c r="AP278" s="99"/>
      <c r="AQ278" s="99"/>
      <c r="AR278" s="99"/>
      <c r="AS278" s="99"/>
      <c r="AT278" s="99"/>
      <c r="AU278" s="99"/>
      <c r="AV278" s="99"/>
      <c r="AW278" s="90"/>
      <c r="AX278" s="90"/>
      <c r="AY278" s="90"/>
      <c r="AZ278" s="90"/>
      <c r="BA278" s="90"/>
      <c r="BB278" s="90"/>
      <c r="BC278" s="90"/>
      <c r="BD278" s="90"/>
      <c r="BE278" s="90"/>
      <c r="BF278" s="90"/>
      <c r="BG278" s="90"/>
    </row>
    <row r="279" ht="12.75" customHeight="1" outlineLevel="1">
      <c r="A279" s="316"/>
      <c r="B279" s="90"/>
      <c r="C279" s="90" t="s">
        <v>790</v>
      </c>
      <c r="D279" s="90"/>
      <c r="E279" s="90"/>
      <c r="F279" s="90"/>
      <c r="G279" s="99"/>
      <c r="H279" s="99"/>
      <c r="I279" s="99">
        <v>0.0</v>
      </c>
      <c r="J279" s="99">
        <f>'FY09 P&amp;L'!B23</f>
        <v>3688</v>
      </c>
      <c r="K279" s="99">
        <v>10326.0</v>
      </c>
      <c r="L279" s="99">
        <f t="shared" ref="L279:AV279" si="214">K279*(1+L110)</f>
        <v>10532.52</v>
      </c>
      <c r="M279" s="99">
        <f t="shared" si="214"/>
        <v>10743.1704</v>
      </c>
      <c r="N279" s="99">
        <f t="shared" si="214"/>
        <v>10958.03381</v>
      </c>
      <c r="O279" s="99">
        <f t="shared" si="214"/>
        <v>11177.19448</v>
      </c>
      <c r="P279" s="99">
        <f t="shared" si="214"/>
        <v>11400.73837</v>
      </c>
      <c r="Q279" s="99">
        <f t="shared" si="214"/>
        <v>11628.75314</v>
      </c>
      <c r="R279" s="99">
        <f t="shared" si="214"/>
        <v>11861.3282</v>
      </c>
      <c r="S279" s="99">
        <f t="shared" si="214"/>
        <v>12098.55477</v>
      </c>
      <c r="T279" s="99">
        <f t="shared" si="214"/>
        <v>12340.52586</v>
      </c>
      <c r="U279" s="99">
        <f t="shared" si="214"/>
        <v>12587.33638</v>
      </c>
      <c r="V279" s="99">
        <f t="shared" si="214"/>
        <v>12839.08311</v>
      </c>
      <c r="W279" s="99">
        <f t="shared" si="214"/>
        <v>13095.86477</v>
      </c>
      <c r="X279" s="99">
        <f t="shared" si="214"/>
        <v>13357.78207</v>
      </c>
      <c r="Y279" s="99">
        <f t="shared" si="214"/>
        <v>13624.93771</v>
      </c>
      <c r="Z279" s="99">
        <f t="shared" si="214"/>
        <v>13897.43646</v>
      </c>
      <c r="AA279" s="99">
        <f t="shared" si="214"/>
        <v>14175.38519</v>
      </c>
      <c r="AB279" s="99">
        <f t="shared" si="214"/>
        <v>14458.89289</v>
      </c>
      <c r="AC279" s="99">
        <f t="shared" si="214"/>
        <v>14748.07075</v>
      </c>
      <c r="AD279" s="99">
        <f t="shared" si="214"/>
        <v>15043.03217</v>
      </c>
      <c r="AE279" s="99">
        <f t="shared" si="214"/>
        <v>15343.89281</v>
      </c>
      <c r="AF279" s="99">
        <f t="shared" si="214"/>
        <v>15650.77067</v>
      </c>
      <c r="AG279" s="99">
        <f t="shared" si="214"/>
        <v>15963.78608</v>
      </c>
      <c r="AH279" s="99">
        <f t="shared" si="214"/>
        <v>16283.0618</v>
      </c>
      <c r="AI279" s="99">
        <f t="shared" si="214"/>
        <v>16608.72304</v>
      </c>
      <c r="AJ279" s="99">
        <f t="shared" si="214"/>
        <v>16940.8975</v>
      </c>
      <c r="AK279" s="99">
        <f t="shared" si="214"/>
        <v>17279.71545</v>
      </c>
      <c r="AL279" s="99">
        <f t="shared" si="214"/>
        <v>17625.30976</v>
      </c>
      <c r="AM279" s="99">
        <f t="shared" si="214"/>
        <v>17977.81595</v>
      </c>
      <c r="AN279" s="99">
        <f t="shared" si="214"/>
        <v>18337.37227</v>
      </c>
      <c r="AO279" s="99">
        <f t="shared" si="214"/>
        <v>18704.11972</v>
      </c>
      <c r="AP279" s="99">
        <f t="shared" si="214"/>
        <v>19078.20211</v>
      </c>
      <c r="AQ279" s="99">
        <f t="shared" si="214"/>
        <v>19459.76615</v>
      </c>
      <c r="AR279" s="99">
        <f t="shared" si="214"/>
        <v>19848.96148</v>
      </c>
      <c r="AS279" s="99">
        <f t="shared" si="214"/>
        <v>20245.94071</v>
      </c>
      <c r="AT279" s="99">
        <f t="shared" si="214"/>
        <v>20650.85952</v>
      </c>
      <c r="AU279" s="99">
        <f t="shared" si="214"/>
        <v>21063.87671</v>
      </c>
      <c r="AV279" s="99">
        <f t="shared" si="214"/>
        <v>21485.15425</v>
      </c>
      <c r="AW279" s="90"/>
      <c r="AX279" s="90"/>
      <c r="AY279" s="90"/>
      <c r="AZ279" s="90"/>
      <c r="BA279" s="90"/>
      <c r="BB279" s="90"/>
      <c r="BC279" s="90"/>
      <c r="BD279" s="90"/>
      <c r="BE279" s="90"/>
      <c r="BF279" s="90"/>
      <c r="BG279" s="90"/>
    </row>
    <row r="280" ht="12.75" customHeight="1" outlineLevel="1">
      <c r="A280" s="316"/>
      <c r="B280" s="90"/>
      <c r="C280" s="90" t="s">
        <v>1214</v>
      </c>
      <c r="D280" s="90"/>
      <c r="E280" s="90"/>
      <c r="F280" s="90"/>
      <c r="G280" s="99"/>
      <c r="H280" s="99"/>
      <c r="I280" s="99">
        <v>0.0</v>
      </c>
      <c r="J280" s="99">
        <f>'FY09 P&amp;L'!B24</f>
        <v>36000</v>
      </c>
      <c r="K280" s="99">
        <f t="shared" ref="K280:AV280" si="215">K115*K$55</f>
        <v>0</v>
      </c>
      <c r="L280" s="99">
        <f t="shared" si="215"/>
        <v>0</v>
      </c>
      <c r="M280" s="99">
        <f t="shared" si="215"/>
        <v>0</v>
      </c>
      <c r="N280" s="99">
        <f t="shared" si="215"/>
        <v>0</v>
      </c>
      <c r="O280" s="99">
        <f t="shared" si="215"/>
        <v>0</v>
      </c>
      <c r="P280" s="99">
        <f t="shared" si="215"/>
        <v>0</v>
      </c>
      <c r="Q280" s="99">
        <f t="shared" si="215"/>
        <v>0</v>
      </c>
      <c r="R280" s="99">
        <f t="shared" si="215"/>
        <v>0</v>
      </c>
      <c r="S280" s="99">
        <f t="shared" si="215"/>
        <v>0</v>
      </c>
      <c r="T280" s="99">
        <f t="shared" si="215"/>
        <v>0</v>
      </c>
      <c r="U280" s="99">
        <f t="shared" si="215"/>
        <v>0</v>
      </c>
      <c r="V280" s="99">
        <f t="shared" si="215"/>
        <v>0</v>
      </c>
      <c r="W280" s="99">
        <f t="shared" si="215"/>
        <v>0</v>
      </c>
      <c r="X280" s="99">
        <f t="shared" si="215"/>
        <v>0</v>
      </c>
      <c r="Y280" s="99">
        <f t="shared" si="215"/>
        <v>0</v>
      </c>
      <c r="Z280" s="99">
        <f t="shared" si="215"/>
        <v>0</v>
      </c>
      <c r="AA280" s="99">
        <f t="shared" si="215"/>
        <v>0</v>
      </c>
      <c r="AB280" s="99">
        <f t="shared" si="215"/>
        <v>0</v>
      </c>
      <c r="AC280" s="99">
        <f t="shared" si="215"/>
        <v>0</v>
      </c>
      <c r="AD280" s="99">
        <f t="shared" si="215"/>
        <v>0</v>
      </c>
      <c r="AE280" s="99">
        <f t="shared" si="215"/>
        <v>0</v>
      </c>
      <c r="AF280" s="99">
        <f t="shared" si="215"/>
        <v>0</v>
      </c>
      <c r="AG280" s="99">
        <f t="shared" si="215"/>
        <v>0</v>
      </c>
      <c r="AH280" s="99">
        <f t="shared" si="215"/>
        <v>0</v>
      </c>
      <c r="AI280" s="99">
        <f t="shared" si="215"/>
        <v>0</v>
      </c>
      <c r="AJ280" s="99">
        <f t="shared" si="215"/>
        <v>0</v>
      </c>
      <c r="AK280" s="99">
        <f t="shared" si="215"/>
        <v>0</v>
      </c>
      <c r="AL280" s="99">
        <f t="shared" si="215"/>
        <v>0</v>
      </c>
      <c r="AM280" s="99">
        <f t="shared" si="215"/>
        <v>0</v>
      </c>
      <c r="AN280" s="99">
        <f t="shared" si="215"/>
        <v>0</v>
      </c>
      <c r="AO280" s="99">
        <f t="shared" si="215"/>
        <v>0</v>
      </c>
      <c r="AP280" s="99">
        <f t="shared" si="215"/>
        <v>0</v>
      </c>
      <c r="AQ280" s="99">
        <f t="shared" si="215"/>
        <v>0</v>
      </c>
      <c r="AR280" s="99">
        <f t="shared" si="215"/>
        <v>0</v>
      </c>
      <c r="AS280" s="99">
        <f t="shared" si="215"/>
        <v>0</v>
      </c>
      <c r="AT280" s="99">
        <f t="shared" si="215"/>
        <v>0</v>
      </c>
      <c r="AU280" s="99">
        <f t="shared" si="215"/>
        <v>0</v>
      </c>
      <c r="AV280" s="99">
        <f t="shared" si="215"/>
        <v>0</v>
      </c>
      <c r="AW280" s="90"/>
      <c r="AX280" s="90"/>
      <c r="AY280" s="90"/>
      <c r="AZ280" s="90"/>
      <c r="BA280" s="90"/>
      <c r="BB280" s="90"/>
      <c r="BC280" s="90"/>
      <c r="BD280" s="90"/>
      <c r="BE280" s="90"/>
      <c r="BF280" s="90"/>
      <c r="BG280" s="90"/>
    </row>
    <row r="281" ht="12.75" customHeight="1" outlineLevel="1">
      <c r="A281" s="316"/>
      <c r="B281" s="87"/>
      <c r="C281" s="87" t="s">
        <v>691</v>
      </c>
      <c r="D281" s="87"/>
      <c r="E281" s="87"/>
      <c r="F281" s="87"/>
      <c r="G281" s="125"/>
      <c r="H281" s="125"/>
      <c r="I281" s="125">
        <v>0.0</v>
      </c>
      <c r="J281" s="125">
        <f>'FY09 P&amp;L'!B19</f>
        <v>142755</v>
      </c>
      <c r="K281" s="125">
        <v>9050.0</v>
      </c>
      <c r="L281" s="125">
        <f t="shared" ref="L281:AV281" si="216">L116*L$55</f>
        <v>0</v>
      </c>
      <c r="M281" s="125">
        <f t="shared" si="216"/>
        <v>0</v>
      </c>
      <c r="N281" s="125">
        <f t="shared" si="216"/>
        <v>0</v>
      </c>
      <c r="O281" s="125">
        <f t="shared" si="216"/>
        <v>0</v>
      </c>
      <c r="P281" s="125">
        <f t="shared" si="216"/>
        <v>0</v>
      </c>
      <c r="Q281" s="125">
        <f t="shared" si="216"/>
        <v>0</v>
      </c>
      <c r="R281" s="125">
        <f t="shared" si="216"/>
        <v>0</v>
      </c>
      <c r="S281" s="125">
        <f t="shared" si="216"/>
        <v>0</v>
      </c>
      <c r="T281" s="125">
        <f t="shared" si="216"/>
        <v>0</v>
      </c>
      <c r="U281" s="125">
        <f t="shared" si="216"/>
        <v>0</v>
      </c>
      <c r="V281" s="125">
        <f t="shared" si="216"/>
        <v>0</v>
      </c>
      <c r="W281" s="125">
        <f t="shared" si="216"/>
        <v>0</v>
      </c>
      <c r="X281" s="125">
        <f t="shared" si="216"/>
        <v>0</v>
      </c>
      <c r="Y281" s="125">
        <f t="shared" si="216"/>
        <v>0</v>
      </c>
      <c r="Z281" s="125">
        <f t="shared" si="216"/>
        <v>0</v>
      </c>
      <c r="AA281" s="125">
        <f t="shared" si="216"/>
        <v>0</v>
      </c>
      <c r="AB281" s="125">
        <f t="shared" si="216"/>
        <v>0</v>
      </c>
      <c r="AC281" s="125">
        <f t="shared" si="216"/>
        <v>0</v>
      </c>
      <c r="AD281" s="125">
        <f t="shared" si="216"/>
        <v>0</v>
      </c>
      <c r="AE281" s="125">
        <f t="shared" si="216"/>
        <v>0</v>
      </c>
      <c r="AF281" s="125">
        <f t="shared" si="216"/>
        <v>0</v>
      </c>
      <c r="AG281" s="125">
        <f t="shared" si="216"/>
        <v>0</v>
      </c>
      <c r="AH281" s="125">
        <f t="shared" si="216"/>
        <v>0</v>
      </c>
      <c r="AI281" s="125">
        <f t="shared" si="216"/>
        <v>0</v>
      </c>
      <c r="AJ281" s="125">
        <f t="shared" si="216"/>
        <v>0</v>
      </c>
      <c r="AK281" s="125">
        <f t="shared" si="216"/>
        <v>0</v>
      </c>
      <c r="AL281" s="125">
        <f t="shared" si="216"/>
        <v>0</v>
      </c>
      <c r="AM281" s="125">
        <f t="shared" si="216"/>
        <v>0</v>
      </c>
      <c r="AN281" s="125">
        <f t="shared" si="216"/>
        <v>0</v>
      </c>
      <c r="AO281" s="125">
        <f t="shared" si="216"/>
        <v>0</v>
      </c>
      <c r="AP281" s="125">
        <f t="shared" si="216"/>
        <v>0</v>
      </c>
      <c r="AQ281" s="125">
        <f t="shared" si="216"/>
        <v>0</v>
      </c>
      <c r="AR281" s="125">
        <f t="shared" si="216"/>
        <v>0</v>
      </c>
      <c r="AS281" s="125">
        <f t="shared" si="216"/>
        <v>0</v>
      </c>
      <c r="AT281" s="125">
        <f t="shared" si="216"/>
        <v>0</v>
      </c>
      <c r="AU281" s="125">
        <f t="shared" si="216"/>
        <v>0</v>
      </c>
      <c r="AV281" s="125">
        <f t="shared" si="216"/>
        <v>0</v>
      </c>
      <c r="AW281" s="87"/>
      <c r="AX281" s="90"/>
      <c r="AY281" s="90"/>
      <c r="AZ281" s="90"/>
      <c r="BA281" s="90"/>
      <c r="BB281" s="90"/>
      <c r="BC281" s="90"/>
      <c r="BD281" s="90"/>
      <c r="BE281" s="90"/>
      <c r="BF281" s="90"/>
      <c r="BG281" s="90"/>
    </row>
    <row r="282" ht="12.75" customHeight="1" outlineLevel="1">
      <c r="A282" s="316"/>
      <c r="B282" s="67" t="s">
        <v>792</v>
      </c>
      <c r="C282" s="90"/>
      <c r="D282" s="90"/>
      <c r="E282" s="90"/>
      <c r="F282" s="90"/>
      <c r="G282" s="79"/>
      <c r="H282" s="79"/>
      <c r="I282" s="79" t="str">
        <f t="shared" ref="I282:AV282" si="217">SUM(I275:I281)</f>
        <v>#REF!</v>
      </c>
      <c r="J282" s="79">
        <f t="shared" si="217"/>
        <v>417565.2</v>
      </c>
      <c r="K282" s="79">
        <f t="shared" si="217"/>
        <v>370099.79</v>
      </c>
      <c r="L282" s="79">
        <f t="shared" si="217"/>
        <v>306519.5841</v>
      </c>
      <c r="M282" s="79">
        <f t="shared" si="217"/>
        <v>312649.9758</v>
      </c>
      <c r="N282" s="79">
        <f t="shared" si="217"/>
        <v>318902.9753</v>
      </c>
      <c r="O282" s="79">
        <f t="shared" si="217"/>
        <v>325281.0348</v>
      </c>
      <c r="P282" s="79">
        <f t="shared" si="217"/>
        <v>331786.6555</v>
      </c>
      <c r="Q282" s="79">
        <f t="shared" si="217"/>
        <v>338422.3886</v>
      </c>
      <c r="R282" s="79">
        <f t="shared" si="217"/>
        <v>345190.8363</v>
      </c>
      <c r="S282" s="79">
        <f t="shared" si="217"/>
        <v>352094.6531</v>
      </c>
      <c r="T282" s="79">
        <f t="shared" si="217"/>
        <v>359136.5461</v>
      </c>
      <c r="U282" s="79">
        <f t="shared" si="217"/>
        <v>366319.2771</v>
      </c>
      <c r="V282" s="79">
        <f t="shared" si="217"/>
        <v>373645.6626</v>
      </c>
      <c r="W282" s="79">
        <f t="shared" si="217"/>
        <v>381118.5759</v>
      </c>
      <c r="X282" s="79">
        <f t="shared" si="217"/>
        <v>388740.9474</v>
      </c>
      <c r="Y282" s="79">
        <f t="shared" si="217"/>
        <v>396515.7663</v>
      </c>
      <c r="Z282" s="79">
        <f t="shared" si="217"/>
        <v>404446.0816</v>
      </c>
      <c r="AA282" s="79">
        <f t="shared" si="217"/>
        <v>412535.0033</v>
      </c>
      <c r="AB282" s="79">
        <f t="shared" si="217"/>
        <v>420785.7033</v>
      </c>
      <c r="AC282" s="79">
        <f t="shared" si="217"/>
        <v>429201.4174</v>
      </c>
      <c r="AD282" s="79">
        <f t="shared" si="217"/>
        <v>437785.4458</v>
      </c>
      <c r="AE282" s="79">
        <f t="shared" si="217"/>
        <v>446541.1547</v>
      </c>
      <c r="AF282" s="79">
        <f t="shared" si="217"/>
        <v>455471.9778</v>
      </c>
      <c r="AG282" s="79">
        <f t="shared" si="217"/>
        <v>464581.4173</v>
      </c>
      <c r="AH282" s="79">
        <f t="shared" si="217"/>
        <v>473873.0457</v>
      </c>
      <c r="AI282" s="79">
        <f t="shared" si="217"/>
        <v>483350.5066</v>
      </c>
      <c r="AJ282" s="79">
        <f t="shared" si="217"/>
        <v>493017.5167</v>
      </c>
      <c r="AK282" s="79">
        <f t="shared" si="217"/>
        <v>502877.867</v>
      </c>
      <c r="AL282" s="79">
        <f t="shared" si="217"/>
        <v>512935.4244</v>
      </c>
      <c r="AM282" s="79">
        <f t="shared" si="217"/>
        <v>523194.1329</v>
      </c>
      <c r="AN282" s="79">
        <f t="shared" si="217"/>
        <v>533658.0155</v>
      </c>
      <c r="AO282" s="79">
        <f t="shared" si="217"/>
        <v>544331.1758</v>
      </c>
      <c r="AP282" s="79">
        <f t="shared" si="217"/>
        <v>555217.7994</v>
      </c>
      <c r="AQ282" s="79">
        <f t="shared" si="217"/>
        <v>566322.1553</v>
      </c>
      <c r="AR282" s="79">
        <f t="shared" si="217"/>
        <v>577648.5985</v>
      </c>
      <c r="AS282" s="79">
        <f t="shared" si="217"/>
        <v>589201.5704</v>
      </c>
      <c r="AT282" s="79">
        <f t="shared" si="217"/>
        <v>600985.6018</v>
      </c>
      <c r="AU282" s="79">
        <f t="shared" si="217"/>
        <v>613005.3139</v>
      </c>
      <c r="AV282" s="79">
        <f t="shared" si="217"/>
        <v>625265.4201</v>
      </c>
      <c r="AW282" s="90"/>
      <c r="AX282" s="90"/>
      <c r="AY282" s="90"/>
      <c r="AZ282" s="90"/>
      <c r="BA282" s="90"/>
      <c r="BB282" s="90"/>
      <c r="BC282" s="90"/>
      <c r="BD282" s="90"/>
      <c r="BE282" s="90"/>
      <c r="BF282" s="90"/>
      <c r="BG282" s="90"/>
    </row>
    <row r="283" ht="12.75" customHeight="1" outlineLevel="1">
      <c r="A283" s="316"/>
      <c r="B283" s="67"/>
      <c r="C283" s="90"/>
      <c r="D283" s="90"/>
      <c r="E283" s="90"/>
      <c r="F283" s="90"/>
      <c r="G283" s="79"/>
      <c r="H283" s="79"/>
      <c r="I283" s="79"/>
      <c r="J283" s="79"/>
      <c r="K283" s="79"/>
      <c r="L283" s="79"/>
      <c r="M283" s="79"/>
      <c r="N283" s="79"/>
      <c r="O283" s="79"/>
      <c r="P283" s="79"/>
      <c r="Q283" s="79"/>
      <c r="R283" s="79"/>
      <c r="S283" s="79"/>
      <c r="T283" s="79"/>
      <c r="U283" s="79"/>
      <c r="V283" s="79"/>
      <c r="W283" s="79"/>
      <c r="X283" s="79"/>
      <c r="Y283" s="79"/>
      <c r="Z283" s="79"/>
      <c r="AA283" s="79"/>
      <c r="AB283" s="79"/>
      <c r="AC283" s="79"/>
      <c r="AD283" s="79"/>
      <c r="AE283" s="79"/>
      <c r="AF283" s="79"/>
      <c r="AG283" s="79"/>
      <c r="AH283" s="79"/>
      <c r="AI283" s="79"/>
      <c r="AJ283" s="79"/>
      <c r="AK283" s="79"/>
      <c r="AL283" s="79"/>
      <c r="AM283" s="79"/>
      <c r="AN283" s="79"/>
      <c r="AO283" s="79"/>
      <c r="AP283" s="79"/>
      <c r="AQ283" s="79"/>
      <c r="AR283" s="79"/>
      <c r="AS283" s="79"/>
      <c r="AT283" s="79"/>
      <c r="AU283" s="79"/>
      <c r="AV283" s="79"/>
      <c r="AW283" s="90"/>
      <c r="AX283" s="90"/>
      <c r="AY283" s="90"/>
      <c r="AZ283" s="90"/>
      <c r="BA283" s="90"/>
      <c r="BB283" s="90"/>
      <c r="BC283" s="90"/>
      <c r="BD283" s="90"/>
      <c r="BE283" s="90"/>
      <c r="BF283" s="90"/>
      <c r="BG283" s="90"/>
    </row>
    <row r="284" ht="12.75" customHeight="1" outlineLevel="1">
      <c r="A284" s="316"/>
      <c r="B284" s="67" t="s">
        <v>423</v>
      </c>
      <c r="C284" s="90"/>
      <c r="D284" s="90"/>
      <c r="E284" s="90"/>
      <c r="F284" s="90"/>
      <c r="G284" s="90"/>
      <c r="H284" s="99"/>
      <c r="I284" s="90"/>
      <c r="J284" s="90"/>
      <c r="K284" s="90"/>
      <c r="L284" s="90"/>
      <c r="M284" s="90"/>
      <c r="N284" s="90"/>
      <c r="O284" s="90"/>
      <c r="P284" s="90"/>
      <c r="Q284" s="90"/>
      <c r="R284" s="90"/>
      <c r="S284" s="90"/>
      <c r="T284" s="90"/>
      <c r="U284" s="90"/>
      <c r="V284" s="90"/>
      <c r="W284" s="90"/>
      <c r="X284" s="90"/>
      <c r="Y284" s="90"/>
      <c r="Z284" s="90"/>
      <c r="AA284" s="90"/>
      <c r="AB284" s="90"/>
      <c r="AC284" s="90"/>
      <c r="AD284" s="90"/>
      <c r="AE284" s="90"/>
      <c r="AF284" s="90"/>
      <c r="AG284" s="90"/>
      <c r="AH284" s="90"/>
      <c r="AI284" s="90"/>
      <c r="AJ284" s="90"/>
      <c r="AK284" s="90"/>
      <c r="AL284" s="90"/>
      <c r="AM284" s="90"/>
      <c r="AN284" s="90"/>
      <c r="AO284" s="90"/>
      <c r="AP284" s="90"/>
      <c r="AQ284" s="90"/>
      <c r="AR284" s="90"/>
      <c r="AS284" s="90"/>
      <c r="AT284" s="90"/>
      <c r="AU284" s="90"/>
      <c r="AV284" s="90"/>
      <c r="AW284" s="90"/>
      <c r="AX284" s="90"/>
      <c r="AY284" s="90"/>
      <c r="AZ284" s="90"/>
      <c r="BA284" s="90"/>
      <c r="BB284" s="90"/>
      <c r="BC284" s="90"/>
      <c r="BD284" s="90"/>
      <c r="BE284" s="90"/>
      <c r="BF284" s="90"/>
      <c r="BG284" s="90"/>
    </row>
    <row r="285" ht="12.75" customHeight="1" outlineLevel="1">
      <c r="A285" s="90"/>
      <c r="B285" s="90"/>
      <c r="C285" s="90" t="s">
        <v>794</v>
      </c>
      <c r="D285" s="90"/>
      <c r="E285" s="90"/>
      <c r="F285" s="90"/>
      <c r="G285" s="99"/>
      <c r="H285" s="99"/>
      <c r="I285" s="99">
        <v>0.0</v>
      </c>
      <c r="J285" s="99">
        <v>0.0</v>
      </c>
      <c r="K285" s="99">
        <v>0.0</v>
      </c>
      <c r="L285" s="99">
        <v>0.0</v>
      </c>
      <c r="M285" s="99">
        <v>0.0</v>
      </c>
      <c r="N285" s="99">
        <v>0.0</v>
      </c>
      <c r="O285" s="99">
        <v>0.0</v>
      </c>
      <c r="P285" s="99">
        <v>0.0</v>
      </c>
      <c r="Q285" s="99">
        <v>0.0</v>
      </c>
      <c r="R285" s="99">
        <v>0.0</v>
      </c>
      <c r="S285" s="99">
        <v>0.0</v>
      </c>
      <c r="T285" s="99">
        <v>0.0</v>
      </c>
      <c r="U285" s="99">
        <v>0.0</v>
      </c>
      <c r="V285" s="99">
        <v>0.0</v>
      </c>
      <c r="W285" s="99">
        <v>0.0</v>
      </c>
      <c r="X285" s="99">
        <v>0.0</v>
      </c>
      <c r="Y285" s="99">
        <v>0.0</v>
      </c>
      <c r="Z285" s="99">
        <v>0.0</v>
      </c>
      <c r="AA285" s="99">
        <v>0.0</v>
      </c>
      <c r="AB285" s="99">
        <v>0.0</v>
      </c>
      <c r="AC285" s="99">
        <v>0.0</v>
      </c>
      <c r="AD285" s="99">
        <v>0.0</v>
      </c>
      <c r="AE285" s="99">
        <v>0.0</v>
      </c>
      <c r="AF285" s="99">
        <v>0.0</v>
      </c>
      <c r="AG285" s="99">
        <v>0.0</v>
      </c>
      <c r="AH285" s="99">
        <v>0.0</v>
      </c>
      <c r="AI285" s="99">
        <v>0.0</v>
      </c>
      <c r="AJ285" s="99">
        <v>0.0</v>
      </c>
      <c r="AK285" s="99">
        <v>0.0</v>
      </c>
      <c r="AL285" s="99">
        <v>0.0</v>
      </c>
      <c r="AM285" s="99">
        <v>0.0</v>
      </c>
      <c r="AN285" s="99">
        <v>0.0</v>
      </c>
      <c r="AO285" s="99">
        <v>0.0</v>
      </c>
      <c r="AP285" s="99">
        <v>0.0</v>
      </c>
      <c r="AQ285" s="99">
        <v>0.0</v>
      </c>
      <c r="AR285" s="99">
        <v>0.0</v>
      </c>
      <c r="AS285" s="99">
        <v>0.0</v>
      </c>
      <c r="AT285" s="99">
        <v>0.0</v>
      </c>
      <c r="AU285" s="99">
        <v>0.0</v>
      </c>
      <c r="AV285" s="99">
        <v>0.0</v>
      </c>
      <c r="AW285" s="90"/>
      <c r="AX285" s="90"/>
      <c r="AY285" s="90"/>
      <c r="AZ285" s="90"/>
      <c r="BA285" s="90"/>
      <c r="BB285" s="90"/>
      <c r="BC285" s="90"/>
      <c r="BD285" s="90"/>
      <c r="BE285" s="90"/>
      <c r="BF285" s="90"/>
      <c r="BG285" s="90"/>
    </row>
    <row r="286" ht="12.75" customHeight="1" outlineLevel="1">
      <c r="A286" s="90"/>
      <c r="B286" s="90"/>
      <c r="C286" s="90" t="s">
        <v>795</v>
      </c>
      <c r="D286" s="90"/>
      <c r="E286" s="90"/>
      <c r="F286" s="90"/>
      <c r="G286" s="99"/>
      <c r="H286" s="99"/>
      <c r="I286" s="99">
        <v>0.0</v>
      </c>
      <c r="J286" s="99">
        <v>0.0</v>
      </c>
      <c r="K286" s="99">
        <v>0.0</v>
      </c>
      <c r="L286" s="99">
        <v>0.0</v>
      </c>
      <c r="M286" s="99">
        <v>0.0</v>
      </c>
      <c r="N286" s="99">
        <v>0.0</v>
      </c>
      <c r="O286" s="99">
        <v>0.0</v>
      </c>
      <c r="P286" s="99">
        <v>0.0</v>
      </c>
      <c r="Q286" s="99">
        <v>0.0</v>
      </c>
      <c r="R286" s="99">
        <v>0.0</v>
      </c>
      <c r="S286" s="99">
        <v>0.0</v>
      </c>
      <c r="T286" s="99">
        <v>0.0</v>
      </c>
      <c r="U286" s="99">
        <v>0.0</v>
      </c>
      <c r="V286" s="99">
        <v>0.0</v>
      </c>
      <c r="W286" s="99">
        <v>0.0</v>
      </c>
      <c r="X286" s="99">
        <v>0.0</v>
      </c>
      <c r="Y286" s="99">
        <v>0.0</v>
      </c>
      <c r="Z286" s="99">
        <v>0.0</v>
      </c>
      <c r="AA286" s="99">
        <v>0.0</v>
      </c>
      <c r="AB286" s="99">
        <v>0.0</v>
      </c>
      <c r="AC286" s="99">
        <v>0.0</v>
      </c>
      <c r="AD286" s="99">
        <v>0.0</v>
      </c>
      <c r="AE286" s="99">
        <v>0.0</v>
      </c>
      <c r="AF286" s="99">
        <v>0.0</v>
      </c>
      <c r="AG286" s="99">
        <v>0.0</v>
      </c>
      <c r="AH286" s="99">
        <v>0.0</v>
      </c>
      <c r="AI286" s="99">
        <v>0.0</v>
      </c>
      <c r="AJ286" s="99">
        <v>0.0</v>
      </c>
      <c r="AK286" s="99">
        <v>0.0</v>
      </c>
      <c r="AL286" s="99">
        <v>0.0</v>
      </c>
      <c r="AM286" s="99">
        <v>0.0</v>
      </c>
      <c r="AN286" s="99">
        <v>0.0</v>
      </c>
      <c r="AO286" s="99">
        <v>0.0</v>
      </c>
      <c r="AP286" s="99">
        <v>0.0</v>
      </c>
      <c r="AQ286" s="99">
        <v>0.0</v>
      </c>
      <c r="AR286" s="99">
        <v>0.0</v>
      </c>
      <c r="AS286" s="99">
        <v>0.0</v>
      </c>
      <c r="AT286" s="99">
        <v>0.0</v>
      </c>
      <c r="AU286" s="99">
        <v>0.0</v>
      </c>
      <c r="AV286" s="99">
        <v>0.0</v>
      </c>
      <c r="AW286" s="90" t="s">
        <v>1215</v>
      </c>
      <c r="AX286" s="90"/>
      <c r="AY286" s="90"/>
      <c r="AZ286" s="90"/>
      <c r="BA286" s="90"/>
      <c r="BB286" s="90"/>
      <c r="BC286" s="90"/>
      <c r="BD286" s="90"/>
      <c r="BE286" s="90"/>
      <c r="BF286" s="90"/>
      <c r="BG286" s="90"/>
    </row>
    <row r="287" ht="12.75" customHeight="1" outlineLevel="1">
      <c r="A287" s="316"/>
      <c r="B287" s="87"/>
      <c r="C287" s="87" t="s">
        <v>796</v>
      </c>
      <c r="D287" s="87"/>
      <c r="E287" s="87"/>
      <c r="F287" s="87"/>
      <c r="G287" s="125"/>
      <c r="H287" s="125"/>
      <c r="I287" s="125" t="str">
        <f>'[4]'!H29+'[4]'!H7</f>
        <v>#REF!</v>
      </c>
      <c r="J287" s="125">
        <f>'FY09 P&amp;L'!B40+'FY09 P&amp;L'!B36</f>
        <v>7959.48</v>
      </c>
      <c r="K287" s="125">
        <v>11190.0</v>
      </c>
      <c r="L287" s="125">
        <v>0.0</v>
      </c>
      <c r="M287" s="125">
        <v>0.0</v>
      </c>
      <c r="N287" s="125">
        <v>0.0</v>
      </c>
      <c r="O287" s="125">
        <v>0.0</v>
      </c>
      <c r="P287" s="125">
        <v>0.0</v>
      </c>
      <c r="Q287" s="125">
        <v>0.0</v>
      </c>
      <c r="R287" s="125">
        <v>0.0</v>
      </c>
      <c r="S287" s="125">
        <v>0.0</v>
      </c>
      <c r="T287" s="125">
        <v>0.0</v>
      </c>
      <c r="U287" s="125">
        <v>0.0</v>
      </c>
      <c r="V287" s="125">
        <v>0.0</v>
      </c>
      <c r="W287" s="125">
        <v>0.0</v>
      </c>
      <c r="X287" s="125">
        <v>0.0</v>
      </c>
      <c r="Y287" s="125">
        <v>0.0</v>
      </c>
      <c r="Z287" s="125">
        <v>0.0</v>
      </c>
      <c r="AA287" s="125">
        <v>0.0</v>
      </c>
      <c r="AB287" s="125">
        <v>0.0</v>
      </c>
      <c r="AC287" s="125">
        <v>0.0</v>
      </c>
      <c r="AD287" s="125">
        <v>0.0</v>
      </c>
      <c r="AE287" s="125">
        <v>0.0</v>
      </c>
      <c r="AF287" s="125">
        <v>0.0</v>
      </c>
      <c r="AG287" s="125">
        <v>0.0</v>
      </c>
      <c r="AH287" s="125">
        <v>0.0</v>
      </c>
      <c r="AI287" s="125">
        <v>0.0</v>
      </c>
      <c r="AJ287" s="125">
        <v>0.0</v>
      </c>
      <c r="AK287" s="125">
        <v>0.0</v>
      </c>
      <c r="AL287" s="125">
        <v>0.0</v>
      </c>
      <c r="AM287" s="125">
        <v>0.0</v>
      </c>
      <c r="AN287" s="125">
        <v>0.0</v>
      </c>
      <c r="AO287" s="125">
        <v>0.0</v>
      </c>
      <c r="AP287" s="125">
        <v>0.0</v>
      </c>
      <c r="AQ287" s="125">
        <v>0.0</v>
      </c>
      <c r="AR287" s="125">
        <v>0.0</v>
      </c>
      <c r="AS287" s="125">
        <v>0.0</v>
      </c>
      <c r="AT287" s="125">
        <v>0.0</v>
      </c>
      <c r="AU287" s="125">
        <v>0.0</v>
      </c>
      <c r="AV287" s="125">
        <v>0.0</v>
      </c>
      <c r="AW287" s="87"/>
      <c r="AX287" s="90"/>
      <c r="AY287" s="90"/>
      <c r="AZ287" s="90"/>
      <c r="BA287" s="90"/>
      <c r="BB287" s="90"/>
      <c r="BC287" s="90"/>
      <c r="BD287" s="90"/>
      <c r="BE287" s="90"/>
      <c r="BF287" s="90"/>
      <c r="BG287" s="90"/>
    </row>
    <row r="288" ht="12.75" customHeight="1" outlineLevel="1">
      <c r="A288" s="316"/>
      <c r="B288" s="67" t="s">
        <v>797</v>
      </c>
      <c r="C288" s="90"/>
      <c r="D288" s="90"/>
      <c r="E288" s="90"/>
      <c r="F288" s="90"/>
      <c r="G288" s="79"/>
      <c r="H288" s="79"/>
      <c r="I288" s="79" t="str">
        <f t="shared" ref="I288:AV288" si="218">SUM(I285:I287)</f>
        <v>#REF!</v>
      </c>
      <c r="J288" s="79">
        <f t="shared" si="218"/>
        <v>7959.48</v>
      </c>
      <c r="K288" s="79">
        <f t="shared" si="218"/>
        <v>11190</v>
      </c>
      <c r="L288" s="79">
        <f t="shared" si="218"/>
        <v>0</v>
      </c>
      <c r="M288" s="79">
        <f t="shared" si="218"/>
        <v>0</v>
      </c>
      <c r="N288" s="79">
        <f t="shared" si="218"/>
        <v>0</v>
      </c>
      <c r="O288" s="79">
        <f t="shared" si="218"/>
        <v>0</v>
      </c>
      <c r="P288" s="79">
        <f t="shared" si="218"/>
        <v>0</v>
      </c>
      <c r="Q288" s="79">
        <f t="shared" si="218"/>
        <v>0</v>
      </c>
      <c r="R288" s="79">
        <f t="shared" si="218"/>
        <v>0</v>
      </c>
      <c r="S288" s="79">
        <f t="shared" si="218"/>
        <v>0</v>
      </c>
      <c r="T288" s="79">
        <f t="shared" si="218"/>
        <v>0</v>
      </c>
      <c r="U288" s="79">
        <f t="shared" si="218"/>
        <v>0</v>
      </c>
      <c r="V288" s="79">
        <f t="shared" si="218"/>
        <v>0</v>
      </c>
      <c r="W288" s="79">
        <f t="shared" si="218"/>
        <v>0</v>
      </c>
      <c r="X288" s="79">
        <f t="shared" si="218"/>
        <v>0</v>
      </c>
      <c r="Y288" s="79">
        <f t="shared" si="218"/>
        <v>0</v>
      </c>
      <c r="Z288" s="79">
        <f t="shared" si="218"/>
        <v>0</v>
      </c>
      <c r="AA288" s="79">
        <f t="shared" si="218"/>
        <v>0</v>
      </c>
      <c r="AB288" s="79">
        <f t="shared" si="218"/>
        <v>0</v>
      </c>
      <c r="AC288" s="79">
        <f t="shared" si="218"/>
        <v>0</v>
      </c>
      <c r="AD288" s="79">
        <f t="shared" si="218"/>
        <v>0</v>
      </c>
      <c r="AE288" s="79">
        <f t="shared" si="218"/>
        <v>0</v>
      </c>
      <c r="AF288" s="79">
        <f t="shared" si="218"/>
        <v>0</v>
      </c>
      <c r="AG288" s="79">
        <f t="shared" si="218"/>
        <v>0</v>
      </c>
      <c r="AH288" s="79">
        <f t="shared" si="218"/>
        <v>0</v>
      </c>
      <c r="AI288" s="79">
        <f t="shared" si="218"/>
        <v>0</v>
      </c>
      <c r="AJ288" s="79">
        <f t="shared" si="218"/>
        <v>0</v>
      </c>
      <c r="AK288" s="79">
        <f t="shared" si="218"/>
        <v>0</v>
      </c>
      <c r="AL288" s="79">
        <f t="shared" si="218"/>
        <v>0</v>
      </c>
      <c r="AM288" s="79">
        <f t="shared" si="218"/>
        <v>0</v>
      </c>
      <c r="AN288" s="79">
        <f t="shared" si="218"/>
        <v>0</v>
      </c>
      <c r="AO288" s="79">
        <f t="shared" si="218"/>
        <v>0</v>
      </c>
      <c r="AP288" s="79">
        <f t="shared" si="218"/>
        <v>0</v>
      </c>
      <c r="AQ288" s="79">
        <f t="shared" si="218"/>
        <v>0</v>
      </c>
      <c r="AR288" s="79">
        <f t="shared" si="218"/>
        <v>0</v>
      </c>
      <c r="AS288" s="79">
        <f t="shared" si="218"/>
        <v>0</v>
      </c>
      <c r="AT288" s="79">
        <f t="shared" si="218"/>
        <v>0</v>
      </c>
      <c r="AU288" s="79">
        <f t="shared" si="218"/>
        <v>0</v>
      </c>
      <c r="AV288" s="79">
        <f t="shared" si="218"/>
        <v>0</v>
      </c>
      <c r="AW288" s="90"/>
      <c r="AX288" s="90"/>
      <c r="AY288" s="90"/>
      <c r="AZ288" s="90"/>
      <c r="BA288" s="90"/>
      <c r="BB288" s="90"/>
      <c r="BC288" s="90"/>
      <c r="BD288" s="90"/>
      <c r="BE288" s="90"/>
      <c r="BF288" s="90"/>
      <c r="BG288" s="90"/>
    </row>
    <row r="289" ht="12.75" customHeight="1" outlineLevel="1">
      <c r="A289" s="316"/>
      <c r="B289" s="67"/>
      <c r="C289" s="90"/>
      <c r="D289" s="90"/>
      <c r="E289" s="90"/>
      <c r="F289" s="90"/>
      <c r="G289" s="79"/>
      <c r="H289" s="79"/>
      <c r="I289" s="79"/>
      <c r="J289" s="79"/>
      <c r="K289" s="79"/>
      <c r="L289" s="79"/>
      <c r="M289" s="79"/>
      <c r="N289" s="79"/>
      <c r="O289" s="79"/>
      <c r="P289" s="79"/>
      <c r="Q289" s="79"/>
      <c r="R289" s="79"/>
      <c r="S289" s="79"/>
      <c r="T289" s="79"/>
      <c r="U289" s="79"/>
      <c r="V289" s="79"/>
      <c r="W289" s="79"/>
      <c r="X289" s="79"/>
      <c r="Y289" s="79"/>
      <c r="Z289" s="79"/>
      <c r="AA289" s="79"/>
      <c r="AB289" s="79"/>
      <c r="AC289" s="79"/>
      <c r="AD289" s="79"/>
      <c r="AE289" s="79"/>
      <c r="AF289" s="79"/>
      <c r="AG289" s="79"/>
      <c r="AH289" s="79"/>
      <c r="AI289" s="79"/>
      <c r="AJ289" s="79"/>
      <c r="AK289" s="79"/>
      <c r="AL289" s="79"/>
      <c r="AM289" s="79"/>
      <c r="AN289" s="79"/>
      <c r="AO289" s="79"/>
      <c r="AP289" s="79"/>
      <c r="AQ289" s="79"/>
      <c r="AR289" s="79"/>
      <c r="AS289" s="79"/>
      <c r="AT289" s="79"/>
      <c r="AU289" s="79"/>
      <c r="AV289" s="79"/>
      <c r="AW289" s="90"/>
      <c r="AX289" s="90"/>
      <c r="AY289" s="90"/>
      <c r="AZ289" s="90"/>
      <c r="BA289" s="90"/>
      <c r="BB289" s="90"/>
      <c r="BC289" s="90"/>
      <c r="BD289" s="90"/>
      <c r="BE289" s="90"/>
      <c r="BF289" s="90"/>
      <c r="BG289" s="90"/>
    </row>
    <row r="290" ht="12.75" customHeight="1" outlineLevel="1">
      <c r="A290" s="316"/>
      <c r="B290" s="67" t="s">
        <v>509</v>
      </c>
      <c r="C290" s="90"/>
      <c r="D290" s="90"/>
      <c r="E290" s="90"/>
      <c r="F290" s="90"/>
      <c r="G290" s="79"/>
      <c r="H290" s="79"/>
      <c r="I290" s="79"/>
      <c r="J290" s="304"/>
      <c r="K290" s="304"/>
      <c r="L290" s="304"/>
      <c r="M290" s="304"/>
      <c r="N290" s="304"/>
      <c r="O290" s="304"/>
      <c r="P290" s="304"/>
      <c r="Q290" s="304"/>
      <c r="R290" s="79"/>
      <c r="S290" s="79"/>
      <c r="T290" s="79"/>
      <c r="U290" s="79"/>
      <c r="V290" s="79"/>
      <c r="W290" s="79"/>
      <c r="X290" s="79"/>
      <c r="Y290" s="79"/>
      <c r="Z290" s="79"/>
      <c r="AA290" s="79"/>
      <c r="AB290" s="79"/>
      <c r="AC290" s="79"/>
      <c r="AD290" s="79"/>
      <c r="AE290" s="79"/>
      <c r="AF290" s="79"/>
      <c r="AG290" s="79"/>
      <c r="AH290" s="79"/>
      <c r="AI290" s="79"/>
      <c r="AJ290" s="79"/>
      <c r="AK290" s="79"/>
      <c r="AL290" s="79"/>
      <c r="AM290" s="79"/>
      <c r="AN290" s="79"/>
      <c r="AO290" s="79"/>
      <c r="AP290" s="79"/>
      <c r="AQ290" s="79"/>
      <c r="AR290" s="79"/>
      <c r="AS290" s="79"/>
      <c r="AT290" s="79"/>
      <c r="AU290" s="79"/>
      <c r="AV290" s="79"/>
      <c r="AW290" s="90"/>
      <c r="AX290" s="90"/>
      <c r="AY290" s="90"/>
      <c r="AZ290" s="90"/>
      <c r="BA290" s="90"/>
      <c r="BB290" s="90"/>
      <c r="BC290" s="90"/>
      <c r="BD290" s="90"/>
      <c r="BE290" s="90"/>
      <c r="BF290" s="90"/>
      <c r="BG290" s="90"/>
    </row>
    <row r="291" ht="12.75" customHeight="1" outlineLevel="1">
      <c r="A291" s="316"/>
      <c r="B291" s="67"/>
      <c r="C291" s="90" t="s">
        <v>695</v>
      </c>
      <c r="D291" s="90"/>
      <c r="E291" s="90"/>
      <c r="F291" s="90"/>
      <c r="G291" s="99"/>
      <c r="H291" s="99"/>
      <c r="I291" s="543" t="str">
        <f>'[4]'!H33</f>
        <v>#REF!</v>
      </c>
      <c r="J291" s="99">
        <v>0.0</v>
      </c>
      <c r="K291" s="99">
        <v>0.0</v>
      </c>
      <c r="L291" s="99">
        <f t="shared" ref="L291:AV291" si="219">L46*L121</f>
        <v>33600</v>
      </c>
      <c r="M291" s="99">
        <f t="shared" si="219"/>
        <v>33600</v>
      </c>
      <c r="N291" s="99">
        <f t="shared" si="219"/>
        <v>33600</v>
      </c>
      <c r="O291" s="99">
        <f t="shared" si="219"/>
        <v>33600</v>
      </c>
      <c r="P291" s="99">
        <f t="shared" si="219"/>
        <v>33600</v>
      </c>
      <c r="Q291" s="99">
        <f t="shared" si="219"/>
        <v>33600</v>
      </c>
      <c r="R291" s="99">
        <f t="shared" si="219"/>
        <v>33600</v>
      </c>
      <c r="S291" s="99">
        <f t="shared" si="219"/>
        <v>33600</v>
      </c>
      <c r="T291" s="99">
        <f t="shared" si="219"/>
        <v>33600</v>
      </c>
      <c r="U291" s="99">
        <f t="shared" si="219"/>
        <v>33600</v>
      </c>
      <c r="V291" s="99">
        <f t="shared" si="219"/>
        <v>33600</v>
      </c>
      <c r="W291" s="99">
        <f t="shared" si="219"/>
        <v>33600</v>
      </c>
      <c r="X291" s="99">
        <f t="shared" si="219"/>
        <v>33600</v>
      </c>
      <c r="Y291" s="99">
        <f t="shared" si="219"/>
        <v>33600</v>
      </c>
      <c r="Z291" s="99">
        <f t="shared" si="219"/>
        <v>33600</v>
      </c>
      <c r="AA291" s="99">
        <f t="shared" si="219"/>
        <v>33600</v>
      </c>
      <c r="AB291" s="99">
        <f t="shared" si="219"/>
        <v>33600</v>
      </c>
      <c r="AC291" s="99">
        <f t="shared" si="219"/>
        <v>33600</v>
      </c>
      <c r="AD291" s="99">
        <f t="shared" si="219"/>
        <v>33600</v>
      </c>
      <c r="AE291" s="99">
        <f t="shared" si="219"/>
        <v>33600</v>
      </c>
      <c r="AF291" s="99">
        <f t="shared" si="219"/>
        <v>33600</v>
      </c>
      <c r="AG291" s="99">
        <f t="shared" si="219"/>
        <v>33600</v>
      </c>
      <c r="AH291" s="99">
        <f t="shared" si="219"/>
        <v>33600</v>
      </c>
      <c r="AI291" s="99">
        <f t="shared" si="219"/>
        <v>33600</v>
      </c>
      <c r="AJ291" s="99">
        <f t="shared" si="219"/>
        <v>33600</v>
      </c>
      <c r="AK291" s="99">
        <f t="shared" si="219"/>
        <v>33600</v>
      </c>
      <c r="AL291" s="99">
        <f t="shared" si="219"/>
        <v>33600</v>
      </c>
      <c r="AM291" s="99">
        <f t="shared" si="219"/>
        <v>33600</v>
      </c>
      <c r="AN291" s="99">
        <f t="shared" si="219"/>
        <v>33600</v>
      </c>
      <c r="AO291" s="99">
        <f t="shared" si="219"/>
        <v>33600</v>
      </c>
      <c r="AP291" s="99">
        <f t="shared" si="219"/>
        <v>33600</v>
      </c>
      <c r="AQ291" s="99">
        <f t="shared" si="219"/>
        <v>33600</v>
      </c>
      <c r="AR291" s="99">
        <f t="shared" si="219"/>
        <v>33600</v>
      </c>
      <c r="AS291" s="99">
        <f t="shared" si="219"/>
        <v>33600</v>
      </c>
      <c r="AT291" s="99">
        <f t="shared" si="219"/>
        <v>33600</v>
      </c>
      <c r="AU291" s="99">
        <f t="shared" si="219"/>
        <v>33600</v>
      </c>
      <c r="AV291" s="99">
        <f t="shared" si="219"/>
        <v>33600</v>
      </c>
      <c r="AW291" s="90"/>
      <c r="AX291" s="90"/>
      <c r="AY291" s="90"/>
      <c r="AZ291" s="90"/>
      <c r="BA291" s="90"/>
      <c r="BB291" s="90"/>
      <c r="BC291" s="90"/>
      <c r="BD291" s="90"/>
      <c r="BE291" s="90"/>
      <c r="BF291" s="90"/>
      <c r="BG291" s="90"/>
    </row>
    <row r="292" ht="12.75" customHeight="1" outlineLevel="1">
      <c r="A292" s="90"/>
      <c r="B292" s="67"/>
      <c r="C292" s="90" t="s">
        <v>1216</v>
      </c>
      <c r="D292" s="90"/>
      <c r="E292" s="90"/>
      <c r="F292" s="90"/>
      <c r="G292" s="99"/>
      <c r="H292" s="99"/>
      <c r="I292" s="543"/>
      <c r="J292" s="99">
        <f>'FY09 P&amp;L'!B35</f>
        <v>1340</v>
      </c>
      <c r="K292" s="99">
        <v>7312.19</v>
      </c>
      <c r="L292" s="99"/>
      <c r="M292" s="99"/>
      <c r="N292" s="99"/>
      <c r="O292" s="99"/>
      <c r="P292" s="99"/>
      <c r="Q292" s="99"/>
      <c r="R292" s="99"/>
      <c r="S292" s="99"/>
      <c r="T292" s="99"/>
      <c r="U292" s="99"/>
      <c r="V292" s="99"/>
      <c r="W292" s="99"/>
      <c r="X292" s="99"/>
      <c r="Y292" s="99"/>
      <c r="Z292" s="99"/>
      <c r="AA292" s="99"/>
      <c r="AB292" s="99"/>
      <c r="AC292" s="99"/>
      <c r="AD292" s="99"/>
      <c r="AE292" s="99"/>
      <c r="AF292" s="99"/>
      <c r="AG292" s="99"/>
      <c r="AH292" s="99"/>
      <c r="AI292" s="99"/>
      <c r="AJ292" s="99"/>
      <c r="AK292" s="99"/>
      <c r="AL292" s="99"/>
      <c r="AM292" s="99"/>
      <c r="AN292" s="99"/>
      <c r="AO292" s="99"/>
      <c r="AP292" s="99"/>
      <c r="AQ292" s="99"/>
      <c r="AR292" s="99"/>
      <c r="AS292" s="99"/>
      <c r="AT292" s="99"/>
      <c r="AU292" s="99"/>
      <c r="AV292" s="99"/>
      <c r="AW292" s="90"/>
      <c r="AX292" s="90"/>
      <c r="AY292" s="90"/>
      <c r="AZ292" s="90"/>
      <c r="BA292" s="90"/>
      <c r="BB292" s="90"/>
      <c r="BC292" s="90"/>
      <c r="BD292" s="90"/>
      <c r="BE292" s="90"/>
      <c r="BF292" s="90"/>
      <c r="BG292" s="90"/>
    </row>
    <row r="293" ht="12.75" customHeight="1" outlineLevel="1">
      <c r="A293" s="90"/>
      <c r="B293" s="67"/>
      <c r="C293" s="90" t="s">
        <v>1217</v>
      </c>
      <c r="D293" s="90"/>
      <c r="E293" s="90"/>
      <c r="F293" s="90"/>
      <c r="G293" s="99"/>
      <c r="H293" s="99"/>
      <c r="I293" s="544" t="str">
        <f>'[4]'!H32+'[4]'!H31+'[4]'!H30</f>
        <v>#REF!</v>
      </c>
      <c r="J293" s="99">
        <f>'FY09 P&amp;L'!B34</f>
        <v>8976.02</v>
      </c>
      <c r="K293" s="99">
        <v>6666.8</v>
      </c>
      <c r="L293" s="99">
        <f t="shared" ref="L293:AV293" si="220">L338-L276-L120</f>
        <v>40688</v>
      </c>
      <c r="M293" s="99">
        <f t="shared" si="220"/>
        <v>46701.76</v>
      </c>
      <c r="N293" s="99">
        <f t="shared" si="220"/>
        <v>47735.7952</v>
      </c>
      <c r="O293" s="99">
        <f t="shared" si="220"/>
        <v>48790.5111</v>
      </c>
      <c r="P293" s="99">
        <f t="shared" si="220"/>
        <v>49866.32133</v>
      </c>
      <c r="Q293" s="99">
        <f t="shared" si="220"/>
        <v>50963.64775</v>
      </c>
      <c r="R293" s="99">
        <f t="shared" si="220"/>
        <v>52082.92071</v>
      </c>
      <c r="S293" s="99">
        <f t="shared" si="220"/>
        <v>53224.57912</v>
      </c>
      <c r="T293" s="99">
        <f t="shared" si="220"/>
        <v>54389.0707</v>
      </c>
      <c r="U293" s="99">
        <f t="shared" si="220"/>
        <v>55576.85212</v>
      </c>
      <c r="V293" s="99">
        <f t="shared" si="220"/>
        <v>56788.38916</v>
      </c>
      <c r="W293" s="99">
        <f t="shared" si="220"/>
        <v>58024.15694</v>
      </c>
      <c r="X293" s="99">
        <f t="shared" si="220"/>
        <v>59284.64008</v>
      </c>
      <c r="Y293" s="99">
        <f t="shared" si="220"/>
        <v>60570.33288</v>
      </c>
      <c r="Z293" s="99">
        <f t="shared" si="220"/>
        <v>61881.73954</v>
      </c>
      <c r="AA293" s="99">
        <f t="shared" si="220"/>
        <v>63219.37433</v>
      </c>
      <c r="AB293" s="99">
        <f t="shared" si="220"/>
        <v>64583.76182</v>
      </c>
      <c r="AC293" s="99">
        <f t="shared" si="220"/>
        <v>65975.43706</v>
      </c>
      <c r="AD293" s="99">
        <f t="shared" si="220"/>
        <v>67394.9458</v>
      </c>
      <c r="AE293" s="99">
        <f t="shared" si="220"/>
        <v>68842.84471</v>
      </c>
      <c r="AF293" s="99">
        <f t="shared" si="220"/>
        <v>70319.70161</v>
      </c>
      <c r="AG293" s="99">
        <f t="shared" si="220"/>
        <v>71826.09564</v>
      </c>
      <c r="AH293" s="99">
        <f t="shared" si="220"/>
        <v>73362.61755</v>
      </c>
      <c r="AI293" s="99">
        <f t="shared" si="220"/>
        <v>74929.8699</v>
      </c>
      <c r="AJ293" s="99">
        <f t="shared" si="220"/>
        <v>76528.4673</v>
      </c>
      <c r="AK293" s="99">
        <f t="shared" si="220"/>
        <v>78159.03665</v>
      </c>
      <c r="AL293" s="99">
        <f t="shared" si="220"/>
        <v>79822.21738</v>
      </c>
      <c r="AM293" s="99">
        <f t="shared" si="220"/>
        <v>81518.66173</v>
      </c>
      <c r="AN293" s="99">
        <f t="shared" si="220"/>
        <v>83249.03496</v>
      </c>
      <c r="AO293" s="99">
        <f t="shared" si="220"/>
        <v>85014.01566</v>
      </c>
      <c r="AP293" s="99">
        <f t="shared" si="220"/>
        <v>86814.29598</v>
      </c>
      <c r="AQ293" s="99">
        <f t="shared" si="220"/>
        <v>88650.58189</v>
      </c>
      <c r="AR293" s="99">
        <f t="shared" si="220"/>
        <v>90523.59353</v>
      </c>
      <c r="AS293" s="99">
        <f t="shared" si="220"/>
        <v>92434.0654</v>
      </c>
      <c r="AT293" s="99">
        <f t="shared" si="220"/>
        <v>94382.74671</v>
      </c>
      <c r="AU293" s="99">
        <f t="shared" si="220"/>
        <v>96370.40165</v>
      </c>
      <c r="AV293" s="99">
        <f t="shared" si="220"/>
        <v>98397.80968</v>
      </c>
      <c r="AW293" s="90"/>
      <c r="AX293" s="90"/>
      <c r="AY293" s="90"/>
      <c r="AZ293" s="90"/>
      <c r="BA293" s="90"/>
      <c r="BB293" s="90"/>
      <c r="BC293" s="90"/>
      <c r="BD293" s="90"/>
      <c r="BE293" s="90"/>
      <c r="BF293" s="90"/>
      <c r="BG293" s="90"/>
    </row>
    <row r="294" ht="12.75" customHeight="1" outlineLevel="1">
      <c r="A294" s="316"/>
      <c r="B294" s="134" t="s">
        <v>799</v>
      </c>
      <c r="C294" s="148"/>
      <c r="D294" s="148"/>
      <c r="E294" s="148"/>
      <c r="F294" s="148"/>
      <c r="G294" s="379"/>
      <c r="H294" s="379"/>
      <c r="I294" s="379" t="str">
        <f t="shared" ref="I294:AV294" si="221">SUM(I291:I293)</f>
        <v>#REF!</v>
      </c>
      <c r="J294" s="379">
        <f t="shared" si="221"/>
        <v>10316.02</v>
      </c>
      <c r="K294" s="379">
        <f t="shared" si="221"/>
        <v>13978.99</v>
      </c>
      <c r="L294" s="379">
        <f t="shared" si="221"/>
        <v>74288</v>
      </c>
      <c r="M294" s="379">
        <f t="shared" si="221"/>
        <v>80301.76</v>
      </c>
      <c r="N294" s="379">
        <f t="shared" si="221"/>
        <v>81335.7952</v>
      </c>
      <c r="O294" s="379">
        <f t="shared" si="221"/>
        <v>82390.5111</v>
      </c>
      <c r="P294" s="379">
        <f t="shared" si="221"/>
        <v>83466.32133</v>
      </c>
      <c r="Q294" s="379">
        <f t="shared" si="221"/>
        <v>84563.64775</v>
      </c>
      <c r="R294" s="379">
        <f t="shared" si="221"/>
        <v>85682.92071</v>
      </c>
      <c r="S294" s="379">
        <f t="shared" si="221"/>
        <v>86824.57912</v>
      </c>
      <c r="T294" s="379">
        <f t="shared" si="221"/>
        <v>87989.0707</v>
      </c>
      <c r="U294" s="379">
        <f t="shared" si="221"/>
        <v>89176.85212</v>
      </c>
      <c r="V294" s="379">
        <f t="shared" si="221"/>
        <v>90388.38916</v>
      </c>
      <c r="W294" s="379">
        <f t="shared" si="221"/>
        <v>91624.15694</v>
      </c>
      <c r="X294" s="379">
        <f t="shared" si="221"/>
        <v>92884.64008</v>
      </c>
      <c r="Y294" s="379">
        <f t="shared" si="221"/>
        <v>94170.33288</v>
      </c>
      <c r="Z294" s="379">
        <f t="shared" si="221"/>
        <v>95481.73954</v>
      </c>
      <c r="AA294" s="379">
        <f t="shared" si="221"/>
        <v>96819.37433</v>
      </c>
      <c r="AB294" s="379">
        <f t="shared" si="221"/>
        <v>98183.76182</v>
      </c>
      <c r="AC294" s="379">
        <f t="shared" si="221"/>
        <v>99575.43706</v>
      </c>
      <c r="AD294" s="379">
        <f t="shared" si="221"/>
        <v>100994.9458</v>
      </c>
      <c r="AE294" s="379">
        <f t="shared" si="221"/>
        <v>102442.8447</v>
      </c>
      <c r="AF294" s="379">
        <f t="shared" si="221"/>
        <v>103919.7016</v>
      </c>
      <c r="AG294" s="379">
        <f t="shared" si="221"/>
        <v>105426.0956</v>
      </c>
      <c r="AH294" s="379">
        <f t="shared" si="221"/>
        <v>106962.6176</v>
      </c>
      <c r="AI294" s="379">
        <f t="shared" si="221"/>
        <v>108529.8699</v>
      </c>
      <c r="AJ294" s="379">
        <f t="shared" si="221"/>
        <v>110128.4673</v>
      </c>
      <c r="AK294" s="379">
        <f t="shared" si="221"/>
        <v>111759.0366</v>
      </c>
      <c r="AL294" s="379">
        <f t="shared" si="221"/>
        <v>113422.2174</v>
      </c>
      <c r="AM294" s="379">
        <f t="shared" si="221"/>
        <v>115118.6617</v>
      </c>
      <c r="AN294" s="379">
        <f t="shared" si="221"/>
        <v>116849.035</v>
      </c>
      <c r="AO294" s="379">
        <f t="shared" si="221"/>
        <v>118614.0157</v>
      </c>
      <c r="AP294" s="379">
        <f t="shared" si="221"/>
        <v>120414.296</v>
      </c>
      <c r="AQ294" s="379">
        <f t="shared" si="221"/>
        <v>122250.5819</v>
      </c>
      <c r="AR294" s="379">
        <f t="shared" si="221"/>
        <v>124123.5935</v>
      </c>
      <c r="AS294" s="379">
        <f t="shared" si="221"/>
        <v>126034.0654</v>
      </c>
      <c r="AT294" s="379">
        <f t="shared" si="221"/>
        <v>127982.7467</v>
      </c>
      <c r="AU294" s="379">
        <f t="shared" si="221"/>
        <v>129970.4016</v>
      </c>
      <c r="AV294" s="379">
        <f t="shared" si="221"/>
        <v>131997.8097</v>
      </c>
      <c r="AW294" s="148"/>
      <c r="AX294" s="90"/>
      <c r="AY294" s="90"/>
      <c r="AZ294" s="90"/>
      <c r="BA294" s="90"/>
      <c r="BB294" s="90"/>
      <c r="BC294" s="90"/>
      <c r="BD294" s="90"/>
      <c r="BE294" s="90"/>
      <c r="BF294" s="90"/>
      <c r="BG294" s="90"/>
    </row>
    <row r="295" ht="12.75" customHeight="1" outlineLevel="1">
      <c r="A295" s="316"/>
      <c r="B295" s="90"/>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c r="AA295" s="90"/>
      <c r="AB295" s="90"/>
      <c r="AC295" s="90"/>
      <c r="AD295" s="90"/>
      <c r="AE295" s="90"/>
      <c r="AF295" s="90"/>
      <c r="AG295" s="90"/>
      <c r="AH295" s="90"/>
      <c r="AI295" s="90"/>
      <c r="AJ295" s="90"/>
      <c r="AK295" s="90"/>
      <c r="AL295" s="90"/>
      <c r="AM295" s="90"/>
      <c r="AN295" s="90"/>
      <c r="AO295" s="90"/>
      <c r="AP295" s="90"/>
      <c r="AQ295" s="90"/>
      <c r="AR295" s="90"/>
      <c r="AS295" s="90"/>
      <c r="AT295" s="90"/>
      <c r="AU295" s="90"/>
      <c r="AV295" s="90"/>
      <c r="AW295" s="87"/>
      <c r="AX295" s="90"/>
      <c r="AY295" s="90"/>
      <c r="AZ295" s="90"/>
      <c r="BA295" s="90"/>
      <c r="BB295" s="90"/>
      <c r="BC295" s="90"/>
      <c r="BD295" s="90"/>
      <c r="BE295" s="90"/>
      <c r="BF295" s="90"/>
      <c r="BG295" s="90"/>
    </row>
    <row r="296" ht="12.75" customHeight="1" outlineLevel="1">
      <c r="A296" s="108" t="s">
        <v>800</v>
      </c>
      <c r="B296" s="109"/>
      <c r="C296" s="109"/>
      <c r="D296" s="143"/>
      <c r="E296" s="143"/>
      <c r="F296" s="143"/>
      <c r="G296" s="293"/>
      <c r="H296" s="293"/>
      <c r="I296" s="293" t="str">
        <f t="shared" ref="I296:AV296" si="222">I288+I282+I272+I294</f>
        <v>#REF!</v>
      </c>
      <c r="J296" s="293">
        <f t="shared" si="222"/>
        <v>3102711.8</v>
      </c>
      <c r="K296" s="293">
        <f t="shared" si="222"/>
        <v>3565754.61</v>
      </c>
      <c r="L296" s="293">
        <f t="shared" si="222"/>
        <v>3537217.424</v>
      </c>
      <c r="M296" s="293">
        <f t="shared" si="222"/>
        <v>3577673.874</v>
      </c>
      <c r="N296" s="293">
        <f t="shared" si="222"/>
        <v>3609311.25</v>
      </c>
      <c r="O296" s="293">
        <f t="shared" si="222"/>
        <v>3663727.475</v>
      </c>
      <c r="P296" s="293">
        <f t="shared" si="222"/>
        <v>3729171.264</v>
      </c>
      <c r="Q296" s="293">
        <f t="shared" si="222"/>
        <v>3803102.689</v>
      </c>
      <c r="R296" s="293">
        <f t="shared" si="222"/>
        <v>3912724.233</v>
      </c>
      <c r="S296" s="293">
        <f t="shared" si="222"/>
        <v>3990326.718</v>
      </c>
      <c r="T296" s="293">
        <f t="shared" si="222"/>
        <v>4069481.252</v>
      </c>
      <c r="U296" s="293">
        <f t="shared" si="222"/>
        <v>4150218.877</v>
      </c>
      <c r="V296" s="293">
        <f t="shared" si="222"/>
        <v>4232571.254</v>
      </c>
      <c r="W296" s="293">
        <f t="shared" si="222"/>
        <v>4316570.68</v>
      </c>
      <c r="X296" s="293">
        <f t="shared" si="222"/>
        <v>4402250.093</v>
      </c>
      <c r="Y296" s="293">
        <f t="shared" si="222"/>
        <v>4489643.095</v>
      </c>
      <c r="Z296" s="293">
        <f t="shared" si="222"/>
        <v>4578783.957</v>
      </c>
      <c r="AA296" s="293">
        <f t="shared" si="222"/>
        <v>4669707.636</v>
      </c>
      <c r="AB296" s="293">
        <f t="shared" si="222"/>
        <v>4762449.789</v>
      </c>
      <c r="AC296" s="293">
        <f t="shared" si="222"/>
        <v>4857046.784</v>
      </c>
      <c r="AD296" s="293">
        <f t="shared" si="222"/>
        <v>4953535.72</v>
      </c>
      <c r="AE296" s="293">
        <f t="shared" si="222"/>
        <v>5051954.435</v>
      </c>
      <c r="AF296" s="293">
        <f t="shared" si="222"/>
        <v>5152341.523</v>
      </c>
      <c r="AG296" s="293">
        <f t="shared" si="222"/>
        <v>5254736.354</v>
      </c>
      <c r="AH296" s="293">
        <f t="shared" si="222"/>
        <v>5359179.081</v>
      </c>
      <c r="AI296" s="293">
        <f t="shared" si="222"/>
        <v>5465710.662</v>
      </c>
      <c r="AJ296" s="293">
        <f t="shared" si="222"/>
        <v>5574372.876</v>
      </c>
      <c r="AK296" s="293">
        <f t="shared" si="222"/>
        <v>5685208.333</v>
      </c>
      <c r="AL296" s="293">
        <f t="shared" si="222"/>
        <v>5798260.5</v>
      </c>
      <c r="AM296" s="293">
        <f t="shared" si="222"/>
        <v>5913573.71</v>
      </c>
      <c r="AN296" s="293">
        <f t="shared" si="222"/>
        <v>6031193.184</v>
      </c>
      <c r="AO296" s="293">
        <f t="shared" si="222"/>
        <v>6151165.048</v>
      </c>
      <c r="AP296" s="293">
        <f t="shared" si="222"/>
        <v>6273536.349</v>
      </c>
      <c r="AQ296" s="293">
        <f t="shared" si="222"/>
        <v>6398355.076</v>
      </c>
      <c r="AR296" s="293">
        <f t="shared" si="222"/>
        <v>6525670.177</v>
      </c>
      <c r="AS296" s="293">
        <f t="shared" si="222"/>
        <v>6655531.581</v>
      </c>
      <c r="AT296" s="293">
        <f t="shared" si="222"/>
        <v>6787990.212</v>
      </c>
      <c r="AU296" s="293">
        <f t="shared" si="222"/>
        <v>6923098.017</v>
      </c>
      <c r="AV296" s="293">
        <f t="shared" si="222"/>
        <v>7060907.977</v>
      </c>
      <c r="AW296" s="87"/>
      <c r="AX296" s="90"/>
      <c r="AY296" s="90"/>
      <c r="AZ296" s="90"/>
      <c r="BA296" s="90"/>
      <c r="BB296" s="90"/>
      <c r="BC296" s="90"/>
      <c r="BD296" s="90"/>
      <c r="BE296" s="90"/>
      <c r="BF296" s="90"/>
      <c r="BG296" s="90"/>
    </row>
    <row r="297" ht="12.75" customHeight="1" outlineLevel="1">
      <c r="A297" s="515"/>
      <c r="B297" s="67"/>
      <c r="C297" s="67"/>
      <c r="D297" s="90"/>
      <c r="E297" s="90"/>
      <c r="F297" s="90"/>
      <c r="G297" s="79"/>
      <c r="H297" s="79"/>
      <c r="I297" s="79"/>
      <c r="J297" s="79"/>
      <c r="K297" s="79"/>
      <c r="L297" s="79"/>
      <c r="M297" s="79"/>
      <c r="N297" s="79"/>
      <c r="O297" s="79"/>
      <c r="P297" s="545"/>
      <c r="Q297" s="79"/>
      <c r="R297" s="79"/>
      <c r="S297" s="79"/>
      <c r="T297" s="79"/>
      <c r="U297" s="79"/>
      <c r="V297" s="79"/>
      <c r="W297" s="79"/>
      <c r="X297" s="79"/>
      <c r="Y297" s="79"/>
      <c r="Z297" s="79"/>
      <c r="AA297" s="79"/>
      <c r="AB297" s="79"/>
      <c r="AC297" s="79"/>
      <c r="AD297" s="79"/>
      <c r="AE297" s="79"/>
      <c r="AF297" s="79"/>
      <c r="AG297" s="79"/>
      <c r="AH297" s="79"/>
      <c r="AI297" s="79"/>
      <c r="AJ297" s="218"/>
      <c r="AK297" s="79"/>
      <c r="AL297" s="79"/>
      <c r="AM297" s="79"/>
      <c r="AN297" s="79"/>
      <c r="AO297" s="79"/>
      <c r="AP297" s="79"/>
      <c r="AQ297" s="79"/>
      <c r="AR297" s="79"/>
      <c r="AS297" s="79"/>
      <c r="AT297" s="79"/>
      <c r="AU297" s="79"/>
      <c r="AV297" s="79"/>
      <c r="AW297" s="90"/>
      <c r="AX297" s="99"/>
      <c r="AY297" s="90"/>
      <c r="AZ297" s="90"/>
      <c r="BA297" s="90"/>
      <c r="BB297" s="90"/>
      <c r="BC297" s="90"/>
      <c r="BD297" s="90"/>
      <c r="BE297" s="90"/>
      <c r="BF297" s="90"/>
      <c r="BG297" s="90"/>
    </row>
    <row r="298" ht="12.75" customHeight="1" outlineLevel="1">
      <c r="A298" s="515" t="s">
        <v>304</v>
      </c>
      <c r="B298" s="90"/>
      <c r="C298" s="90"/>
      <c r="D298" s="90"/>
      <c r="E298" s="90"/>
      <c r="F298" s="90"/>
      <c r="G298" s="90"/>
      <c r="H298" s="90"/>
      <c r="I298" s="90"/>
      <c r="J298" s="90"/>
      <c r="K298" s="90"/>
      <c r="L298" s="90"/>
      <c r="M298" s="90"/>
      <c r="N298" s="152"/>
      <c r="O298" s="90"/>
      <c r="P298" s="90"/>
      <c r="Q298" s="90"/>
      <c r="R298" s="90"/>
      <c r="S298" s="90"/>
      <c r="T298" s="90"/>
      <c r="U298" s="90"/>
      <c r="V298" s="90"/>
      <c r="W298" s="90"/>
      <c r="X298" s="90"/>
      <c r="Y298" s="90"/>
      <c r="Z298" s="90"/>
      <c r="AA298" s="90"/>
      <c r="AB298" s="90"/>
      <c r="AC298" s="90"/>
      <c r="AD298" s="90"/>
      <c r="AE298" s="90"/>
      <c r="AF298" s="90"/>
      <c r="AG298" s="90"/>
      <c r="AH298" s="90"/>
      <c r="AI298" s="90"/>
      <c r="AJ298" s="90"/>
      <c r="AK298" s="90"/>
      <c r="AL298" s="90"/>
      <c r="AM298" s="90"/>
      <c r="AN298" s="90"/>
      <c r="AO298" s="90"/>
      <c r="AP298" s="90"/>
      <c r="AQ298" s="90"/>
      <c r="AR298" s="90"/>
      <c r="AS298" s="90"/>
      <c r="AT298" s="90"/>
      <c r="AU298" s="90"/>
      <c r="AV298" s="90"/>
      <c r="AW298" s="90"/>
      <c r="AX298" s="90"/>
      <c r="AY298" s="90"/>
      <c r="AZ298" s="90"/>
      <c r="BA298" s="90"/>
      <c r="BB298" s="90"/>
      <c r="BC298" s="90"/>
      <c r="BD298" s="90"/>
      <c r="BE298" s="90"/>
      <c r="BF298" s="90"/>
      <c r="BG298" s="90"/>
    </row>
    <row r="299" ht="12.75" customHeight="1" outlineLevel="1">
      <c r="A299" s="316"/>
      <c r="B299" s="67" t="s">
        <v>278</v>
      </c>
      <c r="C299" s="90"/>
      <c r="D299" s="90"/>
      <c r="E299" s="90"/>
      <c r="F299" s="90"/>
      <c r="G299" s="90"/>
      <c r="H299" s="90"/>
      <c r="I299" s="90"/>
      <c r="J299" s="90"/>
      <c r="K299" s="90"/>
      <c r="L299" s="90"/>
      <c r="M299" s="90"/>
      <c r="N299" s="90"/>
      <c r="O299" s="90"/>
      <c r="P299" s="90"/>
      <c r="Q299" s="90"/>
      <c r="R299" s="90"/>
      <c r="S299" s="90"/>
      <c r="T299" s="90"/>
      <c r="U299" s="90"/>
      <c r="V299" s="90"/>
      <c r="W299" s="90"/>
      <c r="X299" s="90"/>
      <c r="Y299" s="90"/>
      <c r="Z299" s="90"/>
      <c r="AA299" s="90"/>
      <c r="AB299" s="90"/>
      <c r="AC299" s="90"/>
      <c r="AD299" s="90"/>
      <c r="AE299" s="90"/>
      <c r="AF299" s="90"/>
      <c r="AG299" s="90"/>
      <c r="AH299" s="90"/>
      <c r="AI299" s="90"/>
      <c r="AJ299" s="90"/>
      <c r="AK299" s="90"/>
      <c r="AL299" s="90"/>
      <c r="AM299" s="90"/>
      <c r="AN299" s="90"/>
      <c r="AO299" s="90"/>
      <c r="AP299" s="90"/>
      <c r="AQ299" s="90"/>
      <c r="AR299" s="90"/>
      <c r="AS299" s="90"/>
      <c r="AT299" s="90"/>
      <c r="AU299" s="90"/>
      <c r="AV299" s="90"/>
      <c r="AW299" s="90"/>
      <c r="AX299" s="90"/>
      <c r="AY299" s="90"/>
      <c r="AZ299" s="90"/>
      <c r="BA299" s="90"/>
      <c r="BB299" s="90"/>
      <c r="BC299" s="90"/>
      <c r="BD299" s="90"/>
      <c r="BE299" s="90"/>
      <c r="BF299" s="90"/>
      <c r="BG299" s="90"/>
    </row>
    <row r="300" ht="12.75" customHeight="1" outlineLevel="1">
      <c r="A300" s="316"/>
      <c r="B300" s="67"/>
      <c r="C300" s="90" t="s">
        <v>801</v>
      </c>
      <c r="D300" s="90"/>
      <c r="E300" s="90"/>
      <c r="F300" s="90"/>
      <c r="G300" s="90"/>
      <c r="H300" s="90"/>
      <c r="I300" s="90"/>
      <c r="J300" s="90"/>
      <c r="K300" s="90"/>
      <c r="L300" s="90"/>
      <c r="M300" s="90"/>
      <c r="N300" s="90"/>
      <c r="O300" s="90"/>
      <c r="P300" s="90"/>
      <c r="Q300" s="90"/>
      <c r="R300" s="90"/>
      <c r="S300" s="90"/>
      <c r="T300" s="90"/>
      <c r="U300" s="90"/>
      <c r="V300" s="90"/>
      <c r="W300" s="90"/>
      <c r="X300" s="90"/>
      <c r="Y300" s="90"/>
      <c r="Z300" s="90"/>
      <c r="AA300" s="90"/>
      <c r="AB300" s="90"/>
      <c r="AC300" s="90"/>
      <c r="AD300" s="90"/>
      <c r="AE300" s="90"/>
      <c r="AF300" s="90"/>
      <c r="AG300" s="90"/>
      <c r="AH300" s="90"/>
      <c r="AI300" s="90"/>
      <c r="AJ300" s="90"/>
      <c r="AK300" s="90"/>
      <c r="AL300" s="90"/>
      <c r="AM300" s="90"/>
      <c r="AN300" s="90"/>
      <c r="AO300" s="90"/>
      <c r="AP300" s="90"/>
      <c r="AQ300" s="90"/>
      <c r="AR300" s="90"/>
      <c r="AS300" s="90"/>
      <c r="AT300" s="90"/>
      <c r="AU300" s="90"/>
      <c r="AV300" s="90"/>
      <c r="AW300" s="90"/>
      <c r="AX300" s="90"/>
      <c r="AY300" s="90"/>
      <c r="AZ300" s="90"/>
      <c r="BA300" s="90"/>
      <c r="BB300" s="90"/>
      <c r="BC300" s="90"/>
      <c r="BD300" s="90"/>
      <c r="BE300" s="90"/>
      <c r="BF300" s="90"/>
      <c r="BG300" s="90"/>
    </row>
    <row r="301" ht="12.75" customHeight="1" outlineLevel="1">
      <c r="A301" s="316"/>
      <c r="B301" s="67"/>
      <c r="C301" s="90"/>
      <c r="D301" s="90" t="s">
        <v>701</v>
      </c>
      <c r="E301" s="90"/>
      <c r="F301" s="90"/>
      <c r="G301" s="99"/>
      <c r="H301" s="99"/>
      <c r="I301" s="99" t="str">
        <f>'[4]'!H50</f>
        <v>#REF!</v>
      </c>
      <c r="J301" s="99">
        <f>'FY09 P&amp;L'!B87</f>
        <v>100960</v>
      </c>
      <c r="K301" s="99">
        <v>85000.0</v>
      </c>
      <c r="L301" s="99">
        <f t="shared" ref="L301:AV301" si="223">L137*L163</f>
        <v>100000</v>
      </c>
      <c r="M301" s="99">
        <f t="shared" si="223"/>
        <v>102000</v>
      </c>
      <c r="N301" s="99">
        <f t="shared" si="223"/>
        <v>104040</v>
      </c>
      <c r="O301" s="99">
        <f t="shared" si="223"/>
        <v>106120.8</v>
      </c>
      <c r="P301" s="99">
        <f t="shared" si="223"/>
        <v>108243.216</v>
      </c>
      <c r="Q301" s="99">
        <f t="shared" si="223"/>
        <v>110408.0803</v>
      </c>
      <c r="R301" s="99">
        <f t="shared" si="223"/>
        <v>112616.2419</v>
      </c>
      <c r="S301" s="99">
        <f t="shared" si="223"/>
        <v>114868.5668</v>
      </c>
      <c r="T301" s="99">
        <f t="shared" si="223"/>
        <v>117165.9381</v>
      </c>
      <c r="U301" s="99">
        <f t="shared" si="223"/>
        <v>119509.2569</v>
      </c>
      <c r="V301" s="99">
        <f t="shared" si="223"/>
        <v>121899.442</v>
      </c>
      <c r="W301" s="99">
        <f t="shared" si="223"/>
        <v>124337.4308</v>
      </c>
      <c r="X301" s="99">
        <f t="shared" si="223"/>
        <v>126824.1795</v>
      </c>
      <c r="Y301" s="99">
        <f t="shared" si="223"/>
        <v>129360.663</v>
      </c>
      <c r="Z301" s="99">
        <f t="shared" si="223"/>
        <v>131947.8763</v>
      </c>
      <c r="AA301" s="99">
        <f t="shared" si="223"/>
        <v>134586.8338</v>
      </c>
      <c r="AB301" s="99">
        <f t="shared" si="223"/>
        <v>137278.5705</v>
      </c>
      <c r="AC301" s="99">
        <f t="shared" si="223"/>
        <v>140024.1419</v>
      </c>
      <c r="AD301" s="99">
        <f t="shared" si="223"/>
        <v>142824.6248</v>
      </c>
      <c r="AE301" s="99">
        <f t="shared" si="223"/>
        <v>145681.1173</v>
      </c>
      <c r="AF301" s="99">
        <f t="shared" si="223"/>
        <v>148594.7396</v>
      </c>
      <c r="AG301" s="99">
        <f t="shared" si="223"/>
        <v>151566.6344</v>
      </c>
      <c r="AH301" s="99">
        <f t="shared" si="223"/>
        <v>154597.9671</v>
      </c>
      <c r="AI301" s="99">
        <f t="shared" si="223"/>
        <v>157689.9264</v>
      </c>
      <c r="AJ301" s="99">
        <f t="shared" si="223"/>
        <v>160843.7249</v>
      </c>
      <c r="AK301" s="99">
        <f t="shared" si="223"/>
        <v>164060.5994</v>
      </c>
      <c r="AL301" s="99">
        <f t="shared" si="223"/>
        <v>167341.8114</v>
      </c>
      <c r="AM301" s="99">
        <f t="shared" si="223"/>
        <v>170688.6477</v>
      </c>
      <c r="AN301" s="99">
        <f t="shared" si="223"/>
        <v>174102.4206</v>
      </c>
      <c r="AO301" s="99">
        <f t="shared" si="223"/>
        <v>177584.469</v>
      </c>
      <c r="AP301" s="99">
        <f t="shared" si="223"/>
        <v>181136.1584</v>
      </c>
      <c r="AQ301" s="99">
        <f t="shared" si="223"/>
        <v>184758.8816</v>
      </c>
      <c r="AR301" s="99">
        <f t="shared" si="223"/>
        <v>188454.0592</v>
      </c>
      <c r="AS301" s="99">
        <f t="shared" si="223"/>
        <v>192223.1404</v>
      </c>
      <c r="AT301" s="99">
        <f t="shared" si="223"/>
        <v>196067.6032</v>
      </c>
      <c r="AU301" s="99">
        <f t="shared" si="223"/>
        <v>199988.9553</v>
      </c>
      <c r="AV301" s="99">
        <f t="shared" si="223"/>
        <v>203988.7344</v>
      </c>
      <c r="AW301" s="90"/>
      <c r="AX301" s="90"/>
      <c r="AY301" s="90"/>
      <c r="AZ301" s="90"/>
      <c r="BA301" s="90"/>
      <c r="BB301" s="90"/>
      <c r="BC301" s="90"/>
      <c r="BD301" s="90"/>
      <c r="BE301" s="90"/>
      <c r="BF301" s="90"/>
      <c r="BG301" s="90"/>
    </row>
    <row r="302" ht="12.75" customHeight="1" outlineLevel="1">
      <c r="A302" s="316"/>
      <c r="B302" s="67"/>
      <c r="C302" s="90"/>
      <c r="D302" s="90" t="s">
        <v>721</v>
      </c>
      <c r="E302" s="90"/>
      <c r="F302" s="90"/>
      <c r="G302" s="99"/>
      <c r="H302" s="99"/>
      <c r="I302" s="99">
        <v>0.0</v>
      </c>
      <c r="J302" s="99">
        <f t="shared" ref="J302:AV302" si="224">J138*J164</f>
        <v>0</v>
      </c>
      <c r="K302" s="99">
        <f t="shared" si="224"/>
        <v>0</v>
      </c>
      <c r="L302" s="99">
        <f t="shared" si="224"/>
        <v>0</v>
      </c>
      <c r="M302" s="99">
        <f t="shared" si="224"/>
        <v>0</v>
      </c>
      <c r="N302" s="99">
        <f t="shared" si="224"/>
        <v>0</v>
      </c>
      <c r="O302" s="99">
        <f t="shared" si="224"/>
        <v>0</v>
      </c>
      <c r="P302" s="99">
        <f t="shared" si="224"/>
        <v>0</v>
      </c>
      <c r="Q302" s="99">
        <f t="shared" si="224"/>
        <v>0</v>
      </c>
      <c r="R302" s="99">
        <f t="shared" si="224"/>
        <v>0</v>
      </c>
      <c r="S302" s="99">
        <f t="shared" si="224"/>
        <v>0</v>
      </c>
      <c r="T302" s="99">
        <f t="shared" si="224"/>
        <v>0</v>
      </c>
      <c r="U302" s="99">
        <f t="shared" si="224"/>
        <v>0</v>
      </c>
      <c r="V302" s="99">
        <f t="shared" si="224"/>
        <v>0</v>
      </c>
      <c r="W302" s="99">
        <f t="shared" si="224"/>
        <v>0</v>
      </c>
      <c r="X302" s="99">
        <f t="shared" si="224"/>
        <v>0</v>
      </c>
      <c r="Y302" s="99">
        <f t="shared" si="224"/>
        <v>0</v>
      </c>
      <c r="Z302" s="99">
        <f t="shared" si="224"/>
        <v>0</v>
      </c>
      <c r="AA302" s="99">
        <f t="shared" si="224"/>
        <v>0</v>
      </c>
      <c r="AB302" s="99">
        <f t="shared" si="224"/>
        <v>0</v>
      </c>
      <c r="AC302" s="99">
        <f t="shared" si="224"/>
        <v>0</v>
      </c>
      <c r="AD302" s="99">
        <f t="shared" si="224"/>
        <v>0</v>
      </c>
      <c r="AE302" s="99">
        <f t="shared" si="224"/>
        <v>0</v>
      </c>
      <c r="AF302" s="99">
        <f t="shared" si="224"/>
        <v>0</v>
      </c>
      <c r="AG302" s="99">
        <f t="shared" si="224"/>
        <v>0</v>
      </c>
      <c r="AH302" s="99">
        <f t="shared" si="224"/>
        <v>0</v>
      </c>
      <c r="AI302" s="99">
        <f t="shared" si="224"/>
        <v>0</v>
      </c>
      <c r="AJ302" s="99">
        <f t="shared" si="224"/>
        <v>0</v>
      </c>
      <c r="AK302" s="99">
        <f t="shared" si="224"/>
        <v>0</v>
      </c>
      <c r="AL302" s="99">
        <f t="shared" si="224"/>
        <v>0</v>
      </c>
      <c r="AM302" s="99">
        <f t="shared" si="224"/>
        <v>0</v>
      </c>
      <c r="AN302" s="99">
        <f t="shared" si="224"/>
        <v>0</v>
      </c>
      <c r="AO302" s="99">
        <f t="shared" si="224"/>
        <v>0</v>
      </c>
      <c r="AP302" s="99">
        <f t="shared" si="224"/>
        <v>0</v>
      </c>
      <c r="AQ302" s="99">
        <f t="shared" si="224"/>
        <v>0</v>
      </c>
      <c r="AR302" s="99">
        <f t="shared" si="224"/>
        <v>0</v>
      </c>
      <c r="AS302" s="99">
        <f t="shared" si="224"/>
        <v>0</v>
      </c>
      <c r="AT302" s="99">
        <f t="shared" si="224"/>
        <v>0</v>
      </c>
      <c r="AU302" s="99">
        <f t="shared" si="224"/>
        <v>0</v>
      </c>
      <c r="AV302" s="99">
        <f t="shared" si="224"/>
        <v>0</v>
      </c>
      <c r="AW302" s="90"/>
      <c r="AX302" s="90"/>
      <c r="AY302" s="90"/>
      <c r="AZ302" s="90"/>
      <c r="BA302" s="90"/>
      <c r="BB302" s="90"/>
      <c r="BC302" s="90"/>
      <c r="BD302" s="90"/>
      <c r="BE302" s="90"/>
      <c r="BF302" s="90"/>
      <c r="BG302" s="90"/>
    </row>
    <row r="303" ht="12.75" customHeight="1" outlineLevel="1">
      <c r="A303" s="316"/>
      <c r="B303" s="67"/>
      <c r="C303" s="90"/>
      <c r="D303" s="90"/>
      <c r="E303" s="90"/>
      <c r="F303" s="90"/>
      <c r="G303" s="99"/>
      <c r="H303" s="99"/>
      <c r="I303" s="99"/>
      <c r="J303" s="99"/>
      <c r="K303" s="99"/>
      <c r="L303" s="99"/>
      <c r="M303" s="99"/>
      <c r="N303" s="99"/>
      <c r="O303" s="99"/>
      <c r="P303" s="99"/>
      <c r="Q303" s="99"/>
      <c r="R303" s="99"/>
      <c r="S303" s="99"/>
      <c r="T303" s="99"/>
      <c r="U303" s="99"/>
      <c r="V303" s="99"/>
      <c r="W303" s="99"/>
      <c r="X303" s="99"/>
      <c r="Y303" s="99"/>
      <c r="Z303" s="99"/>
      <c r="AA303" s="99"/>
      <c r="AB303" s="99"/>
      <c r="AC303" s="99"/>
      <c r="AD303" s="99"/>
      <c r="AE303" s="99"/>
      <c r="AF303" s="99"/>
      <c r="AG303" s="99"/>
      <c r="AH303" s="99"/>
      <c r="AI303" s="99"/>
      <c r="AJ303" s="99"/>
      <c r="AK303" s="99"/>
      <c r="AL303" s="99"/>
      <c r="AM303" s="99"/>
      <c r="AN303" s="99"/>
      <c r="AO303" s="99"/>
      <c r="AP303" s="99"/>
      <c r="AQ303" s="99"/>
      <c r="AR303" s="99"/>
      <c r="AS303" s="99"/>
      <c r="AT303" s="99"/>
      <c r="AU303" s="99"/>
      <c r="AV303" s="99"/>
      <c r="AW303" s="90"/>
      <c r="AX303" s="90"/>
      <c r="AY303" s="90"/>
      <c r="AZ303" s="90"/>
      <c r="BA303" s="90"/>
      <c r="BB303" s="90"/>
      <c r="BC303" s="90"/>
      <c r="BD303" s="90"/>
      <c r="BE303" s="90"/>
      <c r="BF303" s="90"/>
      <c r="BG303" s="90"/>
    </row>
    <row r="304" ht="12.75" customHeight="1" outlineLevel="1">
      <c r="A304" s="316"/>
      <c r="B304" s="67"/>
      <c r="C304" s="90"/>
      <c r="D304" s="90" t="s">
        <v>722</v>
      </c>
      <c r="E304" s="90"/>
      <c r="F304" s="90"/>
      <c r="G304" s="99"/>
      <c r="H304" s="90"/>
      <c r="I304" s="99">
        <v>0.0</v>
      </c>
      <c r="J304" s="99">
        <v>0.0</v>
      </c>
      <c r="K304" s="99"/>
      <c r="L304" s="99">
        <f t="shared" ref="L304:AV304" si="225">L143*L166</f>
        <v>387000</v>
      </c>
      <c r="M304" s="99">
        <f t="shared" si="225"/>
        <v>394740</v>
      </c>
      <c r="N304" s="99">
        <f t="shared" si="225"/>
        <v>352305.45</v>
      </c>
      <c r="O304" s="99">
        <f t="shared" si="225"/>
        <v>359351.559</v>
      </c>
      <c r="P304" s="99">
        <f t="shared" si="225"/>
        <v>261813.2787</v>
      </c>
      <c r="Q304" s="99">
        <f t="shared" si="225"/>
        <v>267049.5443</v>
      </c>
      <c r="R304" s="99">
        <f t="shared" si="225"/>
        <v>272390.5352</v>
      </c>
      <c r="S304" s="99">
        <f t="shared" si="225"/>
        <v>277838.3459</v>
      </c>
      <c r="T304" s="99">
        <f t="shared" si="225"/>
        <v>283395.1128</v>
      </c>
      <c r="U304" s="99">
        <f t="shared" si="225"/>
        <v>289063.015</v>
      </c>
      <c r="V304" s="99">
        <f t="shared" si="225"/>
        <v>294844.2753</v>
      </c>
      <c r="W304" s="99">
        <f t="shared" si="225"/>
        <v>300741.1608</v>
      </c>
      <c r="X304" s="99">
        <f t="shared" si="225"/>
        <v>306755.9841</v>
      </c>
      <c r="Y304" s="99">
        <f t="shared" si="225"/>
        <v>312891.1037</v>
      </c>
      <c r="Z304" s="99">
        <f t="shared" si="225"/>
        <v>319148.9258</v>
      </c>
      <c r="AA304" s="99">
        <f t="shared" si="225"/>
        <v>325531.9043</v>
      </c>
      <c r="AB304" s="99">
        <f t="shared" si="225"/>
        <v>332042.5424</v>
      </c>
      <c r="AC304" s="99">
        <f t="shared" si="225"/>
        <v>338683.3933</v>
      </c>
      <c r="AD304" s="99">
        <f t="shared" si="225"/>
        <v>345457.0611</v>
      </c>
      <c r="AE304" s="99">
        <f t="shared" si="225"/>
        <v>352366.2024</v>
      </c>
      <c r="AF304" s="99">
        <f t="shared" si="225"/>
        <v>359413.5264</v>
      </c>
      <c r="AG304" s="99">
        <f t="shared" si="225"/>
        <v>366601.7969</v>
      </c>
      <c r="AH304" s="99">
        <f t="shared" si="225"/>
        <v>373933.8329</v>
      </c>
      <c r="AI304" s="99">
        <f t="shared" si="225"/>
        <v>381412.5095</v>
      </c>
      <c r="AJ304" s="99">
        <f t="shared" si="225"/>
        <v>389040.7597</v>
      </c>
      <c r="AK304" s="99">
        <f t="shared" si="225"/>
        <v>396821.5749</v>
      </c>
      <c r="AL304" s="99">
        <f t="shared" si="225"/>
        <v>404758.0064</v>
      </c>
      <c r="AM304" s="99">
        <f t="shared" si="225"/>
        <v>412853.1665</v>
      </c>
      <c r="AN304" s="99">
        <f t="shared" si="225"/>
        <v>421110.2299</v>
      </c>
      <c r="AO304" s="99">
        <f t="shared" si="225"/>
        <v>429532.4345</v>
      </c>
      <c r="AP304" s="99">
        <f t="shared" si="225"/>
        <v>438123.0832</v>
      </c>
      <c r="AQ304" s="99">
        <f t="shared" si="225"/>
        <v>446885.5448</v>
      </c>
      <c r="AR304" s="99">
        <f t="shared" si="225"/>
        <v>455823.2557</v>
      </c>
      <c r="AS304" s="99">
        <f t="shared" si="225"/>
        <v>464939.7208</v>
      </c>
      <c r="AT304" s="99">
        <f t="shared" si="225"/>
        <v>474238.5152</v>
      </c>
      <c r="AU304" s="99">
        <f t="shared" si="225"/>
        <v>483723.2856</v>
      </c>
      <c r="AV304" s="99">
        <f t="shared" si="225"/>
        <v>493397.7513</v>
      </c>
      <c r="AW304" s="90" t="s">
        <v>1218</v>
      </c>
      <c r="AX304" s="90"/>
      <c r="AY304" s="90"/>
      <c r="AZ304" s="90"/>
      <c r="BA304" s="90"/>
      <c r="BB304" s="90"/>
      <c r="BC304" s="90"/>
      <c r="BD304" s="90"/>
      <c r="BE304" s="90"/>
      <c r="BF304" s="90"/>
      <c r="BG304" s="90"/>
    </row>
    <row r="305" ht="12.75" customHeight="1" outlineLevel="1">
      <c r="A305" s="316"/>
      <c r="B305" s="67"/>
      <c r="C305" s="90"/>
      <c r="D305" s="90" t="s">
        <v>707</v>
      </c>
      <c r="E305" s="90"/>
      <c r="F305" s="90"/>
      <c r="G305" s="99"/>
      <c r="H305" s="99"/>
      <c r="I305" s="99" t="str">
        <f>'[4]'!H45</f>
        <v>#REF!</v>
      </c>
      <c r="J305" s="99">
        <f>'FY09 P&amp;L'!B80</f>
        <v>647853.05</v>
      </c>
      <c r="K305" s="99" t="str">
        <f>'[6]Profit &amp; Loss'!$I$77</f>
        <v>#REF!</v>
      </c>
      <c r="L305" s="99">
        <f t="shared" ref="L305:AV305" si="226">L144*L167</f>
        <v>464000</v>
      </c>
      <c r="M305" s="99">
        <f t="shared" si="226"/>
        <v>473280</v>
      </c>
      <c r="N305" s="99">
        <f t="shared" si="226"/>
        <v>422402.4</v>
      </c>
      <c r="O305" s="99">
        <f t="shared" si="226"/>
        <v>430850.448</v>
      </c>
      <c r="P305" s="99">
        <f t="shared" si="226"/>
        <v>313905.3264</v>
      </c>
      <c r="Q305" s="99">
        <f t="shared" si="226"/>
        <v>320183.4329</v>
      </c>
      <c r="R305" s="99">
        <f t="shared" si="226"/>
        <v>326587.1016</v>
      </c>
      <c r="S305" s="99">
        <f t="shared" si="226"/>
        <v>333118.8436</v>
      </c>
      <c r="T305" s="99">
        <f t="shared" si="226"/>
        <v>339781.2205</v>
      </c>
      <c r="U305" s="99">
        <f t="shared" si="226"/>
        <v>346576.8449</v>
      </c>
      <c r="V305" s="99">
        <f t="shared" si="226"/>
        <v>353508.3818</v>
      </c>
      <c r="W305" s="99">
        <f t="shared" si="226"/>
        <v>360578.5494</v>
      </c>
      <c r="X305" s="99">
        <f t="shared" si="226"/>
        <v>367790.1204</v>
      </c>
      <c r="Y305" s="99">
        <f t="shared" si="226"/>
        <v>375145.9228</v>
      </c>
      <c r="Z305" s="99">
        <f t="shared" si="226"/>
        <v>382648.8413</v>
      </c>
      <c r="AA305" s="99">
        <f t="shared" si="226"/>
        <v>390301.8181</v>
      </c>
      <c r="AB305" s="99">
        <f t="shared" si="226"/>
        <v>398107.8545</v>
      </c>
      <c r="AC305" s="99">
        <f t="shared" si="226"/>
        <v>406070.0116</v>
      </c>
      <c r="AD305" s="99">
        <f t="shared" si="226"/>
        <v>414191.4118</v>
      </c>
      <c r="AE305" s="99">
        <f t="shared" si="226"/>
        <v>422475.24</v>
      </c>
      <c r="AF305" s="99">
        <f t="shared" si="226"/>
        <v>430924.7448</v>
      </c>
      <c r="AG305" s="99">
        <f t="shared" si="226"/>
        <v>439543.2397</v>
      </c>
      <c r="AH305" s="99">
        <f t="shared" si="226"/>
        <v>448334.1045</v>
      </c>
      <c r="AI305" s="99">
        <f t="shared" si="226"/>
        <v>457300.7866</v>
      </c>
      <c r="AJ305" s="99">
        <f t="shared" si="226"/>
        <v>466446.8023</v>
      </c>
      <c r="AK305" s="99">
        <f t="shared" si="226"/>
        <v>475775.7384</v>
      </c>
      <c r="AL305" s="99">
        <f t="shared" si="226"/>
        <v>485291.2532</v>
      </c>
      <c r="AM305" s="99">
        <f t="shared" si="226"/>
        <v>494997.0782</v>
      </c>
      <c r="AN305" s="99">
        <f t="shared" si="226"/>
        <v>504897.0198</v>
      </c>
      <c r="AO305" s="99">
        <f t="shared" si="226"/>
        <v>514994.9602</v>
      </c>
      <c r="AP305" s="99">
        <f t="shared" si="226"/>
        <v>525294.8594</v>
      </c>
      <c r="AQ305" s="99">
        <f t="shared" si="226"/>
        <v>535800.7566</v>
      </c>
      <c r="AR305" s="99">
        <f t="shared" si="226"/>
        <v>546516.7717</v>
      </c>
      <c r="AS305" s="99">
        <f t="shared" si="226"/>
        <v>557447.1071</v>
      </c>
      <c r="AT305" s="99">
        <f t="shared" si="226"/>
        <v>568596.0493</v>
      </c>
      <c r="AU305" s="99">
        <f t="shared" si="226"/>
        <v>579967.9703</v>
      </c>
      <c r="AV305" s="99">
        <f t="shared" si="226"/>
        <v>591567.3297</v>
      </c>
      <c r="AW305" s="90"/>
      <c r="AX305" s="90"/>
      <c r="AY305" s="90"/>
      <c r="AZ305" s="90"/>
      <c r="BA305" s="90"/>
      <c r="BB305" s="90"/>
      <c r="BC305" s="90"/>
      <c r="BD305" s="90"/>
      <c r="BE305" s="90"/>
      <c r="BF305" s="90"/>
      <c r="BG305" s="90"/>
    </row>
    <row r="306" ht="12.75" customHeight="1" outlineLevel="1">
      <c r="A306" s="316"/>
      <c r="B306" s="67"/>
      <c r="C306" s="90"/>
      <c r="D306" s="90" t="s">
        <v>702</v>
      </c>
      <c r="E306" s="90"/>
      <c r="F306" s="90"/>
      <c r="G306" s="99"/>
      <c r="H306" s="99"/>
      <c r="I306" s="99">
        <v>0.0</v>
      </c>
      <c r="J306" s="99">
        <v>0.0</v>
      </c>
      <c r="K306" s="99">
        <v>30532.16</v>
      </c>
      <c r="L306" s="99">
        <f t="shared" ref="L306:AV306" si="227">L138*L168</f>
        <v>83333.33333</v>
      </c>
      <c r="M306" s="99">
        <f t="shared" si="227"/>
        <v>85000</v>
      </c>
      <c r="N306" s="99">
        <f t="shared" si="227"/>
        <v>86700</v>
      </c>
      <c r="O306" s="99">
        <f t="shared" si="227"/>
        <v>88434</v>
      </c>
      <c r="P306" s="99">
        <f t="shared" si="227"/>
        <v>90202.68</v>
      </c>
      <c r="Q306" s="99">
        <f t="shared" si="227"/>
        <v>92006.7336</v>
      </c>
      <c r="R306" s="99">
        <f t="shared" si="227"/>
        <v>93846.86827</v>
      </c>
      <c r="S306" s="99">
        <f t="shared" si="227"/>
        <v>95723.80564</v>
      </c>
      <c r="T306" s="99">
        <f t="shared" si="227"/>
        <v>97638.28175</v>
      </c>
      <c r="U306" s="99">
        <f t="shared" si="227"/>
        <v>99591.04739</v>
      </c>
      <c r="V306" s="99">
        <f t="shared" si="227"/>
        <v>101582.8683</v>
      </c>
      <c r="W306" s="99">
        <f t="shared" si="227"/>
        <v>103614.5257</v>
      </c>
      <c r="X306" s="99">
        <f t="shared" si="227"/>
        <v>105686.8162</v>
      </c>
      <c r="Y306" s="99">
        <f t="shared" si="227"/>
        <v>107800.5525</v>
      </c>
      <c r="Z306" s="99">
        <f t="shared" si="227"/>
        <v>109956.5636</v>
      </c>
      <c r="AA306" s="99">
        <f t="shared" si="227"/>
        <v>112155.6949</v>
      </c>
      <c r="AB306" s="99">
        <f t="shared" si="227"/>
        <v>114398.8088</v>
      </c>
      <c r="AC306" s="99">
        <f t="shared" si="227"/>
        <v>116686.7849</v>
      </c>
      <c r="AD306" s="99">
        <f t="shared" si="227"/>
        <v>119020.5206</v>
      </c>
      <c r="AE306" s="99">
        <f t="shared" si="227"/>
        <v>121400.931</v>
      </c>
      <c r="AF306" s="99">
        <f t="shared" si="227"/>
        <v>123828.9497</v>
      </c>
      <c r="AG306" s="99">
        <f t="shared" si="227"/>
        <v>126305.5287</v>
      </c>
      <c r="AH306" s="99">
        <f t="shared" si="227"/>
        <v>128831.6392</v>
      </c>
      <c r="AI306" s="99">
        <f t="shared" si="227"/>
        <v>131408.272</v>
      </c>
      <c r="AJ306" s="99">
        <f t="shared" si="227"/>
        <v>134036.4375</v>
      </c>
      <c r="AK306" s="99">
        <f t="shared" si="227"/>
        <v>136717.1662</v>
      </c>
      <c r="AL306" s="99">
        <f t="shared" si="227"/>
        <v>139451.5095</v>
      </c>
      <c r="AM306" s="99">
        <f t="shared" si="227"/>
        <v>142240.5397</v>
      </c>
      <c r="AN306" s="99">
        <f t="shared" si="227"/>
        <v>145085.3505</v>
      </c>
      <c r="AO306" s="99">
        <f t="shared" si="227"/>
        <v>147987.0575</v>
      </c>
      <c r="AP306" s="99">
        <f t="shared" si="227"/>
        <v>150946.7987</v>
      </c>
      <c r="AQ306" s="99">
        <f t="shared" si="227"/>
        <v>153965.7346</v>
      </c>
      <c r="AR306" s="99">
        <f t="shared" si="227"/>
        <v>157045.0493</v>
      </c>
      <c r="AS306" s="99">
        <f t="shared" si="227"/>
        <v>160185.9503</v>
      </c>
      <c r="AT306" s="99">
        <f t="shared" si="227"/>
        <v>163389.6693</v>
      </c>
      <c r="AU306" s="99">
        <f t="shared" si="227"/>
        <v>166657.4627</v>
      </c>
      <c r="AV306" s="99">
        <f t="shared" si="227"/>
        <v>169990.612</v>
      </c>
      <c r="AW306" s="90"/>
      <c r="AX306" s="90"/>
      <c r="AY306" s="90"/>
      <c r="AZ306" s="90"/>
      <c r="BA306" s="90"/>
      <c r="BB306" s="90"/>
      <c r="BC306" s="90"/>
      <c r="BD306" s="90"/>
      <c r="BE306" s="90"/>
      <c r="BF306" s="90"/>
      <c r="BG306" s="90"/>
    </row>
    <row r="307" ht="12.75" customHeight="1" outlineLevel="1">
      <c r="A307" s="316"/>
      <c r="B307" s="67"/>
      <c r="C307" s="87"/>
      <c r="D307" s="87" t="s">
        <v>803</v>
      </c>
      <c r="E307" s="87"/>
      <c r="F307" s="87"/>
      <c r="G307" s="125"/>
      <c r="H307" s="125"/>
      <c r="I307" s="125" t="str">
        <f>'[4]'!H47</f>
        <v>#REF!</v>
      </c>
      <c r="J307" s="125">
        <v>0.0</v>
      </c>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c r="AT307" s="125"/>
      <c r="AU307" s="125"/>
      <c r="AV307" s="125"/>
      <c r="AW307" s="87" t="s">
        <v>1219</v>
      </c>
      <c r="AX307" s="90"/>
      <c r="AY307" s="90"/>
      <c r="AZ307" s="90"/>
      <c r="BA307" s="90"/>
      <c r="BB307" s="90"/>
      <c r="BC307" s="90"/>
      <c r="BD307" s="90"/>
      <c r="BE307" s="90"/>
      <c r="BF307" s="90"/>
      <c r="BG307" s="90"/>
    </row>
    <row r="308" ht="12.75" customHeight="1" outlineLevel="1">
      <c r="A308" s="316"/>
      <c r="B308" s="67"/>
      <c r="C308" s="90" t="s">
        <v>804</v>
      </c>
      <c r="D308" s="90"/>
      <c r="E308" s="90"/>
      <c r="F308" s="90"/>
      <c r="G308" s="99"/>
      <c r="H308" s="99"/>
      <c r="I308" s="99" t="str">
        <f t="shared" ref="I308:AV308" si="228">SUM(I301:I307)</f>
        <v>#REF!</v>
      </c>
      <c r="J308" s="99">
        <f t="shared" si="228"/>
        <v>748813.05</v>
      </c>
      <c r="K308" s="99" t="str">
        <f t="shared" si="228"/>
        <v>#REF!</v>
      </c>
      <c r="L308" s="99">
        <f t="shared" si="228"/>
        <v>1034333.333</v>
      </c>
      <c r="M308" s="99">
        <f t="shared" si="228"/>
        <v>1055020</v>
      </c>
      <c r="N308" s="99">
        <f t="shared" si="228"/>
        <v>965447.85</v>
      </c>
      <c r="O308" s="99">
        <f t="shared" si="228"/>
        <v>984756.807</v>
      </c>
      <c r="P308" s="99">
        <f t="shared" si="228"/>
        <v>774164.5011</v>
      </c>
      <c r="Q308" s="99">
        <f t="shared" si="228"/>
        <v>789647.7911</v>
      </c>
      <c r="R308" s="99">
        <f t="shared" si="228"/>
        <v>805440.7469</v>
      </c>
      <c r="S308" s="99">
        <f t="shared" si="228"/>
        <v>821549.5619</v>
      </c>
      <c r="T308" s="99">
        <f t="shared" si="228"/>
        <v>837980.5531</v>
      </c>
      <c r="U308" s="99">
        <f t="shared" si="228"/>
        <v>854740.1642</v>
      </c>
      <c r="V308" s="99">
        <f t="shared" si="228"/>
        <v>871834.9675</v>
      </c>
      <c r="W308" s="99">
        <f t="shared" si="228"/>
        <v>889271.6668</v>
      </c>
      <c r="X308" s="99">
        <f t="shared" si="228"/>
        <v>907057.1002</v>
      </c>
      <c r="Y308" s="99">
        <f t="shared" si="228"/>
        <v>925198.2422</v>
      </c>
      <c r="Z308" s="99">
        <f t="shared" si="228"/>
        <v>943702.207</v>
      </c>
      <c r="AA308" s="99">
        <f t="shared" si="228"/>
        <v>962576.2511</v>
      </c>
      <c r="AB308" s="99">
        <f t="shared" si="228"/>
        <v>981827.7762</v>
      </c>
      <c r="AC308" s="99">
        <f t="shared" si="228"/>
        <v>1001464.332</v>
      </c>
      <c r="AD308" s="99">
        <f t="shared" si="228"/>
        <v>1021493.618</v>
      </c>
      <c r="AE308" s="99">
        <f t="shared" si="228"/>
        <v>1041923.491</v>
      </c>
      <c r="AF308" s="99">
        <f t="shared" si="228"/>
        <v>1062761.96</v>
      </c>
      <c r="AG308" s="99">
        <f t="shared" si="228"/>
        <v>1084017.2</v>
      </c>
      <c r="AH308" s="99">
        <f t="shared" si="228"/>
        <v>1105697.544</v>
      </c>
      <c r="AI308" s="99">
        <f t="shared" si="228"/>
        <v>1127811.495</v>
      </c>
      <c r="AJ308" s="99">
        <f t="shared" si="228"/>
        <v>1150367.724</v>
      </c>
      <c r="AK308" s="99">
        <f t="shared" si="228"/>
        <v>1173375.079</v>
      </c>
      <c r="AL308" s="99">
        <f t="shared" si="228"/>
        <v>1196842.581</v>
      </c>
      <c r="AM308" s="99">
        <f t="shared" si="228"/>
        <v>1220779.432</v>
      </c>
      <c r="AN308" s="99">
        <f t="shared" si="228"/>
        <v>1245195.021</v>
      </c>
      <c r="AO308" s="99">
        <f t="shared" si="228"/>
        <v>1270098.921</v>
      </c>
      <c r="AP308" s="99">
        <f t="shared" si="228"/>
        <v>1295500.9</v>
      </c>
      <c r="AQ308" s="99">
        <f t="shared" si="228"/>
        <v>1321410.918</v>
      </c>
      <c r="AR308" s="99">
        <f t="shared" si="228"/>
        <v>1347839.136</v>
      </c>
      <c r="AS308" s="99">
        <f t="shared" si="228"/>
        <v>1374795.919</v>
      </c>
      <c r="AT308" s="99">
        <f t="shared" si="228"/>
        <v>1402291.837</v>
      </c>
      <c r="AU308" s="99">
        <f t="shared" si="228"/>
        <v>1430337.674</v>
      </c>
      <c r="AV308" s="99">
        <f t="shared" si="228"/>
        <v>1458944.427</v>
      </c>
      <c r="AW308" s="90"/>
      <c r="AX308" s="90"/>
      <c r="AY308" s="90"/>
      <c r="AZ308" s="90"/>
      <c r="BA308" s="90"/>
      <c r="BB308" s="90"/>
      <c r="BC308" s="90"/>
      <c r="BD308" s="90"/>
      <c r="BE308" s="90"/>
      <c r="BF308" s="90"/>
      <c r="BG308" s="90"/>
    </row>
    <row r="309" ht="12.75" customHeight="1" outlineLevel="1">
      <c r="A309" s="316"/>
      <c r="B309" s="67"/>
      <c r="C309" s="90"/>
      <c r="D309" s="90"/>
      <c r="E309" s="90"/>
      <c r="F309" s="90"/>
      <c r="G309" s="99"/>
      <c r="H309" s="99"/>
      <c r="I309" s="99"/>
      <c r="J309" s="99"/>
      <c r="K309" s="99"/>
      <c r="L309" s="99"/>
      <c r="M309" s="99"/>
      <c r="N309" s="99"/>
      <c r="O309" s="99"/>
      <c r="P309" s="99"/>
      <c r="Q309" s="99"/>
      <c r="R309" s="99"/>
      <c r="S309" s="99"/>
      <c r="T309" s="99"/>
      <c r="U309" s="99"/>
      <c r="V309" s="99"/>
      <c r="W309" s="99"/>
      <c r="X309" s="99"/>
      <c r="Y309" s="99"/>
      <c r="Z309" s="99"/>
      <c r="AA309" s="99"/>
      <c r="AB309" s="99"/>
      <c r="AC309" s="99"/>
      <c r="AD309" s="99"/>
      <c r="AE309" s="99"/>
      <c r="AF309" s="99"/>
      <c r="AG309" s="99"/>
      <c r="AH309" s="99"/>
      <c r="AI309" s="99"/>
      <c r="AJ309" s="99"/>
      <c r="AK309" s="99"/>
      <c r="AL309" s="99"/>
      <c r="AM309" s="99"/>
      <c r="AN309" s="99"/>
      <c r="AO309" s="99"/>
      <c r="AP309" s="99"/>
      <c r="AQ309" s="99"/>
      <c r="AR309" s="99"/>
      <c r="AS309" s="99"/>
      <c r="AT309" s="99"/>
      <c r="AU309" s="99"/>
      <c r="AV309" s="99"/>
      <c r="AW309" s="90"/>
      <c r="AX309" s="90"/>
      <c r="AY309" s="90"/>
      <c r="AZ309" s="90"/>
      <c r="BA309" s="90"/>
      <c r="BB309" s="90"/>
      <c r="BC309" s="90"/>
      <c r="BD309" s="90"/>
      <c r="BE309" s="90"/>
      <c r="BF309" s="90"/>
      <c r="BG309" s="90"/>
    </row>
    <row r="310" ht="12.75" customHeight="1" outlineLevel="1">
      <c r="A310" s="316"/>
      <c r="B310" s="67"/>
      <c r="C310" s="90" t="s">
        <v>805</v>
      </c>
      <c r="D310" s="90"/>
      <c r="E310" s="90"/>
      <c r="F310" s="90"/>
      <c r="G310" s="99"/>
      <c r="H310" s="99"/>
      <c r="I310" s="99"/>
      <c r="J310" s="99"/>
      <c r="K310" s="99"/>
      <c r="L310" s="99"/>
      <c r="M310" s="99"/>
      <c r="N310" s="99"/>
      <c r="O310" s="99"/>
      <c r="P310" s="99"/>
      <c r="Q310" s="99"/>
      <c r="R310" s="99"/>
      <c r="S310" s="99"/>
      <c r="T310" s="99"/>
      <c r="U310" s="99"/>
      <c r="V310" s="99"/>
      <c r="W310" s="99"/>
      <c r="X310" s="99"/>
      <c r="Y310" s="99"/>
      <c r="Z310" s="99"/>
      <c r="AA310" s="99"/>
      <c r="AB310" s="99"/>
      <c r="AC310" s="99"/>
      <c r="AD310" s="99"/>
      <c r="AE310" s="99"/>
      <c r="AF310" s="99"/>
      <c r="AG310" s="99"/>
      <c r="AH310" s="99"/>
      <c r="AI310" s="99"/>
      <c r="AJ310" s="99"/>
      <c r="AK310" s="99"/>
      <c r="AL310" s="99"/>
      <c r="AM310" s="99"/>
      <c r="AN310" s="99"/>
      <c r="AO310" s="99"/>
      <c r="AP310" s="99"/>
      <c r="AQ310" s="99"/>
      <c r="AR310" s="99"/>
      <c r="AS310" s="99"/>
      <c r="AT310" s="99"/>
      <c r="AU310" s="99"/>
      <c r="AV310" s="99"/>
      <c r="AW310" s="90"/>
      <c r="AX310" s="90"/>
      <c r="AY310" s="90"/>
      <c r="AZ310" s="90"/>
      <c r="BA310" s="90"/>
      <c r="BB310" s="90"/>
      <c r="BC310" s="90"/>
      <c r="BD310" s="90"/>
      <c r="BE310" s="90"/>
      <c r="BF310" s="90"/>
      <c r="BG310" s="90"/>
    </row>
    <row r="311" ht="12.75" customHeight="1" outlineLevel="1">
      <c r="A311" s="316"/>
      <c r="B311" s="90"/>
      <c r="C311" s="90"/>
      <c r="D311" s="90" t="s">
        <v>711</v>
      </c>
      <c r="E311" s="90"/>
      <c r="F311" s="90"/>
      <c r="G311" s="99"/>
      <c r="H311" s="99"/>
      <c r="I311" s="99" t="str">
        <f>'[4]'!H55</f>
        <v>#REF!</v>
      </c>
      <c r="J311" s="99">
        <f>'FY09 P&amp;L'!B103</f>
        <v>55550.43</v>
      </c>
      <c r="K311" s="99">
        <v>50616.84</v>
      </c>
      <c r="L311" s="99">
        <f t="shared" ref="L311:AV311" si="229">L149*L170</f>
        <v>51000</v>
      </c>
      <c r="M311" s="99">
        <f t="shared" si="229"/>
        <v>52020</v>
      </c>
      <c r="N311" s="99">
        <f t="shared" si="229"/>
        <v>53060.4</v>
      </c>
      <c r="O311" s="99">
        <f t="shared" si="229"/>
        <v>54121.608</v>
      </c>
      <c r="P311" s="99">
        <f t="shared" si="229"/>
        <v>55204.04016</v>
      </c>
      <c r="Q311" s="99">
        <f t="shared" si="229"/>
        <v>56308.12096</v>
      </c>
      <c r="R311" s="99">
        <f t="shared" si="229"/>
        <v>57434.28338</v>
      </c>
      <c r="S311" s="99">
        <f t="shared" si="229"/>
        <v>58582.96905</v>
      </c>
      <c r="T311" s="99">
        <f t="shared" si="229"/>
        <v>59754.62843</v>
      </c>
      <c r="U311" s="99">
        <f t="shared" si="229"/>
        <v>60949.721</v>
      </c>
      <c r="V311" s="99">
        <f t="shared" si="229"/>
        <v>62168.71542</v>
      </c>
      <c r="W311" s="99">
        <f t="shared" si="229"/>
        <v>63412.08973</v>
      </c>
      <c r="X311" s="99">
        <f t="shared" si="229"/>
        <v>64680.33152</v>
      </c>
      <c r="Y311" s="99">
        <f t="shared" si="229"/>
        <v>65973.93815</v>
      </c>
      <c r="Z311" s="99">
        <f t="shared" si="229"/>
        <v>67293.41692</v>
      </c>
      <c r="AA311" s="99">
        <f t="shared" si="229"/>
        <v>68639.28525</v>
      </c>
      <c r="AB311" s="99">
        <f t="shared" si="229"/>
        <v>70012.07096</v>
      </c>
      <c r="AC311" s="99">
        <f t="shared" si="229"/>
        <v>71412.31238</v>
      </c>
      <c r="AD311" s="99">
        <f t="shared" si="229"/>
        <v>72840.55863</v>
      </c>
      <c r="AE311" s="99">
        <f t="shared" si="229"/>
        <v>74297.3698</v>
      </c>
      <c r="AF311" s="99">
        <f t="shared" si="229"/>
        <v>75783.31719</v>
      </c>
      <c r="AG311" s="99">
        <f t="shared" si="229"/>
        <v>77298.98354</v>
      </c>
      <c r="AH311" s="99">
        <f t="shared" si="229"/>
        <v>78844.96321</v>
      </c>
      <c r="AI311" s="99">
        <f t="shared" si="229"/>
        <v>80421.86247</v>
      </c>
      <c r="AJ311" s="99">
        <f t="shared" si="229"/>
        <v>82030.29972</v>
      </c>
      <c r="AK311" s="99">
        <f t="shared" si="229"/>
        <v>83670.90572</v>
      </c>
      <c r="AL311" s="99">
        <f t="shared" si="229"/>
        <v>85344.32383</v>
      </c>
      <c r="AM311" s="99">
        <f t="shared" si="229"/>
        <v>87051.21031</v>
      </c>
      <c r="AN311" s="99">
        <f t="shared" si="229"/>
        <v>88792.23451</v>
      </c>
      <c r="AO311" s="99">
        <f t="shared" si="229"/>
        <v>90568.07921</v>
      </c>
      <c r="AP311" s="99">
        <f t="shared" si="229"/>
        <v>92379.44079</v>
      </c>
      <c r="AQ311" s="99">
        <f t="shared" si="229"/>
        <v>94227.02961</v>
      </c>
      <c r="AR311" s="99">
        <f t="shared" si="229"/>
        <v>96111.5702</v>
      </c>
      <c r="AS311" s="99">
        <f t="shared" si="229"/>
        <v>98033.8016</v>
      </c>
      <c r="AT311" s="99">
        <f t="shared" si="229"/>
        <v>99994.47763</v>
      </c>
      <c r="AU311" s="99">
        <f t="shared" si="229"/>
        <v>101994.3672</v>
      </c>
      <c r="AV311" s="99">
        <f t="shared" si="229"/>
        <v>104034.2545</v>
      </c>
      <c r="AW311" s="90"/>
      <c r="AX311" s="90"/>
      <c r="AY311" s="90"/>
      <c r="AZ311" s="90"/>
      <c r="BA311" s="90"/>
      <c r="BB311" s="90"/>
      <c r="BC311" s="90"/>
      <c r="BD311" s="90"/>
      <c r="BE311" s="90"/>
      <c r="BF311" s="90"/>
      <c r="BG311" s="90"/>
    </row>
    <row r="312" ht="12.75" customHeight="1" outlineLevel="1">
      <c r="A312" s="316"/>
      <c r="B312" s="90"/>
      <c r="C312" s="90"/>
      <c r="D312" s="90" t="s">
        <v>712</v>
      </c>
      <c r="E312" s="90"/>
      <c r="F312" s="90"/>
      <c r="G312" s="99"/>
      <c r="H312" s="99"/>
      <c r="I312" s="99">
        <v>0.0</v>
      </c>
      <c r="J312" s="99">
        <f>J150*J171</f>
        <v>0</v>
      </c>
      <c r="K312" s="99">
        <v>72603.0</v>
      </c>
      <c r="L312" s="99">
        <f t="shared" ref="L312:AV312" si="230">L150*L171</f>
        <v>50000</v>
      </c>
      <c r="M312" s="99">
        <f t="shared" si="230"/>
        <v>51000</v>
      </c>
      <c r="N312" s="99">
        <f t="shared" si="230"/>
        <v>52020</v>
      </c>
      <c r="O312" s="99">
        <f t="shared" si="230"/>
        <v>53060.4</v>
      </c>
      <c r="P312" s="99">
        <f t="shared" si="230"/>
        <v>54121.608</v>
      </c>
      <c r="Q312" s="99">
        <f t="shared" si="230"/>
        <v>55204.04016</v>
      </c>
      <c r="R312" s="99">
        <f t="shared" si="230"/>
        <v>56308.12096</v>
      </c>
      <c r="S312" s="99">
        <f t="shared" si="230"/>
        <v>57434.28338</v>
      </c>
      <c r="T312" s="99">
        <f t="shared" si="230"/>
        <v>58582.96905</v>
      </c>
      <c r="U312" s="99">
        <f t="shared" si="230"/>
        <v>59754.62843</v>
      </c>
      <c r="V312" s="99">
        <f t="shared" si="230"/>
        <v>60949.721</v>
      </c>
      <c r="W312" s="99">
        <f t="shared" si="230"/>
        <v>62168.71542</v>
      </c>
      <c r="X312" s="99">
        <f t="shared" si="230"/>
        <v>63412.08973</v>
      </c>
      <c r="Y312" s="99">
        <f t="shared" si="230"/>
        <v>64680.33152</v>
      </c>
      <c r="Z312" s="99">
        <f t="shared" si="230"/>
        <v>65973.93815</v>
      </c>
      <c r="AA312" s="99">
        <f t="shared" si="230"/>
        <v>67293.41692</v>
      </c>
      <c r="AB312" s="99">
        <f t="shared" si="230"/>
        <v>68639.28525</v>
      </c>
      <c r="AC312" s="99">
        <f t="shared" si="230"/>
        <v>70012.07096</v>
      </c>
      <c r="AD312" s="99">
        <f t="shared" si="230"/>
        <v>71412.31238</v>
      </c>
      <c r="AE312" s="99">
        <f t="shared" si="230"/>
        <v>72840.55863</v>
      </c>
      <c r="AF312" s="99">
        <f t="shared" si="230"/>
        <v>74297.3698</v>
      </c>
      <c r="AG312" s="99">
        <f t="shared" si="230"/>
        <v>75783.31719</v>
      </c>
      <c r="AH312" s="99">
        <f t="shared" si="230"/>
        <v>77298.98354</v>
      </c>
      <c r="AI312" s="99">
        <f t="shared" si="230"/>
        <v>78844.96321</v>
      </c>
      <c r="AJ312" s="99">
        <f t="shared" si="230"/>
        <v>80421.86247</v>
      </c>
      <c r="AK312" s="99">
        <f t="shared" si="230"/>
        <v>82030.29972</v>
      </c>
      <c r="AL312" s="99">
        <f t="shared" si="230"/>
        <v>83670.90572</v>
      </c>
      <c r="AM312" s="99">
        <f t="shared" si="230"/>
        <v>85344.32383</v>
      </c>
      <c r="AN312" s="99">
        <f t="shared" si="230"/>
        <v>87051.21031</v>
      </c>
      <c r="AO312" s="99">
        <f t="shared" si="230"/>
        <v>88792.23451</v>
      </c>
      <c r="AP312" s="99">
        <f t="shared" si="230"/>
        <v>90568.07921</v>
      </c>
      <c r="AQ312" s="99">
        <f t="shared" si="230"/>
        <v>92379.44079</v>
      </c>
      <c r="AR312" s="99">
        <f t="shared" si="230"/>
        <v>94227.02961</v>
      </c>
      <c r="AS312" s="99">
        <f t="shared" si="230"/>
        <v>96111.5702</v>
      </c>
      <c r="AT312" s="99">
        <f t="shared" si="230"/>
        <v>98033.8016</v>
      </c>
      <c r="AU312" s="99">
        <f t="shared" si="230"/>
        <v>99994.47763</v>
      </c>
      <c r="AV312" s="99">
        <f t="shared" si="230"/>
        <v>101994.3672</v>
      </c>
      <c r="AW312" s="90"/>
      <c r="AX312" s="90"/>
      <c r="AY312" s="90"/>
      <c r="AZ312" s="90"/>
      <c r="BA312" s="90"/>
      <c r="BB312" s="90"/>
      <c r="BC312" s="90"/>
      <c r="BD312" s="90"/>
      <c r="BE312" s="90"/>
      <c r="BF312" s="90"/>
      <c r="BG312" s="90"/>
    </row>
    <row r="313" ht="12.75" customHeight="1" outlineLevel="1">
      <c r="A313" s="316"/>
      <c r="B313" s="67"/>
      <c r="C313" s="90"/>
      <c r="D313" s="90" t="s">
        <v>713</v>
      </c>
      <c r="E313" s="90"/>
      <c r="F313" s="90"/>
      <c r="G313" s="99"/>
      <c r="H313" s="99"/>
      <c r="I313" s="99" t="str">
        <f>'[4]'!H57+'[4]'!H59</f>
        <v>#REF!</v>
      </c>
      <c r="J313" s="99">
        <f>'FY09 P&amp;L'!B94+'FY09 P&amp;L'!B97</f>
        <v>86991.6</v>
      </c>
      <c r="K313" s="99">
        <v>22400.5</v>
      </c>
      <c r="L313" s="99">
        <f t="shared" ref="L313:AV313" si="231">L172*L151</f>
        <v>21600</v>
      </c>
      <c r="M313" s="99">
        <f t="shared" si="231"/>
        <v>22032</v>
      </c>
      <c r="N313" s="99">
        <f t="shared" si="231"/>
        <v>22472.64</v>
      </c>
      <c r="O313" s="99">
        <f t="shared" si="231"/>
        <v>22922.0928</v>
      </c>
      <c r="P313" s="99">
        <f t="shared" si="231"/>
        <v>23380.53466</v>
      </c>
      <c r="Q313" s="99">
        <f t="shared" si="231"/>
        <v>23848.14535</v>
      </c>
      <c r="R313" s="99">
        <f t="shared" si="231"/>
        <v>24325.10826</v>
      </c>
      <c r="S313" s="99">
        <f t="shared" si="231"/>
        <v>24811.61042</v>
      </c>
      <c r="T313" s="99">
        <f t="shared" si="231"/>
        <v>25307.84263</v>
      </c>
      <c r="U313" s="99">
        <f t="shared" si="231"/>
        <v>25813.99948</v>
      </c>
      <c r="V313" s="99">
        <f t="shared" si="231"/>
        <v>26330.27947</v>
      </c>
      <c r="W313" s="99">
        <f t="shared" si="231"/>
        <v>26856.88506</v>
      </c>
      <c r="X313" s="99">
        <f t="shared" si="231"/>
        <v>27394.02276</v>
      </c>
      <c r="Y313" s="99">
        <f t="shared" si="231"/>
        <v>27941.90322</v>
      </c>
      <c r="Z313" s="99">
        <f t="shared" si="231"/>
        <v>28500.74128</v>
      </c>
      <c r="AA313" s="99">
        <f t="shared" si="231"/>
        <v>29070.75611</v>
      </c>
      <c r="AB313" s="99">
        <f t="shared" si="231"/>
        <v>29652.17123</v>
      </c>
      <c r="AC313" s="99">
        <f t="shared" si="231"/>
        <v>30245.21465</v>
      </c>
      <c r="AD313" s="99">
        <f t="shared" si="231"/>
        <v>30850.11895</v>
      </c>
      <c r="AE313" s="99">
        <f t="shared" si="231"/>
        <v>31467.12133</v>
      </c>
      <c r="AF313" s="99">
        <f t="shared" si="231"/>
        <v>32096.46375</v>
      </c>
      <c r="AG313" s="99">
        <f t="shared" si="231"/>
        <v>32738.39303</v>
      </c>
      <c r="AH313" s="99">
        <f t="shared" si="231"/>
        <v>33393.16089</v>
      </c>
      <c r="AI313" s="99">
        <f t="shared" si="231"/>
        <v>34061.02411</v>
      </c>
      <c r="AJ313" s="99">
        <f t="shared" si="231"/>
        <v>34742.24459</v>
      </c>
      <c r="AK313" s="99">
        <f t="shared" si="231"/>
        <v>35437.08948</v>
      </c>
      <c r="AL313" s="99">
        <f t="shared" si="231"/>
        <v>36145.83127</v>
      </c>
      <c r="AM313" s="99">
        <f t="shared" si="231"/>
        <v>36868.7479</v>
      </c>
      <c r="AN313" s="99">
        <f t="shared" si="231"/>
        <v>37606.12285</v>
      </c>
      <c r="AO313" s="99">
        <f t="shared" si="231"/>
        <v>38358.24531</v>
      </c>
      <c r="AP313" s="99">
        <f t="shared" si="231"/>
        <v>39125.41022</v>
      </c>
      <c r="AQ313" s="99">
        <f t="shared" si="231"/>
        <v>39907.91842</v>
      </c>
      <c r="AR313" s="99">
        <f t="shared" si="231"/>
        <v>40706.07679</v>
      </c>
      <c r="AS313" s="99">
        <f t="shared" si="231"/>
        <v>41520.19833</v>
      </c>
      <c r="AT313" s="99">
        <f t="shared" si="231"/>
        <v>42350.60229</v>
      </c>
      <c r="AU313" s="99">
        <f t="shared" si="231"/>
        <v>43197.61434</v>
      </c>
      <c r="AV313" s="99">
        <f t="shared" si="231"/>
        <v>44061.56662</v>
      </c>
      <c r="AW313" s="90"/>
      <c r="AX313" s="90"/>
      <c r="AY313" s="90"/>
      <c r="AZ313" s="90"/>
      <c r="BA313" s="90"/>
      <c r="BB313" s="90"/>
      <c r="BC313" s="90"/>
      <c r="BD313" s="90"/>
      <c r="BE313" s="90"/>
      <c r="BF313" s="90"/>
      <c r="BG313" s="90"/>
    </row>
    <row r="314" ht="12.75" customHeight="1" outlineLevel="1">
      <c r="A314" s="316"/>
      <c r="B314" s="67"/>
      <c r="C314" s="87"/>
      <c r="D314" s="87" t="s">
        <v>714</v>
      </c>
      <c r="E314" s="87"/>
      <c r="F314" s="87"/>
      <c r="G314" s="125"/>
      <c r="H314" s="125"/>
      <c r="I314" s="125">
        <v>0.0</v>
      </c>
      <c r="J314" s="125">
        <f t="shared" ref="J314:K314" si="232">J152*J173</f>
        <v>0</v>
      </c>
      <c r="K314" s="125">
        <f t="shared" si="232"/>
        <v>0</v>
      </c>
      <c r="L314" s="125">
        <f t="shared" ref="L314:AV314" si="233">L173*L152</f>
        <v>39600</v>
      </c>
      <c r="M314" s="125">
        <f t="shared" si="233"/>
        <v>40392</v>
      </c>
      <c r="N314" s="125">
        <f t="shared" si="233"/>
        <v>41199.84</v>
      </c>
      <c r="O314" s="125">
        <f t="shared" si="233"/>
        <v>42023.8368</v>
      </c>
      <c r="P314" s="125">
        <f t="shared" si="233"/>
        <v>42864.31354</v>
      </c>
      <c r="Q314" s="125">
        <f t="shared" si="233"/>
        <v>43721.59981</v>
      </c>
      <c r="R314" s="125">
        <f t="shared" si="233"/>
        <v>44596.0318</v>
      </c>
      <c r="S314" s="125">
        <f t="shared" si="233"/>
        <v>45487.95244</v>
      </c>
      <c r="T314" s="125">
        <f t="shared" si="233"/>
        <v>46397.71149</v>
      </c>
      <c r="U314" s="125">
        <f t="shared" si="233"/>
        <v>47325.66572</v>
      </c>
      <c r="V314" s="125">
        <f t="shared" si="233"/>
        <v>48272.17903</v>
      </c>
      <c r="W314" s="125">
        <f t="shared" si="233"/>
        <v>49237.62261</v>
      </c>
      <c r="X314" s="125">
        <f t="shared" si="233"/>
        <v>50222.37506</v>
      </c>
      <c r="Y314" s="125">
        <f t="shared" si="233"/>
        <v>51226.82257</v>
      </c>
      <c r="Z314" s="125">
        <f t="shared" si="233"/>
        <v>52251.35902</v>
      </c>
      <c r="AA314" s="125">
        <f t="shared" si="233"/>
        <v>53296.3862</v>
      </c>
      <c r="AB314" s="125">
        <f t="shared" si="233"/>
        <v>54362.31392</v>
      </c>
      <c r="AC314" s="125">
        <f t="shared" si="233"/>
        <v>55449.5602</v>
      </c>
      <c r="AD314" s="125">
        <f t="shared" si="233"/>
        <v>56558.5514</v>
      </c>
      <c r="AE314" s="125">
        <f t="shared" si="233"/>
        <v>57689.72243</v>
      </c>
      <c r="AF314" s="125">
        <f t="shared" si="233"/>
        <v>58843.51688</v>
      </c>
      <c r="AG314" s="125">
        <f t="shared" si="233"/>
        <v>60020.38722</v>
      </c>
      <c r="AH314" s="125">
        <f t="shared" si="233"/>
        <v>61220.79496</v>
      </c>
      <c r="AI314" s="125">
        <f t="shared" si="233"/>
        <v>62445.21086</v>
      </c>
      <c r="AJ314" s="125">
        <f t="shared" si="233"/>
        <v>63694.11508</v>
      </c>
      <c r="AK314" s="125">
        <f t="shared" si="233"/>
        <v>64967.99738</v>
      </c>
      <c r="AL314" s="125">
        <f t="shared" si="233"/>
        <v>66267.35733</v>
      </c>
      <c r="AM314" s="125">
        <f t="shared" si="233"/>
        <v>67592.70447</v>
      </c>
      <c r="AN314" s="125">
        <f t="shared" si="233"/>
        <v>68944.55856</v>
      </c>
      <c r="AO314" s="125">
        <f t="shared" si="233"/>
        <v>70323.44974</v>
      </c>
      <c r="AP314" s="125">
        <f t="shared" si="233"/>
        <v>71729.91873</v>
      </c>
      <c r="AQ314" s="125">
        <f t="shared" si="233"/>
        <v>73164.51711</v>
      </c>
      <c r="AR314" s="125">
        <f t="shared" si="233"/>
        <v>74627.80745</v>
      </c>
      <c r="AS314" s="125">
        <f t="shared" si="233"/>
        <v>76120.3636</v>
      </c>
      <c r="AT314" s="125">
        <f t="shared" si="233"/>
        <v>77642.77087</v>
      </c>
      <c r="AU314" s="125">
        <f t="shared" si="233"/>
        <v>79195.62629</v>
      </c>
      <c r="AV314" s="125">
        <f t="shared" si="233"/>
        <v>80779.53881</v>
      </c>
      <c r="AW314" s="87"/>
      <c r="AX314" s="90"/>
      <c r="AY314" s="90"/>
      <c r="AZ314" s="90"/>
      <c r="BA314" s="90"/>
      <c r="BB314" s="90"/>
      <c r="BC314" s="90"/>
      <c r="BD314" s="90"/>
      <c r="BE314" s="90"/>
      <c r="BF314" s="90"/>
      <c r="BG314" s="90"/>
    </row>
    <row r="315" ht="12.75" customHeight="1" outlineLevel="1">
      <c r="A315" s="316"/>
      <c r="B315" s="67"/>
      <c r="C315" s="90" t="s">
        <v>806</v>
      </c>
      <c r="D315" s="90"/>
      <c r="E315" s="90"/>
      <c r="F315" s="90"/>
      <c r="G315" s="99"/>
      <c r="H315" s="99"/>
      <c r="I315" s="99" t="str">
        <f t="shared" ref="I315:AV315" si="234">SUM(I311:I314)</f>
        <v>#REF!</v>
      </c>
      <c r="J315" s="99">
        <f t="shared" si="234"/>
        <v>142542.03</v>
      </c>
      <c r="K315" s="99">
        <f t="shared" si="234"/>
        <v>145620.34</v>
      </c>
      <c r="L315" s="99">
        <f t="shared" si="234"/>
        <v>162200</v>
      </c>
      <c r="M315" s="99">
        <f t="shared" si="234"/>
        <v>165444</v>
      </c>
      <c r="N315" s="99">
        <f t="shared" si="234"/>
        <v>168752.88</v>
      </c>
      <c r="O315" s="99">
        <f t="shared" si="234"/>
        <v>172127.9376</v>
      </c>
      <c r="P315" s="99">
        <f t="shared" si="234"/>
        <v>175570.4964</v>
      </c>
      <c r="Q315" s="99">
        <f t="shared" si="234"/>
        <v>179081.9063</v>
      </c>
      <c r="R315" s="99">
        <f t="shared" si="234"/>
        <v>182663.5444</v>
      </c>
      <c r="S315" s="99">
        <f t="shared" si="234"/>
        <v>186316.8153</v>
      </c>
      <c r="T315" s="99">
        <f t="shared" si="234"/>
        <v>190043.1516</v>
      </c>
      <c r="U315" s="99">
        <f t="shared" si="234"/>
        <v>193844.0146</v>
      </c>
      <c r="V315" s="99">
        <f t="shared" si="234"/>
        <v>197720.8949</v>
      </c>
      <c r="W315" s="99">
        <f t="shared" si="234"/>
        <v>201675.3128</v>
      </c>
      <c r="X315" s="99">
        <f t="shared" si="234"/>
        <v>205708.8191</v>
      </c>
      <c r="Y315" s="99">
        <f t="shared" si="234"/>
        <v>209822.9955</v>
      </c>
      <c r="Z315" s="99">
        <f t="shared" si="234"/>
        <v>214019.4554</v>
      </c>
      <c r="AA315" s="99">
        <f t="shared" si="234"/>
        <v>218299.8445</v>
      </c>
      <c r="AB315" s="99">
        <f t="shared" si="234"/>
        <v>222665.8414</v>
      </c>
      <c r="AC315" s="99">
        <f t="shared" si="234"/>
        <v>227119.1582</v>
      </c>
      <c r="AD315" s="99">
        <f t="shared" si="234"/>
        <v>231661.5414</v>
      </c>
      <c r="AE315" s="99">
        <f t="shared" si="234"/>
        <v>236294.7722</v>
      </c>
      <c r="AF315" s="99">
        <f t="shared" si="234"/>
        <v>241020.6676</v>
      </c>
      <c r="AG315" s="99">
        <f t="shared" si="234"/>
        <v>245841.081</v>
      </c>
      <c r="AH315" s="99">
        <f t="shared" si="234"/>
        <v>250757.9026</v>
      </c>
      <c r="AI315" s="99">
        <f t="shared" si="234"/>
        <v>255773.0607</v>
      </c>
      <c r="AJ315" s="99">
        <f t="shared" si="234"/>
        <v>260888.5219</v>
      </c>
      <c r="AK315" s="99">
        <f t="shared" si="234"/>
        <v>266106.2923</v>
      </c>
      <c r="AL315" s="99">
        <f t="shared" si="234"/>
        <v>271428.4181</v>
      </c>
      <c r="AM315" s="99">
        <f t="shared" si="234"/>
        <v>276856.9865</v>
      </c>
      <c r="AN315" s="99">
        <f t="shared" si="234"/>
        <v>282394.1262</v>
      </c>
      <c r="AO315" s="99">
        <f t="shared" si="234"/>
        <v>288042.0088</v>
      </c>
      <c r="AP315" s="99">
        <f t="shared" si="234"/>
        <v>293802.8489</v>
      </c>
      <c r="AQ315" s="99">
        <f t="shared" si="234"/>
        <v>299678.9059</v>
      </c>
      <c r="AR315" s="99">
        <f t="shared" si="234"/>
        <v>305672.484</v>
      </c>
      <c r="AS315" s="99">
        <f t="shared" si="234"/>
        <v>311785.9337</v>
      </c>
      <c r="AT315" s="99">
        <f t="shared" si="234"/>
        <v>318021.6524</v>
      </c>
      <c r="AU315" s="99">
        <f t="shared" si="234"/>
        <v>324382.0854</v>
      </c>
      <c r="AV315" s="99">
        <f t="shared" si="234"/>
        <v>330869.7272</v>
      </c>
      <c r="AW315" s="90"/>
      <c r="AX315" s="90"/>
      <c r="AY315" s="90"/>
      <c r="AZ315" s="90"/>
      <c r="BA315" s="90"/>
      <c r="BB315" s="90"/>
      <c r="BC315" s="90"/>
      <c r="BD315" s="90"/>
      <c r="BE315" s="90"/>
      <c r="BF315" s="90"/>
      <c r="BG315" s="90"/>
    </row>
    <row r="316" ht="12.75" customHeight="1" outlineLevel="1">
      <c r="A316" s="316"/>
      <c r="B316" s="67"/>
      <c r="C316" s="90"/>
      <c r="D316" s="90"/>
      <c r="E316" s="90"/>
      <c r="F316" s="90"/>
      <c r="G316" s="99"/>
      <c r="H316" s="99"/>
      <c r="I316" s="99"/>
      <c r="J316" s="99"/>
      <c r="K316" s="99"/>
      <c r="L316" s="99"/>
      <c r="M316" s="99"/>
      <c r="N316" s="99"/>
      <c r="O316" s="99"/>
      <c r="P316" s="99"/>
      <c r="Q316" s="99"/>
      <c r="R316" s="99"/>
      <c r="S316" s="99"/>
      <c r="T316" s="99"/>
      <c r="U316" s="99"/>
      <c r="V316" s="99"/>
      <c r="W316" s="99"/>
      <c r="X316" s="99"/>
      <c r="Y316" s="99"/>
      <c r="Z316" s="99"/>
      <c r="AA316" s="99"/>
      <c r="AB316" s="99"/>
      <c r="AC316" s="99"/>
      <c r="AD316" s="99"/>
      <c r="AE316" s="99"/>
      <c r="AF316" s="99"/>
      <c r="AG316" s="99"/>
      <c r="AH316" s="99"/>
      <c r="AI316" s="99"/>
      <c r="AJ316" s="99"/>
      <c r="AK316" s="99"/>
      <c r="AL316" s="99"/>
      <c r="AM316" s="99"/>
      <c r="AN316" s="99"/>
      <c r="AO316" s="99"/>
      <c r="AP316" s="99"/>
      <c r="AQ316" s="99"/>
      <c r="AR316" s="99"/>
      <c r="AS316" s="99"/>
      <c r="AT316" s="99"/>
      <c r="AU316" s="99"/>
      <c r="AV316" s="99"/>
      <c r="AW316" s="90"/>
      <c r="AX316" s="90"/>
      <c r="AY316" s="90"/>
      <c r="AZ316" s="90"/>
      <c r="BA316" s="90"/>
      <c r="BB316" s="90"/>
      <c r="BC316" s="90"/>
      <c r="BD316" s="90"/>
      <c r="BE316" s="90"/>
      <c r="BF316" s="90"/>
      <c r="BG316" s="90"/>
    </row>
    <row r="317" ht="12.75" customHeight="1" outlineLevel="1">
      <c r="A317" s="316"/>
      <c r="B317" s="67"/>
      <c r="C317" s="90" t="s">
        <v>807</v>
      </c>
      <c r="D317" s="90"/>
      <c r="E317" s="90"/>
      <c r="F317" s="90"/>
      <c r="G317" s="99"/>
      <c r="H317" s="99"/>
      <c r="I317" s="99">
        <v>0.0</v>
      </c>
      <c r="J317" s="99">
        <f>'FY09 P&amp;L'!B81+'FY09 P&amp;L'!B88</f>
        <v>94995.5</v>
      </c>
      <c r="K317" s="99">
        <f>82947.55+5000</f>
        <v>87947.55</v>
      </c>
      <c r="L317" s="99">
        <f t="shared" ref="L317:AV317" si="235">(L308+L311)*L176*L177+L178</f>
        <v>126866.6667</v>
      </c>
      <c r="M317" s="99">
        <f t="shared" si="235"/>
        <v>129404</v>
      </c>
      <c r="N317" s="99">
        <f t="shared" si="235"/>
        <v>120924.825</v>
      </c>
      <c r="O317" s="99">
        <f t="shared" si="235"/>
        <v>123343.3215</v>
      </c>
      <c r="P317" s="99">
        <f t="shared" si="235"/>
        <v>102781.4437</v>
      </c>
      <c r="Q317" s="99">
        <f t="shared" si="235"/>
        <v>104837.0726</v>
      </c>
      <c r="R317" s="99">
        <f t="shared" si="235"/>
        <v>106933.8141</v>
      </c>
      <c r="S317" s="99">
        <f t="shared" si="235"/>
        <v>109072.4903</v>
      </c>
      <c r="T317" s="99">
        <f t="shared" si="235"/>
        <v>111253.9401</v>
      </c>
      <c r="U317" s="99">
        <f t="shared" si="235"/>
        <v>113479.0189</v>
      </c>
      <c r="V317" s="99">
        <f t="shared" si="235"/>
        <v>115748.5993</v>
      </c>
      <c r="W317" s="99">
        <f t="shared" si="235"/>
        <v>118063.5713</v>
      </c>
      <c r="X317" s="99">
        <f t="shared" si="235"/>
        <v>120424.8427</v>
      </c>
      <c r="Y317" s="99">
        <f t="shared" si="235"/>
        <v>122833.3396</v>
      </c>
      <c r="Z317" s="99">
        <f t="shared" si="235"/>
        <v>125290.0064</v>
      </c>
      <c r="AA317" s="99">
        <f t="shared" si="235"/>
        <v>127795.8065</v>
      </c>
      <c r="AB317" s="99">
        <f t="shared" si="235"/>
        <v>130351.7226</v>
      </c>
      <c r="AC317" s="99">
        <f t="shared" si="235"/>
        <v>132958.7571</v>
      </c>
      <c r="AD317" s="99">
        <f t="shared" si="235"/>
        <v>135617.9322</v>
      </c>
      <c r="AE317" s="99">
        <f t="shared" si="235"/>
        <v>138330.2909</v>
      </c>
      <c r="AF317" s="99">
        <f t="shared" si="235"/>
        <v>141096.8967</v>
      </c>
      <c r="AG317" s="99">
        <f t="shared" si="235"/>
        <v>143918.8346</v>
      </c>
      <c r="AH317" s="99">
        <f t="shared" si="235"/>
        <v>146797.2113</v>
      </c>
      <c r="AI317" s="99">
        <f t="shared" si="235"/>
        <v>149733.1555</v>
      </c>
      <c r="AJ317" s="99">
        <f t="shared" si="235"/>
        <v>152727.8187</v>
      </c>
      <c r="AK317" s="99">
        <f t="shared" si="235"/>
        <v>155782.375</v>
      </c>
      <c r="AL317" s="99">
        <f t="shared" si="235"/>
        <v>158898.0225</v>
      </c>
      <c r="AM317" s="99">
        <f t="shared" si="235"/>
        <v>162075.983</v>
      </c>
      <c r="AN317" s="99">
        <f t="shared" si="235"/>
        <v>165317.5026</v>
      </c>
      <c r="AO317" s="99">
        <f t="shared" si="235"/>
        <v>168623.8527</v>
      </c>
      <c r="AP317" s="99">
        <f t="shared" si="235"/>
        <v>171996.3298</v>
      </c>
      <c r="AQ317" s="99">
        <f t="shared" si="235"/>
        <v>175436.2563</v>
      </c>
      <c r="AR317" s="99">
        <f t="shared" si="235"/>
        <v>178944.9815</v>
      </c>
      <c r="AS317" s="99">
        <f t="shared" si="235"/>
        <v>182523.8811</v>
      </c>
      <c r="AT317" s="99">
        <f t="shared" si="235"/>
        <v>186174.3587</v>
      </c>
      <c r="AU317" s="99">
        <f t="shared" si="235"/>
        <v>189897.8459</v>
      </c>
      <c r="AV317" s="99">
        <f t="shared" si="235"/>
        <v>193695.8028</v>
      </c>
      <c r="AW317" s="90"/>
      <c r="AX317" s="90"/>
      <c r="AY317" s="90"/>
      <c r="AZ317" s="90"/>
      <c r="BA317" s="90"/>
      <c r="BB317" s="90"/>
      <c r="BC317" s="90"/>
      <c r="BD317" s="90"/>
      <c r="BE317" s="90"/>
      <c r="BF317" s="90"/>
      <c r="BG317" s="90"/>
    </row>
    <row r="318" ht="12.75" customHeight="1" outlineLevel="1">
      <c r="A318" s="316"/>
      <c r="B318" s="87"/>
      <c r="C318" s="87"/>
      <c r="D318" s="87"/>
      <c r="E318" s="87"/>
      <c r="F318" s="87"/>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c r="AT318" s="125"/>
      <c r="AU318" s="125"/>
      <c r="AV318" s="125"/>
      <c r="AW318" s="87"/>
      <c r="AX318" s="90"/>
      <c r="AY318" s="90"/>
      <c r="AZ318" s="90"/>
      <c r="BA318" s="90"/>
      <c r="BB318" s="90"/>
      <c r="BC318" s="99"/>
      <c r="BD318" s="90"/>
      <c r="BE318" s="90"/>
      <c r="BF318" s="90"/>
      <c r="BG318" s="90"/>
    </row>
    <row r="319" ht="12.75" customHeight="1" outlineLevel="1">
      <c r="A319" s="316"/>
      <c r="B319" s="67" t="s">
        <v>312</v>
      </c>
      <c r="C319" s="90"/>
      <c r="D319" s="90"/>
      <c r="E319" s="90"/>
      <c r="F319" s="90"/>
      <c r="G319" s="79"/>
      <c r="H319" s="79"/>
      <c r="I319" s="546" t="str">
        <f t="shared" ref="I319:AV319" si="236">I315+I308+I317</f>
        <v>#REF!</v>
      </c>
      <c r="J319" s="79">
        <f t="shared" si="236"/>
        <v>986350.58</v>
      </c>
      <c r="K319" s="79" t="str">
        <f t="shared" si="236"/>
        <v>#REF!</v>
      </c>
      <c r="L319" s="79">
        <f t="shared" si="236"/>
        <v>1323400</v>
      </c>
      <c r="M319" s="79">
        <f t="shared" si="236"/>
        <v>1349868</v>
      </c>
      <c r="N319" s="79">
        <f t="shared" si="236"/>
        <v>1255125.555</v>
      </c>
      <c r="O319" s="79">
        <f t="shared" si="236"/>
        <v>1280228.066</v>
      </c>
      <c r="P319" s="79">
        <f t="shared" si="236"/>
        <v>1052516.441</v>
      </c>
      <c r="Q319" s="79">
        <f t="shared" si="236"/>
        <v>1073566.77</v>
      </c>
      <c r="R319" s="79">
        <f t="shared" si="236"/>
        <v>1095038.105</v>
      </c>
      <c r="S319" s="79">
        <f t="shared" si="236"/>
        <v>1116938.868</v>
      </c>
      <c r="T319" s="79">
        <f t="shared" si="236"/>
        <v>1139277.645</v>
      </c>
      <c r="U319" s="79">
        <f t="shared" si="236"/>
        <v>1162063.198</v>
      </c>
      <c r="V319" s="79">
        <f t="shared" si="236"/>
        <v>1185304.462</v>
      </c>
      <c r="W319" s="79">
        <f t="shared" si="236"/>
        <v>1209010.551</v>
      </c>
      <c r="X319" s="79">
        <f t="shared" si="236"/>
        <v>1233190.762</v>
      </c>
      <c r="Y319" s="79">
        <f t="shared" si="236"/>
        <v>1257854.577</v>
      </c>
      <c r="Z319" s="79">
        <f t="shared" si="236"/>
        <v>1283011.669</v>
      </c>
      <c r="AA319" s="79">
        <f t="shared" si="236"/>
        <v>1308671.902</v>
      </c>
      <c r="AB319" s="79">
        <f t="shared" si="236"/>
        <v>1334845.34</v>
      </c>
      <c r="AC319" s="79">
        <f t="shared" si="236"/>
        <v>1361542.247</v>
      </c>
      <c r="AD319" s="79">
        <f t="shared" si="236"/>
        <v>1388773.092</v>
      </c>
      <c r="AE319" s="79">
        <f t="shared" si="236"/>
        <v>1416548.554</v>
      </c>
      <c r="AF319" s="79">
        <f t="shared" si="236"/>
        <v>1444879.525</v>
      </c>
      <c r="AG319" s="79">
        <f t="shared" si="236"/>
        <v>1473777.115</v>
      </c>
      <c r="AH319" s="79">
        <f t="shared" si="236"/>
        <v>1503252.658</v>
      </c>
      <c r="AI319" s="79">
        <f t="shared" si="236"/>
        <v>1533317.711</v>
      </c>
      <c r="AJ319" s="79">
        <f t="shared" si="236"/>
        <v>1563984.065</v>
      </c>
      <c r="AK319" s="79">
        <f t="shared" si="236"/>
        <v>1595263.746</v>
      </c>
      <c r="AL319" s="79">
        <f t="shared" si="236"/>
        <v>1627169.021</v>
      </c>
      <c r="AM319" s="79">
        <f t="shared" si="236"/>
        <v>1659712.402</v>
      </c>
      <c r="AN319" s="79">
        <f t="shared" si="236"/>
        <v>1692906.65</v>
      </c>
      <c r="AO319" s="79">
        <f t="shared" si="236"/>
        <v>1726764.783</v>
      </c>
      <c r="AP319" s="79">
        <f t="shared" si="236"/>
        <v>1761300.078</v>
      </c>
      <c r="AQ319" s="79">
        <f t="shared" si="236"/>
        <v>1796526.08</v>
      </c>
      <c r="AR319" s="79">
        <f t="shared" si="236"/>
        <v>1832456.601</v>
      </c>
      <c r="AS319" s="79">
        <f t="shared" si="236"/>
        <v>1869105.734</v>
      </c>
      <c r="AT319" s="79">
        <f t="shared" si="236"/>
        <v>1906487.848</v>
      </c>
      <c r="AU319" s="79">
        <f t="shared" si="236"/>
        <v>1944617.605</v>
      </c>
      <c r="AV319" s="79">
        <f t="shared" si="236"/>
        <v>1983509.957</v>
      </c>
      <c r="AW319" s="90"/>
      <c r="AX319" s="90"/>
      <c r="AY319" s="90"/>
      <c r="AZ319" s="90"/>
      <c r="BA319" s="90"/>
      <c r="BB319" s="90"/>
      <c r="BC319" s="90"/>
      <c r="BD319" s="90"/>
      <c r="BE319" s="90"/>
      <c r="BF319" s="90"/>
      <c r="BG319" s="90"/>
    </row>
    <row r="320" ht="12.75" customHeight="1" outlineLevel="1">
      <c r="A320" s="316"/>
      <c r="B320" s="90"/>
      <c r="C320" s="90"/>
      <c r="D320" s="90"/>
      <c r="E320" s="90"/>
      <c r="F320" s="90"/>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c r="AH320" s="91"/>
      <c r="AI320" s="91"/>
      <c r="AJ320" s="91"/>
      <c r="AK320" s="91"/>
      <c r="AL320" s="91"/>
      <c r="AM320" s="91"/>
      <c r="AN320" s="91"/>
      <c r="AO320" s="91"/>
      <c r="AP320" s="91"/>
      <c r="AQ320" s="91"/>
      <c r="AR320" s="91"/>
      <c r="AS320" s="91"/>
      <c r="AT320" s="91"/>
      <c r="AU320" s="91"/>
      <c r="AV320" s="91"/>
      <c r="AW320" s="90"/>
      <c r="AX320" s="90"/>
      <c r="AY320" s="90"/>
      <c r="AZ320" s="90"/>
      <c r="BA320" s="90"/>
      <c r="BB320" s="90"/>
      <c r="BC320" s="90"/>
      <c r="BD320" s="90"/>
      <c r="BE320" s="90"/>
      <c r="BF320" s="90"/>
      <c r="BG320" s="90"/>
    </row>
    <row r="321" ht="12.75" customHeight="1" outlineLevel="1">
      <c r="A321" s="316"/>
      <c r="B321" s="67" t="s">
        <v>808</v>
      </c>
      <c r="C321" s="90"/>
      <c r="D321" s="90"/>
      <c r="E321" s="90"/>
      <c r="F321" s="90"/>
      <c r="G321" s="90"/>
      <c r="H321" s="90"/>
      <c r="I321" s="99"/>
      <c r="J321" s="90"/>
      <c r="K321" s="90"/>
      <c r="L321" s="90"/>
      <c r="M321" s="383"/>
      <c r="N321" s="90"/>
      <c r="O321" s="90"/>
      <c r="P321" s="90"/>
      <c r="Q321" s="90"/>
      <c r="R321" s="90"/>
      <c r="S321" s="90"/>
      <c r="T321" s="90"/>
      <c r="U321" s="90"/>
      <c r="V321" s="90"/>
      <c r="W321" s="90"/>
      <c r="X321" s="90"/>
      <c r="Y321" s="90"/>
      <c r="Z321" s="90"/>
      <c r="AA321" s="90"/>
      <c r="AB321" s="90"/>
      <c r="AC321" s="90"/>
      <c r="AD321" s="90"/>
      <c r="AE321" s="90"/>
      <c r="AF321" s="90"/>
      <c r="AG321" s="90"/>
      <c r="AH321" s="90"/>
      <c r="AI321" s="90"/>
      <c r="AJ321" s="90"/>
      <c r="AK321" s="90"/>
      <c r="AL321" s="90"/>
      <c r="AM321" s="90"/>
      <c r="AN321" s="90"/>
      <c r="AO321" s="90"/>
      <c r="AP321" s="90"/>
      <c r="AQ321" s="90"/>
      <c r="AR321" s="90"/>
      <c r="AS321" s="90"/>
      <c r="AT321" s="90"/>
      <c r="AU321" s="90"/>
      <c r="AV321" s="90"/>
      <c r="AW321" s="90"/>
      <c r="AX321" s="90"/>
      <c r="AY321" s="90"/>
      <c r="AZ321" s="90"/>
      <c r="BA321" s="90"/>
      <c r="BB321" s="90"/>
      <c r="BC321" s="90"/>
      <c r="BD321" s="90"/>
      <c r="BE321" s="90"/>
      <c r="BF321" s="90"/>
      <c r="BG321" s="90"/>
    </row>
    <row r="322" ht="12.75" customHeight="1" outlineLevel="1">
      <c r="A322" s="316"/>
      <c r="B322" s="90"/>
      <c r="C322" s="90" t="s">
        <v>809</v>
      </c>
      <c r="D322" s="90"/>
      <c r="E322" s="90"/>
      <c r="F322" s="90"/>
      <c r="G322" s="99"/>
      <c r="H322" s="99"/>
      <c r="I322" s="99" t="str">
        <f>'[4]'!H74+'[4]'!H75</f>
        <v>#REF!</v>
      </c>
      <c r="J322" s="99">
        <f>'FY09 P&amp;L'!B120</f>
        <v>87824.95</v>
      </c>
      <c r="K322" s="99">
        <v>111617.69</v>
      </c>
      <c r="L322" s="99">
        <f t="shared" ref="L322:AV322" si="237">L182*L183</f>
        <v>151200</v>
      </c>
      <c r="M322" s="99">
        <f t="shared" si="237"/>
        <v>151200</v>
      </c>
      <c r="N322" s="99">
        <f t="shared" si="237"/>
        <v>136800</v>
      </c>
      <c r="O322" s="99">
        <f t="shared" si="237"/>
        <v>138168</v>
      </c>
      <c r="P322" s="99">
        <f t="shared" si="237"/>
        <v>110170.8</v>
      </c>
      <c r="Q322" s="99">
        <f t="shared" si="237"/>
        <v>111272.508</v>
      </c>
      <c r="R322" s="99">
        <f t="shared" si="237"/>
        <v>112385.2331</v>
      </c>
      <c r="S322" s="99">
        <f t="shared" si="237"/>
        <v>113509.0854</v>
      </c>
      <c r="T322" s="99">
        <f t="shared" si="237"/>
        <v>114644.1763</v>
      </c>
      <c r="U322" s="99">
        <f t="shared" si="237"/>
        <v>115790.618</v>
      </c>
      <c r="V322" s="99">
        <f t="shared" si="237"/>
        <v>116948.5242</v>
      </c>
      <c r="W322" s="99">
        <f t="shared" si="237"/>
        <v>118118.0094</v>
      </c>
      <c r="X322" s="99">
        <f t="shared" si="237"/>
        <v>119299.1895</v>
      </c>
      <c r="Y322" s="99">
        <f t="shared" si="237"/>
        <v>120492.1814</v>
      </c>
      <c r="Z322" s="99">
        <f t="shared" si="237"/>
        <v>121697.1033</v>
      </c>
      <c r="AA322" s="99">
        <f t="shared" si="237"/>
        <v>122914.0743</v>
      </c>
      <c r="AB322" s="99">
        <f t="shared" si="237"/>
        <v>124143.215</v>
      </c>
      <c r="AC322" s="99">
        <f t="shared" si="237"/>
        <v>125384.6472</v>
      </c>
      <c r="AD322" s="99">
        <f t="shared" si="237"/>
        <v>126638.4937</v>
      </c>
      <c r="AE322" s="99">
        <f t="shared" si="237"/>
        <v>127904.8786</v>
      </c>
      <c r="AF322" s="99">
        <f t="shared" si="237"/>
        <v>129183.9274</v>
      </c>
      <c r="AG322" s="99">
        <f t="shared" si="237"/>
        <v>130475.7666</v>
      </c>
      <c r="AH322" s="99">
        <f t="shared" si="237"/>
        <v>131780.5243</v>
      </c>
      <c r="AI322" s="99">
        <f t="shared" si="237"/>
        <v>133098.3296</v>
      </c>
      <c r="AJ322" s="99">
        <f t="shared" si="237"/>
        <v>134429.3129</v>
      </c>
      <c r="AK322" s="99">
        <f t="shared" si="237"/>
        <v>135773.606</v>
      </c>
      <c r="AL322" s="99">
        <f t="shared" si="237"/>
        <v>137131.342</v>
      </c>
      <c r="AM322" s="99">
        <f t="shared" si="237"/>
        <v>138502.6555</v>
      </c>
      <c r="AN322" s="99">
        <f t="shared" si="237"/>
        <v>139887.682</v>
      </c>
      <c r="AO322" s="99">
        <f t="shared" si="237"/>
        <v>141286.5588</v>
      </c>
      <c r="AP322" s="99">
        <f t="shared" si="237"/>
        <v>142699.4244</v>
      </c>
      <c r="AQ322" s="99">
        <f t="shared" si="237"/>
        <v>144126.4187</v>
      </c>
      <c r="AR322" s="99">
        <f t="shared" si="237"/>
        <v>145567.6829</v>
      </c>
      <c r="AS322" s="99">
        <f t="shared" si="237"/>
        <v>147023.3597</v>
      </c>
      <c r="AT322" s="99">
        <f t="shared" si="237"/>
        <v>148493.5933</v>
      </c>
      <c r="AU322" s="99">
        <f t="shared" si="237"/>
        <v>149978.5292</v>
      </c>
      <c r="AV322" s="99">
        <f t="shared" si="237"/>
        <v>151478.3145</v>
      </c>
      <c r="AW322" s="90"/>
      <c r="AX322" s="90"/>
      <c r="AY322" s="90"/>
      <c r="AZ322" s="90"/>
      <c r="BA322" s="90"/>
      <c r="BB322" s="90"/>
      <c r="BC322" s="90"/>
      <c r="BD322" s="90"/>
      <c r="BE322" s="90"/>
      <c r="BF322" s="90"/>
      <c r="BG322" s="90"/>
    </row>
    <row r="323" ht="12.75" customHeight="1" outlineLevel="1">
      <c r="A323" s="316"/>
      <c r="B323" s="90"/>
      <c r="C323" s="90" t="s">
        <v>731</v>
      </c>
      <c r="D323" s="90"/>
      <c r="E323" s="90"/>
      <c r="F323" s="90"/>
      <c r="G323" s="99"/>
      <c r="H323" s="99"/>
      <c r="I323" s="99" t="str">
        <f>'[4]'!H68</f>
        <v>#REF!</v>
      </c>
      <c r="J323" s="99">
        <f>'FY09 P&amp;L'!B128</f>
        <v>15610.26</v>
      </c>
      <c r="K323" s="99">
        <v>20345.41</v>
      </c>
      <c r="L323" s="99">
        <f t="shared" ref="L323:AV323" si="238">L184*L319</f>
        <v>21174.4</v>
      </c>
      <c r="M323" s="99">
        <f t="shared" si="238"/>
        <v>21597.888</v>
      </c>
      <c r="N323" s="99">
        <f t="shared" si="238"/>
        <v>20082.00888</v>
      </c>
      <c r="O323" s="99">
        <f t="shared" si="238"/>
        <v>20483.64906</v>
      </c>
      <c r="P323" s="99">
        <f t="shared" si="238"/>
        <v>16840.26306</v>
      </c>
      <c r="Q323" s="99">
        <f t="shared" si="238"/>
        <v>17177.06832</v>
      </c>
      <c r="R323" s="99">
        <f t="shared" si="238"/>
        <v>17520.60969</v>
      </c>
      <c r="S323" s="99">
        <f t="shared" si="238"/>
        <v>17871.02188</v>
      </c>
      <c r="T323" s="99">
        <f t="shared" si="238"/>
        <v>18228.44232</v>
      </c>
      <c r="U323" s="99">
        <f t="shared" si="238"/>
        <v>18593.01116</v>
      </c>
      <c r="V323" s="99">
        <f t="shared" si="238"/>
        <v>18964.87139</v>
      </c>
      <c r="W323" s="99">
        <f t="shared" si="238"/>
        <v>19344.16882</v>
      </c>
      <c r="X323" s="99">
        <f t="shared" si="238"/>
        <v>19731.05219</v>
      </c>
      <c r="Y323" s="99">
        <f t="shared" si="238"/>
        <v>20125.67324</v>
      </c>
      <c r="Z323" s="99">
        <f t="shared" si="238"/>
        <v>20528.1867</v>
      </c>
      <c r="AA323" s="99">
        <f t="shared" si="238"/>
        <v>20938.75043</v>
      </c>
      <c r="AB323" s="99">
        <f t="shared" si="238"/>
        <v>21357.52544</v>
      </c>
      <c r="AC323" s="99">
        <f t="shared" si="238"/>
        <v>21784.67595</v>
      </c>
      <c r="AD323" s="99">
        <f t="shared" si="238"/>
        <v>22220.36947</v>
      </c>
      <c r="AE323" s="99">
        <f t="shared" si="238"/>
        <v>22664.77686</v>
      </c>
      <c r="AF323" s="99">
        <f t="shared" si="238"/>
        <v>23118.0724</v>
      </c>
      <c r="AG323" s="99">
        <f t="shared" si="238"/>
        <v>23580.43385</v>
      </c>
      <c r="AH323" s="99">
        <f t="shared" si="238"/>
        <v>24052.04252</v>
      </c>
      <c r="AI323" s="99">
        <f t="shared" si="238"/>
        <v>24533.08337</v>
      </c>
      <c r="AJ323" s="99">
        <f t="shared" si="238"/>
        <v>25023.74504</v>
      </c>
      <c r="AK323" s="99">
        <f t="shared" si="238"/>
        <v>25524.21994</v>
      </c>
      <c r="AL323" s="99">
        <f t="shared" si="238"/>
        <v>26034.70434</v>
      </c>
      <c r="AM323" s="99">
        <f t="shared" si="238"/>
        <v>26555.39843</v>
      </c>
      <c r="AN323" s="99">
        <f t="shared" si="238"/>
        <v>27086.50639</v>
      </c>
      <c r="AO323" s="99">
        <f t="shared" si="238"/>
        <v>27628.23652</v>
      </c>
      <c r="AP323" s="99">
        <f t="shared" si="238"/>
        <v>28180.80125</v>
      </c>
      <c r="AQ323" s="99">
        <f t="shared" si="238"/>
        <v>28744.41728</v>
      </c>
      <c r="AR323" s="99">
        <f t="shared" si="238"/>
        <v>29319.30562</v>
      </c>
      <c r="AS323" s="99">
        <f t="shared" si="238"/>
        <v>29905.69174</v>
      </c>
      <c r="AT323" s="99">
        <f t="shared" si="238"/>
        <v>30503.80557</v>
      </c>
      <c r="AU323" s="99">
        <f t="shared" si="238"/>
        <v>31113.88168</v>
      </c>
      <c r="AV323" s="99">
        <f t="shared" si="238"/>
        <v>31736.15932</v>
      </c>
      <c r="AW323" s="90"/>
      <c r="AX323" s="90"/>
      <c r="AY323" s="90"/>
      <c r="AZ323" s="90"/>
      <c r="BA323" s="90"/>
      <c r="BB323" s="90"/>
      <c r="BC323" s="90"/>
      <c r="BD323" s="90"/>
      <c r="BE323" s="90"/>
      <c r="BF323" s="90"/>
      <c r="BG323" s="90"/>
    </row>
    <row r="324" ht="12.75" customHeight="1" outlineLevel="1">
      <c r="A324" s="316"/>
      <c r="B324" s="90"/>
      <c r="C324" s="90" t="s">
        <v>810</v>
      </c>
      <c r="D324" s="90"/>
      <c r="E324" s="90"/>
      <c r="F324" s="90"/>
      <c r="G324" s="99"/>
      <c r="H324" s="99"/>
      <c r="I324" s="99" t="str">
        <f>'[4]'!H76+'[4]'!H77+'[4]'!H78+'[4]'!H79</f>
        <v>#REF!</v>
      </c>
      <c r="J324" s="99">
        <f>'FY09 P&amp;L'!B124</f>
        <v>4322.58</v>
      </c>
      <c r="K324" s="99">
        <v>3391.8</v>
      </c>
      <c r="L324" s="99">
        <f t="shared" ref="L324:AV324" si="239">L319*L185</f>
        <v>14557.4</v>
      </c>
      <c r="M324" s="99">
        <f t="shared" si="239"/>
        <v>14848.548</v>
      </c>
      <c r="N324" s="99">
        <f t="shared" si="239"/>
        <v>13806.38111</v>
      </c>
      <c r="O324" s="99">
        <f t="shared" si="239"/>
        <v>14082.50873</v>
      </c>
      <c r="P324" s="99">
        <f t="shared" si="239"/>
        <v>11577.68085</v>
      </c>
      <c r="Q324" s="99">
        <f t="shared" si="239"/>
        <v>11809.23447</v>
      </c>
      <c r="R324" s="99">
        <f t="shared" si="239"/>
        <v>12045.41916</v>
      </c>
      <c r="S324" s="99">
        <f t="shared" si="239"/>
        <v>12286.32754</v>
      </c>
      <c r="T324" s="99">
        <f t="shared" si="239"/>
        <v>12532.05409</v>
      </c>
      <c r="U324" s="99">
        <f t="shared" si="239"/>
        <v>12782.69518</v>
      </c>
      <c r="V324" s="99">
        <f t="shared" si="239"/>
        <v>13038.34908</v>
      </c>
      <c r="W324" s="99">
        <f t="shared" si="239"/>
        <v>13299.11606</v>
      </c>
      <c r="X324" s="99">
        <f t="shared" si="239"/>
        <v>13565.09838</v>
      </c>
      <c r="Y324" s="99">
        <f t="shared" si="239"/>
        <v>13836.40035</v>
      </c>
      <c r="Z324" s="99">
        <f t="shared" si="239"/>
        <v>14113.12836</v>
      </c>
      <c r="AA324" s="99">
        <f t="shared" si="239"/>
        <v>14395.39092</v>
      </c>
      <c r="AB324" s="99">
        <f t="shared" si="239"/>
        <v>14683.29874</v>
      </c>
      <c r="AC324" s="99">
        <f t="shared" si="239"/>
        <v>14976.96472</v>
      </c>
      <c r="AD324" s="99">
        <f t="shared" si="239"/>
        <v>15276.50401</v>
      </c>
      <c r="AE324" s="99">
        <f t="shared" si="239"/>
        <v>15582.03409</v>
      </c>
      <c r="AF324" s="99">
        <f t="shared" si="239"/>
        <v>15893.67477</v>
      </c>
      <c r="AG324" s="99">
        <f t="shared" si="239"/>
        <v>16211.54827</v>
      </c>
      <c r="AH324" s="99">
        <f t="shared" si="239"/>
        <v>16535.77923</v>
      </c>
      <c r="AI324" s="99">
        <f t="shared" si="239"/>
        <v>16866.49482</v>
      </c>
      <c r="AJ324" s="99">
        <f t="shared" si="239"/>
        <v>17203.82471</v>
      </c>
      <c r="AK324" s="99">
        <f t="shared" si="239"/>
        <v>17547.90121</v>
      </c>
      <c r="AL324" s="99">
        <f t="shared" si="239"/>
        <v>17898.85923</v>
      </c>
      <c r="AM324" s="99">
        <f t="shared" si="239"/>
        <v>18256.83642</v>
      </c>
      <c r="AN324" s="99">
        <f t="shared" si="239"/>
        <v>18621.97315</v>
      </c>
      <c r="AO324" s="99">
        <f t="shared" si="239"/>
        <v>18994.41261</v>
      </c>
      <c r="AP324" s="99">
        <f t="shared" si="239"/>
        <v>19374.30086</v>
      </c>
      <c r="AQ324" s="99">
        <f t="shared" si="239"/>
        <v>19761.78688</v>
      </c>
      <c r="AR324" s="99">
        <f t="shared" si="239"/>
        <v>20157.02262</v>
      </c>
      <c r="AS324" s="99">
        <f t="shared" si="239"/>
        <v>20560.16307</v>
      </c>
      <c r="AT324" s="99">
        <f t="shared" si="239"/>
        <v>20971.36633</v>
      </c>
      <c r="AU324" s="99">
        <f t="shared" si="239"/>
        <v>21390.79366</v>
      </c>
      <c r="AV324" s="99">
        <f t="shared" si="239"/>
        <v>21818.60953</v>
      </c>
      <c r="AW324" s="90"/>
      <c r="AX324" s="90"/>
      <c r="AY324" s="90"/>
      <c r="AZ324" s="90"/>
      <c r="BA324" s="90"/>
      <c r="BB324" s="90"/>
      <c r="BC324" s="90"/>
      <c r="BD324" s="90"/>
      <c r="BE324" s="90"/>
      <c r="BF324" s="90"/>
      <c r="BG324" s="90"/>
    </row>
    <row r="325" ht="12.75" customHeight="1" outlineLevel="1">
      <c r="A325" s="316"/>
      <c r="B325" s="90"/>
      <c r="C325" s="90" t="s">
        <v>733</v>
      </c>
      <c r="D325" s="90"/>
      <c r="E325" s="90"/>
      <c r="F325" s="90"/>
      <c r="G325" s="99"/>
      <c r="H325" s="99"/>
      <c r="I325" s="99">
        <v>0.0</v>
      </c>
      <c r="J325" s="99">
        <f>'FY09 P&amp;L'!B116</f>
        <v>23248.68</v>
      </c>
      <c r="K325" s="99">
        <v>30350.59</v>
      </c>
      <c r="L325" s="99">
        <f t="shared" ref="L325:AV325" si="240">L319*L186</f>
        <v>19189.3</v>
      </c>
      <c r="M325" s="99">
        <f t="shared" si="240"/>
        <v>19573.086</v>
      </c>
      <c r="N325" s="99">
        <f t="shared" si="240"/>
        <v>18199.32055</v>
      </c>
      <c r="O325" s="99">
        <f t="shared" si="240"/>
        <v>18563.30696</v>
      </c>
      <c r="P325" s="99">
        <f t="shared" si="240"/>
        <v>15261.4884</v>
      </c>
      <c r="Q325" s="99">
        <f t="shared" si="240"/>
        <v>15566.71817</v>
      </c>
      <c r="R325" s="99">
        <f t="shared" si="240"/>
        <v>15878.05253</v>
      </c>
      <c r="S325" s="99">
        <f t="shared" si="240"/>
        <v>16195.61358</v>
      </c>
      <c r="T325" s="99">
        <f t="shared" si="240"/>
        <v>16519.52585</v>
      </c>
      <c r="U325" s="99">
        <f t="shared" si="240"/>
        <v>16849.91637</v>
      </c>
      <c r="V325" s="99">
        <f t="shared" si="240"/>
        <v>17186.91469</v>
      </c>
      <c r="W325" s="99">
        <f t="shared" si="240"/>
        <v>17530.65299</v>
      </c>
      <c r="X325" s="99">
        <f t="shared" si="240"/>
        <v>17881.26605</v>
      </c>
      <c r="Y325" s="99">
        <f t="shared" si="240"/>
        <v>18238.89137</v>
      </c>
      <c r="Z325" s="99">
        <f t="shared" si="240"/>
        <v>18603.6692</v>
      </c>
      <c r="AA325" s="99">
        <f t="shared" si="240"/>
        <v>18975.74258</v>
      </c>
      <c r="AB325" s="99">
        <f t="shared" si="240"/>
        <v>19355.25743</v>
      </c>
      <c r="AC325" s="99">
        <f t="shared" si="240"/>
        <v>19742.36258</v>
      </c>
      <c r="AD325" s="99">
        <f t="shared" si="240"/>
        <v>20137.20983</v>
      </c>
      <c r="AE325" s="99">
        <f t="shared" si="240"/>
        <v>20539.95403</v>
      </c>
      <c r="AF325" s="99">
        <f t="shared" si="240"/>
        <v>20950.75311</v>
      </c>
      <c r="AG325" s="99">
        <f t="shared" si="240"/>
        <v>21369.76817</v>
      </c>
      <c r="AH325" s="99">
        <f t="shared" si="240"/>
        <v>21797.16354</v>
      </c>
      <c r="AI325" s="99">
        <f t="shared" si="240"/>
        <v>22233.10681</v>
      </c>
      <c r="AJ325" s="99">
        <f t="shared" si="240"/>
        <v>22677.76894</v>
      </c>
      <c r="AK325" s="99">
        <f t="shared" si="240"/>
        <v>23131.32432</v>
      </c>
      <c r="AL325" s="99">
        <f t="shared" si="240"/>
        <v>23593.95081</v>
      </c>
      <c r="AM325" s="99">
        <f t="shared" si="240"/>
        <v>24065.82982</v>
      </c>
      <c r="AN325" s="99">
        <f t="shared" si="240"/>
        <v>24547.14642</v>
      </c>
      <c r="AO325" s="99">
        <f t="shared" si="240"/>
        <v>25038.08935</v>
      </c>
      <c r="AP325" s="99">
        <f t="shared" si="240"/>
        <v>25538.85114</v>
      </c>
      <c r="AQ325" s="99">
        <f t="shared" si="240"/>
        <v>26049.62816</v>
      </c>
      <c r="AR325" s="99">
        <f t="shared" si="240"/>
        <v>26570.62072</v>
      </c>
      <c r="AS325" s="99">
        <f t="shared" si="240"/>
        <v>27102.03314</v>
      </c>
      <c r="AT325" s="99">
        <f t="shared" si="240"/>
        <v>27644.0738</v>
      </c>
      <c r="AU325" s="99">
        <f t="shared" si="240"/>
        <v>28196.95527</v>
      </c>
      <c r="AV325" s="99">
        <f t="shared" si="240"/>
        <v>28760.89438</v>
      </c>
      <c r="AW325" s="90"/>
      <c r="AX325" s="90"/>
      <c r="AY325" s="90"/>
      <c r="AZ325" s="90"/>
      <c r="BA325" s="90"/>
      <c r="BB325" s="90"/>
      <c r="BC325" s="90"/>
      <c r="BD325" s="90"/>
      <c r="BE325" s="90"/>
      <c r="BF325" s="90"/>
      <c r="BG325" s="90"/>
    </row>
    <row r="326" ht="12.75" customHeight="1" outlineLevel="1">
      <c r="A326" s="316"/>
      <c r="B326" s="90"/>
      <c r="C326" s="90" t="s">
        <v>734</v>
      </c>
      <c r="D326" s="90"/>
      <c r="E326" s="90"/>
      <c r="F326" s="90"/>
      <c r="G326" s="99"/>
      <c r="H326" s="99"/>
      <c r="I326" s="99" t="str">
        <f>'[4]'!G63</f>
        <v>#REF!</v>
      </c>
      <c r="J326" s="99">
        <f>'FY09 P&amp;L'!B112</f>
        <v>62208.8</v>
      </c>
      <c r="K326" s="99">
        <v>75465.93</v>
      </c>
      <c r="L326" s="99">
        <f t="shared" ref="L326:AV326" si="241">L187*(L319-L315-L311*0.1)</f>
        <v>95378.25</v>
      </c>
      <c r="M326" s="99">
        <f t="shared" si="241"/>
        <v>97285.815</v>
      </c>
      <c r="N326" s="99">
        <f t="shared" si="241"/>
        <v>89187.99739</v>
      </c>
      <c r="O326" s="99">
        <f t="shared" si="241"/>
        <v>90971.75734</v>
      </c>
      <c r="P326" s="99">
        <f t="shared" si="241"/>
        <v>71892.60712</v>
      </c>
      <c r="Q326" s="99">
        <f t="shared" si="241"/>
        <v>73330.45926</v>
      </c>
      <c r="R326" s="99">
        <f t="shared" si="241"/>
        <v>74797.06844</v>
      </c>
      <c r="S326" s="99">
        <f t="shared" si="241"/>
        <v>76293.00981</v>
      </c>
      <c r="T326" s="99">
        <f t="shared" si="241"/>
        <v>77818.87001</v>
      </c>
      <c r="U326" s="99">
        <f t="shared" si="241"/>
        <v>79375.24741</v>
      </c>
      <c r="V326" s="99">
        <f t="shared" si="241"/>
        <v>80962.75236</v>
      </c>
      <c r="W326" s="99">
        <f t="shared" si="241"/>
        <v>82582.00741</v>
      </c>
      <c r="X326" s="99">
        <f t="shared" si="241"/>
        <v>84233.64755</v>
      </c>
      <c r="Y326" s="99">
        <f t="shared" si="241"/>
        <v>85918.3205</v>
      </c>
      <c r="Z326" s="99">
        <f t="shared" si="241"/>
        <v>87636.68691</v>
      </c>
      <c r="AA326" s="99">
        <f t="shared" si="241"/>
        <v>89389.42065</v>
      </c>
      <c r="AB326" s="99">
        <f t="shared" si="241"/>
        <v>91177.20907</v>
      </c>
      <c r="AC326" s="99">
        <f t="shared" si="241"/>
        <v>93000.75325</v>
      </c>
      <c r="AD326" s="99">
        <f t="shared" si="241"/>
        <v>94860.76831</v>
      </c>
      <c r="AE326" s="99">
        <f t="shared" si="241"/>
        <v>96757.98368</v>
      </c>
      <c r="AF326" s="99">
        <f t="shared" si="241"/>
        <v>98693.14335</v>
      </c>
      <c r="AG326" s="99">
        <f t="shared" si="241"/>
        <v>100667.0062</v>
      </c>
      <c r="AH326" s="99">
        <f t="shared" si="241"/>
        <v>102680.3463</v>
      </c>
      <c r="AI326" s="99">
        <f t="shared" si="241"/>
        <v>104733.9533</v>
      </c>
      <c r="AJ326" s="99">
        <f t="shared" si="241"/>
        <v>106828.6323</v>
      </c>
      <c r="AK326" s="99">
        <f t="shared" si="241"/>
        <v>108965.205</v>
      </c>
      <c r="AL326" s="99">
        <f t="shared" si="241"/>
        <v>111144.5091</v>
      </c>
      <c r="AM326" s="99">
        <f t="shared" si="241"/>
        <v>113367.3993</v>
      </c>
      <c r="AN326" s="99">
        <f t="shared" si="241"/>
        <v>115634.7472</v>
      </c>
      <c r="AO326" s="99">
        <f t="shared" si="241"/>
        <v>117947.4422</v>
      </c>
      <c r="AP326" s="99">
        <f t="shared" si="241"/>
        <v>120306.391</v>
      </c>
      <c r="AQ326" s="99">
        <f t="shared" si="241"/>
        <v>122712.5189</v>
      </c>
      <c r="AR326" s="99">
        <f t="shared" si="241"/>
        <v>125166.7692</v>
      </c>
      <c r="AS326" s="99">
        <f t="shared" si="241"/>
        <v>127670.1046</v>
      </c>
      <c r="AT326" s="99">
        <f t="shared" si="241"/>
        <v>130223.5067</v>
      </c>
      <c r="AU326" s="99">
        <f t="shared" si="241"/>
        <v>132827.9768</v>
      </c>
      <c r="AV326" s="99">
        <f t="shared" si="241"/>
        <v>135484.5364</v>
      </c>
      <c r="AW326" s="90"/>
      <c r="AX326" s="90"/>
      <c r="AY326" s="90"/>
      <c r="AZ326" s="90"/>
      <c r="BA326" s="90"/>
      <c r="BB326" s="90"/>
      <c r="BC326" s="90"/>
      <c r="BD326" s="90"/>
      <c r="BE326" s="90"/>
      <c r="BF326" s="90"/>
      <c r="BG326" s="90"/>
    </row>
    <row r="327" ht="12.75" customHeight="1" outlineLevel="1">
      <c r="A327" s="316"/>
      <c r="B327" s="90"/>
      <c r="C327" s="90" t="s">
        <v>735</v>
      </c>
      <c r="D327" s="90"/>
      <c r="E327" s="90"/>
      <c r="F327" s="90"/>
      <c r="G327" s="99"/>
      <c r="H327" s="99"/>
      <c r="I327" s="99">
        <v>0.0</v>
      </c>
      <c r="J327" s="99"/>
      <c r="K327" s="99">
        <v>0.0</v>
      </c>
      <c r="L327" s="99">
        <f t="shared" ref="L327:AV327" si="242">(L315+L311*0.1)*L188</f>
        <v>17064.6</v>
      </c>
      <c r="M327" s="99">
        <f t="shared" si="242"/>
        <v>17405.892</v>
      </c>
      <c r="N327" s="99">
        <f t="shared" si="242"/>
        <v>17754.00984</v>
      </c>
      <c r="O327" s="99">
        <f t="shared" si="242"/>
        <v>18109.09004</v>
      </c>
      <c r="P327" s="99">
        <f t="shared" si="242"/>
        <v>18471.27184</v>
      </c>
      <c r="Q327" s="99">
        <f t="shared" si="242"/>
        <v>18840.69727</v>
      </c>
      <c r="R327" s="99">
        <f t="shared" si="242"/>
        <v>19217.51122</v>
      </c>
      <c r="S327" s="99">
        <f t="shared" si="242"/>
        <v>19601.86144</v>
      </c>
      <c r="T327" s="99">
        <f t="shared" si="242"/>
        <v>19993.89867</v>
      </c>
      <c r="U327" s="99">
        <f t="shared" si="242"/>
        <v>20393.77665</v>
      </c>
      <c r="V327" s="99">
        <f t="shared" si="242"/>
        <v>20801.65218</v>
      </c>
      <c r="W327" s="99">
        <f t="shared" si="242"/>
        <v>21217.68522</v>
      </c>
      <c r="X327" s="99">
        <f t="shared" si="242"/>
        <v>21642.03893</v>
      </c>
      <c r="Y327" s="99">
        <f t="shared" si="242"/>
        <v>22074.87971</v>
      </c>
      <c r="Z327" s="99">
        <f t="shared" si="242"/>
        <v>22516.3773</v>
      </c>
      <c r="AA327" s="99">
        <f t="shared" si="242"/>
        <v>22966.70485</v>
      </c>
      <c r="AB327" s="99">
        <f t="shared" si="242"/>
        <v>23426.03894</v>
      </c>
      <c r="AC327" s="99">
        <f t="shared" si="242"/>
        <v>23894.55972</v>
      </c>
      <c r="AD327" s="99">
        <f t="shared" si="242"/>
        <v>24372.45092</v>
      </c>
      <c r="AE327" s="99">
        <f t="shared" si="242"/>
        <v>24859.89993</v>
      </c>
      <c r="AF327" s="99">
        <f t="shared" si="242"/>
        <v>25357.09793</v>
      </c>
      <c r="AG327" s="99">
        <f t="shared" si="242"/>
        <v>25864.23989</v>
      </c>
      <c r="AH327" s="99">
        <f t="shared" si="242"/>
        <v>26381.52469</v>
      </c>
      <c r="AI327" s="99">
        <f t="shared" si="242"/>
        <v>26909.15518</v>
      </c>
      <c r="AJ327" s="99">
        <f t="shared" si="242"/>
        <v>27447.33829</v>
      </c>
      <c r="AK327" s="99">
        <f t="shared" si="242"/>
        <v>27996.28505</v>
      </c>
      <c r="AL327" s="99">
        <f t="shared" si="242"/>
        <v>28556.21075</v>
      </c>
      <c r="AM327" s="99">
        <f t="shared" si="242"/>
        <v>29127.33497</v>
      </c>
      <c r="AN327" s="99">
        <f t="shared" si="242"/>
        <v>29709.88167</v>
      </c>
      <c r="AO327" s="99">
        <f t="shared" si="242"/>
        <v>30304.0793</v>
      </c>
      <c r="AP327" s="99">
        <f t="shared" si="242"/>
        <v>30910.16089</v>
      </c>
      <c r="AQ327" s="99">
        <f t="shared" si="242"/>
        <v>31528.36411</v>
      </c>
      <c r="AR327" s="99">
        <f t="shared" si="242"/>
        <v>32158.93139</v>
      </c>
      <c r="AS327" s="99">
        <f t="shared" si="242"/>
        <v>32802.11002</v>
      </c>
      <c r="AT327" s="99">
        <f t="shared" si="242"/>
        <v>33458.15222</v>
      </c>
      <c r="AU327" s="99">
        <f t="shared" si="242"/>
        <v>34127.31526</v>
      </c>
      <c r="AV327" s="99">
        <f t="shared" si="242"/>
        <v>34809.86157</v>
      </c>
      <c r="AW327" s="90"/>
      <c r="AX327" s="90"/>
      <c r="AY327" s="90"/>
      <c r="AZ327" s="90"/>
      <c r="BA327" s="90"/>
      <c r="BB327" s="90"/>
      <c r="BC327" s="90"/>
      <c r="BD327" s="90"/>
      <c r="BE327" s="90"/>
      <c r="BF327" s="90"/>
      <c r="BG327" s="90"/>
    </row>
    <row r="328" ht="12.75" customHeight="1" outlineLevel="1">
      <c r="A328" s="316"/>
      <c r="B328" s="90"/>
      <c r="C328" s="90" t="s">
        <v>736</v>
      </c>
      <c r="D328" s="90"/>
      <c r="E328" s="90"/>
      <c r="F328" s="90"/>
      <c r="G328" s="99"/>
      <c r="H328" s="99"/>
      <c r="I328" s="99" t="str">
        <f>'[4]'!G72-'[4]'!G68</f>
        <v>#REF!</v>
      </c>
      <c r="J328" s="99">
        <f>'FY09 P&amp;L'!B130</f>
        <v>11153.18</v>
      </c>
      <c r="K328" s="99">
        <v>0.0</v>
      </c>
      <c r="L328" s="99" t="str">
        <f t="shared" ref="L328:AV328" si="243">K328*L$319/K$319</f>
        <v>#REF!</v>
      </c>
      <c r="M328" s="99" t="str">
        <f t="shared" si="243"/>
        <v>#REF!</v>
      </c>
      <c r="N328" s="99" t="str">
        <f t="shared" si="243"/>
        <v>#REF!</v>
      </c>
      <c r="O328" s="99" t="str">
        <f t="shared" si="243"/>
        <v>#REF!</v>
      </c>
      <c r="P328" s="99" t="str">
        <f t="shared" si="243"/>
        <v>#REF!</v>
      </c>
      <c r="Q328" s="99" t="str">
        <f t="shared" si="243"/>
        <v>#REF!</v>
      </c>
      <c r="R328" s="99" t="str">
        <f t="shared" si="243"/>
        <v>#REF!</v>
      </c>
      <c r="S328" s="99" t="str">
        <f t="shared" si="243"/>
        <v>#REF!</v>
      </c>
      <c r="T328" s="99" t="str">
        <f t="shared" si="243"/>
        <v>#REF!</v>
      </c>
      <c r="U328" s="99" t="str">
        <f t="shared" si="243"/>
        <v>#REF!</v>
      </c>
      <c r="V328" s="99" t="str">
        <f t="shared" si="243"/>
        <v>#REF!</v>
      </c>
      <c r="W328" s="99" t="str">
        <f t="shared" si="243"/>
        <v>#REF!</v>
      </c>
      <c r="X328" s="99" t="str">
        <f t="shared" si="243"/>
        <v>#REF!</v>
      </c>
      <c r="Y328" s="99" t="str">
        <f t="shared" si="243"/>
        <v>#REF!</v>
      </c>
      <c r="Z328" s="99" t="str">
        <f t="shared" si="243"/>
        <v>#REF!</v>
      </c>
      <c r="AA328" s="99" t="str">
        <f t="shared" si="243"/>
        <v>#REF!</v>
      </c>
      <c r="AB328" s="99" t="str">
        <f t="shared" si="243"/>
        <v>#REF!</v>
      </c>
      <c r="AC328" s="99" t="str">
        <f t="shared" si="243"/>
        <v>#REF!</v>
      </c>
      <c r="AD328" s="99" t="str">
        <f t="shared" si="243"/>
        <v>#REF!</v>
      </c>
      <c r="AE328" s="99" t="str">
        <f t="shared" si="243"/>
        <v>#REF!</v>
      </c>
      <c r="AF328" s="99" t="str">
        <f t="shared" si="243"/>
        <v>#REF!</v>
      </c>
      <c r="AG328" s="99" t="str">
        <f t="shared" si="243"/>
        <v>#REF!</v>
      </c>
      <c r="AH328" s="99" t="str">
        <f t="shared" si="243"/>
        <v>#REF!</v>
      </c>
      <c r="AI328" s="99" t="str">
        <f t="shared" si="243"/>
        <v>#REF!</v>
      </c>
      <c r="AJ328" s="99" t="str">
        <f t="shared" si="243"/>
        <v>#REF!</v>
      </c>
      <c r="AK328" s="99" t="str">
        <f t="shared" si="243"/>
        <v>#REF!</v>
      </c>
      <c r="AL328" s="99" t="str">
        <f t="shared" si="243"/>
        <v>#REF!</v>
      </c>
      <c r="AM328" s="99" t="str">
        <f t="shared" si="243"/>
        <v>#REF!</v>
      </c>
      <c r="AN328" s="99" t="str">
        <f t="shared" si="243"/>
        <v>#REF!</v>
      </c>
      <c r="AO328" s="99" t="str">
        <f t="shared" si="243"/>
        <v>#REF!</v>
      </c>
      <c r="AP328" s="99" t="str">
        <f t="shared" si="243"/>
        <v>#REF!</v>
      </c>
      <c r="AQ328" s="99" t="str">
        <f t="shared" si="243"/>
        <v>#REF!</v>
      </c>
      <c r="AR328" s="99" t="str">
        <f t="shared" si="243"/>
        <v>#REF!</v>
      </c>
      <c r="AS328" s="99" t="str">
        <f t="shared" si="243"/>
        <v>#REF!</v>
      </c>
      <c r="AT328" s="99" t="str">
        <f t="shared" si="243"/>
        <v>#REF!</v>
      </c>
      <c r="AU328" s="99" t="str">
        <f t="shared" si="243"/>
        <v>#REF!</v>
      </c>
      <c r="AV328" s="99" t="str">
        <f t="shared" si="243"/>
        <v>#REF!</v>
      </c>
      <c r="AW328" s="90"/>
      <c r="AX328" s="90"/>
      <c r="AY328" s="90"/>
      <c r="AZ328" s="90"/>
      <c r="BA328" s="90"/>
      <c r="BB328" s="90"/>
      <c r="BC328" s="90"/>
      <c r="BD328" s="90"/>
      <c r="BE328" s="90"/>
      <c r="BF328" s="90"/>
      <c r="BG328" s="90"/>
    </row>
    <row r="329" ht="12.75" customHeight="1" outlineLevel="1">
      <c r="A329" s="316"/>
      <c r="B329" s="87"/>
      <c r="C329" s="87" t="s">
        <v>737</v>
      </c>
      <c r="D329" s="87"/>
      <c r="E329" s="87"/>
      <c r="F329" s="87"/>
      <c r="G329" s="125"/>
      <c r="H329" s="125"/>
      <c r="I329" s="125">
        <v>0.0</v>
      </c>
      <c r="J329" s="125">
        <v>0.0</v>
      </c>
      <c r="K329" s="125">
        <v>0.0</v>
      </c>
      <c r="L329" s="125" t="str">
        <f t="shared" ref="L329:AV329" si="244">K329*L$319/K$319</f>
        <v>#REF!</v>
      </c>
      <c r="M329" s="125" t="str">
        <f t="shared" si="244"/>
        <v>#REF!</v>
      </c>
      <c r="N329" s="125" t="str">
        <f t="shared" si="244"/>
        <v>#REF!</v>
      </c>
      <c r="O329" s="125" t="str">
        <f t="shared" si="244"/>
        <v>#REF!</v>
      </c>
      <c r="P329" s="125" t="str">
        <f t="shared" si="244"/>
        <v>#REF!</v>
      </c>
      <c r="Q329" s="125" t="str">
        <f t="shared" si="244"/>
        <v>#REF!</v>
      </c>
      <c r="R329" s="125" t="str">
        <f t="shared" si="244"/>
        <v>#REF!</v>
      </c>
      <c r="S329" s="125" t="str">
        <f t="shared" si="244"/>
        <v>#REF!</v>
      </c>
      <c r="T329" s="125" t="str">
        <f t="shared" si="244"/>
        <v>#REF!</v>
      </c>
      <c r="U329" s="125" t="str">
        <f t="shared" si="244"/>
        <v>#REF!</v>
      </c>
      <c r="V329" s="125" t="str">
        <f t="shared" si="244"/>
        <v>#REF!</v>
      </c>
      <c r="W329" s="125" t="str">
        <f t="shared" si="244"/>
        <v>#REF!</v>
      </c>
      <c r="X329" s="125" t="str">
        <f t="shared" si="244"/>
        <v>#REF!</v>
      </c>
      <c r="Y329" s="125" t="str">
        <f t="shared" si="244"/>
        <v>#REF!</v>
      </c>
      <c r="Z329" s="125" t="str">
        <f t="shared" si="244"/>
        <v>#REF!</v>
      </c>
      <c r="AA329" s="125" t="str">
        <f t="shared" si="244"/>
        <v>#REF!</v>
      </c>
      <c r="AB329" s="125" t="str">
        <f t="shared" si="244"/>
        <v>#REF!</v>
      </c>
      <c r="AC329" s="125" t="str">
        <f t="shared" si="244"/>
        <v>#REF!</v>
      </c>
      <c r="AD329" s="125" t="str">
        <f t="shared" si="244"/>
        <v>#REF!</v>
      </c>
      <c r="AE329" s="125" t="str">
        <f t="shared" si="244"/>
        <v>#REF!</v>
      </c>
      <c r="AF329" s="125" t="str">
        <f t="shared" si="244"/>
        <v>#REF!</v>
      </c>
      <c r="AG329" s="125" t="str">
        <f t="shared" si="244"/>
        <v>#REF!</v>
      </c>
      <c r="AH329" s="125" t="str">
        <f t="shared" si="244"/>
        <v>#REF!</v>
      </c>
      <c r="AI329" s="125" t="str">
        <f t="shared" si="244"/>
        <v>#REF!</v>
      </c>
      <c r="AJ329" s="125" t="str">
        <f t="shared" si="244"/>
        <v>#REF!</v>
      </c>
      <c r="AK329" s="125" t="str">
        <f t="shared" si="244"/>
        <v>#REF!</v>
      </c>
      <c r="AL329" s="125" t="str">
        <f t="shared" si="244"/>
        <v>#REF!</v>
      </c>
      <c r="AM329" s="125" t="str">
        <f t="shared" si="244"/>
        <v>#REF!</v>
      </c>
      <c r="AN329" s="125" t="str">
        <f t="shared" si="244"/>
        <v>#REF!</v>
      </c>
      <c r="AO329" s="125" t="str">
        <f t="shared" si="244"/>
        <v>#REF!</v>
      </c>
      <c r="AP329" s="125" t="str">
        <f t="shared" si="244"/>
        <v>#REF!</v>
      </c>
      <c r="AQ329" s="125" t="str">
        <f t="shared" si="244"/>
        <v>#REF!</v>
      </c>
      <c r="AR329" s="125" t="str">
        <f t="shared" si="244"/>
        <v>#REF!</v>
      </c>
      <c r="AS329" s="125" t="str">
        <f t="shared" si="244"/>
        <v>#REF!</v>
      </c>
      <c r="AT329" s="125" t="str">
        <f t="shared" si="244"/>
        <v>#REF!</v>
      </c>
      <c r="AU329" s="125" t="str">
        <f t="shared" si="244"/>
        <v>#REF!</v>
      </c>
      <c r="AV329" s="125" t="str">
        <f t="shared" si="244"/>
        <v>#REF!</v>
      </c>
      <c r="AW329" s="87"/>
      <c r="AX329" s="90"/>
      <c r="AY329" s="90"/>
      <c r="AZ329" s="90"/>
      <c r="BA329" s="90"/>
      <c r="BB329" s="90"/>
      <c r="BC329" s="90"/>
      <c r="BD329" s="90"/>
      <c r="BE329" s="90"/>
      <c r="BF329" s="90"/>
      <c r="BG329" s="90"/>
    </row>
    <row r="330" ht="12.75" customHeight="1" outlineLevel="1">
      <c r="A330" s="316"/>
      <c r="B330" s="67" t="s">
        <v>313</v>
      </c>
      <c r="C330" s="90"/>
      <c r="D330" s="90"/>
      <c r="E330" s="90"/>
      <c r="F330" s="90"/>
      <c r="G330" s="79"/>
      <c r="H330" s="79"/>
      <c r="I330" s="546" t="str">
        <f t="shared" ref="I330:AV330" si="245">SUM(I322:I329)</f>
        <v>#REF!</v>
      </c>
      <c r="J330" s="79">
        <f t="shared" si="245"/>
        <v>204368.45</v>
      </c>
      <c r="K330" s="79">
        <f t="shared" si="245"/>
        <v>241171.42</v>
      </c>
      <c r="L330" s="79" t="str">
        <f t="shared" si="245"/>
        <v>#REF!</v>
      </c>
      <c r="M330" s="79" t="str">
        <f t="shared" si="245"/>
        <v>#REF!</v>
      </c>
      <c r="N330" s="79" t="str">
        <f t="shared" si="245"/>
        <v>#REF!</v>
      </c>
      <c r="O330" s="79" t="str">
        <f t="shared" si="245"/>
        <v>#REF!</v>
      </c>
      <c r="P330" s="79" t="str">
        <f t="shared" si="245"/>
        <v>#REF!</v>
      </c>
      <c r="Q330" s="79" t="str">
        <f t="shared" si="245"/>
        <v>#REF!</v>
      </c>
      <c r="R330" s="79" t="str">
        <f t="shared" si="245"/>
        <v>#REF!</v>
      </c>
      <c r="S330" s="79" t="str">
        <f t="shared" si="245"/>
        <v>#REF!</v>
      </c>
      <c r="T330" s="79" t="str">
        <f t="shared" si="245"/>
        <v>#REF!</v>
      </c>
      <c r="U330" s="79" t="str">
        <f t="shared" si="245"/>
        <v>#REF!</v>
      </c>
      <c r="V330" s="79" t="str">
        <f t="shared" si="245"/>
        <v>#REF!</v>
      </c>
      <c r="W330" s="79" t="str">
        <f t="shared" si="245"/>
        <v>#REF!</v>
      </c>
      <c r="X330" s="79" t="str">
        <f t="shared" si="245"/>
        <v>#REF!</v>
      </c>
      <c r="Y330" s="79" t="str">
        <f t="shared" si="245"/>
        <v>#REF!</v>
      </c>
      <c r="Z330" s="79" t="str">
        <f t="shared" si="245"/>
        <v>#REF!</v>
      </c>
      <c r="AA330" s="79" t="str">
        <f t="shared" si="245"/>
        <v>#REF!</v>
      </c>
      <c r="AB330" s="79" t="str">
        <f t="shared" si="245"/>
        <v>#REF!</v>
      </c>
      <c r="AC330" s="79" t="str">
        <f t="shared" si="245"/>
        <v>#REF!</v>
      </c>
      <c r="AD330" s="79" t="str">
        <f t="shared" si="245"/>
        <v>#REF!</v>
      </c>
      <c r="AE330" s="79" t="str">
        <f t="shared" si="245"/>
        <v>#REF!</v>
      </c>
      <c r="AF330" s="79" t="str">
        <f t="shared" si="245"/>
        <v>#REF!</v>
      </c>
      <c r="AG330" s="79" t="str">
        <f t="shared" si="245"/>
        <v>#REF!</v>
      </c>
      <c r="AH330" s="79" t="str">
        <f t="shared" si="245"/>
        <v>#REF!</v>
      </c>
      <c r="AI330" s="79" t="str">
        <f t="shared" si="245"/>
        <v>#REF!</v>
      </c>
      <c r="AJ330" s="79" t="str">
        <f t="shared" si="245"/>
        <v>#REF!</v>
      </c>
      <c r="AK330" s="79" t="str">
        <f t="shared" si="245"/>
        <v>#REF!</v>
      </c>
      <c r="AL330" s="79" t="str">
        <f t="shared" si="245"/>
        <v>#REF!</v>
      </c>
      <c r="AM330" s="79" t="str">
        <f t="shared" si="245"/>
        <v>#REF!</v>
      </c>
      <c r="AN330" s="79" t="str">
        <f t="shared" si="245"/>
        <v>#REF!</v>
      </c>
      <c r="AO330" s="79" t="str">
        <f t="shared" si="245"/>
        <v>#REF!</v>
      </c>
      <c r="AP330" s="79" t="str">
        <f t="shared" si="245"/>
        <v>#REF!</v>
      </c>
      <c r="AQ330" s="79" t="str">
        <f t="shared" si="245"/>
        <v>#REF!</v>
      </c>
      <c r="AR330" s="79" t="str">
        <f t="shared" si="245"/>
        <v>#REF!</v>
      </c>
      <c r="AS330" s="79" t="str">
        <f t="shared" si="245"/>
        <v>#REF!</v>
      </c>
      <c r="AT330" s="79" t="str">
        <f t="shared" si="245"/>
        <v>#REF!</v>
      </c>
      <c r="AU330" s="79" t="str">
        <f t="shared" si="245"/>
        <v>#REF!</v>
      </c>
      <c r="AV330" s="79" t="str">
        <f t="shared" si="245"/>
        <v>#REF!</v>
      </c>
      <c r="AW330" s="90"/>
      <c r="AX330" s="90"/>
      <c r="AY330" s="90"/>
      <c r="AZ330" s="90"/>
      <c r="BA330" s="90"/>
      <c r="BB330" s="90"/>
      <c r="BC330" s="90"/>
      <c r="BD330" s="90"/>
      <c r="BE330" s="90"/>
      <c r="BF330" s="90"/>
      <c r="BG330" s="90"/>
    </row>
    <row r="331" ht="12.75" customHeight="1" outlineLevel="1">
      <c r="A331" s="316"/>
      <c r="B331" s="90"/>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c r="AF331" s="90"/>
      <c r="AG331" s="90"/>
      <c r="AH331" s="90"/>
      <c r="AI331" s="90"/>
      <c r="AJ331" s="90"/>
      <c r="AK331" s="90"/>
      <c r="AL331" s="90"/>
      <c r="AM331" s="90"/>
      <c r="AN331" s="90"/>
      <c r="AO331" s="90"/>
      <c r="AP331" s="90"/>
      <c r="AQ331" s="90"/>
      <c r="AR331" s="90"/>
      <c r="AS331" s="90"/>
      <c r="AT331" s="90"/>
      <c r="AU331" s="90"/>
      <c r="AV331" s="90"/>
      <c r="AW331" s="90"/>
      <c r="AX331" s="90"/>
      <c r="AY331" s="90"/>
      <c r="AZ331" s="90"/>
      <c r="BA331" s="90"/>
      <c r="BB331" s="90"/>
      <c r="BC331" s="90"/>
      <c r="BD331" s="90"/>
      <c r="BE331" s="90"/>
      <c r="BF331" s="90"/>
      <c r="BG331" s="90"/>
    </row>
    <row r="332" ht="12.75" customHeight="1" outlineLevel="1">
      <c r="A332" s="316"/>
      <c r="B332" s="67" t="s">
        <v>811</v>
      </c>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c r="AA332" s="90"/>
      <c r="AB332" s="90"/>
      <c r="AC332" s="90"/>
      <c r="AD332" s="90"/>
      <c r="AE332" s="90"/>
      <c r="AF332" s="90"/>
      <c r="AG332" s="90"/>
      <c r="AH332" s="90"/>
      <c r="AI332" s="90"/>
      <c r="AJ332" s="90"/>
      <c r="AK332" s="90"/>
      <c r="AL332" s="90"/>
      <c r="AM332" s="90"/>
      <c r="AN332" s="90"/>
      <c r="AO332" s="90"/>
      <c r="AP332" s="90"/>
      <c r="AQ332" s="90"/>
      <c r="AR332" s="90"/>
      <c r="AS332" s="90"/>
      <c r="AT332" s="90"/>
      <c r="AU332" s="90"/>
      <c r="AV332" s="90"/>
      <c r="AW332" s="90"/>
      <c r="AX332" s="90"/>
      <c r="AY332" s="90"/>
      <c r="AZ332" s="90"/>
      <c r="BA332" s="90"/>
      <c r="BB332" s="90"/>
      <c r="BC332" s="90"/>
      <c r="BD332" s="90"/>
      <c r="BE332" s="90"/>
      <c r="BF332" s="90"/>
      <c r="BG332" s="90"/>
    </row>
    <row r="333" ht="12.75" customHeight="1" outlineLevel="1">
      <c r="B333" s="90"/>
      <c r="C333" s="90" t="s">
        <v>812</v>
      </c>
      <c r="D333" s="90"/>
      <c r="E333" s="90"/>
      <c r="F333" s="90"/>
      <c r="G333" s="99"/>
      <c r="H333" s="99"/>
      <c r="I333" s="99" t="str">
        <f>'[4]'!H99+'[4]'!H86</f>
        <v>#REF!</v>
      </c>
      <c r="J333" s="99">
        <f>'FY09 P&amp;L'!B145</f>
        <v>88172.44</v>
      </c>
      <c r="K333" s="99">
        <v>54950.09</v>
      </c>
      <c r="L333" s="99">
        <f t="shared" ref="L333:AV333" si="246">L197*L46+L198*L48</f>
        <v>31900</v>
      </c>
      <c r="M333" s="99">
        <f t="shared" si="246"/>
        <v>31824</v>
      </c>
      <c r="N333" s="99">
        <f t="shared" si="246"/>
        <v>32460.48</v>
      </c>
      <c r="O333" s="99">
        <f t="shared" si="246"/>
        <v>33109.6896</v>
      </c>
      <c r="P333" s="99">
        <f t="shared" si="246"/>
        <v>33771.88339</v>
      </c>
      <c r="Q333" s="99">
        <f t="shared" si="246"/>
        <v>34447.32106</v>
      </c>
      <c r="R333" s="99">
        <f t="shared" si="246"/>
        <v>35136.26748</v>
      </c>
      <c r="S333" s="99">
        <f t="shared" si="246"/>
        <v>35838.99283</v>
      </c>
      <c r="T333" s="99">
        <f t="shared" si="246"/>
        <v>36555.77269</v>
      </c>
      <c r="U333" s="99">
        <f t="shared" si="246"/>
        <v>37286.88814</v>
      </c>
      <c r="V333" s="99">
        <f t="shared" si="246"/>
        <v>38032.6259</v>
      </c>
      <c r="W333" s="99">
        <f t="shared" si="246"/>
        <v>38793.27842</v>
      </c>
      <c r="X333" s="99">
        <f t="shared" si="246"/>
        <v>39569.14399</v>
      </c>
      <c r="Y333" s="99">
        <f t="shared" si="246"/>
        <v>40360.52687</v>
      </c>
      <c r="Z333" s="99">
        <f t="shared" si="246"/>
        <v>41167.73741</v>
      </c>
      <c r="AA333" s="99">
        <f t="shared" si="246"/>
        <v>41991.09216</v>
      </c>
      <c r="AB333" s="99">
        <f t="shared" si="246"/>
        <v>42830.914</v>
      </c>
      <c r="AC333" s="99">
        <f t="shared" si="246"/>
        <v>43687.53228</v>
      </c>
      <c r="AD333" s="99">
        <f t="shared" si="246"/>
        <v>44561.28292</v>
      </c>
      <c r="AE333" s="99">
        <f t="shared" si="246"/>
        <v>45452.50858</v>
      </c>
      <c r="AF333" s="99">
        <f t="shared" si="246"/>
        <v>46361.55875</v>
      </c>
      <c r="AG333" s="99">
        <f t="shared" si="246"/>
        <v>47288.78993</v>
      </c>
      <c r="AH333" s="99">
        <f t="shared" si="246"/>
        <v>48234.56573</v>
      </c>
      <c r="AI333" s="99">
        <f t="shared" si="246"/>
        <v>49199.25704</v>
      </c>
      <c r="AJ333" s="99">
        <f t="shared" si="246"/>
        <v>50183.24218</v>
      </c>
      <c r="AK333" s="99">
        <f t="shared" si="246"/>
        <v>51186.90703</v>
      </c>
      <c r="AL333" s="99">
        <f t="shared" si="246"/>
        <v>52210.64517</v>
      </c>
      <c r="AM333" s="99">
        <f t="shared" si="246"/>
        <v>53254.85807</v>
      </c>
      <c r="AN333" s="99">
        <f t="shared" si="246"/>
        <v>54319.95523</v>
      </c>
      <c r="AO333" s="99">
        <f t="shared" si="246"/>
        <v>55406.35434</v>
      </c>
      <c r="AP333" s="99">
        <f t="shared" si="246"/>
        <v>56514.48142</v>
      </c>
      <c r="AQ333" s="99">
        <f t="shared" si="246"/>
        <v>57644.77105</v>
      </c>
      <c r="AR333" s="99">
        <f t="shared" si="246"/>
        <v>58797.66647</v>
      </c>
      <c r="AS333" s="99">
        <f t="shared" si="246"/>
        <v>59973.6198</v>
      </c>
      <c r="AT333" s="99">
        <f t="shared" si="246"/>
        <v>61173.0922</v>
      </c>
      <c r="AU333" s="99">
        <f t="shared" si="246"/>
        <v>62396.55404</v>
      </c>
      <c r="AV333" s="99">
        <f t="shared" si="246"/>
        <v>63644.48512</v>
      </c>
      <c r="AW333" s="90"/>
      <c r="AX333" s="90"/>
      <c r="AY333" s="90"/>
      <c r="AZ333" s="90"/>
      <c r="BA333" s="90"/>
      <c r="BB333" s="90"/>
      <c r="BC333" s="90"/>
      <c r="BD333" s="90"/>
      <c r="BE333" s="90"/>
      <c r="BF333" s="90"/>
      <c r="BG333" s="90"/>
    </row>
    <row r="334" ht="12.75" customHeight="1" outlineLevel="1">
      <c r="B334" s="90"/>
      <c r="C334" s="90" t="s">
        <v>813</v>
      </c>
      <c r="D334" s="90"/>
      <c r="E334" s="90"/>
      <c r="F334" s="90"/>
      <c r="G334" s="99"/>
      <c r="H334" s="99"/>
      <c r="I334" s="99"/>
      <c r="J334" s="99"/>
      <c r="K334" s="99">
        <v>12279.92</v>
      </c>
      <c r="L334" s="99">
        <f t="shared" ref="L334:AV334" si="247">L199*L146</f>
        <v>16000</v>
      </c>
      <c r="M334" s="99">
        <f t="shared" si="247"/>
        <v>16320</v>
      </c>
      <c r="N334" s="99">
        <f t="shared" si="247"/>
        <v>14565.6</v>
      </c>
      <c r="O334" s="99">
        <f t="shared" si="247"/>
        <v>14856.912</v>
      </c>
      <c r="P334" s="99">
        <f t="shared" si="247"/>
        <v>10824.3216</v>
      </c>
      <c r="Q334" s="99">
        <f t="shared" si="247"/>
        <v>11040.80803</v>
      </c>
      <c r="R334" s="99">
        <f t="shared" si="247"/>
        <v>11261.62419</v>
      </c>
      <c r="S334" s="99">
        <f t="shared" si="247"/>
        <v>11486.85668</v>
      </c>
      <c r="T334" s="99">
        <f t="shared" si="247"/>
        <v>11716.59381</v>
      </c>
      <c r="U334" s="99">
        <f t="shared" si="247"/>
        <v>11950.92569</v>
      </c>
      <c r="V334" s="99">
        <f t="shared" si="247"/>
        <v>12189.9442</v>
      </c>
      <c r="W334" s="99">
        <f t="shared" si="247"/>
        <v>12433.74308</v>
      </c>
      <c r="X334" s="99">
        <f t="shared" si="247"/>
        <v>12682.41795</v>
      </c>
      <c r="Y334" s="99">
        <f t="shared" si="247"/>
        <v>12936.0663</v>
      </c>
      <c r="Z334" s="99">
        <f t="shared" si="247"/>
        <v>13194.78763</v>
      </c>
      <c r="AA334" s="99">
        <f t="shared" si="247"/>
        <v>13458.68338</v>
      </c>
      <c r="AB334" s="99">
        <f t="shared" si="247"/>
        <v>13727.85705</v>
      </c>
      <c r="AC334" s="99">
        <f t="shared" si="247"/>
        <v>14002.41419</v>
      </c>
      <c r="AD334" s="99">
        <f t="shared" si="247"/>
        <v>14282.46248</v>
      </c>
      <c r="AE334" s="99">
        <f t="shared" si="247"/>
        <v>14568.11173</v>
      </c>
      <c r="AF334" s="99">
        <f t="shared" si="247"/>
        <v>14859.47396</v>
      </c>
      <c r="AG334" s="99">
        <f t="shared" si="247"/>
        <v>15156.66344</v>
      </c>
      <c r="AH334" s="99">
        <f t="shared" si="247"/>
        <v>15459.79671</v>
      </c>
      <c r="AI334" s="99">
        <f t="shared" si="247"/>
        <v>15768.99264</v>
      </c>
      <c r="AJ334" s="99">
        <f t="shared" si="247"/>
        <v>16084.37249</v>
      </c>
      <c r="AK334" s="99">
        <f t="shared" si="247"/>
        <v>16406.05994</v>
      </c>
      <c r="AL334" s="99">
        <f t="shared" si="247"/>
        <v>16734.18114</v>
      </c>
      <c r="AM334" s="99">
        <f t="shared" si="247"/>
        <v>17068.86477</v>
      </c>
      <c r="AN334" s="99">
        <f t="shared" si="247"/>
        <v>17410.24206</v>
      </c>
      <c r="AO334" s="99">
        <f t="shared" si="247"/>
        <v>17758.4469</v>
      </c>
      <c r="AP334" s="99">
        <f t="shared" si="247"/>
        <v>18113.61584</v>
      </c>
      <c r="AQ334" s="99">
        <f t="shared" si="247"/>
        <v>18475.88816</v>
      </c>
      <c r="AR334" s="99">
        <f t="shared" si="247"/>
        <v>18845.40592</v>
      </c>
      <c r="AS334" s="99">
        <f t="shared" si="247"/>
        <v>19222.31404</v>
      </c>
      <c r="AT334" s="99">
        <f t="shared" si="247"/>
        <v>19606.76032</v>
      </c>
      <c r="AU334" s="99">
        <f t="shared" si="247"/>
        <v>19998.89553</v>
      </c>
      <c r="AV334" s="99">
        <f t="shared" si="247"/>
        <v>20398.87344</v>
      </c>
      <c r="AW334" s="90"/>
      <c r="AX334" s="90"/>
      <c r="AY334" s="90"/>
      <c r="AZ334" s="90"/>
      <c r="BA334" s="90"/>
      <c r="BB334" s="90"/>
      <c r="BC334" s="90"/>
      <c r="BD334" s="90"/>
      <c r="BE334" s="90"/>
      <c r="BF334" s="90"/>
      <c r="BG334" s="90"/>
    </row>
    <row r="335" ht="12.75" customHeight="1" outlineLevel="1">
      <c r="B335" s="90"/>
      <c r="C335" s="90" t="s">
        <v>814</v>
      </c>
      <c r="D335" s="90"/>
      <c r="E335" s="90"/>
      <c r="F335" s="90"/>
      <c r="G335" s="99"/>
      <c r="H335" s="99"/>
      <c r="I335" s="99" t="str">
        <f>'[4]'!H85</f>
        <v>#REF!</v>
      </c>
      <c r="J335" s="99">
        <f>'FY09 P&amp;L'!B136</f>
        <v>69436.47</v>
      </c>
      <c r="K335" s="99" t="str">
        <f>33969.27+'[6]Profit &amp; Loss'!$J$218</f>
        <v>#REF!</v>
      </c>
      <c r="L335" s="99">
        <f t="shared" ref="L335:AV335" si="248">L203+L202+L201*L48</f>
        <v>19200</v>
      </c>
      <c r="M335" s="99">
        <f t="shared" si="248"/>
        <v>15300</v>
      </c>
      <c r="N335" s="99">
        <f t="shared" si="248"/>
        <v>15606</v>
      </c>
      <c r="O335" s="99">
        <f t="shared" si="248"/>
        <v>15918.12</v>
      </c>
      <c r="P335" s="99">
        <f t="shared" si="248"/>
        <v>16236.4824</v>
      </c>
      <c r="Q335" s="99">
        <f t="shared" si="248"/>
        <v>16561.21205</v>
      </c>
      <c r="R335" s="99">
        <f t="shared" si="248"/>
        <v>16892.43629</v>
      </c>
      <c r="S335" s="99">
        <f t="shared" si="248"/>
        <v>17230.28501</v>
      </c>
      <c r="T335" s="99">
        <f t="shared" si="248"/>
        <v>17574.89072</v>
      </c>
      <c r="U335" s="99">
        <f t="shared" si="248"/>
        <v>17926.38853</v>
      </c>
      <c r="V335" s="99">
        <f t="shared" si="248"/>
        <v>18284.9163</v>
      </c>
      <c r="W335" s="99">
        <f t="shared" si="248"/>
        <v>18650.61463</v>
      </c>
      <c r="X335" s="99">
        <f t="shared" si="248"/>
        <v>19023.62692</v>
      </c>
      <c r="Y335" s="99">
        <f t="shared" si="248"/>
        <v>19404.09946</v>
      </c>
      <c r="Z335" s="99">
        <f t="shared" si="248"/>
        <v>19792.18145</v>
      </c>
      <c r="AA335" s="99">
        <f t="shared" si="248"/>
        <v>20188.02507</v>
      </c>
      <c r="AB335" s="99">
        <f t="shared" si="248"/>
        <v>20591.78558</v>
      </c>
      <c r="AC335" s="99">
        <f t="shared" si="248"/>
        <v>21003.62129</v>
      </c>
      <c r="AD335" s="99">
        <f t="shared" si="248"/>
        <v>21423.69371</v>
      </c>
      <c r="AE335" s="99">
        <f t="shared" si="248"/>
        <v>21852.16759</v>
      </c>
      <c r="AF335" s="99">
        <f t="shared" si="248"/>
        <v>22289.21094</v>
      </c>
      <c r="AG335" s="99">
        <f t="shared" si="248"/>
        <v>22734.99516</v>
      </c>
      <c r="AH335" s="99">
        <f t="shared" si="248"/>
        <v>23189.69506</v>
      </c>
      <c r="AI335" s="99">
        <f t="shared" si="248"/>
        <v>23653.48896</v>
      </c>
      <c r="AJ335" s="99">
        <f t="shared" si="248"/>
        <v>24126.55874</v>
      </c>
      <c r="AK335" s="99">
        <f t="shared" si="248"/>
        <v>24609.08992</v>
      </c>
      <c r="AL335" s="99">
        <f t="shared" si="248"/>
        <v>25101.27172</v>
      </c>
      <c r="AM335" s="99">
        <f t="shared" si="248"/>
        <v>25603.29715</v>
      </c>
      <c r="AN335" s="99">
        <f t="shared" si="248"/>
        <v>26115.36309</v>
      </c>
      <c r="AO335" s="99">
        <f t="shared" si="248"/>
        <v>26637.67035</v>
      </c>
      <c r="AP335" s="99">
        <f t="shared" si="248"/>
        <v>27170.42376</v>
      </c>
      <c r="AQ335" s="99">
        <f t="shared" si="248"/>
        <v>27713.83224</v>
      </c>
      <c r="AR335" s="99">
        <f t="shared" si="248"/>
        <v>28268.10888</v>
      </c>
      <c r="AS335" s="99">
        <f t="shared" si="248"/>
        <v>28833.47106</v>
      </c>
      <c r="AT335" s="99">
        <f t="shared" si="248"/>
        <v>29410.14048</v>
      </c>
      <c r="AU335" s="99">
        <f t="shared" si="248"/>
        <v>29998.34329</v>
      </c>
      <c r="AV335" s="99">
        <f t="shared" si="248"/>
        <v>30598.31016</v>
      </c>
      <c r="AW335" s="90"/>
      <c r="AX335" s="90"/>
      <c r="AY335" s="90"/>
      <c r="AZ335" s="90"/>
      <c r="BA335" s="90"/>
      <c r="BB335" s="90"/>
      <c r="BC335" s="90"/>
      <c r="BD335" s="90"/>
      <c r="BE335" s="90"/>
      <c r="BF335" s="90"/>
      <c r="BG335" s="90"/>
    </row>
    <row r="336" ht="12.75" customHeight="1" outlineLevel="1">
      <c r="B336" s="90"/>
      <c r="C336" s="90" t="s">
        <v>815</v>
      </c>
      <c r="D336" s="90"/>
      <c r="E336" s="90"/>
      <c r="F336" s="90"/>
      <c r="G336" s="99"/>
      <c r="H336" s="99"/>
      <c r="I336" s="99" t="str">
        <f>'[4]'!H104+'[4]'!H109</f>
        <v>#REF!</v>
      </c>
      <c r="J336" s="99">
        <f>'FY09 P&amp;L'!B157</f>
        <v>72961.23</v>
      </c>
      <c r="K336" s="99">
        <v>16829.09</v>
      </c>
      <c r="L336" s="99">
        <f t="shared" ref="L336:AV336" si="249">L204*L46+10000</f>
        <v>58000</v>
      </c>
      <c r="M336" s="99">
        <f t="shared" si="249"/>
        <v>58960</v>
      </c>
      <c r="N336" s="99">
        <f t="shared" si="249"/>
        <v>59939.2</v>
      </c>
      <c r="O336" s="99">
        <f t="shared" si="249"/>
        <v>60937.984</v>
      </c>
      <c r="P336" s="99">
        <f t="shared" si="249"/>
        <v>61956.74368</v>
      </c>
      <c r="Q336" s="99">
        <f t="shared" si="249"/>
        <v>62995.87855</v>
      </c>
      <c r="R336" s="99">
        <f t="shared" si="249"/>
        <v>64055.79612</v>
      </c>
      <c r="S336" s="99">
        <f t="shared" si="249"/>
        <v>65136.91205</v>
      </c>
      <c r="T336" s="99">
        <f t="shared" si="249"/>
        <v>66239.65029</v>
      </c>
      <c r="U336" s="99">
        <f t="shared" si="249"/>
        <v>67364.44329</v>
      </c>
      <c r="V336" s="99">
        <f t="shared" si="249"/>
        <v>68511.73216</v>
      </c>
      <c r="W336" s="99">
        <f t="shared" si="249"/>
        <v>69681.9668</v>
      </c>
      <c r="X336" s="99">
        <f t="shared" si="249"/>
        <v>70875.60614</v>
      </c>
      <c r="Y336" s="99">
        <f t="shared" si="249"/>
        <v>72093.11826</v>
      </c>
      <c r="Z336" s="99">
        <f t="shared" si="249"/>
        <v>73334.98063</v>
      </c>
      <c r="AA336" s="99">
        <f t="shared" si="249"/>
        <v>74601.68024</v>
      </c>
      <c r="AB336" s="99">
        <f t="shared" si="249"/>
        <v>75893.71384</v>
      </c>
      <c r="AC336" s="99">
        <f t="shared" si="249"/>
        <v>77211.58812</v>
      </c>
      <c r="AD336" s="99">
        <f t="shared" si="249"/>
        <v>78555.81988</v>
      </c>
      <c r="AE336" s="99">
        <f t="shared" si="249"/>
        <v>79926.93628</v>
      </c>
      <c r="AF336" s="99">
        <f t="shared" si="249"/>
        <v>81325.47501</v>
      </c>
      <c r="AG336" s="99">
        <f t="shared" si="249"/>
        <v>82751.98451</v>
      </c>
      <c r="AH336" s="99">
        <f t="shared" si="249"/>
        <v>84207.0242</v>
      </c>
      <c r="AI336" s="99">
        <f t="shared" si="249"/>
        <v>85691.16468</v>
      </c>
      <c r="AJ336" s="99">
        <f t="shared" si="249"/>
        <v>87204.98797</v>
      </c>
      <c r="AK336" s="99">
        <f t="shared" si="249"/>
        <v>88749.08773</v>
      </c>
      <c r="AL336" s="99">
        <f t="shared" si="249"/>
        <v>90324.06949</v>
      </c>
      <c r="AM336" s="99">
        <f t="shared" si="249"/>
        <v>91930.55088</v>
      </c>
      <c r="AN336" s="99">
        <f t="shared" si="249"/>
        <v>93569.1619</v>
      </c>
      <c r="AO336" s="99">
        <f t="shared" si="249"/>
        <v>95240.54513</v>
      </c>
      <c r="AP336" s="99">
        <f t="shared" si="249"/>
        <v>96945.35604</v>
      </c>
      <c r="AQ336" s="99">
        <f t="shared" si="249"/>
        <v>98684.26316</v>
      </c>
      <c r="AR336" s="99">
        <f t="shared" si="249"/>
        <v>100457.9484</v>
      </c>
      <c r="AS336" s="99">
        <f t="shared" si="249"/>
        <v>102267.1074</v>
      </c>
      <c r="AT336" s="99">
        <f t="shared" si="249"/>
        <v>104112.4495</v>
      </c>
      <c r="AU336" s="99">
        <f t="shared" si="249"/>
        <v>105994.6985</v>
      </c>
      <c r="AV336" s="99">
        <f t="shared" si="249"/>
        <v>107914.5925</v>
      </c>
      <c r="AW336" s="90"/>
      <c r="AX336" s="90"/>
      <c r="AY336" s="90"/>
      <c r="AZ336" s="90"/>
      <c r="BA336" s="90"/>
      <c r="BB336" s="90"/>
      <c r="BC336" s="90"/>
      <c r="BD336" s="90"/>
      <c r="BE336" s="90"/>
      <c r="BF336" s="90"/>
      <c r="BG336" s="90"/>
    </row>
    <row r="337" ht="12.75" customHeight="1" outlineLevel="1">
      <c r="B337" s="90"/>
      <c r="C337" s="90" t="s">
        <v>816</v>
      </c>
      <c r="D337" s="90"/>
      <c r="E337" s="90"/>
      <c r="F337" s="90"/>
      <c r="G337" s="99"/>
      <c r="H337" s="99"/>
      <c r="I337" s="99">
        <v>0.0</v>
      </c>
      <c r="J337" s="99">
        <v>0.0</v>
      </c>
      <c r="K337" s="99">
        <v>25127.21</v>
      </c>
      <c r="L337" s="99">
        <f t="shared" ref="L337:AV337" si="250">L205+L206*L158</f>
        <v>10750</v>
      </c>
      <c r="M337" s="99">
        <f t="shared" si="250"/>
        <v>10200</v>
      </c>
      <c r="N337" s="99">
        <f t="shared" si="250"/>
        <v>8843.4</v>
      </c>
      <c r="O337" s="99">
        <f t="shared" si="250"/>
        <v>10612.08</v>
      </c>
      <c r="P337" s="99">
        <f t="shared" si="250"/>
        <v>7577.02512</v>
      </c>
      <c r="Q337" s="99">
        <f t="shared" si="250"/>
        <v>11040.80803</v>
      </c>
      <c r="R337" s="99">
        <f t="shared" si="250"/>
        <v>11261.62419</v>
      </c>
      <c r="S337" s="99">
        <f t="shared" si="250"/>
        <v>11486.85668</v>
      </c>
      <c r="T337" s="99">
        <f t="shared" si="250"/>
        <v>11716.59381</v>
      </c>
      <c r="U337" s="99">
        <f t="shared" si="250"/>
        <v>11950.92569</v>
      </c>
      <c r="V337" s="99">
        <f t="shared" si="250"/>
        <v>12189.9442</v>
      </c>
      <c r="W337" s="99">
        <f t="shared" si="250"/>
        <v>12433.74308</v>
      </c>
      <c r="X337" s="99">
        <f t="shared" si="250"/>
        <v>12682.41795</v>
      </c>
      <c r="Y337" s="99">
        <f t="shared" si="250"/>
        <v>12936.0663</v>
      </c>
      <c r="Z337" s="99">
        <f t="shared" si="250"/>
        <v>13194.78763</v>
      </c>
      <c r="AA337" s="99">
        <f t="shared" si="250"/>
        <v>13458.68338</v>
      </c>
      <c r="AB337" s="99">
        <f t="shared" si="250"/>
        <v>13727.85705</v>
      </c>
      <c r="AC337" s="99">
        <f t="shared" si="250"/>
        <v>14002.41419</v>
      </c>
      <c r="AD337" s="99">
        <f t="shared" si="250"/>
        <v>14282.46248</v>
      </c>
      <c r="AE337" s="99">
        <f t="shared" si="250"/>
        <v>14568.11173</v>
      </c>
      <c r="AF337" s="99">
        <f t="shared" si="250"/>
        <v>14859.47396</v>
      </c>
      <c r="AG337" s="99">
        <f t="shared" si="250"/>
        <v>15156.66344</v>
      </c>
      <c r="AH337" s="99">
        <f t="shared" si="250"/>
        <v>15459.79671</v>
      </c>
      <c r="AI337" s="99">
        <f t="shared" si="250"/>
        <v>15768.99264</v>
      </c>
      <c r="AJ337" s="99">
        <f t="shared" si="250"/>
        <v>16084.37249</v>
      </c>
      <c r="AK337" s="99">
        <f t="shared" si="250"/>
        <v>16406.05994</v>
      </c>
      <c r="AL337" s="99">
        <f t="shared" si="250"/>
        <v>16734.18114</v>
      </c>
      <c r="AM337" s="99">
        <f t="shared" si="250"/>
        <v>17068.86477</v>
      </c>
      <c r="AN337" s="99">
        <f t="shared" si="250"/>
        <v>17410.24206</v>
      </c>
      <c r="AO337" s="99">
        <f t="shared" si="250"/>
        <v>17758.4469</v>
      </c>
      <c r="AP337" s="99">
        <f t="shared" si="250"/>
        <v>18113.61584</v>
      </c>
      <c r="AQ337" s="99">
        <f t="shared" si="250"/>
        <v>18475.88816</v>
      </c>
      <c r="AR337" s="99">
        <f t="shared" si="250"/>
        <v>18845.40592</v>
      </c>
      <c r="AS337" s="99">
        <f t="shared" si="250"/>
        <v>19222.31404</v>
      </c>
      <c r="AT337" s="99">
        <f t="shared" si="250"/>
        <v>19606.76032</v>
      </c>
      <c r="AU337" s="99">
        <f t="shared" si="250"/>
        <v>19998.89553</v>
      </c>
      <c r="AV337" s="99">
        <f t="shared" si="250"/>
        <v>20398.87344</v>
      </c>
      <c r="AW337" s="90" t="s">
        <v>1220</v>
      </c>
      <c r="AX337" s="90"/>
      <c r="AY337" s="90"/>
      <c r="AZ337" s="90"/>
      <c r="BA337" s="90"/>
      <c r="BB337" s="90"/>
      <c r="BC337" s="90"/>
      <c r="BD337" s="90"/>
      <c r="BE337" s="90"/>
      <c r="BF337" s="90"/>
      <c r="BG337" s="90"/>
    </row>
    <row r="338" ht="12.75" customHeight="1" outlineLevel="1">
      <c r="B338" s="87"/>
      <c r="C338" s="87" t="s">
        <v>817</v>
      </c>
      <c r="D338" s="87"/>
      <c r="E338" s="87"/>
      <c r="F338" s="87"/>
      <c r="G338" s="125"/>
      <c r="H338" s="125"/>
      <c r="I338" s="125" t="str">
        <f>'[4]'!G111</f>
        <v>#REF!</v>
      </c>
      <c r="J338" s="125">
        <f>'FY09 P&amp;L'!B161</f>
        <v>132988.13</v>
      </c>
      <c r="K338" s="125">
        <v>180579.21</v>
      </c>
      <c r="L338" s="125">
        <f t="shared" ref="L338:AV338" si="251">L207*L55</f>
        <v>202752</v>
      </c>
      <c r="M338" s="125">
        <f t="shared" si="251"/>
        <v>206807.04</v>
      </c>
      <c r="N338" s="125">
        <f t="shared" si="251"/>
        <v>210943.1808</v>
      </c>
      <c r="O338" s="125">
        <f t="shared" si="251"/>
        <v>215162.0444</v>
      </c>
      <c r="P338" s="125">
        <f t="shared" si="251"/>
        <v>219465.2853</v>
      </c>
      <c r="Q338" s="125">
        <f t="shared" si="251"/>
        <v>223854.591</v>
      </c>
      <c r="R338" s="125">
        <f t="shared" si="251"/>
        <v>228331.6828</v>
      </c>
      <c r="S338" s="125">
        <f t="shared" si="251"/>
        <v>232898.3165</v>
      </c>
      <c r="T338" s="125">
        <f t="shared" si="251"/>
        <v>237556.2828</v>
      </c>
      <c r="U338" s="125">
        <f t="shared" si="251"/>
        <v>242307.4085</v>
      </c>
      <c r="V338" s="125">
        <f t="shared" si="251"/>
        <v>247153.5566</v>
      </c>
      <c r="W338" s="125">
        <f t="shared" si="251"/>
        <v>252096.6278</v>
      </c>
      <c r="X338" s="125">
        <f t="shared" si="251"/>
        <v>257138.5603</v>
      </c>
      <c r="Y338" s="125">
        <f t="shared" si="251"/>
        <v>262281.3315</v>
      </c>
      <c r="Z338" s="125">
        <f t="shared" si="251"/>
        <v>267526.9582</v>
      </c>
      <c r="AA338" s="125">
        <f t="shared" si="251"/>
        <v>272877.4973</v>
      </c>
      <c r="AB338" s="125">
        <f t="shared" si="251"/>
        <v>278335.0473</v>
      </c>
      <c r="AC338" s="125">
        <f t="shared" si="251"/>
        <v>283901.7482</v>
      </c>
      <c r="AD338" s="125">
        <f t="shared" si="251"/>
        <v>289579.7832</v>
      </c>
      <c r="AE338" s="125">
        <f t="shared" si="251"/>
        <v>295371.3789</v>
      </c>
      <c r="AF338" s="125">
        <f t="shared" si="251"/>
        <v>301278.8064</v>
      </c>
      <c r="AG338" s="125">
        <f t="shared" si="251"/>
        <v>307304.3826</v>
      </c>
      <c r="AH338" s="125">
        <f t="shared" si="251"/>
        <v>313450.4702</v>
      </c>
      <c r="AI338" s="125">
        <f t="shared" si="251"/>
        <v>319719.4796</v>
      </c>
      <c r="AJ338" s="125">
        <f t="shared" si="251"/>
        <v>326113.8692</v>
      </c>
      <c r="AK338" s="125">
        <f t="shared" si="251"/>
        <v>332636.1466</v>
      </c>
      <c r="AL338" s="125">
        <f t="shared" si="251"/>
        <v>339288.8695</v>
      </c>
      <c r="AM338" s="125">
        <f t="shared" si="251"/>
        <v>346074.6469</v>
      </c>
      <c r="AN338" s="125">
        <f t="shared" si="251"/>
        <v>352996.1399</v>
      </c>
      <c r="AO338" s="125">
        <f t="shared" si="251"/>
        <v>360056.0626</v>
      </c>
      <c r="AP338" s="125">
        <f t="shared" si="251"/>
        <v>367257.1839</v>
      </c>
      <c r="AQ338" s="125">
        <f t="shared" si="251"/>
        <v>374602.3276</v>
      </c>
      <c r="AR338" s="125">
        <f t="shared" si="251"/>
        <v>382094.3741</v>
      </c>
      <c r="AS338" s="125">
        <f t="shared" si="251"/>
        <v>389736.2616</v>
      </c>
      <c r="AT338" s="125">
        <f t="shared" si="251"/>
        <v>397530.9868</v>
      </c>
      <c r="AU338" s="125">
        <f t="shared" si="251"/>
        <v>405481.6066</v>
      </c>
      <c r="AV338" s="125">
        <f t="shared" si="251"/>
        <v>413591.2387</v>
      </c>
      <c r="AW338" s="87" t="s">
        <v>1221</v>
      </c>
      <c r="AX338" s="90"/>
      <c r="AY338" s="90"/>
      <c r="AZ338" s="90"/>
      <c r="BA338" s="90"/>
      <c r="BB338" s="90"/>
      <c r="BC338" s="90"/>
      <c r="BD338" s="90"/>
      <c r="BE338" s="90"/>
      <c r="BF338" s="90"/>
      <c r="BG338" s="90"/>
    </row>
    <row r="339" ht="12.75" customHeight="1" outlineLevel="1">
      <c r="B339" s="67" t="s">
        <v>818</v>
      </c>
      <c r="C339" s="90"/>
      <c r="D339" s="90"/>
      <c r="E339" s="90"/>
      <c r="F339" s="90"/>
      <c r="G339" s="79"/>
      <c r="H339" s="79"/>
      <c r="I339" s="546" t="str">
        <f t="shared" ref="I339:AV339" si="252">SUM(I333:I338)</f>
        <v>#REF!</v>
      </c>
      <c r="J339" s="79">
        <f t="shared" si="252"/>
        <v>363558.27</v>
      </c>
      <c r="K339" s="79" t="str">
        <f t="shared" si="252"/>
        <v>#REF!</v>
      </c>
      <c r="L339" s="79">
        <f t="shared" si="252"/>
        <v>338602</v>
      </c>
      <c r="M339" s="79">
        <f t="shared" si="252"/>
        <v>339411.04</v>
      </c>
      <c r="N339" s="79">
        <f t="shared" si="252"/>
        <v>342357.8608</v>
      </c>
      <c r="O339" s="79">
        <f t="shared" si="252"/>
        <v>350596.83</v>
      </c>
      <c r="P339" s="79">
        <f t="shared" si="252"/>
        <v>349831.7415</v>
      </c>
      <c r="Q339" s="79">
        <f t="shared" si="252"/>
        <v>359940.6187</v>
      </c>
      <c r="R339" s="79">
        <f t="shared" si="252"/>
        <v>366939.4311</v>
      </c>
      <c r="S339" s="79">
        <f t="shared" si="252"/>
        <v>374078.2197</v>
      </c>
      <c r="T339" s="79">
        <f t="shared" si="252"/>
        <v>381359.7841</v>
      </c>
      <c r="U339" s="79">
        <f t="shared" si="252"/>
        <v>388786.9798</v>
      </c>
      <c r="V339" s="79">
        <f t="shared" si="252"/>
        <v>396362.7194</v>
      </c>
      <c r="W339" s="79">
        <f t="shared" si="252"/>
        <v>404089.9738</v>
      </c>
      <c r="X339" s="79">
        <f t="shared" si="252"/>
        <v>411971.7733</v>
      </c>
      <c r="Y339" s="79">
        <f t="shared" si="252"/>
        <v>420011.2087</v>
      </c>
      <c r="Z339" s="79">
        <f t="shared" si="252"/>
        <v>428211.4329</v>
      </c>
      <c r="AA339" s="79">
        <f t="shared" si="252"/>
        <v>436575.6616</v>
      </c>
      <c r="AB339" s="79">
        <f t="shared" si="252"/>
        <v>445107.1748</v>
      </c>
      <c r="AC339" s="79">
        <f t="shared" si="252"/>
        <v>453809.3183</v>
      </c>
      <c r="AD339" s="79">
        <f t="shared" si="252"/>
        <v>462685.5047</v>
      </c>
      <c r="AE339" s="79">
        <f t="shared" si="252"/>
        <v>471739.2148</v>
      </c>
      <c r="AF339" s="79">
        <f t="shared" si="252"/>
        <v>480973.9991</v>
      </c>
      <c r="AG339" s="79">
        <f t="shared" si="252"/>
        <v>490393.479</v>
      </c>
      <c r="AH339" s="79">
        <f t="shared" si="252"/>
        <v>500001.3486</v>
      </c>
      <c r="AI339" s="79">
        <f t="shared" si="252"/>
        <v>509801.3756</v>
      </c>
      <c r="AJ339" s="79">
        <f t="shared" si="252"/>
        <v>519797.4031</v>
      </c>
      <c r="AK339" s="79">
        <f t="shared" si="252"/>
        <v>529993.3512</v>
      </c>
      <c r="AL339" s="79">
        <f t="shared" si="252"/>
        <v>540393.2182</v>
      </c>
      <c r="AM339" s="79">
        <f t="shared" si="252"/>
        <v>551001.0825</v>
      </c>
      <c r="AN339" s="79">
        <f t="shared" si="252"/>
        <v>561821.1042</v>
      </c>
      <c r="AO339" s="79">
        <f t="shared" si="252"/>
        <v>572857.5263</v>
      </c>
      <c r="AP339" s="79">
        <f t="shared" si="252"/>
        <v>584114.6768</v>
      </c>
      <c r="AQ339" s="79">
        <f t="shared" si="252"/>
        <v>595596.9703</v>
      </c>
      <c r="AR339" s="79">
        <f t="shared" si="252"/>
        <v>607308.9097</v>
      </c>
      <c r="AS339" s="79">
        <f t="shared" si="252"/>
        <v>619255.0879</v>
      </c>
      <c r="AT339" s="79">
        <f t="shared" si="252"/>
        <v>631440.1897</v>
      </c>
      <c r="AU339" s="79">
        <f t="shared" si="252"/>
        <v>643868.9935</v>
      </c>
      <c r="AV339" s="79">
        <f t="shared" si="252"/>
        <v>656546.3734</v>
      </c>
      <c r="AW339" s="90"/>
      <c r="AX339" s="90"/>
      <c r="AY339" s="90"/>
      <c r="AZ339" s="90"/>
      <c r="BA339" s="90"/>
      <c r="BB339" s="90"/>
      <c r="BC339" s="90"/>
      <c r="BD339" s="90"/>
      <c r="BE339" s="90"/>
      <c r="BF339" s="90"/>
      <c r="BG339" s="90"/>
    </row>
    <row r="340" ht="12.75" customHeight="1" outlineLevel="1">
      <c r="A340" s="316"/>
      <c r="B340" s="90"/>
      <c r="C340" s="90"/>
      <c r="D340" s="90"/>
      <c r="E340" s="90"/>
      <c r="F340" s="90"/>
      <c r="G340" s="152"/>
      <c r="H340" s="152"/>
      <c r="I340" s="99"/>
      <c r="J340" s="99"/>
      <c r="K340" s="99"/>
      <c r="L340" s="99"/>
      <c r="M340" s="99"/>
      <c r="N340" s="99"/>
      <c r="O340" s="99"/>
      <c r="P340" s="99"/>
      <c r="Q340" s="99"/>
      <c r="R340" s="152"/>
      <c r="S340" s="152"/>
      <c r="T340" s="152"/>
      <c r="U340" s="152"/>
      <c r="V340" s="152"/>
      <c r="W340" s="152"/>
      <c r="X340" s="152"/>
      <c r="Y340" s="152"/>
      <c r="Z340" s="152"/>
      <c r="AA340" s="152"/>
      <c r="AB340" s="152"/>
      <c r="AC340" s="152"/>
      <c r="AD340" s="152"/>
      <c r="AE340" s="152"/>
      <c r="AF340" s="152"/>
      <c r="AG340" s="152"/>
      <c r="AH340" s="152"/>
      <c r="AI340" s="152"/>
      <c r="AJ340" s="152"/>
      <c r="AK340" s="152"/>
      <c r="AL340" s="152"/>
      <c r="AM340" s="152"/>
      <c r="AN340" s="152"/>
      <c r="AO340" s="152"/>
      <c r="AP340" s="152"/>
      <c r="AQ340" s="152"/>
      <c r="AR340" s="152"/>
      <c r="AS340" s="152"/>
      <c r="AT340" s="152"/>
      <c r="AU340" s="152"/>
      <c r="AV340" s="152"/>
      <c r="AW340" s="90"/>
      <c r="AX340" s="90"/>
      <c r="AY340" s="90"/>
      <c r="AZ340" s="90"/>
      <c r="BA340" s="90"/>
      <c r="BB340" s="90"/>
      <c r="BC340" s="90"/>
      <c r="BD340" s="90"/>
      <c r="BE340" s="90"/>
      <c r="BF340" s="90"/>
      <c r="BG340" s="90"/>
    </row>
    <row r="341" ht="12.75" customHeight="1" outlineLevel="1">
      <c r="A341" s="316"/>
      <c r="B341" s="67" t="s">
        <v>626</v>
      </c>
      <c r="C341" s="90"/>
      <c r="D341" s="90"/>
      <c r="E341" s="90"/>
      <c r="F341" s="90"/>
      <c r="G341" s="90"/>
      <c r="H341" s="90"/>
      <c r="I341" s="99"/>
      <c r="J341" s="99"/>
      <c r="K341" s="99"/>
      <c r="L341" s="99"/>
      <c r="M341" s="99"/>
      <c r="N341" s="99"/>
      <c r="O341" s="99"/>
      <c r="P341" s="99"/>
      <c r="Q341" s="99"/>
      <c r="R341" s="99"/>
      <c r="S341" s="99"/>
      <c r="T341" s="99"/>
      <c r="U341" s="99"/>
      <c r="V341" s="99"/>
      <c r="W341" s="99"/>
      <c r="X341" s="99"/>
      <c r="Y341" s="99"/>
      <c r="Z341" s="99"/>
      <c r="AA341" s="99"/>
      <c r="AB341" s="99"/>
      <c r="AC341" s="99"/>
      <c r="AD341" s="99"/>
      <c r="AE341" s="99"/>
      <c r="AF341" s="99"/>
      <c r="AG341" s="99"/>
      <c r="AH341" s="99"/>
      <c r="AI341" s="99"/>
      <c r="AJ341" s="99"/>
      <c r="AK341" s="99"/>
      <c r="AL341" s="99"/>
      <c r="AM341" s="99"/>
      <c r="AN341" s="99"/>
      <c r="AO341" s="99"/>
      <c r="AP341" s="99"/>
      <c r="AQ341" s="99"/>
      <c r="AR341" s="99"/>
      <c r="AS341" s="99"/>
      <c r="AT341" s="99"/>
      <c r="AU341" s="99"/>
      <c r="AV341" s="99"/>
      <c r="AW341" s="90"/>
      <c r="AX341" s="90"/>
      <c r="AY341" s="90"/>
      <c r="AZ341" s="90"/>
      <c r="BA341" s="90"/>
      <c r="BB341" s="90"/>
      <c r="BC341" s="90"/>
      <c r="BD341" s="90"/>
      <c r="BE341" s="90"/>
      <c r="BF341" s="90"/>
      <c r="BG341" s="90"/>
    </row>
    <row r="342" ht="12.75" customHeight="1" outlineLevel="1">
      <c r="A342" s="316"/>
      <c r="B342" s="67"/>
      <c r="C342" s="90" t="s">
        <v>819</v>
      </c>
      <c r="D342" s="90"/>
      <c r="E342" s="90"/>
      <c r="F342" s="90"/>
      <c r="G342" s="99"/>
      <c r="H342" s="99"/>
      <c r="I342" s="543" t="str">
        <f>'[4]'!H157+'[4]'!H158</f>
        <v>#REF!</v>
      </c>
      <c r="J342" s="99">
        <f>'FY09 P&amp;L'!B191+'FY09 P&amp;L'!B192+'FY09 P&amp;L'!B220</f>
        <v>32253.59</v>
      </c>
      <c r="K342" s="99">
        <v>25496.0</v>
      </c>
      <c r="L342" s="99">
        <f t="shared" ref="L342:AV342" si="253">L211*L143</f>
        <v>28000</v>
      </c>
      <c r="M342" s="99">
        <f t="shared" si="253"/>
        <v>28560</v>
      </c>
      <c r="N342" s="99">
        <f t="shared" si="253"/>
        <v>25489.8</v>
      </c>
      <c r="O342" s="99">
        <f t="shared" si="253"/>
        <v>25999.596</v>
      </c>
      <c r="P342" s="99">
        <f t="shared" si="253"/>
        <v>18942.5628</v>
      </c>
      <c r="Q342" s="99">
        <f t="shared" si="253"/>
        <v>19321.41406</v>
      </c>
      <c r="R342" s="99">
        <f t="shared" si="253"/>
        <v>19707.84234</v>
      </c>
      <c r="S342" s="99">
        <f t="shared" si="253"/>
        <v>20101.99918</v>
      </c>
      <c r="T342" s="99">
        <f t="shared" si="253"/>
        <v>20504.03917</v>
      </c>
      <c r="U342" s="99">
        <f t="shared" si="253"/>
        <v>20914.11995</v>
      </c>
      <c r="V342" s="99">
        <f t="shared" si="253"/>
        <v>21332.40235</v>
      </c>
      <c r="W342" s="99">
        <f t="shared" si="253"/>
        <v>21759.0504</v>
      </c>
      <c r="X342" s="99">
        <f t="shared" si="253"/>
        <v>22194.2314</v>
      </c>
      <c r="Y342" s="99">
        <f t="shared" si="253"/>
        <v>22638.11603</v>
      </c>
      <c r="Z342" s="99">
        <f t="shared" si="253"/>
        <v>23090.87835</v>
      </c>
      <c r="AA342" s="99">
        <f t="shared" si="253"/>
        <v>23552.69592</v>
      </c>
      <c r="AB342" s="99">
        <f t="shared" si="253"/>
        <v>24023.74984</v>
      </c>
      <c r="AC342" s="99">
        <f t="shared" si="253"/>
        <v>24504.22484</v>
      </c>
      <c r="AD342" s="99">
        <f t="shared" si="253"/>
        <v>24994.30933</v>
      </c>
      <c r="AE342" s="99">
        <f t="shared" si="253"/>
        <v>25494.19552</v>
      </c>
      <c r="AF342" s="99">
        <f t="shared" si="253"/>
        <v>26004.07943</v>
      </c>
      <c r="AG342" s="99">
        <f t="shared" si="253"/>
        <v>26524.16102</v>
      </c>
      <c r="AH342" s="99">
        <f t="shared" si="253"/>
        <v>27054.64424</v>
      </c>
      <c r="AI342" s="99">
        <f t="shared" si="253"/>
        <v>27595.73712</v>
      </c>
      <c r="AJ342" s="99">
        <f t="shared" si="253"/>
        <v>28147.65187</v>
      </c>
      <c r="AK342" s="99">
        <f t="shared" si="253"/>
        <v>28710.6049</v>
      </c>
      <c r="AL342" s="99">
        <f t="shared" si="253"/>
        <v>29284.817</v>
      </c>
      <c r="AM342" s="99">
        <f t="shared" si="253"/>
        <v>29870.51334</v>
      </c>
      <c r="AN342" s="99">
        <f t="shared" si="253"/>
        <v>30467.92361</v>
      </c>
      <c r="AO342" s="99">
        <f t="shared" si="253"/>
        <v>31077.28208</v>
      </c>
      <c r="AP342" s="99">
        <f t="shared" si="253"/>
        <v>31698.82772</v>
      </c>
      <c r="AQ342" s="99">
        <f t="shared" si="253"/>
        <v>32332.80428</v>
      </c>
      <c r="AR342" s="99">
        <f t="shared" si="253"/>
        <v>32979.46036</v>
      </c>
      <c r="AS342" s="99">
        <f t="shared" si="253"/>
        <v>33639.04957</v>
      </c>
      <c r="AT342" s="99">
        <f t="shared" si="253"/>
        <v>34311.83056</v>
      </c>
      <c r="AU342" s="99">
        <f t="shared" si="253"/>
        <v>34998.06717</v>
      </c>
      <c r="AV342" s="99">
        <f t="shared" si="253"/>
        <v>35698.02852</v>
      </c>
      <c r="AW342" s="90"/>
      <c r="AX342" s="90"/>
      <c r="AY342" s="90"/>
      <c r="AZ342" s="90"/>
      <c r="BA342" s="90"/>
      <c r="BB342" s="90"/>
      <c r="BC342" s="90"/>
      <c r="BD342" s="90"/>
      <c r="BE342" s="90"/>
      <c r="BF342" s="90"/>
      <c r="BG342" s="90"/>
    </row>
    <row r="343" ht="12.75" customHeight="1" outlineLevel="1">
      <c r="A343" s="316"/>
      <c r="B343" s="90"/>
      <c r="C343" s="90" t="s">
        <v>820</v>
      </c>
      <c r="D343" s="90"/>
      <c r="E343" s="90"/>
      <c r="F343" s="90"/>
      <c r="G343" s="99"/>
      <c r="H343" s="99"/>
      <c r="I343" s="543" t="str">
        <f>'[4]'!H148</f>
        <v>#REF!</v>
      </c>
      <c r="J343" s="99">
        <f>'FY09 P&amp;L'!B190+'FY09 P&amp;L'!B196</f>
        <v>27658.65</v>
      </c>
      <c r="K343" s="99">
        <v>13714.5</v>
      </c>
      <c r="L343" s="99">
        <f t="shared" ref="L343:AV343" si="254">L212*L146</f>
        <v>11200</v>
      </c>
      <c r="M343" s="99">
        <f t="shared" si="254"/>
        <v>11424</v>
      </c>
      <c r="N343" s="99">
        <f t="shared" si="254"/>
        <v>10195.92</v>
      </c>
      <c r="O343" s="99">
        <f t="shared" si="254"/>
        <v>10399.8384</v>
      </c>
      <c r="P343" s="99">
        <f t="shared" si="254"/>
        <v>7577.02512</v>
      </c>
      <c r="Q343" s="99">
        <f t="shared" si="254"/>
        <v>7728.565622</v>
      </c>
      <c r="R343" s="99">
        <f t="shared" si="254"/>
        <v>7883.136935</v>
      </c>
      <c r="S343" s="99">
        <f t="shared" si="254"/>
        <v>8040.799674</v>
      </c>
      <c r="T343" s="99">
        <f t="shared" si="254"/>
        <v>8201.615667</v>
      </c>
      <c r="U343" s="99">
        <f t="shared" si="254"/>
        <v>8365.64798</v>
      </c>
      <c r="V343" s="99">
        <f t="shared" si="254"/>
        <v>8532.96094</v>
      </c>
      <c r="W343" s="99">
        <f t="shared" si="254"/>
        <v>8703.620159</v>
      </c>
      <c r="X343" s="99">
        <f t="shared" si="254"/>
        <v>8877.692562</v>
      </c>
      <c r="Y343" s="99">
        <f t="shared" si="254"/>
        <v>9055.246413</v>
      </c>
      <c r="Z343" s="99">
        <f t="shared" si="254"/>
        <v>9236.351341</v>
      </c>
      <c r="AA343" s="99">
        <f t="shared" si="254"/>
        <v>9421.078368</v>
      </c>
      <c r="AB343" s="99">
        <f t="shared" si="254"/>
        <v>9609.499936</v>
      </c>
      <c r="AC343" s="99">
        <f t="shared" si="254"/>
        <v>9801.689934</v>
      </c>
      <c r="AD343" s="99">
        <f t="shared" si="254"/>
        <v>9997.723733</v>
      </c>
      <c r="AE343" s="99">
        <f t="shared" si="254"/>
        <v>10197.67821</v>
      </c>
      <c r="AF343" s="99">
        <f t="shared" si="254"/>
        <v>10401.63177</v>
      </c>
      <c r="AG343" s="99">
        <f t="shared" si="254"/>
        <v>10609.66441</v>
      </c>
      <c r="AH343" s="99">
        <f t="shared" si="254"/>
        <v>10821.8577</v>
      </c>
      <c r="AI343" s="99">
        <f t="shared" si="254"/>
        <v>11038.29485</v>
      </c>
      <c r="AJ343" s="99">
        <f t="shared" si="254"/>
        <v>11259.06075</v>
      </c>
      <c r="AK343" s="99">
        <f t="shared" si="254"/>
        <v>11484.24196</v>
      </c>
      <c r="AL343" s="99">
        <f t="shared" si="254"/>
        <v>11713.9268</v>
      </c>
      <c r="AM343" s="99">
        <f t="shared" si="254"/>
        <v>11948.20534</v>
      </c>
      <c r="AN343" s="99">
        <f t="shared" si="254"/>
        <v>12187.16944</v>
      </c>
      <c r="AO343" s="99">
        <f t="shared" si="254"/>
        <v>12430.91283</v>
      </c>
      <c r="AP343" s="99">
        <f t="shared" si="254"/>
        <v>12679.53109</v>
      </c>
      <c r="AQ343" s="99">
        <f t="shared" si="254"/>
        <v>12933.12171</v>
      </c>
      <c r="AR343" s="99">
        <f t="shared" si="254"/>
        <v>13191.78414</v>
      </c>
      <c r="AS343" s="99">
        <f t="shared" si="254"/>
        <v>13455.61983</v>
      </c>
      <c r="AT343" s="99">
        <f t="shared" si="254"/>
        <v>13724.73222</v>
      </c>
      <c r="AU343" s="99">
        <f t="shared" si="254"/>
        <v>13999.22687</v>
      </c>
      <c r="AV343" s="99">
        <f t="shared" si="254"/>
        <v>14279.21141</v>
      </c>
      <c r="AW343" s="90"/>
      <c r="AX343" s="90"/>
      <c r="AY343" s="90"/>
      <c r="AZ343" s="90"/>
      <c r="BA343" s="90"/>
      <c r="BB343" s="90"/>
      <c r="BC343" s="90"/>
      <c r="BD343" s="90"/>
      <c r="BE343" s="90"/>
      <c r="BF343" s="90"/>
      <c r="BG343" s="90"/>
    </row>
    <row r="344" ht="12.75" customHeight="1" outlineLevel="1">
      <c r="A344" s="316"/>
      <c r="B344" s="90"/>
      <c r="C344" s="90" t="s">
        <v>821</v>
      </c>
      <c r="D344" s="90"/>
      <c r="E344" s="90"/>
      <c r="F344" s="90"/>
      <c r="G344" s="99"/>
      <c r="H344" s="99"/>
      <c r="I344" s="543" t="str">
        <f>'[4]'!H159</f>
        <v>#REF!</v>
      </c>
      <c r="J344" s="99">
        <f>'FY09 P&amp;L'!B204+'FY09 P&amp;L'!B215</f>
        <v>90934.12</v>
      </c>
      <c r="K344" s="99"/>
      <c r="L344" s="99">
        <f t="shared" ref="L344:AV344" si="255">L213*L46</f>
        <v>0</v>
      </c>
      <c r="M344" s="99">
        <f t="shared" si="255"/>
        <v>0</v>
      </c>
      <c r="N344" s="99">
        <f t="shared" si="255"/>
        <v>0</v>
      </c>
      <c r="O344" s="99">
        <f t="shared" si="255"/>
        <v>0</v>
      </c>
      <c r="P344" s="99">
        <f t="shared" si="255"/>
        <v>0</v>
      </c>
      <c r="Q344" s="99">
        <f t="shared" si="255"/>
        <v>0</v>
      </c>
      <c r="R344" s="99">
        <f t="shared" si="255"/>
        <v>0</v>
      </c>
      <c r="S344" s="99">
        <f t="shared" si="255"/>
        <v>0</v>
      </c>
      <c r="T344" s="99">
        <f t="shared" si="255"/>
        <v>0</v>
      </c>
      <c r="U344" s="99">
        <f t="shared" si="255"/>
        <v>0</v>
      </c>
      <c r="V344" s="99">
        <f t="shared" si="255"/>
        <v>0</v>
      </c>
      <c r="W344" s="99">
        <f t="shared" si="255"/>
        <v>0</v>
      </c>
      <c r="X344" s="99">
        <f t="shared" si="255"/>
        <v>0</v>
      </c>
      <c r="Y344" s="99">
        <f t="shared" si="255"/>
        <v>0</v>
      </c>
      <c r="Z344" s="99">
        <f t="shared" si="255"/>
        <v>0</v>
      </c>
      <c r="AA344" s="99">
        <f t="shared" si="255"/>
        <v>0</v>
      </c>
      <c r="AB344" s="99">
        <f t="shared" si="255"/>
        <v>0</v>
      </c>
      <c r="AC344" s="99">
        <f t="shared" si="255"/>
        <v>0</v>
      </c>
      <c r="AD344" s="99">
        <f t="shared" si="255"/>
        <v>0</v>
      </c>
      <c r="AE344" s="99">
        <f t="shared" si="255"/>
        <v>0</v>
      </c>
      <c r="AF344" s="99">
        <f t="shared" si="255"/>
        <v>0</v>
      </c>
      <c r="AG344" s="99">
        <f t="shared" si="255"/>
        <v>0</v>
      </c>
      <c r="AH344" s="99">
        <f t="shared" si="255"/>
        <v>0</v>
      </c>
      <c r="AI344" s="99">
        <f t="shared" si="255"/>
        <v>0</v>
      </c>
      <c r="AJ344" s="99">
        <f t="shared" si="255"/>
        <v>0</v>
      </c>
      <c r="AK344" s="99">
        <f t="shared" si="255"/>
        <v>0</v>
      </c>
      <c r="AL344" s="99">
        <f t="shared" si="255"/>
        <v>0</v>
      </c>
      <c r="AM344" s="99">
        <f t="shared" si="255"/>
        <v>0</v>
      </c>
      <c r="AN344" s="99">
        <f t="shared" si="255"/>
        <v>0</v>
      </c>
      <c r="AO344" s="99">
        <f t="shared" si="255"/>
        <v>0</v>
      </c>
      <c r="AP344" s="99">
        <f t="shared" si="255"/>
        <v>0</v>
      </c>
      <c r="AQ344" s="99">
        <f t="shared" si="255"/>
        <v>0</v>
      </c>
      <c r="AR344" s="99">
        <f t="shared" si="255"/>
        <v>0</v>
      </c>
      <c r="AS344" s="99">
        <f t="shared" si="255"/>
        <v>0</v>
      </c>
      <c r="AT344" s="99">
        <f t="shared" si="255"/>
        <v>0</v>
      </c>
      <c r="AU344" s="99">
        <f t="shared" si="255"/>
        <v>0</v>
      </c>
      <c r="AV344" s="99">
        <f t="shared" si="255"/>
        <v>0</v>
      </c>
      <c r="AW344" s="90"/>
      <c r="AX344" s="90"/>
      <c r="AY344" s="90"/>
      <c r="AZ344" s="90"/>
      <c r="BA344" s="90"/>
      <c r="BB344" s="90"/>
      <c r="BC344" s="90"/>
      <c r="BD344" s="90"/>
      <c r="BE344" s="90"/>
      <c r="BF344" s="90"/>
      <c r="BG344" s="90"/>
    </row>
    <row r="345" ht="12.75" customHeight="1" outlineLevel="1">
      <c r="A345" s="316"/>
      <c r="B345" s="90"/>
      <c r="C345" s="90" t="s">
        <v>754</v>
      </c>
      <c r="D345" s="90"/>
      <c r="E345" s="90"/>
      <c r="F345" s="90"/>
      <c r="G345" s="99"/>
      <c r="H345" s="99"/>
      <c r="I345" s="99">
        <v>0.0</v>
      </c>
      <c r="J345" s="99">
        <f>'FY09 P&amp;L'!B193</f>
        <v>20215</v>
      </c>
      <c r="K345" s="99">
        <v>24000.0</v>
      </c>
      <c r="L345" s="99">
        <f t="shared" ref="L345:AV345" si="256">L214</f>
        <v>25000</v>
      </c>
      <c r="M345" s="99">
        <f t="shared" si="256"/>
        <v>25500</v>
      </c>
      <c r="N345" s="99">
        <f t="shared" si="256"/>
        <v>26010</v>
      </c>
      <c r="O345" s="99">
        <f t="shared" si="256"/>
        <v>26530.2</v>
      </c>
      <c r="P345" s="99">
        <f t="shared" si="256"/>
        <v>27060.804</v>
      </c>
      <c r="Q345" s="99">
        <f t="shared" si="256"/>
        <v>27602.02008</v>
      </c>
      <c r="R345" s="99">
        <f t="shared" si="256"/>
        <v>28154.06048</v>
      </c>
      <c r="S345" s="99">
        <f t="shared" si="256"/>
        <v>28717.14169</v>
      </c>
      <c r="T345" s="99">
        <f t="shared" si="256"/>
        <v>29291.48453</v>
      </c>
      <c r="U345" s="99">
        <f t="shared" si="256"/>
        <v>29877.31422</v>
      </c>
      <c r="V345" s="99">
        <f t="shared" si="256"/>
        <v>30474.8605</v>
      </c>
      <c r="W345" s="99">
        <f t="shared" si="256"/>
        <v>31084.35771</v>
      </c>
      <c r="X345" s="99">
        <f t="shared" si="256"/>
        <v>31706.04486</v>
      </c>
      <c r="Y345" s="99">
        <f t="shared" si="256"/>
        <v>32340.16576</v>
      </c>
      <c r="Z345" s="99">
        <f t="shared" si="256"/>
        <v>32986.96908</v>
      </c>
      <c r="AA345" s="99">
        <f t="shared" si="256"/>
        <v>33646.70846</v>
      </c>
      <c r="AB345" s="99">
        <f t="shared" si="256"/>
        <v>34319.64263</v>
      </c>
      <c r="AC345" s="99">
        <f t="shared" si="256"/>
        <v>35006.03548</v>
      </c>
      <c r="AD345" s="99">
        <f t="shared" si="256"/>
        <v>35706.15619</v>
      </c>
      <c r="AE345" s="99">
        <f t="shared" si="256"/>
        <v>36420.27931</v>
      </c>
      <c r="AF345" s="99">
        <f t="shared" si="256"/>
        <v>37148.6849</v>
      </c>
      <c r="AG345" s="99">
        <f t="shared" si="256"/>
        <v>37891.6586</v>
      </c>
      <c r="AH345" s="99">
        <f t="shared" si="256"/>
        <v>38649.49177</v>
      </c>
      <c r="AI345" s="99">
        <f t="shared" si="256"/>
        <v>39422.4816</v>
      </c>
      <c r="AJ345" s="99">
        <f t="shared" si="256"/>
        <v>40210.93124</v>
      </c>
      <c r="AK345" s="99">
        <f t="shared" si="256"/>
        <v>41015.14986</v>
      </c>
      <c r="AL345" s="99">
        <f t="shared" si="256"/>
        <v>41835.45286</v>
      </c>
      <c r="AM345" s="99">
        <f t="shared" si="256"/>
        <v>42672.16192</v>
      </c>
      <c r="AN345" s="99">
        <f t="shared" si="256"/>
        <v>43525.60515</v>
      </c>
      <c r="AO345" s="99">
        <f t="shared" si="256"/>
        <v>44396.11726</v>
      </c>
      <c r="AP345" s="99">
        <f t="shared" si="256"/>
        <v>45284.0396</v>
      </c>
      <c r="AQ345" s="99">
        <f t="shared" si="256"/>
        <v>46189.72039</v>
      </c>
      <c r="AR345" s="99">
        <f t="shared" si="256"/>
        <v>47113.5148</v>
      </c>
      <c r="AS345" s="99">
        <f t="shared" si="256"/>
        <v>48055.7851</v>
      </c>
      <c r="AT345" s="99">
        <f t="shared" si="256"/>
        <v>49016.9008</v>
      </c>
      <c r="AU345" s="99">
        <f t="shared" si="256"/>
        <v>49997.23882</v>
      </c>
      <c r="AV345" s="99">
        <f t="shared" si="256"/>
        <v>50997.18359</v>
      </c>
      <c r="AW345" s="90"/>
      <c r="AX345" s="90"/>
      <c r="AY345" s="90"/>
      <c r="AZ345" s="90"/>
      <c r="BA345" s="90"/>
      <c r="BB345" s="90"/>
      <c r="BC345" s="90"/>
      <c r="BD345" s="90"/>
      <c r="BE345" s="90"/>
      <c r="BF345" s="90"/>
      <c r="BG345" s="90"/>
    </row>
    <row r="346" ht="12.75" customHeight="1" outlineLevel="1">
      <c r="A346" s="316"/>
      <c r="B346" s="90"/>
      <c r="C346" s="90" t="s">
        <v>755</v>
      </c>
      <c r="D346" s="90"/>
      <c r="E346" s="90"/>
      <c r="F346" s="90"/>
      <c r="G346" s="99"/>
      <c r="H346" s="89"/>
      <c r="I346" s="543" t="str">
        <f>'[4]'!H129+'[4]'!H130+'[4]'!H131+'[4]'!H160</f>
        <v>#REF!</v>
      </c>
      <c r="J346" s="99">
        <f>'FY09 P&amp;L'!B179+'FY09 P&amp;L'!B211+'FY09 P&amp;L'!B198+'FY09 P&amp;L'!B187+'FY09 P&amp;L'!B181</f>
        <v>55412.48</v>
      </c>
      <c r="K346" s="99">
        <v>80549.55</v>
      </c>
      <c r="L346" s="99">
        <f t="shared" ref="L346:AV346" si="257">L215</f>
        <v>65000</v>
      </c>
      <c r="M346" s="99">
        <f t="shared" si="257"/>
        <v>66300</v>
      </c>
      <c r="N346" s="99">
        <f t="shared" si="257"/>
        <v>67626</v>
      </c>
      <c r="O346" s="99">
        <f t="shared" si="257"/>
        <v>68978.52</v>
      </c>
      <c r="P346" s="99">
        <f t="shared" si="257"/>
        <v>70358.0904</v>
      </c>
      <c r="Q346" s="99">
        <f t="shared" si="257"/>
        <v>71765.25221</v>
      </c>
      <c r="R346" s="99">
        <f t="shared" si="257"/>
        <v>73200.55725</v>
      </c>
      <c r="S346" s="99">
        <f t="shared" si="257"/>
        <v>74664.5684</v>
      </c>
      <c r="T346" s="99">
        <f t="shared" si="257"/>
        <v>76157.85977</v>
      </c>
      <c r="U346" s="99">
        <f t="shared" si="257"/>
        <v>77681.01696</v>
      </c>
      <c r="V346" s="99">
        <f t="shared" si="257"/>
        <v>79234.6373</v>
      </c>
      <c r="W346" s="99">
        <f t="shared" si="257"/>
        <v>80819.33005</v>
      </c>
      <c r="X346" s="99">
        <f t="shared" si="257"/>
        <v>82435.71665</v>
      </c>
      <c r="Y346" s="99">
        <f t="shared" si="257"/>
        <v>84084.43098</v>
      </c>
      <c r="Z346" s="99">
        <f t="shared" si="257"/>
        <v>85766.1196</v>
      </c>
      <c r="AA346" s="99">
        <f t="shared" si="257"/>
        <v>87481.44199</v>
      </c>
      <c r="AB346" s="99">
        <f t="shared" si="257"/>
        <v>89231.07083</v>
      </c>
      <c r="AC346" s="99">
        <f t="shared" si="257"/>
        <v>91015.69225</v>
      </c>
      <c r="AD346" s="99">
        <f t="shared" si="257"/>
        <v>92836.00609</v>
      </c>
      <c r="AE346" s="99">
        <f t="shared" si="257"/>
        <v>94692.72621</v>
      </c>
      <c r="AF346" s="99">
        <f t="shared" si="257"/>
        <v>96586.58074</v>
      </c>
      <c r="AG346" s="99">
        <f t="shared" si="257"/>
        <v>98518.31235</v>
      </c>
      <c r="AH346" s="99">
        <f t="shared" si="257"/>
        <v>100488.6786</v>
      </c>
      <c r="AI346" s="99">
        <f t="shared" si="257"/>
        <v>102498.4522</v>
      </c>
      <c r="AJ346" s="99">
        <f t="shared" si="257"/>
        <v>104548.4212</v>
      </c>
      <c r="AK346" s="99">
        <f t="shared" si="257"/>
        <v>106639.3896</v>
      </c>
      <c r="AL346" s="99">
        <f t="shared" si="257"/>
        <v>108772.1774</v>
      </c>
      <c r="AM346" s="99">
        <f t="shared" si="257"/>
        <v>110947.621</v>
      </c>
      <c r="AN346" s="99">
        <f t="shared" si="257"/>
        <v>113166.5734</v>
      </c>
      <c r="AO346" s="99">
        <f t="shared" si="257"/>
        <v>115429.9049</v>
      </c>
      <c r="AP346" s="99">
        <f t="shared" si="257"/>
        <v>117738.503</v>
      </c>
      <c r="AQ346" s="99">
        <f t="shared" si="257"/>
        <v>120093.273</v>
      </c>
      <c r="AR346" s="99">
        <f t="shared" si="257"/>
        <v>122495.1385</v>
      </c>
      <c r="AS346" s="99">
        <f t="shared" si="257"/>
        <v>124945.0413</v>
      </c>
      <c r="AT346" s="99">
        <f t="shared" si="257"/>
        <v>127443.9421</v>
      </c>
      <c r="AU346" s="99">
        <f t="shared" si="257"/>
        <v>129992.8209</v>
      </c>
      <c r="AV346" s="99">
        <f t="shared" si="257"/>
        <v>132592.6773</v>
      </c>
      <c r="AW346" s="90"/>
      <c r="AX346" s="90"/>
      <c r="AY346" s="90"/>
      <c r="AZ346" s="90"/>
      <c r="BA346" s="90"/>
      <c r="BB346" s="90"/>
      <c r="BC346" s="90"/>
      <c r="BD346" s="90"/>
      <c r="BE346" s="90"/>
      <c r="BF346" s="90"/>
      <c r="BG346" s="90"/>
    </row>
    <row r="347" ht="12.75" customHeight="1" outlineLevel="1">
      <c r="A347" s="316"/>
      <c r="B347" s="90"/>
      <c r="C347" s="90" t="s">
        <v>1222</v>
      </c>
      <c r="D347" s="90"/>
      <c r="E347" s="90"/>
      <c r="F347" s="90"/>
      <c r="G347" s="99"/>
      <c r="H347" s="89"/>
      <c r="I347" s="543"/>
      <c r="J347" s="99">
        <f>'FY09 P&amp;L'!B213</f>
        <v>16332</v>
      </c>
      <c r="K347" s="99"/>
      <c r="L347" s="99">
        <v>0.0</v>
      </c>
      <c r="M347" s="99"/>
      <c r="N347" s="99"/>
      <c r="O347" s="99"/>
      <c r="P347" s="99"/>
      <c r="Q347" s="99"/>
      <c r="R347" s="99"/>
      <c r="S347" s="99"/>
      <c r="T347" s="99"/>
      <c r="U347" s="99"/>
      <c r="V347" s="99"/>
      <c r="W347" s="99"/>
      <c r="X347" s="99"/>
      <c r="Y347" s="99"/>
      <c r="Z347" s="99"/>
      <c r="AA347" s="99"/>
      <c r="AB347" s="99"/>
      <c r="AC347" s="99"/>
      <c r="AD347" s="99"/>
      <c r="AE347" s="99"/>
      <c r="AF347" s="99"/>
      <c r="AG347" s="99"/>
      <c r="AH347" s="99"/>
      <c r="AI347" s="99"/>
      <c r="AJ347" s="99"/>
      <c r="AK347" s="99"/>
      <c r="AL347" s="99"/>
      <c r="AM347" s="99"/>
      <c r="AN347" s="99"/>
      <c r="AO347" s="99"/>
      <c r="AP347" s="99"/>
      <c r="AQ347" s="99"/>
      <c r="AR347" s="99"/>
      <c r="AS347" s="99"/>
      <c r="AT347" s="99"/>
      <c r="AU347" s="99"/>
      <c r="AV347" s="99"/>
      <c r="AW347" s="90"/>
      <c r="AX347" s="90"/>
      <c r="AY347" s="90"/>
      <c r="AZ347" s="90"/>
      <c r="BA347" s="90"/>
      <c r="BB347" s="90"/>
      <c r="BC347" s="90"/>
      <c r="BD347" s="90"/>
      <c r="BE347" s="90"/>
      <c r="BF347" s="90"/>
      <c r="BG347" s="90"/>
    </row>
    <row r="348" ht="12.75" customHeight="1" outlineLevel="1">
      <c r="A348" s="316"/>
      <c r="B348" s="67"/>
      <c r="C348" s="90" t="s">
        <v>822</v>
      </c>
      <c r="D348" s="90"/>
      <c r="E348" s="90"/>
      <c r="F348" s="90"/>
      <c r="G348" s="99"/>
      <c r="H348" s="99"/>
      <c r="I348" s="543"/>
      <c r="J348" s="99">
        <f>'FY09 P&amp;L'!B194</f>
        <v>39641.31</v>
      </c>
      <c r="K348" s="99">
        <v>35625.84</v>
      </c>
      <c r="L348" s="99">
        <f t="shared" ref="L348:AV348" si="258">L216*L146</f>
        <v>32000</v>
      </c>
      <c r="M348" s="99">
        <f t="shared" si="258"/>
        <v>32640</v>
      </c>
      <c r="N348" s="99">
        <f t="shared" si="258"/>
        <v>29131.2</v>
      </c>
      <c r="O348" s="99">
        <f t="shared" si="258"/>
        <v>29713.824</v>
      </c>
      <c r="P348" s="99">
        <f t="shared" si="258"/>
        <v>21648.6432</v>
      </c>
      <c r="Q348" s="99">
        <f t="shared" si="258"/>
        <v>22081.61606</v>
      </c>
      <c r="R348" s="99">
        <f t="shared" si="258"/>
        <v>22523.24839</v>
      </c>
      <c r="S348" s="99">
        <f t="shared" si="258"/>
        <v>22973.71335</v>
      </c>
      <c r="T348" s="99">
        <f t="shared" si="258"/>
        <v>23433.18762</v>
      </c>
      <c r="U348" s="99">
        <f t="shared" si="258"/>
        <v>23901.85137</v>
      </c>
      <c r="V348" s="99">
        <f t="shared" si="258"/>
        <v>24379.8884</v>
      </c>
      <c r="W348" s="99">
        <f t="shared" si="258"/>
        <v>24867.48617</v>
      </c>
      <c r="X348" s="99">
        <f t="shared" si="258"/>
        <v>25364.83589</v>
      </c>
      <c r="Y348" s="99">
        <f t="shared" si="258"/>
        <v>25872.13261</v>
      </c>
      <c r="Z348" s="99">
        <f t="shared" si="258"/>
        <v>26389.57526</v>
      </c>
      <c r="AA348" s="99">
        <f t="shared" si="258"/>
        <v>26917.36677</v>
      </c>
      <c r="AB348" s="99">
        <f t="shared" si="258"/>
        <v>27455.7141</v>
      </c>
      <c r="AC348" s="99">
        <f t="shared" si="258"/>
        <v>28004.82838</v>
      </c>
      <c r="AD348" s="99">
        <f t="shared" si="258"/>
        <v>28564.92495</v>
      </c>
      <c r="AE348" s="99">
        <f t="shared" si="258"/>
        <v>29136.22345</v>
      </c>
      <c r="AF348" s="99">
        <f t="shared" si="258"/>
        <v>29718.94792</v>
      </c>
      <c r="AG348" s="99">
        <f t="shared" si="258"/>
        <v>30313.32688</v>
      </c>
      <c r="AH348" s="99">
        <f t="shared" si="258"/>
        <v>30919.59342</v>
      </c>
      <c r="AI348" s="99">
        <f t="shared" si="258"/>
        <v>31537.98528</v>
      </c>
      <c r="AJ348" s="99">
        <f t="shared" si="258"/>
        <v>32168.74499</v>
      </c>
      <c r="AK348" s="99">
        <f t="shared" si="258"/>
        <v>32812.11989</v>
      </c>
      <c r="AL348" s="99">
        <f t="shared" si="258"/>
        <v>33468.36229</v>
      </c>
      <c r="AM348" s="99">
        <f t="shared" si="258"/>
        <v>34137.72953</v>
      </c>
      <c r="AN348" s="99">
        <f t="shared" si="258"/>
        <v>34820.48412</v>
      </c>
      <c r="AO348" s="99">
        <f t="shared" si="258"/>
        <v>35516.89381</v>
      </c>
      <c r="AP348" s="99">
        <f t="shared" si="258"/>
        <v>36227.23168</v>
      </c>
      <c r="AQ348" s="99">
        <f t="shared" si="258"/>
        <v>36951.77632</v>
      </c>
      <c r="AR348" s="99">
        <f t="shared" si="258"/>
        <v>37690.81184</v>
      </c>
      <c r="AS348" s="99">
        <f t="shared" si="258"/>
        <v>38444.62808</v>
      </c>
      <c r="AT348" s="99">
        <f t="shared" si="258"/>
        <v>39213.52064</v>
      </c>
      <c r="AU348" s="99">
        <f t="shared" si="258"/>
        <v>39997.79105</v>
      </c>
      <c r="AV348" s="99">
        <f t="shared" si="258"/>
        <v>40797.74687</v>
      </c>
      <c r="AW348" s="90"/>
      <c r="AX348" s="90"/>
      <c r="AY348" s="90"/>
      <c r="AZ348" s="90"/>
      <c r="BA348" s="90"/>
      <c r="BB348" s="90"/>
      <c r="BC348" s="90"/>
      <c r="BD348" s="90"/>
      <c r="BE348" s="90"/>
      <c r="BF348" s="90"/>
      <c r="BG348" s="90"/>
    </row>
    <row r="349" ht="12.75" customHeight="1" outlineLevel="1">
      <c r="A349" s="316"/>
      <c r="B349" s="67"/>
      <c r="C349" s="90" t="s">
        <v>332</v>
      </c>
      <c r="D349" s="90"/>
      <c r="E349" s="90"/>
      <c r="F349" s="90"/>
      <c r="G349" s="99"/>
      <c r="H349" s="99"/>
      <c r="I349" s="543"/>
      <c r="J349" s="99">
        <v>0.0</v>
      </c>
      <c r="K349" s="99"/>
      <c r="L349" s="99">
        <f>'RSGen 1-7'!I348</f>
        <v>20000</v>
      </c>
      <c r="M349" s="99">
        <f t="shared" ref="M349:AV349" si="259">L349*(1+M194)</f>
        <v>20400</v>
      </c>
      <c r="N349" s="99">
        <f t="shared" si="259"/>
        <v>20808</v>
      </c>
      <c r="O349" s="99">
        <f t="shared" si="259"/>
        <v>21224.16</v>
      </c>
      <c r="P349" s="99">
        <f t="shared" si="259"/>
        <v>21648.6432</v>
      </c>
      <c r="Q349" s="99">
        <f t="shared" si="259"/>
        <v>22081.61606</v>
      </c>
      <c r="R349" s="99">
        <f t="shared" si="259"/>
        <v>22523.24839</v>
      </c>
      <c r="S349" s="99">
        <f t="shared" si="259"/>
        <v>22973.71335</v>
      </c>
      <c r="T349" s="99">
        <f t="shared" si="259"/>
        <v>23433.18762</v>
      </c>
      <c r="U349" s="99">
        <f t="shared" si="259"/>
        <v>23901.85137</v>
      </c>
      <c r="V349" s="99">
        <f t="shared" si="259"/>
        <v>24379.8884</v>
      </c>
      <c r="W349" s="99">
        <f t="shared" si="259"/>
        <v>24867.48617</v>
      </c>
      <c r="X349" s="99">
        <f t="shared" si="259"/>
        <v>25364.83589</v>
      </c>
      <c r="Y349" s="99">
        <f t="shared" si="259"/>
        <v>25872.13261</v>
      </c>
      <c r="Z349" s="99">
        <f t="shared" si="259"/>
        <v>26389.57526</v>
      </c>
      <c r="AA349" s="99">
        <f t="shared" si="259"/>
        <v>26917.36677</v>
      </c>
      <c r="AB349" s="99">
        <f t="shared" si="259"/>
        <v>27455.7141</v>
      </c>
      <c r="AC349" s="99">
        <f t="shared" si="259"/>
        <v>28004.82838</v>
      </c>
      <c r="AD349" s="99">
        <f t="shared" si="259"/>
        <v>28564.92495</v>
      </c>
      <c r="AE349" s="99">
        <f t="shared" si="259"/>
        <v>29136.22345</v>
      </c>
      <c r="AF349" s="99">
        <f t="shared" si="259"/>
        <v>29718.94792</v>
      </c>
      <c r="AG349" s="99">
        <f t="shared" si="259"/>
        <v>30313.32688</v>
      </c>
      <c r="AH349" s="99">
        <f t="shared" si="259"/>
        <v>30919.59342</v>
      </c>
      <c r="AI349" s="99">
        <f t="shared" si="259"/>
        <v>31537.98528</v>
      </c>
      <c r="AJ349" s="99">
        <f t="shared" si="259"/>
        <v>32168.74499</v>
      </c>
      <c r="AK349" s="99">
        <f t="shared" si="259"/>
        <v>32812.11989</v>
      </c>
      <c r="AL349" s="99">
        <f t="shared" si="259"/>
        <v>33468.36229</v>
      </c>
      <c r="AM349" s="99">
        <f t="shared" si="259"/>
        <v>34137.72953</v>
      </c>
      <c r="AN349" s="99">
        <f t="shared" si="259"/>
        <v>34820.48412</v>
      </c>
      <c r="AO349" s="99">
        <f t="shared" si="259"/>
        <v>35516.89381</v>
      </c>
      <c r="AP349" s="99">
        <f t="shared" si="259"/>
        <v>36227.23168</v>
      </c>
      <c r="AQ349" s="99">
        <f t="shared" si="259"/>
        <v>36951.77632</v>
      </c>
      <c r="AR349" s="99">
        <f t="shared" si="259"/>
        <v>37690.81184</v>
      </c>
      <c r="AS349" s="99">
        <f t="shared" si="259"/>
        <v>38444.62808</v>
      </c>
      <c r="AT349" s="99">
        <f t="shared" si="259"/>
        <v>39213.52064</v>
      </c>
      <c r="AU349" s="99">
        <f t="shared" si="259"/>
        <v>39997.79105</v>
      </c>
      <c r="AV349" s="99">
        <f t="shared" si="259"/>
        <v>40797.74687</v>
      </c>
      <c r="AW349" s="90"/>
      <c r="AX349" s="90"/>
      <c r="AY349" s="90"/>
      <c r="AZ349" s="90"/>
      <c r="BA349" s="90"/>
      <c r="BB349" s="90"/>
      <c r="BC349" s="90"/>
      <c r="BD349" s="90"/>
      <c r="BE349" s="90"/>
      <c r="BF349" s="90"/>
      <c r="BG349" s="90"/>
    </row>
    <row r="350" ht="12.75" customHeight="1" outlineLevel="1">
      <c r="A350" s="316"/>
      <c r="B350" s="90"/>
      <c r="C350" s="90" t="s">
        <v>1223</v>
      </c>
      <c r="D350" s="90"/>
      <c r="E350" s="90"/>
      <c r="F350" s="90"/>
      <c r="G350" s="99"/>
      <c r="H350" s="89"/>
      <c r="I350" s="543" t="str">
        <f>'[4]'!H175+'[4]'!H182</f>
        <v>#REF!</v>
      </c>
      <c r="J350" s="99">
        <v>0.0</v>
      </c>
      <c r="K350" s="99"/>
      <c r="L350" s="99">
        <v>0.0</v>
      </c>
      <c r="M350" s="99">
        <v>0.0</v>
      </c>
      <c r="N350" s="99">
        <v>0.0</v>
      </c>
      <c r="O350" s="99">
        <v>0.0</v>
      </c>
      <c r="P350" s="99">
        <v>0.0</v>
      </c>
      <c r="Q350" s="99">
        <v>0.0</v>
      </c>
      <c r="R350" s="99">
        <v>0.0</v>
      </c>
      <c r="S350" s="99">
        <v>0.0</v>
      </c>
      <c r="T350" s="99">
        <v>0.0</v>
      </c>
      <c r="U350" s="99">
        <v>0.0</v>
      </c>
      <c r="V350" s="99">
        <v>0.0</v>
      </c>
      <c r="W350" s="99">
        <v>0.0</v>
      </c>
      <c r="X350" s="99">
        <v>0.0</v>
      </c>
      <c r="Y350" s="99">
        <v>0.0</v>
      </c>
      <c r="Z350" s="99">
        <v>0.0</v>
      </c>
      <c r="AA350" s="99">
        <v>0.0</v>
      </c>
      <c r="AB350" s="99">
        <v>0.0</v>
      </c>
      <c r="AC350" s="99">
        <v>0.0</v>
      </c>
      <c r="AD350" s="99">
        <v>0.0</v>
      </c>
      <c r="AE350" s="99">
        <v>0.0</v>
      </c>
      <c r="AF350" s="99">
        <v>0.0</v>
      </c>
      <c r="AG350" s="99">
        <v>0.0</v>
      </c>
      <c r="AH350" s="99">
        <v>0.0</v>
      </c>
      <c r="AI350" s="99">
        <v>0.0</v>
      </c>
      <c r="AJ350" s="99">
        <v>0.0</v>
      </c>
      <c r="AK350" s="99">
        <v>0.0</v>
      </c>
      <c r="AL350" s="99">
        <v>0.0</v>
      </c>
      <c r="AM350" s="99">
        <v>0.0</v>
      </c>
      <c r="AN350" s="99">
        <v>0.0</v>
      </c>
      <c r="AO350" s="99">
        <v>0.0</v>
      </c>
      <c r="AP350" s="99">
        <v>0.0</v>
      </c>
      <c r="AQ350" s="99">
        <v>0.0</v>
      </c>
      <c r="AR350" s="99">
        <v>0.0</v>
      </c>
      <c r="AS350" s="99">
        <v>0.0</v>
      </c>
      <c r="AT350" s="99">
        <v>0.0</v>
      </c>
      <c r="AU350" s="99">
        <v>0.0</v>
      </c>
      <c r="AV350" s="99">
        <v>0.0</v>
      </c>
      <c r="AW350" s="90"/>
      <c r="AX350" s="90"/>
      <c r="AY350" s="90"/>
      <c r="AZ350" s="90"/>
      <c r="BA350" s="90"/>
      <c r="BB350" s="90"/>
      <c r="BC350" s="90"/>
      <c r="BD350" s="90"/>
      <c r="BE350" s="90"/>
      <c r="BF350" s="90"/>
      <c r="BG350" s="90"/>
    </row>
    <row r="351" ht="12.75" customHeight="1" outlineLevel="1">
      <c r="A351" s="316"/>
      <c r="B351" s="90"/>
      <c r="C351" s="90" t="s">
        <v>823</v>
      </c>
      <c r="D351" s="90"/>
      <c r="E351" s="90"/>
      <c r="F351" s="90"/>
      <c r="G351" s="99"/>
      <c r="H351" s="99"/>
      <c r="I351" s="99"/>
      <c r="J351" s="99"/>
      <c r="K351" s="99"/>
      <c r="L351" s="99"/>
      <c r="M351" s="99"/>
      <c r="N351" s="99"/>
      <c r="O351" s="99"/>
      <c r="P351" s="99"/>
      <c r="Q351" s="99"/>
      <c r="R351" s="99"/>
      <c r="S351" s="99"/>
      <c r="T351" s="99"/>
      <c r="U351" s="99"/>
      <c r="V351" s="99"/>
      <c r="W351" s="99"/>
      <c r="X351" s="99"/>
      <c r="Y351" s="99"/>
      <c r="Z351" s="99"/>
      <c r="AA351" s="99"/>
      <c r="AB351" s="99"/>
      <c r="AC351" s="99"/>
      <c r="AD351" s="99"/>
      <c r="AE351" s="99"/>
      <c r="AF351" s="99"/>
      <c r="AG351" s="99"/>
      <c r="AH351" s="99"/>
      <c r="AI351" s="99"/>
      <c r="AJ351" s="99"/>
      <c r="AK351" s="99"/>
      <c r="AL351" s="99"/>
      <c r="AM351" s="99"/>
      <c r="AN351" s="99"/>
      <c r="AO351" s="99"/>
      <c r="AP351" s="99"/>
      <c r="AQ351" s="99"/>
      <c r="AR351" s="99"/>
      <c r="AS351" s="99"/>
      <c r="AT351" s="99"/>
      <c r="AU351" s="99"/>
      <c r="AV351" s="99"/>
      <c r="AW351" s="90"/>
      <c r="AX351" s="90"/>
      <c r="AY351" s="90"/>
      <c r="AZ351" s="90"/>
      <c r="BA351" s="90"/>
      <c r="BB351" s="90"/>
      <c r="BC351" s="90"/>
      <c r="BD351" s="90"/>
      <c r="BE351" s="90"/>
      <c r="BF351" s="90"/>
      <c r="BG351" s="90"/>
    </row>
    <row r="352" ht="12.75" customHeight="1" outlineLevel="1">
      <c r="A352" s="316"/>
      <c r="B352" s="90"/>
      <c r="C352" s="90"/>
      <c r="D352" s="90" t="s">
        <v>339</v>
      </c>
      <c r="E352" s="90"/>
      <c r="F352" s="90"/>
      <c r="G352" s="99"/>
      <c r="H352" s="99"/>
      <c r="I352" s="547" t="str">
        <f>'[4]'!H119+'[4]'!H123</f>
        <v>#REF!</v>
      </c>
      <c r="J352" s="99">
        <f>'FY09 P&amp;L'!B170</f>
        <v>2537.66</v>
      </c>
      <c r="K352" s="99">
        <v>2411.93</v>
      </c>
      <c r="L352" s="99">
        <f t="shared" ref="L352:AV352" si="260">L218</f>
        <v>600</v>
      </c>
      <c r="M352" s="99">
        <f t="shared" si="260"/>
        <v>612</v>
      </c>
      <c r="N352" s="99">
        <f t="shared" si="260"/>
        <v>624.24</v>
      </c>
      <c r="O352" s="99">
        <f t="shared" si="260"/>
        <v>636.7248</v>
      </c>
      <c r="P352" s="99">
        <f t="shared" si="260"/>
        <v>649.459296</v>
      </c>
      <c r="Q352" s="99">
        <f t="shared" si="260"/>
        <v>662.4484819</v>
      </c>
      <c r="R352" s="99">
        <f t="shared" si="260"/>
        <v>675.6974516</v>
      </c>
      <c r="S352" s="99">
        <f t="shared" si="260"/>
        <v>689.2114006</v>
      </c>
      <c r="T352" s="99">
        <f t="shared" si="260"/>
        <v>702.9956286</v>
      </c>
      <c r="U352" s="99">
        <f t="shared" si="260"/>
        <v>717.0555412</v>
      </c>
      <c r="V352" s="99">
        <f t="shared" si="260"/>
        <v>731.396652</v>
      </c>
      <c r="W352" s="99">
        <f t="shared" si="260"/>
        <v>746.024585</v>
      </c>
      <c r="X352" s="99">
        <f t="shared" si="260"/>
        <v>760.9450767</v>
      </c>
      <c r="Y352" s="99">
        <f t="shared" si="260"/>
        <v>776.1639783</v>
      </c>
      <c r="Z352" s="99">
        <f t="shared" si="260"/>
        <v>791.6872578</v>
      </c>
      <c r="AA352" s="99">
        <f t="shared" si="260"/>
        <v>807.521003</v>
      </c>
      <c r="AB352" s="99">
        <f t="shared" si="260"/>
        <v>823.6714231</v>
      </c>
      <c r="AC352" s="99">
        <f t="shared" si="260"/>
        <v>840.1448515</v>
      </c>
      <c r="AD352" s="99">
        <f t="shared" si="260"/>
        <v>856.9477485</v>
      </c>
      <c r="AE352" s="99">
        <f t="shared" si="260"/>
        <v>874.0867035</v>
      </c>
      <c r="AF352" s="99">
        <f t="shared" si="260"/>
        <v>891.5684376</v>
      </c>
      <c r="AG352" s="99">
        <f t="shared" si="260"/>
        <v>909.3998063</v>
      </c>
      <c r="AH352" s="99">
        <f t="shared" si="260"/>
        <v>927.5878025</v>
      </c>
      <c r="AI352" s="99">
        <f t="shared" si="260"/>
        <v>946.1395585</v>
      </c>
      <c r="AJ352" s="99">
        <f t="shared" si="260"/>
        <v>965.0623497</v>
      </c>
      <c r="AK352" s="99">
        <f t="shared" si="260"/>
        <v>984.3635967</v>
      </c>
      <c r="AL352" s="99">
        <f t="shared" si="260"/>
        <v>1004.050869</v>
      </c>
      <c r="AM352" s="99">
        <f t="shared" si="260"/>
        <v>1024.131886</v>
      </c>
      <c r="AN352" s="99">
        <f t="shared" si="260"/>
        <v>1044.614524</v>
      </c>
      <c r="AO352" s="99">
        <f t="shared" si="260"/>
        <v>1065.506814</v>
      </c>
      <c r="AP352" s="99">
        <f t="shared" si="260"/>
        <v>1086.81695</v>
      </c>
      <c r="AQ352" s="99">
        <f t="shared" si="260"/>
        <v>1108.553289</v>
      </c>
      <c r="AR352" s="99">
        <f t="shared" si="260"/>
        <v>1130.724355</v>
      </c>
      <c r="AS352" s="99">
        <f t="shared" si="260"/>
        <v>1153.338842</v>
      </c>
      <c r="AT352" s="99">
        <f t="shared" si="260"/>
        <v>1176.405619</v>
      </c>
      <c r="AU352" s="99">
        <f t="shared" si="260"/>
        <v>1199.933732</v>
      </c>
      <c r="AV352" s="99">
        <f t="shared" si="260"/>
        <v>1223.932406</v>
      </c>
      <c r="AW352" s="90"/>
      <c r="AX352" s="90"/>
      <c r="AY352" s="90"/>
      <c r="AZ352" s="90"/>
      <c r="BA352" s="90"/>
      <c r="BB352" s="90"/>
      <c r="BC352" s="90"/>
      <c r="BD352" s="90"/>
      <c r="BE352" s="90"/>
      <c r="BF352" s="90"/>
      <c r="BG352" s="90"/>
    </row>
    <row r="353" ht="12.75" customHeight="1" outlineLevel="1">
      <c r="A353" s="316"/>
      <c r="B353" s="90"/>
      <c r="C353" s="90"/>
      <c r="D353" s="90" t="s">
        <v>824</v>
      </c>
      <c r="E353" s="90"/>
      <c r="F353" s="90"/>
      <c r="G353" s="99"/>
      <c r="H353" s="99"/>
      <c r="I353" s="543" t="str">
        <f>'[4]'!H133</f>
        <v>#REF!</v>
      </c>
      <c r="J353" s="99">
        <f>'FY09 P&amp;L'!B183</f>
        <v>30759.29</v>
      </c>
      <c r="K353" s="99">
        <v>34145.82</v>
      </c>
      <c r="L353" s="99">
        <f t="shared" ref="L353:AV353" si="261">L219</f>
        <v>30000</v>
      </c>
      <c r="M353" s="99">
        <f t="shared" si="261"/>
        <v>30600</v>
      </c>
      <c r="N353" s="99">
        <f t="shared" si="261"/>
        <v>31212</v>
      </c>
      <c r="O353" s="99">
        <f t="shared" si="261"/>
        <v>31836.24</v>
      </c>
      <c r="P353" s="99">
        <f t="shared" si="261"/>
        <v>32472.9648</v>
      </c>
      <c r="Q353" s="99">
        <f t="shared" si="261"/>
        <v>33122.4241</v>
      </c>
      <c r="R353" s="99">
        <f t="shared" si="261"/>
        <v>33784.87258</v>
      </c>
      <c r="S353" s="99">
        <f t="shared" si="261"/>
        <v>34460.57003</v>
      </c>
      <c r="T353" s="99">
        <f t="shared" si="261"/>
        <v>35149.78143</v>
      </c>
      <c r="U353" s="99">
        <f t="shared" si="261"/>
        <v>35852.77706</v>
      </c>
      <c r="V353" s="99">
        <f t="shared" si="261"/>
        <v>36569.8326</v>
      </c>
      <c r="W353" s="99">
        <f t="shared" si="261"/>
        <v>37301.22925</v>
      </c>
      <c r="X353" s="99">
        <f t="shared" si="261"/>
        <v>38047.25384</v>
      </c>
      <c r="Y353" s="99">
        <f t="shared" si="261"/>
        <v>38808.19891</v>
      </c>
      <c r="Z353" s="99">
        <f t="shared" si="261"/>
        <v>39584.36289</v>
      </c>
      <c r="AA353" s="99">
        <f t="shared" si="261"/>
        <v>40376.05015</v>
      </c>
      <c r="AB353" s="99">
        <f t="shared" si="261"/>
        <v>41183.57115</v>
      </c>
      <c r="AC353" s="99">
        <f t="shared" si="261"/>
        <v>42007.24258</v>
      </c>
      <c r="AD353" s="99">
        <f t="shared" si="261"/>
        <v>42847.38743</v>
      </c>
      <c r="AE353" s="99">
        <f t="shared" si="261"/>
        <v>43704.33518</v>
      </c>
      <c r="AF353" s="99">
        <f t="shared" si="261"/>
        <v>44578.42188</v>
      </c>
      <c r="AG353" s="99">
        <f t="shared" si="261"/>
        <v>45469.99032</v>
      </c>
      <c r="AH353" s="99">
        <f t="shared" si="261"/>
        <v>46379.39012</v>
      </c>
      <c r="AI353" s="99">
        <f t="shared" si="261"/>
        <v>47306.97793</v>
      </c>
      <c r="AJ353" s="99">
        <f t="shared" si="261"/>
        <v>48253.11748</v>
      </c>
      <c r="AK353" s="99">
        <f t="shared" si="261"/>
        <v>49218.17983</v>
      </c>
      <c r="AL353" s="99">
        <f t="shared" si="261"/>
        <v>50202.54343</v>
      </c>
      <c r="AM353" s="99">
        <f t="shared" si="261"/>
        <v>51206.5943</v>
      </c>
      <c r="AN353" s="99">
        <f t="shared" si="261"/>
        <v>52230.72619</v>
      </c>
      <c r="AO353" s="99">
        <f t="shared" si="261"/>
        <v>53275.34071</v>
      </c>
      <c r="AP353" s="99">
        <f t="shared" si="261"/>
        <v>54340.84752</v>
      </c>
      <c r="AQ353" s="99">
        <f t="shared" si="261"/>
        <v>55427.66447</v>
      </c>
      <c r="AR353" s="99">
        <f t="shared" si="261"/>
        <v>56536.21776</v>
      </c>
      <c r="AS353" s="99">
        <f t="shared" si="261"/>
        <v>57666.94212</v>
      </c>
      <c r="AT353" s="99">
        <f t="shared" si="261"/>
        <v>58820.28096</v>
      </c>
      <c r="AU353" s="99">
        <f t="shared" si="261"/>
        <v>59996.68658</v>
      </c>
      <c r="AV353" s="99">
        <f t="shared" si="261"/>
        <v>61196.62031</v>
      </c>
      <c r="AW353" s="90"/>
      <c r="AX353" s="90"/>
      <c r="AY353" s="90"/>
      <c r="AZ353" s="90"/>
      <c r="BA353" s="90"/>
      <c r="BB353" s="90"/>
      <c r="BC353" s="90"/>
      <c r="BD353" s="90"/>
      <c r="BE353" s="90"/>
      <c r="BF353" s="90"/>
      <c r="BG353" s="90"/>
    </row>
    <row r="354" ht="12.75" customHeight="1" outlineLevel="1">
      <c r="A354" s="316"/>
      <c r="B354" s="90"/>
      <c r="C354" s="90"/>
      <c r="D354" s="90" t="s">
        <v>376</v>
      </c>
      <c r="E354" s="90"/>
      <c r="F354" s="90"/>
      <c r="G354" s="99"/>
      <c r="H354" s="99"/>
      <c r="I354" s="543" t="str">
        <f>'[4]'!H144</f>
        <v>#REF!</v>
      </c>
      <c r="J354" s="99">
        <f>'FY09 P&amp;L'!B206</f>
        <v>23807.61</v>
      </c>
      <c r="K354" s="99"/>
      <c r="L354" s="99">
        <f t="shared" ref="L354:AV354" si="262">L220</f>
        <v>8000</v>
      </c>
      <c r="M354" s="99">
        <f t="shared" si="262"/>
        <v>8160</v>
      </c>
      <c r="N354" s="99">
        <f t="shared" si="262"/>
        <v>8323.2</v>
      </c>
      <c r="O354" s="99">
        <f t="shared" si="262"/>
        <v>8489.664</v>
      </c>
      <c r="P354" s="99">
        <f t="shared" si="262"/>
        <v>8659.45728</v>
      </c>
      <c r="Q354" s="99">
        <f t="shared" si="262"/>
        <v>8832.646426</v>
      </c>
      <c r="R354" s="99">
        <f t="shared" si="262"/>
        <v>9009.299354</v>
      </c>
      <c r="S354" s="99">
        <f t="shared" si="262"/>
        <v>9189.485341</v>
      </c>
      <c r="T354" s="99">
        <f t="shared" si="262"/>
        <v>9373.275048</v>
      </c>
      <c r="U354" s="99">
        <f t="shared" si="262"/>
        <v>9560.740549</v>
      </c>
      <c r="V354" s="99">
        <f t="shared" si="262"/>
        <v>9751.95536</v>
      </c>
      <c r="W354" s="99">
        <f t="shared" si="262"/>
        <v>9946.994467</v>
      </c>
      <c r="X354" s="99">
        <f t="shared" si="262"/>
        <v>10145.93436</v>
      </c>
      <c r="Y354" s="99">
        <f t="shared" si="262"/>
        <v>10348.85304</v>
      </c>
      <c r="Z354" s="99">
        <f t="shared" si="262"/>
        <v>10555.8301</v>
      </c>
      <c r="AA354" s="99">
        <f t="shared" si="262"/>
        <v>10766.94671</v>
      </c>
      <c r="AB354" s="99">
        <f t="shared" si="262"/>
        <v>10982.28564</v>
      </c>
      <c r="AC354" s="99">
        <f t="shared" si="262"/>
        <v>11201.93135</v>
      </c>
      <c r="AD354" s="99">
        <f t="shared" si="262"/>
        <v>11425.96998</v>
      </c>
      <c r="AE354" s="99">
        <f t="shared" si="262"/>
        <v>11654.48938</v>
      </c>
      <c r="AF354" s="99">
        <f t="shared" si="262"/>
        <v>11887.57917</v>
      </c>
      <c r="AG354" s="99">
        <f t="shared" si="262"/>
        <v>12125.33075</v>
      </c>
      <c r="AH354" s="99">
        <f t="shared" si="262"/>
        <v>12367.83737</v>
      </c>
      <c r="AI354" s="99">
        <f t="shared" si="262"/>
        <v>12615.19411</v>
      </c>
      <c r="AJ354" s="99">
        <f t="shared" si="262"/>
        <v>12867.498</v>
      </c>
      <c r="AK354" s="99">
        <f t="shared" si="262"/>
        <v>13124.84796</v>
      </c>
      <c r="AL354" s="99">
        <f t="shared" si="262"/>
        <v>13387.34491</v>
      </c>
      <c r="AM354" s="99">
        <f t="shared" si="262"/>
        <v>13655.09181</v>
      </c>
      <c r="AN354" s="99">
        <f t="shared" si="262"/>
        <v>13928.19365</v>
      </c>
      <c r="AO354" s="99">
        <f t="shared" si="262"/>
        <v>14206.75752</v>
      </c>
      <c r="AP354" s="99">
        <f t="shared" si="262"/>
        <v>14490.89267</v>
      </c>
      <c r="AQ354" s="99">
        <f t="shared" si="262"/>
        <v>14780.71053</v>
      </c>
      <c r="AR354" s="99">
        <f t="shared" si="262"/>
        <v>15076.32474</v>
      </c>
      <c r="AS354" s="99">
        <f t="shared" si="262"/>
        <v>15377.85123</v>
      </c>
      <c r="AT354" s="99">
        <f t="shared" si="262"/>
        <v>15685.40826</v>
      </c>
      <c r="AU354" s="99">
        <f t="shared" si="262"/>
        <v>15999.11642</v>
      </c>
      <c r="AV354" s="99">
        <f t="shared" si="262"/>
        <v>16319.09875</v>
      </c>
      <c r="AW354" s="90"/>
      <c r="AX354" s="90"/>
      <c r="AY354" s="90"/>
      <c r="AZ354" s="90"/>
      <c r="BA354" s="90"/>
      <c r="BB354" s="90"/>
      <c r="BC354" s="90"/>
      <c r="BD354" s="90"/>
      <c r="BE354" s="90"/>
      <c r="BF354" s="90"/>
      <c r="BG354" s="90"/>
    </row>
    <row r="355" ht="12.75" customHeight="1" outlineLevel="1">
      <c r="A355" s="316"/>
      <c r="B355" s="90"/>
      <c r="C355" s="90"/>
      <c r="D355" s="90" t="s">
        <v>759</v>
      </c>
      <c r="E355" s="90"/>
      <c r="F355" s="90"/>
      <c r="G355" s="99"/>
      <c r="H355" s="99"/>
      <c r="I355" s="99">
        <v>0.0</v>
      </c>
      <c r="J355" s="99">
        <f>'FY09 P&amp;L'!B197</f>
        <v>3569.08</v>
      </c>
      <c r="K355" s="99">
        <v>3980.81</v>
      </c>
      <c r="L355" s="99">
        <f t="shared" ref="L355:AV355" si="263">L221</f>
        <v>1000</v>
      </c>
      <c r="M355" s="99">
        <f t="shared" si="263"/>
        <v>1020</v>
      </c>
      <c r="N355" s="99">
        <f t="shared" si="263"/>
        <v>1040.4</v>
      </c>
      <c r="O355" s="99">
        <f t="shared" si="263"/>
        <v>1061.208</v>
      </c>
      <c r="P355" s="99">
        <f t="shared" si="263"/>
        <v>1082.43216</v>
      </c>
      <c r="Q355" s="99">
        <f t="shared" si="263"/>
        <v>1104.080803</v>
      </c>
      <c r="R355" s="99">
        <f t="shared" si="263"/>
        <v>1126.162419</v>
      </c>
      <c r="S355" s="99">
        <f t="shared" si="263"/>
        <v>1148.685668</v>
      </c>
      <c r="T355" s="99">
        <f t="shared" si="263"/>
        <v>1171.659381</v>
      </c>
      <c r="U355" s="99">
        <f t="shared" si="263"/>
        <v>1195.092569</v>
      </c>
      <c r="V355" s="99">
        <f t="shared" si="263"/>
        <v>1218.99442</v>
      </c>
      <c r="W355" s="99">
        <f t="shared" si="263"/>
        <v>1243.374308</v>
      </c>
      <c r="X355" s="99">
        <f t="shared" si="263"/>
        <v>1268.241795</v>
      </c>
      <c r="Y355" s="99">
        <f t="shared" si="263"/>
        <v>1293.60663</v>
      </c>
      <c r="Z355" s="99">
        <f t="shared" si="263"/>
        <v>1319.478763</v>
      </c>
      <c r="AA355" s="99">
        <f t="shared" si="263"/>
        <v>1345.868338</v>
      </c>
      <c r="AB355" s="99">
        <f t="shared" si="263"/>
        <v>1372.785705</v>
      </c>
      <c r="AC355" s="99">
        <f t="shared" si="263"/>
        <v>1400.241419</v>
      </c>
      <c r="AD355" s="99">
        <f t="shared" si="263"/>
        <v>1428.246248</v>
      </c>
      <c r="AE355" s="99">
        <f t="shared" si="263"/>
        <v>1456.811173</v>
      </c>
      <c r="AF355" s="99">
        <f t="shared" si="263"/>
        <v>1485.947396</v>
      </c>
      <c r="AG355" s="99">
        <f t="shared" si="263"/>
        <v>1515.666344</v>
      </c>
      <c r="AH355" s="99">
        <f t="shared" si="263"/>
        <v>1545.979671</v>
      </c>
      <c r="AI355" s="99">
        <f t="shared" si="263"/>
        <v>1576.899264</v>
      </c>
      <c r="AJ355" s="99">
        <f t="shared" si="263"/>
        <v>1608.437249</v>
      </c>
      <c r="AK355" s="99">
        <f t="shared" si="263"/>
        <v>1640.605994</v>
      </c>
      <c r="AL355" s="99">
        <f t="shared" si="263"/>
        <v>1673.418114</v>
      </c>
      <c r="AM355" s="99">
        <f t="shared" si="263"/>
        <v>1706.886477</v>
      </c>
      <c r="AN355" s="99">
        <f t="shared" si="263"/>
        <v>1741.024206</v>
      </c>
      <c r="AO355" s="99">
        <f t="shared" si="263"/>
        <v>1775.84469</v>
      </c>
      <c r="AP355" s="99">
        <f t="shared" si="263"/>
        <v>1811.361584</v>
      </c>
      <c r="AQ355" s="99">
        <f t="shared" si="263"/>
        <v>1847.588816</v>
      </c>
      <c r="AR355" s="99">
        <f t="shared" si="263"/>
        <v>1884.540592</v>
      </c>
      <c r="AS355" s="99">
        <f t="shared" si="263"/>
        <v>1922.231404</v>
      </c>
      <c r="AT355" s="99">
        <f t="shared" si="263"/>
        <v>1960.676032</v>
      </c>
      <c r="AU355" s="99">
        <f t="shared" si="263"/>
        <v>1999.889553</v>
      </c>
      <c r="AV355" s="99">
        <f t="shared" si="263"/>
        <v>2039.887344</v>
      </c>
      <c r="AW355" s="90"/>
      <c r="AX355" s="90"/>
      <c r="AY355" s="90"/>
      <c r="AZ355" s="90"/>
      <c r="BA355" s="90"/>
      <c r="BB355" s="90"/>
      <c r="BC355" s="90"/>
      <c r="BD355" s="90"/>
      <c r="BE355" s="90"/>
      <c r="BF355" s="90"/>
      <c r="BG355" s="90"/>
    </row>
    <row r="356" ht="12.75" customHeight="1" outlineLevel="1">
      <c r="A356" s="316"/>
      <c r="B356" s="90"/>
      <c r="C356" s="90"/>
      <c r="D356" s="90" t="s">
        <v>760</v>
      </c>
      <c r="E356" s="90"/>
      <c r="F356" s="90"/>
      <c r="G356" s="99"/>
      <c r="H356" s="99"/>
      <c r="I356" s="543" t="str">
        <f>'[4]'!H151</f>
        <v>#REF!</v>
      </c>
      <c r="J356" s="99">
        <f>'FY09 P&amp;L'!B199</f>
        <v>0</v>
      </c>
      <c r="K356" s="99">
        <v>11783.75</v>
      </c>
      <c r="L356" s="99">
        <f t="shared" ref="L356:AV356" si="264">L222</f>
        <v>5000</v>
      </c>
      <c r="M356" s="99">
        <f t="shared" si="264"/>
        <v>5100</v>
      </c>
      <c r="N356" s="99">
        <f t="shared" si="264"/>
        <v>5202</v>
      </c>
      <c r="O356" s="99">
        <f t="shared" si="264"/>
        <v>5306.04</v>
      </c>
      <c r="P356" s="99">
        <f t="shared" si="264"/>
        <v>5412.1608</v>
      </c>
      <c r="Q356" s="99">
        <f t="shared" si="264"/>
        <v>5520.404016</v>
      </c>
      <c r="R356" s="99">
        <f t="shared" si="264"/>
        <v>5630.812096</v>
      </c>
      <c r="S356" s="99">
        <f t="shared" si="264"/>
        <v>5743.428338</v>
      </c>
      <c r="T356" s="99">
        <f t="shared" si="264"/>
        <v>5858.296905</v>
      </c>
      <c r="U356" s="99">
        <f t="shared" si="264"/>
        <v>5975.462843</v>
      </c>
      <c r="V356" s="99">
        <f t="shared" si="264"/>
        <v>6094.9721</v>
      </c>
      <c r="W356" s="99">
        <f t="shared" si="264"/>
        <v>6216.871542</v>
      </c>
      <c r="X356" s="99">
        <f t="shared" si="264"/>
        <v>6341.208973</v>
      </c>
      <c r="Y356" s="99">
        <f t="shared" si="264"/>
        <v>6468.033152</v>
      </c>
      <c r="Z356" s="99">
        <f t="shared" si="264"/>
        <v>6597.393815</v>
      </c>
      <c r="AA356" s="99">
        <f t="shared" si="264"/>
        <v>6729.341692</v>
      </c>
      <c r="AB356" s="99">
        <f t="shared" si="264"/>
        <v>6863.928525</v>
      </c>
      <c r="AC356" s="99">
        <f t="shared" si="264"/>
        <v>7001.207096</v>
      </c>
      <c r="AD356" s="99">
        <f t="shared" si="264"/>
        <v>7141.231238</v>
      </c>
      <c r="AE356" s="99">
        <f t="shared" si="264"/>
        <v>7284.055863</v>
      </c>
      <c r="AF356" s="99">
        <f t="shared" si="264"/>
        <v>7429.73698</v>
      </c>
      <c r="AG356" s="99">
        <f t="shared" si="264"/>
        <v>7578.331719</v>
      </c>
      <c r="AH356" s="99">
        <f t="shared" si="264"/>
        <v>7729.898354</v>
      </c>
      <c r="AI356" s="99">
        <f t="shared" si="264"/>
        <v>7884.496321</v>
      </c>
      <c r="AJ356" s="99">
        <f t="shared" si="264"/>
        <v>8042.186247</v>
      </c>
      <c r="AK356" s="99">
        <f t="shared" si="264"/>
        <v>8203.029972</v>
      </c>
      <c r="AL356" s="99">
        <f t="shared" si="264"/>
        <v>8367.090572</v>
      </c>
      <c r="AM356" s="99">
        <f t="shared" si="264"/>
        <v>8534.432383</v>
      </c>
      <c r="AN356" s="99">
        <f t="shared" si="264"/>
        <v>8705.121031</v>
      </c>
      <c r="AO356" s="99">
        <f t="shared" si="264"/>
        <v>8879.223451</v>
      </c>
      <c r="AP356" s="99">
        <f t="shared" si="264"/>
        <v>9056.807921</v>
      </c>
      <c r="AQ356" s="99">
        <f t="shared" si="264"/>
        <v>9237.944079</v>
      </c>
      <c r="AR356" s="99">
        <f t="shared" si="264"/>
        <v>9422.702961</v>
      </c>
      <c r="AS356" s="99">
        <f t="shared" si="264"/>
        <v>9611.15702</v>
      </c>
      <c r="AT356" s="99">
        <f t="shared" si="264"/>
        <v>9803.38016</v>
      </c>
      <c r="AU356" s="99">
        <f t="shared" si="264"/>
        <v>9999.447763</v>
      </c>
      <c r="AV356" s="99">
        <f t="shared" si="264"/>
        <v>10199.43672</v>
      </c>
      <c r="AW356" s="90"/>
      <c r="AX356" s="90"/>
      <c r="AY356" s="90"/>
      <c r="AZ356" s="90"/>
      <c r="BA356" s="90"/>
      <c r="BB356" s="90"/>
      <c r="BC356" s="90"/>
      <c r="BD356" s="90"/>
      <c r="BE356" s="90"/>
      <c r="BF356" s="90"/>
      <c r="BG356" s="90"/>
    </row>
    <row r="357" ht="12.75" customHeight="1" outlineLevel="1">
      <c r="A357" s="316"/>
      <c r="B357" s="90"/>
      <c r="C357" s="90"/>
      <c r="D357" s="90" t="s">
        <v>761</v>
      </c>
      <c r="E357" s="90"/>
      <c r="F357" s="90"/>
      <c r="G357" s="99"/>
      <c r="H357" s="99"/>
      <c r="I357" s="543" t="str">
        <f>'[4]'!H153</f>
        <v>#REF!</v>
      </c>
      <c r="J357" s="99">
        <f>'FY09 P&amp;L'!B201</f>
        <v>75</v>
      </c>
      <c r="K357" s="99"/>
      <c r="L357" s="99" t="str">
        <f t="shared" ref="L357:AV357" si="265">L223</f>
        <v/>
      </c>
      <c r="M357" s="99" t="str">
        <f t="shared" si="265"/>
        <v/>
      </c>
      <c r="N357" s="99" t="str">
        <f t="shared" si="265"/>
        <v/>
      </c>
      <c r="O357" s="99" t="str">
        <f t="shared" si="265"/>
        <v/>
      </c>
      <c r="P357" s="99" t="str">
        <f t="shared" si="265"/>
        <v/>
      </c>
      <c r="Q357" s="99" t="str">
        <f t="shared" si="265"/>
        <v/>
      </c>
      <c r="R357" s="99" t="str">
        <f t="shared" si="265"/>
        <v/>
      </c>
      <c r="S357" s="99" t="str">
        <f t="shared" si="265"/>
        <v/>
      </c>
      <c r="T357" s="99" t="str">
        <f t="shared" si="265"/>
        <v/>
      </c>
      <c r="U357" s="99" t="str">
        <f t="shared" si="265"/>
        <v/>
      </c>
      <c r="V357" s="99" t="str">
        <f t="shared" si="265"/>
        <v/>
      </c>
      <c r="W357" s="99" t="str">
        <f t="shared" si="265"/>
        <v/>
      </c>
      <c r="X357" s="99" t="str">
        <f t="shared" si="265"/>
        <v/>
      </c>
      <c r="Y357" s="99" t="str">
        <f t="shared" si="265"/>
        <v/>
      </c>
      <c r="Z357" s="99" t="str">
        <f t="shared" si="265"/>
        <v/>
      </c>
      <c r="AA357" s="99" t="str">
        <f t="shared" si="265"/>
        <v/>
      </c>
      <c r="AB357" s="99" t="str">
        <f t="shared" si="265"/>
        <v/>
      </c>
      <c r="AC357" s="99" t="str">
        <f t="shared" si="265"/>
        <v/>
      </c>
      <c r="AD357" s="99" t="str">
        <f t="shared" si="265"/>
        <v/>
      </c>
      <c r="AE357" s="99" t="str">
        <f t="shared" si="265"/>
        <v/>
      </c>
      <c r="AF357" s="99" t="str">
        <f t="shared" si="265"/>
        <v/>
      </c>
      <c r="AG357" s="99" t="str">
        <f t="shared" si="265"/>
        <v/>
      </c>
      <c r="AH357" s="99" t="str">
        <f t="shared" si="265"/>
        <v/>
      </c>
      <c r="AI357" s="99" t="str">
        <f t="shared" si="265"/>
        <v/>
      </c>
      <c r="AJ357" s="99" t="str">
        <f t="shared" si="265"/>
        <v/>
      </c>
      <c r="AK357" s="99" t="str">
        <f t="shared" si="265"/>
        <v/>
      </c>
      <c r="AL357" s="99" t="str">
        <f t="shared" si="265"/>
        <v/>
      </c>
      <c r="AM357" s="99" t="str">
        <f t="shared" si="265"/>
        <v/>
      </c>
      <c r="AN357" s="99" t="str">
        <f t="shared" si="265"/>
        <v/>
      </c>
      <c r="AO357" s="99" t="str">
        <f t="shared" si="265"/>
        <v/>
      </c>
      <c r="AP357" s="99" t="str">
        <f t="shared" si="265"/>
        <v/>
      </c>
      <c r="AQ357" s="99" t="str">
        <f t="shared" si="265"/>
        <v/>
      </c>
      <c r="AR357" s="99" t="str">
        <f t="shared" si="265"/>
        <v/>
      </c>
      <c r="AS357" s="99" t="str">
        <f t="shared" si="265"/>
        <v/>
      </c>
      <c r="AT357" s="99" t="str">
        <f t="shared" si="265"/>
        <v/>
      </c>
      <c r="AU357" s="99" t="str">
        <f t="shared" si="265"/>
        <v/>
      </c>
      <c r="AV357" s="99" t="str">
        <f t="shared" si="265"/>
        <v/>
      </c>
      <c r="AW357" s="90"/>
      <c r="AX357" s="90"/>
      <c r="AY357" s="90"/>
      <c r="AZ357" s="90"/>
      <c r="BA357" s="90"/>
      <c r="BB357" s="90"/>
      <c r="BC357" s="90"/>
      <c r="BD357" s="90"/>
      <c r="BE357" s="90"/>
      <c r="BF357" s="90"/>
      <c r="BG357" s="90"/>
    </row>
    <row r="358" ht="12.75" customHeight="1" outlineLevel="1">
      <c r="A358" s="316"/>
      <c r="B358" s="90"/>
      <c r="C358" s="90"/>
      <c r="D358" s="90" t="s">
        <v>825</v>
      </c>
      <c r="E358" s="90"/>
      <c r="F358" s="90"/>
      <c r="G358" s="99"/>
      <c r="H358" s="99"/>
      <c r="I358" s="543" t="str">
        <f t="shared" ref="I358:I359" si="267">'[4]'!H168</f>
        <v>#REF!</v>
      </c>
      <c r="J358" s="99">
        <f>'FY09 P&amp;L'!B217+'FY09 P&amp;L'!B216</f>
        <v>7316.98</v>
      </c>
      <c r="K358" s="99">
        <v>14571.46</v>
      </c>
      <c r="L358" s="99">
        <f t="shared" ref="L358:L359" si="268">L224</f>
        <v>6000</v>
      </c>
      <c r="M358" s="99">
        <f t="shared" ref="M358:AV358" si="266">L358*M$46/L$46</f>
        <v>6000</v>
      </c>
      <c r="N358" s="99">
        <f t="shared" si="266"/>
        <v>6000</v>
      </c>
      <c r="O358" s="99">
        <f t="shared" si="266"/>
        <v>6000</v>
      </c>
      <c r="P358" s="99">
        <f t="shared" si="266"/>
        <v>6000</v>
      </c>
      <c r="Q358" s="99">
        <f t="shared" si="266"/>
        <v>6000</v>
      </c>
      <c r="R358" s="99">
        <f t="shared" si="266"/>
        <v>6000</v>
      </c>
      <c r="S358" s="99">
        <f t="shared" si="266"/>
        <v>6000</v>
      </c>
      <c r="T358" s="99">
        <f t="shared" si="266"/>
        <v>6000</v>
      </c>
      <c r="U358" s="99">
        <f t="shared" si="266"/>
        <v>6000</v>
      </c>
      <c r="V358" s="99">
        <f t="shared" si="266"/>
        <v>6000</v>
      </c>
      <c r="W358" s="99">
        <f t="shared" si="266"/>
        <v>6000</v>
      </c>
      <c r="X358" s="99">
        <f t="shared" si="266"/>
        <v>6000</v>
      </c>
      <c r="Y358" s="99">
        <f t="shared" si="266"/>
        <v>6000</v>
      </c>
      <c r="Z358" s="99">
        <f t="shared" si="266"/>
        <v>6000</v>
      </c>
      <c r="AA358" s="99">
        <f t="shared" si="266"/>
        <v>6000</v>
      </c>
      <c r="AB358" s="99">
        <f t="shared" si="266"/>
        <v>6000</v>
      </c>
      <c r="AC358" s="99">
        <f t="shared" si="266"/>
        <v>6000</v>
      </c>
      <c r="AD358" s="99">
        <f t="shared" si="266"/>
        <v>6000</v>
      </c>
      <c r="AE358" s="99">
        <f t="shared" si="266"/>
        <v>6000</v>
      </c>
      <c r="AF358" s="99">
        <f t="shared" si="266"/>
        <v>6000</v>
      </c>
      <c r="AG358" s="99">
        <f t="shared" si="266"/>
        <v>6000</v>
      </c>
      <c r="AH358" s="99">
        <f t="shared" si="266"/>
        <v>6000</v>
      </c>
      <c r="AI358" s="99">
        <f t="shared" si="266"/>
        <v>6000</v>
      </c>
      <c r="AJ358" s="99">
        <f t="shared" si="266"/>
        <v>6000</v>
      </c>
      <c r="AK358" s="99">
        <f t="shared" si="266"/>
        <v>6000</v>
      </c>
      <c r="AL358" s="99">
        <f t="shared" si="266"/>
        <v>6000</v>
      </c>
      <c r="AM358" s="99">
        <f t="shared" si="266"/>
        <v>6000</v>
      </c>
      <c r="AN358" s="99">
        <f t="shared" si="266"/>
        <v>6000</v>
      </c>
      <c r="AO358" s="99">
        <f t="shared" si="266"/>
        <v>6000</v>
      </c>
      <c r="AP358" s="99">
        <f t="shared" si="266"/>
        <v>6000</v>
      </c>
      <c r="AQ358" s="99">
        <f t="shared" si="266"/>
        <v>6000</v>
      </c>
      <c r="AR358" s="99">
        <f t="shared" si="266"/>
        <v>6000</v>
      </c>
      <c r="AS358" s="99">
        <f t="shared" si="266"/>
        <v>6000</v>
      </c>
      <c r="AT358" s="99">
        <f t="shared" si="266"/>
        <v>6000</v>
      </c>
      <c r="AU358" s="99">
        <f t="shared" si="266"/>
        <v>6000</v>
      </c>
      <c r="AV358" s="99">
        <f t="shared" si="266"/>
        <v>6000</v>
      </c>
      <c r="AW358" s="90"/>
      <c r="AX358" s="90"/>
      <c r="AY358" s="90"/>
      <c r="AZ358" s="90"/>
      <c r="BA358" s="90"/>
      <c r="BB358" s="90"/>
      <c r="BC358" s="90"/>
      <c r="BD358" s="90"/>
      <c r="BE358" s="90"/>
      <c r="BF358" s="90"/>
      <c r="BG358" s="90"/>
    </row>
    <row r="359" ht="12.75" customHeight="1" outlineLevel="1">
      <c r="A359" s="316"/>
      <c r="B359" s="90"/>
      <c r="C359" s="90"/>
      <c r="D359" s="90" t="s">
        <v>763</v>
      </c>
      <c r="E359" s="90"/>
      <c r="F359" s="90"/>
      <c r="G359" s="99"/>
      <c r="H359" s="99"/>
      <c r="I359" s="543" t="str">
        <f t="shared" si="267"/>
        <v>#REF!</v>
      </c>
      <c r="J359" s="99">
        <f>'FY09 P&amp;L'!B230</f>
        <v>108.79</v>
      </c>
      <c r="K359" s="99">
        <v>14.0</v>
      </c>
      <c r="L359" s="99" t="str">
        <f t="shared" si="268"/>
        <v/>
      </c>
      <c r="M359" s="99">
        <f t="shared" ref="M359:AV359" si="269">M225</f>
        <v>0</v>
      </c>
      <c r="N359" s="99">
        <f t="shared" si="269"/>
        <v>0</v>
      </c>
      <c r="O359" s="99">
        <f t="shared" si="269"/>
        <v>0</v>
      </c>
      <c r="P359" s="99">
        <f t="shared" si="269"/>
        <v>0</v>
      </c>
      <c r="Q359" s="99">
        <f t="shared" si="269"/>
        <v>0</v>
      </c>
      <c r="R359" s="99">
        <f t="shared" si="269"/>
        <v>0</v>
      </c>
      <c r="S359" s="99">
        <f t="shared" si="269"/>
        <v>0</v>
      </c>
      <c r="T359" s="99">
        <f t="shared" si="269"/>
        <v>0</v>
      </c>
      <c r="U359" s="99">
        <f t="shared" si="269"/>
        <v>0</v>
      </c>
      <c r="V359" s="99">
        <f t="shared" si="269"/>
        <v>0</v>
      </c>
      <c r="W359" s="99">
        <f t="shared" si="269"/>
        <v>0</v>
      </c>
      <c r="X359" s="99">
        <f t="shared" si="269"/>
        <v>0</v>
      </c>
      <c r="Y359" s="99">
        <f t="shared" si="269"/>
        <v>0</v>
      </c>
      <c r="Z359" s="99">
        <f t="shared" si="269"/>
        <v>0</v>
      </c>
      <c r="AA359" s="99">
        <f t="shared" si="269"/>
        <v>0</v>
      </c>
      <c r="AB359" s="99">
        <f t="shared" si="269"/>
        <v>0</v>
      </c>
      <c r="AC359" s="99">
        <f t="shared" si="269"/>
        <v>0</v>
      </c>
      <c r="AD359" s="99">
        <f t="shared" si="269"/>
        <v>0</v>
      </c>
      <c r="AE359" s="99">
        <f t="shared" si="269"/>
        <v>0</v>
      </c>
      <c r="AF359" s="99">
        <f t="shared" si="269"/>
        <v>0</v>
      </c>
      <c r="AG359" s="99">
        <f t="shared" si="269"/>
        <v>0</v>
      </c>
      <c r="AH359" s="99">
        <f t="shared" si="269"/>
        <v>0</v>
      </c>
      <c r="AI359" s="99">
        <f t="shared" si="269"/>
        <v>0</v>
      </c>
      <c r="AJ359" s="99">
        <f t="shared" si="269"/>
        <v>0</v>
      </c>
      <c r="AK359" s="99">
        <f t="shared" si="269"/>
        <v>0</v>
      </c>
      <c r="AL359" s="99">
        <f t="shared" si="269"/>
        <v>0</v>
      </c>
      <c r="AM359" s="99">
        <f t="shared" si="269"/>
        <v>0</v>
      </c>
      <c r="AN359" s="99">
        <f t="shared" si="269"/>
        <v>0</v>
      </c>
      <c r="AO359" s="99">
        <f t="shared" si="269"/>
        <v>0</v>
      </c>
      <c r="AP359" s="99">
        <f t="shared" si="269"/>
        <v>0</v>
      </c>
      <c r="AQ359" s="99">
        <f t="shared" si="269"/>
        <v>0</v>
      </c>
      <c r="AR359" s="99">
        <f t="shared" si="269"/>
        <v>0</v>
      </c>
      <c r="AS359" s="99">
        <f t="shared" si="269"/>
        <v>0</v>
      </c>
      <c r="AT359" s="99">
        <f t="shared" si="269"/>
        <v>0</v>
      </c>
      <c r="AU359" s="99">
        <f t="shared" si="269"/>
        <v>0</v>
      </c>
      <c r="AV359" s="99">
        <f t="shared" si="269"/>
        <v>0</v>
      </c>
      <c r="AW359" s="90"/>
      <c r="AX359" s="90"/>
      <c r="AY359" s="90"/>
      <c r="AZ359" s="90"/>
      <c r="BA359" s="90"/>
      <c r="BB359" s="90"/>
      <c r="BC359" s="90"/>
      <c r="BD359" s="90"/>
      <c r="BE359" s="90"/>
      <c r="BF359" s="90"/>
      <c r="BG359" s="90"/>
    </row>
    <row r="360" ht="12.75" customHeight="1" outlineLevel="1">
      <c r="A360" s="316"/>
      <c r="B360" s="90"/>
      <c r="C360" s="90"/>
      <c r="D360" s="90" t="s">
        <v>826</v>
      </c>
      <c r="E360" s="90"/>
      <c r="F360" s="90"/>
      <c r="G360" s="99"/>
      <c r="H360" s="99"/>
      <c r="I360" s="543" t="str">
        <f>'[4]'!H174</f>
        <v>#REF!</v>
      </c>
      <c r="J360" s="99">
        <f>'FY09 P&amp;L'!B232</f>
        <v>9799.71</v>
      </c>
      <c r="K360" s="99"/>
      <c r="L360" s="99" t="str">
        <f>K360</f>
        <v/>
      </c>
      <c r="M360" s="99" t="str">
        <f>K360</f>
        <v/>
      </c>
      <c r="N360" s="99" t="str">
        <f t="shared" ref="N360:AV360" si="270">K360</f>
        <v/>
      </c>
      <c r="O360" s="99" t="str">
        <f t="shared" si="270"/>
        <v/>
      </c>
      <c r="P360" s="99" t="str">
        <f t="shared" si="270"/>
        <v/>
      </c>
      <c r="Q360" s="99" t="str">
        <f t="shared" si="270"/>
        <v/>
      </c>
      <c r="R360" s="99" t="str">
        <f t="shared" si="270"/>
        <v/>
      </c>
      <c r="S360" s="99" t="str">
        <f t="shared" si="270"/>
        <v/>
      </c>
      <c r="T360" s="99" t="str">
        <f t="shared" si="270"/>
        <v/>
      </c>
      <c r="U360" s="99" t="str">
        <f t="shared" si="270"/>
        <v/>
      </c>
      <c r="V360" s="99" t="str">
        <f t="shared" si="270"/>
        <v/>
      </c>
      <c r="W360" s="99" t="str">
        <f t="shared" si="270"/>
        <v/>
      </c>
      <c r="X360" s="99" t="str">
        <f t="shared" si="270"/>
        <v/>
      </c>
      <c r="Y360" s="99" t="str">
        <f t="shared" si="270"/>
        <v/>
      </c>
      <c r="Z360" s="99" t="str">
        <f t="shared" si="270"/>
        <v/>
      </c>
      <c r="AA360" s="99" t="str">
        <f t="shared" si="270"/>
        <v/>
      </c>
      <c r="AB360" s="99" t="str">
        <f t="shared" si="270"/>
        <v/>
      </c>
      <c r="AC360" s="99" t="str">
        <f t="shared" si="270"/>
        <v/>
      </c>
      <c r="AD360" s="99" t="str">
        <f t="shared" si="270"/>
        <v/>
      </c>
      <c r="AE360" s="99" t="str">
        <f t="shared" si="270"/>
        <v/>
      </c>
      <c r="AF360" s="99" t="str">
        <f t="shared" si="270"/>
        <v/>
      </c>
      <c r="AG360" s="99" t="str">
        <f t="shared" si="270"/>
        <v/>
      </c>
      <c r="AH360" s="99" t="str">
        <f t="shared" si="270"/>
        <v/>
      </c>
      <c r="AI360" s="99" t="str">
        <f t="shared" si="270"/>
        <v/>
      </c>
      <c r="AJ360" s="99" t="str">
        <f t="shared" si="270"/>
        <v/>
      </c>
      <c r="AK360" s="99" t="str">
        <f t="shared" si="270"/>
        <v/>
      </c>
      <c r="AL360" s="99" t="str">
        <f t="shared" si="270"/>
        <v/>
      </c>
      <c r="AM360" s="99" t="str">
        <f t="shared" si="270"/>
        <v/>
      </c>
      <c r="AN360" s="99" t="str">
        <f t="shared" si="270"/>
        <v/>
      </c>
      <c r="AO360" s="99" t="str">
        <f t="shared" si="270"/>
        <v/>
      </c>
      <c r="AP360" s="99" t="str">
        <f t="shared" si="270"/>
        <v/>
      </c>
      <c r="AQ360" s="99" t="str">
        <f t="shared" si="270"/>
        <v/>
      </c>
      <c r="AR360" s="99" t="str">
        <f t="shared" si="270"/>
        <v/>
      </c>
      <c r="AS360" s="99" t="str">
        <f t="shared" si="270"/>
        <v/>
      </c>
      <c r="AT360" s="99" t="str">
        <f t="shared" si="270"/>
        <v/>
      </c>
      <c r="AU360" s="99" t="str">
        <f t="shared" si="270"/>
        <v/>
      </c>
      <c r="AV360" s="99" t="str">
        <f t="shared" si="270"/>
        <v/>
      </c>
      <c r="AW360" s="90"/>
      <c r="AX360" s="90"/>
      <c r="AY360" s="90"/>
      <c r="AZ360" s="90"/>
      <c r="BA360" s="90"/>
      <c r="BB360" s="90"/>
      <c r="BC360" s="90"/>
      <c r="BD360" s="90"/>
      <c r="BE360" s="90"/>
      <c r="BF360" s="90"/>
      <c r="BG360" s="90"/>
    </row>
    <row r="361" ht="12.75" customHeight="1" outlineLevel="1">
      <c r="A361" s="316"/>
      <c r="B361" s="90"/>
      <c r="C361" s="90"/>
      <c r="D361" s="90" t="s">
        <v>355</v>
      </c>
      <c r="E361" s="90"/>
      <c r="F361" s="90"/>
      <c r="G361" s="99"/>
      <c r="H361" s="99"/>
      <c r="I361" s="99"/>
      <c r="J361" s="99"/>
      <c r="K361" s="99"/>
      <c r="L361" s="99">
        <f t="shared" ref="L361:AV361" si="271">L226</f>
        <v>300</v>
      </c>
      <c r="M361" s="99">
        <f t="shared" si="271"/>
        <v>300</v>
      </c>
      <c r="N361" s="99">
        <f t="shared" si="271"/>
        <v>300</v>
      </c>
      <c r="O361" s="99">
        <f t="shared" si="271"/>
        <v>300</v>
      </c>
      <c r="P361" s="99">
        <f t="shared" si="271"/>
        <v>300</v>
      </c>
      <c r="Q361" s="99">
        <f t="shared" si="271"/>
        <v>300</v>
      </c>
      <c r="R361" s="99">
        <f t="shared" si="271"/>
        <v>300</v>
      </c>
      <c r="S361" s="99">
        <f t="shared" si="271"/>
        <v>300</v>
      </c>
      <c r="T361" s="99">
        <f t="shared" si="271"/>
        <v>300</v>
      </c>
      <c r="U361" s="99">
        <f t="shared" si="271"/>
        <v>300</v>
      </c>
      <c r="V361" s="99">
        <f t="shared" si="271"/>
        <v>300</v>
      </c>
      <c r="W361" s="99">
        <f t="shared" si="271"/>
        <v>300</v>
      </c>
      <c r="X361" s="99">
        <f t="shared" si="271"/>
        <v>300</v>
      </c>
      <c r="Y361" s="99">
        <f t="shared" si="271"/>
        <v>300</v>
      </c>
      <c r="Z361" s="99">
        <f t="shared" si="271"/>
        <v>300</v>
      </c>
      <c r="AA361" s="99">
        <f t="shared" si="271"/>
        <v>300</v>
      </c>
      <c r="AB361" s="99">
        <f t="shared" si="271"/>
        <v>300</v>
      </c>
      <c r="AC361" s="99">
        <f t="shared" si="271"/>
        <v>300</v>
      </c>
      <c r="AD361" s="99">
        <f t="shared" si="271"/>
        <v>300</v>
      </c>
      <c r="AE361" s="99">
        <f t="shared" si="271"/>
        <v>300</v>
      </c>
      <c r="AF361" s="99">
        <f t="shared" si="271"/>
        <v>300</v>
      </c>
      <c r="AG361" s="99">
        <f t="shared" si="271"/>
        <v>300</v>
      </c>
      <c r="AH361" s="99">
        <f t="shared" si="271"/>
        <v>300</v>
      </c>
      <c r="AI361" s="99">
        <f t="shared" si="271"/>
        <v>300</v>
      </c>
      <c r="AJ361" s="99">
        <f t="shared" si="271"/>
        <v>300</v>
      </c>
      <c r="AK361" s="99">
        <f t="shared" si="271"/>
        <v>300</v>
      </c>
      <c r="AL361" s="99">
        <f t="shared" si="271"/>
        <v>300</v>
      </c>
      <c r="AM361" s="99">
        <f t="shared" si="271"/>
        <v>300</v>
      </c>
      <c r="AN361" s="99">
        <f t="shared" si="271"/>
        <v>300</v>
      </c>
      <c r="AO361" s="99">
        <f t="shared" si="271"/>
        <v>300</v>
      </c>
      <c r="AP361" s="99">
        <f t="shared" si="271"/>
        <v>300</v>
      </c>
      <c r="AQ361" s="99">
        <f t="shared" si="271"/>
        <v>300</v>
      </c>
      <c r="AR361" s="99">
        <f t="shared" si="271"/>
        <v>300</v>
      </c>
      <c r="AS361" s="99">
        <f t="shared" si="271"/>
        <v>300</v>
      </c>
      <c r="AT361" s="99">
        <f t="shared" si="271"/>
        <v>300</v>
      </c>
      <c r="AU361" s="99">
        <f t="shared" si="271"/>
        <v>300</v>
      </c>
      <c r="AV361" s="99">
        <f t="shared" si="271"/>
        <v>300</v>
      </c>
      <c r="AW361" s="90"/>
      <c r="AX361" s="90"/>
      <c r="AY361" s="90"/>
      <c r="AZ361" s="90"/>
      <c r="BA361" s="90"/>
      <c r="BB361" s="90"/>
      <c r="BC361" s="90"/>
      <c r="BD361" s="90"/>
      <c r="BE361" s="90"/>
      <c r="BF361" s="90"/>
      <c r="BG361" s="90"/>
    </row>
    <row r="362" ht="12.75" customHeight="1" outlineLevel="1">
      <c r="A362" s="316"/>
      <c r="B362" s="90"/>
      <c r="C362" s="90"/>
      <c r="D362" s="90" t="s">
        <v>765</v>
      </c>
      <c r="E362" s="90"/>
      <c r="F362" s="90"/>
      <c r="G362" s="99"/>
      <c r="H362" s="99"/>
      <c r="I362" s="99"/>
      <c r="J362" s="99"/>
      <c r="K362" s="99">
        <v>1422.5</v>
      </c>
      <c r="L362" s="99">
        <f t="shared" ref="L362:AV362" si="272">K362*L$46/K$46</f>
        <v>1510.619469</v>
      </c>
      <c r="M362" s="99">
        <f t="shared" si="272"/>
        <v>1510.619469</v>
      </c>
      <c r="N362" s="99">
        <f t="shared" si="272"/>
        <v>1510.619469</v>
      </c>
      <c r="O362" s="99">
        <f t="shared" si="272"/>
        <v>1510.619469</v>
      </c>
      <c r="P362" s="99">
        <f t="shared" si="272"/>
        <v>1510.619469</v>
      </c>
      <c r="Q362" s="99">
        <f t="shared" si="272"/>
        <v>1510.619469</v>
      </c>
      <c r="R362" s="99">
        <f t="shared" si="272"/>
        <v>1510.619469</v>
      </c>
      <c r="S362" s="99">
        <f t="shared" si="272"/>
        <v>1510.619469</v>
      </c>
      <c r="T362" s="99">
        <f t="shared" si="272"/>
        <v>1510.619469</v>
      </c>
      <c r="U362" s="99">
        <f t="shared" si="272"/>
        <v>1510.619469</v>
      </c>
      <c r="V362" s="99">
        <f t="shared" si="272"/>
        <v>1510.619469</v>
      </c>
      <c r="W362" s="99">
        <f t="shared" si="272"/>
        <v>1510.619469</v>
      </c>
      <c r="X362" s="99">
        <f t="shared" si="272"/>
        <v>1510.619469</v>
      </c>
      <c r="Y362" s="99">
        <f t="shared" si="272"/>
        <v>1510.619469</v>
      </c>
      <c r="Z362" s="99">
        <f t="shared" si="272"/>
        <v>1510.619469</v>
      </c>
      <c r="AA362" s="99">
        <f t="shared" si="272"/>
        <v>1510.619469</v>
      </c>
      <c r="AB362" s="99">
        <f t="shared" si="272"/>
        <v>1510.619469</v>
      </c>
      <c r="AC362" s="99">
        <f t="shared" si="272"/>
        <v>1510.619469</v>
      </c>
      <c r="AD362" s="99">
        <f t="shared" si="272"/>
        <v>1510.619469</v>
      </c>
      <c r="AE362" s="99">
        <f t="shared" si="272"/>
        <v>1510.619469</v>
      </c>
      <c r="AF362" s="99">
        <f t="shared" si="272"/>
        <v>1510.619469</v>
      </c>
      <c r="AG362" s="99">
        <f t="shared" si="272"/>
        <v>1510.619469</v>
      </c>
      <c r="AH362" s="99">
        <f t="shared" si="272"/>
        <v>1510.619469</v>
      </c>
      <c r="AI362" s="99">
        <f t="shared" si="272"/>
        <v>1510.619469</v>
      </c>
      <c r="AJ362" s="99">
        <f t="shared" si="272"/>
        <v>1510.619469</v>
      </c>
      <c r="AK362" s="99">
        <f t="shared" si="272"/>
        <v>1510.619469</v>
      </c>
      <c r="AL362" s="99">
        <f t="shared" si="272"/>
        <v>1510.619469</v>
      </c>
      <c r="AM362" s="99">
        <f t="shared" si="272"/>
        <v>1510.619469</v>
      </c>
      <c r="AN362" s="99">
        <f t="shared" si="272"/>
        <v>1510.619469</v>
      </c>
      <c r="AO362" s="99">
        <f t="shared" si="272"/>
        <v>1510.619469</v>
      </c>
      <c r="AP362" s="99">
        <f t="shared" si="272"/>
        <v>1510.619469</v>
      </c>
      <c r="AQ362" s="99">
        <f t="shared" si="272"/>
        <v>1510.619469</v>
      </c>
      <c r="AR362" s="99">
        <f t="shared" si="272"/>
        <v>1510.619469</v>
      </c>
      <c r="AS362" s="99">
        <f t="shared" si="272"/>
        <v>1510.619469</v>
      </c>
      <c r="AT362" s="99">
        <f t="shared" si="272"/>
        <v>1510.619469</v>
      </c>
      <c r="AU362" s="99">
        <f t="shared" si="272"/>
        <v>1510.619469</v>
      </c>
      <c r="AV362" s="99">
        <f t="shared" si="272"/>
        <v>1510.619469</v>
      </c>
      <c r="AW362" s="90"/>
      <c r="AX362" s="90"/>
      <c r="AY362" s="90"/>
      <c r="AZ362" s="90"/>
      <c r="BA362" s="90"/>
      <c r="BB362" s="90"/>
      <c r="BC362" s="90"/>
      <c r="BD362" s="90"/>
      <c r="BE362" s="90"/>
      <c r="BF362" s="90"/>
      <c r="BG362" s="90"/>
    </row>
    <row r="363" ht="12.75" customHeight="1" outlineLevel="1">
      <c r="A363" s="316"/>
      <c r="B363" s="90"/>
      <c r="C363" s="90"/>
      <c r="D363" s="90" t="s">
        <v>465</v>
      </c>
      <c r="E363" s="90"/>
      <c r="F363" s="90"/>
      <c r="G363" s="99"/>
      <c r="H363" s="99"/>
      <c r="I363" s="543" t="str">
        <f>'[4]'!H172</f>
        <v>#REF!</v>
      </c>
      <c r="J363" s="99">
        <f>'FY09 P&amp;L'!B238</f>
        <v>44042.09</v>
      </c>
      <c r="K363" s="99">
        <v>1497.16</v>
      </c>
      <c r="L363" s="99">
        <f t="shared" ref="L363:M363" si="273">K363</f>
        <v>1497.16</v>
      </c>
      <c r="M363" s="99">
        <f t="shared" si="273"/>
        <v>1497.16</v>
      </c>
      <c r="N363" s="99">
        <f>M477/2</f>
        <v>1497.165</v>
      </c>
      <c r="O363" s="99">
        <f>N363</f>
        <v>1497.165</v>
      </c>
      <c r="P363" s="99">
        <v>0.0</v>
      </c>
      <c r="Q363" s="99">
        <v>0.0</v>
      </c>
      <c r="R363" s="99">
        <v>0.0</v>
      </c>
      <c r="S363" s="99">
        <v>0.0</v>
      </c>
      <c r="T363" s="99">
        <v>0.0</v>
      </c>
      <c r="U363" s="99">
        <v>0.0</v>
      </c>
      <c r="V363" s="99">
        <v>0.0</v>
      </c>
      <c r="W363" s="99">
        <v>0.0</v>
      </c>
      <c r="X363" s="99">
        <v>0.0</v>
      </c>
      <c r="Y363" s="99">
        <v>0.0</v>
      </c>
      <c r="Z363" s="99">
        <v>0.0</v>
      </c>
      <c r="AA363" s="99">
        <v>0.0</v>
      </c>
      <c r="AB363" s="99">
        <v>0.0</v>
      </c>
      <c r="AC363" s="99">
        <v>0.0</v>
      </c>
      <c r="AD363" s="99">
        <v>0.0</v>
      </c>
      <c r="AE363" s="99">
        <v>0.0</v>
      </c>
      <c r="AF363" s="99">
        <v>0.0</v>
      </c>
      <c r="AG363" s="99">
        <v>0.0</v>
      </c>
      <c r="AH363" s="99">
        <v>0.0</v>
      </c>
      <c r="AI363" s="99">
        <v>0.0</v>
      </c>
      <c r="AJ363" s="99">
        <v>0.0</v>
      </c>
      <c r="AK363" s="99">
        <v>0.0</v>
      </c>
      <c r="AL363" s="99">
        <v>0.0</v>
      </c>
      <c r="AM363" s="99">
        <v>0.0</v>
      </c>
      <c r="AN363" s="99">
        <v>0.0</v>
      </c>
      <c r="AO363" s="99">
        <v>0.0</v>
      </c>
      <c r="AP363" s="99">
        <v>0.0</v>
      </c>
      <c r="AQ363" s="99">
        <v>0.0</v>
      </c>
      <c r="AR363" s="99">
        <v>0.0</v>
      </c>
      <c r="AS363" s="99">
        <v>0.0</v>
      </c>
      <c r="AT363" s="99">
        <v>0.0</v>
      </c>
      <c r="AU363" s="99">
        <v>0.0</v>
      </c>
      <c r="AV363" s="99">
        <v>0.0</v>
      </c>
      <c r="AW363" s="90"/>
      <c r="AX363" s="90"/>
      <c r="AY363" s="90"/>
      <c r="AZ363" s="90"/>
      <c r="BA363" s="90"/>
      <c r="BB363" s="90"/>
      <c r="BC363" s="90"/>
      <c r="BD363" s="90"/>
      <c r="BE363" s="90"/>
      <c r="BF363" s="90"/>
      <c r="BG363" s="90"/>
    </row>
    <row r="364" ht="12.75" customHeight="1" outlineLevel="1">
      <c r="A364" s="316"/>
      <c r="B364" s="90"/>
      <c r="C364" s="90" t="s">
        <v>827</v>
      </c>
      <c r="D364" s="90"/>
      <c r="E364" s="90"/>
      <c r="F364" s="90"/>
      <c r="G364" s="99"/>
      <c r="H364" s="99"/>
      <c r="I364" s="99"/>
      <c r="J364" s="99"/>
      <c r="K364" s="99"/>
      <c r="L364" s="99"/>
      <c r="M364" s="99"/>
      <c r="N364" s="99"/>
      <c r="O364" s="99"/>
      <c r="P364" s="99"/>
      <c r="Q364" s="99"/>
      <c r="R364" s="99"/>
      <c r="S364" s="99"/>
      <c r="T364" s="99"/>
      <c r="U364" s="99"/>
      <c r="V364" s="99"/>
      <c r="W364" s="99"/>
      <c r="X364" s="99"/>
      <c r="Y364" s="99"/>
      <c r="Z364" s="99"/>
      <c r="AA364" s="99"/>
      <c r="AB364" s="99"/>
      <c r="AC364" s="99"/>
      <c r="AD364" s="99"/>
      <c r="AE364" s="99"/>
      <c r="AF364" s="99"/>
      <c r="AG364" s="99"/>
      <c r="AH364" s="99"/>
      <c r="AI364" s="99"/>
      <c r="AJ364" s="99"/>
      <c r="AK364" s="99"/>
      <c r="AL364" s="99"/>
      <c r="AM364" s="99"/>
      <c r="AN364" s="99"/>
      <c r="AO364" s="99"/>
      <c r="AP364" s="99"/>
      <c r="AQ364" s="99"/>
      <c r="AR364" s="99"/>
      <c r="AS364" s="99"/>
      <c r="AT364" s="99"/>
      <c r="AU364" s="99"/>
      <c r="AV364" s="99"/>
      <c r="AW364" s="90"/>
      <c r="AX364" s="90"/>
      <c r="AY364" s="90"/>
      <c r="AZ364" s="90"/>
      <c r="BA364" s="90"/>
      <c r="BB364" s="90"/>
      <c r="BC364" s="90"/>
      <c r="BD364" s="90"/>
      <c r="BE364" s="90"/>
      <c r="BF364" s="90"/>
      <c r="BG364" s="90"/>
    </row>
    <row r="365" ht="12.75" customHeight="1" outlineLevel="1">
      <c r="A365" s="316"/>
      <c r="B365" s="90"/>
      <c r="C365" s="90"/>
      <c r="D365" s="90" t="s">
        <v>768</v>
      </c>
      <c r="E365" s="90"/>
      <c r="F365" s="90"/>
      <c r="G365" s="99"/>
      <c r="H365" s="99"/>
      <c r="I365" s="543" t="str">
        <f t="shared" ref="I365:I366" si="275">'[4]'!H127</f>
        <v>#REF!</v>
      </c>
      <c r="J365" s="99">
        <f>'FY09 P&amp;L'!B173</f>
        <v>5085.32</v>
      </c>
      <c r="K365" s="99">
        <v>3570.0</v>
      </c>
      <c r="L365" s="99">
        <f t="shared" ref="L365:AV365" si="274">L230*L$46</f>
        <v>1836</v>
      </c>
      <c r="M365" s="99">
        <f t="shared" si="274"/>
        <v>1872.72</v>
      </c>
      <c r="N365" s="99">
        <f t="shared" si="274"/>
        <v>1910.1744</v>
      </c>
      <c r="O365" s="99">
        <f t="shared" si="274"/>
        <v>1948.377888</v>
      </c>
      <c r="P365" s="99">
        <f t="shared" si="274"/>
        <v>1987.345446</v>
      </c>
      <c r="Q365" s="99">
        <f t="shared" si="274"/>
        <v>2027.092355</v>
      </c>
      <c r="R365" s="99">
        <f t="shared" si="274"/>
        <v>2067.634202</v>
      </c>
      <c r="S365" s="99">
        <f t="shared" si="274"/>
        <v>2108.986886</v>
      </c>
      <c r="T365" s="99">
        <f t="shared" si="274"/>
        <v>2151.166624</v>
      </c>
      <c r="U365" s="99">
        <f t="shared" si="274"/>
        <v>2194.189956</v>
      </c>
      <c r="V365" s="99">
        <f t="shared" si="274"/>
        <v>2238.073755</v>
      </c>
      <c r="W365" s="99">
        <f t="shared" si="274"/>
        <v>2282.83523</v>
      </c>
      <c r="X365" s="99">
        <f t="shared" si="274"/>
        <v>2328.491935</v>
      </c>
      <c r="Y365" s="99">
        <f t="shared" si="274"/>
        <v>2375.061774</v>
      </c>
      <c r="Z365" s="99">
        <f t="shared" si="274"/>
        <v>2422.563009</v>
      </c>
      <c r="AA365" s="99">
        <f t="shared" si="274"/>
        <v>2471.014269</v>
      </c>
      <c r="AB365" s="99">
        <f t="shared" si="274"/>
        <v>2520.434555</v>
      </c>
      <c r="AC365" s="99">
        <f t="shared" si="274"/>
        <v>2570.843246</v>
      </c>
      <c r="AD365" s="99">
        <f t="shared" si="274"/>
        <v>2622.260111</v>
      </c>
      <c r="AE365" s="99">
        <f t="shared" si="274"/>
        <v>2674.705313</v>
      </c>
      <c r="AF365" s="99">
        <f t="shared" si="274"/>
        <v>2728.199419</v>
      </c>
      <c r="AG365" s="99">
        <f t="shared" si="274"/>
        <v>2782.763407</v>
      </c>
      <c r="AH365" s="99">
        <f t="shared" si="274"/>
        <v>2838.418676</v>
      </c>
      <c r="AI365" s="99">
        <f t="shared" si="274"/>
        <v>2895.187049</v>
      </c>
      <c r="AJ365" s="99">
        <f t="shared" si="274"/>
        <v>2953.09079</v>
      </c>
      <c r="AK365" s="99">
        <f t="shared" si="274"/>
        <v>3012.152606</v>
      </c>
      <c r="AL365" s="99">
        <f t="shared" si="274"/>
        <v>3072.395658</v>
      </c>
      <c r="AM365" s="99">
        <f t="shared" si="274"/>
        <v>3133.843571</v>
      </c>
      <c r="AN365" s="99">
        <f t="shared" si="274"/>
        <v>3196.520443</v>
      </c>
      <c r="AO365" s="99">
        <f t="shared" si="274"/>
        <v>3260.450851</v>
      </c>
      <c r="AP365" s="99">
        <f t="shared" si="274"/>
        <v>3325.659868</v>
      </c>
      <c r="AQ365" s="99">
        <f t="shared" si="274"/>
        <v>3392.173066</v>
      </c>
      <c r="AR365" s="99">
        <f t="shared" si="274"/>
        <v>3460.016527</v>
      </c>
      <c r="AS365" s="99">
        <f t="shared" si="274"/>
        <v>3529.216858</v>
      </c>
      <c r="AT365" s="99">
        <f t="shared" si="274"/>
        <v>3599.801195</v>
      </c>
      <c r="AU365" s="99">
        <f t="shared" si="274"/>
        <v>3671.797219</v>
      </c>
      <c r="AV365" s="99">
        <f t="shared" si="274"/>
        <v>3745.233163</v>
      </c>
      <c r="AW365" s="90"/>
      <c r="AX365" s="90"/>
      <c r="AY365" s="90"/>
      <c r="AZ365" s="90"/>
      <c r="BA365" s="90"/>
      <c r="BB365" s="90"/>
      <c r="BC365" s="90"/>
      <c r="BD365" s="90"/>
      <c r="BE365" s="90"/>
      <c r="BF365" s="90"/>
      <c r="BG365" s="90"/>
    </row>
    <row r="366" ht="12.75" customHeight="1" outlineLevel="1">
      <c r="A366" s="316"/>
      <c r="B366" s="90"/>
      <c r="C366" s="90"/>
      <c r="D366" s="90" t="s">
        <v>769</v>
      </c>
      <c r="E366" s="90"/>
      <c r="F366" s="90"/>
      <c r="G366" s="99"/>
      <c r="H366" s="99"/>
      <c r="I366" s="543" t="str">
        <f t="shared" si="275"/>
        <v>#REF!</v>
      </c>
      <c r="J366" s="99">
        <f>'FY09 P&amp;L'!B174</f>
        <v>22402.56</v>
      </c>
      <c r="K366" s="99">
        <v>17577.29</v>
      </c>
      <c r="L366" s="99">
        <f t="shared" ref="L366:AV366" si="276">L231*L$46</f>
        <v>24960</v>
      </c>
      <c r="M366" s="99">
        <f t="shared" si="276"/>
        <v>25459.2</v>
      </c>
      <c r="N366" s="99">
        <f t="shared" si="276"/>
        <v>25968.384</v>
      </c>
      <c r="O366" s="99">
        <f t="shared" si="276"/>
        <v>26487.75168</v>
      </c>
      <c r="P366" s="99">
        <f t="shared" si="276"/>
        <v>27017.50671</v>
      </c>
      <c r="Q366" s="99">
        <f t="shared" si="276"/>
        <v>27557.85685</v>
      </c>
      <c r="R366" s="99">
        <f t="shared" si="276"/>
        <v>28109.01398</v>
      </c>
      <c r="S366" s="99">
        <f t="shared" si="276"/>
        <v>28671.19426</v>
      </c>
      <c r="T366" s="99">
        <f t="shared" si="276"/>
        <v>29244.61815</v>
      </c>
      <c r="U366" s="99">
        <f t="shared" si="276"/>
        <v>29829.51051</v>
      </c>
      <c r="V366" s="99">
        <f t="shared" si="276"/>
        <v>30426.10072</v>
      </c>
      <c r="W366" s="99">
        <f t="shared" si="276"/>
        <v>31034.62274</v>
      </c>
      <c r="X366" s="99">
        <f t="shared" si="276"/>
        <v>31655.31519</v>
      </c>
      <c r="Y366" s="99">
        <f t="shared" si="276"/>
        <v>32288.4215</v>
      </c>
      <c r="Z366" s="99">
        <f t="shared" si="276"/>
        <v>32934.18993</v>
      </c>
      <c r="AA366" s="99">
        <f t="shared" si="276"/>
        <v>33592.87372</v>
      </c>
      <c r="AB366" s="99">
        <f t="shared" si="276"/>
        <v>34264.7312</v>
      </c>
      <c r="AC366" s="99">
        <f t="shared" si="276"/>
        <v>34950.02582</v>
      </c>
      <c r="AD366" s="99">
        <f t="shared" si="276"/>
        <v>35649.02634</v>
      </c>
      <c r="AE366" s="99">
        <f t="shared" si="276"/>
        <v>36362.00687</v>
      </c>
      <c r="AF366" s="99">
        <f t="shared" si="276"/>
        <v>37089.247</v>
      </c>
      <c r="AG366" s="99">
        <f t="shared" si="276"/>
        <v>37831.03194</v>
      </c>
      <c r="AH366" s="99">
        <f t="shared" si="276"/>
        <v>38587.65258</v>
      </c>
      <c r="AI366" s="99">
        <f t="shared" si="276"/>
        <v>39359.40563</v>
      </c>
      <c r="AJ366" s="99">
        <f t="shared" si="276"/>
        <v>40146.59375</v>
      </c>
      <c r="AK366" s="99">
        <f t="shared" si="276"/>
        <v>40949.52562</v>
      </c>
      <c r="AL366" s="99">
        <f t="shared" si="276"/>
        <v>41768.51613</v>
      </c>
      <c r="AM366" s="99">
        <f t="shared" si="276"/>
        <v>42603.88646</v>
      </c>
      <c r="AN366" s="99">
        <f t="shared" si="276"/>
        <v>43455.96419</v>
      </c>
      <c r="AO366" s="99">
        <f t="shared" si="276"/>
        <v>44325.08347</v>
      </c>
      <c r="AP366" s="99">
        <f t="shared" si="276"/>
        <v>45211.58514</v>
      </c>
      <c r="AQ366" s="99">
        <f t="shared" si="276"/>
        <v>46115.81684</v>
      </c>
      <c r="AR366" s="99">
        <f t="shared" si="276"/>
        <v>47038.13318</v>
      </c>
      <c r="AS366" s="99">
        <f t="shared" si="276"/>
        <v>47978.89584</v>
      </c>
      <c r="AT366" s="99">
        <f t="shared" si="276"/>
        <v>48938.47376</v>
      </c>
      <c r="AU366" s="99">
        <f t="shared" si="276"/>
        <v>49917.24323</v>
      </c>
      <c r="AV366" s="99">
        <f t="shared" si="276"/>
        <v>50915.5881</v>
      </c>
      <c r="AW366" s="90"/>
      <c r="AX366" s="90"/>
      <c r="AY366" s="90"/>
      <c r="AZ366" s="90"/>
      <c r="BA366" s="90"/>
      <c r="BB366" s="90"/>
      <c r="BC366" s="90"/>
      <c r="BD366" s="90"/>
      <c r="BE366" s="90"/>
      <c r="BF366" s="90"/>
      <c r="BG366" s="90"/>
    </row>
    <row r="367" ht="12.75" customHeight="1" outlineLevel="1">
      <c r="A367" s="316"/>
      <c r="B367" s="90"/>
      <c r="C367" s="90"/>
      <c r="D367" s="90" t="s">
        <v>770</v>
      </c>
      <c r="E367" s="90"/>
      <c r="F367" s="90"/>
      <c r="G367" s="99"/>
      <c r="H367" s="99"/>
      <c r="I367" s="543" t="str">
        <f>'[4]'!H165</f>
        <v>#REF!</v>
      </c>
      <c r="J367" s="99">
        <f>'FY09 P&amp;L'!B212</f>
        <v>4464.66</v>
      </c>
      <c r="K367" s="99">
        <v>3904.22</v>
      </c>
      <c r="L367" s="99">
        <f t="shared" ref="L367:AV367" si="277">L232*L$46</f>
        <v>4590</v>
      </c>
      <c r="M367" s="99">
        <f t="shared" si="277"/>
        <v>4681.8</v>
      </c>
      <c r="N367" s="99">
        <f t="shared" si="277"/>
        <v>4775.436</v>
      </c>
      <c r="O367" s="99">
        <f t="shared" si="277"/>
        <v>4870.94472</v>
      </c>
      <c r="P367" s="99">
        <f t="shared" si="277"/>
        <v>4968.363614</v>
      </c>
      <c r="Q367" s="99">
        <f t="shared" si="277"/>
        <v>5067.730887</v>
      </c>
      <c r="R367" s="99">
        <f t="shared" si="277"/>
        <v>5169.085504</v>
      </c>
      <c r="S367" s="99">
        <f t="shared" si="277"/>
        <v>5272.467215</v>
      </c>
      <c r="T367" s="99">
        <f t="shared" si="277"/>
        <v>5377.916559</v>
      </c>
      <c r="U367" s="99">
        <f t="shared" si="277"/>
        <v>5485.47489</v>
      </c>
      <c r="V367" s="99">
        <f t="shared" si="277"/>
        <v>5595.184388</v>
      </c>
      <c r="W367" s="99">
        <f t="shared" si="277"/>
        <v>5707.088076</v>
      </c>
      <c r="X367" s="99">
        <f t="shared" si="277"/>
        <v>5821.229837</v>
      </c>
      <c r="Y367" s="99">
        <f t="shared" si="277"/>
        <v>5937.654434</v>
      </c>
      <c r="Z367" s="99">
        <f t="shared" si="277"/>
        <v>6056.407522</v>
      </c>
      <c r="AA367" s="99">
        <f t="shared" si="277"/>
        <v>6177.535673</v>
      </c>
      <c r="AB367" s="99">
        <f t="shared" si="277"/>
        <v>6301.086386</v>
      </c>
      <c r="AC367" s="99">
        <f t="shared" si="277"/>
        <v>6427.108114</v>
      </c>
      <c r="AD367" s="99">
        <f t="shared" si="277"/>
        <v>6555.650276</v>
      </c>
      <c r="AE367" s="99">
        <f t="shared" si="277"/>
        <v>6686.763282</v>
      </c>
      <c r="AF367" s="99">
        <f t="shared" si="277"/>
        <v>6820.498548</v>
      </c>
      <c r="AG367" s="99">
        <f t="shared" si="277"/>
        <v>6956.908518</v>
      </c>
      <c r="AH367" s="99">
        <f t="shared" si="277"/>
        <v>7096.046689</v>
      </c>
      <c r="AI367" s="99">
        <f t="shared" si="277"/>
        <v>7237.967623</v>
      </c>
      <c r="AJ367" s="99">
        <f t="shared" si="277"/>
        <v>7382.726975</v>
      </c>
      <c r="AK367" s="99">
        <f t="shared" si="277"/>
        <v>7530.381515</v>
      </c>
      <c r="AL367" s="99">
        <f t="shared" si="277"/>
        <v>7680.989145</v>
      </c>
      <c r="AM367" s="99">
        <f t="shared" si="277"/>
        <v>7834.608928</v>
      </c>
      <c r="AN367" s="99">
        <f t="shared" si="277"/>
        <v>7991.301106</v>
      </c>
      <c r="AO367" s="99">
        <f t="shared" si="277"/>
        <v>8151.127128</v>
      </c>
      <c r="AP367" s="99">
        <f t="shared" si="277"/>
        <v>8314.149671</v>
      </c>
      <c r="AQ367" s="99">
        <f t="shared" si="277"/>
        <v>8480.432664</v>
      </c>
      <c r="AR367" s="99">
        <f t="shared" si="277"/>
        <v>8650.041318</v>
      </c>
      <c r="AS367" s="99">
        <f t="shared" si="277"/>
        <v>8823.042144</v>
      </c>
      <c r="AT367" s="99">
        <f t="shared" si="277"/>
        <v>8999.502987</v>
      </c>
      <c r="AU367" s="99">
        <f t="shared" si="277"/>
        <v>9179.493047</v>
      </c>
      <c r="AV367" s="99">
        <f t="shared" si="277"/>
        <v>9363.082908</v>
      </c>
      <c r="AW367" s="90"/>
      <c r="AX367" s="90"/>
      <c r="AY367" s="90"/>
      <c r="AZ367" s="90"/>
      <c r="BA367" s="90"/>
      <c r="BB367" s="90"/>
      <c r="BC367" s="90"/>
      <c r="BD367" s="90"/>
      <c r="BE367" s="90"/>
      <c r="BF367" s="90"/>
      <c r="BG367" s="90"/>
    </row>
    <row r="368" ht="12.75" customHeight="1" outlineLevel="1">
      <c r="A368" s="316"/>
      <c r="B368" s="90"/>
      <c r="C368" s="90"/>
      <c r="D368" s="90" t="s">
        <v>771</v>
      </c>
      <c r="E368" s="90"/>
      <c r="F368" s="90"/>
      <c r="G368" s="99"/>
      <c r="H368" s="99"/>
      <c r="I368" s="543" t="str">
        <f>'[4]'!H140</f>
        <v>#REF!</v>
      </c>
      <c r="J368" s="99">
        <f>'FY09 P&amp;L'!B234</f>
        <v>981.77</v>
      </c>
      <c r="K368" s="99">
        <v>3754.95</v>
      </c>
      <c r="L368" s="99">
        <f t="shared" ref="L368:AV368" si="278">L233*L$46</f>
        <v>1530</v>
      </c>
      <c r="M368" s="99">
        <f t="shared" si="278"/>
        <v>1560.6</v>
      </c>
      <c r="N368" s="99">
        <f t="shared" si="278"/>
        <v>1591.812</v>
      </c>
      <c r="O368" s="99">
        <f t="shared" si="278"/>
        <v>1623.64824</v>
      </c>
      <c r="P368" s="99">
        <f t="shared" si="278"/>
        <v>1656.121205</v>
      </c>
      <c r="Q368" s="99">
        <f t="shared" si="278"/>
        <v>1689.243629</v>
      </c>
      <c r="R368" s="99">
        <f t="shared" si="278"/>
        <v>1723.028501</v>
      </c>
      <c r="S368" s="99">
        <f t="shared" si="278"/>
        <v>1757.489072</v>
      </c>
      <c r="T368" s="99">
        <f t="shared" si="278"/>
        <v>1792.638853</v>
      </c>
      <c r="U368" s="99">
        <f t="shared" si="278"/>
        <v>1828.49163</v>
      </c>
      <c r="V368" s="99">
        <f t="shared" si="278"/>
        <v>1865.061463</v>
      </c>
      <c r="W368" s="99">
        <f t="shared" si="278"/>
        <v>1902.362692</v>
      </c>
      <c r="X368" s="99">
        <f t="shared" si="278"/>
        <v>1940.409946</v>
      </c>
      <c r="Y368" s="99">
        <f t="shared" si="278"/>
        <v>1979.218145</v>
      </c>
      <c r="Z368" s="99">
        <f t="shared" si="278"/>
        <v>2018.802507</v>
      </c>
      <c r="AA368" s="99">
        <f t="shared" si="278"/>
        <v>2059.178558</v>
      </c>
      <c r="AB368" s="99">
        <f t="shared" si="278"/>
        <v>2100.362129</v>
      </c>
      <c r="AC368" s="99">
        <f t="shared" si="278"/>
        <v>2142.369371</v>
      </c>
      <c r="AD368" s="99">
        <f t="shared" si="278"/>
        <v>2185.216759</v>
      </c>
      <c r="AE368" s="99">
        <f t="shared" si="278"/>
        <v>2228.921094</v>
      </c>
      <c r="AF368" s="99">
        <f t="shared" si="278"/>
        <v>2273.499516</v>
      </c>
      <c r="AG368" s="99">
        <f t="shared" si="278"/>
        <v>2318.969506</v>
      </c>
      <c r="AH368" s="99">
        <f t="shared" si="278"/>
        <v>2365.348896</v>
      </c>
      <c r="AI368" s="99">
        <f t="shared" si="278"/>
        <v>2412.655874</v>
      </c>
      <c r="AJ368" s="99">
        <f t="shared" si="278"/>
        <v>2460.908992</v>
      </c>
      <c r="AK368" s="99">
        <f t="shared" si="278"/>
        <v>2510.127172</v>
      </c>
      <c r="AL368" s="99">
        <f t="shared" si="278"/>
        <v>2560.329715</v>
      </c>
      <c r="AM368" s="99">
        <f t="shared" si="278"/>
        <v>2611.536309</v>
      </c>
      <c r="AN368" s="99">
        <f t="shared" si="278"/>
        <v>2663.767035</v>
      </c>
      <c r="AO368" s="99">
        <f t="shared" si="278"/>
        <v>2717.042376</v>
      </c>
      <c r="AP368" s="99">
        <f t="shared" si="278"/>
        <v>2771.383224</v>
      </c>
      <c r="AQ368" s="99">
        <f t="shared" si="278"/>
        <v>2826.810888</v>
      </c>
      <c r="AR368" s="99">
        <f t="shared" si="278"/>
        <v>2883.347106</v>
      </c>
      <c r="AS368" s="99">
        <f t="shared" si="278"/>
        <v>2941.014048</v>
      </c>
      <c r="AT368" s="99">
        <f t="shared" si="278"/>
        <v>2999.834329</v>
      </c>
      <c r="AU368" s="99">
        <f t="shared" si="278"/>
        <v>3059.831016</v>
      </c>
      <c r="AV368" s="99">
        <f t="shared" si="278"/>
        <v>3121.027636</v>
      </c>
      <c r="AW368" s="90"/>
      <c r="AX368" s="90"/>
      <c r="AY368" s="90"/>
      <c r="AZ368" s="90"/>
      <c r="BA368" s="90"/>
      <c r="BB368" s="90"/>
      <c r="BC368" s="90"/>
      <c r="BD368" s="90"/>
      <c r="BE368" s="90"/>
      <c r="BF368" s="90"/>
      <c r="BG368" s="90"/>
    </row>
    <row r="369" ht="12.75" customHeight="1" outlineLevel="1">
      <c r="A369" s="316"/>
      <c r="B369" s="90"/>
      <c r="C369" s="90"/>
      <c r="D369" s="90" t="s">
        <v>772</v>
      </c>
      <c r="E369" s="90"/>
      <c r="F369" s="90"/>
      <c r="G369" s="99"/>
      <c r="H369" s="99"/>
      <c r="I369" s="356" t="str">
        <f>'[4]'!H163</f>
        <v>#REF!</v>
      </c>
      <c r="J369" s="99">
        <f>'FY09 P&amp;L'!B207</f>
        <v>7087.05</v>
      </c>
      <c r="K369" s="99"/>
      <c r="L369" s="99">
        <f t="shared" ref="L369:L370" si="280">L234*L$46</f>
        <v>0</v>
      </c>
      <c r="M369" s="99">
        <f t="shared" ref="M369:AV369" si="279">L369</f>
        <v>0</v>
      </c>
      <c r="N369" s="99">
        <f t="shared" si="279"/>
        <v>0</v>
      </c>
      <c r="O369" s="99">
        <f t="shared" si="279"/>
        <v>0</v>
      </c>
      <c r="P369" s="99">
        <f t="shared" si="279"/>
        <v>0</v>
      </c>
      <c r="Q369" s="99">
        <f t="shared" si="279"/>
        <v>0</v>
      </c>
      <c r="R369" s="99">
        <f t="shared" si="279"/>
        <v>0</v>
      </c>
      <c r="S369" s="99">
        <f t="shared" si="279"/>
        <v>0</v>
      </c>
      <c r="T369" s="99">
        <f t="shared" si="279"/>
        <v>0</v>
      </c>
      <c r="U369" s="99">
        <f t="shared" si="279"/>
        <v>0</v>
      </c>
      <c r="V369" s="99">
        <f t="shared" si="279"/>
        <v>0</v>
      </c>
      <c r="W369" s="99">
        <f t="shared" si="279"/>
        <v>0</v>
      </c>
      <c r="X369" s="99">
        <f t="shared" si="279"/>
        <v>0</v>
      </c>
      <c r="Y369" s="99">
        <f t="shared" si="279"/>
        <v>0</v>
      </c>
      <c r="Z369" s="99">
        <f t="shared" si="279"/>
        <v>0</v>
      </c>
      <c r="AA369" s="99">
        <f t="shared" si="279"/>
        <v>0</v>
      </c>
      <c r="AB369" s="99">
        <f t="shared" si="279"/>
        <v>0</v>
      </c>
      <c r="AC369" s="99">
        <f t="shared" si="279"/>
        <v>0</v>
      </c>
      <c r="AD369" s="99">
        <f t="shared" si="279"/>
        <v>0</v>
      </c>
      <c r="AE369" s="99">
        <f t="shared" si="279"/>
        <v>0</v>
      </c>
      <c r="AF369" s="99">
        <f t="shared" si="279"/>
        <v>0</v>
      </c>
      <c r="AG369" s="99">
        <f t="shared" si="279"/>
        <v>0</v>
      </c>
      <c r="AH369" s="99">
        <f t="shared" si="279"/>
        <v>0</v>
      </c>
      <c r="AI369" s="99">
        <f t="shared" si="279"/>
        <v>0</v>
      </c>
      <c r="AJ369" s="99">
        <f t="shared" si="279"/>
        <v>0</v>
      </c>
      <c r="AK369" s="99">
        <f t="shared" si="279"/>
        <v>0</v>
      </c>
      <c r="AL369" s="99">
        <f t="shared" si="279"/>
        <v>0</v>
      </c>
      <c r="AM369" s="99">
        <f t="shared" si="279"/>
        <v>0</v>
      </c>
      <c r="AN369" s="99">
        <f t="shared" si="279"/>
        <v>0</v>
      </c>
      <c r="AO369" s="99">
        <f t="shared" si="279"/>
        <v>0</v>
      </c>
      <c r="AP369" s="99">
        <f t="shared" si="279"/>
        <v>0</v>
      </c>
      <c r="AQ369" s="99">
        <f t="shared" si="279"/>
        <v>0</v>
      </c>
      <c r="AR369" s="99">
        <f t="shared" si="279"/>
        <v>0</v>
      </c>
      <c r="AS369" s="99">
        <f t="shared" si="279"/>
        <v>0</v>
      </c>
      <c r="AT369" s="99">
        <f t="shared" si="279"/>
        <v>0</v>
      </c>
      <c r="AU369" s="99">
        <f t="shared" si="279"/>
        <v>0</v>
      </c>
      <c r="AV369" s="99">
        <f t="shared" si="279"/>
        <v>0</v>
      </c>
      <c r="AW369" s="90"/>
      <c r="AX369" s="90"/>
      <c r="AY369" s="90"/>
      <c r="AZ369" s="90"/>
      <c r="BA369" s="90"/>
      <c r="BB369" s="90"/>
      <c r="BC369" s="90"/>
      <c r="BD369" s="90"/>
      <c r="BE369" s="90"/>
      <c r="BF369" s="90"/>
      <c r="BG369" s="90"/>
    </row>
    <row r="370" ht="12.75" customHeight="1" outlineLevel="1">
      <c r="A370" s="316"/>
      <c r="B370" s="90"/>
      <c r="C370" s="90"/>
      <c r="D370" s="90" t="s">
        <v>773</v>
      </c>
      <c r="E370" s="90"/>
      <c r="F370" s="90"/>
      <c r="G370" s="99"/>
      <c r="H370" s="99"/>
      <c r="I370" s="543" t="str">
        <f>'[4]'!H166</f>
        <v>#REF!</v>
      </c>
      <c r="J370" s="99">
        <f>'FY09 P&amp;L'!B221</f>
        <v>2054</v>
      </c>
      <c r="K370" s="99">
        <v>5600.0</v>
      </c>
      <c r="L370" s="99">
        <f t="shared" si="280"/>
        <v>2400</v>
      </c>
      <c r="M370" s="99">
        <f t="shared" ref="M370:AV370" si="281">M235*M$46</f>
        <v>2448</v>
      </c>
      <c r="N370" s="99">
        <f t="shared" si="281"/>
        <v>2496.96</v>
      </c>
      <c r="O370" s="99">
        <f t="shared" si="281"/>
        <v>2546.8992</v>
      </c>
      <c r="P370" s="99">
        <f t="shared" si="281"/>
        <v>2597.837184</v>
      </c>
      <c r="Q370" s="99">
        <f t="shared" si="281"/>
        <v>2649.793928</v>
      </c>
      <c r="R370" s="99">
        <f t="shared" si="281"/>
        <v>2702.789806</v>
      </c>
      <c r="S370" s="99">
        <f t="shared" si="281"/>
        <v>2756.845602</v>
      </c>
      <c r="T370" s="99">
        <f t="shared" si="281"/>
        <v>2811.982514</v>
      </c>
      <c r="U370" s="99">
        <f t="shared" si="281"/>
        <v>2868.222165</v>
      </c>
      <c r="V370" s="99">
        <f t="shared" si="281"/>
        <v>2925.586608</v>
      </c>
      <c r="W370" s="99">
        <f t="shared" si="281"/>
        <v>2984.09834</v>
      </c>
      <c r="X370" s="99">
        <f t="shared" si="281"/>
        <v>3043.780307</v>
      </c>
      <c r="Y370" s="99">
        <f t="shared" si="281"/>
        <v>3104.655913</v>
      </c>
      <c r="Z370" s="99">
        <f t="shared" si="281"/>
        <v>3166.749031</v>
      </c>
      <c r="AA370" s="99">
        <f t="shared" si="281"/>
        <v>3230.084012</v>
      </c>
      <c r="AB370" s="99">
        <f t="shared" si="281"/>
        <v>3294.685692</v>
      </c>
      <c r="AC370" s="99">
        <f t="shared" si="281"/>
        <v>3360.579406</v>
      </c>
      <c r="AD370" s="99">
        <f t="shared" si="281"/>
        <v>3427.790994</v>
      </c>
      <c r="AE370" s="99">
        <f t="shared" si="281"/>
        <v>3496.346814</v>
      </c>
      <c r="AF370" s="99">
        <f t="shared" si="281"/>
        <v>3566.27375</v>
      </c>
      <c r="AG370" s="99">
        <f t="shared" si="281"/>
        <v>3637.599225</v>
      </c>
      <c r="AH370" s="99">
        <f t="shared" si="281"/>
        <v>3710.35121</v>
      </c>
      <c r="AI370" s="99">
        <f t="shared" si="281"/>
        <v>3784.558234</v>
      </c>
      <c r="AJ370" s="99">
        <f t="shared" si="281"/>
        <v>3860.249399</v>
      </c>
      <c r="AK370" s="99">
        <f t="shared" si="281"/>
        <v>3937.454387</v>
      </c>
      <c r="AL370" s="99">
        <f t="shared" si="281"/>
        <v>4016.203474</v>
      </c>
      <c r="AM370" s="99">
        <f t="shared" si="281"/>
        <v>4096.527544</v>
      </c>
      <c r="AN370" s="99">
        <f t="shared" si="281"/>
        <v>4178.458095</v>
      </c>
      <c r="AO370" s="99">
        <f t="shared" si="281"/>
        <v>4262.027257</v>
      </c>
      <c r="AP370" s="99">
        <f t="shared" si="281"/>
        <v>4347.267802</v>
      </c>
      <c r="AQ370" s="99">
        <f t="shared" si="281"/>
        <v>4434.213158</v>
      </c>
      <c r="AR370" s="99">
        <f t="shared" si="281"/>
        <v>4522.897421</v>
      </c>
      <c r="AS370" s="99">
        <f t="shared" si="281"/>
        <v>4613.355369</v>
      </c>
      <c r="AT370" s="99">
        <f t="shared" si="281"/>
        <v>4705.622477</v>
      </c>
      <c r="AU370" s="99">
        <f t="shared" si="281"/>
        <v>4799.734926</v>
      </c>
      <c r="AV370" s="99">
        <f t="shared" si="281"/>
        <v>4895.729625</v>
      </c>
      <c r="AW370" s="90"/>
      <c r="AX370" s="90"/>
      <c r="AY370" s="90"/>
      <c r="AZ370" s="90"/>
      <c r="BA370" s="90"/>
      <c r="BB370" s="90"/>
      <c r="BC370" s="90"/>
      <c r="BD370" s="90"/>
      <c r="BE370" s="90"/>
      <c r="BF370" s="90"/>
      <c r="BG370" s="90"/>
    </row>
    <row r="371" ht="12.75" customHeight="1" outlineLevel="1">
      <c r="A371" s="316"/>
      <c r="B371" s="90"/>
      <c r="C371" s="90"/>
      <c r="D371" s="90" t="s">
        <v>828</v>
      </c>
      <c r="E371" s="90"/>
      <c r="F371" s="90"/>
      <c r="G371" s="99"/>
      <c r="H371" s="99"/>
      <c r="I371" s="99" t="str">
        <f>'[4]'!H167+'[4]'!H180+'[4]'!H173</f>
        <v>#REF!</v>
      </c>
      <c r="J371" s="99"/>
      <c r="K371" s="99">
        <v>359.92</v>
      </c>
      <c r="L371" s="99">
        <f t="shared" ref="L371:M371" si="282">K371</f>
        <v>359.92</v>
      </c>
      <c r="M371" s="99">
        <f t="shared" si="282"/>
        <v>359.92</v>
      </c>
      <c r="N371" s="99">
        <v>169486.445875106</v>
      </c>
      <c r="O371" s="99">
        <v>172876.174792609</v>
      </c>
      <c r="P371" s="99">
        <v>514838.698348294</v>
      </c>
      <c r="Q371" s="99">
        <v>523931.523721139</v>
      </c>
      <c r="R371" s="99">
        <v>557556.976628033</v>
      </c>
      <c r="S371" s="99">
        <v>570035.556965853</v>
      </c>
      <c r="T371" s="99">
        <v>582775.059818969</v>
      </c>
      <c r="U371" s="99">
        <v>595780.817146774</v>
      </c>
      <c r="V371" s="99">
        <v>609058.268682938</v>
      </c>
      <c r="W371" s="99">
        <v>622612.964102246</v>
      </c>
      <c r="X371" s="99">
        <v>636450.565230886</v>
      </c>
      <c r="Y371" s="99">
        <v>650576.848301052</v>
      </c>
      <c r="Z371" s="99">
        <v>664997.706250767</v>
      </c>
      <c r="AA371" s="99">
        <v>679719.151069801</v>
      </c>
      <c r="AB371" s="99">
        <v>694747.316192643</v>
      </c>
      <c r="AC371" s="99">
        <v>710088.458939447</v>
      </c>
      <c r="AD371" s="99">
        <v>725748.963005903</v>
      </c>
      <c r="AE371" s="99">
        <v>741735.341003055</v>
      </c>
      <c r="AF371" s="99">
        <v>758054.237048008</v>
      </c>
      <c r="AG371" s="99">
        <v>774712.429406597</v>
      </c>
      <c r="AH371" s="99">
        <v>791716.833189023</v>
      </c>
      <c r="AI371" s="99">
        <v>809074.50309953</v>
      </c>
      <c r="AJ371" s="99">
        <v>826792.636241201</v>
      </c>
      <c r="AK371" s="99">
        <v>844878.574976995</v>
      </c>
      <c r="AL371" s="99">
        <v>863339.809848097</v>
      </c>
      <c r="AM371" s="99">
        <v>882183.982550831</v>
      </c>
      <c r="AN371" s="99">
        <v>901418.888973161</v>
      </c>
      <c r="AO371" s="99">
        <v>921052.482292142</v>
      </c>
      <c r="AP371" s="99">
        <v>941092.876133384</v>
      </c>
      <c r="AQ371" s="99">
        <v>961548.347793896</v>
      </c>
      <c r="AR371" s="99">
        <v>982427.341529484</v>
      </c>
      <c r="AS371" s="99">
        <v>1003738.47190807</v>
      </c>
      <c r="AT371" s="99">
        <v>1025490.52723019</v>
      </c>
      <c r="AU371" s="99">
        <v>1047692.47301809</v>
      </c>
      <c r="AV371" s="99">
        <v>1070353.45557466</v>
      </c>
      <c r="AW371" s="90"/>
      <c r="AX371" s="90"/>
      <c r="AY371" s="90"/>
      <c r="AZ371" s="90"/>
      <c r="BA371" s="90"/>
      <c r="BB371" s="90"/>
      <c r="BC371" s="90"/>
      <c r="BD371" s="90"/>
      <c r="BE371" s="90"/>
      <c r="BF371" s="90"/>
      <c r="BG371" s="90"/>
    </row>
    <row r="372" ht="12.75" customHeight="1" outlineLevel="1">
      <c r="A372" s="316"/>
      <c r="B372" s="90"/>
      <c r="C372" s="90"/>
      <c r="D372" s="90" t="s">
        <v>829</v>
      </c>
      <c r="E372" s="90"/>
      <c r="F372" s="90"/>
      <c r="G372" s="99"/>
      <c r="H372" s="99"/>
      <c r="I372" s="99"/>
      <c r="J372" s="99"/>
      <c r="K372" s="99"/>
      <c r="L372" s="99"/>
      <c r="M372" s="99"/>
      <c r="N372" s="99"/>
      <c r="O372" s="99"/>
      <c r="P372" s="99"/>
      <c r="Q372" s="99"/>
      <c r="R372" s="99"/>
      <c r="S372" s="99"/>
      <c r="T372" s="99"/>
      <c r="U372" s="99"/>
      <c r="V372" s="99"/>
      <c r="W372" s="99"/>
      <c r="X372" s="99"/>
      <c r="Y372" s="99"/>
      <c r="Z372" s="99"/>
      <c r="AA372" s="99"/>
      <c r="AB372" s="99"/>
      <c r="AC372" s="99"/>
      <c r="AD372" s="99"/>
      <c r="AE372" s="99"/>
      <c r="AF372" s="99"/>
      <c r="AG372" s="99"/>
      <c r="AH372" s="99"/>
      <c r="AI372" s="99"/>
      <c r="AJ372" s="99"/>
      <c r="AK372" s="99"/>
      <c r="AL372" s="99"/>
      <c r="AM372" s="99"/>
      <c r="AN372" s="99"/>
      <c r="AO372" s="99"/>
      <c r="AP372" s="99"/>
      <c r="AQ372" s="99"/>
      <c r="AR372" s="99"/>
      <c r="AS372" s="99"/>
      <c r="AT372" s="99"/>
      <c r="AU372" s="99"/>
      <c r="AV372" s="99"/>
      <c r="AW372" s="90"/>
      <c r="AX372" s="90"/>
      <c r="AY372" s="90"/>
      <c r="AZ372" s="90"/>
      <c r="BA372" s="90"/>
      <c r="BB372" s="90"/>
      <c r="BC372" s="90"/>
      <c r="BD372" s="90"/>
      <c r="BE372" s="90"/>
      <c r="BF372" s="90"/>
      <c r="BG372" s="90"/>
    </row>
    <row r="373" ht="12.75" customHeight="1" outlineLevel="1">
      <c r="A373" s="316"/>
      <c r="B373" s="90"/>
      <c r="C373" s="90"/>
      <c r="D373" s="64" t="s">
        <v>830</v>
      </c>
      <c r="E373" s="90"/>
      <c r="F373" s="90"/>
      <c r="G373" s="99"/>
      <c r="H373" s="99"/>
      <c r="I373" s="543" t="str">
        <f t="shared" ref="I373:I375" si="283">'[4]'!H141</f>
        <v>#REF!</v>
      </c>
      <c r="J373" s="99">
        <f>'FY09 P&amp;L'!B200+'FY09 P&amp;L'!B210</f>
        <v>7479.5</v>
      </c>
      <c r="K373" s="99"/>
      <c r="L373" s="99">
        <v>0.0</v>
      </c>
      <c r="M373" s="99">
        <v>0.0</v>
      </c>
      <c r="N373" s="99">
        <v>0.0</v>
      </c>
      <c r="O373" s="99">
        <v>0.0</v>
      </c>
      <c r="P373" s="99">
        <v>0.0</v>
      </c>
      <c r="Q373" s="99">
        <v>0.0</v>
      </c>
      <c r="R373" s="99">
        <v>0.0</v>
      </c>
      <c r="S373" s="99">
        <v>0.0</v>
      </c>
      <c r="T373" s="99">
        <v>0.0</v>
      </c>
      <c r="U373" s="99">
        <v>0.0</v>
      </c>
      <c r="V373" s="99">
        <v>0.0</v>
      </c>
      <c r="W373" s="99">
        <v>0.0</v>
      </c>
      <c r="X373" s="99">
        <v>0.0</v>
      </c>
      <c r="Y373" s="99">
        <v>0.0</v>
      </c>
      <c r="Z373" s="99">
        <v>0.0</v>
      </c>
      <c r="AA373" s="99">
        <v>0.0</v>
      </c>
      <c r="AB373" s="99">
        <v>0.0</v>
      </c>
      <c r="AC373" s="99">
        <v>0.0</v>
      </c>
      <c r="AD373" s="99">
        <v>0.0</v>
      </c>
      <c r="AE373" s="99">
        <v>0.0</v>
      </c>
      <c r="AF373" s="99">
        <v>0.0</v>
      </c>
      <c r="AG373" s="99">
        <v>0.0</v>
      </c>
      <c r="AH373" s="99">
        <v>0.0</v>
      </c>
      <c r="AI373" s="99">
        <v>0.0</v>
      </c>
      <c r="AJ373" s="99">
        <v>0.0</v>
      </c>
      <c r="AK373" s="99">
        <v>0.0</v>
      </c>
      <c r="AL373" s="99">
        <v>0.0</v>
      </c>
      <c r="AM373" s="99">
        <v>0.0</v>
      </c>
      <c r="AN373" s="99">
        <v>0.0</v>
      </c>
      <c r="AO373" s="99">
        <v>0.0</v>
      </c>
      <c r="AP373" s="99">
        <v>0.0</v>
      </c>
      <c r="AQ373" s="99">
        <v>0.0</v>
      </c>
      <c r="AR373" s="99">
        <v>0.0</v>
      </c>
      <c r="AS373" s="99">
        <v>0.0</v>
      </c>
      <c r="AT373" s="99">
        <v>0.0</v>
      </c>
      <c r="AU373" s="99">
        <v>0.0</v>
      </c>
      <c r="AV373" s="99">
        <v>0.0</v>
      </c>
      <c r="AW373" s="90"/>
      <c r="AX373" s="90"/>
      <c r="AY373" s="90"/>
      <c r="AZ373" s="90"/>
      <c r="BA373" s="90"/>
      <c r="BB373" s="90"/>
      <c r="BC373" s="90"/>
      <c r="BD373" s="90"/>
      <c r="BE373" s="90"/>
      <c r="BF373" s="90"/>
      <c r="BG373" s="90"/>
    </row>
    <row r="374" ht="12.75" customHeight="1" outlineLevel="1">
      <c r="A374" s="316"/>
      <c r="B374" s="90"/>
      <c r="C374" s="90"/>
      <c r="D374" s="90" t="s">
        <v>831</v>
      </c>
      <c r="E374" s="90"/>
      <c r="F374" s="90"/>
      <c r="G374" s="99"/>
      <c r="H374" s="99"/>
      <c r="I374" s="543" t="str">
        <f t="shared" si="283"/>
        <v>#REF!</v>
      </c>
      <c r="J374" s="99"/>
      <c r="K374" s="99"/>
      <c r="L374" s="99">
        <v>0.0</v>
      </c>
      <c r="M374" s="99">
        <v>0.0</v>
      </c>
      <c r="N374" s="99">
        <v>0.0</v>
      </c>
      <c r="O374" s="99">
        <v>0.0</v>
      </c>
      <c r="P374" s="99">
        <v>0.0</v>
      </c>
      <c r="Q374" s="99">
        <v>0.0</v>
      </c>
      <c r="R374" s="99">
        <v>0.0</v>
      </c>
      <c r="S374" s="99">
        <v>0.0</v>
      </c>
      <c r="T374" s="99">
        <v>0.0</v>
      </c>
      <c r="U374" s="99">
        <v>0.0</v>
      </c>
      <c r="V374" s="99">
        <v>0.0</v>
      </c>
      <c r="W374" s="99">
        <v>0.0</v>
      </c>
      <c r="X374" s="99">
        <v>0.0</v>
      </c>
      <c r="Y374" s="99">
        <v>0.0</v>
      </c>
      <c r="Z374" s="99">
        <v>0.0</v>
      </c>
      <c r="AA374" s="99">
        <v>0.0</v>
      </c>
      <c r="AB374" s="99">
        <v>0.0</v>
      </c>
      <c r="AC374" s="99">
        <v>0.0</v>
      </c>
      <c r="AD374" s="99">
        <v>0.0</v>
      </c>
      <c r="AE374" s="99">
        <v>0.0</v>
      </c>
      <c r="AF374" s="99">
        <v>0.0</v>
      </c>
      <c r="AG374" s="99">
        <v>0.0</v>
      </c>
      <c r="AH374" s="99">
        <v>0.0</v>
      </c>
      <c r="AI374" s="99">
        <v>0.0</v>
      </c>
      <c r="AJ374" s="99">
        <v>0.0</v>
      </c>
      <c r="AK374" s="99">
        <v>0.0</v>
      </c>
      <c r="AL374" s="99">
        <v>0.0</v>
      </c>
      <c r="AM374" s="99">
        <v>0.0</v>
      </c>
      <c r="AN374" s="99">
        <v>0.0</v>
      </c>
      <c r="AO374" s="99">
        <v>0.0</v>
      </c>
      <c r="AP374" s="99">
        <v>0.0</v>
      </c>
      <c r="AQ374" s="99">
        <v>0.0</v>
      </c>
      <c r="AR374" s="99">
        <v>0.0</v>
      </c>
      <c r="AS374" s="99">
        <v>0.0</v>
      </c>
      <c r="AT374" s="99">
        <v>0.0</v>
      </c>
      <c r="AU374" s="99">
        <v>0.0</v>
      </c>
      <c r="AV374" s="99">
        <v>0.0</v>
      </c>
      <c r="AW374" s="90"/>
      <c r="AX374" s="90"/>
      <c r="AY374" s="90"/>
      <c r="AZ374" s="90"/>
      <c r="BA374" s="90"/>
      <c r="BB374" s="90"/>
      <c r="BC374" s="90"/>
      <c r="BD374" s="90"/>
      <c r="BE374" s="90"/>
      <c r="BF374" s="90"/>
      <c r="BG374" s="90"/>
    </row>
    <row r="375" ht="12.75" customHeight="1" outlineLevel="1">
      <c r="A375" s="316"/>
      <c r="B375" s="90"/>
      <c r="C375" s="90"/>
      <c r="D375" s="90" t="s">
        <v>832</v>
      </c>
      <c r="E375" s="90"/>
      <c r="F375" s="90"/>
      <c r="G375" s="99"/>
      <c r="H375" s="99"/>
      <c r="I375" s="543" t="str">
        <f t="shared" si="283"/>
        <v>#REF!</v>
      </c>
      <c r="J375" s="99"/>
      <c r="K375" s="99"/>
      <c r="L375" s="99">
        <v>0.0</v>
      </c>
      <c r="M375" s="99">
        <v>0.0</v>
      </c>
      <c r="N375" s="99">
        <v>0.0</v>
      </c>
      <c r="O375" s="99">
        <v>0.0</v>
      </c>
      <c r="P375" s="99">
        <v>0.0</v>
      </c>
      <c r="Q375" s="99">
        <v>0.0</v>
      </c>
      <c r="R375" s="99">
        <v>0.0</v>
      </c>
      <c r="S375" s="99">
        <v>0.0</v>
      </c>
      <c r="T375" s="99">
        <v>0.0</v>
      </c>
      <c r="U375" s="99">
        <v>0.0</v>
      </c>
      <c r="V375" s="99">
        <v>0.0</v>
      </c>
      <c r="W375" s="99">
        <v>0.0</v>
      </c>
      <c r="X375" s="99">
        <v>0.0</v>
      </c>
      <c r="Y375" s="99">
        <v>0.0</v>
      </c>
      <c r="Z375" s="99">
        <v>0.0</v>
      </c>
      <c r="AA375" s="99">
        <v>0.0</v>
      </c>
      <c r="AB375" s="99">
        <v>0.0</v>
      </c>
      <c r="AC375" s="99">
        <v>0.0</v>
      </c>
      <c r="AD375" s="99">
        <v>0.0</v>
      </c>
      <c r="AE375" s="99">
        <v>0.0</v>
      </c>
      <c r="AF375" s="99">
        <v>0.0</v>
      </c>
      <c r="AG375" s="99">
        <v>0.0</v>
      </c>
      <c r="AH375" s="99">
        <v>0.0</v>
      </c>
      <c r="AI375" s="99">
        <v>0.0</v>
      </c>
      <c r="AJ375" s="99">
        <v>0.0</v>
      </c>
      <c r="AK375" s="99">
        <v>0.0</v>
      </c>
      <c r="AL375" s="99">
        <v>0.0</v>
      </c>
      <c r="AM375" s="99">
        <v>0.0</v>
      </c>
      <c r="AN375" s="99">
        <v>0.0</v>
      </c>
      <c r="AO375" s="99">
        <v>0.0</v>
      </c>
      <c r="AP375" s="99">
        <v>0.0</v>
      </c>
      <c r="AQ375" s="99">
        <v>0.0</v>
      </c>
      <c r="AR375" s="99">
        <v>0.0</v>
      </c>
      <c r="AS375" s="99">
        <v>0.0</v>
      </c>
      <c r="AT375" s="99">
        <v>0.0</v>
      </c>
      <c r="AU375" s="99">
        <v>0.0</v>
      </c>
      <c r="AV375" s="99">
        <v>0.0</v>
      </c>
      <c r="AW375" s="90"/>
      <c r="AX375" s="90"/>
      <c r="AY375" s="90"/>
      <c r="AZ375" s="90"/>
      <c r="BA375" s="90"/>
      <c r="BB375" s="90"/>
      <c r="BC375" s="90"/>
      <c r="BD375" s="90"/>
      <c r="BE375" s="90"/>
      <c r="BF375" s="90"/>
      <c r="BG375" s="90"/>
    </row>
    <row r="376" ht="12.75" customHeight="1" outlineLevel="1">
      <c r="A376" s="316"/>
      <c r="B376" s="90"/>
      <c r="C376" s="90"/>
      <c r="D376" s="90" t="s">
        <v>833</v>
      </c>
      <c r="E376" s="90"/>
      <c r="F376" s="90"/>
      <c r="G376" s="99"/>
      <c r="H376" s="99"/>
      <c r="I376" s="543" t="str">
        <f>'[4]'!H149</f>
        <v>#REF!</v>
      </c>
      <c r="J376" s="99"/>
      <c r="K376" s="99"/>
      <c r="L376" s="99">
        <v>0.0</v>
      </c>
      <c r="M376" s="99">
        <v>0.0</v>
      </c>
      <c r="N376" s="99">
        <v>0.0</v>
      </c>
      <c r="O376" s="99">
        <v>0.0</v>
      </c>
      <c r="P376" s="99">
        <v>0.0</v>
      </c>
      <c r="Q376" s="99">
        <v>0.0</v>
      </c>
      <c r="R376" s="99">
        <v>0.0</v>
      </c>
      <c r="S376" s="99">
        <v>0.0</v>
      </c>
      <c r="T376" s="99">
        <v>0.0</v>
      </c>
      <c r="U376" s="99">
        <v>0.0</v>
      </c>
      <c r="V376" s="99">
        <v>0.0</v>
      </c>
      <c r="W376" s="99">
        <v>0.0</v>
      </c>
      <c r="X376" s="99">
        <v>0.0</v>
      </c>
      <c r="Y376" s="99">
        <v>0.0</v>
      </c>
      <c r="Z376" s="99">
        <v>0.0</v>
      </c>
      <c r="AA376" s="99">
        <v>0.0</v>
      </c>
      <c r="AB376" s="99">
        <v>0.0</v>
      </c>
      <c r="AC376" s="99">
        <v>0.0</v>
      </c>
      <c r="AD376" s="99">
        <v>0.0</v>
      </c>
      <c r="AE376" s="99">
        <v>0.0</v>
      </c>
      <c r="AF376" s="99">
        <v>0.0</v>
      </c>
      <c r="AG376" s="99">
        <v>0.0</v>
      </c>
      <c r="AH376" s="99">
        <v>0.0</v>
      </c>
      <c r="AI376" s="99">
        <v>0.0</v>
      </c>
      <c r="AJ376" s="99">
        <v>0.0</v>
      </c>
      <c r="AK376" s="99">
        <v>0.0</v>
      </c>
      <c r="AL376" s="99">
        <v>0.0</v>
      </c>
      <c r="AM376" s="99">
        <v>0.0</v>
      </c>
      <c r="AN376" s="99">
        <v>0.0</v>
      </c>
      <c r="AO376" s="99">
        <v>0.0</v>
      </c>
      <c r="AP376" s="99">
        <v>0.0</v>
      </c>
      <c r="AQ376" s="99">
        <v>0.0</v>
      </c>
      <c r="AR376" s="99">
        <v>0.0</v>
      </c>
      <c r="AS376" s="99">
        <v>0.0</v>
      </c>
      <c r="AT376" s="99">
        <v>0.0</v>
      </c>
      <c r="AU376" s="99">
        <v>0.0</v>
      </c>
      <c r="AV376" s="99">
        <v>0.0</v>
      </c>
      <c r="AW376" s="90"/>
      <c r="AX376" s="90"/>
      <c r="AY376" s="90"/>
      <c r="AZ376" s="90"/>
      <c r="BA376" s="90"/>
      <c r="BB376" s="90"/>
      <c r="BC376" s="90"/>
      <c r="BD376" s="90"/>
      <c r="BE376" s="90"/>
      <c r="BF376" s="90"/>
      <c r="BG376" s="90"/>
    </row>
    <row r="377" ht="12.75" customHeight="1" outlineLevel="1">
      <c r="A377" s="316"/>
      <c r="B377" s="90"/>
      <c r="C377" s="90"/>
      <c r="D377" s="90" t="s">
        <v>834</v>
      </c>
      <c r="E377" s="90"/>
      <c r="F377" s="90"/>
      <c r="G377" s="99"/>
      <c r="H377" s="99"/>
      <c r="I377" s="543" t="str">
        <f>'[4]'!H162</f>
        <v>#REF!</v>
      </c>
      <c r="J377" s="99"/>
      <c r="K377" s="99"/>
      <c r="L377" s="99">
        <v>0.0</v>
      </c>
      <c r="M377" s="99">
        <v>0.0</v>
      </c>
      <c r="N377" s="99">
        <v>0.0</v>
      </c>
      <c r="O377" s="99">
        <v>0.0</v>
      </c>
      <c r="P377" s="99">
        <v>0.0</v>
      </c>
      <c r="Q377" s="99">
        <v>0.0</v>
      </c>
      <c r="R377" s="99">
        <v>0.0</v>
      </c>
      <c r="S377" s="99">
        <v>0.0</v>
      </c>
      <c r="T377" s="99">
        <v>0.0</v>
      </c>
      <c r="U377" s="99">
        <v>0.0</v>
      </c>
      <c r="V377" s="99">
        <v>0.0</v>
      </c>
      <c r="W377" s="99">
        <v>0.0</v>
      </c>
      <c r="X377" s="99">
        <v>0.0</v>
      </c>
      <c r="Y377" s="99">
        <v>0.0</v>
      </c>
      <c r="Z377" s="99">
        <v>0.0</v>
      </c>
      <c r="AA377" s="99">
        <v>0.0</v>
      </c>
      <c r="AB377" s="99">
        <v>0.0</v>
      </c>
      <c r="AC377" s="99">
        <v>0.0</v>
      </c>
      <c r="AD377" s="99">
        <v>0.0</v>
      </c>
      <c r="AE377" s="99">
        <v>0.0</v>
      </c>
      <c r="AF377" s="99">
        <v>0.0</v>
      </c>
      <c r="AG377" s="99">
        <v>0.0</v>
      </c>
      <c r="AH377" s="99">
        <v>0.0</v>
      </c>
      <c r="AI377" s="99">
        <v>0.0</v>
      </c>
      <c r="AJ377" s="99">
        <v>0.0</v>
      </c>
      <c r="AK377" s="99">
        <v>0.0</v>
      </c>
      <c r="AL377" s="99">
        <v>0.0</v>
      </c>
      <c r="AM377" s="99">
        <v>0.0</v>
      </c>
      <c r="AN377" s="99">
        <v>0.0</v>
      </c>
      <c r="AO377" s="99">
        <v>0.0</v>
      </c>
      <c r="AP377" s="99">
        <v>0.0</v>
      </c>
      <c r="AQ377" s="99">
        <v>0.0</v>
      </c>
      <c r="AR377" s="99">
        <v>0.0</v>
      </c>
      <c r="AS377" s="99">
        <v>0.0</v>
      </c>
      <c r="AT377" s="99">
        <v>0.0</v>
      </c>
      <c r="AU377" s="99">
        <v>0.0</v>
      </c>
      <c r="AV377" s="99">
        <v>0.0</v>
      </c>
      <c r="AW377" s="90"/>
      <c r="AX377" s="90"/>
      <c r="AY377" s="90"/>
      <c r="AZ377" s="90"/>
      <c r="BA377" s="90"/>
      <c r="BB377" s="90"/>
      <c r="BC377" s="90"/>
      <c r="BD377" s="90"/>
      <c r="BE377" s="90"/>
      <c r="BF377" s="90"/>
      <c r="BG377" s="90"/>
    </row>
    <row r="378" ht="12.75" customHeight="1" outlineLevel="1">
      <c r="A378" s="316"/>
      <c r="B378" s="90"/>
      <c r="C378" s="90"/>
      <c r="D378" s="90" t="s">
        <v>835</v>
      </c>
      <c r="E378" s="90"/>
      <c r="F378" s="90"/>
      <c r="G378" s="99"/>
      <c r="H378" s="99"/>
      <c r="I378" s="99"/>
      <c r="J378" s="99"/>
      <c r="K378" s="99">
        <v>2532.0</v>
      </c>
      <c r="L378" s="99">
        <v>0.0</v>
      </c>
      <c r="M378" s="99">
        <v>0.0</v>
      </c>
      <c r="N378" s="99">
        <v>0.0</v>
      </c>
      <c r="O378" s="99">
        <v>0.0</v>
      </c>
      <c r="P378" s="99">
        <v>0.0</v>
      </c>
      <c r="Q378" s="99">
        <v>0.0</v>
      </c>
      <c r="R378" s="99">
        <v>0.0</v>
      </c>
      <c r="S378" s="99">
        <v>0.0</v>
      </c>
      <c r="T378" s="99">
        <v>0.0</v>
      </c>
      <c r="U378" s="99">
        <v>0.0</v>
      </c>
      <c r="V378" s="99">
        <v>0.0</v>
      </c>
      <c r="W378" s="99">
        <v>0.0</v>
      </c>
      <c r="X378" s="99">
        <v>0.0</v>
      </c>
      <c r="Y378" s="99">
        <v>0.0</v>
      </c>
      <c r="Z378" s="99">
        <v>0.0</v>
      </c>
      <c r="AA378" s="99">
        <v>0.0</v>
      </c>
      <c r="AB378" s="99">
        <v>0.0</v>
      </c>
      <c r="AC378" s="99">
        <v>0.0</v>
      </c>
      <c r="AD378" s="99">
        <v>0.0</v>
      </c>
      <c r="AE378" s="99">
        <v>0.0</v>
      </c>
      <c r="AF378" s="99">
        <v>0.0</v>
      </c>
      <c r="AG378" s="99">
        <v>0.0</v>
      </c>
      <c r="AH378" s="99">
        <v>0.0</v>
      </c>
      <c r="AI378" s="99">
        <v>0.0</v>
      </c>
      <c r="AJ378" s="99">
        <v>0.0</v>
      </c>
      <c r="AK378" s="99">
        <v>0.0</v>
      </c>
      <c r="AL378" s="99">
        <v>0.0</v>
      </c>
      <c r="AM378" s="99">
        <v>0.0</v>
      </c>
      <c r="AN378" s="99">
        <v>0.0</v>
      </c>
      <c r="AO378" s="99">
        <v>0.0</v>
      </c>
      <c r="AP378" s="99">
        <v>0.0</v>
      </c>
      <c r="AQ378" s="99">
        <v>0.0</v>
      </c>
      <c r="AR378" s="99">
        <v>0.0</v>
      </c>
      <c r="AS378" s="99">
        <v>0.0</v>
      </c>
      <c r="AT378" s="99">
        <v>0.0</v>
      </c>
      <c r="AU378" s="99">
        <v>0.0</v>
      </c>
      <c r="AV378" s="99">
        <v>0.0</v>
      </c>
      <c r="AW378" s="90" t="s">
        <v>1224</v>
      </c>
      <c r="AX378" s="90"/>
      <c r="AY378" s="90"/>
      <c r="AZ378" s="90"/>
      <c r="BA378" s="90"/>
      <c r="BB378" s="90"/>
      <c r="BC378" s="90"/>
      <c r="BD378" s="90"/>
      <c r="BE378" s="90"/>
      <c r="BF378" s="90"/>
      <c r="BG378" s="90"/>
    </row>
    <row r="379" ht="12.75" customHeight="1" outlineLevel="1">
      <c r="A379" s="90"/>
      <c r="B379" s="90"/>
      <c r="C379" s="90"/>
      <c r="D379" s="90" t="s">
        <v>774</v>
      </c>
      <c r="E379" s="90"/>
      <c r="F379" s="90"/>
      <c r="G379" s="99"/>
      <c r="H379" s="99"/>
      <c r="I379" s="543" t="str">
        <f>'[4]'!H152</f>
        <v>#REF!</v>
      </c>
      <c r="J379" s="99"/>
      <c r="K379" s="99">
        <v>620.0</v>
      </c>
      <c r="L379" s="99">
        <v>0.0</v>
      </c>
      <c r="M379" s="99">
        <v>0.0</v>
      </c>
      <c r="N379" s="99">
        <v>0.0</v>
      </c>
      <c r="O379" s="99">
        <v>0.0</v>
      </c>
      <c r="P379" s="99">
        <v>0.0</v>
      </c>
      <c r="Q379" s="99">
        <v>0.0</v>
      </c>
      <c r="R379" s="99">
        <v>0.0</v>
      </c>
      <c r="S379" s="99">
        <v>0.0</v>
      </c>
      <c r="T379" s="99">
        <v>0.0</v>
      </c>
      <c r="U379" s="99">
        <v>0.0</v>
      </c>
      <c r="V379" s="99">
        <v>0.0</v>
      </c>
      <c r="W379" s="99">
        <v>0.0</v>
      </c>
      <c r="X379" s="99">
        <v>0.0</v>
      </c>
      <c r="Y379" s="99">
        <v>0.0</v>
      </c>
      <c r="Z379" s="99">
        <v>0.0</v>
      </c>
      <c r="AA379" s="99">
        <v>0.0</v>
      </c>
      <c r="AB379" s="99">
        <v>0.0</v>
      </c>
      <c r="AC379" s="99">
        <v>0.0</v>
      </c>
      <c r="AD379" s="99">
        <v>0.0</v>
      </c>
      <c r="AE379" s="99">
        <v>0.0</v>
      </c>
      <c r="AF379" s="99">
        <v>0.0</v>
      </c>
      <c r="AG379" s="99">
        <v>0.0</v>
      </c>
      <c r="AH379" s="99">
        <v>0.0</v>
      </c>
      <c r="AI379" s="99">
        <v>0.0</v>
      </c>
      <c r="AJ379" s="99">
        <v>0.0</v>
      </c>
      <c r="AK379" s="99">
        <v>0.0</v>
      </c>
      <c r="AL379" s="99">
        <v>0.0</v>
      </c>
      <c r="AM379" s="99">
        <v>0.0</v>
      </c>
      <c r="AN379" s="99">
        <v>0.0</v>
      </c>
      <c r="AO379" s="99">
        <v>0.0</v>
      </c>
      <c r="AP379" s="99">
        <v>0.0</v>
      </c>
      <c r="AQ379" s="99">
        <v>0.0</v>
      </c>
      <c r="AR379" s="99">
        <v>0.0</v>
      </c>
      <c r="AS379" s="99">
        <v>0.0</v>
      </c>
      <c r="AT379" s="99">
        <v>0.0</v>
      </c>
      <c r="AU379" s="99">
        <v>0.0</v>
      </c>
      <c r="AV379" s="99">
        <v>0.0</v>
      </c>
      <c r="AW379" s="90"/>
      <c r="AX379" s="90"/>
      <c r="AY379" s="90"/>
      <c r="AZ379" s="90"/>
      <c r="BA379" s="90"/>
      <c r="BB379" s="90"/>
      <c r="BC379" s="90"/>
      <c r="BD379" s="90"/>
      <c r="BE379" s="90"/>
      <c r="BF379" s="90"/>
      <c r="BG379" s="90"/>
    </row>
    <row r="380" ht="12.75" customHeight="1" outlineLevel="1">
      <c r="A380" s="90"/>
      <c r="B380" s="90"/>
      <c r="C380" s="90" t="s">
        <v>836</v>
      </c>
      <c r="D380" s="90"/>
      <c r="E380" s="90"/>
      <c r="F380" s="90"/>
      <c r="G380" s="99"/>
      <c r="H380" s="99"/>
      <c r="I380" s="152"/>
      <c r="J380" s="152"/>
      <c r="K380" s="152"/>
      <c r="L380" s="152"/>
      <c r="M380" s="152"/>
      <c r="N380" s="152"/>
      <c r="O380" s="152"/>
      <c r="P380" s="152"/>
      <c r="Q380" s="152"/>
      <c r="R380" s="152"/>
      <c r="S380" s="152"/>
      <c r="T380" s="152"/>
      <c r="U380" s="152"/>
      <c r="V380" s="152"/>
      <c r="W380" s="152"/>
      <c r="X380" s="152"/>
      <c r="Y380" s="152"/>
      <c r="Z380" s="152"/>
      <c r="AA380" s="152"/>
      <c r="AB380" s="152"/>
      <c r="AC380" s="152"/>
      <c r="AD380" s="152"/>
      <c r="AE380" s="152"/>
      <c r="AF380" s="152"/>
      <c r="AG380" s="152"/>
      <c r="AH380" s="152"/>
      <c r="AI380" s="152"/>
      <c r="AJ380" s="152"/>
      <c r="AK380" s="152"/>
      <c r="AL380" s="152"/>
      <c r="AM380" s="152"/>
      <c r="AN380" s="152"/>
      <c r="AO380" s="152"/>
      <c r="AP380" s="152"/>
      <c r="AQ380" s="152"/>
      <c r="AR380" s="152"/>
      <c r="AS380" s="152"/>
      <c r="AT380" s="152"/>
      <c r="AU380" s="152"/>
      <c r="AV380" s="152"/>
      <c r="AW380" s="90"/>
      <c r="AX380" s="90"/>
      <c r="AY380" s="90"/>
      <c r="AZ380" s="90"/>
      <c r="BA380" s="90"/>
      <c r="BB380" s="90"/>
      <c r="BC380" s="90"/>
      <c r="BD380" s="90"/>
      <c r="BE380" s="90"/>
      <c r="BF380" s="90"/>
      <c r="BG380" s="90"/>
    </row>
    <row r="381" ht="12.75" customHeight="1" outlineLevel="1">
      <c r="A381" s="316"/>
      <c r="B381" s="90"/>
      <c r="C381" s="90"/>
      <c r="D381" s="90" t="s">
        <v>276</v>
      </c>
      <c r="E381" s="90"/>
      <c r="F381" s="90"/>
      <c r="G381" s="99"/>
      <c r="H381" s="89"/>
      <c r="I381" s="99"/>
      <c r="J381" s="99">
        <f>'FY09 P&amp;L'!B224</f>
        <v>338237.93</v>
      </c>
      <c r="K381" s="99">
        <v>495845.22</v>
      </c>
      <c r="L381" s="99">
        <f>((('RS1'!L272+'RS1'!L282+SUM('RS1'!L285:L286)-L276-L277))*L242)</f>
        <v>395825.6208</v>
      </c>
      <c r="M381" s="99">
        <f>((('RS1'!M272+'RS1'!M282+SUM('RS1'!M285:M286)-M276-M277))*M242)</f>
        <v>399564.2254</v>
      </c>
      <c r="N381" s="99">
        <f>((('RS1'!N272+'RS1'!N282+SUM('RS1'!N285:N286)-N276-N277))*N242)</f>
        <v>402834.2177</v>
      </c>
      <c r="O381" s="99">
        <f>((('RS1'!O272+'RS1'!O282+SUM('RS1'!O285:O286)-O276-O277))*O242)</f>
        <v>408827.142</v>
      </c>
      <c r="P381" s="99">
        <f>((('RS1'!P272+'RS1'!P282+SUM('RS1'!P285:P286)-P276-P277))*P242)</f>
        <v>416132.6337</v>
      </c>
      <c r="Q381" s="99">
        <f>((('RS1'!Q272+'RS1'!Q282+SUM('RS1'!Q285:Q286)-Q276-Q277))*Q242)</f>
        <v>424445.6863</v>
      </c>
      <c r="R381" s="99">
        <f>((('RS1'!R272+'RS1'!R282+SUM('RS1'!R285:R286)-R276-R277))*R242)</f>
        <v>437030.3788</v>
      </c>
      <c r="S381" s="99">
        <f>((('RS1'!S272+'RS1'!S282+SUM('RS1'!S285:S286)-S276-S277))*S242)</f>
        <v>445761.3864</v>
      </c>
      <c r="T381" s="99">
        <f>((('RS1'!T272+'RS1'!T282+SUM('RS1'!T285:T286)-T276-T277))*T242)</f>
        <v>454667.0141</v>
      </c>
      <c r="U381" s="99">
        <f>((('RS1'!U272+'RS1'!U282+SUM('RS1'!U285:U286)-U276-U277))*U242)</f>
        <v>463750.7544</v>
      </c>
      <c r="V381" s="99">
        <f>((('RS1'!V272+'RS1'!V282+SUM('RS1'!V285:V286)-V276-V277))*V242)</f>
        <v>473016.1695</v>
      </c>
      <c r="W381" s="99">
        <f>((('RS1'!W272+'RS1'!W282+SUM('RS1'!W285:W286)-W276-W277))*W242)</f>
        <v>482466.8929</v>
      </c>
      <c r="X381" s="99">
        <f>((('RS1'!X272+'RS1'!X282+SUM('RS1'!X285:X286)-X276-X277))*X242)</f>
        <v>492106.6308</v>
      </c>
      <c r="Y381" s="99">
        <f>((('RS1'!Y272+'RS1'!Y282+SUM('RS1'!Y285:Y286)-Y276-Y277))*Y242)</f>
        <v>501939.1634</v>
      </c>
      <c r="Z381" s="99">
        <f>((('RS1'!Z272+'RS1'!Z282+SUM('RS1'!Z285:Z286)-Z276-Z277))*Z242)</f>
        <v>511968.3466</v>
      </c>
      <c r="AA381" s="99">
        <f>((('RS1'!AA272+'RS1'!AA282+SUM('RS1'!AA285:AA286)-AA276-AA277))*AA242)</f>
        <v>522198.1136</v>
      </c>
      <c r="AB381" s="99">
        <f>((('RS1'!AB272+'RS1'!AB282+SUM('RS1'!AB285:AB286)-AB276-AB277))*AB242)</f>
        <v>532632.4758</v>
      </c>
      <c r="AC381" s="99">
        <f>((('RS1'!AC272+'RS1'!AC282+SUM('RS1'!AC285:AC286)-AC276-AC277))*AC242)</f>
        <v>543275.5254</v>
      </c>
      <c r="AD381" s="99">
        <f>((('RS1'!AD272+'RS1'!AD282+SUM('RS1'!AD285:AD286)-AD276-AD277))*AD242)</f>
        <v>554131.4359</v>
      </c>
      <c r="AE381" s="99">
        <f>((('RS1'!AE272+'RS1'!AE282+SUM('RS1'!AE285:AE286)-AE276-AE277))*AE242)</f>
        <v>565204.4646</v>
      </c>
      <c r="AF381" s="99">
        <f>((('RS1'!AF272+'RS1'!AF282+SUM('RS1'!AF285:AF286)-AF276-AF277))*AF242)</f>
        <v>576498.9539</v>
      </c>
      <c r="AG381" s="99">
        <f>((('RS1'!AG272+'RS1'!AG282+SUM('RS1'!AG285:AG286)-AG276-AG277))*AG242)</f>
        <v>588019.3329</v>
      </c>
      <c r="AH381" s="99">
        <f>((('RS1'!AH272+'RS1'!AH282+SUM('RS1'!AH285:AH286)-AH276-AH277))*AH242)</f>
        <v>599770.1196</v>
      </c>
      <c r="AI381" s="99">
        <f>((('RS1'!AI272+'RS1'!AI282+SUM('RS1'!AI285:AI286)-AI276-AI277))*AI242)</f>
        <v>611755.922</v>
      </c>
      <c r="AJ381" s="99">
        <f>((('RS1'!AJ272+'RS1'!AJ282+SUM('RS1'!AJ285:AJ286)-AJ276-AJ277))*AJ242)</f>
        <v>623981.4404</v>
      </c>
      <c r="AK381" s="99">
        <f>((('RS1'!AK272+'RS1'!AK282+SUM('RS1'!AK285:AK286)-AK276-AK277))*AK242)</f>
        <v>636451.4692</v>
      </c>
      <c r="AL381" s="99">
        <f>((('RS1'!AL272+'RS1'!AL282+SUM('RS1'!AL285:AL286)-AL276-AL277))*AL242)</f>
        <v>649170.8986</v>
      </c>
      <c r="AM381" s="99">
        <f>((('RS1'!AM272+'RS1'!AM282+SUM('RS1'!AM285:AM286)-AM276-AM277))*AM242)</f>
        <v>662144.7166</v>
      </c>
      <c r="AN381" s="99">
        <f>((('RS1'!AN272+'RS1'!AN282+SUM('RS1'!AN285:AN286)-AN276-AN277))*AN242)</f>
        <v>675378.0109</v>
      </c>
      <c r="AO381" s="99">
        <f>((('RS1'!AO272+'RS1'!AO282+SUM('RS1'!AO285:AO286)-AO276-AO277))*AO242)</f>
        <v>688875.9712</v>
      </c>
      <c r="AP381" s="99">
        <f>((('RS1'!AP272+'RS1'!AP282+SUM('RS1'!AP285:AP286)-AP276-AP277))*AP242)</f>
        <v>702643.8906</v>
      </c>
      <c r="AQ381" s="99">
        <f>((('RS1'!AQ272+'RS1'!AQ282+SUM('RS1'!AQ285:AQ286)-AQ276-AQ277))*AQ242)</f>
        <v>716687.1684</v>
      </c>
      <c r="AR381" s="99">
        <f>((('RS1'!AR272+'RS1'!AR282+SUM('RS1'!AR285:AR286)-AR276-AR277))*AR242)</f>
        <v>731011.3118</v>
      </c>
      <c r="AS381" s="99">
        <f>((('RS1'!AS272+'RS1'!AS282+SUM('RS1'!AS285:AS286)-AS276-AS277))*AS242)</f>
        <v>745621.938</v>
      </c>
      <c r="AT381" s="99">
        <f>((('RS1'!AT272+'RS1'!AT282+SUM('RS1'!AT285:AT286)-AT276-AT277))*AT242)</f>
        <v>760524.7768</v>
      </c>
      <c r="AU381" s="99">
        <f>((('RS1'!AU272+'RS1'!AU282+SUM('RS1'!AU285:AU286)-AU276-AU277))*AU242)</f>
        <v>775725.6723</v>
      </c>
      <c r="AV381" s="99">
        <f>((('RS1'!AV272+'RS1'!AV282+SUM('RS1'!AV285:AV286)-AV276-AV277))*AV242)</f>
        <v>791230.5857</v>
      </c>
      <c r="AW381" s="90" t="s">
        <v>1225</v>
      </c>
      <c r="AX381" s="90"/>
      <c r="AY381" s="90"/>
      <c r="AZ381" s="90"/>
      <c r="BA381" s="90"/>
      <c r="BB381" s="90"/>
      <c r="BC381" s="90"/>
      <c r="BD381" s="90"/>
      <c r="BE381" s="90"/>
      <c r="BF381" s="90"/>
      <c r="BG381" s="90"/>
    </row>
    <row r="382" ht="12.75" customHeight="1" outlineLevel="1">
      <c r="A382" s="316"/>
      <c r="B382" s="90"/>
      <c r="C382" s="90"/>
      <c r="D382" s="90" t="s">
        <v>837</v>
      </c>
      <c r="E382" s="90"/>
      <c r="F382" s="90"/>
      <c r="G382" s="99"/>
      <c r="H382" s="89"/>
      <c r="I382" s="543" t="str">
        <f>'[4]'!H132+'[4]'!H138+'[4]'!H150+'[4]'!H178</f>
        <v>#REF!</v>
      </c>
      <c r="J382" s="99">
        <f>'FY09 P&amp;L'!B182</f>
        <v>460003.59</v>
      </c>
      <c r="K382" s="99">
        <v>665766.36</v>
      </c>
      <c r="L382" s="99">
        <f>(('RS1'!L272+'RS1'!L282+SUM('RS1'!L285:L286)-L276-L277))*L243</f>
        <v>659709.368</v>
      </c>
      <c r="M382" s="99">
        <f>(('RS1'!M272+'RS1'!M282+SUM('RS1'!M285:M286)-M276-M277))*M243</f>
        <v>665940.3757</v>
      </c>
      <c r="N382" s="99">
        <f>(('RS1'!N272+'RS1'!N282+SUM('RS1'!N285:N286)-N276-N277))*N243</f>
        <v>671390.3628</v>
      </c>
      <c r="O382" s="99">
        <f>(('RS1'!O272+'RS1'!O282+SUM('RS1'!O285:O286)-O276-O277))*O243</f>
        <v>681378.57</v>
      </c>
      <c r="P382" s="99">
        <f>(('RS1'!P272+'RS1'!P282+SUM('RS1'!P285:P286)-P276-P277))*P243</f>
        <v>693554.3895</v>
      </c>
      <c r="Q382" s="99">
        <f>(('RS1'!Q272+'RS1'!Q282+SUM('RS1'!Q285:Q286)-Q276-Q277))*Q243</f>
        <v>707409.4772</v>
      </c>
      <c r="R382" s="99">
        <f>(('RS1'!R272+'RS1'!R282+SUM('RS1'!R285:R286)-R276-R277))*R243</f>
        <v>728383.9647</v>
      </c>
      <c r="S382" s="99">
        <f>(('RS1'!S272+'RS1'!S282+SUM('RS1'!S285:S286)-S276-S277))*S243</f>
        <v>742935.644</v>
      </c>
      <c r="T382" s="99">
        <f>(('RS1'!T272+'RS1'!T282+SUM('RS1'!T285:T286)-T276-T277))*T243</f>
        <v>757778.3569</v>
      </c>
      <c r="U382" s="99">
        <f>(('RS1'!U272+'RS1'!U282+SUM('RS1'!U285:U286)-U276-U277))*U243</f>
        <v>772917.924</v>
      </c>
      <c r="V382" s="99">
        <f>(('RS1'!V272+'RS1'!V282+SUM('RS1'!V285:V286)-V276-V277))*V243</f>
        <v>788360.2825</v>
      </c>
      <c r="W382" s="99">
        <f>(('RS1'!W272+'RS1'!W282+SUM('RS1'!W285:W286)-W276-W277))*W243</f>
        <v>804111.4882</v>
      </c>
      <c r="X382" s="99">
        <f>(('RS1'!X272+'RS1'!X282+SUM('RS1'!X285:X286)-X276-X277))*X243</f>
        <v>820177.7179</v>
      </c>
      <c r="Y382" s="99">
        <f>(('RS1'!Y272+'RS1'!Y282+SUM('RS1'!Y285:Y286)-Y276-Y277))*Y243</f>
        <v>836565.2723</v>
      </c>
      <c r="Z382" s="99">
        <f>(('RS1'!Z272+'RS1'!Z282+SUM('RS1'!Z285:Z286)-Z276-Z277))*Z243</f>
        <v>853280.5777</v>
      </c>
      <c r="AA382" s="99">
        <f>(('RS1'!AA272+'RS1'!AA282+SUM('RS1'!AA285:AA286)-AA276-AA277))*AA243</f>
        <v>870330.1893</v>
      </c>
      <c r="AB382" s="99">
        <f>(('RS1'!AB272+'RS1'!AB282+SUM('RS1'!AB285:AB286)-AB276-AB277))*AB243</f>
        <v>887720.7931</v>
      </c>
      <c r="AC382" s="99">
        <f>(('RS1'!AC272+'RS1'!AC282+SUM('RS1'!AC285:AC286)-AC276-AC277))*AC243</f>
        <v>905459.2089</v>
      </c>
      <c r="AD382" s="99">
        <f>(('RS1'!AD272+'RS1'!AD282+SUM('RS1'!AD285:AD286)-AD276-AD277))*AD243</f>
        <v>923552.3931</v>
      </c>
      <c r="AE382" s="99">
        <f>(('RS1'!AE272+'RS1'!AE282+SUM('RS1'!AE285:AE286)-AE276-AE277))*AE243</f>
        <v>942007.441</v>
      </c>
      <c r="AF382" s="99">
        <f>(('RS1'!AF272+'RS1'!AF282+SUM('RS1'!AF285:AF286)-AF276-AF277))*AF243</f>
        <v>960831.5898</v>
      </c>
      <c r="AG382" s="99">
        <f>(('RS1'!AG272+'RS1'!AG282+SUM('RS1'!AG285:AG286)-AG276-AG277))*AG243</f>
        <v>980032.2216</v>
      </c>
      <c r="AH382" s="99">
        <f>(('RS1'!AH272+'RS1'!AH282+SUM('RS1'!AH285:AH286)-AH276-AH277))*AH243</f>
        <v>999616.866</v>
      </c>
      <c r="AI382" s="99">
        <f>(('RS1'!AI272+'RS1'!AI282+SUM('RS1'!AI285:AI286)-AI276-AI277))*AI243</f>
        <v>1019593.203</v>
      </c>
      <c r="AJ382" s="99">
        <f>(('RS1'!AJ272+'RS1'!AJ282+SUM('RS1'!AJ285:AJ286)-AJ276-AJ277))*AJ243</f>
        <v>1039969.067</v>
      </c>
      <c r="AK382" s="99">
        <f>(('RS1'!AK272+'RS1'!AK282+SUM('RS1'!AK285:AK286)-AK276-AK277))*AK243</f>
        <v>1060752.449</v>
      </c>
      <c r="AL382" s="99">
        <f>(('RS1'!AL272+'RS1'!AL282+SUM('RS1'!AL285:AL286)-AL276-AL277))*AL243</f>
        <v>1081951.498</v>
      </c>
      <c r="AM382" s="99">
        <f>(('RS1'!AM272+'RS1'!AM282+SUM('RS1'!AM285:AM286)-AM276-AM277))*AM243</f>
        <v>1103574.528</v>
      </c>
      <c r="AN382" s="99">
        <f>(('RS1'!AN272+'RS1'!AN282+SUM('RS1'!AN285:AN286)-AN276-AN277))*AN243</f>
        <v>1125630.018</v>
      </c>
      <c r="AO382" s="99">
        <f>(('RS1'!AO272+'RS1'!AO282+SUM('RS1'!AO285:AO286)-AO276-AO277))*AO243</f>
        <v>1148126.619</v>
      </c>
      <c r="AP382" s="99">
        <f>(('RS1'!AP272+'RS1'!AP282+SUM('RS1'!AP285:AP286)-AP276-AP277))*AP243</f>
        <v>1171073.151</v>
      </c>
      <c r="AQ382" s="99">
        <f>(('RS1'!AQ272+'RS1'!AQ282+SUM('RS1'!AQ285:AQ286)-AQ276-AQ277))*AQ243</f>
        <v>1194478.614</v>
      </c>
      <c r="AR382" s="99">
        <f>(('RS1'!AR272+'RS1'!AR282+SUM('RS1'!AR285:AR286)-AR276-AR277))*AR243</f>
        <v>1218352.186</v>
      </c>
      <c r="AS382" s="99">
        <f>(('RS1'!AS272+'RS1'!AS282+SUM('RS1'!AS285:AS286)-AS276-AS277))*AS243</f>
        <v>1242703.23</v>
      </c>
      <c r="AT382" s="99">
        <f>(('RS1'!AT272+'RS1'!AT282+SUM('RS1'!AT285:AT286)-AT276-AT277))*AT243</f>
        <v>1267541.295</v>
      </c>
      <c r="AU382" s="99">
        <f>(('RS1'!AU272+'RS1'!AU282+SUM('RS1'!AU285:AU286)-AU276-AU277))*AU243</f>
        <v>1292876.12</v>
      </c>
      <c r="AV382" s="99">
        <f>(('RS1'!AV272+'RS1'!AV282+SUM('RS1'!AV285:AV286)-AV276-AV277))*AV243</f>
        <v>1318717.643</v>
      </c>
      <c r="AW382" s="90" t="s">
        <v>1225</v>
      </c>
      <c r="AX382" s="90"/>
      <c r="AY382" s="90"/>
      <c r="AZ382" s="90"/>
      <c r="BA382" s="90"/>
      <c r="BB382" s="90"/>
      <c r="BC382" s="90"/>
      <c r="BD382" s="90"/>
      <c r="BE382" s="90"/>
      <c r="BF382" s="90"/>
      <c r="BG382" s="90"/>
    </row>
    <row r="383" ht="12.75" customHeight="1" outlineLevel="1">
      <c r="A383" s="90"/>
      <c r="B383" s="152"/>
      <c r="C383" s="152"/>
      <c r="D383" s="90" t="s">
        <v>601</v>
      </c>
      <c r="E383" s="90"/>
      <c r="F383" s="90"/>
      <c r="G383" s="99"/>
      <c r="H383" s="89"/>
      <c r="I383" s="99"/>
      <c r="J383" s="99"/>
      <c r="K383" s="99"/>
      <c r="L383" s="99">
        <f>(('RS1'!L272+'RS1'!L282+SUM('RS1'!L285:L286)-L276-L277))*L244</f>
        <v>98956.4052</v>
      </c>
      <c r="M383" s="99">
        <f>(('RS1'!M272+'RS1'!M282+SUM('RS1'!M285:M286)-M276-M277))*M244</f>
        <v>99891.05635</v>
      </c>
      <c r="N383" s="99">
        <f>(('RS1'!N272+'RS1'!N282+SUM('RS1'!N285:N286)-N276-N277))*N244</f>
        <v>100708.5544</v>
      </c>
      <c r="O383" s="99">
        <f>(('RS1'!O272+'RS1'!O282+SUM('RS1'!O285:O286)-O276-O277))*O244</f>
        <v>102206.7855</v>
      </c>
      <c r="P383" s="99">
        <f>(('RS1'!P272+'RS1'!P282+SUM('RS1'!P285:P286)-P276-P277))*P244</f>
        <v>104033.1584</v>
      </c>
      <c r="Q383" s="99">
        <f>(('RS1'!Q272+'RS1'!Q282+SUM('RS1'!Q285:Q286)-Q276-Q277))*Q244</f>
        <v>106111.4216</v>
      </c>
      <c r="R383" s="99">
        <f>(('RS1'!R272+'RS1'!R282+SUM('RS1'!R285:R286)-R276-R277))*R244</f>
        <v>109257.5947</v>
      </c>
      <c r="S383" s="99">
        <f>(('RS1'!S272+'RS1'!S282+SUM('RS1'!S285:S286)-S276-S277))*S244</f>
        <v>111440.3466</v>
      </c>
      <c r="T383" s="99">
        <f>(('RS1'!T272+'RS1'!T282+SUM('RS1'!T285:T286)-T276-T277))*T244</f>
        <v>113666.7535</v>
      </c>
      <c r="U383" s="99">
        <f>(('RS1'!U272+'RS1'!U282+SUM('RS1'!U285:U286)-U276-U277))*U244</f>
        <v>115937.6886</v>
      </c>
      <c r="V383" s="99">
        <f>(('RS1'!V272+'RS1'!V282+SUM('RS1'!V285:V286)-V276-V277))*V244</f>
        <v>118254.0424</v>
      </c>
      <c r="W383" s="99">
        <f>(('RS1'!W272+'RS1'!W282+SUM('RS1'!W285:W286)-W276-W277))*W244</f>
        <v>120616.7232</v>
      </c>
      <c r="X383" s="99">
        <f>(('RS1'!X272+'RS1'!X282+SUM('RS1'!X285:X286)-X276-X277))*X244</f>
        <v>123026.6577</v>
      </c>
      <c r="Y383" s="99">
        <f>(('RS1'!Y272+'RS1'!Y282+SUM('RS1'!Y285:Y286)-Y276-Y277))*Y244</f>
        <v>125484.7908</v>
      </c>
      <c r="Z383" s="99">
        <f>(('RS1'!Z272+'RS1'!Z282+SUM('RS1'!Z285:Z286)-Z276-Z277))*Z244</f>
        <v>127992.0867</v>
      </c>
      <c r="AA383" s="99">
        <f>(('RS1'!AA272+'RS1'!AA282+SUM('RS1'!AA285:AA286)-AA276-AA277))*AA244</f>
        <v>130549.5284</v>
      </c>
      <c r="AB383" s="99">
        <f>(('RS1'!AB272+'RS1'!AB282+SUM('RS1'!AB285:AB286)-AB276-AB277))*AB244</f>
        <v>133158.119</v>
      </c>
      <c r="AC383" s="99">
        <f>(('RS1'!AC272+'RS1'!AC282+SUM('RS1'!AC285:AC286)-AC276-AC277))*AC244</f>
        <v>135818.8813</v>
      </c>
      <c r="AD383" s="99">
        <f>(('RS1'!AD272+'RS1'!AD282+SUM('RS1'!AD285:AD286)-AD276-AD277))*AD244</f>
        <v>138532.859</v>
      </c>
      <c r="AE383" s="99">
        <f>(('RS1'!AE272+'RS1'!AE282+SUM('RS1'!AE285:AE286)-AE276-AE277))*AE244</f>
        <v>141301.1161</v>
      </c>
      <c r="AF383" s="99">
        <f>(('RS1'!AF272+'RS1'!AF282+SUM('RS1'!AF285:AF286)-AF276-AF277))*AF244</f>
        <v>144124.7385</v>
      </c>
      <c r="AG383" s="99">
        <f>(('RS1'!AG272+'RS1'!AG282+SUM('RS1'!AG285:AG286)-AG276-AG277))*AG244</f>
        <v>147004.8332</v>
      </c>
      <c r="AH383" s="99">
        <f>(('RS1'!AH272+'RS1'!AH282+SUM('RS1'!AH285:AH286)-AH276-AH277))*AH244</f>
        <v>149942.5299</v>
      </c>
      <c r="AI383" s="99">
        <f>(('RS1'!AI272+'RS1'!AI282+SUM('RS1'!AI285:AI286)-AI276-AI277))*AI244</f>
        <v>152938.9805</v>
      </c>
      <c r="AJ383" s="99">
        <f>(('RS1'!AJ272+'RS1'!AJ282+SUM('RS1'!AJ285:AJ286)-AJ276-AJ277))*AJ244</f>
        <v>155995.3601</v>
      </c>
      <c r="AK383" s="99">
        <f>(('RS1'!AK272+'RS1'!AK282+SUM('RS1'!AK285:AK286)-AK276-AK277))*AK244</f>
        <v>159112.8673</v>
      </c>
      <c r="AL383" s="99">
        <f>(('RS1'!AL272+'RS1'!AL282+SUM('RS1'!AL285:AL286)-AL276-AL277))*AL244</f>
        <v>162292.7247</v>
      </c>
      <c r="AM383" s="99">
        <f>(('RS1'!AM272+'RS1'!AM282+SUM('RS1'!AM285:AM286)-AM276-AM277))*AM244</f>
        <v>165536.1792</v>
      </c>
      <c r="AN383" s="99">
        <f>(('RS1'!AN272+'RS1'!AN282+SUM('RS1'!AN285:AN286)-AN276-AN277))*AN244</f>
        <v>168844.5027</v>
      </c>
      <c r="AO383" s="99">
        <f>(('RS1'!AO272+'RS1'!AO282+SUM('RS1'!AO285:AO286)-AO276-AO277))*AO244</f>
        <v>172218.9928</v>
      </c>
      <c r="AP383" s="99">
        <f>(('RS1'!AP272+'RS1'!AP282+SUM('RS1'!AP285:AP286)-AP276-AP277))*AP244</f>
        <v>175660.9726</v>
      </c>
      <c r="AQ383" s="99">
        <f>(('RS1'!AQ272+'RS1'!AQ282+SUM('RS1'!AQ285:AQ286)-AQ276-AQ277))*AQ244</f>
        <v>179171.7921</v>
      </c>
      <c r="AR383" s="99">
        <f>(('RS1'!AR272+'RS1'!AR282+SUM('RS1'!AR285:AR286)-AR276-AR277))*AR244</f>
        <v>182752.8279</v>
      </c>
      <c r="AS383" s="99">
        <f>(('RS1'!AS272+'RS1'!AS282+SUM('RS1'!AS285:AS286)-AS276-AS277))*AS244</f>
        <v>186405.4845</v>
      </c>
      <c r="AT383" s="99">
        <f>(('RS1'!AT272+'RS1'!AT282+SUM('RS1'!AT285:AT286)-AT276-AT277))*AT244</f>
        <v>190131.1942</v>
      </c>
      <c r="AU383" s="99">
        <f>(('RS1'!AU272+'RS1'!AU282+SUM('RS1'!AU285:AU286)-AU276-AU277))*AU244</f>
        <v>193931.4181</v>
      </c>
      <c r="AV383" s="99">
        <f>(('RS1'!AV272+'RS1'!AV282+SUM('RS1'!AV285:AV286)-AV276-AV277))*AV244</f>
        <v>197807.6464</v>
      </c>
      <c r="AW383" s="90"/>
      <c r="AX383" s="90"/>
      <c r="AY383" s="90"/>
      <c r="AZ383" s="90"/>
      <c r="BA383" s="90"/>
      <c r="BB383" s="90"/>
      <c r="BC383" s="90"/>
      <c r="BD383" s="90"/>
      <c r="BE383" s="90"/>
      <c r="BF383" s="90"/>
      <c r="BG383" s="90"/>
    </row>
    <row r="384" ht="12.75" customHeight="1" outlineLevel="1">
      <c r="A384" s="90"/>
      <c r="B384" s="152"/>
      <c r="C384" s="152"/>
      <c r="D384" s="90"/>
      <c r="E384" s="90"/>
      <c r="F384" s="90"/>
      <c r="G384" s="99"/>
      <c r="H384" s="89"/>
      <c r="I384" s="99"/>
      <c r="J384" s="99"/>
      <c r="K384" s="99"/>
      <c r="L384" s="99"/>
      <c r="M384" s="99"/>
      <c r="N384" s="99"/>
      <c r="O384" s="99"/>
      <c r="P384" s="99"/>
      <c r="Q384" s="99"/>
      <c r="R384" s="99"/>
      <c r="S384" s="99"/>
      <c r="T384" s="99"/>
      <c r="U384" s="99"/>
      <c r="V384" s="99"/>
      <c r="W384" s="99"/>
      <c r="X384" s="99"/>
      <c r="Y384" s="99"/>
      <c r="Z384" s="99"/>
      <c r="AA384" s="99"/>
      <c r="AB384" s="99"/>
      <c r="AC384" s="99"/>
      <c r="AD384" s="99"/>
      <c r="AE384" s="99"/>
      <c r="AF384" s="99"/>
      <c r="AG384" s="99"/>
      <c r="AH384" s="99"/>
      <c r="AI384" s="99"/>
      <c r="AJ384" s="99"/>
      <c r="AK384" s="99"/>
      <c r="AL384" s="99"/>
      <c r="AM384" s="99"/>
      <c r="AN384" s="99"/>
      <c r="AO384" s="99"/>
      <c r="AP384" s="99"/>
      <c r="AQ384" s="99"/>
      <c r="AR384" s="99"/>
      <c r="AS384" s="99"/>
      <c r="AT384" s="99"/>
      <c r="AU384" s="99"/>
      <c r="AV384" s="99"/>
      <c r="AW384" s="90"/>
      <c r="AX384" s="90"/>
      <c r="AY384" s="90"/>
      <c r="AZ384" s="90"/>
      <c r="BA384" s="90"/>
      <c r="BB384" s="90"/>
      <c r="BC384" s="90"/>
      <c r="BD384" s="90"/>
      <c r="BE384" s="90"/>
      <c r="BF384" s="90"/>
      <c r="BG384" s="90"/>
    </row>
    <row r="385" ht="12.75" customHeight="1" outlineLevel="1">
      <c r="A385" s="548"/>
      <c r="B385" s="90"/>
      <c r="C385" s="148" t="s">
        <v>838</v>
      </c>
      <c r="D385" s="148"/>
      <c r="E385" s="148"/>
      <c r="F385" s="148"/>
      <c r="G385" s="150"/>
      <c r="H385" s="150"/>
      <c r="I385" s="150" t="str">
        <f t="shared" ref="I385:AV385" si="284">SUM(I381:I384)</f>
        <v>#REF!</v>
      </c>
      <c r="J385" s="150">
        <f t="shared" si="284"/>
        <v>798241.52</v>
      </c>
      <c r="K385" s="150">
        <f t="shared" si="284"/>
        <v>1161611.58</v>
      </c>
      <c r="L385" s="150">
        <f t="shared" si="284"/>
        <v>1154491.394</v>
      </c>
      <c r="M385" s="150">
        <f t="shared" si="284"/>
        <v>1165395.657</v>
      </c>
      <c r="N385" s="150">
        <f t="shared" si="284"/>
        <v>1174933.135</v>
      </c>
      <c r="O385" s="150">
        <f t="shared" si="284"/>
        <v>1192412.498</v>
      </c>
      <c r="P385" s="150">
        <f t="shared" si="284"/>
        <v>1213720.182</v>
      </c>
      <c r="Q385" s="150">
        <f t="shared" si="284"/>
        <v>1237966.585</v>
      </c>
      <c r="R385" s="150">
        <f t="shared" si="284"/>
        <v>1274671.938</v>
      </c>
      <c r="S385" s="150">
        <f t="shared" si="284"/>
        <v>1300137.377</v>
      </c>
      <c r="T385" s="150">
        <f t="shared" si="284"/>
        <v>1326112.125</v>
      </c>
      <c r="U385" s="150">
        <f t="shared" si="284"/>
        <v>1352606.367</v>
      </c>
      <c r="V385" s="150">
        <f t="shared" si="284"/>
        <v>1379630.494</v>
      </c>
      <c r="W385" s="150">
        <f t="shared" si="284"/>
        <v>1407195.104</v>
      </c>
      <c r="X385" s="150">
        <f t="shared" si="284"/>
        <v>1435311.006</v>
      </c>
      <c r="Y385" s="150">
        <f t="shared" si="284"/>
        <v>1463989.226</v>
      </c>
      <c r="Z385" s="150">
        <f t="shared" si="284"/>
        <v>1493241.011</v>
      </c>
      <c r="AA385" s="150">
        <f t="shared" si="284"/>
        <v>1523077.831</v>
      </c>
      <c r="AB385" s="150">
        <f t="shared" si="284"/>
        <v>1553511.388</v>
      </c>
      <c r="AC385" s="150">
        <f t="shared" si="284"/>
        <v>1584553.616</v>
      </c>
      <c r="AD385" s="150">
        <f t="shared" si="284"/>
        <v>1616216.688</v>
      </c>
      <c r="AE385" s="150">
        <f t="shared" si="284"/>
        <v>1648513.022</v>
      </c>
      <c r="AF385" s="150">
        <f t="shared" si="284"/>
        <v>1681455.282</v>
      </c>
      <c r="AG385" s="150">
        <f t="shared" si="284"/>
        <v>1715056.388</v>
      </c>
      <c r="AH385" s="150">
        <f t="shared" si="284"/>
        <v>1749329.516</v>
      </c>
      <c r="AI385" s="150">
        <f t="shared" si="284"/>
        <v>1784288.106</v>
      </c>
      <c r="AJ385" s="150">
        <f t="shared" si="284"/>
        <v>1819945.868</v>
      </c>
      <c r="AK385" s="150">
        <f t="shared" si="284"/>
        <v>1856316.785</v>
      </c>
      <c r="AL385" s="150">
        <f t="shared" si="284"/>
        <v>1893415.121</v>
      </c>
      <c r="AM385" s="150">
        <f t="shared" si="284"/>
        <v>1931255.423</v>
      </c>
      <c r="AN385" s="150">
        <f t="shared" si="284"/>
        <v>1969852.532</v>
      </c>
      <c r="AO385" s="150">
        <f t="shared" si="284"/>
        <v>2009221.583</v>
      </c>
      <c r="AP385" s="150">
        <f t="shared" si="284"/>
        <v>2049378.014</v>
      </c>
      <c r="AQ385" s="150">
        <f t="shared" si="284"/>
        <v>2090337.574</v>
      </c>
      <c r="AR385" s="150">
        <f t="shared" si="284"/>
        <v>2132116.326</v>
      </c>
      <c r="AS385" s="150">
        <f t="shared" si="284"/>
        <v>2174730.652</v>
      </c>
      <c r="AT385" s="150">
        <f t="shared" si="284"/>
        <v>2218197.266</v>
      </c>
      <c r="AU385" s="150">
        <f t="shared" si="284"/>
        <v>2262533.211</v>
      </c>
      <c r="AV385" s="150">
        <f t="shared" si="284"/>
        <v>2307755.875</v>
      </c>
      <c r="AW385" s="90"/>
      <c r="AX385" s="90"/>
      <c r="AY385" s="90"/>
      <c r="AZ385" s="90"/>
      <c r="BA385" s="90"/>
      <c r="BB385" s="90"/>
      <c r="BC385" s="90"/>
      <c r="BD385" s="90"/>
      <c r="BE385" s="90"/>
      <c r="BF385" s="90"/>
      <c r="BG385" s="90"/>
    </row>
    <row r="386" ht="12.75" customHeight="1" outlineLevel="1">
      <c r="A386" s="316"/>
      <c r="B386" s="67" t="s">
        <v>839</v>
      </c>
      <c r="C386" s="90"/>
      <c r="D386" s="90"/>
      <c r="E386" s="90"/>
      <c r="F386" s="90"/>
      <c r="G386" s="79"/>
      <c r="H386" s="79"/>
      <c r="I386" s="79" t="str">
        <f t="shared" ref="I386:AV386" si="285">SUM(I342:I379)+I385</f>
        <v>#REF!</v>
      </c>
      <c r="J386" s="79">
        <f t="shared" si="285"/>
        <v>1252259.74</v>
      </c>
      <c r="K386" s="79">
        <f t="shared" si="285"/>
        <v>1448743.28</v>
      </c>
      <c r="L386" s="79">
        <f t="shared" si="285"/>
        <v>1425275.093</v>
      </c>
      <c r="M386" s="79">
        <f t="shared" si="285"/>
        <v>1441401.677</v>
      </c>
      <c r="N386" s="79">
        <f t="shared" si="285"/>
        <v>1616132.892</v>
      </c>
      <c r="O386" s="79">
        <f t="shared" si="285"/>
        <v>1642250.094</v>
      </c>
      <c r="P386" s="79">
        <f t="shared" si="285"/>
        <v>1990108.917</v>
      </c>
      <c r="Q386" s="79">
        <f t="shared" si="285"/>
        <v>2028522.934</v>
      </c>
      <c r="R386" s="79">
        <f t="shared" si="285"/>
        <v>2104030.024</v>
      </c>
      <c r="S386" s="79">
        <f t="shared" si="285"/>
        <v>2147253.853</v>
      </c>
      <c r="T386" s="79">
        <f t="shared" si="285"/>
        <v>2191353.509</v>
      </c>
      <c r="U386" s="79">
        <f t="shared" si="285"/>
        <v>2236346.623</v>
      </c>
      <c r="V386" s="79">
        <f t="shared" si="285"/>
        <v>2282251.178</v>
      </c>
      <c r="W386" s="79">
        <f t="shared" si="285"/>
        <v>2329085.52</v>
      </c>
      <c r="X386" s="79">
        <f t="shared" si="285"/>
        <v>2376868.36</v>
      </c>
      <c r="Y386" s="79">
        <f t="shared" si="285"/>
        <v>2425618.786</v>
      </c>
      <c r="Z386" s="79">
        <f t="shared" si="285"/>
        <v>2475356.27</v>
      </c>
      <c r="AA386" s="79">
        <f t="shared" si="285"/>
        <v>2526100.674</v>
      </c>
      <c r="AB386" s="79">
        <f t="shared" si="285"/>
        <v>2577872.257</v>
      </c>
      <c r="AC386" s="79">
        <f t="shared" si="285"/>
        <v>2630691.687</v>
      </c>
      <c r="AD386" s="79">
        <f t="shared" si="285"/>
        <v>2684580.043</v>
      </c>
      <c r="AE386" s="79">
        <f t="shared" si="285"/>
        <v>2739558.83</v>
      </c>
      <c r="AF386" s="79">
        <f t="shared" si="285"/>
        <v>2795649.983</v>
      </c>
      <c r="AG386" s="79">
        <f t="shared" si="285"/>
        <v>2852875.878</v>
      </c>
      <c r="AH386" s="79">
        <f t="shared" si="285"/>
        <v>2911259.339</v>
      </c>
      <c r="AI386" s="79">
        <f t="shared" si="285"/>
        <v>2970823.646</v>
      </c>
      <c r="AJ386" s="79">
        <f t="shared" si="285"/>
        <v>3031592.55</v>
      </c>
      <c r="AK386" s="79">
        <f t="shared" si="285"/>
        <v>3093590.275</v>
      </c>
      <c r="AL386" s="79">
        <f t="shared" si="285"/>
        <v>3156841.531</v>
      </c>
      <c r="AM386" s="79">
        <f t="shared" si="285"/>
        <v>3221371.526</v>
      </c>
      <c r="AN386" s="79">
        <f t="shared" si="285"/>
        <v>3287205.971</v>
      </c>
      <c r="AO386" s="79">
        <f t="shared" si="285"/>
        <v>3354371.093</v>
      </c>
      <c r="AP386" s="79">
        <f t="shared" si="285"/>
        <v>3422893.647</v>
      </c>
      <c r="AQ386" s="79">
        <f t="shared" si="285"/>
        <v>3492800.922</v>
      </c>
      <c r="AR386" s="79">
        <f t="shared" si="285"/>
        <v>3564120.754</v>
      </c>
      <c r="AS386" s="79">
        <f t="shared" si="285"/>
        <v>3636881.541</v>
      </c>
      <c r="AT386" s="79">
        <f t="shared" si="285"/>
        <v>3711112.245</v>
      </c>
      <c r="AU386" s="79">
        <f t="shared" si="285"/>
        <v>3786842.413</v>
      </c>
      <c r="AV386" s="79">
        <f t="shared" si="285"/>
        <v>3864102.182</v>
      </c>
      <c r="AW386" s="90"/>
      <c r="AX386" s="90"/>
      <c r="AY386" s="90"/>
      <c r="AZ386" s="90"/>
      <c r="BA386" s="90"/>
      <c r="BB386" s="90"/>
      <c r="BC386" s="90"/>
      <c r="BD386" s="90"/>
      <c r="BE386" s="90"/>
      <c r="BF386" s="90"/>
      <c r="BG386" s="90"/>
    </row>
    <row r="387" ht="12.75" customHeight="1" outlineLevel="1">
      <c r="A387" s="316"/>
      <c r="B387" s="90"/>
      <c r="C387" s="90"/>
      <c r="D387" s="90"/>
      <c r="E387" s="90"/>
      <c r="F387" s="90"/>
      <c r="G387" s="152"/>
      <c r="H387" s="152"/>
      <c r="I387" s="152"/>
      <c r="J387" s="223">
        <f>J386-'FY09 P&amp;L'!B236</f>
        <v>25046.09</v>
      </c>
      <c r="K387" s="152"/>
      <c r="L387" s="152"/>
      <c r="M387" s="152"/>
      <c r="N387" s="152"/>
      <c r="O387" s="152"/>
      <c r="P387" s="152"/>
      <c r="Q387" s="152"/>
      <c r="R387" s="152"/>
      <c r="S387" s="152"/>
      <c r="T387" s="152"/>
      <c r="U387" s="152"/>
      <c r="V387" s="152"/>
      <c r="W387" s="152"/>
      <c r="X387" s="152"/>
      <c r="Y387" s="152"/>
      <c r="Z387" s="152"/>
      <c r="AA387" s="152"/>
      <c r="AB387" s="152"/>
      <c r="AC387" s="152"/>
      <c r="AD387" s="152"/>
      <c r="AE387" s="152"/>
      <c r="AF387" s="152"/>
      <c r="AG387" s="152"/>
      <c r="AH387" s="152"/>
      <c r="AI387" s="152"/>
      <c r="AJ387" s="152"/>
      <c r="AK387" s="152"/>
      <c r="AL387" s="152"/>
      <c r="AM387" s="152"/>
      <c r="AN387" s="152"/>
      <c r="AO387" s="152"/>
      <c r="AP387" s="152"/>
      <c r="AQ387" s="152"/>
      <c r="AR387" s="152"/>
      <c r="AS387" s="152"/>
      <c r="AT387" s="152"/>
      <c r="AU387" s="152"/>
      <c r="AV387" s="152"/>
      <c r="AW387" s="90"/>
      <c r="AX387" s="90"/>
      <c r="AY387" s="90"/>
      <c r="AZ387" s="90"/>
      <c r="BA387" s="90"/>
      <c r="BB387" s="90"/>
      <c r="BC387" s="90"/>
      <c r="BD387" s="90"/>
      <c r="BE387" s="90"/>
      <c r="BF387" s="90"/>
      <c r="BG387" s="90"/>
    </row>
    <row r="388" ht="12.75" customHeight="1" outlineLevel="1">
      <c r="A388" s="316"/>
      <c r="B388" s="67" t="s">
        <v>555</v>
      </c>
      <c r="C388" s="90"/>
      <c r="D388" s="90"/>
      <c r="E388" s="90"/>
      <c r="F388" s="90"/>
      <c r="G388" s="90"/>
      <c r="H388" s="90"/>
      <c r="I388" s="90"/>
      <c r="J388" s="90"/>
      <c r="K388" s="90"/>
      <c r="L388" s="90"/>
      <c r="M388" s="387"/>
      <c r="N388" s="90"/>
      <c r="O388" s="90"/>
      <c r="P388" s="90"/>
      <c r="Q388" s="90"/>
      <c r="R388" s="90"/>
      <c r="S388" s="90"/>
      <c r="T388" s="90"/>
      <c r="U388" s="90"/>
      <c r="V388" s="90"/>
      <c r="W388" s="90"/>
      <c r="X388" s="90"/>
      <c r="Y388" s="90"/>
      <c r="Z388" s="90"/>
      <c r="AA388" s="90"/>
      <c r="AB388" s="90"/>
      <c r="AC388" s="90"/>
      <c r="AD388" s="90"/>
      <c r="AE388" s="90"/>
      <c r="AF388" s="90"/>
      <c r="AG388" s="90"/>
      <c r="AH388" s="90"/>
      <c r="AI388" s="90"/>
      <c r="AJ388" s="90"/>
      <c r="AK388" s="90"/>
      <c r="AL388" s="90"/>
      <c r="AM388" s="90"/>
      <c r="AN388" s="90"/>
      <c r="AO388" s="90"/>
      <c r="AP388" s="90"/>
      <c r="AQ388" s="90"/>
      <c r="AR388" s="90"/>
      <c r="AS388" s="90"/>
      <c r="AT388" s="90"/>
      <c r="AU388" s="90"/>
      <c r="AV388" s="90"/>
      <c r="AW388" s="90"/>
      <c r="AX388" s="90"/>
      <c r="AY388" s="90"/>
      <c r="AZ388" s="90"/>
      <c r="BA388" s="90"/>
      <c r="BB388" s="90"/>
      <c r="BC388" s="90"/>
      <c r="BD388" s="90"/>
      <c r="BE388" s="90"/>
      <c r="BF388" s="90"/>
      <c r="BG388" s="90"/>
    </row>
    <row r="389" ht="12.75" customHeight="1" outlineLevel="1">
      <c r="A389" s="316"/>
      <c r="B389" s="90"/>
      <c r="C389" s="90" t="s">
        <v>840</v>
      </c>
      <c r="D389" s="90"/>
      <c r="E389" s="90"/>
      <c r="F389" s="90"/>
      <c r="G389" s="99"/>
      <c r="H389" s="99"/>
      <c r="I389" s="543" t="str">
        <f>'[4]'!H161</f>
        <v>#REF!</v>
      </c>
      <c r="J389" s="99">
        <f>'FY09 P&amp;L'!B209</f>
        <v>18996</v>
      </c>
      <c r="K389" s="99">
        <v>25518.76</v>
      </c>
      <c r="L389" s="99">
        <f t="shared" ref="L389:AV389" si="286">L248*(L260+L261+L262)</f>
        <v>26206.524</v>
      </c>
      <c r="M389" s="99">
        <f t="shared" si="286"/>
        <v>26436.47124</v>
      </c>
      <c r="N389" s="99">
        <f t="shared" si="286"/>
        <v>26632.35564</v>
      </c>
      <c r="O389" s="99">
        <f t="shared" si="286"/>
        <v>27033.42276</v>
      </c>
      <c r="P389" s="99">
        <f t="shared" si="286"/>
        <v>27502.30361</v>
      </c>
      <c r="Q389" s="99">
        <f t="shared" si="286"/>
        <v>28052.34969</v>
      </c>
      <c r="R389" s="99">
        <f t="shared" si="286"/>
        <v>28897.66194</v>
      </c>
      <c r="S389" s="99">
        <f t="shared" si="286"/>
        <v>29475.61518</v>
      </c>
      <c r="T389" s="99">
        <f t="shared" si="286"/>
        <v>30065.12748</v>
      </c>
      <c r="U389" s="99">
        <f t="shared" si="286"/>
        <v>30666.43003</v>
      </c>
      <c r="V389" s="99">
        <f t="shared" si="286"/>
        <v>31279.75863</v>
      </c>
      <c r="W389" s="99">
        <f t="shared" si="286"/>
        <v>31905.3538</v>
      </c>
      <c r="X389" s="99">
        <f t="shared" si="286"/>
        <v>32543.46088</v>
      </c>
      <c r="Y389" s="99">
        <f t="shared" si="286"/>
        <v>33194.3301</v>
      </c>
      <c r="Z389" s="99">
        <f t="shared" si="286"/>
        <v>33858.2167</v>
      </c>
      <c r="AA389" s="99">
        <f t="shared" si="286"/>
        <v>34535.38103</v>
      </c>
      <c r="AB389" s="99">
        <f t="shared" si="286"/>
        <v>35226.08865</v>
      </c>
      <c r="AC389" s="99">
        <f t="shared" si="286"/>
        <v>35930.61042</v>
      </c>
      <c r="AD389" s="99">
        <f t="shared" si="286"/>
        <v>36649.22263</v>
      </c>
      <c r="AE389" s="99">
        <f t="shared" si="286"/>
        <v>37382.20709</v>
      </c>
      <c r="AF389" s="99">
        <f t="shared" si="286"/>
        <v>38129.85123</v>
      </c>
      <c r="AG389" s="99">
        <f t="shared" si="286"/>
        <v>38892.44825</v>
      </c>
      <c r="AH389" s="99">
        <f t="shared" si="286"/>
        <v>39670.29722</v>
      </c>
      <c r="AI389" s="99">
        <f t="shared" si="286"/>
        <v>40463.70316</v>
      </c>
      <c r="AJ389" s="99">
        <f t="shared" si="286"/>
        <v>41272.97722</v>
      </c>
      <c r="AK389" s="99">
        <f t="shared" si="286"/>
        <v>42098.43677</v>
      </c>
      <c r="AL389" s="99">
        <f t="shared" si="286"/>
        <v>42940.4055</v>
      </c>
      <c r="AM389" s="99">
        <f t="shared" si="286"/>
        <v>43799.21361</v>
      </c>
      <c r="AN389" s="99">
        <f t="shared" si="286"/>
        <v>44675.19789</v>
      </c>
      <c r="AO389" s="99">
        <f t="shared" si="286"/>
        <v>45568.70184</v>
      </c>
      <c r="AP389" s="99">
        <f t="shared" si="286"/>
        <v>46480.07588</v>
      </c>
      <c r="AQ389" s="99">
        <f t="shared" si="286"/>
        <v>47409.6774</v>
      </c>
      <c r="AR389" s="99">
        <f t="shared" si="286"/>
        <v>48357.87095</v>
      </c>
      <c r="AS389" s="99">
        <f t="shared" si="286"/>
        <v>49325.02837</v>
      </c>
      <c r="AT389" s="99">
        <f t="shared" si="286"/>
        <v>50311.52893</v>
      </c>
      <c r="AU389" s="99">
        <f t="shared" si="286"/>
        <v>51317.75951</v>
      </c>
      <c r="AV389" s="99">
        <f t="shared" si="286"/>
        <v>52344.1147</v>
      </c>
      <c r="AW389" s="90"/>
      <c r="AX389" s="90"/>
      <c r="AY389" s="90"/>
      <c r="AZ389" s="90"/>
      <c r="BA389" s="90"/>
      <c r="BB389" s="90"/>
      <c r="BC389" s="90"/>
      <c r="BD389" s="90"/>
      <c r="BE389" s="90"/>
      <c r="BF389" s="90"/>
      <c r="BG389" s="90"/>
    </row>
    <row r="390" ht="12.75" customHeight="1" outlineLevel="1">
      <c r="A390" s="316"/>
      <c r="B390" s="90"/>
      <c r="C390" s="90" t="s">
        <v>841</v>
      </c>
      <c r="D390" s="90"/>
      <c r="E390" s="90"/>
      <c r="F390" s="90"/>
      <c r="G390" s="99"/>
      <c r="H390" s="99"/>
      <c r="I390" s="99">
        <v>0.0</v>
      </c>
      <c r="J390" s="99">
        <v>0.0</v>
      </c>
      <c r="K390" s="99">
        <f t="shared" ref="K390:AV390" si="287">K246*K266</f>
        <v>0</v>
      </c>
      <c r="L390" s="99">
        <f t="shared" si="287"/>
        <v>0</v>
      </c>
      <c r="M390" s="99">
        <f t="shared" si="287"/>
        <v>0</v>
      </c>
      <c r="N390" s="99">
        <f t="shared" si="287"/>
        <v>0</v>
      </c>
      <c r="O390" s="99">
        <f t="shared" si="287"/>
        <v>0</v>
      </c>
      <c r="P390" s="99">
        <f t="shared" si="287"/>
        <v>0</v>
      </c>
      <c r="Q390" s="99">
        <f t="shared" si="287"/>
        <v>0</v>
      </c>
      <c r="R390" s="99">
        <f t="shared" si="287"/>
        <v>0</v>
      </c>
      <c r="S390" s="99">
        <f t="shared" si="287"/>
        <v>0</v>
      </c>
      <c r="T390" s="99">
        <f t="shared" si="287"/>
        <v>0</v>
      </c>
      <c r="U390" s="99">
        <f t="shared" si="287"/>
        <v>0</v>
      </c>
      <c r="V390" s="99">
        <f t="shared" si="287"/>
        <v>0</v>
      </c>
      <c r="W390" s="99">
        <f t="shared" si="287"/>
        <v>0</v>
      </c>
      <c r="X390" s="99">
        <f t="shared" si="287"/>
        <v>0</v>
      </c>
      <c r="Y390" s="99">
        <f t="shared" si="287"/>
        <v>0</v>
      </c>
      <c r="Z390" s="99">
        <f t="shared" si="287"/>
        <v>0</v>
      </c>
      <c r="AA390" s="99">
        <f t="shared" si="287"/>
        <v>0</v>
      </c>
      <c r="AB390" s="99">
        <f t="shared" si="287"/>
        <v>0</v>
      </c>
      <c r="AC390" s="99">
        <f t="shared" si="287"/>
        <v>0</v>
      </c>
      <c r="AD390" s="99">
        <f t="shared" si="287"/>
        <v>0</v>
      </c>
      <c r="AE390" s="99">
        <f t="shared" si="287"/>
        <v>0</v>
      </c>
      <c r="AF390" s="99">
        <f t="shared" si="287"/>
        <v>0</v>
      </c>
      <c r="AG390" s="99">
        <f t="shared" si="287"/>
        <v>0</v>
      </c>
      <c r="AH390" s="99">
        <f t="shared" si="287"/>
        <v>0</v>
      </c>
      <c r="AI390" s="99">
        <f t="shared" si="287"/>
        <v>0</v>
      </c>
      <c r="AJ390" s="99">
        <f t="shared" si="287"/>
        <v>0</v>
      </c>
      <c r="AK390" s="99">
        <f t="shared" si="287"/>
        <v>0</v>
      </c>
      <c r="AL390" s="99">
        <f t="shared" si="287"/>
        <v>0</v>
      </c>
      <c r="AM390" s="99">
        <f t="shared" si="287"/>
        <v>0</v>
      </c>
      <c r="AN390" s="99">
        <f t="shared" si="287"/>
        <v>0</v>
      </c>
      <c r="AO390" s="99">
        <f t="shared" si="287"/>
        <v>0</v>
      </c>
      <c r="AP390" s="99">
        <f t="shared" si="287"/>
        <v>0</v>
      </c>
      <c r="AQ390" s="99">
        <f t="shared" si="287"/>
        <v>0</v>
      </c>
      <c r="AR390" s="99">
        <f t="shared" si="287"/>
        <v>0</v>
      </c>
      <c r="AS390" s="99">
        <f t="shared" si="287"/>
        <v>0</v>
      </c>
      <c r="AT390" s="99">
        <f t="shared" si="287"/>
        <v>0</v>
      </c>
      <c r="AU390" s="99">
        <f t="shared" si="287"/>
        <v>0</v>
      </c>
      <c r="AV390" s="99">
        <f t="shared" si="287"/>
        <v>0</v>
      </c>
      <c r="AW390" s="90"/>
      <c r="AX390" s="90"/>
      <c r="AY390" s="90"/>
      <c r="AZ390" s="90"/>
      <c r="BA390" s="90"/>
      <c r="BB390" s="90"/>
      <c r="BC390" s="90"/>
      <c r="BD390" s="90"/>
      <c r="BE390" s="90"/>
      <c r="BF390" s="90"/>
      <c r="BG390" s="90"/>
    </row>
    <row r="391" ht="12.75" customHeight="1" outlineLevel="1">
      <c r="A391" s="316"/>
      <c r="B391" s="90"/>
      <c r="C391" s="90" t="s">
        <v>556</v>
      </c>
      <c r="D391" s="90"/>
      <c r="E391" s="90"/>
      <c r="F391" s="90"/>
      <c r="G391" s="99"/>
      <c r="H391" s="99"/>
      <c r="I391" s="99"/>
      <c r="J391" s="99"/>
      <c r="K391" s="99"/>
      <c r="L391" s="99"/>
      <c r="M391" s="99"/>
      <c r="N391" s="99"/>
      <c r="O391" s="99"/>
      <c r="P391" s="99"/>
      <c r="Q391" s="99"/>
      <c r="R391" s="99"/>
      <c r="S391" s="99"/>
      <c r="T391" s="99"/>
      <c r="U391" s="99"/>
      <c r="V391" s="99"/>
      <c r="W391" s="99"/>
      <c r="X391" s="99"/>
      <c r="Y391" s="99"/>
      <c r="Z391" s="99"/>
      <c r="AA391" s="99"/>
      <c r="AB391" s="99"/>
      <c r="AC391" s="99"/>
      <c r="AD391" s="99"/>
      <c r="AE391" s="99"/>
      <c r="AF391" s="99"/>
      <c r="AG391" s="99"/>
      <c r="AH391" s="99"/>
      <c r="AI391" s="99"/>
      <c r="AJ391" s="99"/>
      <c r="AK391" s="99"/>
      <c r="AL391" s="99"/>
      <c r="AM391" s="99"/>
      <c r="AN391" s="99"/>
      <c r="AO391" s="99"/>
      <c r="AP391" s="99"/>
      <c r="AQ391" s="99"/>
      <c r="AR391" s="99"/>
      <c r="AS391" s="99"/>
      <c r="AT391" s="99"/>
      <c r="AU391" s="99"/>
      <c r="AV391" s="99"/>
      <c r="AW391" s="90"/>
      <c r="AX391" s="90"/>
      <c r="AY391" s="90"/>
      <c r="AZ391" s="90"/>
      <c r="BA391" s="90"/>
      <c r="BB391" s="90"/>
      <c r="BC391" s="90"/>
      <c r="BD391" s="90"/>
      <c r="BE391" s="90"/>
      <c r="BF391" s="90"/>
      <c r="BG391" s="90"/>
    </row>
    <row r="392" ht="12.75" customHeight="1" outlineLevel="1">
      <c r="A392" s="316"/>
      <c r="B392" s="90"/>
      <c r="C392" s="90"/>
      <c r="D392" s="90" t="s">
        <v>557</v>
      </c>
      <c r="E392" s="90"/>
      <c r="F392" s="90"/>
      <c r="G392" s="99"/>
      <c r="H392" s="99"/>
      <c r="I392" s="543" t="str">
        <f t="shared" ref="I392:I393" si="290">'[4]'!H170</f>
        <v>#REF!</v>
      </c>
      <c r="J392" s="99">
        <f>-J440</f>
        <v>0</v>
      </c>
      <c r="K392" s="99">
        <v>8361.63</v>
      </c>
      <c r="L392" s="99">
        <f t="shared" ref="L392:N392" si="288">K392</f>
        <v>8361.63</v>
      </c>
      <c r="M392" s="99">
        <f t="shared" si="288"/>
        <v>8361.63</v>
      </c>
      <c r="N392" s="99">
        <f t="shared" si="288"/>
        <v>8361.63</v>
      </c>
      <c r="O392" s="99">
        <f t="shared" ref="O392:AV392" si="289">-O440</f>
        <v>0</v>
      </c>
      <c r="P392" s="99">
        <f t="shared" si="289"/>
        <v>0</v>
      </c>
      <c r="Q392" s="99">
        <f t="shared" si="289"/>
        <v>0</v>
      </c>
      <c r="R392" s="99">
        <f t="shared" si="289"/>
        <v>0</v>
      </c>
      <c r="S392" s="99">
        <f t="shared" si="289"/>
        <v>0</v>
      </c>
      <c r="T392" s="99">
        <f t="shared" si="289"/>
        <v>0</v>
      </c>
      <c r="U392" s="99">
        <f t="shared" si="289"/>
        <v>0</v>
      </c>
      <c r="V392" s="99">
        <f t="shared" si="289"/>
        <v>0</v>
      </c>
      <c r="W392" s="99">
        <f t="shared" si="289"/>
        <v>0</v>
      </c>
      <c r="X392" s="99">
        <f t="shared" si="289"/>
        <v>0</v>
      </c>
      <c r="Y392" s="99">
        <f t="shared" si="289"/>
        <v>0</v>
      </c>
      <c r="Z392" s="99">
        <f t="shared" si="289"/>
        <v>0</v>
      </c>
      <c r="AA392" s="99">
        <f t="shared" si="289"/>
        <v>0</v>
      </c>
      <c r="AB392" s="99">
        <f t="shared" si="289"/>
        <v>0</v>
      </c>
      <c r="AC392" s="99">
        <f t="shared" si="289"/>
        <v>0</v>
      </c>
      <c r="AD392" s="99">
        <f t="shared" si="289"/>
        <v>0</v>
      </c>
      <c r="AE392" s="99">
        <f t="shared" si="289"/>
        <v>0</v>
      </c>
      <c r="AF392" s="99">
        <f t="shared" si="289"/>
        <v>0</v>
      </c>
      <c r="AG392" s="99">
        <f t="shared" si="289"/>
        <v>0</v>
      </c>
      <c r="AH392" s="99">
        <f t="shared" si="289"/>
        <v>0</v>
      </c>
      <c r="AI392" s="99">
        <f t="shared" si="289"/>
        <v>0</v>
      </c>
      <c r="AJ392" s="99">
        <f t="shared" si="289"/>
        <v>0</v>
      </c>
      <c r="AK392" s="99">
        <f t="shared" si="289"/>
        <v>0</v>
      </c>
      <c r="AL392" s="99">
        <f t="shared" si="289"/>
        <v>0</v>
      </c>
      <c r="AM392" s="99">
        <f t="shared" si="289"/>
        <v>0</v>
      </c>
      <c r="AN392" s="99">
        <f t="shared" si="289"/>
        <v>0</v>
      </c>
      <c r="AO392" s="99">
        <f t="shared" si="289"/>
        <v>0</v>
      </c>
      <c r="AP392" s="99">
        <f t="shared" si="289"/>
        <v>0</v>
      </c>
      <c r="AQ392" s="99">
        <f t="shared" si="289"/>
        <v>0</v>
      </c>
      <c r="AR392" s="99">
        <f t="shared" si="289"/>
        <v>0</v>
      </c>
      <c r="AS392" s="99">
        <f t="shared" si="289"/>
        <v>0</v>
      </c>
      <c r="AT392" s="99">
        <f t="shared" si="289"/>
        <v>0</v>
      </c>
      <c r="AU392" s="99">
        <f t="shared" si="289"/>
        <v>0</v>
      </c>
      <c r="AV392" s="99">
        <f t="shared" si="289"/>
        <v>0</v>
      </c>
      <c r="AW392" s="90"/>
      <c r="AX392" s="90"/>
      <c r="AY392" s="90"/>
      <c r="AZ392" s="90"/>
      <c r="BA392" s="90"/>
      <c r="BB392" s="90"/>
      <c r="BC392" s="90"/>
      <c r="BD392" s="90"/>
      <c r="BE392" s="90"/>
      <c r="BF392" s="90"/>
      <c r="BG392" s="90"/>
    </row>
    <row r="393" ht="12.75" customHeight="1" outlineLevel="1">
      <c r="A393" s="316"/>
      <c r="B393" s="90"/>
      <c r="C393" s="90"/>
      <c r="D393" s="90" t="s">
        <v>148</v>
      </c>
      <c r="E393" s="90"/>
      <c r="F393" s="90"/>
      <c r="G393" s="99"/>
      <c r="H393" s="99"/>
      <c r="I393" s="543" t="str">
        <f t="shared" si="290"/>
        <v>#REF!</v>
      </c>
      <c r="J393" s="99">
        <f>'FY09 P&amp;L'!B241-'RS1'!J392</f>
        <v>59677.25</v>
      </c>
      <c r="K393" s="99">
        <f>-K450</f>
        <v>0</v>
      </c>
      <c r="L393" s="99">
        <v>0.0</v>
      </c>
      <c r="M393" s="99">
        <v>0.0</v>
      </c>
      <c r="N393" s="99">
        <v>0.0</v>
      </c>
      <c r="O393" s="99">
        <v>0.0</v>
      </c>
      <c r="P393" s="99">
        <v>0.0</v>
      </c>
      <c r="Q393" s="99">
        <v>0.0</v>
      </c>
      <c r="R393" s="99">
        <v>0.0</v>
      </c>
      <c r="S393" s="99">
        <v>0.0</v>
      </c>
      <c r="T393" s="99">
        <v>0.0</v>
      </c>
      <c r="U393" s="99">
        <v>0.0</v>
      </c>
      <c r="V393" s="99">
        <v>0.0</v>
      </c>
      <c r="W393" s="99">
        <v>0.0</v>
      </c>
      <c r="X393" s="99">
        <v>0.0</v>
      </c>
      <c r="Y393" s="99">
        <v>0.0</v>
      </c>
      <c r="Z393" s="99">
        <v>0.0</v>
      </c>
      <c r="AA393" s="99">
        <v>0.0</v>
      </c>
      <c r="AB393" s="99">
        <v>0.0</v>
      </c>
      <c r="AC393" s="99">
        <v>0.0</v>
      </c>
      <c r="AD393" s="99">
        <v>0.0</v>
      </c>
      <c r="AE393" s="99">
        <v>0.0</v>
      </c>
      <c r="AF393" s="99">
        <v>0.0</v>
      </c>
      <c r="AG393" s="99">
        <v>0.0</v>
      </c>
      <c r="AH393" s="99">
        <v>0.0</v>
      </c>
      <c r="AI393" s="99">
        <v>0.0</v>
      </c>
      <c r="AJ393" s="99">
        <v>0.0</v>
      </c>
      <c r="AK393" s="99">
        <v>0.0</v>
      </c>
      <c r="AL393" s="99">
        <v>0.0</v>
      </c>
      <c r="AM393" s="99">
        <v>0.0</v>
      </c>
      <c r="AN393" s="99">
        <v>0.0</v>
      </c>
      <c r="AO393" s="99">
        <v>0.0</v>
      </c>
      <c r="AP393" s="99">
        <v>0.0</v>
      </c>
      <c r="AQ393" s="99">
        <v>0.0</v>
      </c>
      <c r="AR393" s="99">
        <v>0.0</v>
      </c>
      <c r="AS393" s="99">
        <v>0.0</v>
      </c>
      <c r="AT393" s="99">
        <v>0.0</v>
      </c>
      <c r="AU393" s="99">
        <v>0.0</v>
      </c>
      <c r="AV393" s="99">
        <v>0.0</v>
      </c>
      <c r="AW393" s="90" t="s">
        <v>1226</v>
      </c>
      <c r="AX393" s="90"/>
      <c r="AY393" s="90"/>
      <c r="AZ393" s="90"/>
      <c r="BA393" s="90"/>
      <c r="BB393" s="90"/>
      <c r="BC393" s="90"/>
      <c r="BD393" s="90"/>
      <c r="BE393" s="90"/>
      <c r="BF393" s="90"/>
      <c r="BG393" s="90"/>
    </row>
    <row r="394" ht="12.75" customHeight="1" outlineLevel="1">
      <c r="A394" s="316"/>
      <c r="B394" s="90"/>
      <c r="C394" s="90"/>
      <c r="D394" s="90" t="s">
        <v>479</v>
      </c>
      <c r="E394" s="90"/>
      <c r="F394" s="90"/>
      <c r="G394" s="99"/>
      <c r="H394" s="99"/>
      <c r="I394" s="99">
        <v>0.0</v>
      </c>
      <c r="J394" s="99">
        <v>0.0</v>
      </c>
      <c r="K394" s="99">
        <v>0.0</v>
      </c>
      <c r="L394" s="99">
        <v>0.0</v>
      </c>
      <c r="M394" s="99">
        <v>0.0</v>
      </c>
      <c r="N394" s="99">
        <v>0.0</v>
      </c>
      <c r="O394" s="99">
        <v>0.0</v>
      </c>
      <c r="P394" s="99">
        <v>0.0</v>
      </c>
      <c r="Q394" s="99">
        <v>0.0</v>
      </c>
      <c r="R394" s="99">
        <v>0.0</v>
      </c>
      <c r="S394" s="99">
        <v>0.0</v>
      </c>
      <c r="T394" s="99">
        <v>0.0</v>
      </c>
      <c r="U394" s="99">
        <v>0.0</v>
      </c>
      <c r="V394" s="99">
        <v>0.0</v>
      </c>
      <c r="W394" s="99">
        <v>0.0</v>
      </c>
      <c r="X394" s="99">
        <v>0.0</v>
      </c>
      <c r="Y394" s="99">
        <v>0.0</v>
      </c>
      <c r="Z394" s="99">
        <v>0.0</v>
      </c>
      <c r="AA394" s="99">
        <v>0.0</v>
      </c>
      <c r="AB394" s="99">
        <v>0.0</v>
      </c>
      <c r="AC394" s="99">
        <v>0.0</v>
      </c>
      <c r="AD394" s="99">
        <v>0.0</v>
      </c>
      <c r="AE394" s="99">
        <v>0.0</v>
      </c>
      <c r="AF394" s="99">
        <v>0.0</v>
      </c>
      <c r="AG394" s="99">
        <v>0.0</v>
      </c>
      <c r="AH394" s="99">
        <v>0.0</v>
      </c>
      <c r="AI394" s="99">
        <v>0.0</v>
      </c>
      <c r="AJ394" s="99">
        <v>0.0</v>
      </c>
      <c r="AK394" s="99">
        <v>0.0</v>
      </c>
      <c r="AL394" s="99">
        <v>0.0</v>
      </c>
      <c r="AM394" s="99">
        <v>0.0</v>
      </c>
      <c r="AN394" s="99">
        <v>0.0</v>
      </c>
      <c r="AO394" s="99">
        <v>0.0</v>
      </c>
      <c r="AP394" s="99">
        <v>0.0</v>
      </c>
      <c r="AQ394" s="99">
        <v>0.0</v>
      </c>
      <c r="AR394" s="99">
        <v>0.0</v>
      </c>
      <c r="AS394" s="99">
        <v>0.0</v>
      </c>
      <c r="AT394" s="99">
        <v>0.0</v>
      </c>
      <c r="AU394" s="99">
        <v>0.0</v>
      </c>
      <c r="AV394" s="99">
        <v>0.0</v>
      </c>
      <c r="AW394" s="90"/>
      <c r="AX394" s="90"/>
      <c r="AY394" s="90"/>
      <c r="AZ394" s="90"/>
      <c r="BA394" s="90"/>
      <c r="BB394" s="90"/>
      <c r="BC394" s="90"/>
      <c r="BD394" s="90"/>
      <c r="BE394" s="90"/>
      <c r="BF394" s="90"/>
      <c r="BG394" s="90"/>
    </row>
    <row r="395" ht="12.75" customHeight="1" outlineLevel="1">
      <c r="A395" s="316"/>
      <c r="B395" s="87"/>
      <c r="C395" s="87" t="s">
        <v>559</v>
      </c>
      <c r="D395" s="87"/>
      <c r="E395" s="549">
        <f>Assumptions!H34</f>
        <v>0.01</v>
      </c>
      <c r="F395" s="87"/>
      <c r="G395" s="125"/>
      <c r="H395" s="125"/>
      <c r="I395" s="125">
        <v>0.0</v>
      </c>
      <c r="J395" s="125">
        <v>0.0</v>
      </c>
      <c r="K395" s="125">
        <v>0.0</v>
      </c>
      <c r="L395" s="125">
        <v>96808.2266017699</v>
      </c>
      <c r="M395" s="125" t="str">
        <f t="shared" ref="M395:AV395" si="291">$E$395*SUM(M392,M389,M386,M339,M330,M319)</f>
        <v>#REF!</v>
      </c>
      <c r="N395" s="125" t="str">
        <f t="shared" si="291"/>
        <v>#REF!</v>
      </c>
      <c r="O395" s="125" t="str">
        <f t="shared" si="291"/>
        <v>#REF!</v>
      </c>
      <c r="P395" s="125" t="str">
        <f t="shared" si="291"/>
        <v>#REF!</v>
      </c>
      <c r="Q395" s="125" t="str">
        <f t="shared" si="291"/>
        <v>#REF!</v>
      </c>
      <c r="R395" s="125" t="str">
        <f t="shared" si="291"/>
        <v>#REF!</v>
      </c>
      <c r="S395" s="125" t="str">
        <f t="shared" si="291"/>
        <v>#REF!</v>
      </c>
      <c r="T395" s="125" t="str">
        <f t="shared" si="291"/>
        <v>#REF!</v>
      </c>
      <c r="U395" s="125" t="str">
        <f t="shared" si="291"/>
        <v>#REF!</v>
      </c>
      <c r="V395" s="125" t="str">
        <f t="shared" si="291"/>
        <v>#REF!</v>
      </c>
      <c r="W395" s="125" t="str">
        <f t="shared" si="291"/>
        <v>#REF!</v>
      </c>
      <c r="X395" s="125" t="str">
        <f t="shared" si="291"/>
        <v>#REF!</v>
      </c>
      <c r="Y395" s="125" t="str">
        <f t="shared" si="291"/>
        <v>#REF!</v>
      </c>
      <c r="Z395" s="125" t="str">
        <f t="shared" si="291"/>
        <v>#REF!</v>
      </c>
      <c r="AA395" s="125" t="str">
        <f t="shared" si="291"/>
        <v>#REF!</v>
      </c>
      <c r="AB395" s="125" t="str">
        <f t="shared" si="291"/>
        <v>#REF!</v>
      </c>
      <c r="AC395" s="125" t="str">
        <f t="shared" si="291"/>
        <v>#REF!</v>
      </c>
      <c r="AD395" s="125" t="str">
        <f t="shared" si="291"/>
        <v>#REF!</v>
      </c>
      <c r="AE395" s="125" t="str">
        <f t="shared" si="291"/>
        <v>#REF!</v>
      </c>
      <c r="AF395" s="125" t="str">
        <f t="shared" si="291"/>
        <v>#REF!</v>
      </c>
      <c r="AG395" s="125" t="str">
        <f t="shared" si="291"/>
        <v>#REF!</v>
      </c>
      <c r="AH395" s="125" t="str">
        <f t="shared" si="291"/>
        <v>#REF!</v>
      </c>
      <c r="AI395" s="125" t="str">
        <f t="shared" si="291"/>
        <v>#REF!</v>
      </c>
      <c r="AJ395" s="125" t="str">
        <f t="shared" si="291"/>
        <v>#REF!</v>
      </c>
      <c r="AK395" s="125" t="str">
        <f t="shared" si="291"/>
        <v>#REF!</v>
      </c>
      <c r="AL395" s="125" t="str">
        <f t="shared" si="291"/>
        <v>#REF!</v>
      </c>
      <c r="AM395" s="125" t="str">
        <f t="shared" si="291"/>
        <v>#REF!</v>
      </c>
      <c r="AN395" s="125" t="str">
        <f t="shared" si="291"/>
        <v>#REF!</v>
      </c>
      <c r="AO395" s="125" t="str">
        <f t="shared" si="291"/>
        <v>#REF!</v>
      </c>
      <c r="AP395" s="125" t="str">
        <f t="shared" si="291"/>
        <v>#REF!</v>
      </c>
      <c r="AQ395" s="125" t="str">
        <f t="shared" si="291"/>
        <v>#REF!</v>
      </c>
      <c r="AR395" s="125" t="str">
        <f t="shared" si="291"/>
        <v>#REF!</v>
      </c>
      <c r="AS395" s="125" t="str">
        <f t="shared" si="291"/>
        <v>#REF!</v>
      </c>
      <c r="AT395" s="125" t="str">
        <f t="shared" si="291"/>
        <v>#REF!</v>
      </c>
      <c r="AU395" s="125" t="str">
        <f t="shared" si="291"/>
        <v>#REF!</v>
      </c>
      <c r="AV395" s="125" t="str">
        <f t="shared" si="291"/>
        <v>#REF!</v>
      </c>
      <c r="AW395" s="87"/>
      <c r="AX395" s="90"/>
      <c r="AY395" s="90"/>
      <c r="AZ395" s="90"/>
      <c r="BA395" s="90"/>
      <c r="BB395" s="90"/>
      <c r="BC395" s="90"/>
      <c r="BD395" s="90"/>
      <c r="BE395" s="90"/>
      <c r="BF395" s="90"/>
      <c r="BG395" s="90"/>
    </row>
    <row r="396" ht="12.75" customHeight="1" outlineLevel="1">
      <c r="A396" s="316"/>
      <c r="B396" s="67" t="s">
        <v>842</v>
      </c>
      <c r="C396" s="90"/>
      <c r="D396" s="90"/>
      <c r="E396" s="90"/>
      <c r="F396" s="90"/>
      <c r="G396" s="79"/>
      <c r="H396" s="79"/>
      <c r="I396" s="79" t="str">
        <f t="shared" ref="I396:AV396" si="292">SUM(I389:I395)</f>
        <v>#REF!</v>
      </c>
      <c r="J396" s="79">
        <f t="shared" si="292"/>
        <v>78673.25</v>
      </c>
      <c r="K396" s="79">
        <f t="shared" si="292"/>
        <v>33880.39</v>
      </c>
      <c r="L396" s="79">
        <f t="shared" si="292"/>
        <v>131376.3806</v>
      </c>
      <c r="M396" s="79" t="str">
        <f t="shared" si="292"/>
        <v>#REF!</v>
      </c>
      <c r="N396" s="79" t="str">
        <f t="shared" si="292"/>
        <v>#REF!</v>
      </c>
      <c r="O396" s="79" t="str">
        <f t="shared" si="292"/>
        <v>#REF!</v>
      </c>
      <c r="P396" s="79" t="str">
        <f t="shared" si="292"/>
        <v>#REF!</v>
      </c>
      <c r="Q396" s="79" t="str">
        <f t="shared" si="292"/>
        <v>#REF!</v>
      </c>
      <c r="R396" s="79" t="str">
        <f t="shared" si="292"/>
        <v>#REF!</v>
      </c>
      <c r="S396" s="79" t="str">
        <f t="shared" si="292"/>
        <v>#REF!</v>
      </c>
      <c r="T396" s="79" t="str">
        <f t="shared" si="292"/>
        <v>#REF!</v>
      </c>
      <c r="U396" s="79" t="str">
        <f t="shared" si="292"/>
        <v>#REF!</v>
      </c>
      <c r="V396" s="79" t="str">
        <f t="shared" si="292"/>
        <v>#REF!</v>
      </c>
      <c r="W396" s="79" t="str">
        <f t="shared" si="292"/>
        <v>#REF!</v>
      </c>
      <c r="X396" s="79" t="str">
        <f t="shared" si="292"/>
        <v>#REF!</v>
      </c>
      <c r="Y396" s="79" t="str">
        <f t="shared" si="292"/>
        <v>#REF!</v>
      </c>
      <c r="Z396" s="79" t="str">
        <f t="shared" si="292"/>
        <v>#REF!</v>
      </c>
      <c r="AA396" s="79" t="str">
        <f t="shared" si="292"/>
        <v>#REF!</v>
      </c>
      <c r="AB396" s="79" t="str">
        <f t="shared" si="292"/>
        <v>#REF!</v>
      </c>
      <c r="AC396" s="79" t="str">
        <f t="shared" si="292"/>
        <v>#REF!</v>
      </c>
      <c r="AD396" s="79" t="str">
        <f t="shared" si="292"/>
        <v>#REF!</v>
      </c>
      <c r="AE396" s="79" t="str">
        <f t="shared" si="292"/>
        <v>#REF!</v>
      </c>
      <c r="AF396" s="79" t="str">
        <f t="shared" si="292"/>
        <v>#REF!</v>
      </c>
      <c r="AG396" s="79" t="str">
        <f t="shared" si="292"/>
        <v>#REF!</v>
      </c>
      <c r="AH396" s="79" t="str">
        <f t="shared" si="292"/>
        <v>#REF!</v>
      </c>
      <c r="AI396" s="79" t="str">
        <f t="shared" si="292"/>
        <v>#REF!</v>
      </c>
      <c r="AJ396" s="79" t="str">
        <f t="shared" si="292"/>
        <v>#REF!</v>
      </c>
      <c r="AK396" s="79" t="str">
        <f t="shared" si="292"/>
        <v>#REF!</v>
      </c>
      <c r="AL396" s="79" t="str">
        <f t="shared" si="292"/>
        <v>#REF!</v>
      </c>
      <c r="AM396" s="79" t="str">
        <f t="shared" si="292"/>
        <v>#REF!</v>
      </c>
      <c r="AN396" s="79" t="str">
        <f t="shared" si="292"/>
        <v>#REF!</v>
      </c>
      <c r="AO396" s="79" t="str">
        <f t="shared" si="292"/>
        <v>#REF!</v>
      </c>
      <c r="AP396" s="79" t="str">
        <f t="shared" si="292"/>
        <v>#REF!</v>
      </c>
      <c r="AQ396" s="79" t="str">
        <f t="shared" si="292"/>
        <v>#REF!</v>
      </c>
      <c r="AR396" s="79" t="str">
        <f t="shared" si="292"/>
        <v>#REF!</v>
      </c>
      <c r="AS396" s="79" t="str">
        <f t="shared" si="292"/>
        <v>#REF!</v>
      </c>
      <c r="AT396" s="79" t="str">
        <f t="shared" si="292"/>
        <v>#REF!</v>
      </c>
      <c r="AU396" s="79" t="str">
        <f t="shared" si="292"/>
        <v>#REF!</v>
      </c>
      <c r="AV396" s="79" t="str">
        <f t="shared" si="292"/>
        <v>#REF!</v>
      </c>
      <c r="AW396" s="90"/>
      <c r="AX396" s="90"/>
      <c r="AY396" s="90"/>
      <c r="AZ396" s="90"/>
      <c r="BA396" s="90"/>
      <c r="BB396" s="90"/>
      <c r="BC396" s="90"/>
      <c r="BD396" s="90"/>
      <c r="BE396" s="90"/>
      <c r="BF396" s="90"/>
      <c r="BG396" s="90"/>
    </row>
    <row r="397" ht="12.75" customHeight="1" outlineLevel="1">
      <c r="A397" s="316"/>
      <c r="B397" s="90"/>
      <c r="C397" s="90"/>
      <c r="D397" s="90"/>
      <c r="E397" s="90"/>
      <c r="F397" s="90"/>
      <c r="G397" s="91"/>
      <c r="H397" s="91"/>
      <c r="I397" s="147"/>
      <c r="J397" s="147"/>
      <c r="K397" s="147"/>
      <c r="L397" s="147"/>
      <c r="M397" s="147"/>
      <c r="N397" s="147"/>
      <c r="O397" s="147"/>
      <c r="P397" s="147"/>
      <c r="Q397" s="147"/>
      <c r="R397" s="147"/>
      <c r="S397" s="147"/>
      <c r="T397" s="91"/>
      <c r="U397" s="91"/>
      <c r="V397" s="91"/>
      <c r="W397" s="91"/>
      <c r="X397" s="91"/>
      <c r="Y397" s="91"/>
      <c r="Z397" s="91"/>
      <c r="AA397" s="91"/>
      <c r="AB397" s="91"/>
      <c r="AC397" s="91"/>
      <c r="AD397" s="91"/>
      <c r="AE397" s="91"/>
      <c r="AF397" s="91"/>
      <c r="AG397" s="91"/>
      <c r="AH397" s="91"/>
      <c r="AI397" s="91"/>
      <c r="AJ397" s="91"/>
      <c r="AK397" s="91"/>
      <c r="AL397" s="91"/>
      <c r="AM397" s="91"/>
      <c r="AN397" s="91"/>
      <c r="AO397" s="91"/>
      <c r="AP397" s="91"/>
      <c r="AQ397" s="91"/>
      <c r="AR397" s="91"/>
      <c r="AS397" s="91"/>
      <c r="AT397" s="91"/>
      <c r="AU397" s="91"/>
      <c r="AV397" s="91"/>
      <c r="AW397" s="90"/>
      <c r="AX397" s="90"/>
      <c r="AY397" s="90"/>
      <c r="AZ397" s="90"/>
      <c r="BA397" s="90"/>
      <c r="BB397" s="90"/>
      <c r="BC397" s="90"/>
      <c r="BD397" s="90"/>
      <c r="BE397" s="90"/>
      <c r="BF397" s="90"/>
      <c r="BG397" s="90"/>
    </row>
    <row r="398" ht="12.75" customHeight="1" outlineLevel="1">
      <c r="A398" s="108" t="s">
        <v>843</v>
      </c>
      <c r="B398" s="143"/>
      <c r="C398" s="143"/>
      <c r="D398" s="143"/>
      <c r="E398" s="143"/>
      <c r="F398" s="143"/>
      <c r="G398" s="293"/>
      <c r="H398" s="293"/>
      <c r="I398" s="293" t="str">
        <f t="shared" ref="I398:AV398" si="293">I396+I386+I339+I330+I319</f>
        <v>#REF!</v>
      </c>
      <c r="J398" s="293">
        <f t="shared" si="293"/>
        <v>2885210.29</v>
      </c>
      <c r="K398" s="293" t="str">
        <f t="shared" si="293"/>
        <v>#REF!</v>
      </c>
      <c r="L398" s="293" t="str">
        <f t="shared" si="293"/>
        <v>#REF!</v>
      </c>
      <c r="M398" s="293" t="str">
        <f t="shared" si="293"/>
        <v>#REF!</v>
      </c>
      <c r="N398" s="293" t="str">
        <f t="shared" si="293"/>
        <v>#REF!</v>
      </c>
      <c r="O398" s="293" t="str">
        <f t="shared" si="293"/>
        <v>#REF!</v>
      </c>
      <c r="P398" s="293" t="str">
        <f t="shared" si="293"/>
        <v>#REF!</v>
      </c>
      <c r="Q398" s="293" t="str">
        <f t="shared" si="293"/>
        <v>#REF!</v>
      </c>
      <c r="R398" s="293" t="str">
        <f t="shared" si="293"/>
        <v>#REF!</v>
      </c>
      <c r="S398" s="293" t="str">
        <f t="shared" si="293"/>
        <v>#REF!</v>
      </c>
      <c r="T398" s="293" t="str">
        <f t="shared" si="293"/>
        <v>#REF!</v>
      </c>
      <c r="U398" s="293" t="str">
        <f t="shared" si="293"/>
        <v>#REF!</v>
      </c>
      <c r="V398" s="293" t="str">
        <f t="shared" si="293"/>
        <v>#REF!</v>
      </c>
      <c r="W398" s="293" t="str">
        <f t="shared" si="293"/>
        <v>#REF!</v>
      </c>
      <c r="X398" s="293" t="str">
        <f t="shared" si="293"/>
        <v>#REF!</v>
      </c>
      <c r="Y398" s="293" t="str">
        <f t="shared" si="293"/>
        <v>#REF!</v>
      </c>
      <c r="Z398" s="293" t="str">
        <f t="shared" si="293"/>
        <v>#REF!</v>
      </c>
      <c r="AA398" s="293" t="str">
        <f t="shared" si="293"/>
        <v>#REF!</v>
      </c>
      <c r="AB398" s="293" t="str">
        <f t="shared" si="293"/>
        <v>#REF!</v>
      </c>
      <c r="AC398" s="293" t="str">
        <f t="shared" si="293"/>
        <v>#REF!</v>
      </c>
      <c r="AD398" s="293" t="str">
        <f t="shared" si="293"/>
        <v>#REF!</v>
      </c>
      <c r="AE398" s="293" t="str">
        <f t="shared" si="293"/>
        <v>#REF!</v>
      </c>
      <c r="AF398" s="293" t="str">
        <f t="shared" si="293"/>
        <v>#REF!</v>
      </c>
      <c r="AG398" s="293" t="str">
        <f t="shared" si="293"/>
        <v>#REF!</v>
      </c>
      <c r="AH398" s="293" t="str">
        <f t="shared" si="293"/>
        <v>#REF!</v>
      </c>
      <c r="AI398" s="293" t="str">
        <f t="shared" si="293"/>
        <v>#REF!</v>
      </c>
      <c r="AJ398" s="293" t="str">
        <f t="shared" si="293"/>
        <v>#REF!</v>
      </c>
      <c r="AK398" s="293" t="str">
        <f t="shared" si="293"/>
        <v>#REF!</v>
      </c>
      <c r="AL398" s="293" t="str">
        <f t="shared" si="293"/>
        <v>#REF!</v>
      </c>
      <c r="AM398" s="293" t="str">
        <f t="shared" si="293"/>
        <v>#REF!</v>
      </c>
      <c r="AN398" s="293" t="str">
        <f t="shared" si="293"/>
        <v>#REF!</v>
      </c>
      <c r="AO398" s="293" t="str">
        <f t="shared" si="293"/>
        <v>#REF!</v>
      </c>
      <c r="AP398" s="293" t="str">
        <f t="shared" si="293"/>
        <v>#REF!</v>
      </c>
      <c r="AQ398" s="293" t="str">
        <f t="shared" si="293"/>
        <v>#REF!</v>
      </c>
      <c r="AR398" s="293" t="str">
        <f t="shared" si="293"/>
        <v>#REF!</v>
      </c>
      <c r="AS398" s="293" t="str">
        <f t="shared" si="293"/>
        <v>#REF!</v>
      </c>
      <c r="AT398" s="293" t="str">
        <f t="shared" si="293"/>
        <v>#REF!</v>
      </c>
      <c r="AU398" s="293" t="str">
        <f t="shared" si="293"/>
        <v>#REF!</v>
      </c>
      <c r="AV398" s="293" t="str">
        <f t="shared" si="293"/>
        <v>#REF!</v>
      </c>
      <c r="AW398" s="293"/>
      <c r="AX398" s="90"/>
      <c r="AY398" s="90"/>
      <c r="AZ398" s="90"/>
      <c r="BA398" s="90"/>
      <c r="BB398" s="90"/>
      <c r="BC398" s="90"/>
      <c r="BD398" s="90"/>
      <c r="BE398" s="90"/>
      <c r="BF398" s="90"/>
      <c r="BG398" s="90"/>
    </row>
    <row r="399" ht="12.75" customHeight="1" outlineLevel="1">
      <c r="A399" s="515"/>
      <c r="B399" s="90"/>
      <c r="C399" s="90"/>
      <c r="D399" s="90"/>
      <c r="E399" s="90"/>
      <c r="F399" s="90"/>
      <c r="G399" s="79"/>
      <c r="H399" s="79"/>
      <c r="I399" s="79"/>
      <c r="J399" s="79"/>
      <c r="K399" s="79"/>
      <c r="L399" s="79"/>
      <c r="M399" s="79"/>
      <c r="N399" s="79"/>
      <c r="O399" s="79"/>
      <c r="P399" s="79"/>
      <c r="Q399" s="79"/>
      <c r="R399" s="79"/>
      <c r="S399" s="79"/>
      <c r="T399" s="79"/>
      <c r="U399" s="79"/>
      <c r="V399" s="79"/>
      <c r="W399" s="79"/>
      <c r="X399" s="79"/>
      <c r="Y399" s="79"/>
      <c r="Z399" s="79"/>
      <c r="AA399" s="79"/>
      <c r="AB399" s="79"/>
      <c r="AC399" s="79"/>
      <c r="AD399" s="79"/>
      <c r="AE399" s="79"/>
      <c r="AF399" s="79"/>
      <c r="AG399" s="79"/>
      <c r="AH399" s="79"/>
      <c r="AI399" s="79"/>
      <c r="AJ399" s="79"/>
      <c r="AK399" s="79"/>
      <c r="AL399" s="79"/>
      <c r="AM399" s="79"/>
      <c r="AN399" s="79"/>
      <c r="AO399" s="79"/>
      <c r="AP399" s="79"/>
      <c r="AQ399" s="79"/>
      <c r="AR399" s="79"/>
      <c r="AS399" s="79"/>
      <c r="AT399" s="79"/>
      <c r="AU399" s="79"/>
      <c r="AV399" s="79"/>
      <c r="AW399" s="79"/>
      <c r="AX399" s="90"/>
      <c r="AY399" s="90"/>
      <c r="AZ399" s="90"/>
      <c r="BA399" s="90"/>
      <c r="BB399" s="90"/>
      <c r="BC399" s="90"/>
      <c r="BD399" s="90"/>
      <c r="BE399" s="90"/>
      <c r="BF399" s="90"/>
      <c r="BG399" s="90"/>
    </row>
    <row r="400" ht="13.5" customHeight="1" outlineLevel="1">
      <c r="A400" s="550" t="s">
        <v>844</v>
      </c>
      <c r="B400" s="298"/>
      <c r="C400" s="298"/>
      <c r="D400" s="298"/>
      <c r="E400" s="298"/>
      <c r="F400" s="298"/>
      <c r="G400" s="128"/>
      <c r="H400" s="128"/>
      <c r="I400" s="128" t="str">
        <f t="shared" ref="I400:AV400" si="294">I296-I398</f>
        <v>#REF!</v>
      </c>
      <c r="J400" s="128">
        <f t="shared" si="294"/>
        <v>217501.51</v>
      </c>
      <c r="K400" s="128" t="str">
        <f t="shared" si="294"/>
        <v>#REF!</v>
      </c>
      <c r="L400" s="128" t="str">
        <f t="shared" si="294"/>
        <v>#REF!</v>
      </c>
      <c r="M400" s="128" t="str">
        <f t="shared" si="294"/>
        <v>#REF!</v>
      </c>
      <c r="N400" s="128" t="str">
        <f t="shared" si="294"/>
        <v>#REF!</v>
      </c>
      <c r="O400" s="128" t="str">
        <f t="shared" si="294"/>
        <v>#REF!</v>
      </c>
      <c r="P400" s="128" t="str">
        <f t="shared" si="294"/>
        <v>#REF!</v>
      </c>
      <c r="Q400" s="128" t="str">
        <f t="shared" si="294"/>
        <v>#REF!</v>
      </c>
      <c r="R400" s="128" t="str">
        <f t="shared" si="294"/>
        <v>#REF!</v>
      </c>
      <c r="S400" s="128" t="str">
        <f t="shared" si="294"/>
        <v>#REF!</v>
      </c>
      <c r="T400" s="128" t="str">
        <f t="shared" si="294"/>
        <v>#REF!</v>
      </c>
      <c r="U400" s="128" t="str">
        <f t="shared" si="294"/>
        <v>#REF!</v>
      </c>
      <c r="V400" s="128" t="str">
        <f t="shared" si="294"/>
        <v>#REF!</v>
      </c>
      <c r="W400" s="128" t="str">
        <f t="shared" si="294"/>
        <v>#REF!</v>
      </c>
      <c r="X400" s="128" t="str">
        <f t="shared" si="294"/>
        <v>#REF!</v>
      </c>
      <c r="Y400" s="128" t="str">
        <f t="shared" si="294"/>
        <v>#REF!</v>
      </c>
      <c r="Z400" s="128" t="str">
        <f t="shared" si="294"/>
        <v>#REF!</v>
      </c>
      <c r="AA400" s="128" t="str">
        <f t="shared" si="294"/>
        <v>#REF!</v>
      </c>
      <c r="AB400" s="128" t="str">
        <f t="shared" si="294"/>
        <v>#REF!</v>
      </c>
      <c r="AC400" s="128" t="str">
        <f t="shared" si="294"/>
        <v>#REF!</v>
      </c>
      <c r="AD400" s="128" t="str">
        <f t="shared" si="294"/>
        <v>#REF!</v>
      </c>
      <c r="AE400" s="128" t="str">
        <f t="shared" si="294"/>
        <v>#REF!</v>
      </c>
      <c r="AF400" s="128" t="str">
        <f t="shared" si="294"/>
        <v>#REF!</v>
      </c>
      <c r="AG400" s="128" t="str">
        <f t="shared" si="294"/>
        <v>#REF!</v>
      </c>
      <c r="AH400" s="128" t="str">
        <f t="shared" si="294"/>
        <v>#REF!</v>
      </c>
      <c r="AI400" s="128" t="str">
        <f t="shared" si="294"/>
        <v>#REF!</v>
      </c>
      <c r="AJ400" s="128" t="str">
        <f t="shared" si="294"/>
        <v>#REF!</v>
      </c>
      <c r="AK400" s="128" t="str">
        <f t="shared" si="294"/>
        <v>#REF!</v>
      </c>
      <c r="AL400" s="128" t="str">
        <f t="shared" si="294"/>
        <v>#REF!</v>
      </c>
      <c r="AM400" s="128" t="str">
        <f t="shared" si="294"/>
        <v>#REF!</v>
      </c>
      <c r="AN400" s="128" t="str">
        <f t="shared" si="294"/>
        <v>#REF!</v>
      </c>
      <c r="AO400" s="128" t="str">
        <f t="shared" si="294"/>
        <v>#REF!</v>
      </c>
      <c r="AP400" s="128" t="str">
        <f t="shared" si="294"/>
        <v>#REF!</v>
      </c>
      <c r="AQ400" s="128" t="str">
        <f t="shared" si="294"/>
        <v>#REF!</v>
      </c>
      <c r="AR400" s="128" t="str">
        <f t="shared" si="294"/>
        <v>#REF!</v>
      </c>
      <c r="AS400" s="128" t="str">
        <f t="shared" si="294"/>
        <v>#REF!</v>
      </c>
      <c r="AT400" s="128" t="str">
        <f t="shared" si="294"/>
        <v>#REF!</v>
      </c>
      <c r="AU400" s="128" t="str">
        <f t="shared" si="294"/>
        <v>#REF!</v>
      </c>
      <c r="AV400" s="128" t="str">
        <f t="shared" si="294"/>
        <v>#REF!</v>
      </c>
      <c r="AW400" s="128"/>
      <c r="AX400" s="90"/>
      <c r="AY400" s="90"/>
      <c r="AZ400" s="90"/>
      <c r="BA400" s="90"/>
      <c r="BB400" s="90"/>
      <c r="BC400" s="90"/>
      <c r="BD400" s="90"/>
      <c r="BE400" s="90"/>
      <c r="BF400" s="90"/>
      <c r="BG400" s="90"/>
    </row>
    <row r="401" ht="12.75" customHeight="1">
      <c r="A401" s="515"/>
      <c r="B401" s="90"/>
      <c r="C401" s="90"/>
      <c r="D401" s="90"/>
      <c r="E401" s="90"/>
      <c r="F401" s="90"/>
      <c r="G401" s="179"/>
      <c r="H401" s="179"/>
      <c r="I401" s="114"/>
      <c r="J401" s="114"/>
      <c r="K401" s="114"/>
      <c r="L401" s="114"/>
      <c r="M401" s="114"/>
      <c r="N401" s="114"/>
      <c r="O401" s="114"/>
      <c r="P401" s="114"/>
      <c r="Q401" s="114"/>
      <c r="R401" s="114"/>
      <c r="S401" s="114"/>
      <c r="T401" s="91"/>
      <c r="U401" s="91"/>
      <c r="V401" s="91"/>
      <c r="W401" s="91"/>
      <c r="X401" s="91"/>
      <c r="Y401" s="91"/>
      <c r="Z401" s="91"/>
      <c r="AA401" s="91"/>
      <c r="AB401" s="91"/>
      <c r="AC401" s="91"/>
      <c r="AD401" s="91"/>
      <c r="AE401" s="91"/>
      <c r="AF401" s="91"/>
      <c r="AG401" s="91"/>
      <c r="AH401" s="91"/>
      <c r="AI401" s="91"/>
      <c r="AJ401" s="91"/>
      <c r="AK401" s="91"/>
      <c r="AL401" s="91"/>
      <c r="AM401" s="91"/>
      <c r="AN401" s="91"/>
      <c r="AO401" s="91"/>
      <c r="AP401" s="91"/>
      <c r="AQ401" s="91"/>
      <c r="AR401" s="91"/>
      <c r="AS401" s="91"/>
      <c r="AT401" s="91"/>
      <c r="AU401" s="91"/>
      <c r="AV401" s="91"/>
      <c r="AW401" s="90"/>
      <c r="AX401" s="90"/>
      <c r="AY401" s="90"/>
      <c r="AZ401" s="90"/>
      <c r="BA401" s="90"/>
      <c r="BB401" s="90"/>
      <c r="BC401" s="90"/>
      <c r="BD401" s="90"/>
      <c r="BE401" s="90"/>
      <c r="BF401" s="90"/>
      <c r="BG401" s="90"/>
    </row>
    <row r="402" ht="12.75" customHeight="1">
      <c r="A402" s="105" t="s">
        <v>845</v>
      </c>
      <c r="B402" s="253"/>
      <c r="C402" s="253"/>
      <c r="D402" s="253"/>
      <c r="E402" s="253"/>
      <c r="F402" s="253"/>
      <c r="G402" s="253"/>
      <c r="H402" s="253"/>
      <c r="I402" s="253"/>
      <c r="J402" s="253"/>
      <c r="K402" s="253"/>
      <c r="L402" s="253"/>
      <c r="M402" s="253"/>
      <c r="N402" s="253"/>
      <c r="O402" s="253"/>
      <c r="P402" s="253"/>
      <c r="Q402" s="253"/>
      <c r="R402" s="253"/>
      <c r="S402" s="253"/>
      <c r="T402" s="253"/>
      <c r="U402" s="253"/>
      <c r="V402" s="253"/>
      <c r="W402" s="253"/>
      <c r="X402" s="253"/>
      <c r="Y402" s="253"/>
      <c r="Z402" s="253"/>
      <c r="AA402" s="253"/>
      <c r="AB402" s="253"/>
      <c r="AC402" s="253"/>
      <c r="AD402" s="253"/>
      <c r="AE402" s="253"/>
      <c r="AF402" s="253"/>
      <c r="AG402" s="253"/>
      <c r="AH402" s="253"/>
      <c r="AI402" s="253"/>
      <c r="AJ402" s="253"/>
      <c r="AK402" s="253"/>
      <c r="AL402" s="253"/>
      <c r="AM402" s="253"/>
      <c r="AN402" s="253"/>
      <c r="AO402" s="253"/>
      <c r="AP402" s="253"/>
      <c r="AQ402" s="253"/>
      <c r="AR402" s="253"/>
      <c r="AS402" s="253"/>
      <c r="AT402" s="253"/>
      <c r="AU402" s="253"/>
      <c r="AV402" s="253"/>
      <c r="AW402" s="253"/>
      <c r="AX402" s="90"/>
      <c r="AY402" s="90"/>
      <c r="AZ402" s="90"/>
      <c r="BA402" s="90"/>
      <c r="BB402" s="90"/>
      <c r="BC402" s="90"/>
      <c r="BD402" s="90"/>
      <c r="BE402" s="90"/>
      <c r="BF402" s="90"/>
      <c r="BG402" s="90"/>
    </row>
    <row r="403" ht="12.75" hidden="1" customHeight="1" outlineLevel="1">
      <c r="A403" s="551"/>
      <c r="B403" s="201" t="s">
        <v>464</v>
      </c>
      <c r="C403" s="201"/>
      <c r="D403" s="201"/>
      <c r="E403" s="201"/>
      <c r="F403" s="201"/>
      <c r="G403" s="179"/>
      <c r="H403" s="179"/>
      <c r="I403" s="114"/>
      <c r="J403" s="114"/>
      <c r="K403" s="114"/>
      <c r="L403" s="114"/>
      <c r="M403" s="114"/>
      <c r="N403" s="114"/>
      <c r="O403" s="114"/>
      <c r="P403" s="114"/>
      <c r="Q403" s="114"/>
      <c r="R403" s="114"/>
      <c r="S403" s="114"/>
      <c r="T403" s="91"/>
      <c r="U403" s="91"/>
      <c r="V403" s="91"/>
      <c r="W403" s="91"/>
      <c r="X403" s="91"/>
      <c r="Y403" s="91"/>
      <c r="Z403" s="91"/>
      <c r="AA403" s="91"/>
      <c r="AB403" s="91"/>
      <c r="AC403" s="91"/>
      <c r="AD403" s="91"/>
      <c r="AE403" s="91"/>
      <c r="AF403" s="91"/>
      <c r="AG403" s="91"/>
      <c r="AH403" s="91"/>
      <c r="AI403" s="91"/>
      <c r="AJ403" s="91"/>
      <c r="AK403" s="91"/>
      <c r="AL403" s="91"/>
      <c r="AM403" s="91"/>
      <c r="AN403" s="91"/>
      <c r="AO403" s="91"/>
      <c r="AP403" s="91"/>
      <c r="AQ403" s="91"/>
      <c r="AR403" s="91"/>
      <c r="AS403" s="91"/>
      <c r="AT403" s="91"/>
      <c r="AU403" s="91"/>
      <c r="AV403" s="91"/>
      <c r="AW403" s="90"/>
      <c r="AX403" s="90"/>
      <c r="AY403" s="90"/>
      <c r="AZ403" s="90"/>
      <c r="BA403" s="90"/>
      <c r="BB403" s="90"/>
      <c r="BC403" s="90"/>
      <c r="BD403" s="90"/>
      <c r="BE403" s="90"/>
      <c r="BF403" s="90"/>
      <c r="BG403" s="90"/>
    </row>
    <row r="404" ht="12.75" hidden="1" customHeight="1" outlineLevel="1">
      <c r="A404" s="316"/>
      <c r="B404" s="90"/>
      <c r="C404" s="90" t="s">
        <v>194</v>
      </c>
      <c r="D404" s="90"/>
      <c r="E404" s="90"/>
      <c r="F404" s="90"/>
      <c r="G404" s="179"/>
      <c r="H404" s="179"/>
      <c r="I404" s="147" t="str">
        <f t="shared" ref="I404:AV404" si="295">I400</f>
        <v>#REF!</v>
      </c>
      <c r="J404" s="147">
        <f t="shared" si="295"/>
        <v>217501.51</v>
      </c>
      <c r="K404" s="147" t="str">
        <f t="shared" si="295"/>
        <v>#REF!</v>
      </c>
      <c r="L404" s="147" t="str">
        <f t="shared" si="295"/>
        <v>#REF!</v>
      </c>
      <c r="M404" s="147" t="str">
        <f t="shared" si="295"/>
        <v>#REF!</v>
      </c>
      <c r="N404" s="147" t="str">
        <f t="shared" si="295"/>
        <v>#REF!</v>
      </c>
      <c r="O404" s="147" t="str">
        <f t="shared" si="295"/>
        <v>#REF!</v>
      </c>
      <c r="P404" s="147" t="str">
        <f t="shared" si="295"/>
        <v>#REF!</v>
      </c>
      <c r="Q404" s="147" t="str">
        <f t="shared" si="295"/>
        <v>#REF!</v>
      </c>
      <c r="R404" s="147" t="str">
        <f t="shared" si="295"/>
        <v>#REF!</v>
      </c>
      <c r="S404" s="147" t="str">
        <f t="shared" si="295"/>
        <v>#REF!</v>
      </c>
      <c r="T404" s="147" t="str">
        <f t="shared" si="295"/>
        <v>#REF!</v>
      </c>
      <c r="U404" s="147" t="str">
        <f t="shared" si="295"/>
        <v>#REF!</v>
      </c>
      <c r="V404" s="147" t="str">
        <f t="shared" si="295"/>
        <v>#REF!</v>
      </c>
      <c r="W404" s="147" t="str">
        <f t="shared" si="295"/>
        <v>#REF!</v>
      </c>
      <c r="X404" s="147" t="str">
        <f t="shared" si="295"/>
        <v>#REF!</v>
      </c>
      <c r="Y404" s="147" t="str">
        <f t="shared" si="295"/>
        <v>#REF!</v>
      </c>
      <c r="Z404" s="147" t="str">
        <f t="shared" si="295"/>
        <v>#REF!</v>
      </c>
      <c r="AA404" s="147" t="str">
        <f t="shared" si="295"/>
        <v>#REF!</v>
      </c>
      <c r="AB404" s="147" t="str">
        <f t="shared" si="295"/>
        <v>#REF!</v>
      </c>
      <c r="AC404" s="147" t="str">
        <f t="shared" si="295"/>
        <v>#REF!</v>
      </c>
      <c r="AD404" s="147" t="str">
        <f t="shared" si="295"/>
        <v>#REF!</v>
      </c>
      <c r="AE404" s="147" t="str">
        <f t="shared" si="295"/>
        <v>#REF!</v>
      </c>
      <c r="AF404" s="147" t="str">
        <f t="shared" si="295"/>
        <v>#REF!</v>
      </c>
      <c r="AG404" s="147" t="str">
        <f t="shared" si="295"/>
        <v>#REF!</v>
      </c>
      <c r="AH404" s="147" t="str">
        <f t="shared" si="295"/>
        <v>#REF!</v>
      </c>
      <c r="AI404" s="147" t="str">
        <f t="shared" si="295"/>
        <v>#REF!</v>
      </c>
      <c r="AJ404" s="147" t="str">
        <f t="shared" si="295"/>
        <v>#REF!</v>
      </c>
      <c r="AK404" s="147" t="str">
        <f t="shared" si="295"/>
        <v>#REF!</v>
      </c>
      <c r="AL404" s="147" t="str">
        <f t="shared" si="295"/>
        <v>#REF!</v>
      </c>
      <c r="AM404" s="147" t="str">
        <f t="shared" si="295"/>
        <v>#REF!</v>
      </c>
      <c r="AN404" s="147" t="str">
        <f t="shared" si="295"/>
        <v>#REF!</v>
      </c>
      <c r="AO404" s="147" t="str">
        <f t="shared" si="295"/>
        <v>#REF!</v>
      </c>
      <c r="AP404" s="147" t="str">
        <f t="shared" si="295"/>
        <v>#REF!</v>
      </c>
      <c r="AQ404" s="147" t="str">
        <f t="shared" si="295"/>
        <v>#REF!</v>
      </c>
      <c r="AR404" s="147" t="str">
        <f t="shared" si="295"/>
        <v>#REF!</v>
      </c>
      <c r="AS404" s="147" t="str">
        <f t="shared" si="295"/>
        <v>#REF!</v>
      </c>
      <c r="AT404" s="147" t="str">
        <f t="shared" si="295"/>
        <v>#REF!</v>
      </c>
      <c r="AU404" s="147" t="str">
        <f t="shared" si="295"/>
        <v>#REF!</v>
      </c>
      <c r="AV404" s="147" t="str">
        <f t="shared" si="295"/>
        <v>#REF!</v>
      </c>
      <c r="AW404" s="90"/>
      <c r="AX404" s="90"/>
      <c r="AY404" s="90"/>
      <c r="AZ404" s="90"/>
      <c r="BA404" s="90"/>
      <c r="BB404" s="90"/>
      <c r="BC404" s="90"/>
      <c r="BD404" s="90"/>
      <c r="BE404" s="90"/>
      <c r="BF404" s="90"/>
      <c r="BG404" s="90"/>
    </row>
    <row r="405" ht="12.75" hidden="1" customHeight="1" outlineLevel="1">
      <c r="A405" s="316"/>
      <c r="B405" s="90"/>
      <c r="C405" s="90" t="s">
        <v>465</v>
      </c>
      <c r="D405" s="90"/>
      <c r="E405" s="90"/>
      <c r="F405" s="90"/>
      <c r="G405" s="179"/>
      <c r="H405" s="179"/>
      <c r="I405" s="147" t="str">
        <f t="shared" ref="I405:AV405" si="296">I363</f>
        <v>#REF!</v>
      </c>
      <c r="J405" s="147">
        <f t="shared" si="296"/>
        <v>44042.09</v>
      </c>
      <c r="K405" s="147">
        <f t="shared" si="296"/>
        <v>1497.16</v>
      </c>
      <c r="L405" s="147">
        <f t="shared" si="296"/>
        <v>1497.16</v>
      </c>
      <c r="M405" s="147">
        <f t="shared" si="296"/>
        <v>1497.16</v>
      </c>
      <c r="N405" s="147">
        <f t="shared" si="296"/>
        <v>1497.165</v>
      </c>
      <c r="O405" s="147">
        <f t="shared" si="296"/>
        <v>1497.165</v>
      </c>
      <c r="P405" s="147">
        <f t="shared" si="296"/>
        <v>0</v>
      </c>
      <c r="Q405" s="147">
        <f t="shared" si="296"/>
        <v>0</v>
      </c>
      <c r="R405" s="147">
        <f t="shared" si="296"/>
        <v>0</v>
      </c>
      <c r="S405" s="147">
        <f t="shared" si="296"/>
        <v>0</v>
      </c>
      <c r="T405" s="147">
        <f t="shared" si="296"/>
        <v>0</v>
      </c>
      <c r="U405" s="147">
        <f t="shared" si="296"/>
        <v>0</v>
      </c>
      <c r="V405" s="147">
        <f t="shared" si="296"/>
        <v>0</v>
      </c>
      <c r="W405" s="147">
        <f t="shared" si="296"/>
        <v>0</v>
      </c>
      <c r="X405" s="147">
        <f t="shared" si="296"/>
        <v>0</v>
      </c>
      <c r="Y405" s="147">
        <f t="shared" si="296"/>
        <v>0</v>
      </c>
      <c r="Z405" s="147">
        <f t="shared" si="296"/>
        <v>0</v>
      </c>
      <c r="AA405" s="147">
        <f t="shared" si="296"/>
        <v>0</v>
      </c>
      <c r="AB405" s="147">
        <f t="shared" si="296"/>
        <v>0</v>
      </c>
      <c r="AC405" s="147">
        <f t="shared" si="296"/>
        <v>0</v>
      </c>
      <c r="AD405" s="147">
        <f t="shared" si="296"/>
        <v>0</v>
      </c>
      <c r="AE405" s="147">
        <f t="shared" si="296"/>
        <v>0</v>
      </c>
      <c r="AF405" s="147">
        <f t="shared" si="296"/>
        <v>0</v>
      </c>
      <c r="AG405" s="147">
        <f t="shared" si="296"/>
        <v>0</v>
      </c>
      <c r="AH405" s="147">
        <f t="shared" si="296"/>
        <v>0</v>
      </c>
      <c r="AI405" s="147">
        <f t="shared" si="296"/>
        <v>0</v>
      </c>
      <c r="AJ405" s="147">
        <f t="shared" si="296"/>
        <v>0</v>
      </c>
      <c r="AK405" s="147">
        <f t="shared" si="296"/>
        <v>0</v>
      </c>
      <c r="AL405" s="147">
        <f t="shared" si="296"/>
        <v>0</v>
      </c>
      <c r="AM405" s="147">
        <f t="shared" si="296"/>
        <v>0</v>
      </c>
      <c r="AN405" s="147">
        <f t="shared" si="296"/>
        <v>0</v>
      </c>
      <c r="AO405" s="147">
        <f t="shared" si="296"/>
        <v>0</v>
      </c>
      <c r="AP405" s="147">
        <f t="shared" si="296"/>
        <v>0</v>
      </c>
      <c r="AQ405" s="147">
        <f t="shared" si="296"/>
        <v>0</v>
      </c>
      <c r="AR405" s="147">
        <f t="shared" si="296"/>
        <v>0</v>
      </c>
      <c r="AS405" s="147">
        <f t="shared" si="296"/>
        <v>0</v>
      </c>
      <c r="AT405" s="147">
        <f t="shared" si="296"/>
        <v>0</v>
      </c>
      <c r="AU405" s="147">
        <f t="shared" si="296"/>
        <v>0</v>
      </c>
      <c r="AV405" s="147">
        <f t="shared" si="296"/>
        <v>0</v>
      </c>
      <c r="AW405" s="90"/>
      <c r="AX405" s="90"/>
      <c r="AY405" s="90"/>
      <c r="AZ405" s="90"/>
      <c r="BA405" s="90"/>
      <c r="BB405" s="90"/>
      <c r="BC405" s="90"/>
      <c r="BD405" s="90"/>
      <c r="BE405" s="90"/>
      <c r="BF405" s="90"/>
      <c r="BG405" s="90"/>
    </row>
    <row r="406" ht="12.75" hidden="1" customHeight="1" outlineLevel="1">
      <c r="A406" s="316"/>
      <c r="B406" s="90"/>
      <c r="C406" s="90" t="s">
        <v>466</v>
      </c>
      <c r="D406" s="90"/>
      <c r="E406" s="90"/>
      <c r="F406" s="90"/>
      <c r="G406" s="179"/>
      <c r="H406" s="179"/>
      <c r="I406" s="147">
        <v>0.0</v>
      </c>
      <c r="J406" s="147">
        <v>0.0</v>
      </c>
      <c r="K406" s="147">
        <v>0.0</v>
      </c>
      <c r="L406" s="147">
        <v>0.0</v>
      </c>
      <c r="M406" s="147">
        <v>0.0</v>
      </c>
      <c r="N406" s="147">
        <v>0.0</v>
      </c>
      <c r="O406" s="147">
        <v>0.0</v>
      </c>
      <c r="P406" s="147">
        <v>0.0</v>
      </c>
      <c r="Q406" s="147">
        <v>0.0</v>
      </c>
      <c r="R406" s="147">
        <v>0.0</v>
      </c>
      <c r="S406" s="147">
        <v>0.0</v>
      </c>
      <c r="T406" s="147">
        <v>0.0</v>
      </c>
      <c r="U406" s="147">
        <v>0.0</v>
      </c>
      <c r="V406" s="147">
        <v>0.0</v>
      </c>
      <c r="W406" s="147">
        <v>0.0</v>
      </c>
      <c r="X406" s="147">
        <v>0.0</v>
      </c>
      <c r="Y406" s="147">
        <v>0.0</v>
      </c>
      <c r="Z406" s="147">
        <v>0.0</v>
      </c>
      <c r="AA406" s="147">
        <v>0.0</v>
      </c>
      <c r="AB406" s="147">
        <v>0.0</v>
      </c>
      <c r="AC406" s="147">
        <v>0.0</v>
      </c>
      <c r="AD406" s="147">
        <v>0.0</v>
      </c>
      <c r="AE406" s="147">
        <v>0.0</v>
      </c>
      <c r="AF406" s="147">
        <v>0.0</v>
      </c>
      <c r="AG406" s="147">
        <v>0.0</v>
      </c>
      <c r="AH406" s="147">
        <v>0.0</v>
      </c>
      <c r="AI406" s="147">
        <v>0.0</v>
      </c>
      <c r="AJ406" s="147">
        <v>0.0</v>
      </c>
      <c r="AK406" s="147">
        <v>0.0</v>
      </c>
      <c r="AL406" s="147">
        <v>0.0</v>
      </c>
      <c r="AM406" s="147">
        <v>0.0</v>
      </c>
      <c r="AN406" s="147">
        <v>0.0</v>
      </c>
      <c r="AO406" s="147">
        <v>0.0</v>
      </c>
      <c r="AP406" s="147">
        <v>0.0</v>
      </c>
      <c r="AQ406" s="147">
        <v>0.0</v>
      </c>
      <c r="AR406" s="147">
        <v>0.0</v>
      </c>
      <c r="AS406" s="147">
        <v>0.0</v>
      </c>
      <c r="AT406" s="147">
        <v>0.0</v>
      </c>
      <c r="AU406" s="147">
        <v>0.0</v>
      </c>
      <c r="AV406" s="147">
        <v>0.0</v>
      </c>
      <c r="AW406" s="90"/>
      <c r="AX406" s="90"/>
      <c r="AY406" s="90"/>
      <c r="AZ406" s="90"/>
      <c r="BA406" s="90"/>
      <c r="BB406" s="90"/>
      <c r="BC406" s="90"/>
      <c r="BD406" s="90"/>
      <c r="BE406" s="90"/>
      <c r="BF406" s="90"/>
      <c r="BG406" s="90"/>
    </row>
    <row r="407" ht="12.75" hidden="1" customHeight="1" outlineLevel="1">
      <c r="A407" s="316"/>
      <c r="B407" s="90"/>
      <c r="C407" s="90" t="s">
        <v>467</v>
      </c>
      <c r="D407" s="90"/>
      <c r="E407" s="90"/>
      <c r="F407" s="90"/>
      <c r="G407" s="179"/>
      <c r="H407" s="179"/>
      <c r="I407" s="99">
        <v>-160219.0</v>
      </c>
      <c r="J407" s="99">
        <v>-568593.04</v>
      </c>
      <c r="K407" s="99">
        <f t="shared" ref="K407:AV407" si="297">-1*(K$476-J$476)+(K$482-J$482)</f>
        <v>-101066.35</v>
      </c>
      <c r="L407" s="99" t="str">
        <f t="shared" si="297"/>
        <v>#REF!</v>
      </c>
      <c r="M407" s="99" t="str">
        <f t="shared" si="297"/>
        <v>#REF!</v>
      </c>
      <c r="N407" s="99" t="str">
        <f t="shared" si="297"/>
        <v>#REF!</v>
      </c>
      <c r="O407" s="99" t="str">
        <f t="shared" si="297"/>
        <v>#REF!</v>
      </c>
      <c r="P407" s="99" t="str">
        <f t="shared" si="297"/>
        <v>#REF!</v>
      </c>
      <c r="Q407" s="99" t="str">
        <f t="shared" si="297"/>
        <v>#REF!</v>
      </c>
      <c r="R407" s="99" t="str">
        <f t="shared" si="297"/>
        <v>#REF!</v>
      </c>
      <c r="S407" s="99" t="str">
        <f t="shared" si="297"/>
        <v>#REF!</v>
      </c>
      <c r="T407" s="99" t="str">
        <f t="shared" si="297"/>
        <v>#REF!</v>
      </c>
      <c r="U407" s="99" t="str">
        <f t="shared" si="297"/>
        <v>#REF!</v>
      </c>
      <c r="V407" s="99" t="str">
        <f t="shared" si="297"/>
        <v>#REF!</v>
      </c>
      <c r="W407" s="99" t="str">
        <f t="shared" si="297"/>
        <v>#REF!</v>
      </c>
      <c r="X407" s="99" t="str">
        <f t="shared" si="297"/>
        <v>#REF!</v>
      </c>
      <c r="Y407" s="99" t="str">
        <f t="shared" si="297"/>
        <v>#REF!</v>
      </c>
      <c r="Z407" s="99" t="str">
        <f t="shared" si="297"/>
        <v>#REF!</v>
      </c>
      <c r="AA407" s="99" t="str">
        <f t="shared" si="297"/>
        <v>#REF!</v>
      </c>
      <c r="AB407" s="99" t="str">
        <f t="shared" si="297"/>
        <v>#REF!</v>
      </c>
      <c r="AC407" s="99" t="str">
        <f t="shared" si="297"/>
        <v>#REF!</v>
      </c>
      <c r="AD407" s="99" t="str">
        <f t="shared" si="297"/>
        <v>#REF!</v>
      </c>
      <c r="AE407" s="99" t="str">
        <f t="shared" si="297"/>
        <v>#REF!</v>
      </c>
      <c r="AF407" s="99" t="str">
        <f t="shared" si="297"/>
        <v>#REF!</v>
      </c>
      <c r="AG407" s="99" t="str">
        <f t="shared" si="297"/>
        <v>#REF!</v>
      </c>
      <c r="AH407" s="99" t="str">
        <f t="shared" si="297"/>
        <v>#REF!</v>
      </c>
      <c r="AI407" s="99" t="str">
        <f t="shared" si="297"/>
        <v>#REF!</v>
      </c>
      <c r="AJ407" s="99" t="str">
        <f t="shared" si="297"/>
        <v>#REF!</v>
      </c>
      <c r="AK407" s="99" t="str">
        <f t="shared" si="297"/>
        <v>#REF!</v>
      </c>
      <c r="AL407" s="99" t="str">
        <f t="shared" si="297"/>
        <v>#REF!</v>
      </c>
      <c r="AM407" s="99" t="str">
        <f t="shared" si="297"/>
        <v>#REF!</v>
      </c>
      <c r="AN407" s="99" t="str">
        <f t="shared" si="297"/>
        <v>#REF!</v>
      </c>
      <c r="AO407" s="99" t="str">
        <f t="shared" si="297"/>
        <v>#REF!</v>
      </c>
      <c r="AP407" s="99" t="str">
        <f t="shared" si="297"/>
        <v>#REF!</v>
      </c>
      <c r="AQ407" s="99" t="str">
        <f t="shared" si="297"/>
        <v>#REF!</v>
      </c>
      <c r="AR407" s="99" t="str">
        <f t="shared" si="297"/>
        <v>#REF!</v>
      </c>
      <c r="AS407" s="99" t="str">
        <f t="shared" si="297"/>
        <v>#REF!</v>
      </c>
      <c r="AT407" s="99" t="str">
        <f t="shared" si="297"/>
        <v>#REF!</v>
      </c>
      <c r="AU407" s="99" t="str">
        <f t="shared" si="297"/>
        <v>#REF!</v>
      </c>
      <c r="AV407" s="99" t="str">
        <f t="shared" si="297"/>
        <v>#REF!</v>
      </c>
      <c r="AW407" s="90"/>
      <c r="AX407" s="90"/>
      <c r="AY407" s="90"/>
      <c r="AZ407" s="90"/>
      <c r="BA407" s="90"/>
      <c r="BB407" s="90"/>
      <c r="BC407" s="90"/>
      <c r="BD407" s="90"/>
      <c r="BE407" s="90"/>
      <c r="BF407" s="90"/>
      <c r="BG407" s="90"/>
    </row>
    <row r="408" ht="12.75" hidden="1" customHeight="1" outlineLevel="1">
      <c r="A408" s="90"/>
      <c r="B408" s="90"/>
      <c r="C408" s="90" t="s">
        <v>468</v>
      </c>
      <c r="D408" s="90"/>
      <c r="E408" s="90"/>
      <c r="F408" s="90"/>
      <c r="G408" s="179"/>
      <c r="H408" s="179"/>
      <c r="I408" s="99">
        <f>150187.25-5000+14182+22589</f>
        <v>181958.25</v>
      </c>
      <c r="J408" s="147">
        <v>-43083.92</v>
      </c>
      <c r="K408" s="147">
        <v>0.0</v>
      </c>
      <c r="L408" s="147">
        <v>0.0</v>
      </c>
      <c r="M408" s="147">
        <v>0.0</v>
      </c>
      <c r="N408" s="147">
        <v>0.0</v>
      </c>
      <c r="O408" s="147">
        <v>0.0</v>
      </c>
      <c r="P408" s="147">
        <v>0.0</v>
      </c>
      <c r="Q408" s="147">
        <v>0.0</v>
      </c>
      <c r="R408" s="147">
        <v>0.0</v>
      </c>
      <c r="S408" s="147">
        <v>0.0</v>
      </c>
      <c r="T408" s="147">
        <v>0.0</v>
      </c>
      <c r="U408" s="147">
        <v>0.0</v>
      </c>
      <c r="V408" s="147">
        <v>0.0</v>
      </c>
      <c r="W408" s="147">
        <v>0.0</v>
      </c>
      <c r="X408" s="147">
        <v>0.0</v>
      </c>
      <c r="Y408" s="147">
        <v>0.0</v>
      </c>
      <c r="Z408" s="147">
        <v>0.0</v>
      </c>
      <c r="AA408" s="147">
        <v>0.0</v>
      </c>
      <c r="AB408" s="147">
        <v>0.0</v>
      </c>
      <c r="AC408" s="147">
        <v>0.0</v>
      </c>
      <c r="AD408" s="147">
        <v>0.0</v>
      </c>
      <c r="AE408" s="147">
        <v>0.0</v>
      </c>
      <c r="AF408" s="147">
        <v>0.0</v>
      </c>
      <c r="AG408" s="147">
        <v>0.0</v>
      </c>
      <c r="AH408" s="147">
        <v>0.0</v>
      </c>
      <c r="AI408" s="147">
        <v>0.0</v>
      </c>
      <c r="AJ408" s="147">
        <v>0.0</v>
      </c>
      <c r="AK408" s="147">
        <v>0.0</v>
      </c>
      <c r="AL408" s="147">
        <v>0.0</v>
      </c>
      <c r="AM408" s="147">
        <v>0.0</v>
      </c>
      <c r="AN408" s="147">
        <v>0.0</v>
      </c>
      <c r="AO408" s="147">
        <v>0.0</v>
      </c>
      <c r="AP408" s="147">
        <v>0.0</v>
      </c>
      <c r="AQ408" s="147">
        <v>0.0</v>
      </c>
      <c r="AR408" s="147">
        <v>0.0</v>
      </c>
      <c r="AS408" s="147">
        <v>0.0</v>
      </c>
      <c r="AT408" s="147">
        <v>0.0</v>
      </c>
      <c r="AU408" s="147">
        <v>0.0</v>
      </c>
      <c r="AV408" s="147">
        <v>0.0</v>
      </c>
      <c r="AW408" s="90"/>
      <c r="AX408" s="90"/>
      <c r="AY408" s="90"/>
      <c r="AZ408" s="90"/>
      <c r="BA408" s="90"/>
      <c r="BB408" s="90"/>
      <c r="BC408" s="90"/>
      <c r="BD408" s="90"/>
      <c r="BE408" s="90"/>
      <c r="BF408" s="90"/>
      <c r="BG408" s="90"/>
    </row>
    <row r="409" ht="12.75" hidden="1" customHeight="1" outlineLevel="1">
      <c r="A409" s="90"/>
      <c r="B409" s="148" t="s">
        <v>469</v>
      </c>
      <c r="C409" s="148"/>
      <c r="D409" s="148"/>
      <c r="E409" s="148"/>
      <c r="F409" s="148"/>
      <c r="G409" s="300"/>
      <c r="H409" s="300"/>
      <c r="I409" s="251" t="str">
        <f t="shared" ref="I409:AV409" si="298">SUM(I404:I408)</f>
        <v>#REF!</v>
      </c>
      <c r="J409" s="251">
        <f t="shared" si="298"/>
        <v>-350133.36</v>
      </c>
      <c r="K409" s="251" t="str">
        <f t="shared" si="298"/>
        <v>#REF!</v>
      </c>
      <c r="L409" s="251" t="str">
        <f t="shared" si="298"/>
        <v>#REF!</v>
      </c>
      <c r="M409" s="251" t="str">
        <f t="shared" si="298"/>
        <v>#REF!</v>
      </c>
      <c r="N409" s="251" t="str">
        <f t="shared" si="298"/>
        <v>#REF!</v>
      </c>
      <c r="O409" s="251" t="str">
        <f t="shared" si="298"/>
        <v>#REF!</v>
      </c>
      <c r="P409" s="251" t="str">
        <f t="shared" si="298"/>
        <v>#REF!</v>
      </c>
      <c r="Q409" s="251" t="str">
        <f t="shared" si="298"/>
        <v>#REF!</v>
      </c>
      <c r="R409" s="251" t="str">
        <f t="shared" si="298"/>
        <v>#REF!</v>
      </c>
      <c r="S409" s="251" t="str">
        <f t="shared" si="298"/>
        <v>#REF!</v>
      </c>
      <c r="T409" s="251" t="str">
        <f t="shared" si="298"/>
        <v>#REF!</v>
      </c>
      <c r="U409" s="251" t="str">
        <f t="shared" si="298"/>
        <v>#REF!</v>
      </c>
      <c r="V409" s="251" t="str">
        <f t="shared" si="298"/>
        <v>#REF!</v>
      </c>
      <c r="W409" s="251" t="str">
        <f t="shared" si="298"/>
        <v>#REF!</v>
      </c>
      <c r="X409" s="251" t="str">
        <f t="shared" si="298"/>
        <v>#REF!</v>
      </c>
      <c r="Y409" s="251" t="str">
        <f t="shared" si="298"/>
        <v>#REF!</v>
      </c>
      <c r="Z409" s="251" t="str">
        <f t="shared" si="298"/>
        <v>#REF!</v>
      </c>
      <c r="AA409" s="251" t="str">
        <f t="shared" si="298"/>
        <v>#REF!</v>
      </c>
      <c r="AB409" s="251" t="str">
        <f t="shared" si="298"/>
        <v>#REF!</v>
      </c>
      <c r="AC409" s="251" t="str">
        <f t="shared" si="298"/>
        <v>#REF!</v>
      </c>
      <c r="AD409" s="251" t="str">
        <f t="shared" si="298"/>
        <v>#REF!</v>
      </c>
      <c r="AE409" s="251" t="str">
        <f t="shared" si="298"/>
        <v>#REF!</v>
      </c>
      <c r="AF409" s="251" t="str">
        <f t="shared" si="298"/>
        <v>#REF!</v>
      </c>
      <c r="AG409" s="251" t="str">
        <f t="shared" si="298"/>
        <v>#REF!</v>
      </c>
      <c r="AH409" s="251" t="str">
        <f t="shared" si="298"/>
        <v>#REF!</v>
      </c>
      <c r="AI409" s="251" t="str">
        <f t="shared" si="298"/>
        <v>#REF!</v>
      </c>
      <c r="AJ409" s="251" t="str">
        <f t="shared" si="298"/>
        <v>#REF!</v>
      </c>
      <c r="AK409" s="251" t="str">
        <f t="shared" si="298"/>
        <v>#REF!</v>
      </c>
      <c r="AL409" s="251" t="str">
        <f t="shared" si="298"/>
        <v>#REF!</v>
      </c>
      <c r="AM409" s="251" t="str">
        <f t="shared" si="298"/>
        <v>#REF!</v>
      </c>
      <c r="AN409" s="251" t="str">
        <f t="shared" si="298"/>
        <v>#REF!</v>
      </c>
      <c r="AO409" s="251" t="str">
        <f t="shared" si="298"/>
        <v>#REF!</v>
      </c>
      <c r="AP409" s="251" t="str">
        <f t="shared" si="298"/>
        <v>#REF!</v>
      </c>
      <c r="AQ409" s="251" t="str">
        <f t="shared" si="298"/>
        <v>#REF!</v>
      </c>
      <c r="AR409" s="251" t="str">
        <f t="shared" si="298"/>
        <v>#REF!</v>
      </c>
      <c r="AS409" s="251" t="str">
        <f t="shared" si="298"/>
        <v>#REF!</v>
      </c>
      <c r="AT409" s="251" t="str">
        <f t="shared" si="298"/>
        <v>#REF!</v>
      </c>
      <c r="AU409" s="251" t="str">
        <f t="shared" si="298"/>
        <v>#REF!</v>
      </c>
      <c r="AV409" s="251" t="str">
        <f t="shared" si="298"/>
        <v>#REF!</v>
      </c>
      <c r="AW409" s="90"/>
      <c r="AX409" s="90"/>
      <c r="AY409" s="90"/>
      <c r="AZ409" s="90"/>
      <c r="BA409" s="90"/>
      <c r="BB409" s="90"/>
      <c r="BC409" s="90"/>
      <c r="BD409" s="90"/>
      <c r="BE409" s="90"/>
      <c r="BF409" s="90"/>
      <c r="BG409" s="90"/>
    </row>
    <row r="410" ht="12.75" hidden="1" customHeight="1" outlineLevel="1">
      <c r="A410" s="90"/>
      <c r="B410" s="90"/>
      <c r="C410" s="90"/>
      <c r="D410" s="90"/>
      <c r="E410" s="90"/>
      <c r="F410" s="90"/>
      <c r="G410" s="179"/>
      <c r="H410" s="179"/>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c r="AO410" s="114"/>
      <c r="AP410" s="114"/>
      <c r="AQ410" s="114"/>
      <c r="AR410" s="114"/>
      <c r="AS410" s="114"/>
      <c r="AT410" s="114"/>
      <c r="AU410" s="114"/>
      <c r="AV410" s="114"/>
      <c r="AW410" s="90"/>
      <c r="AX410" s="90"/>
      <c r="AY410" s="90"/>
      <c r="AZ410" s="90"/>
      <c r="BA410" s="90"/>
      <c r="BB410" s="90"/>
      <c r="BC410" s="90"/>
      <c r="BD410" s="90"/>
      <c r="BE410" s="90"/>
      <c r="BF410" s="90"/>
      <c r="BG410" s="90"/>
    </row>
    <row r="411" ht="12.75" hidden="1" customHeight="1" outlineLevel="1">
      <c r="A411" s="90"/>
      <c r="B411" s="201" t="s">
        <v>470</v>
      </c>
      <c r="C411" s="90"/>
      <c r="D411" s="90"/>
      <c r="E411" s="90"/>
      <c r="F411" s="90"/>
      <c r="G411" s="179"/>
      <c r="H411" s="179"/>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c r="AO411" s="114"/>
      <c r="AP411" s="114"/>
      <c r="AQ411" s="114"/>
      <c r="AR411" s="114"/>
      <c r="AS411" s="114"/>
      <c r="AT411" s="114"/>
      <c r="AU411" s="114"/>
      <c r="AV411" s="114"/>
      <c r="AW411" s="90"/>
      <c r="AX411" s="90"/>
      <c r="AY411" s="90"/>
      <c r="AZ411" s="90"/>
      <c r="BA411" s="90"/>
      <c r="BB411" s="90"/>
      <c r="BC411" s="90"/>
      <c r="BD411" s="90"/>
      <c r="BE411" s="90"/>
      <c r="BF411" s="90"/>
      <c r="BG411" s="90"/>
    </row>
    <row r="412" ht="12.75" hidden="1" customHeight="1" outlineLevel="1">
      <c r="A412" s="90"/>
      <c r="B412" s="90"/>
      <c r="C412" s="90" t="s">
        <v>472</v>
      </c>
      <c r="D412" s="90"/>
      <c r="E412" s="90"/>
      <c r="F412" s="90"/>
      <c r="G412" s="179"/>
      <c r="H412" s="179"/>
      <c r="I412" s="552">
        <v>-59865.0</v>
      </c>
      <c r="J412" s="147">
        <v>26918.83</v>
      </c>
      <c r="K412" s="147">
        <v>-7485.81</v>
      </c>
      <c r="L412" s="147">
        <f t="shared" ref="L412:AV412" si="299">-L238</f>
        <v>0</v>
      </c>
      <c r="M412" s="147">
        <f t="shared" si="299"/>
        <v>0</v>
      </c>
      <c r="N412" s="147">
        <f t="shared" si="299"/>
        <v>0</v>
      </c>
      <c r="O412" s="147">
        <f t="shared" si="299"/>
        <v>0</v>
      </c>
      <c r="P412" s="147">
        <f t="shared" si="299"/>
        <v>0</v>
      </c>
      <c r="Q412" s="147">
        <f t="shared" si="299"/>
        <v>0</v>
      </c>
      <c r="R412" s="147">
        <f t="shared" si="299"/>
        <v>0</v>
      </c>
      <c r="S412" s="147">
        <f t="shared" si="299"/>
        <v>0</v>
      </c>
      <c r="T412" s="147">
        <f t="shared" si="299"/>
        <v>0</v>
      </c>
      <c r="U412" s="147">
        <f t="shared" si="299"/>
        <v>0</v>
      </c>
      <c r="V412" s="147">
        <f t="shared" si="299"/>
        <v>0</v>
      </c>
      <c r="W412" s="147">
        <f t="shared" si="299"/>
        <v>0</v>
      </c>
      <c r="X412" s="147">
        <f t="shared" si="299"/>
        <v>0</v>
      </c>
      <c r="Y412" s="147">
        <f t="shared" si="299"/>
        <v>0</v>
      </c>
      <c r="Z412" s="147">
        <f t="shared" si="299"/>
        <v>0</v>
      </c>
      <c r="AA412" s="147">
        <f t="shared" si="299"/>
        <v>0</v>
      </c>
      <c r="AB412" s="147">
        <f t="shared" si="299"/>
        <v>0</v>
      </c>
      <c r="AC412" s="147">
        <f t="shared" si="299"/>
        <v>0</v>
      </c>
      <c r="AD412" s="147">
        <f t="shared" si="299"/>
        <v>0</v>
      </c>
      <c r="AE412" s="147">
        <f t="shared" si="299"/>
        <v>0</v>
      </c>
      <c r="AF412" s="147">
        <f t="shared" si="299"/>
        <v>0</v>
      </c>
      <c r="AG412" s="147">
        <f t="shared" si="299"/>
        <v>0</v>
      </c>
      <c r="AH412" s="147">
        <f t="shared" si="299"/>
        <v>0</v>
      </c>
      <c r="AI412" s="147">
        <f t="shared" si="299"/>
        <v>0</v>
      </c>
      <c r="AJ412" s="147">
        <f t="shared" si="299"/>
        <v>0</v>
      </c>
      <c r="AK412" s="147">
        <f t="shared" si="299"/>
        <v>0</v>
      </c>
      <c r="AL412" s="147">
        <f t="shared" si="299"/>
        <v>0</v>
      </c>
      <c r="AM412" s="147">
        <f t="shared" si="299"/>
        <v>0</v>
      </c>
      <c r="AN412" s="147">
        <f t="shared" si="299"/>
        <v>0</v>
      </c>
      <c r="AO412" s="147">
        <f t="shared" si="299"/>
        <v>0</v>
      </c>
      <c r="AP412" s="147">
        <f t="shared" si="299"/>
        <v>0</v>
      </c>
      <c r="AQ412" s="147">
        <f t="shared" si="299"/>
        <v>0</v>
      </c>
      <c r="AR412" s="147">
        <f t="shared" si="299"/>
        <v>0</v>
      </c>
      <c r="AS412" s="147">
        <f t="shared" si="299"/>
        <v>0</v>
      </c>
      <c r="AT412" s="147">
        <f t="shared" si="299"/>
        <v>0</v>
      </c>
      <c r="AU412" s="147">
        <f t="shared" si="299"/>
        <v>0</v>
      </c>
      <c r="AV412" s="147">
        <f t="shared" si="299"/>
        <v>0</v>
      </c>
      <c r="AW412" s="90"/>
      <c r="AX412" s="90"/>
      <c r="AY412" s="90"/>
      <c r="AZ412" s="90"/>
      <c r="BA412" s="90"/>
      <c r="BB412" s="90"/>
      <c r="BC412" s="90"/>
      <c r="BD412" s="90"/>
      <c r="BE412" s="90"/>
      <c r="BF412" s="90"/>
      <c r="BG412" s="90"/>
    </row>
    <row r="413" ht="12.75" hidden="1" customHeight="1" outlineLevel="1">
      <c r="A413" s="90"/>
      <c r="B413" s="148" t="s">
        <v>473</v>
      </c>
      <c r="C413" s="148"/>
      <c r="D413" s="148"/>
      <c r="E413" s="148"/>
      <c r="F413" s="148"/>
      <c r="G413" s="300"/>
      <c r="H413" s="300"/>
      <c r="I413" s="251">
        <f t="shared" ref="I413:AV413" si="300">I412</f>
        <v>-59865</v>
      </c>
      <c r="J413" s="251">
        <f t="shared" si="300"/>
        <v>26918.83</v>
      </c>
      <c r="K413" s="251">
        <f t="shared" si="300"/>
        <v>-7485.81</v>
      </c>
      <c r="L413" s="251">
        <f t="shared" si="300"/>
        <v>0</v>
      </c>
      <c r="M413" s="251">
        <f t="shared" si="300"/>
        <v>0</v>
      </c>
      <c r="N413" s="251">
        <f t="shared" si="300"/>
        <v>0</v>
      </c>
      <c r="O413" s="251">
        <f t="shared" si="300"/>
        <v>0</v>
      </c>
      <c r="P413" s="251">
        <f t="shared" si="300"/>
        <v>0</v>
      </c>
      <c r="Q413" s="251">
        <f t="shared" si="300"/>
        <v>0</v>
      </c>
      <c r="R413" s="251">
        <f t="shared" si="300"/>
        <v>0</v>
      </c>
      <c r="S413" s="251">
        <f t="shared" si="300"/>
        <v>0</v>
      </c>
      <c r="T413" s="251">
        <f t="shared" si="300"/>
        <v>0</v>
      </c>
      <c r="U413" s="251">
        <f t="shared" si="300"/>
        <v>0</v>
      </c>
      <c r="V413" s="251">
        <f t="shared" si="300"/>
        <v>0</v>
      </c>
      <c r="W413" s="251">
        <f t="shared" si="300"/>
        <v>0</v>
      </c>
      <c r="X413" s="251">
        <f t="shared" si="300"/>
        <v>0</v>
      </c>
      <c r="Y413" s="251">
        <f t="shared" si="300"/>
        <v>0</v>
      </c>
      <c r="Z413" s="251">
        <f t="shared" si="300"/>
        <v>0</v>
      </c>
      <c r="AA413" s="251">
        <f t="shared" si="300"/>
        <v>0</v>
      </c>
      <c r="AB413" s="251">
        <f t="shared" si="300"/>
        <v>0</v>
      </c>
      <c r="AC413" s="251">
        <f t="shared" si="300"/>
        <v>0</v>
      </c>
      <c r="AD413" s="251">
        <f t="shared" si="300"/>
        <v>0</v>
      </c>
      <c r="AE413" s="251">
        <f t="shared" si="300"/>
        <v>0</v>
      </c>
      <c r="AF413" s="251">
        <f t="shared" si="300"/>
        <v>0</v>
      </c>
      <c r="AG413" s="251">
        <f t="shared" si="300"/>
        <v>0</v>
      </c>
      <c r="AH413" s="251">
        <f t="shared" si="300"/>
        <v>0</v>
      </c>
      <c r="AI413" s="251">
        <f t="shared" si="300"/>
        <v>0</v>
      </c>
      <c r="AJ413" s="251">
        <f t="shared" si="300"/>
        <v>0</v>
      </c>
      <c r="AK413" s="251">
        <f t="shared" si="300"/>
        <v>0</v>
      </c>
      <c r="AL413" s="251">
        <f t="shared" si="300"/>
        <v>0</v>
      </c>
      <c r="AM413" s="251">
        <f t="shared" si="300"/>
        <v>0</v>
      </c>
      <c r="AN413" s="251">
        <f t="shared" si="300"/>
        <v>0</v>
      </c>
      <c r="AO413" s="251">
        <f t="shared" si="300"/>
        <v>0</v>
      </c>
      <c r="AP413" s="251">
        <f t="shared" si="300"/>
        <v>0</v>
      </c>
      <c r="AQ413" s="251">
        <f t="shared" si="300"/>
        <v>0</v>
      </c>
      <c r="AR413" s="251">
        <f t="shared" si="300"/>
        <v>0</v>
      </c>
      <c r="AS413" s="251">
        <f t="shared" si="300"/>
        <v>0</v>
      </c>
      <c r="AT413" s="251">
        <f t="shared" si="300"/>
        <v>0</v>
      </c>
      <c r="AU413" s="251">
        <f t="shared" si="300"/>
        <v>0</v>
      </c>
      <c r="AV413" s="251">
        <f t="shared" si="300"/>
        <v>0</v>
      </c>
      <c r="AW413" s="90"/>
      <c r="AX413" s="90"/>
      <c r="AY413" s="90"/>
      <c r="AZ413" s="90"/>
      <c r="BA413" s="90"/>
      <c r="BB413" s="90"/>
      <c r="BC413" s="90"/>
      <c r="BD413" s="90"/>
      <c r="BE413" s="90"/>
      <c r="BF413" s="90"/>
      <c r="BG413" s="90"/>
    </row>
    <row r="414" ht="12.75" hidden="1" customHeight="1" outlineLevel="1">
      <c r="A414" s="90"/>
      <c r="B414" s="90"/>
      <c r="C414" s="90"/>
      <c r="D414" s="90"/>
      <c r="E414" s="90"/>
      <c r="F414" s="90"/>
      <c r="G414" s="179"/>
      <c r="H414" s="179"/>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c r="AO414" s="114"/>
      <c r="AP414" s="114"/>
      <c r="AQ414" s="114"/>
      <c r="AR414" s="114"/>
      <c r="AS414" s="114"/>
      <c r="AT414" s="114"/>
      <c r="AU414" s="114"/>
      <c r="AV414" s="114"/>
      <c r="AW414" s="90"/>
      <c r="AX414" s="90"/>
      <c r="AY414" s="90"/>
      <c r="AZ414" s="90"/>
      <c r="BA414" s="90"/>
      <c r="BB414" s="90"/>
      <c r="BC414" s="90"/>
      <c r="BD414" s="90"/>
      <c r="BE414" s="90"/>
      <c r="BF414" s="90"/>
      <c r="BG414" s="90"/>
    </row>
    <row r="415" ht="12.75" hidden="1" customHeight="1" outlineLevel="1">
      <c r="A415" s="90"/>
      <c r="B415" s="201" t="s">
        <v>474</v>
      </c>
      <c r="C415" s="90"/>
      <c r="D415" s="90"/>
      <c r="E415" s="90"/>
      <c r="F415" s="90"/>
      <c r="G415" s="179"/>
      <c r="H415" s="179"/>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c r="AO415" s="114"/>
      <c r="AP415" s="114"/>
      <c r="AQ415" s="114"/>
      <c r="AR415" s="114"/>
      <c r="AS415" s="114"/>
      <c r="AT415" s="114"/>
      <c r="AU415" s="114"/>
      <c r="AV415" s="114"/>
      <c r="AW415" s="90"/>
      <c r="AX415" s="90"/>
      <c r="AY415" s="90"/>
      <c r="AZ415" s="90"/>
      <c r="BA415" s="90"/>
      <c r="BB415" s="90"/>
      <c r="BC415" s="90"/>
      <c r="BD415" s="90"/>
      <c r="BE415" s="90"/>
      <c r="BF415" s="90"/>
      <c r="BG415" s="90"/>
    </row>
    <row r="416" ht="12.75" hidden="1" customHeight="1" outlineLevel="1">
      <c r="A416" s="90"/>
      <c r="B416" s="90"/>
      <c r="C416" s="90" t="s">
        <v>846</v>
      </c>
      <c r="D416" s="90"/>
      <c r="E416" s="90"/>
      <c r="F416" s="90"/>
      <c r="G416" s="179"/>
      <c r="H416" s="179"/>
      <c r="I416" s="90"/>
      <c r="J416" s="90"/>
      <c r="K416" s="90"/>
      <c r="L416" s="90"/>
      <c r="M416" s="90"/>
      <c r="N416" s="90"/>
      <c r="O416" s="90"/>
      <c r="P416" s="90"/>
      <c r="Q416" s="90"/>
      <c r="R416" s="90"/>
      <c r="S416" s="90"/>
      <c r="T416" s="90"/>
      <c r="U416" s="90"/>
      <c r="V416" s="90"/>
      <c r="W416" s="90"/>
      <c r="X416" s="90"/>
      <c r="Y416" s="90"/>
      <c r="Z416" s="90"/>
      <c r="AA416" s="90"/>
      <c r="AB416" s="90"/>
      <c r="AC416" s="90"/>
      <c r="AD416" s="90"/>
      <c r="AE416" s="90"/>
      <c r="AF416" s="90"/>
      <c r="AG416" s="90"/>
      <c r="AH416" s="90"/>
      <c r="AI416" s="90"/>
      <c r="AJ416" s="90"/>
      <c r="AK416" s="90"/>
      <c r="AL416" s="90"/>
      <c r="AM416" s="90"/>
      <c r="AN416" s="90"/>
      <c r="AO416" s="90"/>
      <c r="AP416" s="90"/>
      <c r="AQ416" s="90"/>
      <c r="AR416" s="90"/>
      <c r="AS416" s="90"/>
      <c r="AT416" s="90"/>
      <c r="AU416" s="90"/>
      <c r="AV416" s="90"/>
      <c r="AW416" s="90"/>
      <c r="AX416" s="90"/>
      <c r="AY416" s="90"/>
      <c r="AZ416" s="90"/>
      <c r="BA416" s="90"/>
      <c r="BB416" s="90"/>
      <c r="BC416" s="90"/>
      <c r="BD416" s="90"/>
      <c r="BE416" s="90"/>
      <c r="BF416" s="90"/>
      <c r="BG416" s="90"/>
    </row>
    <row r="417" ht="12.75" hidden="1" customHeight="1" outlineLevel="1">
      <c r="A417" s="90"/>
      <c r="B417" s="90"/>
      <c r="C417" s="90"/>
      <c r="D417" s="90" t="s">
        <v>557</v>
      </c>
      <c r="E417" s="90"/>
      <c r="F417" s="90"/>
      <c r="G417" s="179"/>
      <c r="H417" s="179"/>
      <c r="I417" s="99">
        <f>I437</f>
        <v>250000</v>
      </c>
      <c r="J417" s="99">
        <v>0.0</v>
      </c>
      <c r="K417" s="99">
        <v>0.0</v>
      </c>
      <c r="L417" s="99">
        <v>0.0</v>
      </c>
      <c r="M417" s="99">
        <v>0.0</v>
      </c>
      <c r="N417" s="99">
        <v>0.0</v>
      </c>
      <c r="O417" s="99">
        <v>0.0</v>
      </c>
      <c r="P417" s="99">
        <v>0.0</v>
      </c>
      <c r="Q417" s="99">
        <v>0.0</v>
      </c>
      <c r="R417" s="99">
        <v>0.0</v>
      </c>
      <c r="S417" s="99">
        <v>0.0</v>
      </c>
      <c r="T417" s="99">
        <v>0.0</v>
      </c>
      <c r="U417" s="99">
        <v>0.0</v>
      </c>
      <c r="V417" s="99">
        <v>0.0</v>
      </c>
      <c r="W417" s="99">
        <v>0.0</v>
      </c>
      <c r="X417" s="99">
        <v>0.0</v>
      </c>
      <c r="Y417" s="99">
        <v>0.0</v>
      </c>
      <c r="Z417" s="99">
        <v>0.0</v>
      </c>
      <c r="AA417" s="99">
        <v>0.0</v>
      </c>
      <c r="AB417" s="99">
        <v>0.0</v>
      </c>
      <c r="AC417" s="99">
        <v>0.0</v>
      </c>
      <c r="AD417" s="99">
        <v>0.0</v>
      </c>
      <c r="AE417" s="99">
        <v>0.0</v>
      </c>
      <c r="AF417" s="99">
        <v>0.0</v>
      </c>
      <c r="AG417" s="99">
        <v>0.0</v>
      </c>
      <c r="AH417" s="99">
        <v>0.0</v>
      </c>
      <c r="AI417" s="99">
        <v>0.0</v>
      </c>
      <c r="AJ417" s="99">
        <v>0.0</v>
      </c>
      <c r="AK417" s="99">
        <v>0.0</v>
      </c>
      <c r="AL417" s="99">
        <v>0.0</v>
      </c>
      <c r="AM417" s="99">
        <v>0.0</v>
      </c>
      <c r="AN417" s="99">
        <v>0.0</v>
      </c>
      <c r="AO417" s="99">
        <v>0.0</v>
      </c>
      <c r="AP417" s="99">
        <v>0.0</v>
      </c>
      <c r="AQ417" s="99">
        <v>0.0</v>
      </c>
      <c r="AR417" s="99">
        <v>0.0</v>
      </c>
      <c r="AS417" s="99">
        <v>0.0</v>
      </c>
      <c r="AT417" s="99">
        <v>0.0</v>
      </c>
      <c r="AU417" s="99">
        <v>0.0</v>
      </c>
      <c r="AV417" s="99">
        <v>0.0</v>
      </c>
      <c r="AW417" s="90"/>
      <c r="AX417" s="90"/>
      <c r="AY417" s="90"/>
      <c r="AZ417" s="90"/>
      <c r="BA417" s="90"/>
      <c r="BB417" s="90"/>
      <c r="BC417" s="90"/>
      <c r="BD417" s="90"/>
      <c r="BE417" s="90"/>
      <c r="BF417" s="90"/>
      <c r="BG417" s="90"/>
    </row>
    <row r="418" ht="12.75" hidden="1" customHeight="1" outlineLevel="1">
      <c r="A418" s="90"/>
      <c r="B418" s="90"/>
      <c r="C418" s="90"/>
      <c r="D418" s="90" t="s">
        <v>148</v>
      </c>
      <c r="E418" s="90"/>
      <c r="F418" s="90"/>
      <c r="G418" s="179"/>
      <c r="H418" s="179"/>
      <c r="I418" s="99">
        <v>0.0</v>
      </c>
      <c r="J418" s="99">
        <v>325000.0</v>
      </c>
      <c r="K418" s="99">
        <f t="shared" ref="K418:AV418" si="301">K447</f>
        <v>0</v>
      </c>
      <c r="L418" s="99" t="str">
        <f t="shared" si="301"/>
        <v>#REF!</v>
      </c>
      <c r="M418" s="99" t="str">
        <f t="shared" si="301"/>
        <v>#REF!</v>
      </c>
      <c r="N418" s="99" t="str">
        <f t="shared" si="301"/>
        <v>#REF!</v>
      </c>
      <c r="O418" s="99" t="str">
        <f t="shared" si="301"/>
        <v>#REF!</v>
      </c>
      <c r="P418" s="99" t="str">
        <f t="shared" si="301"/>
        <v>#REF!</v>
      </c>
      <c r="Q418" s="99" t="str">
        <f t="shared" si="301"/>
        <v>#REF!</v>
      </c>
      <c r="R418" s="99" t="str">
        <f t="shared" si="301"/>
        <v>#REF!</v>
      </c>
      <c r="S418" s="99" t="str">
        <f t="shared" si="301"/>
        <v>#REF!</v>
      </c>
      <c r="T418" s="99" t="str">
        <f t="shared" si="301"/>
        <v>#REF!</v>
      </c>
      <c r="U418" s="99" t="str">
        <f t="shared" si="301"/>
        <v>#REF!</v>
      </c>
      <c r="V418" s="99" t="str">
        <f t="shared" si="301"/>
        <v>#REF!</v>
      </c>
      <c r="W418" s="99" t="str">
        <f t="shared" si="301"/>
        <v>#REF!</v>
      </c>
      <c r="X418" s="99" t="str">
        <f t="shared" si="301"/>
        <v>#REF!</v>
      </c>
      <c r="Y418" s="99" t="str">
        <f t="shared" si="301"/>
        <v>#REF!</v>
      </c>
      <c r="Z418" s="99" t="str">
        <f t="shared" si="301"/>
        <v>#REF!</v>
      </c>
      <c r="AA418" s="99" t="str">
        <f t="shared" si="301"/>
        <v>#REF!</v>
      </c>
      <c r="AB418" s="99" t="str">
        <f t="shared" si="301"/>
        <v>#REF!</v>
      </c>
      <c r="AC418" s="99" t="str">
        <f t="shared" si="301"/>
        <v>#REF!</v>
      </c>
      <c r="AD418" s="99" t="str">
        <f t="shared" si="301"/>
        <v>#REF!</v>
      </c>
      <c r="AE418" s="99" t="str">
        <f t="shared" si="301"/>
        <v>#REF!</v>
      </c>
      <c r="AF418" s="99" t="str">
        <f t="shared" si="301"/>
        <v>#REF!</v>
      </c>
      <c r="AG418" s="99" t="str">
        <f t="shared" si="301"/>
        <v>#REF!</v>
      </c>
      <c r="AH418" s="99" t="str">
        <f t="shared" si="301"/>
        <v>#REF!</v>
      </c>
      <c r="AI418" s="99" t="str">
        <f t="shared" si="301"/>
        <v>#REF!</v>
      </c>
      <c r="AJ418" s="99" t="str">
        <f t="shared" si="301"/>
        <v>#REF!</v>
      </c>
      <c r="AK418" s="99" t="str">
        <f t="shared" si="301"/>
        <v>#REF!</v>
      </c>
      <c r="AL418" s="99" t="str">
        <f t="shared" si="301"/>
        <v>#REF!</v>
      </c>
      <c r="AM418" s="99" t="str">
        <f t="shared" si="301"/>
        <v>#REF!</v>
      </c>
      <c r="AN418" s="99" t="str">
        <f t="shared" si="301"/>
        <v>#REF!</v>
      </c>
      <c r="AO418" s="99" t="str">
        <f t="shared" si="301"/>
        <v>#REF!</v>
      </c>
      <c r="AP418" s="99" t="str">
        <f t="shared" si="301"/>
        <v>#REF!</v>
      </c>
      <c r="AQ418" s="99" t="str">
        <f t="shared" si="301"/>
        <v>#REF!</v>
      </c>
      <c r="AR418" s="99" t="str">
        <f t="shared" si="301"/>
        <v>#REF!</v>
      </c>
      <c r="AS418" s="99" t="str">
        <f t="shared" si="301"/>
        <v>#REF!</v>
      </c>
      <c r="AT418" s="99" t="str">
        <f t="shared" si="301"/>
        <v>#REF!</v>
      </c>
      <c r="AU418" s="99" t="str">
        <f t="shared" si="301"/>
        <v>#REF!</v>
      </c>
      <c r="AV418" s="99" t="str">
        <f t="shared" si="301"/>
        <v>#REF!</v>
      </c>
      <c r="AW418" s="90"/>
      <c r="AX418" s="90"/>
      <c r="AY418" s="90"/>
      <c r="AZ418" s="90"/>
      <c r="BA418" s="90"/>
      <c r="BB418" s="90"/>
      <c r="BC418" s="90"/>
      <c r="BD418" s="90"/>
      <c r="BE418" s="90"/>
      <c r="BF418" s="90"/>
      <c r="BG418" s="90"/>
    </row>
    <row r="419" ht="12.75" hidden="1" customHeight="1" outlineLevel="1">
      <c r="A419" s="90"/>
      <c r="B419" s="90"/>
      <c r="C419" s="90"/>
      <c r="D419" s="90" t="s">
        <v>479</v>
      </c>
      <c r="E419" s="90"/>
      <c r="F419" s="90"/>
      <c r="G419" s="179"/>
      <c r="H419" s="179"/>
      <c r="I419" s="99">
        <f t="shared" ref="I419:AV419" si="302">I461</f>
        <v>0</v>
      </c>
      <c r="J419" s="99">
        <f t="shared" si="302"/>
        <v>0</v>
      </c>
      <c r="K419" s="99">
        <f t="shared" si="302"/>
        <v>100000</v>
      </c>
      <c r="L419" s="99">
        <f t="shared" si="302"/>
        <v>0</v>
      </c>
      <c r="M419" s="99">
        <f t="shared" si="302"/>
        <v>0</v>
      </c>
      <c r="N419" s="99">
        <f t="shared" si="302"/>
        <v>0</v>
      </c>
      <c r="O419" s="99">
        <f t="shared" si="302"/>
        <v>0</v>
      </c>
      <c r="P419" s="99">
        <f t="shared" si="302"/>
        <v>0</v>
      </c>
      <c r="Q419" s="99">
        <f t="shared" si="302"/>
        <v>0</v>
      </c>
      <c r="R419" s="99">
        <f t="shared" si="302"/>
        <v>0</v>
      </c>
      <c r="S419" s="99">
        <f t="shared" si="302"/>
        <v>0</v>
      </c>
      <c r="T419" s="99">
        <f t="shared" si="302"/>
        <v>0</v>
      </c>
      <c r="U419" s="99">
        <f t="shared" si="302"/>
        <v>0</v>
      </c>
      <c r="V419" s="99">
        <f t="shared" si="302"/>
        <v>0</v>
      </c>
      <c r="W419" s="99">
        <f t="shared" si="302"/>
        <v>0</v>
      </c>
      <c r="X419" s="99">
        <f t="shared" si="302"/>
        <v>0</v>
      </c>
      <c r="Y419" s="99">
        <f t="shared" si="302"/>
        <v>0</v>
      </c>
      <c r="Z419" s="99">
        <f t="shared" si="302"/>
        <v>0</v>
      </c>
      <c r="AA419" s="99">
        <f t="shared" si="302"/>
        <v>0</v>
      </c>
      <c r="AB419" s="99">
        <f t="shared" si="302"/>
        <v>0</v>
      </c>
      <c r="AC419" s="99">
        <f t="shared" si="302"/>
        <v>0</v>
      </c>
      <c r="AD419" s="99">
        <f t="shared" si="302"/>
        <v>0</v>
      </c>
      <c r="AE419" s="99">
        <f t="shared" si="302"/>
        <v>0</v>
      </c>
      <c r="AF419" s="99">
        <f t="shared" si="302"/>
        <v>0</v>
      </c>
      <c r="AG419" s="99">
        <f t="shared" si="302"/>
        <v>0</v>
      </c>
      <c r="AH419" s="99">
        <f t="shared" si="302"/>
        <v>0</v>
      </c>
      <c r="AI419" s="99">
        <f t="shared" si="302"/>
        <v>0</v>
      </c>
      <c r="AJ419" s="99">
        <f t="shared" si="302"/>
        <v>0</v>
      </c>
      <c r="AK419" s="99">
        <f t="shared" si="302"/>
        <v>0</v>
      </c>
      <c r="AL419" s="99">
        <f t="shared" si="302"/>
        <v>0</v>
      </c>
      <c r="AM419" s="99">
        <f t="shared" si="302"/>
        <v>0</v>
      </c>
      <c r="AN419" s="99">
        <f t="shared" si="302"/>
        <v>0</v>
      </c>
      <c r="AO419" s="99">
        <f t="shared" si="302"/>
        <v>0</v>
      </c>
      <c r="AP419" s="99">
        <f t="shared" si="302"/>
        <v>0</v>
      </c>
      <c r="AQ419" s="99">
        <f t="shared" si="302"/>
        <v>0</v>
      </c>
      <c r="AR419" s="99">
        <f t="shared" si="302"/>
        <v>0</v>
      </c>
      <c r="AS419" s="99">
        <f t="shared" si="302"/>
        <v>0</v>
      </c>
      <c r="AT419" s="99">
        <f t="shared" si="302"/>
        <v>0</v>
      </c>
      <c r="AU419" s="99">
        <f t="shared" si="302"/>
        <v>0</v>
      </c>
      <c r="AV419" s="99">
        <f t="shared" si="302"/>
        <v>0</v>
      </c>
      <c r="AW419" s="90"/>
      <c r="AX419" s="90"/>
      <c r="AY419" s="90"/>
      <c r="AZ419" s="90"/>
      <c r="BA419" s="90"/>
      <c r="BB419" s="90"/>
      <c r="BC419" s="90"/>
      <c r="BD419" s="90"/>
      <c r="BE419" s="90"/>
      <c r="BF419" s="90"/>
      <c r="BG419" s="90"/>
    </row>
    <row r="420" ht="12.75" hidden="1" customHeight="1" outlineLevel="1">
      <c r="A420" s="90"/>
      <c r="B420" s="90"/>
      <c r="C420" s="90"/>
      <c r="D420" s="90" t="s">
        <v>480</v>
      </c>
      <c r="E420" s="90"/>
      <c r="F420" s="90"/>
      <c r="G420" s="179"/>
      <c r="H420" s="179"/>
      <c r="I420" s="99">
        <v>0.0</v>
      </c>
      <c r="J420" s="99">
        <v>0.0</v>
      </c>
      <c r="K420" s="99">
        <v>0.0</v>
      </c>
      <c r="L420" s="99">
        <v>0.0</v>
      </c>
      <c r="M420" s="99">
        <v>0.0</v>
      </c>
      <c r="N420" s="99">
        <v>0.0</v>
      </c>
      <c r="O420" s="99">
        <v>0.0</v>
      </c>
      <c r="P420" s="99">
        <v>0.0</v>
      </c>
      <c r="Q420" s="99">
        <v>0.0</v>
      </c>
      <c r="R420" s="99">
        <v>0.0</v>
      </c>
      <c r="S420" s="99">
        <v>0.0</v>
      </c>
      <c r="T420" s="99">
        <v>0.0</v>
      </c>
      <c r="U420" s="99">
        <v>0.0</v>
      </c>
      <c r="V420" s="99">
        <v>0.0</v>
      </c>
      <c r="W420" s="99">
        <v>0.0</v>
      </c>
      <c r="X420" s="99">
        <v>0.0</v>
      </c>
      <c r="Y420" s="99">
        <v>0.0</v>
      </c>
      <c r="Z420" s="99">
        <v>0.0</v>
      </c>
      <c r="AA420" s="99">
        <v>0.0</v>
      </c>
      <c r="AB420" s="99">
        <v>0.0</v>
      </c>
      <c r="AC420" s="99">
        <v>0.0</v>
      </c>
      <c r="AD420" s="99">
        <v>0.0</v>
      </c>
      <c r="AE420" s="99">
        <v>0.0</v>
      </c>
      <c r="AF420" s="99">
        <v>0.0</v>
      </c>
      <c r="AG420" s="99">
        <v>0.0</v>
      </c>
      <c r="AH420" s="99">
        <v>0.0</v>
      </c>
      <c r="AI420" s="99">
        <v>0.0</v>
      </c>
      <c r="AJ420" s="99">
        <v>0.0</v>
      </c>
      <c r="AK420" s="99">
        <v>0.0</v>
      </c>
      <c r="AL420" s="99">
        <v>0.0</v>
      </c>
      <c r="AM420" s="99">
        <v>0.0</v>
      </c>
      <c r="AN420" s="99">
        <v>0.0</v>
      </c>
      <c r="AO420" s="99">
        <v>0.0</v>
      </c>
      <c r="AP420" s="99">
        <v>0.0</v>
      </c>
      <c r="AQ420" s="99">
        <v>0.0</v>
      </c>
      <c r="AR420" s="99">
        <v>0.0</v>
      </c>
      <c r="AS420" s="99">
        <v>0.0</v>
      </c>
      <c r="AT420" s="99">
        <v>0.0</v>
      </c>
      <c r="AU420" s="99">
        <v>0.0</v>
      </c>
      <c r="AV420" s="99">
        <v>0.0</v>
      </c>
      <c r="AW420" s="90"/>
      <c r="AX420" s="90"/>
      <c r="AY420" s="90"/>
      <c r="AZ420" s="90"/>
      <c r="BA420" s="90"/>
      <c r="BB420" s="90"/>
      <c r="BC420" s="90"/>
      <c r="BD420" s="90"/>
      <c r="BE420" s="90"/>
      <c r="BF420" s="90"/>
      <c r="BG420" s="90"/>
    </row>
    <row r="421" ht="12.75" hidden="1" customHeight="1" outlineLevel="1">
      <c r="A421" s="90"/>
      <c r="B421" s="90"/>
      <c r="C421" s="90" t="s">
        <v>481</v>
      </c>
      <c r="D421" s="90"/>
      <c r="E421" s="90"/>
      <c r="F421" s="90"/>
      <c r="G421" s="179"/>
      <c r="H421" s="179"/>
      <c r="I421" s="99">
        <v>0.0</v>
      </c>
      <c r="J421" s="99">
        <v>0.0</v>
      </c>
      <c r="K421" s="99">
        <v>0.0</v>
      </c>
      <c r="L421" s="99">
        <v>0.0</v>
      </c>
      <c r="M421" s="99">
        <v>0.0</v>
      </c>
      <c r="N421" s="99">
        <v>0.0</v>
      </c>
      <c r="O421" s="99">
        <v>0.0</v>
      </c>
      <c r="P421" s="99">
        <v>0.0</v>
      </c>
      <c r="Q421" s="99">
        <v>0.0</v>
      </c>
      <c r="R421" s="99">
        <v>0.0</v>
      </c>
      <c r="S421" s="99">
        <v>0.0</v>
      </c>
      <c r="T421" s="99">
        <v>0.0</v>
      </c>
      <c r="U421" s="99">
        <v>0.0</v>
      </c>
      <c r="V421" s="99">
        <v>0.0</v>
      </c>
      <c r="W421" s="99">
        <v>0.0</v>
      </c>
      <c r="X421" s="99">
        <v>0.0</v>
      </c>
      <c r="Y421" s="99">
        <v>0.0</v>
      </c>
      <c r="Z421" s="99">
        <v>0.0</v>
      </c>
      <c r="AA421" s="99">
        <v>0.0</v>
      </c>
      <c r="AB421" s="99">
        <v>0.0</v>
      </c>
      <c r="AC421" s="99">
        <v>0.0</v>
      </c>
      <c r="AD421" s="99">
        <v>0.0</v>
      </c>
      <c r="AE421" s="99">
        <v>0.0</v>
      </c>
      <c r="AF421" s="99">
        <v>0.0</v>
      </c>
      <c r="AG421" s="99">
        <v>0.0</v>
      </c>
      <c r="AH421" s="99">
        <v>0.0</v>
      </c>
      <c r="AI421" s="99">
        <v>0.0</v>
      </c>
      <c r="AJ421" s="99">
        <v>0.0</v>
      </c>
      <c r="AK421" s="99">
        <v>0.0</v>
      </c>
      <c r="AL421" s="99">
        <v>0.0</v>
      </c>
      <c r="AM421" s="99">
        <v>0.0</v>
      </c>
      <c r="AN421" s="99">
        <v>0.0</v>
      </c>
      <c r="AO421" s="99">
        <v>0.0</v>
      </c>
      <c r="AP421" s="99">
        <v>0.0</v>
      </c>
      <c r="AQ421" s="99">
        <v>0.0</v>
      </c>
      <c r="AR421" s="99">
        <v>0.0</v>
      </c>
      <c r="AS421" s="99">
        <v>0.0</v>
      </c>
      <c r="AT421" s="99">
        <v>0.0</v>
      </c>
      <c r="AU421" s="99">
        <v>0.0</v>
      </c>
      <c r="AV421" s="99">
        <v>0.0</v>
      </c>
      <c r="AW421" s="90"/>
      <c r="AX421" s="90"/>
      <c r="AY421" s="90"/>
      <c r="AZ421" s="90"/>
      <c r="BA421" s="90"/>
      <c r="BB421" s="90"/>
      <c r="BC421" s="90"/>
      <c r="BD421" s="90"/>
      <c r="BE421" s="90"/>
      <c r="BF421" s="90"/>
      <c r="BG421" s="90"/>
    </row>
    <row r="422" ht="12.75" hidden="1" customHeight="1" outlineLevel="1">
      <c r="A422" s="90"/>
      <c r="B422" s="90"/>
      <c r="C422" s="90" t="s">
        <v>847</v>
      </c>
      <c r="D422" s="90"/>
      <c r="E422" s="90"/>
      <c r="F422" s="90"/>
      <c r="G422" s="179"/>
      <c r="H422" s="179"/>
      <c r="I422" s="99"/>
      <c r="J422" s="99"/>
      <c r="K422" s="99"/>
      <c r="L422" s="99"/>
      <c r="M422" s="99"/>
      <c r="N422" s="99"/>
      <c r="O422" s="99"/>
      <c r="P422" s="99"/>
      <c r="Q422" s="99"/>
      <c r="R422" s="99"/>
      <c r="S422" s="99"/>
      <c r="T422" s="99"/>
      <c r="U422" s="99"/>
      <c r="V422" s="99"/>
      <c r="W422" s="99"/>
      <c r="X422" s="99"/>
      <c r="Y422" s="99"/>
      <c r="Z422" s="99"/>
      <c r="AA422" s="99"/>
      <c r="AB422" s="99"/>
      <c r="AC422" s="99"/>
      <c r="AD422" s="99"/>
      <c r="AE422" s="99"/>
      <c r="AF422" s="99"/>
      <c r="AG422" s="99"/>
      <c r="AH422" s="99"/>
      <c r="AI422" s="99"/>
      <c r="AJ422" s="99"/>
      <c r="AK422" s="99"/>
      <c r="AL422" s="99"/>
      <c r="AM422" s="99"/>
      <c r="AN422" s="99"/>
      <c r="AO422" s="99"/>
      <c r="AP422" s="99"/>
      <c r="AQ422" s="99"/>
      <c r="AR422" s="99"/>
      <c r="AS422" s="99"/>
      <c r="AT422" s="99"/>
      <c r="AU422" s="99"/>
      <c r="AV422" s="99"/>
      <c r="AW422" s="90"/>
      <c r="AX422" s="90"/>
      <c r="AY422" s="90"/>
      <c r="AZ422" s="90"/>
      <c r="BA422" s="90"/>
      <c r="BB422" s="90"/>
      <c r="BC422" s="90"/>
      <c r="BD422" s="90"/>
      <c r="BE422" s="90"/>
      <c r="BF422" s="90"/>
      <c r="BG422" s="90"/>
    </row>
    <row r="423" ht="12.75" hidden="1" customHeight="1" outlineLevel="1">
      <c r="A423" s="90"/>
      <c r="B423" s="90"/>
      <c r="C423" s="90"/>
      <c r="D423" s="90" t="s">
        <v>557</v>
      </c>
      <c r="E423" s="90"/>
      <c r="F423" s="90"/>
      <c r="G423" s="179"/>
      <c r="H423" s="179"/>
      <c r="I423" s="99">
        <f>I441+I442</f>
        <v>0</v>
      </c>
      <c r="J423" s="99">
        <v>-50000.0</v>
      </c>
      <c r="K423" s="99">
        <f t="shared" ref="K423:N423" si="303">K439</f>
        <v>-40813.67</v>
      </c>
      <c r="L423" s="99">
        <f t="shared" si="303"/>
        <v>-59186.33</v>
      </c>
      <c r="M423" s="99">
        <f t="shared" si="303"/>
        <v>-50000</v>
      </c>
      <c r="N423" s="99">
        <f t="shared" si="303"/>
        <v>-50000</v>
      </c>
      <c r="O423" s="99">
        <f t="shared" ref="O423:AV423" si="304">O441+O442</f>
        <v>0</v>
      </c>
      <c r="P423" s="99">
        <f t="shared" si="304"/>
        <v>0</v>
      </c>
      <c r="Q423" s="99">
        <f t="shared" si="304"/>
        <v>0</v>
      </c>
      <c r="R423" s="99">
        <f t="shared" si="304"/>
        <v>0</v>
      </c>
      <c r="S423" s="99">
        <f t="shared" si="304"/>
        <v>0</v>
      </c>
      <c r="T423" s="99">
        <f t="shared" si="304"/>
        <v>0</v>
      </c>
      <c r="U423" s="99">
        <f t="shared" si="304"/>
        <v>0</v>
      </c>
      <c r="V423" s="99">
        <f t="shared" si="304"/>
        <v>0</v>
      </c>
      <c r="W423" s="99">
        <f t="shared" si="304"/>
        <v>0</v>
      </c>
      <c r="X423" s="99">
        <f t="shared" si="304"/>
        <v>0</v>
      </c>
      <c r="Y423" s="99">
        <f t="shared" si="304"/>
        <v>0</v>
      </c>
      <c r="Z423" s="99">
        <f t="shared" si="304"/>
        <v>0</v>
      </c>
      <c r="AA423" s="99">
        <f t="shared" si="304"/>
        <v>0</v>
      </c>
      <c r="AB423" s="99">
        <f t="shared" si="304"/>
        <v>0</v>
      </c>
      <c r="AC423" s="99">
        <f t="shared" si="304"/>
        <v>0</v>
      </c>
      <c r="AD423" s="99">
        <f t="shared" si="304"/>
        <v>0</v>
      </c>
      <c r="AE423" s="99">
        <f t="shared" si="304"/>
        <v>0</v>
      </c>
      <c r="AF423" s="99">
        <f t="shared" si="304"/>
        <v>0</v>
      </c>
      <c r="AG423" s="99">
        <f t="shared" si="304"/>
        <v>0</v>
      </c>
      <c r="AH423" s="99">
        <f t="shared" si="304"/>
        <v>0</v>
      </c>
      <c r="AI423" s="99">
        <f t="shared" si="304"/>
        <v>0</v>
      </c>
      <c r="AJ423" s="99">
        <f t="shared" si="304"/>
        <v>0</v>
      </c>
      <c r="AK423" s="99">
        <f t="shared" si="304"/>
        <v>0</v>
      </c>
      <c r="AL423" s="99">
        <f t="shared" si="304"/>
        <v>0</v>
      </c>
      <c r="AM423" s="99">
        <f t="shared" si="304"/>
        <v>0</v>
      </c>
      <c r="AN423" s="99">
        <f t="shared" si="304"/>
        <v>0</v>
      </c>
      <c r="AO423" s="99">
        <f t="shared" si="304"/>
        <v>0</v>
      </c>
      <c r="AP423" s="99">
        <f t="shared" si="304"/>
        <v>0</v>
      </c>
      <c r="AQ423" s="99">
        <f t="shared" si="304"/>
        <v>0</v>
      </c>
      <c r="AR423" s="99">
        <f t="shared" si="304"/>
        <v>0</v>
      </c>
      <c r="AS423" s="99">
        <f t="shared" si="304"/>
        <v>0</v>
      </c>
      <c r="AT423" s="99">
        <f t="shared" si="304"/>
        <v>0</v>
      </c>
      <c r="AU423" s="99">
        <f t="shared" si="304"/>
        <v>0</v>
      </c>
      <c r="AV423" s="99">
        <f t="shared" si="304"/>
        <v>0</v>
      </c>
      <c r="AW423" s="90"/>
      <c r="AX423" s="90"/>
      <c r="AY423" s="90"/>
      <c r="AZ423" s="90"/>
      <c r="BA423" s="90"/>
      <c r="BB423" s="90"/>
      <c r="BC423" s="90"/>
      <c r="BD423" s="90"/>
      <c r="BE423" s="90"/>
      <c r="BF423" s="90"/>
      <c r="BG423" s="90"/>
    </row>
    <row r="424" ht="12.75" hidden="1" customHeight="1" outlineLevel="1">
      <c r="A424" s="90"/>
      <c r="B424" s="90"/>
      <c r="C424" s="90"/>
      <c r="D424" s="90" t="s">
        <v>148</v>
      </c>
      <c r="E424" s="90"/>
      <c r="F424" s="90"/>
      <c r="G424" s="179"/>
      <c r="H424" s="179"/>
      <c r="I424" s="99">
        <v>0.0</v>
      </c>
      <c r="J424" s="99">
        <v>0.0</v>
      </c>
      <c r="K424" s="99">
        <f t="shared" ref="K424:AV424" si="305">K449</f>
        <v>-325000</v>
      </c>
      <c r="L424" s="99">
        <f t="shared" si="305"/>
        <v>0</v>
      </c>
      <c r="M424" s="99">
        <f t="shared" si="305"/>
        <v>0</v>
      </c>
      <c r="N424" s="99">
        <f t="shared" si="305"/>
        <v>0</v>
      </c>
      <c r="O424" s="99" t="str">
        <f t="shared" si="305"/>
        <v>#REF!</v>
      </c>
      <c r="P424" s="99" t="str">
        <f t="shared" si="305"/>
        <v>#REF!</v>
      </c>
      <c r="Q424" s="99" t="str">
        <f t="shared" si="305"/>
        <v>#REF!</v>
      </c>
      <c r="R424" s="99" t="str">
        <f t="shared" si="305"/>
        <v>#REF!</v>
      </c>
      <c r="S424" s="99" t="str">
        <f t="shared" si="305"/>
        <v>#REF!</v>
      </c>
      <c r="T424" s="99" t="str">
        <f t="shared" si="305"/>
        <v>#REF!</v>
      </c>
      <c r="U424" s="99" t="str">
        <f t="shared" si="305"/>
        <v>#REF!</v>
      </c>
      <c r="V424" s="99" t="str">
        <f t="shared" si="305"/>
        <v>#REF!</v>
      </c>
      <c r="W424" s="99" t="str">
        <f t="shared" si="305"/>
        <v>#REF!</v>
      </c>
      <c r="X424" s="99" t="str">
        <f t="shared" si="305"/>
        <v>#REF!</v>
      </c>
      <c r="Y424" s="99" t="str">
        <f t="shared" si="305"/>
        <v>#REF!</v>
      </c>
      <c r="Z424" s="99" t="str">
        <f t="shared" si="305"/>
        <v>#REF!</v>
      </c>
      <c r="AA424" s="99" t="str">
        <f t="shared" si="305"/>
        <v>#REF!</v>
      </c>
      <c r="AB424" s="99" t="str">
        <f t="shared" si="305"/>
        <v>#REF!</v>
      </c>
      <c r="AC424" s="99" t="str">
        <f t="shared" si="305"/>
        <v>#REF!</v>
      </c>
      <c r="AD424" s="99" t="str">
        <f t="shared" si="305"/>
        <v>#REF!</v>
      </c>
      <c r="AE424" s="99" t="str">
        <f t="shared" si="305"/>
        <v>#REF!</v>
      </c>
      <c r="AF424" s="99" t="str">
        <f t="shared" si="305"/>
        <v>#REF!</v>
      </c>
      <c r="AG424" s="99" t="str">
        <f t="shared" si="305"/>
        <v>#REF!</v>
      </c>
      <c r="AH424" s="99" t="str">
        <f t="shared" si="305"/>
        <v>#REF!</v>
      </c>
      <c r="AI424" s="99" t="str">
        <f t="shared" si="305"/>
        <v>#REF!</v>
      </c>
      <c r="AJ424" s="99" t="str">
        <f t="shared" si="305"/>
        <v>#REF!</v>
      </c>
      <c r="AK424" s="99" t="str">
        <f t="shared" si="305"/>
        <v>#REF!</v>
      </c>
      <c r="AL424" s="99" t="str">
        <f t="shared" si="305"/>
        <v>#REF!</v>
      </c>
      <c r="AM424" s="99" t="str">
        <f t="shared" si="305"/>
        <v>#REF!</v>
      </c>
      <c r="AN424" s="99" t="str">
        <f t="shared" si="305"/>
        <v>#REF!</v>
      </c>
      <c r="AO424" s="99" t="str">
        <f t="shared" si="305"/>
        <v>#REF!</v>
      </c>
      <c r="AP424" s="99" t="str">
        <f t="shared" si="305"/>
        <v>#REF!</v>
      </c>
      <c r="AQ424" s="99" t="str">
        <f t="shared" si="305"/>
        <v>#REF!</v>
      </c>
      <c r="AR424" s="99" t="str">
        <f t="shared" si="305"/>
        <v>#REF!</v>
      </c>
      <c r="AS424" s="99" t="str">
        <f t="shared" si="305"/>
        <v>#REF!</v>
      </c>
      <c r="AT424" s="99" t="str">
        <f t="shared" si="305"/>
        <v>#REF!</v>
      </c>
      <c r="AU424" s="99" t="str">
        <f t="shared" si="305"/>
        <v>#REF!</v>
      </c>
      <c r="AV424" s="99" t="str">
        <f t="shared" si="305"/>
        <v>#REF!</v>
      </c>
      <c r="AW424" s="90"/>
      <c r="AX424" s="90"/>
      <c r="AY424" s="90"/>
      <c r="AZ424" s="90"/>
      <c r="BA424" s="90"/>
      <c r="BB424" s="90"/>
      <c r="BC424" s="90"/>
      <c r="BD424" s="90"/>
      <c r="BE424" s="90"/>
      <c r="BF424" s="90"/>
      <c r="BG424" s="90"/>
    </row>
    <row r="425" ht="12.75" hidden="1" customHeight="1" outlineLevel="1">
      <c r="A425" s="90"/>
      <c r="B425" s="90"/>
      <c r="C425" s="90"/>
      <c r="D425" s="90" t="s">
        <v>479</v>
      </c>
      <c r="E425" s="90"/>
      <c r="F425" s="90"/>
      <c r="G425" s="179"/>
      <c r="H425" s="179"/>
      <c r="I425" s="99">
        <v>0.0</v>
      </c>
      <c r="J425" s="99">
        <v>0.0</v>
      </c>
      <c r="K425" s="99" t="str">
        <f t="shared" ref="K425:AV425" si="306">K466</f>
        <v/>
      </c>
      <c r="L425" s="99">
        <f t="shared" si="306"/>
        <v>-100000</v>
      </c>
      <c r="M425" s="99">
        <f t="shared" si="306"/>
        <v>0</v>
      </c>
      <c r="N425" s="99" t="str">
        <f t="shared" si="306"/>
        <v/>
      </c>
      <c r="O425" s="99" t="str">
        <f t="shared" si="306"/>
        <v/>
      </c>
      <c r="P425" s="99" t="str">
        <f t="shared" si="306"/>
        <v/>
      </c>
      <c r="Q425" s="99" t="str">
        <f t="shared" si="306"/>
        <v/>
      </c>
      <c r="R425" s="99" t="str">
        <f t="shared" si="306"/>
        <v/>
      </c>
      <c r="S425" s="99" t="str">
        <f t="shared" si="306"/>
        <v/>
      </c>
      <c r="T425" s="99" t="str">
        <f t="shared" si="306"/>
        <v/>
      </c>
      <c r="U425" s="99" t="str">
        <f t="shared" si="306"/>
        <v/>
      </c>
      <c r="V425" s="99" t="str">
        <f t="shared" si="306"/>
        <v/>
      </c>
      <c r="W425" s="99" t="str">
        <f t="shared" si="306"/>
        <v/>
      </c>
      <c r="X425" s="99" t="str">
        <f t="shared" si="306"/>
        <v/>
      </c>
      <c r="Y425" s="99" t="str">
        <f t="shared" si="306"/>
        <v/>
      </c>
      <c r="Z425" s="99" t="str">
        <f t="shared" si="306"/>
        <v/>
      </c>
      <c r="AA425" s="99" t="str">
        <f t="shared" si="306"/>
        <v/>
      </c>
      <c r="AB425" s="99" t="str">
        <f t="shared" si="306"/>
        <v/>
      </c>
      <c r="AC425" s="99" t="str">
        <f t="shared" si="306"/>
        <v/>
      </c>
      <c r="AD425" s="99" t="str">
        <f t="shared" si="306"/>
        <v/>
      </c>
      <c r="AE425" s="99" t="str">
        <f t="shared" si="306"/>
        <v/>
      </c>
      <c r="AF425" s="99" t="str">
        <f t="shared" si="306"/>
        <v/>
      </c>
      <c r="AG425" s="99" t="str">
        <f t="shared" si="306"/>
        <v/>
      </c>
      <c r="AH425" s="99" t="str">
        <f t="shared" si="306"/>
        <v/>
      </c>
      <c r="AI425" s="99" t="str">
        <f t="shared" si="306"/>
        <v/>
      </c>
      <c r="AJ425" s="99" t="str">
        <f t="shared" si="306"/>
        <v/>
      </c>
      <c r="AK425" s="99" t="str">
        <f t="shared" si="306"/>
        <v/>
      </c>
      <c r="AL425" s="99" t="str">
        <f t="shared" si="306"/>
        <v/>
      </c>
      <c r="AM425" s="99" t="str">
        <f t="shared" si="306"/>
        <v/>
      </c>
      <c r="AN425" s="99" t="str">
        <f t="shared" si="306"/>
        <v/>
      </c>
      <c r="AO425" s="99" t="str">
        <f t="shared" si="306"/>
        <v/>
      </c>
      <c r="AP425" s="99" t="str">
        <f t="shared" si="306"/>
        <v/>
      </c>
      <c r="AQ425" s="99" t="str">
        <f t="shared" si="306"/>
        <v/>
      </c>
      <c r="AR425" s="99" t="str">
        <f t="shared" si="306"/>
        <v/>
      </c>
      <c r="AS425" s="99" t="str">
        <f t="shared" si="306"/>
        <v/>
      </c>
      <c r="AT425" s="99" t="str">
        <f t="shared" si="306"/>
        <v/>
      </c>
      <c r="AU425" s="99" t="str">
        <f t="shared" si="306"/>
        <v/>
      </c>
      <c r="AV425" s="99" t="str">
        <f t="shared" si="306"/>
        <v/>
      </c>
      <c r="AW425" s="90"/>
      <c r="AX425" s="90"/>
      <c r="AY425" s="90"/>
      <c r="AZ425" s="90"/>
      <c r="BA425" s="90"/>
      <c r="BB425" s="90"/>
      <c r="BC425" s="90"/>
      <c r="BD425" s="90"/>
      <c r="BE425" s="90"/>
      <c r="BF425" s="90"/>
      <c r="BG425" s="90"/>
    </row>
    <row r="426" ht="12.75" hidden="1" customHeight="1" outlineLevel="1">
      <c r="A426" s="90"/>
      <c r="B426" s="90"/>
      <c r="C426" s="90"/>
      <c r="D426" s="90" t="s">
        <v>480</v>
      </c>
      <c r="E426" s="90"/>
      <c r="F426" s="90"/>
      <c r="G426" s="179"/>
      <c r="H426" s="179"/>
      <c r="I426" s="99">
        <v>0.0</v>
      </c>
      <c r="J426" s="99">
        <v>0.0</v>
      </c>
      <c r="K426" s="99">
        <v>0.0</v>
      </c>
      <c r="L426" s="99">
        <v>0.0</v>
      </c>
      <c r="M426" s="99">
        <v>0.0</v>
      </c>
      <c r="N426" s="99">
        <v>0.0</v>
      </c>
      <c r="O426" s="99">
        <v>0.0</v>
      </c>
      <c r="P426" s="99">
        <v>0.0</v>
      </c>
      <c r="Q426" s="99">
        <v>0.0</v>
      </c>
      <c r="R426" s="99">
        <v>0.0</v>
      </c>
      <c r="S426" s="99">
        <v>0.0</v>
      </c>
      <c r="T426" s="99">
        <v>0.0</v>
      </c>
      <c r="U426" s="99">
        <v>0.0</v>
      </c>
      <c r="V426" s="99">
        <v>0.0</v>
      </c>
      <c r="W426" s="99">
        <v>0.0</v>
      </c>
      <c r="X426" s="99">
        <v>0.0</v>
      </c>
      <c r="Y426" s="99">
        <v>0.0</v>
      </c>
      <c r="Z426" s="99">
        <v>0.0</v>
      </c>
      <c r="AA426" s="99">
        <v>0.0</v>
      </c>
      <c r="AB426" s="99">
        <v>0.0</v>
      </c>
      <c r="AC426" s="99">
        <v>0.0</v>
      </c>
      <c r="AD426" s="99">
        <v>0.0</v>
      </c>
      <c r="AE426" s="99">
        <v>0.0</v>
      </c>
      <c r="AF426" s="99">
        <v>0.0</v>
      </c>
      <c r="AG426" s="99">
        <v>0.0</v>
      </c>
      <c r="AH426" s="99">
        <v>0.0</v>
      </c>
      <c r="AI426" s="99">
        <v>0.0</v>
      </c>
      <c r="AJ426" s="99">
        <v>0.0</v>
      </c>
      <c r="AK426" s="99">
        <v>0.0</v>
      </c>
      <c r="AL426" s="99">
        <v>0.0</v>
      </c>
      <c r="AM426" s="99">
        <v>0.0</v>
      </c>
      <c r="AN426" s="99">
        <v>0.0</v>
      </c>
      <c r="AO426" s="99">
        <v>0.0</v>
      </c>
      <c r="AP426" s="99">
        <v>0.0</v>
      </c>
      <c r="AQ426" s="99">
        <v>0.0</v>
      </c>
      <c r="AR426" s="99">
        <v>0.0</v>
      </c>
      <c r="AS426" s="99">
        <v>0.0</v>
      </c>
      <c r="AT426" s="99">
        <v>0.0</v>
      </c>
      <c r="AU426" s="99">
        <v>0.0</v>
      </c>
      <c r="AV426" s="99">
        <v>0.0</v>
      </c>
      <c r="AW426" s="90"/>
      <c r="AX426" s="90"/>
      <c r="AY426" s="90"/>
      <c r="AZ426" s="90"/>
      <c r="BA426" s="90"/>
      <c r="BB426" s="90"/>
      <c r="BC426" s="90"/>
      <c r="BD426" s="90"/>
      <c r="BE426" s="90"/>
      <c r="BF426" s="90"/>
      <c r="BG426" s="90"/>
    </row>
    <row r="427" ht="12.75" hidden="1" customHeight="1" outlineLevel="1">
      <c r="A427" s="90"/>
      <c r="B427" s="148" t="s">
        <v>482</v>
      </c>
      <c r="C427" s="148"/>
      <c r="D427" s="148"/>
      <c r="E427" s="148"/>
      <c r="F427" s="148"/>
      <c r="G427" s="148"/>
      <c r="H427" s="148"/>
      <c r="I427" s="150">
        <f t="shared" ref="I427:AV427" si="307">SUM(I417:I426)</f>
        <v>250000</v>
      </c>
      <c r="J427" s="150">
        <f t="shared" si="307"/>
        <v>275000</v>
      </c>
      <c r="K427" s="150">
        <f t="shared" si="307"/>
        <v>-265813.67</v>
      </c>
      <c r="L427" s="150" t="str">
        <f t="shared" si="307"/>
        <v>#REF!</v>
      </c>
      <c r="M427" s="150" t="str">
        <f t="shared" si="307"/>
        <v>#REF!</v>
      </c>
      <c r="N427" s="150" t="str">
        <f t="shared" si="307"/>
        <v>#REF!</v>
      </c>
      <c r="O427" s="150" t="str">
        <f t="shared" si="307"/>
        <v>#REF!</v>
      </c>
      <c r="P427" s="150" t="str">
        <f t="shared" si="307"/>
        <v>#REF!</v>
      </c>
      <c r="Q427" s="150" t="str">
        <f t="shared" si="307"/>
        <v>#REF!</v>
      </c>
      <c r="R427" s="150" t="str">
        <f t="shared" si="307"/>
        <v>#REF!</v>
      </c>
      <c r="S427" s="150" t="str">
        <f t="shared" si="307"/>
        <v>#REF!</v>
      </c>
      <c r="T427" s="150" t="str">
        <f t="shared" si="307"/>
        <v>#REF!</v>
      </c>
      <c r="U427" s="150" t="str">
        <f t="shared" si="307"/>
        <v>#REF!</v>
      </c>
      <c r="V427" s="150" t="str">
        <f t="shared" si="307"/>
        <v>#REF!</v>
      </c>
      <c r="W427" s="150" t="str">
        <f t="shared" si="307"/>
        <v>#REF!</v>
      </c>
      <c r="X427" s="150" t="str">
        <f t="shared" si="307"/>
        <v>#REF!</v>
      </c>
      <c r="Y427" s="150" t="str">
        <f t="shared" si="307"/>
        <v>#REF!</v>
      </c>
      <c r="Z427" s="150" t="str">
        <f t="shared" si="307"/>
        <v>#REF!</v>
      </c>
      <c r="AA427" s="150" t="str">
        <f t="shared" si="307"/>
        <v>#REF!</v>
      </c>
      <c r="AB427" s="150" t="str">
        <f t="shared" si="307"/>
        <v>#REF!</v>
      </c>
      <c r="AC427" s="150" t="str">
        <f t="shared" si="307"/>
        <v>#REF!</v>
      </c>
      <c r="AD427" s="150" t="str">
        <f t="shared" si="307"/>
        <v>#REF!</v>
      </c>
      <c r="AE427" s="150" t="str">
        <f t="shared" si="307"/>
        <v>#REF!</v>
      </c>
      <c r="AF427" s="150" t="str">
        <f t="shared" si="307"/>
        <v>#REF!</v>
      </c>
      <c r="AG427" s="150" t="str">
        <f t="shared" si="307"/>
        <v>#REF!</v>
      </c>
      <c r="AH427" s="150" t="str">
        <f t="shared" si="307"/>
        <v>#REF!</v>
      </c>
      <c r="AI427" s="150" t="str">
        <f t="shared" si="307"/>
        <v>#REF!</v>
      </c>
      <c r="AJ427" s="150" t="str">
        <f t="shared" si="307"/>
        <v>#REF!</v>
      </c>
      <c r="AK427" s="150" t="str">
        <f t="shared" si="307"/>
        <v>#REF!</v>
      </c>
      <c r="AL427" s="150" t="str">
        <f t="shared" si="307"/>
        <v>#REF!</v>
      </c>
      <c r="AM427" s="150" t="str">
        <f t="shared" si="307"/>
        <v>#REF!</v>
      </c>
      <c r="AN427" s="150" t="str">
        <f t="shared" si="307"/>
        <v>#REF!</v>
      </c>
      <c r="AO427" s="150" t="str">
        <f t="shared" si="307"/>
        <v>#REF!</v>
      </c>
      <c r="AP427" s="150" t="str">
        <f t="shared" si="307"/>
        <v>#REF!</v>
      </c>
      <c r="AQ427" s="150" t="str">
        <f t="shared" si="307"/>
        <v>#REF!</v>
      </c>
      <c r="AR427" s="150" t="str">
        <f t="shared" si="307"/>
        <v>#REF!</v>
      </c>
      <c r="AS427" s="150" t="str">
        <f t="shared" si="307"/>
        <v>#REF!</v>
      </c>
      <c r="AT427" s="150" t="str">
        <f t="shared" si="307"/>
        <v>#REF!</v>
      </c>
      <c r="AU427" s="150" t="str">
        <f t="shared" si="307"/>
        <v>#REF!</v>
      </c>
      <c r="AV427" s="150" t="str">
        <f t="shared" si="307"/>
        <v>#REF!</v>
      </c>
      <c r="AW427" s="90"/>
      <c r="AX427" s="90"/>
      <c r="AY427" s="90"/>
      <c r="AZ427" s="90"/>
      <c r="BA427" s="90"/>
      <c r="BB427" s="90"/>
      <c r="BC427" s="90"/>
      <c r="BD427" s="90"/>
      <c r="BE427" s="90"/>
      <c r="BF427" s="90"/>
      <c r="BG427" s="90"/>
    </row>
    <row r="428" ht="12.75" hidden="1" customHeight="1" outlineLevel="1">
      <c r="A428" s="553" t="s">
        <v>483</v>
      </c>
      <c r="B428" s="134"/>
      <c r="C428" s="134"/>
      <c r="D428" s="134"/>
      <c r="E428" s="134"/>
      <c r="F428" s="134"/>
      <c r="G428" s="300"/>
      <c r="H428" s="300"/>
      <c r="I428" s="251" t="str">
        <f t="shared" ref="I428:AV428" si="308">I409+I413+I427</f>
        <v>#REF!</v>
      </c>
      <c r="J428" s="251">
        <f t="shared" si="308"/>
        <v>-48214.53</v>
      </c>
      <c r="K428" s="251" t="str">
        <f t="shared" si="308"/>
        <v>#REF!</v>
      </c>
      <c r="L428" s="251" t="str">
        <f t="shared" si="308"/>
        <v>#REF!</v>
      </c>
      <c r="M428" s="251" t="str">
        <f t="shared" si="308"/>
        <v>#REF!</v>
      </c>
      <c r="N428" s="251" t="str">
        <f t="shared" si="308"/>
        <v>#REF!</v>
      </c>
      <c r="O428" s="251" t="str">
        <f t="shared" si="308"/>
        <v>#REF!</v>
      </c>
      <c r="P428" s="251" t="str">
        <f t="shared" si="308"/>
        <v>#REF!</v>
      </c>
      <c r="Q428" s="251" t="str">
        <f t="shared" si="308"/>
        <v>#REF!</v>
      </c>
      <c r="R428" s="251" t="str">
        <f t="shared" si="308"/>
        <v>#REF!</v>
      </c>
      <c r="S428" s="251" t="str">
        <f t="shared" si="308"/>
        <v>#REF!</v>
      </c>
      <c r="T428" s="251" t="str">
        <f t="shared" si="308"/>
        <v>#REF!</v>
      </c>
      <c r="U428" s="251" t="str">
        <f t="shared" si="308"/>
        <v>#REF!</v>
      </c>
      <c r="V428" s="251" t="str">
        <f t="shared" si="308"/>
        <v>#REF!</v>
      </c>
      <c r="W428" s="251" t="str">
        <f t="shared" si="308"/>
        <v>#REF!</v>
      </c>
      <c r="X428" s="251" t="str">
        <f t="shared" si="308"/>
        <v>#REF!</v>
      </c>
      <c r="Y428" s="251" t="str">
        <f t="shared" si="308"/>
        <v>#REF!</v>
      </c>
      <c r="Z428" s="251" t="str">
        <f t="shared" si="308"/>
        <v>#REF!</v>
      </c>
      <c r="AA428" s="251" t="str">
        <f t="shared" si="308"/>
        <v>#REF!</v>
      </c>
      <c r="AB428" s="251" t="str">
        <f t="shared" si="308"/>
        <v>#REF!</v>
      </c>
      <c r="AC428" s="251" t="str">
        <f t="shared" si="308"/>
        <v>#REF!</v>
      </c>
      <c r="AD428" s="251" t="str">
        <f t="shared" si="308"/>
        <v>#REF!</v>
      </c>
      <c r="AE428" s="251" t="str">
        <f t="shared" si="308"/>
        <v>#REF!</v>
      </c>
      <c r="AF428" s="251" t="str">
        <f t="shared" si="308"/>
        <v>#REF!</v>
      </c>
      <c r="AG428" s="251" t="str">
        <f t="shared" si="308"/>
        <v>#REF!</v>
      </c>
      <c r="AH428" s="251" t="str">
        <f t="shared" si="308"/>
        <v>#REF!</v>
      </c>
      <c r="AI428" s="251" t="str">
        <f t="shared" si="308"/>
        <v>#REF!</v>
      </c>
      <c r="AJ428" s="251" t="str">
        <f t="shared" si="308"/>
        <v>#REF!</v>
      </c>
      <c r="AK428" s="251" t="str">
        <f t="shared" si="308"/>
        <v>#REF!</v>
      </c>
      <c r="AL428" s="251" t="str">
        <f t="shared" si="308"/>
        <v>#REF!</v>
      </c>
      <c r="AM428" s="251" t="str">
        <f t="shared" si="308"/>
        <v>#REF!</v>
      </c>
      <c r="AN428" s="251" t="str">
        <f t="shared" si="308"/>
        <v>#REF!</v>
      </c>
      <c r="AO428" s="251" t="str">
        <f t="shared" si="308"/>
        <v>#REF!</v>
      </c>
      <c r="AP428" s="251" t="str">
        <f t="shared" si="308"/>
        <v>#REF!</v>
      </c>
      <c r="AQ428" s="251" t="str">
        <f t="shared" si="308"/>
        <v>#REF!</v>
      </c>
      <c r="AR428" s="251" t="str">
        <f t="shared" si="308"/>
        <v>#REF!</v>
      </c>
      <c r="AS428" s="251" t="str">
        <f t="shared" si="308"/>
        <v>#REF!</v>
      </c>
      <c r="AT428" s="251" t="str">
        <f t="shared" si="308"/>
        <v>#REF!</v>
      </c>
      <c r="AU428" s="251" t="str">
        <f t="shared" si="308"/>
        <v>#REF!</v>
      </c>
      <c r="AV428" s="251" t="str">
        <f t="shared" si="308"/>
        <v>#REF!</v>
      </c>
      <c r="AW428" s="90"/>
      <c r="AX428" s="90"/>
      <c r="AY428" s="90"/>
      <c r="AZ428" s="90"/>
      <c r="BA428" s="90"/>
      <c r="BB428" s="90"/>
      <c r="BC428" s="90"/>
      <c r="BD428" s="90"/>
      <c r="BE428" s="90"/>
      <c r="BF428" s="90"/>
      <c r="BG428" s="90"/>
    </row>
    <row r="429" ht="12.75" hidden="1" customHeight="1" outlineLevel="1">
      <c r="A429" s="515"/>
      <c r="B429" s="90" t="s">
        <v>216</v>
      </c>
      <c r="C429" s="67"/>
      <c r="D429" s="67"/>
      <c r="E429" s="67"/>
      <c r="F429" s="67"/>
      <c r="G429" s="179"/>
      <c r="H429" s="179"/>
      <c r="I429" s="147">
        <v>0.0</v>
      </c>
      <c r="J429" s="147">
        <v>159494.0</v>
      </c>
      <c r="K429" s="147">
        <f t="shared" ref="K429:AV429" si="309">J430</f>
        <v>111279.47</v>
      </c>
      <c r="L429" s="147" t="str">
        <f t="shared" si="309"/>
        <v>#REF!</v>
      </c>
      <c r="M429" s="147" t="str">
        <f t="shared" si="309"/>
        <v>#REF!</v>
      </c>
      <c r="N429" s="147" t="str">
        <f t="shared" si="309"/>
        <v>#REF!</v>
      </c>
      <c r="O429" s="147" t="str">
        <f t="shared" si="309"/>
        <v>#REF!</v>
      </c>
      <c r="P429" s="147" t="str">
        <f t="shared" si="309"/>
        <v>#REF!</v>
      </c>
      <c r="Q429" s="147" t="str">
        <f t="shared" si="309"/>
        <v>#REF!</v>
      </c>
      <c r="R429" s="147" t="str">
        <f t="shared" si="309"/>
        <v>#REF!</v>
      </c>
      <c r="S429" s="147" t="str">
        <f t="shared" si="309"/>
        <v>#REF!</v>
      </c>
      <c r="T429" s="147" t="str">
        <f t="shared" si="309"/>
        <v>#REF!</v>
      </c>
      <c r="U429" s="147" t="str">
        <f t="shared" si="309"/>
        <v>#REF!</v>
      </c>
      <c r="V429" s="147" t="str">
        <f t="shared" si="309"/>
        <v>#REF!</v>
      </c>
      <c r="W429" s="147" t="str">
        <f t="shared" si="309"/>
        <v>#REF!</v>
      </c>
      <c r="X429" s="147" t="str">
        <f t="shared" si="309"/>
        <v>#REF!</v>
      </c>
      <c r="Y429" s="147" t="str">
        <f t="shared" si="309"/>
        <v>#REF!</v>
      </c>
      <c r="Z429" s="147" t="str">
        <f t="shared" si="309"/>
        <v>#REF!</v>
      </c>
      <c r="AA429" s="147" t="str">
        <f t="shared" si="309"/>
        <v>#REF!</v>
      </c>
      <c r="AB429" s="147" t="str">
        <f t="shared" si="309"/>
        <v>#REF!</v>
      </c>
      <c r="AC429" s="147" t="str">
        <f t="shared" si="309"/>
        <v>#REF!</v>
      </c>
      <c r="AD429" s="147" t="str">
        <f t="shared" si="309"/>
        <v>#REF!</v>
      </c>
      <c r="AE429" s="147" t="str">
        <f t="shared" si="309"/>
        <v>#REF!</v>
      </c>
      <c r="AF429" s="147" t="str">
        <f t="shared" si="309"/>
        <v>#REF!</v>
      </c>
      <c r="AG429" s="147" t="str">
        <f t="shared" si="309"/>
        <v>#REF!</v>
      </c>
      <c r="AH429" s="147" t="str">
        <f t="shared" si="309"/>
        <v>#REF!</v>
      </c>
      <c r="AI429" s="147" t="str">
        <f t="shared" si="309"/>
        <v>#REF!</v>
      </c>
      <c r="AJ429" s="147" t="str">
        <f t="shared" si="309"/>
        <v>#REF!</v>
      </c>
      <c r="AK429" s="147" t="str">
        <f t="shared" si="309"/>
        <v>#REF!</v>
      </c>
      <c r="AL429" s="147" t="str">
        <f t="shared" si="309"/>
        <v>#REF!</v>
      </c>
      <c r="AM429" s="147" t="str">
        <f t="shared" si="309"/>
        <v>#REF!</v>
      </c>
      <c r="AN429" s="147" t="str">
        <f t="shared" si="309"/>
        <v>#REF!</v>
      </c>
      <c r="AO429" s="147" t="str">
        <f t="shared" si="309"/>
        <v>#REF!</v>
      </c>
      <c r="AP429" s="147" t="str">
        <f t="shared" si="309"/>
        <v>#REF!</v>
      </c>
      <c r="AQ429" s="147" t="str">
        <f t="shared" si="309"/>
        <v>#REF!</v>
      </c>
      <c r="AR429" s="147" t="str">
        <f t="shared" si="309"/>
        <v>#REF!</v>
      </c>
      <c r="AS429" s="147" t="str">
        <f t="shared" si="309"/>
        <v>#REF!</v>
      </c>
      <c r="AT429" s="147" t="str">
        <f t="shared" si="309"/>
        <v>#REF!</v>
      </c>
      <c r="AU429" s="147" t="str">
        <f t="shared" si="309"/>
        <v>#REF!</v>
      </c>
      <c r="AV429" s="147" t="str">
        <f t="shared" si="309"/>
        <v>#REF!</v>
      </c>
      <c r="AW429" s="90"/>
      <c r="AX429" s="90"/>
      <c r="AY429" s="90"/>
      <c r="AZ429" s="90"/>
      <c r="BA429" s="90"/>
      <c r="BB429" s="90"/>
      <c r="BC429" s="90"/>
      <c r="BD429" s="90"/>
      <c r="BE429" s="90"/>
      <c r="BF429" s="90"/>
      <c r="BG429" s="90"/>
    </row>
    <row r="430" ht="13.5" hidden="1" customHeight="1" outlineLevel="1">
      <c r="A430" s="554" t="s">
        <v>484</v>
      </c>
      <c r="B430" s="131"/>
      <c r="C430" s="131"/>
      <c r="D430" s="131"/>
      <c r="E430" s="131"/>
      <c r="F430" s="131"/>
      <c r="G430" s="131"/>
      <c r="H430" s="131"/>
      <c r="I430" s="252" t="str">
        <f t="shared" ref="I430:AV430" si="310">I428+I429</f>
        <v>#REF!</v>
      </c>
      <c r="J430" s="252">
        <f t="shared" si="310"/>
        <v>111279.47</v>
      </c>
      <c r="K430" s="252" t="str">
        <f t="shared" si="310"/>
        <v>#REF!</v>
      </c>
      <c r="L430" s="252" t="str">
        <f t="shared" si="310"/>
        <v>#REF!</v>
      </c>
      <c r="M430" s="252" t="str">
        <f t="shared" si="310"/>
        <v>#REF!</v>
      </c>
      <c r="N430" s="252" t="str">
        <f t="shared" si="310"/>
        <v>#REF!</v>
      </c>
      <c r="O430" s="252" t="str">
        <f t="shared" si="310"/>
        <v>#REF!</v>
      </c>
      <c r="P430" s="252" t="str">
        <f t="shared" si="310"/>
        <v>#REF!</v>
      </c>
      <c r="Q430" s="252" t="str">
        <f t="shared" si="310"/>
        <v>#REF!</v>
      </c>
      <c r="R430" s="252" t="str">
        <f t="shared" si="310"/>
        <v>#REF!</v>
      </c>
      <c r="S430" s="252" t="str">
        <f t="shared" si="310"/>
        <v>#REF!</v>
      </c>
      <c r="T430" s="252" t="str">
        <f t="shared" si="310"/>
        <v>#REF!</v>
      </c>
      <c r="U430" s="252" t="str">
        <f t="shared" si="310"/>
        <v>#REF!</v>
      </c>
      <c r="V430" s="252" t="str">
        <f t="shared" si="310"/>
        <v>#REF!</v>
      </c>
      <c r="W430" s="252" t="str">
        <f t="shared" si="310"/>
        <v>#REF!</v>
      </c>
      <c r="X430" s="252" t="str">
        <f t="shared" si="310"/>
        <v>#REF!</v>
      </c>
      <c r="Y430" s="252" t="str">
        <f t="shared" si="310"/>
        <v>#REF!</v>
      </c>
      <c r="Z430" s="252" t="str">
        <f t="shared" si="310"/>
        <v>#REF!</v>
      </c>
      <c r="AA430" s="252" t="str">
        <f t="shared" si="310"/>
        <v>#REF!</v>
      </c>
      <c r="AB430" s="252" t="str">
        <f t="shared" si="310"/>
        <v>#REF!</v>
      </c>
      <c r="AC430" s="252" t="str">
        <f t="shared" si="310"/>
        <v>#REF!</v>
      </c>
      <c r="AD430" s="252" t="str">
        <f t="shared" si="310"/>
        <v>#REF!</v>
      </c>
      <c r="AE430" s="252" t="str">
        <f t="shared" si="310"/>
        <v>#REF!</v>
      </c>
      <c r="AF430" s="252" t="str">
        <f t="shared" si="310"/>
        <v>#REF!</v>
      </c>
      <c r="AG430" s="252" t="str">
        <f t="shared" si="310"/>
        <v>#REF!</v>
      </c>
      <c r="AH430" s="252" t="str">
        <f t="shared" si="310"/>
        <v>#REF!</v>
      </c>
      <c r="AI430" s="252" t="str">
        <f t="shared" si="310"/>
        <v>#REF!</v>
      </c>
      <c r="AJ430" s="252" t="str">
        <f t="shared" si="310"/>
        <v>#REF!</v>
      </c>
      <c r="AK430" s="252" t="str">
        <f t="shared" si="310"/>
        <v>#REF!</v>
      </c>
      <c r="AL430" s="252" t="str">
        <f t="shared" si="310"/>
        <v>#REF!</v>
      </c>
      <c r="AM430" s="252" t="str">
        <f t="shared" si="310"/>
        <v>#REF!</v>
      </c>
      <c r="AN430" s="252" t="str">
        <f t="shared" si="310"/>
        <v>#REF!</v>
      </c>
      <c r="AO430" s="252" t="str">
        <f t="shared" si="310"/>
        <v>#REF!</v>
      </c>
      <c r="AP430" s="252" t="str">
        <f t="shared" si="310"/>
        <v>#REF!</v>
      </c>
      <c r="AQ430" s="252" t="str">
        <f t="shared" si="310"/>
        <v>#REF!</v>
      </c>
      <c r="AR430" s="252" t="str">
        <f t="shared" si="310"/>
        <v>#REF!</v>
      </c>
      <c r="AS430" s="252" t="str">
        <f t="shared" si="310"/>
        <v>#REF!</v>
      </c>
      <c r="AT430" s="252" t="str">
        <f t="shared" si="310"/>
        <v>#REF!</v>
      </c>
      <c r="AU430" s="252" t="str">
        <f t="shared" si="310"/>
        <v>#REF!</v>
      </c>
      <c r="AV430" s="252" t="str">
        <f t="shared" si="310"/>
        <v>#REF!</v>
      </c>
      <c r="AW430" s="90"/>
      <c r="AX430" s="90"/>
      <c r="AY430" s="90"/>
      <c r="AZ430" s="90"/>
      <c r="BA430" s="90"/>
      <c r="BB430" s="90"/>
      <c r="BC430" s="90"/>
      <c r="BD430" s="90"/>
      <c r="BE430" s="90"/>
      <c r="BF430" s="90"/>
      <c r="BG430" s="90"/>
    </row>
    <row r="431" ht="12.75" hidden="1" customHeight="1" outlineLevel="1">
      <c r="A431" s="515"/>
      <c r="B431" s="90"/>
      <c r="C431" s="90"/>
      <c r="D431" s="90"/>
      <c r="E431" s="90"/>
      <c r="F431" s="90"/>
      <c r="G431" s="179"/>
      <c r="H431" s="179"/>
      <c r="I431" s="114"/>
      <c r="J431" s="114"/>
      <c r="K431" s="114"/>
      <c r="L431" s="114"/>
      <c r="M431" s="114"/>
      <c r="N431" s="114"/>
      <c r="O431" s="114"/>
      <c r="P431" s="114"/>
      <c r="Q431" s="114"/>
      <c r="R431" s="114"/>
      <c r="S431" s="114"/>
      <c r="T431" s="91"/>
      <c r="U431" s="91"/>
      <c r="V431" s="91"/>
      <c r="W431" s="91"/>
      <c r="X431" s="91"/>
      <c r="Y431" s="91"/>
      <c r="Z431" s="91"/>
      <c r="AA431" s="91"/>
      <c r="AB431" s="91"/>
      <c r="AC431" s="91"/>
      <c r="AD431" s="91"/>
      <c r="AE431" s="91"/>
      <c r="AF431" s="91"/>
      <c r="AG431" s="91"/>
      <c r="AH431" s="91"/>
      <c r="AI431" s="91"/>
      <c r="AJ431" s="91"/>
      <c r="AK431" s="91"/>
      <c r="AL431" s="91"/>
      <c r="AM431" s="91"/>
      <c r="AN431" s="91"/>
      <c r="AO431" s="91"/>
      <c r="AP431" s="91"/>
      <c r="AQ431" s="91"/>
      <c r="AR431" s="91"/>
      <c r="AS431" s="91"/>
      <c r="AT431" s="91"/>
      <c r="AU431" s="91"/>
      <c r="AV431" s="91"/>
      <c r="AW431" s="90"/>
      <c r="AX431" s="90"/>
      <c r="AY431" s="90"/>
      <c r="AZ431" s="90"/>
      <c r="BA431" s="90"/>
      <c r="BB431" s="90"/>
      <c r="BC431" s="90"/>
      <c r="BD431" s="90"/>
      <c r="BE431" s="90"/>
      <c r="BF431" s="90"/>
      <c r="BG431" s="90"/>
    </row>
    <row r="432" ht="12.75" customHeight="1">
      <c r="A432" s="316"/>
      <c r="B432" s="90"/>
      <c r="C432" s="90"/>
      <c r="D432" s="90"/>
      <c r="E432" s="90"/>
      <c r="F432" s="90"/>
      <c r="G432" s="90"/>
      <c r="H432" s="90"/>
      <c r="I432" s="90"/>
      <c r="J432" s="90"/>
      <c r="K432" s="90"/>
      <c r="L432" s="90"/>
      <c r="M432" s="90"/>
      <c r="N432" s="90"/>
      <c r="O432" s="90"/>
      <c r="P432" s="90"/>
      <c r="Q432" s="90"/>
      <c r="R432" s="90"/>
      <c r="S432" s="90"/>
      <c r="T432" s="90"/>
      <c r="U432" s="90"/>
      <c r="V432" s="90"/>
      <c r="W432" s="90"/>
      <c r="X432" s="90"/>
      <c r="Y432" s="90"/>
      <c r="Z432" s="90"/>
      <c r="AA432" s="90"/>
      <c r="AB432" s="90"/>
      <c r="AC432" s="90"/>
      <c r="AD432" s="90"/>
      <c r="AE432" s="90"/>
      <c r="AF432" s="90"/>
      <c r="AG432" s="90"/>
      <c r="AH432" s="90"/>
      <c r="AI432" s="90"/>
      <c r="AJ432" s="90"/>
      <c r="AK432" s="90"/>
      <c r="AL432" s="90"/>
      <c r="AM432" s="90"/>
      <c r="AN432" s="90"/>
      <c r="AO432" s="90"/>
      <c r="AP432" s="90"/>
      <c r="AQ432" s="90"/>
      <c r="AR432" s="90"/>
      <c r="AS432" s="90"/>
      <c r="AT432" s="90"/>
      <c r="AU432" s="90"/>
      <c r="AV432" s="90"/>
      <c r="AW432" s="90"/>
      <c r="AX432" s="90"/>
      <c r="AY432" s="90"/>
      <c r="AZ432" s="90"/>
      <c r="BA432" s="90"/>
      <c r="BB432" s="90"/>
      <c r="BC432" s="90"/>
      <c r="BD432" s="90"/>
      <c r="BE432" s="90"/>
      <c r="BF432" s="90"/>
      <c r="BG432" s="90"/>
    </row>
    <row r="433" ht="12.75" customHeight="1">
      <c r="A433" s="105" t="s">
        <v>848</v>
      </c>
      <c r="B433" s="253"/>
      <c r="C433" s="253"/>
      <c r="D433" s="253"/>
      <c r="E433" s="253"/>
      <c r="F433" s="253"/>
      <c r="G433" s="253"/>
      <c r="H433" s="253"/>
      <c r="I433" s="253"/>
      <c r="J433" s="253"/>
      <c r="K433" s="253"/>
      <c r="L433" s="253"/>
      <c r="M433" s="253"/>
      <c r="N433" s="253"/>
      <c r="O433" s="253"/>
      <c r="P433" s="253"/>
      <c r="Q433" s="253"/>
      <c r="R433" s="253"/>
      <c r="S433" s="253"/>
      <c r="T433" s="253"/>
      <c r="U433" s="253"/>
      <c r="V433" s="253"/>
      <c r="W433" s="253"/>
      <c r="X433" s="253"/>
      <c r="Y433" s="253"/>
      <c r="Z433" s="253"/>
      <c r="AA433" s="253"/>
      <c r="AB433" s="253"/>
      <c r="AC433" s="253"/>
      <c r="AD433" s="253"/>
      <c r="AE433" s="253"/>
      <c r="AF433" s="253"/>
      <c r="AG433" s="253"/>
      <c r="AH433" s="253"/>
      <c r="AI433" s="253"/>
      <c r="AJ433" s="253"/>
      <c r="AK433" s="253"/>
      <c r="AL433" s="253"/>
      <c r="AM433" s="253"/>
      <c r="AN433" s="253"/>
      <c r="AO433" s="253"/>
      <c r="AP433" s="253"/>
      <c r="AQ433" s="253"/>
      <c r="AR433" s="253"/>
      <c r="AS433" s="253"/>
      <c r="AT433" s="253"/>
      <c r="AU433" s="253"/>
      <c r="AV433" s="253"/>
      <c r="AW433" s="253"/>
      <c r="AX433" s="90"/>
      <c r="AY433" s="90"/>
      <c r="AZ433" s="90"/>
      <c r="BA433" s="90"/>
      <c r="BB433" s="90"/>
      <c r="BC433" s="90"/>
      <c r="BD433" s="90"/>
      <c r="BE433" s="90"/>
      <c r="BF433" s="90"/>
      <c r="BG433" s="90"/>
    </row>
    <row r="434" ht="12.75" hidden="1" customHeight="1" outlineLevel="1">
      <c r="A434" s="316"/>
      <c r="B434" s="90"/>
      <c r="C434" s="90"/>
      <c r="D434" s="90"/>
      <c r="E434" s="90"/>
      <c r="F434" s="90"/>
      <c r="G434" s="90"/>
      <c r="H434" s="90"/>
      <c r="I434" s="90"/>
      <c r="J434" s="90"/>
      <c r="K434" s="90"/>
      <c r="L434" s="90"/>
      <c r="M434" s="90"/>
      <c r="N434" s="90"/>
      <c r="O434" s="90"/>
      <c r="P434" s="90"/>
      <c r="Q434" s="90"/>
      <c r="R434" s="90"/>
      <c r="S434" s="90"/>
      <c r="T434" s="90"/>
      <c r="U434" s="90"/>
      <c r="V434" s="90"/>
      <c r="W434" s="90"/>
      <c r="X434" s="90"/>
      <c r="Y434" s="90"/>
      <c r="Z434" s="90"/>
      <c r="AA434" s="90"/>
      <c r="AB434" s="90"/>
      <c r="AC434" s="90"/>
      <c r="AD434" s="90"/>
      <c r="AE434" s="90"/>
      <c r="AF434" s="90"/>
      <c r="AG434" s="90"/>
      <c r="AH434" s="90"/>
      <c r="AI434" s="90"/>
      <c r="AJ434" s="90"/>
      <c r="AK434" s="90"/>
      <c r="AL434" s="90"/>
      <c r="AM434" s="90"/>
      <c r="AN434" s="90"/>
      <c r="AO434" s="90"/>
      <c r="AP434" s="90"/>
      <c r="AQ434" s="90"/>
      <c r="AR434" s="90"/>
      <c r="AS434" s="90"/>
      <c r="AT434" s="90"/>
      <c r="AU434" s="90"/>
      <c r="AV434" s="90"/>
      <c r="AW434" s="90"/>
      <c r="AX434" s="90"/>
      <c r="AY434" s="90"/>
      <c r="AZ434" s="90"/>
      <c r="BA434" s="90"/>
      <c r="BB434" s="90"/>
      <c r="BC434" s="90"/>
      <c r="BD434" s="90"/>
      <c r="BE434" s="90"/>
      <c r="BF434" s="90"/>
      <c r="BG434" s="90"/>
    </row>
    <row r="435" ht="12.75" hidden="1" customHeight="1" outlineLevel="1">
      <c r="A435" s="316"/>
      <c r="B435" s="67" t="s">
        <v>557</v>
      </c>
      <c r="C435" s="90"/>
      <c r="D435" s="90"/>
      <c r="E435" s="90"/>
      <c r="F435" s="90"/>
      <c r="G435" s="90"/>
      <c r="H435" s="90"/>
      <c r="I435" s="90"/>
      <c r="J435" s="90"/>
      <c r="K435" s="90"/>
      <c r="L435" s="90"/>
      <c r="M435" s="90"/>
      <c r="N435" s="90"/>
      <c r="O435" s="90"/>
      <c r="P435" s="90"/>
      <c r="Q435" s="90"/>
      <c r="R435" s="90"/>
      <c r="S435" s="90"/>
      <c r="T435" s="90"/>
      <c r="U435" s="90"/>
      <c r="V435" s="90"/>
      <c r="W435" s="90"/>
      <c r="X435" s="90"/>
      <c r="Y435" s="90"/>
      <c r="Z435" s="90"/>
      <c r="AA435" s="90"/>
      <c r="AB435" s="90"/>
      <c r="AC435" s="90"/>
      <c r="AD435" s="90"/>
      <c r="AE435" s="90"/>
      <c r="AF435" s="90"/>
      <c r="AG435" s="90"/>
      <c r="AH435" s="90"/>
      <c r="AI435" s="90"/>
      <c r="AJ435" s="90"/>
      <c r="AK435" s="90"/>
      <c r="AL435" s="90"/>
      <c r="AM435" s="90"/>
      <c r="AN435" s="90"/>
      <c r="AO435" s="90"/>
      <c r="AP435" s="90"/>
      <c r="AQ435" s="90"/>
      <c r="AR435" s="90"/>
      <c r="AS435" s="90"/>
      <c r="AT435" s="90"/>
      <c r="AU435" s="90"/>
      <c r="AV435" s="90"/>
      <c r="AW435" s="90"/>
      <c r="AX435" s="90"/>
      <c r="AY435" s="90"/>
      <c r="AZ435" s="90"/>
      <c r="BA435" s="90"/>
      <c r="BB435" s="90"/>
      <c r="BC435" s="90"/>
      <c r="BD435" s="90"/>
      <c r="BE435" s="90"/>
      <c r="BF435" s="90"/>
      <c r="BG435" s="90"/>
    </row>
    <row r="436" ht="12.75" hidden="1" customHeight="1" outlineLevel="1">
      <c r="A436" s="316"/>
      <c r="B436" s="90"/>
      <c r="C436" s="90" t="s">
        <v>487</v>
      </c>
      <c r="D436" s="90"/>
      <c r="E436" s="90"/>
      <c r="F436" s="90"/>
      <c r="G436" s="254"/>
      <c r="H436" s="254"/>
      <c r="I436" s="254">
        <v>0.0</v>
      </c>
      <c r="J436" s="99">
        <f t="shared" ref="J436:N436" si="311">+I443</f>
        <v>250000</v>
      </c>
      <c r="K436" s="99">
        <f t="shared" si="311"/>
        <v>200000</v>
      </c>
      <c r="L436" s="99">
        <f t="shared" si="311"/>
        <v>159186.33</v>
      </c>
      <c r="M436" s="99">
        <f t="shared" si="311"/>
        <v>100000</v>
      </c>
      <c r="N436" s="99">
        <f t="shared" si="311"/>
        <v>50000</v>
      </c>
      <c r="O436" s="99">
        <v>0.0</v>
      </c>
      <c r="P436" s="99">
        <f t="shared" ref="P436:AV436" si="312">+O443</f>
        <v>0</v>
      </c>
      <c r="Q436" s="99">
        <f t="shared" si="312"/>
        <v>0</v>
      </c>
      <c r="R436" s="99">
        <f t="shared" si="312"/>
        <v>0</v>
      </c>
      <c r="S436" s="99">
        <f t="shared" si="312"/>
        <v>0</v>
      </c>
      <c r="T436" s="99">
        <f t="shared" si="312"/>
        <v>0</v>
      </c>
      <c r="U436" s="99">
        <f t="shared" si="312"/>
        <v>0</v>
      </c>
      <c r="V436" s="99">
        <f t="shared" si="312"/>
        <v>0</v>
      </c>
      <c r="W436" s="99">
        <f t="shared" si="312"/>
        <v>0</v>
      </c>
      <c r="X436" s="99">
        <f t="shared" si="312"/>
        <v>0</v>
      </c>
      <c r="Y436" s="99">
        <f t="shared" si="312"/>
        <v>0</v>
      </c>
      <c r="Z436" s="99">
        <f t="shared" si="312"/>
        <v>0</v>
      </c>
      <c r="AA436" s="99">
        <f t="shared" si="312"/>
        <v>0</v>
      </c>
      <c r="AB436" s="99">
        <f t="shared" si="312"/>
        <v>0</v>
      </c>
      <c r="AC436" s="99">
        <f t="shared" si="312"/>
        <v>0</v>
      </c>
      <c r="AD436" s="99">
        <f t="shared" si="312"/>
        <v>0</v>
      </c>
      <c r="AE436" s="99">
        <f t="shared" si="312"/>
        <v>0</v>
      </c>
      <c r="AF436" s="99">
        <f t="shared" si="312"/>
        <v>0</v>
      </c>
      <c r="AG436" s="99">
        <f t="shared" si="312"/>
        <v>0</v>
      </c>
      <c r="AH436" s="99">
        <f t="shared" si="312"/>
        <v>0</v>
      </c>
      <c r="AI436" s="99">
        <f t="shared" si="312"/>
        <v>0</v>
      </c>
      <c r="AJ436" s="99">
        <f t="shared" si="312"/>
        <v>0</v>
      </c>
      <c r="AK436" s="99">
        <f t="shared" si="312"/>
        <v>0</v>
      </c>
      <c r="AL436" s="99">
        <f t="shared" si="312"/>
        <v>0</v>
      </c>
      <c r="AM436" s="99">
        <f t="shared" si="312"/>
        <v>0</v>
      </c>
      <c r="AN436" s="99">
        <f t="shared" si="312"/>
        <v>0</v>
      </c>
      <c r="AO436" s="99">
        <f t="shared" si="312"/>
        <v>0</v>
      </c>
      <c r="AP436" s="99">
        <f t="shared" si="312"/>
        <v>0</v>
      </c>
      <c r="AQ436" s="99">
        <f t="shared" si="312"/>
        <v>0</v>
      </c>
      <c r="AR436" s="99">
        <f t="shared" si="312"/>
        <v>0</v>
      </c>
      <c r="AS436" s="99">
        <f t="shared" si="312"/>
        <v>0</v>
      </c>
      <c r="AT436" s="99">
        <f t="shared" si="312"/>
        <v>0</v>
      </c>
      <c r="AU436" s="99">
        <f t="shared" si="312"/>
        <v>0</v>
      </c>
      <c r="AV436" s="99">
        <f t="shared" si="312"/>
        <v>0</v>
      </c>
      <c r="AW436" s="90"/>
      <c r="AX436" s="90"/>
      <c r="AY436" s="90"/>
      <c r="AZ436" s="90"/>
      <c r="BA436" s="90"/>
      <c r="BB436" s="90"/>
      <c r="BC436" s="90"/>
      <c r="BD436" s="90"/>
      <c r="BE436" s="90"/>
      <c r="BF436" s="90"/>
      <c r="BG436" s="90"/>
    </row>
    <row r="437" ht="12.75" hidden="1" customHeight="1" outlineLevel="1">
      <c r="A437" s="316"/>
      <c r="B437" s="90"/>
      <c r="C437" s="90" t="s">
        <v>488</v>
      </c>
      <c r="D437" s="90"/>
      <c r="E437" s="90"/>
      <c r="F437" s="90"/>
      <c r="G437" s="254"/>
      <c r="H437" s="254"/>
      <c r="I437" s="254">
        <v>250000.0</v>
      </c>
      <c r="J437" s="254">
        <v>0.0</v>
      </c>
      <c r="K437" s="254">
        <v>0.0</v>
      </c>
      <c r="L437" s="254">
        <v>0.0</v>
      </c>
      <c r="M437" s="254">
        <v>0.0</v>
      </c>
      <c r="N437" s="254">
        <v>0.0</v>
      </c>
      <c r="O437" s="254">
        <v>0.0</v>
      </c>
      <c r="P437" s="254">
        <v>0.0</v>
      </c>
      <c r="Q437" s="254">
        <v>0.0</v>
      </c>
      <c r="R437" s="254">
        <v>0.0</v>
      </c>
      <c r="S437" s="254">
        <v>0.0</v>
      </c>
      <c r="T437" s="254">
        <v>0.0</v>
      </c>
      <c r="U437" s="254">
        <v>0.0</v>
      </c>
      <c r="V437" s="254">
        <v>0.0</v>
      </c>
      <c r="W437" s="254">
        <v>0.0</v>
      </c>
      <c r="X437" s="254">
        <v>0.0</v>
      </c>
      <c r="Y437" s="254">
        <v>0.0</v>
      </c>
      <c r="Z437" s="254">
        <v>0.0</v>
      </c>
      <c r="AA437" s="254">
        <v>0.0</v>
      </c>
      <c r="AB437" s="254">
        <v>0.0</v>
      </c>
      <c r="AC437" s="254">
        <v>0.0</v>
      </c>
      <c r="AD437" s="254">
        <v>0.0</v>
      </c>
      <c r="AE437" s="254">
        <v>0.0</v>
      </c>
      <c r="AF437" s="254">
        <v>0.0</v>
      </c>
      <c r="AG437" s="254">
        <v>0.0</v>
      </c>
      <c r="AH437" s="254">
        <v>0.0</v>
      </c>
      <c r="AI437" s="254">
        <v>0.0</v>
      </c>
      <c r="AJ437" s="254">
        <v>0.0</v>
      </c>
      <c r="AK437" s="254">
        <v>0.0</v>
      </c>
      <c r="AL437" s="254">
        <v>0.0</v>
      </c>
      <c r="AM437" s="254">
        <v>0.0</v>
      </c>
      <c r="AN437" s="254">
        <v>0.0</v>
      </c>
      <c r="AO437" s="254">
        <v>0.0</v>
      </c>
      <c r="AP437" s="254">
        <v>0.0</v>
      </c>
      <c r="AQ437" s="254">
        <v>0.0</v>
      </c>
      <c r="AR437" s="254">
        <v>0.0</v>
      </c>
      <c r="AS437" s="254">
        <v>0.0</v>
      </c>
      <c r="AT437" s="254">
        <v>0.0</v>
      </c>
      <c r="AU437" s="254">
        <v>0.0</v>
      </c>
      <c r="AV437" s="254">
        <v>0.0</v>
      </c>
      <c r="AW437" s="90"/>
      <c r="AX437" s="90"/>
      <c r="AY437" s="90"/>
      <c r="AZ437" s="90"/>
      <c r="BA437" s="90"/>
      <c r="BB437" s="90"/>
      <c r="BC437" s="90"/>
      <c r="BD437" s="90"/>
      <c r="BE437" s="90"/>
      <c r="BF437" s="90"/>
      <c r="BG437" s="90"/>
    </row>
    <row r="438" ht="12.75" hidden="1" customHeight="1" outlineLevel="1">
      <c r="A438" s="316"/>
      <c r="B438" s="90"/>
      <c r="C438" s="90" t="s">
        <v>490</v>
      </c>
      <c r="D438" s="90"/>
      <c r="E438" s="90"/>
      <c r="F438" s="90"/>
      <c r="G438" s="254"/>
      <c r="H438" s="254"/>
      <c r="I438" s="254"/>
      <c r="J438" s="254"/>
      <c r="K438" s="254"/>
      <c r="L438" s="254"/>
      <c r="M438" s="254"/>
      <c r="N438" s="254"/>
      <c r="O438" s="254"/>
      <c r="P438" s="254"/>
      <c r="Q438" s="254"/>
      <c r="R438" s="254"/>
      <c r="S438" s="254"/>
      <c r="T438" s="254"/>
      <c r="U438" s="254"/>
      <c r="V438" s="254"/>
      <c r="W438" s="254"/>
      <c r="X438" s="254"/>
      <c r="Y438" s="254"/>
      <c r="Z438" s="254"/>
      <c r="AA438" s="254"/>
      <c r="AB438" s="254"/>
      <c r="AC438" s="254"/>
      <c r="AD438" s="254"/>
      <c r="AE438" s="254"/>
      <c r="AF438" s="254"/>
      <c r="AG438" s="254"/>
      <c r="AH438" s="254"/>
      <c r="AI438" s="254"/>
      <c r="AJ438" s="254"/>
      <c r="AK438" s="254"/>
      <c r="AL438" s="254"/>
      <c r="AM438" s="254"/>
      <c r="AN438" s="254"/>
      <c r="AO438" s="254"/>
      <c r="AP438" s="254"/>
      <c r="AQ438" s="254"/>
      <c r="AR438" s="254"/>
      <c r="AS438" s="254"/>
      <c r="AT438" s="254"/>
      <c r="AU438" s="254"/>
      <c r="AV438" s="254"/>
      <c r="AW438" s="90"/>
      <c r="AX438" s="90"/>
      <c r="AY438" s="90"/>
      <c r="AZ438" s="90"/>
      <c r="BA438" s="90"/>
      <c r="BB438" s="90"/>
      <c r="BC438" s="90"/>
      <c r="BD438" s="90"/>
      <c r="BE438" s="90"/>
      <c r="BF438" s="90"/>
      <c r="BG438" s="90"/>
    </row>
    <row r="439" ht="12.75" hidden="1" customHeight="1" outlineLevel="1">
      <c r="A439" s="316"/>
      <c r="B439" s="90"/>
      <c r="C439" s="90"/>
      <c r="D439" s="90" t="s">
        <v>701</v>
      </c>
      <c r="E439" s="90"/>
      <c r="F439" s="90"/>
      <c r="G439" s="254"/>
      <c r="H439" s="254"/>
      <c r="I439" s="99">
        <v>0.0</v>
      </c>
      <c r="J439" s="99">
        <f>-I437/5</f>
        <v>-50000</v>
      </c>
      <c r="K439" s="99">
        <v>-40813.67</v>
      </c>
      <c r="L439" s="99">
        <f>-50000-50000-K439</f>
        <v>-59186.33</v>
      </c>
      <c r="M439" s="99">
        <v>-50000.0</v>
      </c>
      <c r="N439" s="99">
        <f>M439</f>
        <v>-50000</v>
      </c>
      <c r="O439" s="99">
        <v>0.0</v>
      </c>
      <c r="P439" s="99">
        <f t="shared" ref="P439:AV439" si="313">O439</f>
        <v>0</v>
      </c>
      <c r="Q439" s="99">
        <f t="shared" si="313"/>
        <v>0</v>
      </c>
      <c r="R439" s="99">
        <f t="shared" si="313"/>
        <v>0</v>
      </c>
      <c r="S439" s="99">
        <f t="shared" si="313"/>
        <v>0</v>
      </c>
      <c r="T439" s="99">
        <f t="shared" si="313"/>
        <v>0</v>
      </c>
      <c r="U439" s="99">
        <f t="shared" si="313"/>
        <v>0</v>
      </c>
      <c r="V439" s="99">
        <f t="shared" si="313"/>
        <v>0</v>
      </c>
      <c r="W439" s="99">
        <f t="shared" si="313"/>
        <v>0</v>
      </c>
      <c r="X439" s="99">
        <f t="shared" si="313"/>
        <v>0</v>
      </c>
      <c r="Y439" s="99">
        <f t="shared" si="313"/>
        <v>0</v>
      </c>
      <c r="Z439" s="99">
        <f t="shared" si="313"/>
        <v>0</v>
      </c>
      <c r="AA439" s="99">
        <f t="shared" si="313"/>
        <v>0</v>
      </c>
      <c r="AB439" s="99">
        <f t="shared" si="313"/>
        <v>0</v>
      </c>
      <c r="AC439" s="99">
        <f t="shared" si="313"/>
        <v>0</v>
      </c>
      <c r="AD439" s="99">
        <f t="shared" si="313"/>
        <v>0</v>
      </c>
      <c r="AE439" s="99">
        <f t="shared" si="313"/>
        <v>0</v>
      </c>
      <c r="AF439" s="99">
        <f t="shared" si="313"/>
        <v>0</v>
      </c>
      <c r="AG439" s="99">
        <f t="shared" si="313"/>
        <v>0</v>
      </c>
      <c r="AH439" s="99">
        <f t="shared" si="313"/>
        <v>0</v>
      </c>
      <c r="AI439" s="99">
        <f t="shared" si="313"/>
        <v>0</v>
      </c>
      <c r="AJ439" s="99">
        <f t="shared" si="313"/>
        <v>0</v>
      </c>
      <c r="AK439" s="99">
        <f t="shared" si="313"/>
        <v>0</v>
      </c>
      <c r="AL439" s="99">
        <f t="shared" si="313"/>
        <v>0</v>
      </c>
      <c r="AM439" s="99">
        <f t="shared" si="313"/>
        <v>0</v>
      </c>
      <c r="AN439" s="99">
        <f t="shared" si="313"/>
        <v>0</v>
      </c>
      <c r="AO439" s="99">
        <f t="shared" si="313"/>
        <v>0</v>
      </c>
      <c r="AP439" s="99">
        <f t="shared" si="313"/>
        <v>0</v>
      </c>
      <c r="AQ439" s="99">
        <f t="shared" si="313"/>
        <v>0</v>
      </c>
      <c r="AR439" s="99">
        <f t="shared" si="313"/>
        <v>0</v>
      </c>
      <c r="AS439" s="99">
        <f t="shared" si="313"/>
        <v>0</v>
      </c>
      <c r="AT439" s="99">
        <f t="shared" si="313"/>
        <v>0</v>
      </c>
      <c r="AU439" s="99">
        <f t="shared" si="313"/>
        <v>0</v>
      </c>
      <c r="AV439" s="99">
        <f t="shared" si="313"/>
        <v>0</v>
      </c>
      <c r="AW439" s="90"/>
      <c r="AX439" s="90"/>
      <c r="AY439" s="90"/>
      <c r="AZ439" s="90"/>
      <c r="BA439" s="90"/>
      <c r="BB439" s="90"/>
      <c r="BC439" s="90"/>
      <c r="BD439" s="90"/>
      <c r="BE439" s="90"/>
      <c r="BF439" s="90"/>
      <c r="BG439" s="90"/>
    </row>
    <row r="440" ht="12.75" hidden="1" customHeight="1" outlineLevel="1">
      <c r="A440" s="316"/>
      <c r="B440" s="90"/>
      <c r="C440" s="90"/>
      <c r="D440" s="90" t="s">
        <v>489</v>
      </c>
      <c r="E440" s="90"/>
      <c r="F440" s="90"/>
      <c r="G440" s="254"/>
      <c r="H440" s="254"/>
      <c r="I440" s="99">
        <v>0.0</v>
      </c>
      <c r="J440" s="99">
        <v>0.0</v>
      </c>
      <c r="K440" s="99"/>
      <c r="L440" s="99"/>
      <c r="M440" s="99"/>
      <c r="N440" s="99">
        <v>0.0</v>
      </c>
      <c r="O440" s="99">
        <v>0.0</v>
      </c>
      <c r="P440" s="99">
        <v>0.0</v>
      </c>
      <c r="Q440" s="99">
        <v>0.0</v>
      </c>
      <c r="R440" s="99">
        <v>0.0</v>
      </c>
      <c r="S440" s="99">
        <v>0.0</v>
      </c>
      <c r="T440" s="99">
        <v>0.0</v>
      </c>
      <c r="U440" s="99">
        <v>0.0</v>
      </c>
      <c r="V440" s="99">
        <v>0.0</v>
      </c>
      <c r="W440" s="99">
        <v>0.0</v>
      </c>
      <c r="X440" s="99">
        <v>0.0</v>
      </c>
      <c r="Y440" s="99">
        <v>0.0</v>
      </c>
      <c r="Z440" s="99">
        <v>0.0</v>
      </c>
      <c r="AA440" s="99">
        <v>0.0</v>
      </c>
      <c r="AB440" s="99">
        <v>0.0</v>
      </c>
      <c r="AC440" s="99">
        <v>0.0</v>
      </c>
      <c r="AD440" s="99">
        <v>0.0</v>
      </c>
      <c r="AE440" s="99">
        <v>0.0</v>
      </c>
      <c r="AF440" s="99">
        <v>0.0</v>
      </c>
      <c r="AG440" s="99">
        <v>0.0</v>
      </c>
      <c r="AH440" s="99">
        <v>0.0</v>
      </c>
      <c r="AI440" s="99">
        <v>0.0</v>
      </c>
      <c r="AJ440" s="99">
        <v>0.0</v>
      </c>
      <c r="AK440" s="99">
        <v>0.0</v>
      </c>
      <c r="AL440" s="99">
        <v>0.0</v>
      </c>
      <c r="AM440" s="99">
        <v>0.0</v>
      </c>
      <c r="AN440" s="99">
        <v>0.0</v>
      </c>
      <c r="AO440" s="99">
        <v>0.0</v>
      </c>
      <c r="AP440" s="99">
        <v>0.0</v>
      </c>
      <c r="AQ440" s="99">
        <v>0.0</v>
      </c>
      <c r="AR440" s="99">
        <v>0.0</v>
      </c>
      <c r="AS440" s="99">
        <v>0.0</v>
      </c>
      <c r="AT440" s="99">
        <v>0.0</v>
      </c>
      <c r="AU440" s="99">
        <v>0.0</v>
      </c>
      <c r="AV440" s="99">
        <v>0.0</v>
      </c>
      <c r="AW440" s="90"/>
      <c r="AX440" s="90"/>
      <c r="AY440" s="90"/>
      <c r="AZ440" s="90"/>
      <c r="BA440" s="90"/>
      <c r="BB440" s="90"/>
      <c r="BC440" s="90"/>
      <c r="BD440" s="90"/>
      <c r="BE440" s="90"/>
      <c r="BF440" s="90"/>
      <c r="BG440" s="90"/>
    </row>
    <row r="441" ht="12.75" hidden="1" customHeight="1" outlineLevel="1">
      <c r="A441" s="316"/>
      <c r="B441" s="90"/>
      <c r="C441" s="148" t="s">
        <v>849</v>
      </c>
      <c r="D441" s="148"/>
      <c r="E441" s="148"/>
      <c r="F441" s="148"/>
      <c r="G441" s="394"/>
      <c r="H441" s="394"/>
      <c r="I441" s="394">
        <v>0.0</v>
      </c>
      <c r="J441" s="394">
        <f t="shared" ref="J441:AV441" si="314">SUM(J439:J440)</f>
        <v>-50000</v>
      </c>
      <c r="K441" s="394">
        <f t="shared" si="314"/>
        <v>-40813.67</v>
      </c>
      <c r="L441" s="394">
        <f t="shared" si="314"/>
        <v>-59186.33</v>
      </c>
      <c r="M441" s="394">
        <f t="shared" si="314"/>
        <v>-50000</v>
      </c>
      <c r="N441" s="394">
        <f t="shared" si="314"/>
        <v>-50000</v>
      </c>
      <c r="O441" s="394">
        <f t="shared" si="314"/>
        <v>0</v>
      </c>
      <c r="P441" s="394">
        <f t="shared" si="314"/>
        <v>0</v>
      </c>
      <c r="Q441" s="394">
        <f t="shared" si="314"/>
        <v>0</v>
      </c>
      <c r="R441" s="394">
        <f t="shared" si="314"/>
        <v>0</v>
      </c>
      <c r="S441" s="394">
        <f t="shared" si="314"/>
        <v>0</v>
      </c>
      <c r="T441" s="394">
        <f t="shared" si="314"/>
        <v>0</v>
      </c>
      <c r="U441" s="394">
        <f t="shared" si="314"/>
        <v>0</v>
      </c>
      <c r="V441" s="394">
        <f t="shared" si="314"/>
        <v>0</v>
      </c>
      <c r="W441" s="394">
        <f t="shared" si="314"/>
        <v>0</v>
      </c>
      <c r="X441" s="394">
        <f t="shared" si="314"/>
        <v>0</v>
      </c>
      <c r="Y441" s="394">
        <f t="shared" si="314"/>
        <v>0</v>
      </c>
      <c r="Z441" s="394">
        <f t="shared" si="314"/>
        <v>0</v>
      </c>
      <c r="AA441" s="394">
        <f t="shared" si="314"/>
        <v>0</v>
      </c>
      <c r="AB441" s="394">
        <f t="shared" si="314"/>
        <v>0</v>
      </c>
      <c r="AC441" s="394">
        <f t="shared" si="314"/>
        <v>0</v>
      </c>
      <c r="AD441" s="394">
        <f t="shared" si="314"/>
        <v>0</v>
      </c>
      <c r="AE441" s="394">
        <f t="shared" si="314"/>
        <v>0</v>
      </c>
      <c r="AF441" s="394">
        <f t="shared" si="314"/>
        <v>0</v>
      </c>
      <c r="AG441" s="394">
        <f t="shared" si="314"/>
        <v>0</v>
      </c>
      <c r="AH441" s="394">
        <f t="shared" si="314"/>
        <v>0</v>
      </c>
      <c r="AI441" s="394">
        <f t="shared" si="314"/>
        <v>0</v>
      </c>
      <c r="AJ441" s="394">
        <f t="shared" si="314"/>
        <v>0</v>
      </c>
      <c r="AK441" s="394">
        <f t="shared" si="314"/>
        <v>0</v>
      </c>
      <c r="AL441" s="394">
        <f t="shared" si="314"/>
        <v>0</v>
      </c>
      <c r="AM441" s="394">
        <f t="shared" si="314"/>
        <v>0</v>
      </c>
      <c r="AN441" s="394">
        <f t="shared" si="314"/>
        <v>0</v>
      </c>
      <c r="AO441" s="394">
        <f t="shared" si="314"/>
        <v>0</v>
      </c>
      <c r="AP441" s="394">
        <f t="shared" si="314"/>
        <v>0</v>
      </c>
      <c r="AQ441" s="394">
        <f t="shared" si="314"/>
        <v>0</v>
      </c>
      <c r="AR441" s="394">
        <f t="shared" si="314"/>
        <v>0</v>
      </c>
      <c r="AS441" s="394">
        <f t="shared" si="314"/>
        <v>0</v>
      </c>
      <c r="AT441" s="394">
        <f t="shared" si="314"/>
        <v>0</v>
      </c>
      <c r="AU441" s="394">
        <f t="shared" si="314"/>
        <v>0</v>
      </c>
      <c r="AV441" s="394">
        <f t="shared" si="314"/>
        <v>0</v>
      </c>
      <c r="AW441" s="90"/>
      <c r="AX441" s="90"/>
      <c r="AY441" s="90"/>
      <c r="AZ441" s="90"/>
      <c r="BA441" s="90"/>
      <c r="BB441" s="90"/>
      <c r="BC441" s="90"/>
      <c r="BD441" s="90"/>
      <c r="BE441" s="90"/>
      <c r="BF441" s="90"/>
      <c r="BG441" s="90"/>
    </row>
    <row r="442" ht="12.75" hidden="1" customHeight="1" outlineLevel="1">
      <c r="A442" s="555"/>
      <c r="B442" s="90"/>
      <c r="C442" s="90" t="s">
        <v>850</v>
      </c>
      <c r="D442" s="90"/>
      <c r="E442" s="90"/>
      <c r="F442" s="90"/>
      <c r="G442" s="99"/>
      <c r="H442" s="99"/>
      <c r="I442" s="254">
        <v>0.0</v>
      </c>
      <c r="J442" s="254">
        <v>0.0</v>
      </c>
      <c r="K442" s="254">
        <v>0.0</v>
      </c>
      <c r="L442" s="254">
        <v>0.0</v>
      </c>
      <c r="M442" s="254">
        <v>0.0</v>
      </c>
      <c r="N442" s="254">
        <v>0.0</v>
      </c>
      <c r="O442" s="254">
        <v>0.0</v>
      </c>
      <c r="P442" s="254">
        <v>0.0</v>
      </c>
      <c r="Q442" s="254">
        <v>0.0</v>
      </c>
      <c r="R442" s="254">
        <v>0.0</v>
      </c>
      <c r="S442" s="254">
        <v>0.0</v>
      </c>
      <c r="T442" s="254">
        <v>0.0</v>
      </c>
      <c r="U442" s="254">
        <v>0.0</v>
      </c>
      <c r="V442" s="254">
        <v>0.0</v>
      </c>
      <c r="W442" s="254">
        <v>0.0</v>
      </c>
      <c r="X442" s="254">
        <v>0.0</v>
      </c>
      <c r="Y442" s="254">
        <v>0.0</v>
      </c>
      <c r="Z442" s="254">
        <v>0.0</v>
      </c>
      <c r="AA442" s="254">
        <v>0.0</v>
      </c>
      <c r="AB442" s="254">
        <v>0.0</v>
      </c>
      <c r="AC442" s="254">
        <v>0.0</v>
      </c>
      <c r="AD442" s="254">
        <v>0.0</v>
      </c>
      <c r="AE442" s="254">
        <v>0.0</v>
      </c>
      <c r="AF442" s="254">
        <v>0.0</v>
      </c>
      <c r="AG442" s="254">
        <v>0.0</v>
      </c>
      <c r="AH442" s="254">
        <v>0.0</v>
      </c>
      <c r="AI442" s="254">
        <v>0.0</v>
      </c>
      <c r="AJ442" s="254">
        <v>0.0</v>
      </c>
      <c r="AK442" s="254">
        <v>0.0</v>
      </c>
      <c r="AL442" s="254">
        <v>0.0</v>
      </c>
      <c r="AM442" s="254">
        <v>0.0</v>
      </c>
      <c r="AN442" s="254">
        <v>0.0</v>
      </c>
      <c r="AO442" s="254">
        <v>0.0</v>
      </c>
      <c r="AP442" s="254">
        <v>0.0</v>
      </c>
      <c r="AQ442" s="254">
        <v>0.0</v>
      </c>
      <c r="AR442" s="254">
        <v>0.0</v>
      </c>
      <c r="AS442" s="254">
        <v>0.0</v>
      </c>
      <c r="AT442" s="254">
        <v>0.0</v>
      </c>
      <c r="AU442" s="254">
        <v>0.0</v>
      </c>
      <c r="AV442" s="254">
        <v>0.0</v>
      </c>
      <c r="AW442" s="90"/>
      <c r="AX442" s="90"/>
      <c r="AY442" s="90"/>
      <c r="AZ442" s="90"/>
      <c r="BA442" s="90"/>
      <c r="BB442" s="90"/>
      <c r="BC442" s="90"/>
      <c r="BD442" s="90"/>
      <c r="BE442" s="90"/>
      <c r="BF442" s="90"/>
      <c r="BG442" s="90"/>
    </row>
    <row r="443" ht="12.75" hidden="1" customHeight="1" outlineLevel="1">
      <c r="A443" s="316"/>
      <c r="B443" s="90"/>
      <c r="C443" s="148" t="s">
        <v>491</v>
      </c>
      <c r="D443" s="148"/>
      <c r="E443" s="148"/>
      <c r="F443" s="148"/>
      <c r="G443" s="150"/>
      <c r="H443" s="150"/>
      <c r="I443" s="150">
        <f t="shared" ref="I443:AV443" si="315">I436+I437+I441+I442</f>
        <v>250000</v>
      </c>
      <c r="J443" s="150">
        <f t="shared" si="315"/>
        <v>200000</v>
      </c>
      <c r="K443" s="150">
        <f t="shared" si="315"/>
        <v>159186.33</v>
      </c>
      <c r="L443" s="150">
        <f t="shared" si="315"/>
        <v>100000</v>
      </c>
      <c r="M443" s="150">
        <f t="shared" si="315"/>
        <v>50000</v>
      </c>
      <c r="N443" s="150">
        <f t="shared" si="315"/>
        <v>0</v>
      </c>
      <c r="O443" s="150">
        <f t="shared" si="315"/>
        <v>0</v>
      </c>
      <c r="P443" s="150">
        <f t="shared" si="315"/>
        <v>0</v>
      </c>
      <c r="Q443" s="150">
        <f t="shared" si="315"/>
        <v>0</v>
      </c>
      <c r="R443" s="150">
        <f t="shared" si="315"/>
        <v>0</v>
      </c>
      <c r="S443" s="150">
        <f t="shared" si="315"/>
        <v>0</v>
      </c>
      <c r="T443" s="150">
        <f t="shared" si="315"/>
        <v>0</v>
      </c>
      <c r="U443" s="150">
        <f t="shared" si="315"/>
        <v>0</v>
      </c>
      <c r="V443" s="150">
        <f t="shared" si="315"/>
        <v>0</v>
      </c>
      <c r="W443" s="150">
        <f t="shared" si="315"/>
        <v>0</v>
      </c>
      <c r="X443" s="150">
        <f t="shared" si="315"/>
        <v>0</v>
      </c>
      <c r="Y443" s="150">
        <f t="shared" si="315"/>
        <v>0</v>
      </c>
      <c r="Z443" s="150">
        <f t="shared" si="315"/>
        <v>0</v>
      </c>
      <c r="AA443" s="150">
        <f t="shared" si="315"/>
        <v>0</v>
      </c>
      <c r="AB443" s="150">
        <f t="shared" si="315"/>
        <v>0</v>
      </c>
      <c r="AC443" s="150">
        <f t="shared" si="315"/>
        <v>0</v>
      </c>
      <c r="AD443" s="150">
        <f t="shared" si="315"/>
        <v>0</v>
      </c>
      <c r="AE443" s="150">
        <f t="shared" si="315"/>
        <v>0</v>
      </c>
      <c r="AF443" s="150">
        <f t="shared" si="315"/>
        <v>0</v>
      </c>
      <c r="AG443" s="150">
        <f t="shared" si="315"/>
        <v>0</v>
      </c>
      <c r="AH443" s="150">
        <f t="shared" si="315"/>
        <v>0</v>
      </c>
      <c r="AI443" s="150">
        <f t="shared" si="315"/>
        <v>0</v>
      </c>
      <c r="AJ443" s="150">
        <f t="shared" si="315"/>
        <v>0</v>
      </c>
      <c r="AK443" s="150">
        <f t="shared" si="315"/>
        <v>0</v>
      </c>
      <c r="AL443" s="150">
        <f t="shared" si="315"/>
        <v>0</v>
      </c>
      <c r="AM443" s="150">
        <f t="shared" si="315"/>
        <v>0</v>
      </c>
      <c r="AN443" s="150">
        <f t="shared" si="315"/>
        <v>0</v>
      </c>
      <c r="AO443" s="150">
        <f t="shared" si="315"/>
        <v>0</v>
      </c>
      <c r="AP443" s="150">
        <f t="shared" si="315"/>
        <v>0</v>
      </c>
      <c r="AQ443" s="150">
        <f t="shared" si="315"/>
        <v>0</v>
      </c>
      <c r="AR443" s="150">
        <f t="shared" si="315"/>
        <v>0</v>
      </c>
      <c r="AS443" s="150">
        <f t="shared" si="315"/>
        <v>0</v>
      </c>
      <c r="AT443" s="150">
        <f t="shared" si="315"/>
        <v>0</v>
      </c>
      <c r="AU443" s="150">
        <f t="shared" si="315"/>
        <v>0</v>
      </c>
      <c r="AV443" s="150">
        <f t="shared" si="315"/>
        <v>0</v>
      </c>
      <c r="AW443" s="90"/>
      <c r="AX443" s="90"/>
      <c r="AY443" s="90"/>
      <c r="AZ443" s="90"/>
      <c r="BA443" s="90"/>
      <c r="BB443" s="90"/>
      <c r="BC443" s="90"/>
      <c r="BD443" s="90"/>
      <c r="BE443" s="90"/>
      <c r="BF443" s="90"/>
      <c r="BG443" s="90"/>
    </row>
    <row r="444" ht="12.75" hidden="1" customHeight="1" outlineLevel="1">
      <c r="A444" s="316"/>
      <c r="B444" s="90"/>
      <c r="C444" s="90"/>
      <c r="D444" s="90"/>
      <c r="E444" s="90"/>
      <c r="F444" s="90"/>
      <c r="G444" s="99"/>
      <c r="H444" s="99"/>
      <c r="I444" s="99"/>
      <c r="J444" s="99"/>
      <c r="K444" s="99"/>
      <c r="L444" s="99"/>
      <c r="M444" s="99"/>
      <c r="N444" s="99"/>
      <c r="O444" s="99"/>
      <c r="P444" s="99"/>
      <c r="Q444" s="99"/>
      <c r="R444" s="99"/>
      <c r="S444" s="99"/>
      <c r="T444" s="99"/>
      <c r="U444" s="99"/>
      <c r="V444" s="99"/>
      <c r="W444" s="99"/>
      <c r="X444" s="99"/>
      <c r="Y444" s="99"/>
      <c r="Z444" s="99"/>
      <c r="AA444" s="99"/>
      <c r="AB444" s="99"/>
      <c r="AC444" s="99"/>
      <c r="AD444" s="99"/>
      <c r="AE444" s="99"/>
      <c r="AF444" s="99"/>
      <c r="AG444" s="99"/>
      <c r="AH444" s="99"/>
      <c r="AI444" s="99"/>
      <c r="AJ444" s="99"/>
      <c r="AK444" s="99"/>
      <c r="AL444" s="99"/>
      <c r="AM444" s="99"/>
      <c r="AN444" s="99"/>
      <c r="AO444" s="99"/>
      <c r="AP444" s="99"/>
      <c r="AQ444" s="99"/>
      <c r="AR444" s="99"/>
      <c r="AS444" s="99"/>
      <c r="AT444" s="99"/>
      <c r="AU444" s="99"/>
      <c r="AV444" s="99"/>
      <c r="AW444" s="90"/>
      <c r="AX444" s="90"/>
      <c r="AY444" s="90"/>
      <c r="AZ444" s="90"/>
      <c r="BA444" s="90"/>
      <c r="BB444" s="90"/>
      <c r="BC444" s="90"/>
      <c r="BD444" s="90"/>
      <c r="BE444" s="90"/>
      <c r="BF444" s="90"/>
      <c r="BG444" s="90"/>
    </row>
    <row r="445" ht="12.75" hidden="1" customHeight="1" outlineLevel="1">
      <c r="A445" s="316"/>
      <c r="B445" s="67" t="s">
        <v>1227</v>
      </c>
      <c r="C445" s="90"/>
      <c r="D445" s="90"/>
      <c r="E445" s="90"/>
      <c r="F445" s="90"/>
      <c r="G445" s="90"/>
      <c r="H445" s="90"/>
      <c r="I445" s="90"/>
      <c r="J445" s="90"/>
      <c r="K445" s="90"/>
      <c r="L445" s="90"/>
      <c r="M445" s="90"/>
      <c r="N445" s="90"/>
      <c r="O445" s="90"/>
      <c r="P445" s="90"/>
      <c r="Q445" s="90"/>
      <c r="R445" s="90"/>
      <c r="S445" s="90"/>
      <c r="T445" s="90"/>
      <c r="U445" s="90"/>
      <c r="V445" s="90"/>
      <c r="W445" s="90"/>
      <c r="X445" s="90"/>
      <c r="Y445" s="90"/>
      <c r="Z445" s="90"/>
      <c r="AA445" s="90"/>
      <c r="AB445" s="90"/>
      <c r="AC445" s="90"/>
      <c r="AD445" s="90"/>
      <c r="AE445" s="90"/>
      <c r="AF445" s="90"/>
      <c r="AG445" s="90"/>
      <c r="AH445" s="90"/>
      <c r="AI445" s="90"/>
      <c r="AJ445" s="90"/>
      <c r="AK445" s="90"/>
      <c r="AL445" s="90"/>
      <c r="AM445" s="90"/>
      <c r="AN445" s="90"/>
      <c r="AO445" s="90"/>
      <c r="AP445" s="90"/>
      <c r="AQ445" s="90"/>
      <c r="AR445" s="90"/>
      <c r="AS445" s="90"/>
      <c r="AT445" s="90"/>
      <c r="AU445" s="90"/>
      <c r="AV445" s="90"/>
      <c r="AW445" s="90"/>
      <c r="AX445" s="90"/>
      <c r="AY445" s="90"/>
      <c r="AZ445" s="90"/>
      <c r="BA445" s="90"/>
      <c r="BB445" s="90"/>
      <c r="BC445" s="90"/>
      <c r="BD445" s="90"/>
      <c r="BE445" s="90"/>
      <c r="BF445" s="90"/>
      <c r="BG445" s="90"/>
    </row>
    <row r="446" ht="12.75" hidden="1" customHeight="1" outlineLevel="1">
      <c r="A446" s="316"/>
      <c r="B446" s="90"/>
      <c r="C446" s="90" t="s">
        <v>487</v>
      </c>
      <c r="D446" s="90"/>
      <c r="E446" s="90"/>
      <c r="F446" s="90"/>
      <c r="G446" s="254"/>
      <c r="H446" s="99"/>
      <c r="I446" s="99">
        <v>0.0</v>
      </c>
      <c r="J446" s="99">
        <v>650000.0</v>
      </c>
      <c r="K446" s="99">
        <f>+J453</f>
        <v>325000</v>
      </c>
      <c r="L446" s="99">
        <v>0.0</v>
      </c>
      <c r="M446" s="99" t="str">
        <f t="shared" ref="M446:AV446" si="316">+L453</f>
        <v>#REF!</v>
      </c>
      <c r="N446" s="99" t="str">
        <f t="shared" si="316"/>
        <v>#REF!</v>
      </c>
      <c r="O446" s="99" t="str">
        <f t="shared" si="316"/>
        <v>#REF!</v>
      </c>
      <c r="P446" s="99" t="str">
        <f t="shared" si="316"/>
        <v>#REF!</v>
      </c>
      <c r="Q446" s="99" t="str">
        <f t="shared" si="316"/>
        <v>#REF!</v>
      </c>
      <c r="R446" s="99" t="str">
        <f t="shared" si="316"/>
        <v>#REF!</v>
      </c>
      <c r="S446" s="99" t="str">
        <f t="shared" si="316"/>
        <v>#REF!</v>
      </c>
      <c r="T446" s="99" t="str">
        <f t="shared" si="316"/>
        <v>#REF!</v>
      </c>
      <c r="U446" s="99" t="str">
        <f t="shared" si="316"/>
        <v>#REF!</v>
      </c>
      <c r="V446" s="99" t="str">
        <f t="shared" si="316"/>
        <v>#REF!</v>
      </c>
      <c r="W446" s="99" t="str">
        <f t="shared" si="316"/>
        <v>#REF!</v>
      </c>
      <c r="X446" s="99" t="str">
        <f t="shared" si="316"/>
        <v>#REF!</v>
      </c>
      <c r="Y446" s="99" t="str">
        <f t="shared" si="316"/>
        <v>#REF!</v>
      </c>
      <c r="Z446" s="99" t="str">
        <f t="shared" si="316"/>
        <v>#REF!</v>
      </c>
      <c r="AA446" s="99" t="str">
        <f t="shared" si="316"/>
        <v>#REF!</v>
      </c>
      <c r="AB446" s="99" t="str">
        <f t="shared" si="316"/>
        <v>#REF!</v>
      </c>
      <c r="AC446" s="99" t="str">
        <f t="shared" si="316"/>
        <v>#REF!</v>
      </c>
      <c r="AD446" s="99" t="str">
        <f t="shared" si="316"/>
        <v>#REF!</v>
      </c>
      <c r="AE446" s="99" t="str">
        <f t="shared" si="316"/>
        <v>#REF!</v>
      </c>
      <c r="AF446" s="99" t="str">
        <f t="shared" si="316"/>
        <v>#REF!</v>
      </c>
      <c r="AG446" s="99" t="str">
        <f t="shared" si="316"/>
        <v>#REF!</v>
      </c>
      <c r="AH446" s="99" t="str">
        <f t="shared" si="316"/>
        <v>#REF!</v>
      </c>
      <c r="AI446" s="99" t="str">
        <f t="shared" si="316"/>
        <v>#REF!</v>
      </c>
      <c r="AJ446" s="99" t="str">
        <f t="shared" si="316"/>
        <v>#REF!</v>
      </c>
      <c r="AK446" s="99" t="str">
        <f t="shared" si="316"/>
        <v>#REF!</v>
      </c>
      <c r="AL446" s="99" t="str">
        <f t="shared" si="316"/>
        <v>#REF!</v>
      </c>
      <c r="AM446" s="99" t="str">
        <f t="shared" si="316"/>
        <v>#REF!</v>
      </c>
      <c r="AN446" s="99" t="str">
        <f t="shared" si="316"/>
        <v>#REF!</v>
      </c>
      <c r="AO446" s="99" t="str">
        <f t="shared" si="316"/>
        <v>#REF!</v>
      </c>
      <c r="AP446" s="99" t="str">
        <f t="shared" si="316"/>
        <v>#REF!</v>
      </c>
      <c r="AQ446" s="99" t="str">
        <f t="shared" si="316"/>
        <v>#REF!</v>
      </c>
      <c r="AR446" s="99" t="str">
        <f t="shared" si="316"/>
        <v>#REF!</v>
      </c>
      <c r="AS446" s="99" t="str">
        <f t="shared" si="316"/>
        <v>#REF!</v>
      </c>
      <c r="AT446" s="99" t="str">
        <f t="shared" si="316"/>
        <v>#REF!</v>
      </c>
      <c r="AU446" s="99" t="str">
        <f t="shared" si="316"/>
        <v>#REF!</v>
      </c>
      <c r="AV446" s="99" t="str">
        <f t="shared" si="316"/>
        <v>#REF!</v>
      </c>
      <c r="AW446" s="90"/>
      <c r="AX446" s="90"/>
      <c r="AY446" s="90"/>
      <c r="AZ446" s="90"/>
      <c r="BA446" s="90"/>
      <c r="BB446" s="90"/>
      <c r="BC446" s="90"/>
      <c r="BD446" s="90"/>
      <c r="BE446" s="90"/>
      <c r="BF446" s="90"/>
      <c r="BG446" s="90"/>
    </row>
    <row r="447" ht="12.75" hidden="1" customHeight="1" outlineLevel="1">
      <c r="A447" s="555"/>
      <c r="B447" s="90"/>
      <c r="C447" s="90" t="s">
        <v>488</v>
      </c>
      <c r="D447" s="90"/>
      <c r="E447" s="90"/>
      <c r="F447" s="90"/>
      <c r="G447" s="99"/>
      <c r="H447" s="99"/>
      <c r="I447" s="99">
        <v>0.0</v>
      </c>
      <c r="J447" s="254">
        <v>0.0</v>
      </c>
      <c r="K447" s="254">
        <v>0.0</v>
      </c>
      <c r="L447" s="254" t="str">
        <f t="shared" ref="L447:AV447" si="317">IF(L457&gt;L455,0,IF(L457+K453&gt;L455,0,MIN(L455-L457-K453,L456-K453)))</f>
        <v>#REF!</v>
      </c>
      <c r="M447" s="254" t="str">
        <f t="shared" si="317"/>
        <v>#REF!</v>
      </c>
      <c r="N447" s="254" t="str">
        <f t="shared" si="317"/>
        <v>#REF!</v>
      </c>
      <c r="O447" s="254" t="str">
        <f t="shared" si="317"/>
        <v>#REF!</v>
      </c>
      <c r="P447" s="254" t="str">
        <f t="shared" si="317"/>
        <v>#REF!</v>
      </c>
      <c r="Q447" s="254" t="str">
        <f t="shared" si="317"/>
        <v>#REF!</v>
      </c>
      <c r="R447" s="254" t="str">
        <f t="shared" si="317"/>
        <v>#REF!</v>
      </c>
      <c r="S447" s="254" t="str">
        <f t="shared" si="317"/>
        <v>#REF!</v>
      </c>
      <c r="T447" s="254" t="str">
        <f t="shared" si="317"/>
        <v>#REF!</v>
      </c>
      <c r="U447" s="254" t="str">
        <f t="shared" si="317"/>
        <v>#REF!</v>
      </c>
      <c r="V447" s="254" t="str">
        <f t="shared" si="317"/>
        <v>#REF!</v>
      </c>
      <c r="W447" s="254" t="str">
        <f t="shared" si="317"/>
        <v>#REF!</v>
      </c>
      <c r="X447" s="254" t="str">
        <f t="shared" si="317"/>
        <v>#REF!</v>
      </c>
      <c r="Y447" s="254" t="str">
        <f t="shared" si="317"/>
        <v>#REF!</v>
      </c>
      <c r="Z447" s="254" t="str">
        <f t="shared" si="317"/>
        <v>#REF!</v>
      </c>
      <c r="AA447" s="254" t="str">
        <f t="shared" si="317"/>
        <v>#REF!</v>
      </c>
      <c r="AB447" s="254" t="str">
        <f t="shared" si="317"/>
        <v>#REF!</v>
      </c>
      <c r="AC447" s="254" t="str">
        <f t="shared" si="317"/>
        <v>#REF!</v>
      </c>
      <c r="AD447" s="254" t="str">
        <f t="shared" si="317"/>
        <v>#REF!</v>
      </c>
      <c r="AE447" s="254" t="str">
        <f t="shared" si="317"/>
        <v>#REF!</v>
      </c>
      <c r="AF447" s="254" t="str">
        <f t="shared" si="317"/>
        <v>#REF!</v>
      </c>
      <c r="AG447" s="254" t="str">
        <f t="shared" si="317"/>
        <v>#REF!</v>
      </c>
      <c r="AH447" s="254" t="str">
        <f t="shared" si="317"/>
        <v>#REF!</v>
      </c>
      <c r="AI447" s="254" t="str">
        <f t="shared" si="317"/>
        <v>#REF!</v>
      </c>
      <c r="AJ447" s="254" t="str">
        <f t="shared" si="317"/>
        <v>#REF!</v>
      </c>
      <c r="AK447" s="254" t="str">
        <f t="shared" si="317"/>
        <v>#REF!</v>
      </c>
      <c r="AL447" s="254" t="str">
        <f t="shared" si="317"/>
        <v>#REF!</v>
      </c>
      <c r="AM447" s="254" t="str">
        <f t="shared" si="317"/>
        <v>#REF!</v>
      </c>
      <c r="AN447" s="254" t="str">
        <f t="shared" si="317"/>
        <v>#REF!</v>
      </c>
      <c r="AO447" s="254" t="str">
        <f t="shared" si="317"/>
        <v>#REF!</v>
      </c>
      <c r="AP447" s="254" t="str">
        <f t="shared" si="317"/>
        <v>#REF!</v>
      </c>
      <c r="AQ447" s="254" t="str">
        <f t="shared" si="317"/>
        <v>#REF!</v>
      </c>
      <c r="AR447" s="254" t="str">
        <f t="shared" si="317"/>
        <v>#REF!</v>
      </c>
      <c r="AS447" s="254" t="str">
        <f t="shared" si="317"/>
        <v>#REF!</v>
      </c>
      <c r="AT447" s="254" t="str">
        <f t="shared" si="317"/>
        <v>#REF!</v>
      </c>
      <c r="AU447" s="254" t="str">
        <f t="shared" si="317"/>
        <v>#REF!</v>
      </c>
      <c r="AV447" s="254" t="str">
        <f t="shared" si="317"/>
        <v>#REF!</v>
      </c>
      <c r="AW447" s="90"/>
      <c r="AX447" s="90"/>
      <c r="AY447" s="90"/>
      <c r="AZ447" s="90"/>
      <c r="BA447" s="90"/>
      <c r="BB447" s="90"/>
      <c r="BC447" s="90"/>
      <c r="BD447" s="90"/>
      <c r="BE447" s="90"/>
      <c r="BF447" s="90"/>
      <c r="BG447" s="90"/>
    </row>
    <row r="448" ht="12.75" hidden="1" customHeight="1" outlineLevel="1">
      <c r="A448" s="316"/>
      <c r="B448" s="90"/>
      <c r="C448" s="90" t="s">
        <v>490</v>
      </c>
      <c r="D448" s="90"/>
      <c r="E448" s="90"/>
      <c r="F448" s="90"/>
      <c r="G448" s="254"/>
      <c r="H448" s="254"/>
      <c r="I448" s="254"/>
      <c r="J448" s="254"/>
      <c r="K448" s="254"/>
      <c r="L448" s="254"/>
      <c r="M448" s="254"/>
      <c r="N448" s="254"/>
      <c r="O448" s="254"/>
      <c r="P448" s="254"/>
      <c r="Q448" s="254"/>
      <c r="R448" s="254"/>
      <c r="S448" s="254"/>
      <c r="T448" s="254"/>
      <c r="U448" s="254"/>
      <c r="V448" s="254"/>
      <c r="W448" s="254"/>
      <c r="X448" s="254"/>
      <c r="Y448" s="254"/>
      <c r="Z448" s="254"/>
      <c r="AA448" s="254"/>
      <c r="AB448" s="254"/>
      <c r="AC448" s="254"/>
      <c r="AD448" s="254"/>
      <c r="AE448" s="254"/>
      <c r="AF448" s="254"/>
      <c r="AG448" s="254"/>
      <c r="AH448" s="254"/>
      <c r="AI448" s="254"/>
      <c r="AJ448" s="254"/>
      <c r="AK448" s="254"/>
      <c r="AL448" s="254"/>
      <c r="AM448" s="254"/>
      <c r="AN448" s="254"/>
      <c r="AO448" s="254"/>
      <c r="AP448" s="254"/>
      <c r="AQ448" s="254"/>
      <c r="AR448" s="254"/>
      <c r="AS448" s="254"/>
      <c r="AT448" s="254"/>
      <c r="AU448" s="254"/>
      <c r="AV448" s="254"/>
      <c r="AW448" s="90"/>
      <c r="AX448" s="90"/>
      <c r="AY448" s="90"/>
      <c r="AZ448" s="90"/>
      <c r="BA448" s="90"/>
      <c r="BB448" s="90"/>
      <c r="BC448" s="90"/>
      <c r="BD448" s="90"/>
      <c r="BE448" s="90"/>
      <c r="BF448" s="90"/>
      <c r="BG448" s="90"/>
    </row>
    <row r="449" ht="12.75" hidden="1" customHeight="1" outlineLevel="1">
      <c r="A449" s="316"/>
      <c r="B449" s="90"/>
      <c r="C449" s="90"/>
      <c r="D449" s="90" t="s">
        <v>701</v>
      </c>
      <c r="E449" s="90"/>
      <c r="F449" s="90"/>
      <c r="G449" s="254"/>
      <c r="H449" s="254"/>
      <c r="I449" s="99">
        <v>0.0</v>
      </c>
      <c r="J449" s="99">
        <v>-325000.0</v>
      </c>
      <c r="K449" s="99">
        <f>J449</f>
        <v>-325000</v>
      </c>
      <c r="L449" s="99">
        <v>0.0</v>
      </c>
      <c r="M449" s="99">
        <v>0.0</v>
      </c>
      <c r="N449" s="99">
        <v>0.0</v>
      </c>
      <c r="O449" s="99" t="str">
        <f t="shared" ref="O449:AV449" si="318">IF(O447&gt;0,0,IF(N453=0,0,IF(O457+N453&gt;O455,MAX(-N453,O455-O457-N453),IF(O456&lt;N453,O456-N453))))</f>
        <v>#REF!</v>
      </c>
      <c r="P449" s="99" t="str">
        <f t="shared" si="318"/>
        <v>#REF!</v>
      </c>
      <c r="Q449" s="99" t="str">
        <f t="shared" si="318"/>
        <v>#REF!</v>
      </c>
      <c r="R449" s="99" t="str">
        <f t="shared" si="318"/>
        <v>#REF!</v>
      </c>
      <c r="S449" s="99" t="str">
        <f t="shared" si="318"/>
        <v>#REF!</v>
      </c>
      <c r="T449" s="99" t="str">
        <f t="shared" si="318"/>
        <v>#REF!</v>
      </c>
      <c r="U449" s="99" t="str">
        <f t="shared" si="318"/>
        <v>#REF!</v>
      </c>
      <c r="V449" s="99" t="str">
        <f t="shared" si="318"/>
        <v>#REF!</v>
      </c>
      <c r="W449" s="99" t="str">
        <f t="shared" si="318"/>
        <v>#REF!</v>
      </c>
      <c r="X449" s="99" t="str">
        <f t="shared" si="318"/>
        <v>#REF!</v>
      </c>
      <c r="Y449" s="99" t="str">
        <f t="shared" si="318"/>
        <v>#REF!</v>
      </c>
      <c r="Z449" s="99" t="str">
        <f t="shared" si="318"/>
        <v>#REF!</v>
      </c>
      <c r="AA449" s="99" t="str">
        <f t="shared" si="318"/>
        <v>#REF!</v>
      </c>
      <c r="AB449" s="99" t="str">
        <f t="shared" si="318"/>
        <v>#REF!</v>
      </c>
      <c r="AC449" s="99" t="str">
        <f t="shared" si="318"/>
        <v>#REF!</v>
      </c>
      <c r="AD449" s="99" t="str">
        <f t="shared" si="318"/>
        <v>#REF!</v>
      </c>
      <c r="AE449" s="99" t="str">
        <f t="shared" si="318"/>
        <v>#REF!</v>
      </c>
      <c r="AF449" s="99" t="str">
        <f t="shared" si="318"/>
        <v>#REF!</v>
      </c>
      <c r="AG449" s="99" t="str">
        <f t="shared" si="318"/>
        <v>#REF!</v>
      </c>
      <c r="AH449" s="99" t="str">
        <f t="shared" si="318"/>
        <v>#REF!</v>
      </c>
      <c r="AI449" s="99" t="str">
        <f t="shared" si="318"/>
        <v>#REF!</v>
      </c>
      <c r="AJ449" s="99" t="str">
        <f t="shared" si="318"/>
        <v>#REF!</v>
      </c>
      <c r="AK449" s="99" t="str">
        <f t="shared" si="318"/>
        <v>#REF!</v>
      </c>
      <c r="AL449" s="99" t="str">
        <f t="shared" si="318"/>
        <v>#REF!</v>
      </c>
      <c r="AM449" s="99" t="str">
        <f t="shared" si="318"/>
        <v>#REF!</v>
      </c>
      <c r="AN449" s="99" t="str">
        <f t="shared" si="318"/>
        <v>#REF!</v>
      </c>
      <c r="AO449" s="99" t="str">
        <f t="shared" si="318"/>
        <v>#REF!</v>
      </c>
      <c r="AP449" s="99" t="str">
        <f t="shared" si="318"/>
        <v>#REF!</v>
      </c>
      <c r="AQ449" s="99" t="str">
        <f t="shared" si="318"/>
        <v>#REF!</v>
      </c>
      <c r="AR449" s="99" t="str">
        <f t="shared" si="318"/>
        <v>#REF!</v>
      </c>
      <c r="AS449" s="99" t="str">
        <f t="shared" si="318"/>
        <v>#REF!</v>
      </c>
      <c r="AT449" s="99" t="str">
        <f t="shared" si="318"/>
        <v>#REF!</v>
      </c>
      <c r="AU449" s="99" t="str">
        <f t="shared" si="318"/>
        <v>#REF!</v>
      </c>
      <c r="AV449" s="99" t="str">
        <f t="shared" si="318"/>
        <v>#REF!</v>
      </c>
      <c r="AW449" s="90"/>
      <c r="AX449" s="90"/>
      <c r="AY449" s="90"/>
      <c r="AZ449" s="90"/>
      <c r="BA449" s="90"/>
      <c r="BB449" s="90"/>
      <c r="BC449" s="90"/>
      <c r="BD449" s="90"/>
      <c r="BE449" s="90"/>
      <c r="BF449" s="90"/>
      <c r="BG449" s="90"/>
    </row>
    <row r="450" ht="12.75" hidden="1" customHeight="1" outlineLevel="1">
      <c r="A450" s="316"/>
      <c r="B450" s="90"/>
      <c r="C450" s="90"/>
      <c r="D450" s="90" t="s">
        <v>489</v>
      </c>
      <c r="E450" s="90"/>
      <c r="F450" s="90"/>
      <c r="G450" s="254"/>
      <c r="H450" s="254"/>
      <c r="I450" s="99">
        <v>0.0</v>
      </c>
      <c r="J450" s="99">
        <f>-J393</f>
        <v>-59677.25</v>
      </c>
      <c r="K450" s="99">
        <v>0.0</v>
      </c>
      <c r="L450" s="99">
        <v>0.0</v>
      </c>
      <c r="M450" s="99">
        <v>0.0</v>
      </c>
      <c r="N450" s="99">
        <v>0.0</v>
      </c>
      <c r="O450" s="99">
        <v>0.0</v>
      </c>
      <c r="P450" s="99">
        <v>0.0</v>
      </c>
      <c r="Q450" s="99">
        <v>0.0</v>
      </c>
      <c r="R450" s="99">
        <v>0.0</v>
      </c>
      <c r="S450" s="99">
        <v>0.0</v>
      </c>
      <c r="T450" s="99">
        <v>0.0</v>
      </c>
      <c r="U450" s="99">
        <v>0.0</v>
      </c>
      <c r="V450" s="99">
        <v>0.0</v>
      </c>
      <c r="W450" s="99">
        <v>0.0</v>
      </c>
      <c r="X450" s="99">
        <v>0.0</v>
      </c>
      <c r="Y450" s="99">
        <v>0.0</v>
      </c>
      <c r="Z450" s="99">
        <v>0.0</v>
      </c>
      <c r="AA450" s="99">
        <v>0.0</v>
      </c>
      <c r="AB450" s="99">
        <v>0.0</v>
      </c>
      <c r="AC450" s="99">
        <v>0.0</v>
      </c>
      <c r="AD450" s="99">
        <v>0.0</v>
      </c>
      <c r="AE450" s="99">
        <v>0.0</v>
      </c>
      <c r="AF450" s="99">
        <v>0.0</v>
      </c>
      <c r="AG450" s="99">
        <v>0.0</v>
      </c>
      <c r="AH450" s="99">
        <v>0.0</v>
      </c>
      <c r="AI450" s="99">
        <v>0.0</v>
      </c>
      <c r="AJ450" s="99">
        <v>0.0</v>
      </c>
      <c r="AK450" s="99">
        <v>0.0</v>
      </c>
      <c r="AL450" s="99">
        <v>0.0</v>
      </c>
      <c r="AM450" s="99">
        <v>0.0</v>
      </c>
      <c r="AN450" s="99">
        <v>0.0</v>
      </c>
      <c r="AO450" s="99">
        <v>0.0</v>
      </c>
      <c r="AP450" s="99">
        <v>0.0</v>
      </c>
      <c r="AQ450" s="99">
        <v>0.0</v>
      </c>
      <c r="AR450" s="99">
        <v>0.0</v>
      </c>
      <c r="AS450" s="99">
        <v>0.0</v>
      </c>
      <c r="AT450" s="99">
        <v>0.0</v>
      </c>
      <c r="AU450" s="99">
        <v>0.0</v>
      </c>
      <c r="AV450" s="99">
        <v>0.0</v>
      </c>
      <c r="AW450" s="90"/>
      <c r="AX450" s="90"/>
      <c r="AY450" s="90"/>
      <c r="AZ450" s="90"/>
      <c r="BA450" s="90"/>
      <c r="BB450" s="90"/>
      <c r="BC450" s="90"/>
      <c r="BD450" s="90"/>
      <c r="BE450" s="90"/>
      <c r="BF450" s="90"/>
      <c r="BG450" s="90"/>
    </row>
    <row r="451" ht="12.75" hidden="1" customHeight="1" outlineLevel="1">
      <c r="A451" s="316"/>
      <c r="B451" s="90"/>
      <c r="C451" s="148" t="s">
        <v>490</v>
      </c>
      <c r="D451" s="148"/>
      <c r="E451" s="148"/>
      <c r="F451" s="148"/>
      <c r="G451" s="394"/>
      <c r="H451" s="394"/>
      <c r="I451" s="394">
        <v>0.0</v>
      </c>
      <c r="J451" s="394">
        <f>-325000</f>
        <v>-325000</v>
      </c>
      <c r="K451" s="394">
        <f t="shared" ref="K451:N451" si="319">SUM(K449:K450)</f>
        <v>-325000</v>
      </c>
      <c r="L451" s="394">
        <f t="shared" si="319"/>
        <v>0</v>
      </c>
      <c r="M451" s="394">
        <f t="shared" si="319"/>
        <v>0</v>
      </c>
      <c r="N451" s="394">
        <f t="shared" si="319"/>
        <v>0</v>
      </c>
      <c r="O451" s="394">
        <v>0.0</v>
      </c>
      <c r="P451" s="394">
        <v>0.0</v>
      </c>
      <c r="Q451" s="394">
        <v>0.0</v>
      </c>
      <c r="R451" s="394">
        <v>0.0</v>
      </c>
      <c r="S451" s="394">
        <v>0.0</v>
      </c>
      <c r="T451" s="394">
        <v>0.0</v>
      </c>
      <c r="U451" s="394">
        <v>0.0</v>
      </c>
      <c r="V451" s="394">
        <v>0.0</v>
      </c>
      <c r="W451" s="394">
        <v>0.0</v>
      </c>
      <c r="X451" s="394">
        <v>0.0</v>
      </c>
      <c r="Y451" s="394">
        <v>0.0</v>
      </c>
      <c r="Z451" s="394">
        <v>0.0</v>
      </c>
      <c r="AA451" s="394">
        <v>0.0</v>
      </c>
      <c r="AB451" s="394">
        <v>0.0</v>
      </c>
      <c r="AC451" s="394">
        <v>0.0</v>
      </c>
      <c r="AD451" s="394">
        <v>0.0</v>
      </c>
      <c r="AE451" s="394">
        <v>0.0</v>
      </c>
      <c r="AF451" s="394">
        <v>0.0</v>
      </c>
      <c r="AG451" s="394">
        <v>0.0</v>
      </c>
      <c r="AH451" s="394">
        <v>0.0</v>
      </c>
      <c r="AI451" s="394">
        <v>0.0</v>
      </c>
      <c r="AJ451" s="394">
        <v>0.0</v>
      </c>
      <c r="AK451" s="394">
        <v>0.0</v>
      </c>
      <c r="AL451" s="394">
        <v>0.0</v>
      </c>
      <c r="AM451" s="394">
        <v>0.0</v>
      </c>
      <c r="AN451" s="394">
        <v>0.0</v>
      </c>
      <c r="AO451" s="394">
        <v>0.0</v>
      </c>
      <c r="AP451" s="394">
        <v>0.0</v>
      </c>
      <c r="AQ451" s="394">
        <v>0.0</v>
      </c>
      <c r="AR451" s="394">
        <v>0.0</v>
      </c>
      <c r="AS451" s="394">
        <v>0.0</v>
      </c>
      <c r="AT451" s="394">
        <v>0.0</v>
      </c>
      <c r="AU451" s="394">
        <v>0.0</v>
      </c>
      <c r="AV451" s="394">
        <v>0.0</v>
      </c>
      <c r="AW451" s="90"/>
      <c r="AX451" s="90"/>
      <c r="AY451" s="90"/>
      <c r="AZ451" s="90"/>
      <c r="BA451" s="90"/>
      <c r="BB451" s="90"/>
      <c r="BC451" s="90"/>
      <c r="BD451" s="90"/>
      <c r="BE451" s="90"/>
      <c r="BF451" s="90"/>
      <c r="BG451" s="90"/>
    </row>
    <row r="452" ht="12.75" hidden="1" customHeight="1" outlineLevel="1">
      <c r="A452" s="555"/>
      <c r="B452" s="90"/>
      <c r="C452" s="90" t="s">
        <v>850</v>
      </c>
      <c r="D452" s="90"/>
      <c r="E452" s="90"/>
      <c r="F452" s="90"/>
      <c r="G452" s="99"/>
      <c r="H452" s="99"/>
      <c r="I452" s="99">
        <v>0.0</v>
      </c>
      <c r="J452" s="99">
        <v>0.0</v>
      </c>
      <c r="K452" s="99">
        <v>0.0</v>
      </c>
      <c r="L452" s="99">
        <v>0.0</v>
      </c>
      <c r="M452" s="99">
        <v>0.0</v>
      </c>
      <c r="N452" s="99">
        <v>0.0</v>
      </c>
      <c r="O452" s="99">
        <v>0.0</v>
      </c>
      <c r="P452" s="99">
        <v>0.0</v>
      </c>
      <c r="Q452" s="99">
        <v>0.0</v>
      </c>
      <c r="R452" s="99">
        <v>0.0</v>
      </c>
      <c r="S452" s="99">
        <v>0.0</v>
      </c>
      <c r="T452" s="99">
        <v>0.0</v>
      </c>
      <c r="U452" s="99">
        <v>0.0</v>
      </c>
      <c r="V452" s="99">
        <v>0.0</v>
      </c>
      <c r="W452" s="99">
        <v>0.0</v>
      </c>
      <c r="X452" s="99">
        <v>0.0</v>
      </c>
      <c r="Y452" s="99">
        <v>0.0</v>
      </c>
      <c r="Z452" s="99">
        <v>0.0</v>
      </c>
      <c r="AA452" s="99">
        <v>0.0</v>
      </c>
      <c r="AB452" s="99">
        <v>0.0</v>
      </c>
      <c r="AC452" s="99">
        <v>0.0</v>
      </c>
      <c r="AD452" s="99">
        <v>0.0</v>
      </c>
      <c r="AE452" s="99">
        <v>0.0</v>
      </c>
      <c r="AF452" s="99">
        <v>0.0</v>
      </c>
      <c r="AG452" s="99">
        <v>0.0</v>
      </c>
      <c r="AH452" s="99">
        <v>0.0</v>
      </c>
      <c r="AI452" s="99">
        <v>0.0</v>
      </c>
      <c r="AJ452" s="99">
        <v>0.0</v>
      </c>
      <c r="AK452" s="99">
        <v>0.0</v>
      </c>
      <c r="AL452" s="99">
        <v>0.0</v>
      </c>
      <c r="AM452" s="99">
        <v>0.0</v>
      </c>
      <c r="AN452" s="99">
        <v>0.0</v>
      </c>
      <c r="AO452" s="99">
        <v>0.0</v>
      </c>
      <c r="AP452" s="99">
        <v>0.0</v>
      </c>
      <c r="AQ452" s="99">
        <v>0.0</v>
      </c>
      <c r="AR452" s="99">
        <v>0.0</v>
      </c>
      <c r="AS452" s="99">
        <v>0.0</v>
      </c>
      <c r="AT452" s="99">
        <v>0.0</v>
      </c>
      <c r="AU452" s="99">
        <v>0.0</v>
      </c>
      <c r="AV452" s="99">
        <v>0.0</v>
      </c>
      <c r="AW452" s="90"/>
      <c r="AX452" s="90"/>
      <c r="AY452" s="90"/>
      <c r="AZ452" s="90"/>
      <c r="BA452" s="90"/>
      <c r="BB452" s="90"/>
      <c r="BC452" s="90"/>
      <c r="BD452" s="90"/>
      <c r="BE452" s="90"/>
      <c r="BF452" s="90"/>
      <c r="BG452" s="90"/>
    </row>
    <row r="453" ht="12.75" hidden="1" customHeight="1" outlineLevel="1">
      <c r="A453" s="316"/>
      <c r="B453" s="90"/>
      <c r="C453" s="148" t="s">
        <v>491</v>
      </c>
      <c r="D453" s="148"/>
      <c r="E453" s="148"/>
      <c r="F453" s="148"/>
      <c r="G453" s="150"/>
      <c r="H453" s="150"/>
      <c r="I453" s="150">
        <f t="shared" ref="I453:N453" si="320">I446+I447+I451+I452</f>
        <v>0</v>
      </c>
      <c r="J453" s="150">
        <f t="shared" si="320"/>
        <v>325000</v>
      </c>
      <c r="K453" s="150">
        <f t="shared" si="320"/>
        <v>0</v>
      </c>
      <c r="L453" s="150" t="str">
        <f t="shared" si="320"/>
        <v>#REF!</v>
      </c>
      <c r="M453" s="150" t="str">
        <f t="shared" si="320"/>
        <v>#REF!</v>
      </c>
      <c r="N453" s="150" t="str">
        <f t="shared" si="320"/>
        <v>#REF!</v>
      </c>
      <c r="O453" s="150" t="str">
        <f t="shared" ref="O453:AV453" si="321">SUM(O446:O452)</f>
        <v>#REF!</v>
      </c>
      <c r="P453" s="150" t="str">
        <f t="shared" si="321"/>
        <v>#REF!</v>
      </c>
      <c r="Q453" s="150" t="str">
        <f t="shared" si="321"/>
        <v>#REF!</v>
      </c>
      <c r="R453" s="150" t="str">
        <f t="shared" si="321"/>
        <v>#REF!</v>
      </c>
      <c r="S453" s="150" t="str">
        <f t="shared" si="321"/>
        <v>#REF!</v>
      </c>
      <c r="T453" s="150" t="str">
        <f t="shared" si="321"/>
        <v>#REF!</v>
      </c>
      <c r="U453" s="150" t="str">
        <f t="shared" si="321"/>
        <v>#REF!</v>
      </c>
      <c r="V453" s="150" t="str">
        <f t="shared" si="321"/>
        <v>#REF!</v>
      </c>
      <c r="W453" s="150" t="str">
        <f t="shared" si="321"/>
        <v>#REF!</v>
      </c>
      <c r="X453" s="150" t="str">
        <f t="shared" si="321"/>
        <v>#REF!</v>
      </c>
      <c r="Y453" s="150" t="str">
        <f t="shared" si="321"/>
        <v>#REF!</v>
      </c>
      <c r="Z453" s="150" t="str">
        <f t="shared" si="321"/>
        <v>#REF!</v>
      </c>
      <c r="AA453" s="150" t="str">
        <f t="shared" si="321"/>
        <v>#REF!</v>
      </c>
      <c r="AB453" s="150" t="str">
        <f t="shared" si="321"/>
        <v>#REF!</v>
      </c>
      <c r="AC453" s="150" t="str">
        <f t="shared" si="321"/>
        <v>#REF!</v>
      </c>
      <c r="AD453" s="150" t="str">
        <f t="shared" si="321"/>
        <v>#REF!</v>
      </c>
      <c r="AE453" s="150" t="str">
        <f t="shared" si="321"/>
        <v>#REF!</v>
      </c>
      <c r="AF453" s="150" t="str">
        <f t="shared" si="321"/>
        <v>#REF!</v>
      </c>
      <c r="AG453" s="150" t="str">
        <f t="shared" si="321"/>
        <v>#REF!</v>
      </c>
      <c r="AH453" s="150" t="str">
        <f t="shared" si="321"/>
        <v>#REF!</v>
      </c>
      <c r="AI453" s="150" t="str">
        <f t="shared" si="321"/>
        <v>#REF!</v>
      </c>
      <c r="AJ453" s="150" t="str">
        <f t="shared" si="321"/>
        <v>#REF!</v>
      </c>
      <c r="AK453" s="150" t="str">
        <f t="shared" si="321"/>
        <v>#REF!</v>
      </c>
      <c r="AL453" s="150" t="str">
        <f t="shared" si="321"/>
        <v>#REF!</v>
      </c>
      <c r="AM453" s="150" t="str">
        <f t="shared" si="321"/>
        <v>#REF!</v>
      </c>
      <c r="AN453" s="150" t="str">
        <f t="shared" si="321"/>
        <v>#REF!</v>
      </c>
      <c r="AO453" s="150" t="str">
        <f t="shared" si="321"/>
        <v>#REF!</v>
      </c>
      <c r="AP453" s="150" t="str">
        <f t="shared" si="321"/>
        <v>#REF!</v>
      </c>
      <c r="AQ453" s="150" t="str">
        <f t="shared" si="321"/>
        <v>#REF!</v>
      </c>
      <c r="AR453" s="150" t="str">
        <f t="shared" si="321"/>
        <v>#REF!</v>
      </c>
      <c r="AS453" s="150" t="str">
        <f t="shared" si="321"/>
        <v>#REF!</v>
      </c>
      <c r="AT453" s="150" t="str">
        <f t="shared" si="321"/>
        <v>#REF!</v>
      </c>
      <c r="AU453" s="150" t="str">
        <f t="shared" si="321"/>
        <v>#REF!</v>
      </c>
      <c r="AV453" s="150" t="str">
        <f t="shared" si="321"/>
        <v>#REF!</v>
      </c>
      <c r="AW453" s="90"/>
      <c r="AX453" s="90"/>
      <c r="AY453" s="90"/>
      <c r="AZ453" s="90"/>
      <c r="BA453" s="90"/>
      <c r="BB453" s="90"/>
      <c r="BC453" s="90"/>
      <c r="BD453" s="90"/>
      <c r="BE453" s="90"/>
      <c r="BF453" s="90"/>
      <c r="BG453" s="90"/>
    </row>
    <row r="454" ht="12.75" hidden="1" customHeight="1" outlineLevel="1">
      <c r="A454" s="316"/>
      <c r="B454" s="90"/>
      <c r="C454" s="90"/>
      <c r="D454" s="90"/>
      <c r="E454" s="90"/>
      <c r="F454" s="90"/>
      <c r="G454" s="99"/>
      <c r="H454" s="99"/>
      <c r="I454" s="99"/>
      <c r="J454" s="99"/>
      <c r="K454" s="99"/>
      <c r="L454" s="99"/>
      <c r="M454" s="99"/>
      <c r="N454" s="99"/>
      <c r="O454" s="99"/>
      <c r="P454" s="99"/>
      <c r="Q454" s="99"/>
      <c r="R454" s="99"/>
      <c r="S454" s="99"/>
      <c r="T454" s="99"/>
      <c r="U454" s="99"/>
      <c r="V454" s="99"/>
      <c r="W454" s="99"/>
      <c r="X454" s="99"/>
      <c r="Y454" s="99"/>
      <c r="Z454" s="99"/>
      <c r="AA454" s="99"/>
      <c r="AB454" s="99"/>
      <c r="AC454" s="99"/>
      <c r="AD454" s="99"/>
      <c r="AE454" s="99"/>
      <c r="AF454" s="99"/>
      <c r="AG454" s="99"/>
      <c r="AH454" s="99"/>
      <c r="AI454" s="99"/>
      <c r="AJ454" s="99"/>
      <c r="AK454" s="99"/>
      <c r="AL454" s="99"/>
      <c r="AM454" s="99"/>
      <c r="AN454" s="99"/>
      <c r="AO454" s="99"/>
      <c r="AP454" s="99"/>
      <c r="AQ454" s="99"/>
      <c r="AR454" s="99"/>
      <c r="AS454" s="99"/>
      <c r="AT454" s="99"/>
      <c r="AU454" s="99"/>
      <c r="AV454" s="99"/>
      <c r="AW454" s="90"/>
      <c r="AX454" s="90"/>
      <c r="AY454" s="90"/>
      <c r="AZ454" s="90"/>
      <c r="BA454" s="90"/>
      <c r="BB454" s="90"/>
      <c r="BC454" s="90"/>
      <c r="BD454" s="90"/>
      <c r="BE454" s="90"/>
      <c r="BF454" s="90"/>
      <c r="BG454" s="90"/>
    </row>
    <row r="455" ht="12.75" hidden="1" customHeight="1" outlineLevel="1">
      <c r="A455" s="316"/>
      <c r="B455" s="90"/>
      <c r="C455" s="369">
        <f>Assumptions!H32</f>
        <v>2</v>
      </c>
      <c r="D455" s="90" t="s">
        <v>1228</v>
      </c>
      <c r="E455" s="90"/>
      <c r="F455" s="90"/>
      <c r="G455" s="99"/>
      <c r="H455" s="99"/>
      <c r="I455" s="99"/>
      <c r="J455" s="99">
        <f t="shared" ref="J455:AV455" si="322">$C$455/12*J398</f>
        <v>480868.3817</v>
      </c>
      <c r="K455" s="99" t="str">
        <f t="shared" si="322"/>
        <v>#REF!</v>
      </c>
      <c r="L455" s="99" t="str">
        <f t="shared" si="322"/>
        <v>#REF!</v>
      </c>
      <c r="M455" s="99" t="str">
        <f t="shared" si="322"/>
        <v>#REF!</v>
      </c>
      <c r="N455" s="99" t="str">
        <f t="shared" si="322"/>
        <v>#REF!</v>
      </c>
      <c r="O455" s="99" t="str">
        <f t="shared" si="322"/>
        <v>#REF!</v>
      </c>
      <c r="P455" s="99" t="str">
        <f t="shared" si="322"/>
        <v>#REF!</v>
      </c>
      <c r="Q455" s="99" t="str">
        <f t="shared" si="322"/>
        <v>#REF!</v>
      </c>
      <c r="R455" s="99" t="str">
        <f t="shared" si="322"/>
        <v>#REF!</v>
      </c>
      <c r="S455" s="99" t="str">
        <f t="shared" si="322"/>
        <v>#REF!</v>
      </c>
      <c r="T455" s="99" t="str">
        <f t="shared" si="322"/>
        <v>#REF!</v>
      </c>
      <c r="U455" s="99" t="str">
        <f t="shared" si="322"/>
        <v>#REF!</v>
      </c>
      <c r="V455" s="99" t="str">
        <f t="shared" si="322"/>
        <v>#REF!</v>
      </c>
      <c r="W455" s="99" t="str">
        <f t="shared" si="322"/>
        <v>#REF!</v>
      </c>
      <c r="X455" s="99" t="str">
        <f t="shared" si="322"/>
        <v>#REF!</v>
      </c>
      <c r="Y455" s="99" t="str">
        <f t="shared" si="322"/>
        <v>#REF!</v>
      </c>
      <c r="Z455" s="99" t="str">
        <f t="shared" si="322"/>
        <v>#REF!</v>
      </c>
      <c r="AA455" s="99" t="str">
        <f t="shared" si="322"/>
        <v>#REF!</v>
      </c>
      <c r="AB455" s="99" t="str">
        <f t="shared" si="322"/>
        <v>#REF!</v>
      </c>
      <c r="AC455" s="99" t="str">
        <f t="shared" si="322"/>
        <v>#REF!</v>
      </c>
      <c r="AD455" s="99" t="str">
        <f t="shared" si="322"/>
        <v>#REF!</v>
      </c>
      <c r="AE455" s="99" t="str">
        <f t="shared" si="322"/>
        <v>#REF!</v>
      </c>
      <c r="AF455" s="99" t="str">
        <f t="shared" si="322"/>
        <v>#REF!</v>
      </c>
      <c r="AG455" s="99" t="str">
        <f t="shared" si="322"/>
        <v>#REF!</v>
      </c>
      <c r="AH455" s="99" t="str">
        <f t="shared" si="322"/>
        <v>#REF!</v>
      </c>
      <c r="AI455" s="99" t="str">
        <f t="shared" si="322"/>
        <v>#REF!</v>
      </c>
      <c r="AJ455" s="99" t="str">
        <f t="shared" si="322"/>
        <v>#REF!</v>
      </c>
      <c r="AK455" s="99" t="str">
        <f t="shared" si="322"/>
        <v>#REF!</v>
      </c>
      <c r="AL455" s="99" t="str">
        <f t="shared" si="322"/>
        <v>#REF!</v>
      </c>
      <c r="AM455" s="99" t="str">
        <f t="shared" si="322"/>
        <v>#REF!</v>
      </c>
      <c r="AN455" s="99" t="str">
        <f t="shared" si="322"/>
        <v>#REF!</v>
      </c>
      <c r="AO455" s="99" t="str">
        <f t="shared" si="322"/>
        <v>#REF!</v>
      </c>
      <c r="AP455" s="99" t="str">
        <f t="shared" si="322"/>
        <v>#REF!</v>
      </c>
      <c r="AQ455" s="99" t="str">
        <f t="shared" si="322"/>
        <v>#REF!</v>
      </c>
      <c r="AR455" s="99" t="str">
        <f t="shared" si="322"/>
        <v>#REF!</v>
      </c>
      <c r="AS455" s="99" t="str">
        <f t="shared" si="322"/>
        <v>#REF!</v>
      </c>
      <c r="AT455" s="99" t="str">
        <f t="shared" si="322"/>
        <v>#REF!</v>
      </c>
      <c r="AU455" s="99" t="str">
        <f t="shared" si="322"/>
        <v>#REF!</v>
      </c>
      <c r="AV455" s="99" t="str">
        <f t="shared" si="322"/>
        <v>#REF!</v>
      </c>
      <c r="AW455" s="90"/>
      <c r="AX455" s="90"/>
      <c r="AY455" s="90"/>
      <c r="AZ455" s="90"/>
      <c r="BA455" s="90"/>
      <c r="BB455" s="90"/>
      <c r="BC455" s="90"/>
      <c r="BD455" s="90"/>
      <c r="BE455" s="90"/>
      <c r="BF455" s="90"/>
      <c r="BG455" s="90"/>
    </row>
    <row r="456" ht="12.75" hidden="1" customHeight="1" outlineLevel="1">
      <c r="A456" s="316"/>
      <c r="B456" s="90"/>
      <c r="C456" s="152">
        <f>Assumptions!H31</f>
        <v>0.65</v>
      </c>
      <c r="D456" s="90" t="s">
        <v>1229</v>
      </c>
      <c r="E456" s="90"/>
      <c r="F456" s="90"/>
      <c r="G456" s="99"/>
      <c r="H456" s="99"/>
      <c r="I456" s="99"/>
      <c r="J456" s="99">
        <f t="shared" ref="J456:AV456" si="323">$C$456*J476</f>
        <v>477470.0645</v>
      </c>
      <c r="K456" s="99">
        <f t="shared" si="323"/>
        <v>510873.103</v>
      </c>
      <c r="L456" s="99">
        <f t="shared" si="323"/>
        <v>337635.6188</v>
      </c>
      <c r="M456" s="99">
        <f t="shared" si="323"/>
        <v>340993.7811</v>
      </c>
      <c r="N456" s="99">
        <f t="shared" si="323"/>
        <v>343977.6068</v>
      </c>
      <c r="O456" s="99">
        <f t="shared" si="323"/>
        <v>349180.3539</v>
      </c>
      <c r="P456" s="99">
        <f t="shared" si="323"/>
        <v>355456.2319</v>
      </c>
      <c r="Q456" s="99">
        <f t="shared" si="323"/>
        <v>362557.5566</v>
      </c>
      <c r="R456" s="99">
        <f t="shared" si="323"/>
        <v>373136.5279</v>
      </c>
      <c r="S456" s="99">
        <f t="shared" si="323"/>
        <v>380591.4585</v>
      </c>
      <c r="T456" s="99">
        <f t="shared" si="323"/>
        <v>388195.4877</v>
      </c>
      <c r="U456" s="99">
        <f t="shared" si="323"/>
        <v>395951.5974</v>
      </c>
      <c r="V456" s="99">
        <f t="shared" si="323"/>
        <v>403862.8294</v>
      </c>
      <c r="W456" s="99">
        <f t="shared" si="323"/>
        <v>411932.286</v>
      </c>
      <c r="X456" s="99">
        <f t="shared" si="323"/>
        <v>420163.1317</v>
      </c>
      <c r="Y456" s="99">
        <f t="shared" si="323"/>
        <v>428558.5943</v>
      </c>
      <c r="Z456" s="99">
        <f t="shared" si="323"/>
        <v>437121.9662</v>
      </c>
      <c r="AA456" s="99">
        <f t="shared" si="323"/>
        <v>445856.6055</v>
      </c>
      <c r="AB456" s="99">
        <f t="shared" si="323"/>
        <v>454765.9376</v>
      </c>
      <c r="AC456" s="99">
        <f t="shared" si="323"/>
        <v>463853.4564</v>
      </c>
      <c r="AD456" s="99">
        <f t="shared" si="323"/>
        <v>473122.7255</v>
      </c>
      <c r="AE456" s="99">
        <f t="shared" si="323"/>
        <v>482577.38</v>
      </c>
      <c r="AF456" s="99">
        <f t="shared" si="323"/>
        <v>492221.1276</v>
      </c>
      <c r="AG456" s="99">
        <f t="shared" si="323"/>
        <v>502057.7502</v>
      </c>
      <c r="AH456" s="99">
        <f t="shared" si="323"/>
        <v>512091.1052</v>
      </c>
      <c r="AI456" s="99">
        <f t="shared" si="323"/>
        <v>522325.1273</v>
      </c>
      <c r="AJ456" s="99">
        <f t="shared" si="323"/>
        <v>532763.8298</v>
      </c>
      <c r="AK456" s="99">
        <f t="shared" si="323"/>
        <v>543411.3064</v>
      </c>
      <c r="AL456" s="99">
        <f t="shared" si="323"/>
        <v>554271.7325</v>
      </c>
      <c r="AM456" s="99">
        <f t="shared" si="323"/>
        <v>565349.3672</v>
      </c>
      <c r="AN456" s="99">
        <f t="shared" si="323"/>
        <v>576648.5545</v>
      </c>
      <c r="AO456" s="99">
        <f t="shared" si="323"/>
        <v>588173.7256</v>
      </c>
      <c r="AP456" s="99">
        <f t="shared" si="323"/>
        <v>599929.4001</v>
      </c>
      <c r="AQ456" s="99">
        <f t="shared" si="323"/>
        <v>611920.1881</v>
      </c>
      <c r="AR456" s="99">
        <f t="shared" si="323"/>
        <v>624150.7919</v>
      </c>
      <c r="AS456" s="99">
        <f t="shared" si="323"/>
        <v>636626.0077</v>
      </c>
      <c r="AT456" s="99">
        <f t="shared" si="323"/>
        <v>649350.7279</v>
      </c>
      <c r="AU456" s="99">
        <f t="shared" si="323"/>
        <v>662329.9425</v>
      </c>
      <c r="AV456" s="99">
        <f t="shared" si="323"/>
        <v>675568.7413</v>
      </c>
      <c r="AW456" s="90"/>
      <c r="AX456" s="90"/>
      <c r="AY456" s="90"/>
      <c r="AZ456" s="90"/>
      <c r="BA456" s="90"/>
      <c r="BB456" s="90"/>
      <c r="BC456" s="90"/>
      <c r="BD456" s="90"/>
      <c r="BE456" s="90"/>
      <c r="BF456" s="90"/>
      <c r="BG456" s="90"/>
    </row>
    <row r="457" ht="12.75" hidden="1" customHeight="1" outlineLevel="1">
      <c r="A457" s="316"/>
      <c r="B457" s="90"/>
      <c r="C457" s="90"/>
      <c r="D457" s="90" t="s">
        <v>1230</v>
      </c>
      <c r="E457" s="90"/>
      <c r="F457" s="90"/>
      <c r="G457" s="99"/>
      <c r="H457" s="99"/>
      <c r="I457" s="99"/>
      <c r="J457" s="99"/>
      <c r="K457" s="99" t="str">
        <f>K430</f>
        <v>#REF!</v>
      </c>
      <c r="L457" s="99" t="str">
        <f t="shared" ref="L457:AV457" si="324">L296-L319-L330-L339-L386-L389-L390-L392-L395+L405+L407+L413+L417+L419+L420+L423+L425+L426+K457</f>
        <v>#REF!</v>
      </c>
      <c r="M457" s="99" t="str">
        <f t="shared" si="324"/>
        <v>#REF!</v>
      </c>
      <c r="N457" s="99" t="str">
        <f t="shared" si="324"/>
        <v>#REF!</v>
      </c>
      <c r="O457" s="99" t="str">
        <f t="shared" si="324"/>
        <v>#REF!</v>
      </c>
      <c r="P457" s="99" t="str">
        <f t="shared" si="324"/>
        <v>#REF!</v>
      </c>
      <c r="Q457" s="99" t="str">
        <f t="shared" si="324"/>
        <v>#REF!</v>
      </c>
      <c r="R457" s="99" t="str">
        <f t="shared" si="324"/>
        <v>#REF!</v>
      </c>
      <c r="S457" s="99" t="str">
        <f t="shared" si="324"/>
        <v>#REF!</v>
      </c>
      <c r="T457" s="99" t="str">
        <f t="shared" si="324"/>
        <v>#REF!</v>
      </c>
      <c r="U457" s="99" t="str">
        <f t="shared" si="324"/>
        <v>#REF!</v>
      </c>
      <c r="V457" s="99" t="str">
        <f t="shared" si="324"/>
        <v>#REF!</v>
      </c>
      <c r="W457" s="99" t="str">
        <f t="shared" si="324"/>
        <v>#REF!</v>
      </c>
      <c r="X457" s="99" t="str">
        <f t="shared" si="324"/>
        <v>#REF!</v>
      </c>
      <c r="Y457" s="99" t="str">
        <f t="shared" si="324"/>
        <v>#REF!</v>
      </c>
      <c r="Z457" s="99" t="str">
        <f t="shared" si="324"/>
        <v>#REF!</v>
      </c>
      <c r="AA457" s="99" t="str">
        <f t="shared" si="324"/>
        <v>#REF!</v>
      </c>
      <c r="AB457" s="99" t="str">
        <f t="shared" si="324"/>
        <v>#REF!</v>
      </c>
      <c r="AC457" s="99" t="str">
        <f t="shared" si="324"/>
        <v>#REF!</v>
      </c>
      <c r="AD457" s="99" t="str">
        <f t="shared" si="324"/>
        <v>#REF!</v>
      </c>
      <c r="AE457" s="99" t="str">
        <f t="shared" si="324"/>
        <v>#REF!</v>
      </c>
      <c r="AF457" s="99" t="str">
        <f t="shared" si="324"/>
        <v>#REF!</v>
      </c>
      <c r="AG457" s="99" t="str">
        <f t="shared" si="324"/>
        <v>#REF!</v>
      </c>
      <c r="AH457" s="99" t="str">
        <f t="shared" si="324"/>
        <v>#REF!</v>
      </c>
      <c r="AI457" s="99" t="str">
        <f t="shared" si="324"/>
        <v>#REF!</v>
      </c>
      <c r="AJ457" s="99" t="str">
        <f t="shared" si="324"/>
        <v>#REF!</v>
      </c>
      <c r="AK457" s="99" t="str">
        <f t="shared" si="324"/>
        <v>#REF!</v>
      </c>
      <c r="AL457" s="99" t="str">
        <f t="shared" si="324"/>
        <v>#REF!</v>
      </c>
      <c r="AM457" s="99" t="str">
        <f t="shared" si="324"/>
        <v>#REF!</v>
      </c>
      <c r="AN457" s="99" t="str">
        <f t="shared" si="324"/>
        <v>#REF!</v>
      </c>
      <c r="AO457" s="99" t="str">
        <f t="shared" si="324"/>
        <v>#REF!</v>
      </c>
      <c r="AP457" s="99" t="str">
        <f t="shared" si="324"/>
        <v>#REF!</v>
      </c>
      <c r="AQ457" s="99" t="str">
        <f t="shared" si="324"/>
        <v>#REF!</v>
      </c>
      <c r="AR457" s="99" t="str">
        <f t="shared" si="324"/>
        <v>#REF!</v>
      </c>
      <c r="AS457" s="99" t="str">
        <f t="shared" si="324"/>
        <v>#REF!</v>
      </c>
      <c r="AT457" s="99" t="str">
        <f t="shared" si="324"/>
        <v>#REF!</v>
      </c>
      <c r="AU457" s="99" t="str">
        <f t="shared" si="324"/>
        <v>#REF!</v>
      </c>
      <c r="AV457" s="99" t="str">
        <f t="shared" si="324"/>
        <v>#REF!</v>
      </c>
      <c r="AW457" s="90"/>
      <c r="AX457" s="90"/>
      <c r="AY457" s="90"/>
      <c r="AZ457" s="90"/>
      <c r="BA457" s="90"/>
      <c r="BB457" s="90"/>
      <c r="BC457" s="90"/>
      <c r="BD457" s="90"/>
      <c r="BE457" s="90"/>
      <c r="BF457" s="90"/>
      <c r="BG457" s="90"/>
    </row>
    <row r="458" ht="12.75" hidden="1" customHeight="1" outlineLevel="1">
      <c r="A458" s="316"/>
      <c r="B458" s="90"/>
      <c r="C458" s="90"/>
      <c r="D458" s="90"/>
      <c r="E458" s="90"/>
      <c r="F458" s="90"/>
      <c r="G458" s="99"/>
      <c r="H458" s="99"/>
      <c r="I458" s="99"/>
      <c r="J458" s="99"/>
      <c r="K458" s="99"/>
      <c r="L458" s="99"/>
      <c r="M458" s="99"/>
      <c r="N458" s="99"/>
      <c r="O458" s="99"/>
      <c r="P458" s="99"/>
      <c r="Q458" s="99"/>
      <c r="R458" s="99"/>
      <c r="S458" s="99"/>
      <c r="T458" s="99"/>
      <c r="U458" s="99"/>
      <c r="V458" s="99"/>
      <c r="W458" s="99"/>
      <c r="X458" s="99"/>
      <c r="Y458" s="99"/>
      <c r="Z458" s="99"/>
      <c r="AA458" s="99"/>
      <c r="AB458" s="99"/>
      <c r="AC458" s="99"/>
      <c r="AD458" s="99"/>
      <c r="AE458" s="99"/>
      <c r="AF458" s="99"/>
      <c r="AG458" s="99"/>
      <c r="AH458" s="99"/>
      <c r="AI458" s="99"/>
      <c r="AJ458" s="99"/>
      <c r="AK458" s="99"/>
      <c r="AL458" s="99"/>
      <c r="AM458" s="99"/>
      <c r="AN458" s="99"/>
      <c r="AO458" s="99"/>
      <c r="AP458" s="99"/>
      <c r="AQ458" s="99"/>
      <c r="AR458" s="99"/>
      <c r="AS458" s="99"/>
      <c r="AT458" s="99"/>
      <c r="AU458" s="99"/>
      <c r="AV458" s="99"/>
      <c r="AW458" s="90"/>
      <c r="AX458" s="90"/>
      <c r="AY458" s="90"/>
      <c r="AZ458" s="90"/>
      <c r="BA458" s="90"/>
      <c r="BB458" s="90"/>
      <c r="BC458" s="90"/>
      <c r="BD458" s="90"/>
      <c r="BE458" s="90"/>
      <c r="BF458" s="90"/>
      <c r="BG458" s="90"/>
    </row>
    <row r="459" ht="12.75" hidden="1" customHeight="1" outlineLevel="1">
      <c r="A459" s="316"/>
      <c r="B459" s="67" t="s">
        <v>479</v>
      </c>
      <c r="C459" s="90"/>
      <c r="D459" s="90"/>
      <c r="E459" s="90"/>
      <c r="F459" s="90"/>
      <c r="G459" s="90"/>
      <c r="H459" s="90"/>
      <c r="I459" s="90"/>
      <c r="J459" s="90"/>
      <c r="K459" s="90"/>
      <c r="L459" s="90"/>
      <c r="M459" s="90"/>
      <c r="N459" s="90"/>
      <c r="O459" s="90"/>
      <c r="P459" s="90"/>
      <c r="Q459" s="90"/>
      <c r="R459" s="90"/>
      <c r="S459" s="90"/>
      <c r="T459" s="90"/>
      <c r="U459" s="90"/>
      <c r="V459" s="90"/>
      <c r="W459" s="90"/>
      <c r="X459" s="90"/>
      <c r="Y459" s="90"/>
      <c r="Z459" s="90"/>
      <c r="AA459" s="90"/>
      <c r="AB459" s="90"/>
      <c r="AC459" s="90"/>
      <c r="AD459" s="90"/>
      <c r="AE459" s="90"/>
      <c r="AF459" s="90"/>
      <c r="AG459" s="90"/>
      <c r="AH459" s="90"/>
      <c r="AI459" s="90"/>
      <c r="AJ459" s="90"/>
      <c r="AK459" s="90"/>
      <c r="AL459" s="90"/>
      <c r="AM459" s="90"/>
      <c r="AN459" s="90"/>
      <c r="AO459" s="90"/>
      <c r="AP459" s="90"/>
      <c r="AQ459" s="90"/>
      <c r="AR459" s="90"/>
      <c r="AS459" s="90"/>
      <c r="AT459" s="90"/>
      <c r="AU459" s="90"/>
      <c r="AV459" s="90"/>
      <c r="AW459" s="90"/>
      <c r="AX459" s="90"/>
      <c r="AY459" s="90"/>
      <c r="AZ459" s="90"/>
      <c r="BA459" s="90"/>
      <c r="BB459" s="90"/>
      <c r="BC459" s="90"/>
      <c r="BD459" s="90"/>
      <c r="BE459" s="90"/>
      <c r="BF459" s="90"/>
      <c r="BG459" s="90"/>
    </row>
    <row r="460" ht="12.75" hidden="1" customHeight="1" outlineLevel="1">
      <c r="A460" s="316"/>
      <c r="B460" s="67"/>
      <c r="C460" s="90" t="s">
        <v>487</v>
      </c>
      <c r="D460" s="90"/>
      <c r="E460" s="90"/>
      <c r="F460" s="90"/>
      <c r="G460" s="254"/>
      <c r="H460" s="99"/>
      <c r="I460" s="99" t="str">
        <f t="shared" ref="I460:AV460" si="325">+H467</f>
        <v/>
      </c>
      <c r="J460" s="99">
        <f t="shared" si="325"/>
        <v>0</v>
      </c>
      <c r="K460" s="99">
        <f t="shared" si="325"/>
        <v>0</v>
      </c>
      <c r="L460" s="99">
        <f t="shared" si="325"/>
        <v>100000</v>
      </c>
      <c r="M460" s="99">
        <f t="shared" si="325"/>
        <v>0</v>
      </c>
      <c r="N460" s="99">
        <f t="shared" si="325"/>
        <v>0</v>
      </c>
      <c r="O460" s="99">
        <f t="shared" si="325"/>
        <v>0</v>
      </c>
      <c r="P460" s="99">
        <f t="shared" si="325"/>
        <v>0</v>
      </c>
      <c r="Q460" s="99">
        <f t="shared" si="325"/>
        <v>0</v>
      </c>
      <c r="R460" s="99">
        <f t="shared" si="325"/>
        <v>0</v>
      </c>
      <c r="S460" s="99">
        <f t="shared" si="325"/>
        <v>0</v>
      </c>
      <c r="T460" s="99">
        <f t="shared" si="325"/>
        <v>0</v>
      </c>
      <c r="U460" s="99">
        <f t="shared" si="325"/>
        <v>0</v>
      </c>
      <c r="V460" s="99">
        <f t="shared" si="325"/>
        <v>0</v>
      </c>
      <c r="W460" s="99">
        <f t="shared" si="325"/>
        <v>0</v>
      </c>
      <c r="X460" s="99">
        <f t="shared" si="325"/>
        <v>0</v>
      </c>
      <c r="Y460" s="99">
        <f t="shared" si="325"/>
        <v>0</v>
      </c>
      <c r="Z460" s="99">
        <f t="shared" si="325"/>
        <v>0</v>
      </c>
      <c r="AA460" s="99">
        <f t="shared" si="325"/>
        <v>0</v>
      </c>
      <c r="AB460" s="99">
        <f t="shared" si="325"/>
        <v>0</v>
      </c>
      <c r="AC460" s="99">
        <f t="shared" si="325"/>
        <v>0</v>
      </c>
      <c r="AD460" s="99">
        <f t="shared" si="325"/>
        <v>0</v>
      </c>
      <c r="AE460" s="99">
        <f t="shared" si="325"/>
        <v>0</v>
      </c>
      <c r="AF460" s="99">
        <f t="shared" si="325"/>
        <v>0</v>
      </c>
      <c r="AG460" s="99">
        <f t="shared" si="325"/>
        <v>0</v>
      </c>
      <c r="AH460" s="99">
        <f t="shared" si="325"/>
        <v>0</v>
      </c>
      <c r="AI460" s="99">
        <f t="shared" si="325"/>
        <v>0</v>
      </c>
      <c r="AJ460" s="99">
        <f t="shared" si="325"/>
        <v>0</v>
      </c>
      <c r="AK460" s="99">
        <f t="shared" si="325"/>
        <v>0</v>
      </c>
      <c r="AL460" s="99">
        <f t="shared" si="325"/>
        <v>0</v>
      </c>
      <c r="AM460" s="99">
        <f t="shared" si="325"/>
        <v>0</v>
      </c>
      <c r="AN460" s="99">
        <f t="shared" si="325"/>
        <v>0</v>
      </c>
      <c r="AO460" s="99">
        <f t="shared" si="325"/>
        <v>0</v>
      </c>
      <c r="AP460" s="99">
        <f t="shared" si="325"/>
        <v>0</v>
      </c>
      <c r="AQ460" s="99">
        <f t="shared" si="325"/>
        <v>0</v>
      </c>
      <c r="AR460" s="99">
        <f t="shared" si="325"/>
        <v>0</v>
      </c>
      <c r="AS460" s="99">
        <f t="shared" si="325"/>
        <v>0</v>
      </c>
      <c r="AT460" s="99">
        <f t="shared" si="325"/>
        <v>0</v>
      </c>
      <c r="AU460" s="99">
        <f t="shared" si="325"/>
        <v>0</v>
      </c>
      <c r="AV460" s="99">
        <f t="shared" si="325"/>
        <v>0</v>
      </c>
      <c r="AW460" s="90"/>
      <c r="AX460" s="90"/>
      <c r="AY460" s="90"/>
      <c r="AZ460" s="90"/>
      <c r="BA460" s="90"/>
      <c r="BB460" s="90"/>
      <c r="BC460" s="90"/>
      <c r="BD460" s="90"/>
      <c r="BE460" s="90"/>
      <c r="BF460" s="90"/>
      <c r="BG460" s="90"/>
    </row>
    <row r="461" ht="12.75" hidden="1" customHeight="1" outlineLevel="1">
      <c r="A461" s="316"/>
      <c r="B461" s="90"/>
      <c r="C461" s="90" t="s">
        <v>488</v>
      </c>
      <c r="D461" s="90"/>
      <c r="E461" s="90"/>
      <c r="F461" s="90"/>
      <c r="G461" s="254"/>
      <c r="H461" s="254"/>
      <c r="I461" s="254">
        <v>0.0</v>
      </c>
      <c r="J461" s="254">
        <v>0.0</v>
      </c>
      <c r="K461" s="254">
        <v>100000.0</v>
      </c>
      <c r="L461" s="254">
        <v>0.0</v>
      </c>
      <c r="M461" s="254">
        <v>0.0</v>
      </c>
      <c r="N461" s="254">
        <v>0.0</v>
      </c>
      <c r="O461" s="254">
        <v>0.0</v>
      </c>
      <c r="P461" s="254">
        <v>0.0</v>
      </c>
      <c r="Q461" s="254">
        <v>0.0</v>
      </c>
      <c r="R461" s="254">
        <v>0.0</v>
      </c>
      <c r="S461" s="254">
        <v>0.0</v>
      </c>
      <c r="T461" s="254">
        <v>0.0</v>
      </c>
      <c r="U461" s="254">
        <v>0.0</v>
      </c>
      <c r="V461" s="254">
        <v>0.0</v>
      </c>
      <c r="W461" s="254">
        <v>0.0</v>
      </c>
      <c r="X461" s="254">
        <v>0.0</v>
      </c>
      <c r="Y461" s="254">
        <v>0.0</v>
      </c>
      <c r="Z461" s="254">
        <v>0.0</v>
      </c>
      <c r="AA461" s="254">
        <v>0.0</v>
      </c>
      <c r="AB461" s="254">
        <v>0.0</v>
      </c>
      <c r="AC461" s="254">
        <v>0.0</v>
      </c>
      <c r="AD461" s="254">
        <v>0.0</v>
      </c>
      <c r="AE461" s="254">
        <v>0.0</v>
      </c>
      <c r="AF461" s="254">
        <v>0.0</v>
      </c>
      <c r="AG461" s="254">
        <v>0.0</v>
      </c>
      <c r="AH461" s="254">
        <v>0.0</v>
      </c>
      <c r="AI461" s="254">
        <v>0.0</v>
      </c>
      <c r="AJ461" s="254">
        <v>0.0</v>
      </c>
      <c r="AK461" s="254">
        <v>0.0</v>
      </c>
      <c r="AL461" s="254">
        <v>0.0</v>
      </c>
      <c r="AM461" s="254">
        <v>0.0</v>
      </c>
      <c r="AN461" s="254">
        <v>0.0</v>
      </c>
      <c r="AO461" s="254">
        <v>0.0</v>
      </c>
      <c r="AP461" s="254">
        <v>0.0</v>
      </c>
      <c r="AQ461" s="254">
        <v>0.0</v>
      </c>
      <c r="AR461" s="254">
        <v>0.0</v>
      </c>
      <c r="AS461" s="254">
        <v>0.0</v>
      </c>
      <c r="AT461" s="254">
        <v>0.0</v>
      </c>
      <c r="AU461" s="254">
        <v>0.0</v>
      </c>
      <c r="AV461" s="254">
        <v>0.0</v>
      </c>
      <c r="AW461" s="90"/>
      <c r="AX461" s="90"/>
      <c r="AY461" s="90"/>
      <c r="AZ461" s="90"/>
      <c r="BA461" s="90"/>
      <c r="BB461" s="90"/>
      <c r="BC461" s="90"/>
      <c r="BD461" s="90"/>
      <c r="BE461" s="90"/>
      <c r="BF461" s="90"/>
      <c r="BG461" s="90"/>
    </row>
    <row r="462" ht="12.75" hidden="1" customHeight="1" outlineLevel="1">
      <c r="A462" s="316"/>
      <c r="B462" s="90"/>
      <c r="C462" s="90" t="s">
        <v>490</v>
      </c>
      <c r="D462" s="90"/>
      <c r="E462" s="90"/>
      <c r="F462" s="90"/>
      <c r="G462" s="254"/>
      <c r="H462" s="254"/>
      <c r="I462" s="254"/>
      <c r="J462" s="254"/>
      <c r="K462" s="254"/>
      <c r="L462" s="254"/>
      <c r="M462" s="254"/>
      <c r="N462" s="254"/>
      <c r="O462" s="254"/>
      <c r="P462" s="254"/>
      <c r="Q462" s="254"/>
      <c r="R462" s="254"/>
      <c r="S462" s="254"/>
      <c r="T462" s="254"/>
      <c r="U462" s="254"/>
      <c r="V462" s="254"/>
      <c r="W462" s="254"/>
      <c r="X462" s="254"/>
      <c r="Y462" s="254"/>
      <c r="Z462" s="254"/>
      <c r="AA462" s="254"/>
      <c r="AB462" s="254"/>
      <c r="AC462" s="254"/>
      <c r="AD462" s="254"/>
      <c r="AE462" s="254"/>
      <c r="AF462" s="254"/>
      <c r="AG462" s="254"/>
      <c r="AH462" s="254"/>
      <c r="AI462" s="254"/>
      <c r="AJ462" s="254"/>
      <c r="AK462" s="254"/>
      <c r="AL462" s="254"/>
      <c r="AM462" s="254"/>
      <c r="AN462" s="254"/>
      <c r="AO462" s="254"/>
      <c r="AP462" s="254"/>
      <c r="AQ462" s="254"/>
      <c r="AR462" s="254"/>
      <c r="AS462" s="254"/>
      <c r="AT462" s="254"/>
      <c r="AU462" s="254"/>
      <c r="AV462" s="254"/>
      <c r="AW462" s="90"/>
      <c r="AX462" s="90"/>
      <c r="AY462" s="90"/>
      <c r="AZ462" s="90"/>
      <c r="BA462" s="90"/>
      <c r="BB462" s="90"/>
      <c r="BC462" s="90"/>
      <c r="BD462" s="90"/>
      <c r="BE462" s="90"/>
      <c r="BF462" s="90"/>
      <c r="BG462" s="90"/>
    </row>
    <row r="463" ht="12.75" hidden="1" customHeight="1" outlineLevel="1">
      <c r="A463" s="316"/>
      <c r="B463" s="90"/>
      <c r="C463" s="90"/>
      <c r="D463" s="90" t="s">
        <v>701</v>
      </c>
      <c r="E463" s="90"/>
      <c r="F463" s="90"/>
      <c r="G463" s="254"/>
      <c r="H463" s="254"/>
      <c r="I463" s="99">
        <v>0.0</v>
      </c>
      <c r="J463" s="99">
        <f t="shared" ref="J463:AV463" si="326">MIN(J465-J464,0)</f>
        <v>0</v>
      </c>
      <c r="K463" s="99">
        <f t="shared" si="326"/>
        <v>0</v>
      </c>
      <c r="L463" s="99">
        <f t="shared" si="326"/>
        <v>0</v>
      </c>
      <c r="M463" s="99">
        <f t="shared" si="326"/>
        <v>0</v>
      </c>
      <c r="N463" s="99">
        <f t="shared" si="326"/>
        <v>0</v>
      </c>
      <c r="O463" s="99">
        <f t="shared" si="326"/>
        <v>0</v>
      </c>
      <c r="P463" s="99">
        <f t="shared" si="326"/>
        <v>0</v>
      </c>
      <c r="Q463" s="99">
        <f t="shared" si="326"/>
        <v>0</v>
      </c>
      <c r="R463" s="99">
        <f t="shared" si="326"/>
        <v>0</v>
      </c>
      <c r="S463" s="99">
        <f t="shared" si="326"/>
        <v>0</v>
      </c>
      <c r="T463" s="99">
        <f t="shared" si="326"/>
        <v>0</v>
      </c>
      <c r="U463" s="99">
        <f t="shared" si="326"/>
        <v>0</v>
      </c>
      <c r="V463" s="99">
        <f t="shared" si="326"/>
        <v>0</v>
      </c>
      <c r="W463" s="99">
        <f t="shared" si="326"/>
        <v>0</v>
      </c>
      <c r="X463" s="99">
        <f t="shared" si="326"/>
        <v>0</v>
      </c>
      <c r="Y463" s="99">
        <f t="shared" si="326"/>
        <v>0</v>
      </c>
      <c r="Z463" s="99">
        <f t="shared" si="326"/>
        <v>0</v>
      </c>
      <c r="AA463" s="99">
        <f t="shared" si="326"/>
        <v>0</v>
      </c>
      <c r="AB463" s="99">
        <f t="shared" si="326"/>
        <v>0</v>
      </c>
      <c r="AC463" s="99">
        <f t="shared" si="326"/>
        <v>0</v>
      </c>
      <c r="AD463" s="99">
        <f t="shared" si="326"/>
        <v>0</v>
      </c>
      <c r="AE463" s="99">
        <f t="shared" si="326"/>
        <v>0</v>
      </c>
      <c r="AF463" s="99">
        <f t="shared" si="326"/>
        <v>0</v>
      </c>
      <c r="AG463" s="99">
        <f t="shared" si="326"/>
        <v>0</v>
      </c>
      <c r="AH463" s="99">
        <f t="shared" si="326"/>
        <v>0</v>
      </c>
      <c r="AI463" s="99">
        <f t="shared" si="326"/>
        <v>0</v>
      </c>
      <c r="AJ463" s="99">
        <f t="shared" si="326"/>
        <v>0</v>
      </c>
      <c r="AK463" s="99">
        <f t="shared" si="326"/>
        <v>0</v>
      </c>
      <c r="AL463" s="99">
        <f t="shared" si="326"/>
        <v>0</v>
      </c>
      <c r="AM463" s="99">
        <f t="shared" si="326"/>
        <v>0</v>
      </c>
      <c r="AN463" s="99">
        <f t="shared" si="326"/>
        <v>0</v>
      </c>
      <c r="AO463" s="99">
        <f t="shared" si="326"/>
        <v>0</v>
      </c>
      <c r="AP463" s="99">
        <f t="shared" si="326"/>
        <v>0</v>
      </c>
      <c r="AQ463" s="99">
        <f t="shared" si="326"/>
        <v>0</v>
      </c>
      <c r="AR463" s="99">
        <f t="shared" si="326"/>
        <v>0</v>
      </c>
      <c r="AS463" s="99">
        <f t="shared" si="326"/>
        <v>0</v>
      </c>
      <c r="AT463" s="99">
        <f t="shared" si="326"/>
        <v>0</v>
      </c>
      <c r="AU463" s="99">
        <f t="shared" si="326"/>
        <v>0</v>
      </c>
      <c r="AV463" s="99">
        <f t="shared" si="326"/>
        <v>0</v>
      </c>
      <c r="AW463" s="90"/>
      <c r="AX463" s="90"/>
      <c r="AY463" s="90"/>
      <c r="AZ463" s="90"/>
      <c r="BA463" s="90"/>
      <c r="BB463" s="90"/>
      <c r="BC463" s="90"/>
      <c r="BD463" s="90"/>
      <c r="BE463" s="90"/>
      <c r="BF463" s="90"/>
      <c r="BG463" s="90"/>
    </row>
    <row r="464" ht="12.75" hidden="1" customHeight="1" outlineLevel="1">
      <c r="A464" s="316"/>
      <c r="B464" s="90"/>
      <c r="C464" s="90"/>
      <c r="D464" s="90" t="s">
        <v>489</v>
      </c>
      <c r="E464" s="90"/>
      <c r="F464" s="90"/>
      <c r="G464" s="254"/>
      <c r="H464" s="254"/>
      <c r="I464" s="99">
        <v>0.0</v>
      </c>
      <c r="J464" s="99">
        <f t="shared" ref="J464:K464" si="327">-J460*J252</f>
        <v>0</v>
      </c>
      <c r="K464" s="99">
        <f t="shared" si="327"/>
        <v>0</v>
      </c>
      <c r="L464" s="99"/>
      <c r="M464" s="99"/>
      <c r="N464" s="99"/>
      <c r="O464" s="99"/>
      <c r="P464" s="99"/>
      <c r="Q464" s="99"/>
      <c r="R464" s="99"/>
      <c r="S464" s="99"/>
      <c r="T464" s="99"/>
      <c r="U464" s="99"/>
      <c r="V464" s="99"/>
      <c r="W464" s="99"/>
      <c r="X464" s="99"/>
      <c r="Y464" s="99"/>
      <c r="Z464" s="99"/>
      <c r="AA464" s="99"/>
      <c r="AB464" s="99"/>
      <c r="AC464" s="99"/>
      <c r="AD464" s="99"/>
      <c r="AE464" s="99"/>
      <c r="AF464" s="99"/>
      <c r="AG464" s="99"/>
      <c r="AH464" s="99"/>
      <c r="AI464" s="99"/>
      <c r="AJ464" s="99"/>
      <c r="AK464" s="99"/>
      <c r="AL464" s="99"/>
      <c r="AM464" s="99"/>
      <c r="AN464" s="99"/>
      <c r="AO464" s="99"/>
      <c r="AP464" s="99"/>
      <c r="AQ464" s="99"/>
      <c r="AR464" s="99"/>
      <c r="AS464" s="99"/>
      <c r="AT464" s="99"/>
      <c r="AU464" s="99"/>
      <c r="AV464" s="99"/>
      <c r="AW464" s="90"/>
      <c r="AX464" s="90"/>
      <c r="AY464" s="90"/>
      <c r="AZ464" s="90"/>
      <c r="BA464" s="90"/>
      <c r="BB464" s="90"/>
      <c r="BC464" s="90"/>
      <c r="BD464" s="90"/>
      <c r="BE464" s="90"/>
      <c r="BF464" s="90"/>
      <c r="BG464" s="90"/>
    </row>
    <row r="465" ht="12.75" hidden="1" customHeight="1" outlineLevel="1">
      <c r="A465" s="316"/>
      <c r="B465" s="90"/>
      <c r="C465" s="148" t="s">
        <v>490</v>
      </c>
      <c r="D465" s="148"/>
      <c r="E465" s="148"/>
      <c r="F465" s="148"/>
      <c r="G465" s="394"/>
      <c r="H465" s="394"/>
      <c r="I465" s="394">
        <v>0.0</v>
      </c>
      <c r="J465" s="394">
        <v>0.0</v>
      </c>
      <c r="K465" s="394">
        <v>0.0</v>
      </c>
      <c r="L465" s="394">
        <v>0.0</v>
      </c>
      <c r="M465" s="394">
        <v>0.0</v>
      </c>
      <c r="N465" s="394">
        <v>0.0</v>
      </c>
      <c r="O465" s="394">
        <v>0.0</v>
      </c>
      <c r="P465" s="394">
        <v>0.0</v>
      </c>
      <c r="Q465" s="394">
        <v>0.0</v>
      </c>
      <c r="R465" s="394">
        <v>0.0</v>
      </c>
      <c r="S465" s="394">
        <v>0.0</v>
      </c>
      <c r="T465" s="394">
        <v>0.0</v>
      </c>
      <c r="U465" s="394">
        <v>0.0</v>
      </c>
      <c r="V465" s="394">
        <v>0.0</v>
      </c>
      <c r="W465" s="394">
        <v>0.0</v>
      </c>
      <c r="X465" s="394">
        <v>0.0</v>
      </c>
      <c r="Y465" s="394">
        <v>0.0</v>
      </c>
      <c r="Z465" s="394">
        <v>0.0</v>
      </c>
      <c r="AA465" s="394">
        <v>0.0</v>
      </c>
      <c r="AB465" s="394">
        <v>0.0</v>
      </c>
      <c r="AC465" s="394">
        <v>0.0</v>
      </c>
      <c r="AD465" s="394">
        <v>0.0</v>
      </c>
      <c r="AE465" s="394">
        <v>0.0</v>
      </c>
      <c r="AF465" s="394">
        <v>0.0</v>
      </c>
      <c r="AG465" s="394">
        <v>0.0</v>
      </c>
      <c r="AH465" s="394">
        <v>0.0</v>
      </c>
      <c r="AI465" s="394">
        <v>0.0</v>
      </c>
      <c r="AJ465" s="394">
        <v>0.0</v>
      </c>
      <c r="AK465" s="394">
        <v>0.0</v>
      </c>
      <c r="AL465" s="394">
        <v>0.0</v>
      </c>
      <c r="AM465" s="394">
        <v>0.0</v>
      </c>
      <c r="AN465" s="394">
        <v>0.0</v>
      </c>
      <c r="AO465" s="394">
        <v>0.0</v>
      </c>
      <c r="AP465" s="394">
        <v>0.0</v>
      </c>
      <c r="AQ465" s="394">
        <v>0.0</v>
      </c>
      <c r="AR465" s="394">
        <v>0.0</v>
      </c>
      <c r="AS465" s="394">
        <v>0.0</v>
      </c>
      <c r="AT465" s="394">
        <v>0.0</v>
      </c>
      <c r="AU465" s="394">
        <v>0.0</v>
      </c>
      <c r="AV465" s="394">
        <v>0.0</v>
      </c>
      <c r="AW465" s="90"/>
      <c r="AX465" s="90"/>
      <c r="AY465" s="90"/>
      <c r="AZ465" s="90"/>
      <c r="BA465" s="90"/>
      <c r="BB465" s="90"/>
      <c r="BC465" s="90"/>
      <c r="BD465" s="90"/>
      <c r="BE465" s="90"/>
      <c r="BF465" s="90"/>
      <c r="BG465" s="90"/>
    </row>
    <row r="466" ht="12.75" hidden="1" customHeight="1" outlineLevel="1">
      <c r="A466" s="555"/>
      <c r="B466" s="90"/>
      <c r="C466" s="90" t="s">
        <v>850</v>
      </c>
      <c r="D466" s="90"/>
      <c r="E466" s="90"/>
      <c r="F466" s="90"/>
      <c r="G466" s="397"/>
      <c r="H466" s="397"/>
      <c r="I466" s="397">
        <f t="shared" ref="I466:J466" si="328">+IF(I460+I461+I465=0,0,IF($A$466="N",0,IF(#REF!&gt;0,-MIN(SUM(I460:I465),#REF!),0)))</f>
        <v>0</v>
      </c>
      <c r="J466" s="397">
        <f t="shared" si="328"/>
        <v>0</v>
      </c>
      <c r="K466" s="397"/>
      <c r="L466" s="397">
        <v>-100000.0</v>
      </c>
      <c r="M466" s="397">
        <v>0.0</v>
      </c>
      <c r="N466" s="397"/>
      <c r="O466" s="397"/>
      <c r="P466" s="397"/>
      <c r="Q466" s="397"/>
      <c r="R466" s="397"/>
      <c r="S466" s="397"/>
      <c r="T466" s="397"/>
      <c r="U466" s="397"/>
      <c r="V466" s="397"/>
      <c r="W466" s="397"/>
      <c r="X466" s="397"/>
      <c r="Y466" s="397"/>
      <c r="Z466" s="397"/>
      <c r="AA466" s="397"/>
      <c r="AB466" s="397"/>
      <c r="AC466" s="397"/>
      <c r="AD466" s="397"/>
      <c r="AE466" s="397"/>
      <c r="AF466" s="397"/>
      <c r="AG466" s="397"/>
      <c r="AH466" s="397"/>
      <c r="AI466" s="397"/>
      <c r="AJ466" s="397"/>
      <c r="AK466" s="397"/>
      <c r="AL466" s="397"/>
      <c r="AM466" s="397"/>
      <c r="AN466" s="397"/>
      <c r="AO466" s="397"/>
      <c r="AP466" s="397"/>
      <c r="AQ466" s="397"/>
      <c r="AR466" s="397"/>
      <c r="AS466" s="397"/>
      <c r="AT466" s="397"/>
      <c r="AU466" s="397"/>
      <c r="AV466" s="397"/>
      <c r="AW466" s="90"/>
      <c r="AX466" s="90"/>
      <c r="AY466" s="90"/>
      <c r="AZ466" s="90"/>
      <c r="BA466" s="90"/>
      <c r="BB466" s="90"/>
      <c r="BC466" s="90"/>
      <c r="BD466" s="90"/>
      <c r="BE466" s="90"/>
      <c r="BF466" s="90"/>
      <c r="BG466" s="90"/>
    </row>
    <row r="467" ht="12.75" hidden="1" customHeight="1" outlineLevel="1">
      <c r="A467" s="316"/>
      <c r="B467" s="90"/>
      <c r="C467" s="148" t="s">
        <v>491</v>
      </c>
      <c r="D467" s="148"/>
      <c r="E467" s="148"/>
      <c r="F467" s="148"/>
      <c r="G467" s="150"/>
      <c r="H467" s="150"/>
      <c r="I467" s="150">
        <f t="shared" ref="I467:AV467" si="329">I460+I461+I465+I466</f>
        <v>0</v>
      </c>
      <c r="J467" s="150">
        <f t="shared" si="329"/>
        <v>0</v>
      </c>
      <c r="K467" s="150">
        <f t="shared" si="329"/>
        <v>100000</v>
      </c>
      <c r="L467" s="150">
        <f t="shared" si="329"/>
        <v>0</v>
      </c>
      <c r="M467" s="150">
        <f t="shared" si="329"/>
        <v>0</v>
      </c>
      <c r="N467" s="150">
        <f t="shared" si="329"/>
        <v>0</v>
      </c>
      <c r="O467" s="150">
        <f t="shared" si="329"/>
        <v>0</v>
      </c>
      <c r="P467" s="150">
        <f t="shared" si="329"/>
        <v>0</v>
      </c>
      <c r="Q467" s="150">
        <f t="shared" si="329"/>
        <v>0</v>
      </c>
      <c r="R467" s="150">
        <f t="shared" si="329"/>
        <v>0</v>
      </c>
      <c r="S467" s="150">
        <f t="shared" si="329"/>
        <v>0</v>
      </c>
      <c r="T467" s="150">
        <f t="shared" si="329"/>
        <v>0</v>
      </c>
      <c r="U467" s="150">
        <f t="shared" si="329"/>
        <v>0</v>
      </c>
      <c r="V467" s="150">
        <f t="shared" si="329"/>
        <v>0</v>
      </c>
      <c r="W467" s="150">
        <f t="shared" si="329"/>
        <v>0</v>
      </c>
      <c r="X467" s="150">
        <f t="shared" si="329"/>
        <v>0</v>
      </c>
      <c r="Y467" s="150">
        <f t="shared" si="329"/>
        <v>0</v>
      </c>
      <c r="Z467" s="150">
        <f t="shared" si="329"/>
        <v>0</v>
      </c>
      <c r="AA467" s="150">
        <f t="shared" si="329"/>
        <v>0</v>
      </c>
      <c r="AB467" s="150">
        <f t="shared" si="329"/>
        <v>0</v>
      </c>
      <c r="AC467" s="150">
        <f t="shared" si="329"/>
        <v>0</v>
      </c>
      <c r="AD467" s="150">
        <f t="shared" si="329"/>
        <v>0</v>
      </c>
      <c r="AE467" s="150">
        <f t="shared" si="329"/>
        <v>0</v>
      </c>
      <c r="AF467" s="150">
        <f t="shared" si="329"/>
        <v>0</v>
      </c>
      <c r="AG467" s="150">
        <f t="shared" si="329"/>
        <v>0</v>
      </c>
      <c r="AH467" s="150">
        <f t="shared" si="329"/>
        <v>0</v>
      </c>
      <c r="AI467" s="150">
        <f t="shared" si="329"/>
        <v>0</v>
      </c>
      <c r="AJ467" s="150">
        <f t="shared" si="329"/>
        <v>0</v>
      </c>
      <c r="AK467" s="150">
        <f t="shared" si="329"/>
        <v>0</v>
      </c>
      <c r="AL467" s="150">
        <f t="shared" si="329"/>
        <v>0</v>
      </c>
      <c r="AM467" s="150">
        <f t="shared" si="329"/>
        <v>0</v>
      </c>
      <c r="AN467" s="150">
        <f t="shared" si="329"/>
        <v>0</v>
      </c>
      <c r="AO467" s="150">
        <f t="shared" si="329"/>
        <v>0</v>
      </c>
      <c r="AP467" s="150">
        <f t="shared" si="329"/>
        <v>0</v>
      </c>
      <c r="AQ467" s="150">
        <f t="shared" si="329"/>
        <v>0</v>
      </c>
      <c r="AR467" s="150">
        <f t="shared" si="329"/>
        <v>0</v>
      </c>
      <c r="AS467" s="150">
        <f t="shared" si="329"/>
        <v>0</v>
      </c>
      <c r="AT467" s="150">
        <f t="shared" si="329"/>
        <v>0</v>
      </c>
      <c r="AU467" s="150">
        <f t="shared" si="329"/>
        <v>0</v>
      </c>
      <c r="AV467" s="150">
        <f t="shared" si="329"/>
        <v>0</v>
      </c>
      <c r="AW467" s="90"/>
      <c r="AX467" s="90"/>
      <c r="AY467" s="90"/>
      <c r="AZ467" s="90"/>
      <c r="BA467" s="90"/>
      <c r="BB467" s="90"/>
      <c r="BC467" s="90"/>
      <c r="BD467" s="90"/>
      <c r="BE467" s="90"/>
      <c r="BF467" s="90"/>
      <c r="BG467" s="90"/>
    </row>
    <row r="468" ht="12.75" hidden="1" customHeight="1" outlineLevel="1">
      <c r="A468" s="316"/>
      <c r="B468" s="90"/>
      <c r="C468" s="90"/>
      <c r="D468" s="90"/>
      <c r="E468" s="90"/>
      <c r="F468" s="90"/>
      <c r="G468" s="90"/>
      <c r="H468" s="90"/>
      <c r="I468" s="90"/>
      <c r="J468" s="90"/>
      <c r="K468" s="90"/>
      <c r="L468" s="90"/>
      <c r="M468" s="90"/>
      <c r="N468" s="90"/>
      <c r="O468" s="90"/>
      <c r="P468" s="90"/>
      <c r="Q468" s="90"/>
      <c r="R468" s="90"/>
      <c r="S468" s="90"/>
      <c r="T468" s="90"/>
      <c r="U468" s="90"/>
      <c r="V468" s="90"/>
      <c r="W468" s="90"/>
      <c r="X468" s="90"/>
      <c r="Y468" s="90"/>
      <c r="Z468" s="90"/>
      <c r="AA468" s="90"/>
      <c r="AB468" s="90"/>
      <c r="AC468" s="90"/>
      <c r="AD468" s="90"/>
      <c r="AE468" s="90"/>
      <c r="AF468" s="90"/>
      <c r="AG468" s="90"/>
      <c r="AH468" s="90"/>
      <c r="AI468" s="90"/>
      <c r="AJ468" s="90"/>
      <c r="AK468" s="90"/>
      <c r="AL468" s="90"/>
      <c r="AM468" s="90"/>
      <c r="AN468" s="90"/>
      <c r="AO468" s="90"/>
      <c r="AP468" s="90"/>
      <c r="AQ468" s="90"/>
      <c r="AR468" s="90"/>
      <c r="AS468" s="90"/>
      <c r="AT468" s="90"/>
      <c r="AU468" s="90"/>
      <c r="AV468" s="90"/>
      <c r="AW468" s="90"/>
      <c r="AX468" s="90"/>
      <c r="AY468" s="90"/>
      <c r="AZ468" s="90"/>
      <c r="BA468" s="90"/>
      <c r="BB468" s="90"/>
      <c r="BC468" s="90"/>
      <c r="BD468" s="90"/>
      <c r="BE468" s="90"/>
      <c r="BF468" s="90"/>
      <c r="BG468" s="90"/>
    </row>
    <row r="469" ht="12.75" hidden="1" customHeight="1" outlineLevel="1">
      <c r="A469" s="316"/>
      <c r="B469" s="67" t="s">
        <v>494</v>
      </c>
      <c r="C469" s="90"/>
      <c r="D469" s="90"/>
      <c r="E469" s="90"/>
      <c r="F469" s="90"/>
      <c r="G469" s="99"/>
      <c r="H469" s="99"/>
      <c r="I469" s="99">
        <f t="shared" ref="I469:AV469" si="330">+I467+I453+I443</f>
        <v>250000</v>
      </c>
      <c r="J469" s="99">
        <f t="shared" si="330"/>
        <v>525000</v>
      </c>
      <c r="K469" s="99">
        <f t="shared" si="330"/>
        <v>259186.33</v>
      </c>
      <c r="L469" s="99" t="str">
        <f t="shared" si="330"/>
        <v>#REF!</v>
      </c>
      <c r="M469" s="99" t="str">
        <f t="shared" si="330"/>
        <v>#REF!</v>
      </c>
      <c r="N469" s="99" t="str">
        <f t="shared" si="330"/>
        <v>#REF!</v>
      </c>
      <c r="O469" s="99" t="str">
        <f t="shared" si="330"/>
        <v>#REF!</v>
      </c>
      <c r="P469" s="99" t="str">
        <f t="shared" si="330"/>
        <v>#REF!</v>
      </c>
      <c r="Q469" s="99" t="str">
        <f t="shared" si="330"/>
        <v>#REF!</v>
      </c>
      <c r="R469" s="99" t="str">
        <f t="shared" si="330"/>
        <v>#REF!</v>
      </c>
      <c r="S469" s="99" t="str">
        <f t="shared" si="330"/>
        <v>#REF!</v>
      </c>
      <c r="T469" s="99" t="str">
        <f t="shared" si="330"/>
        <v>#REF!</v>
      </c>
      <c r="U469" s="99" t="str">
        <f t="shared" si="330"/>
        <v>#REF!</v>
      </c>
      <c r="V469" s="99" t="str">
        <f t="shared" si="330"/>
        <v>#REF!</v>
      </c>
      <c r="W469" s="99" t="str">
        <f t="shared" si="330"/>
        <v>#REF!</v>
      </c>
      <c r="X469" s="99" t="str">
        <f t="shared" si="330"/>
        <v>#REF!</v>
      </c>
      <c r="Y469" s="99" t="str">
        <f t="shared" si="330"/>
        <v>#REF!</v>
      </c>
      <c r="Z469" s="99" t="str">
        <f t="shared" si="330"/>
        <v>#REF!</v>
      </c>
      <c r="AA469" s="99" t="str">
        <f t="shared" si="330"/>
        <v>#REF!</v>
      </c>
      <c r="AB469" s="99" t="str">
        <f t="shared" si="330"/>
        <v>#REF!</v>
      </c>
      <c r="AC469" s="99" t="str">
        <f t="shared" si="330"/>
        <v>#REF!</v>
      </c>
      <c r="AD469" s="99" t="str">
        <f t="shared" si="330"/>
        <v>#REF!</v>
      </c>
      <c r="AE469" s="99" t="str">
        <f t="shared" si="330"/>
        <v>#REF!</v>
      </c>
      <c r="AF469" s="99" t="str">
        <f t="shared" si="330"/>
        <v>#REF!</v>
      </c>
      <c r="AG469" s="99" t="str">
        <f t="shared" si="330"/>
        <v>#REF!</v>
      </c>
      <c r="AH469" s="99" t="str">
        <f t="shared" si="330"/>
        <v>#REF!</v>
      </c>
      <c r="AI469" s="99" t="str">
        <f t="shared" si="330"/>
        <v>#REF!</v>
      </c>
      <c r="AJ469" s="99" t="str">
        <f t="shared" si="330"/>
        <v>#REF!</v>
      </c>
      <c r="AK469" s="99" t="str">
        <f t="shared" si="330"/>
        <v>#REF!</v>
      </c>
      <c r="AL469" s="99" t="str">
        <f t="shared" si="330"/>
        <v>#REF!</v>
      </c>
      <c r="AM469" s="99" t="str">
        <f t="shared" si="330"/>
        <v>#REF!</v>
      </c>
      <c r="AN469" s="99" t="str">
        <f t="shared" si="330"/>
        <v>#REF!</v>
      </c>
      <c r="AO469" s="99" t="str">
        <f t="shared" si="330"/>
        <v>#REF!</v>
      </c>
      <c r="AP469" s="99" t="str">
        <f t="shared" si="330"/>
        <v>#REF!</v>
      </c>
      <c r="AQ469" s="99" t="str">
        <f t="shared" si="330"/>
        <v>#REF!</v>
      </c>
      <c r="AR469" s="99" t="str">
        <f t="shared" si="330"/>
        <v>#REF!</v>
      </c>
      <c r="AS469" s="99" t="str">
        <f t="shared" si="330"/>
        <v>#REF!</v>
      </c>
      <c r="AT469" s="99" t="str">
        <f t="shared" si="330"/>
        <v>#REF!</v>
      </c>
      <c r="AU469" s="99" t="str">
        <f t="shared" si="330"/>
        <v>#REF!</v>
      </c>
      <c r="AV469" s="99" t="str">
        <f t="shared" si="330"/>
        <v>#REF!</v>
      </c>
      <c r="AW469" s="90"/>
      <c r="AX469" s="90"/>
      <c r="AY469" s="90"/>
      <c r="AZ469" s="90"/>
      <c r="BA469" s="90"/>
      <c r="BB469" s="90"/>
      <c r="BC469" s="90"/>
      <c r="BD469" s="90"/>
      <c r="BE469" s="90"/>
      <c r="BF469" s="90"/>
      <c r="BG469" s="90"/>
    </row>
    <row r="470" ht="12.75" hidden="1" customHeight="1" outlineLevel="1">
      <c r="A470" s="316"/>
      <c r="B470" s="90"/>
      <c r="C470" s="90"/>
      <c r="D470" s="90"/>
      <c r="E470" s="90"/>
      <c r="F470" s="90"/>
      <c r="G470" s="90"/>
      <c r="H470" s="90"/>
      <c r="I470" s="90"/>
      <c r="J470" s="90"/>
      <c r="K470" s="90"/>
      <c r="L470" s="90"/>
      <c r="M470" s="90"/>
      <c r="N470" s="90"/>
      <c r="O470" s="90"/>
      <c r="P470" s="90"/>
      <c r="Q470" s="90"/>
      <c r="R470" s="90"/>
      <c r="S470" s="90"/>
      <c r="T470" s="90"/>
      <c r="U470" s="90"/>
      <c r="V470" s="90"/>
      <c r="W470" s="90"/>
      <c r="X470" s="90"/>
      <c r="Y470" s="90"/>
      <c r="Z470" s="90"/>
      <c r="AA470" s="90"/>
      <c r="AB470" s="90"/>
      <c r="AC470" s="90"/>
      <c r="AD470" s="90"/>
      <c r="AE470" s="90"/>
      <c r="AF470" s="90"/>
      <c r="AG470" s="90"/>
      <c r="AH470" s="90"/>
      <c r="AI470" s="90"/>
      <c r="AJ470" s="90"/>
      <c r="AK470" s="90"/>
      <c r="AL470" s="90"/>
      <c r="AM470" s="90"/>
      <c r="AN470" s="90"/>
      <c r="AO470" s="90"/>
      <c r="AP470" s="90"/>
      <c r="AQ470" s="90"/>
      <c r="AR470" s="90"/>
      <c r="AS470" s="90"/>
      <c r="AT470" s="90"/>
      <c r="AU470" s="90"/>
      <c r="AV470" s="90"/>
      <c r="AW470" s="90"/>
      <c r="AX470" s="90"/>
      <c r="AY470" s="90"/>
      <c r="AZ470" s="90"/>
      <c r="BA470" s="90"/>
      <c r="BB470" s="90"/>
      <c r="BC470" s="90"/>
      <c r="BD470" s="90"/>
      <c r="BE470" s="90"/>
      <c r="BF470" s="90"/>
      <c r="BG470" s="90"/>
    </row>
    <row r="471" ht="12.75" customHeight="1">
      <c r="A471" s="316"/>
      <c r="B471" s="90"/>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c r="AA471" s="90"/>
      <c r="AB471" s="90"/>
      <c r="AC471" s="90"/>
      <c r="AD471" s="90"/>
      <c r="AE471" s="90"/>
      <c r="AF471" s="90"/>
      <c r="AG471" s="90"/>
      <c r="AH471" s="90"/>
      <c r="AI471" s="90"/>
      <c r="AJ471" s="90"/>
      <c r="AK471" s="90"/>
      <c r="AL471" s="90"/>
      <c r="AM471" s="90"/>
      <c r="AN471" s="90"/>
      <c r="AO471" s="90"/>
      <c r="AP471" s="90"/>
      <c r="AQ471" s="90"/>
      <c r="AR471" s="90"/>
      <c r="AS471" s="90"/>
      <c r="AT471" s="90"/>
      <c r="AU471" s="90"/>
      <c r="AV471" s="90"/>
      <c r="AW471" s="90"/>
      <c r="AX471" s="90"/>
      <c r="AY471" s="90"/>
      <c r="AZ471" s="90"/>
      <c r="BA471" s="90"/>
      <c r="BB471" s="90"/>
      <c r="BC471" s="90"/>
      <c r="BD471" s="90"/>
      <c r="BE471" s="90"/>
      <c r="BF471" s="90"/>
      <c r="BG471" s="90"/>
    </row>
    <row r="472" ht="12.75" customHeight="1">
      <c r="A472" s="105" t="s">
        <v>496</v>
      </c>
      <c r="B472" s="253"/>
      <c r="C472" s="253"/>
      <c r="D472" s="253"/>
      <c r="E472" s="253"/>
      <c r="F472" s="253"/>
      <c r="G472" s="253"/>
      <c r="H472" s="253"/>
      <c r="I472" s="253"/>
      <c r="J472" s="253"/>
      <c r="K472" s="253"/>
      <c r="L472" s="253"/>
      <c r="M472" s="253"/>
      <c r="N472" s="253"/>
      <c r="O472" s="253"/>
      <c r="P472" s="253"/>
      <c r="Q472" s="253"/>
      <c r="R472" s="253"/>
      <c r="S472" s="253"/>
      <c r="T472" s="253"/>
      <c r="U472" s="253"/>
      <c r="V472" s="253"/>
      <c r="W472" s="253"/>
      <c r="X472" s="253"/>
      <c r="Y472" s="253"/>
      <c r="Z472" s="253"/>
      <c r="AA472" s="253"/>
      <c r="AB472" s="253"/>
      <c r="AC472" s="253"/>
      <c r="AD472" s="253"/>
      <c r="AE472" s="253"/>
      <c r="AF472" s="253"/>
      <c r="AG472" s="253"/>
      <c r="AH472" s="253"/>
      <c r="AI472" s="253"/>
      <c r="AJ472" s="253"/>
      <c r="AK472" s="253"/>
      <c r="AL472" s="253"/>
      <c r="AM472" s="253"/>
      <c r="AN472" s="253"/>
      <c r="AO472" s="253"/>
      <c r="AP472" s="253"/>
      <c r="AQ472" s="253"/>
      <c r="AR472" s="253"/>
      <c r="AS472" s="253"/>
      <c r="AT472" s="253"/>
      <c r="AU472" s="253"/>
      <c r="AV472" s="253"/>
      <c r="AW472" s="253"/>
      <c r="AX472" s="90"/>
      <c r="AY472" s="90"/>
      <c r="AZ472" s="90"/>
      <c r="BA472" s="90"/>
      <c r="BB472" s="90"/>
      <c r="BC472" s="90"/>
      <c r="BD472" s="90"/>
      <c r="BE472" s="90"/>
      <c r="BF472" s="90"/>
      <c r="BG472" s="90"/>
    </row>
    <row r="473" ht="12.75" customHeight="1" outlineLevel="1">
      <c r="A473" s="316"/>
      <c r="B473" s="90"/>
      <c r="C473" s="90"/>
      <c r="D473" s="90"/>
      <c r="E473" s="90"/>
      <c r="F473" s="90"/>
      <c r="G473" s="90"/>
      <c r="H473" s="90"/>
      <c r="I473" s="90"/>
      <c r="J473" s="90"/>
      <c r="K473" s="90"/>
      <c r="L473" s="90"/>
      <c r="M473" s="90"/>
      <c r="N473" s="90"/>
      <c r="O473" s="90"/>
      <c r="P473" s="90"/>
      <c r="Q473" s="90"/>
      <c r="R473" s="90"/>
      <c r="S473" s="90"/>
      <c r="T473" s="90"/>
      <c r="U473" s="90"/>
      <c r="V473" s="90"/>
      <c r="W473" s="90"/>
      <c r="X473" s="90"/>
      <c r="Y473" s="90"/>
      <c r="Z473" s="90"/>
      <c r="AA473" s="90"/>
      <c r="AB473" s="90"/>
      <c r="AC473" s="90"/>
      <c r="AD473" s="90"/>
      <c r="AE473" s="90"/>
      <c r="AF473" s="90"/>
      <c r="AG473" s="90"/>
      <c r="AH473" s="90"/>
      <c r="AI473" s="90"/>
      <c r="AJ473" s="90"/>
      <c r="AK473" s="90"/>
      <c r="AL473" s="90"/>
      <c r="AM473" s="90"/>
      <c r="AN473" s="90"/>
      <c r="AO473" s="90"/>
      <c r="AP473" s="90"/>
      <c r="AQ473" s="90"/>
      <c r="AR473" s="90"/>
      <c r="AS473" s="90"/>
      <c r="AT473" s="90"/>
      <c r="AU473" s="90"/>
      <c r="AV473" s="90"/>
      <c r="AW473" s="90"/>
      <c r="AX473" s="90"/>
      <c r="AY473" s="90"/>
      <c r="AZ473" s="90"/>
      <c r="BA473" s="90"/>
      <c r="BB473" s="90"/>
      <c r="BC473" s="90"/>
      <c r="BD473" s="90"/>
      <c r="BE473" s="90"/>
      <c r="BF473" s="90"/>
      <c r="BG473" s="90"/>
    </row>
    <row r="474" ht="12.75" customHeight="1" outlineLevel="1">
      <c r="A474" s="316"/>
      <c r="B474" s="90" t="s">
        <v>242</v>
      </c>
      <c r="C474" s="90"/>
      <c r="D474" s="90"/>
      <c r="E474" s="90"/>
      <c r="F474" s="90"/>
      <c r="G474" s="90"/>
      <c r="H474" s="90"/>
      <c r="I474" s="90"/>
      <c r="J474" s="90"/>
      <c r="K474" s="90"/>
      <c r="L474" s="90"/>
      <c r="M474" s="90"/>
      <c r="N474" s="90"/>
      <c r="O474" s="90"/>
      <c r="P474" s="90"/>
      <c r="Q474" s="90"/>
      <c r="R474" s="90"/>
      <c r="S474" s="90"/>
      <c r="T474" s="90"/>
      <c r="U474" s="90"/>
      <c r="V474" s="90"/>
      <c r="W474" s="90"/>
      <c r="X474" s="90"/>
      <c r="Y474" s="90"/>
      <c r="Z474" s="90"/>
      <c r="AA474" s="90"/>
      <c r="AB474" s="90"/>
      <c r="AC474" s="90"/>
      <c r="AD474" s="90"/>
      <c r="AE474" s="90"/>
      <c r="AF474" s="90"/>
      <c r="AG474" s="90"/>
      <c r="AH474" s="90"/>
      <c r="AI474" s="90"/>
      <c r="AJ474" s="90"/>
      <c r="AK474" s="90"/>
      <c r="AL474" s="90"/>
      <c r="AM474" s="90"/>
      <c r="AN474" s="90"/>
      <c r="AO474" s="90"/>
      <c r="AP474" s="90"/>
      <c r="AQ474" s="90"/>
      <c r="AR474" s="90"/>
      <c r="AS474" s="90"/>
      <c r="AT474" s="90"/>
      <c r="AU474" s="90"/>
      <c r="AV474" s="90"/>
      <c r="AW474" s="90"/>
      <c r="AX474" s="90"/>
      <c r="AY474" s="90"/>
      <c r="AZ474" s="90"/>
      <c r="BA474" s="90"/>
      <c r="BB474" s="90"/>
      <c r="BC474" s="90"/>
      <c r="BD474" s="90"/>
      <c r="BE474" s="90"/>
      <c r="BF474" s="90"/>
      <c r="BG474" s="90"/>
    </row>
    <row r="475" ht="12.75" customHeight="1" outlineLevel="1">
      <c r="A475" s="316"/>
      <c r="B475" s="90"/>
      <c r="C475" s="90" t="s">
        <v>243</v>
      </c>
      <c r="D475" s="90"/>
      <c r="E475" s="90"/>
      <c r="F475" s="90"/>
      <c r="G475" s="90"/>
      <c r="H475" s="99"/>
      <c r="I475" s="99" t="str">
        <f>I430</f>
        <v>#REF!</v>
      </c>
      <c r="J475" s="99">
        <v>111279.22</v>
      </c>
      <c r="K475" s="99" t="str">
        <f t="shared" ref="K475:AV475" si="331">K430</f>
        <v>#REF!</v>
      </c>
      <c r="L475" s="99" t="str">
        <f t="shared" si="331"/>
        <v>#REF!</v>
      </c>
      <c r="M475" s="99" t="str">
        <f t="shared" si="331"/>
        <v>#REF!</v>
      </c>
      <c r="N475" s="99" t="str">
        <f t="shared" si="331"/>
        <v>#REF!</v>
      </c>
      <c r="O475" s="99" t="str">
        <f t="shared" si="331"/>
        <v>#REF!</v>
      </c>
      <c r="P475" s="99" t="str">
        <f t="shared" si="331"/>
        <v>#REF!</v>
      </c>
      <c r="Q475" s="99" t="str">
        <f t="shared" si="331"/>
        <v>#REF!</v>
      </c>
      <c r="R475" s="99" t="str">
        <f t="shared" si="331"/>
        <v>#REF!</v>
      </c>
      <c r="S475" s="99" t="str">
        <f t="shared" si="331"/>
        <v>#REF!</v>
      </c>
      <c r="T475" s="99" t="str">
        <f t="shared" si="331"/>
        <v>#REF!</v>
      </c>
      <c r="U475" s="99" t="str">
        <f t="shared" si="331"/>
        <v>#REF!</v>
      </c>
      <c r="V475" s="99" t="str">
        <f t="shared" si="331"/>
        <v>#REF!</v>
      </c>
      <c r="W475" s="99" t="str">
        <f t="shared" si="331"/>
        <v>#REF!</v>
      </c>
      <c r="X475" s="99" t="str">
        <f t="shared" si="331"/>
        <v>#REF!</v>
      </c>
      <c r="Y475" s="99" t="str">
        <f t="shared" si="331"/>
        <v>#REF!</v>
      </c>
      <c r="Z475" s="99" t="str">
        <f t="shared" si="331"/>
        <v>#REF!</v>
      </c>
      <c r="AA475" s="99" t="str">
        <f t="shared" si="331"/>
        <v>#REF!</v>
      </c>
      <c r="AB475" s="99" t="str">
        <f t="shared" si="331"/>
        <v>#REF!</v>
      </c>
      <c r="AC475" s="99" t="str">
        <f t="shared" si="331"/>
        <v>#REF!</v>
      </c>
      <c r="AD475" s="99" t="str">
        <f t="shared" si="331"/>
        <v>#REF!</v>
      </c>
      <c r="AE475" s="99" t="str">
        <f t="shared" si="331"/>
        <v>#REF!</v>
      </c>
      <c r="AF475" s="99" t="str">
        <f t="shared" si="331"/>
        <v>#REF!</v>
      </c>
      <c r="AG475" s="99" t="str">
        <f t="shared" si="331"/>
        <v>#REF!</v>
      </c>
      <c r="AH475" s="99" t="str">
        <f t="shared" si="331"/>
        <v>#REF!</v>
      </c>
      <c r="AI475" s="99" t="str">
        <f t="shared" si="331"/>
        <v>#REF!</v>
      </c>
      <c r="AJ475" s="99" t="str">
        <f t="shared" si="331"/>
        <v>#REF!</v>
      </c>
      <c r="AK475" s="99" t="str">
        <f t="shared" si="331"/>
        <v>#REF!</v>
      </c>
      <c r="AL475" s="99" t="str">
        <f t="shared" si="331"/>
        <v>#REF!</v>
      </c>
      <c r="AM475" s="99" t="str">
        <f t="shared" si="331"/>
        <v>#REF!</v>
      </c>
      <c r="AN475" s="99" t="str">
        <f t="shared" si="331"/>
        <v>#REF!</v>
      </c>
      <c r="AO475" s="99" t="str">
        <f t="shared" si="331"/>
        <v>#REF!</v>
      </c>
      <c r="AP475" s="99" t="str">
        <f t="shared" si="331"/>
        <v>#REF!</v>
      </c>
      <c r="AQ475" s="99" t="str">
        <f t="shared" si="331"/>
        <v>#REF!</v>
      </c>
      <c r="AR475" s="99" t="str">
        <f t="shared" si="331"/>
        <v>#REF!</v>
      </c>
      <c r="AS475" s="99" t="str">
        <f t="shared" si="331"/>
        <v>#REF!</v>
      </c>
      <c r="AT475" s="99" t="str">
        <f t="shared" si="331"/>
        <v>#REF!</v>
      </c>
      <c r="AU475" s="99" t="str">
        <f t="shared" si="331"/>
        <v>#REF!</v>
      </c>
      <c r="AV475" s="99" t="str">
        <f t="shared" si="331"/>
        <v>#REF!</v>
      </c>
      <c r="AW475" s="99"/>
      <c r="AX475" s="90"/>
      <c r="AY475" s="90"/>
      <c r="AZ475" s="90"/>
      <c r="BA475" s="90"/>
      <c r="BB475" s="90"/>
      <c r="BC475" s="90"/>
      <c r="BD475" s="90"/>
      <c r="BE475" s="90"/>
      <c r="BF475" s="90"/>
      <c r="BG475" s="90"/>
    </row>
    <row r="476" ht="12.75" customHeight="1" outlineLevel="1">
      <c r="A476" s="316"/>
      <c r="B476" s="157">
        <f>Assumptions!H28</f>
        <v>0.15</v>
      </c>
      <c r="C476" s="90" t="s">
        <v>142</v>
      </c>
      <c r="D476" s="90"/>
      <c r="E476" s="90"/>
      <c r="F476" s="90"/>
      <c r="G476" s="90"/>
      <c r="H476" s="99"/>
      <c r="I476" s="99">
        <v>185068.0</v>
      </c>
      <c r="J476" s="99">
        <v>734569.33</v>
      </c>
      <c r="K476" s="99">
        <v>785958.62</v>
      </c>
      <c r="L476" s="99">
        <f t="shared" ref="L476:AV476" si="332">$B$476*(L272+L282)</f>
        <v>519439.4136</v>
      </c>
      <c r="M476" s="99">
        <f t="shared" si="332"/>
        <v>524605.8171</v>
      </c>
      <c r="N476" s="99">
        <f t="shared" si="332"/>
        <v>529196.3182</v>
      </c>
      <c r="O476" s="99">
        <f t="shared" si="332"/>
        <v>537200.5445</v>
      </c>
      <c r="P476" s="99">
        <f t="shared" si="332"/>
        <v>546855.7414</v>
      </c>
      <c r="Q476" s="99">
        <f t="shared" si="332"/>
        <v>557780.8562</v>
      </c>
      <c r="R476" s="99">
        <f t="shared" si="332"/>
        <v>574056.1968</v>
      </c>
      <c r="S476" s="99">
        <f t="shared" si="332"/>
        <v>585525.3208</v>
      </c>
      <c r="T476" s="99">
        <f t="shared" si="332"/>
        <v>597223.8272</v>
      </c>
      <c r="U476" s="99">
        <f t="shared" si="332"/>
        <v>609156.3037</v>
      </c>
      <c r="V476" s="99">
        <f t="shared" si="332"/>
        <v>621327.4298</v>
      </c>
      <c r="W476" s="99">
        <f t="shared" si="332"/>
        <v>633741.9784</v>
      </c>
      <c r="X476" s="99">
        <f t="shared" si="332"/>
        <v>646404.818</v>
      </c>
      <c r="Y476" s="99">
        <f t="shared" si="332"/>
        <v>659320.9143</v>
      </c>
      <c r="Z476" s="99">
        <f t="shared" si="332"/>
        <v>672495.3326</v>
      </c>
      <c r="AA476" s="99">
        <f t="shared" si="332"/>
        <v>685933.2393</v>
      </c>
      <c r="AB476" s="99">
        <f t="shared" si="332"/>
        <v>699639.904</v>
      </c>
      <c r="AC476" s="99">
        <f t="shared" si="332"/>
        <v>713620.7021</v>
      </c>
      <c r="AD476" s="99">
        <f t="shared" si="332"/>
        <v>727881.1162</v>
      </c>
      <c r="AE476" s="99">
        <f t="shared" si="332"/>
        <v>742426.7385</v>
      </c>
      <c r="AF476" s="99">
        <f t="shared" si="332"/>
        <v>757263.2733</v>
      </c>
      <c r="AG476" s="99">
        <f t="shared" si="332"/>
        <v>772396.5387</v>
      </c>
      <c r="AH476" s="99">
        <f t="shared" si="332"/>
        <v>787832.4695</v>
      </c>
      <c r="AI476" s="99">
        <f t="shared" si="332"/>
        <v>803577.1189</v>
      </c>
      <c r="AJ476" s="99">
        <f t="shared" si="332"/>
        <v>819636.6613</v>
      </c>
      <c r="AK476" s="99">
        <f t="shared" si="332"/>
        <v>836017.3945</v>
      </c>
      <c r="AL476" s="99">
        <f t="shared" si="332"/>
        <v>852725.7424</v>
      </c>
      <c r="AM476" s="99">
        <f t="shared" si="332"/>
        <v>869768.2572</v>
      </c>
      <c r="AN476" s="99">
        <f t="shared" si="332"/>
        <v>887151.6224</v>
      </c>
      <c r="AO476" s="99">
        <f t="shared" si="332"/>
        <v>904882.6548</v>
      </c>
      <c r="AP476" s="99">
        <f t="shared" si="332"/>
        <v>922968.3079</v>
      </c>
      <c r="AQ476" s="99">
        <f t="shared" si="332"/>
        <v>941415.6741</v>
      </c>
      <c r="AR476" s="99">
        <f t="shared" si="332"/>
        <v>960231.9875</v>
      </c>
      <c r="AS476" s="99">
        <f t="shared" si="332"/>
        <v>979424.6273</v>
      </c>
      <c r="AT476" s="99">
        <f t="shared" si="332"/>
        <v>999001.1198</v>
      </c>
      <c r="AU476" s="99">
        <f t="shared" si="332"/>
        <v>1018969.142</v>
      </c>
      <c r="AV476" s="99">
        <f t="shared" si="332"/>
        <v>1039336.525</v>
      </c>
      <c r="AW476" s="99"/>
      <c r="AX476" s="90"/>
      <c r="AY476" s="90"/>
      <c r="AZ476" s="90"/>
      <c r="BA476" s="90"/>
      <c r="BB476" s="90"/>
      <c r="BC476" s="90"/>
      <c r="BD476" s="90"/>
      <c r="BE476" s="90"/>
      <c r="BF476" s="90"/>
      <c r="BG476" s="90"/>
    </row>
    <row r="477" ht="12.75" customHeight="1" outlineLevel="1">
      <c r="A477" s="316"/>
      <c r="B477" s="157"/>
      <c r="C477" s="90" t="s">
        <v>1231</v>
      </c>
      <c r="D477" s="90"/>
      <c r="E477" s="90"/>
      <c r="F477" s="90"/>
      <c r="G477" s="90"/>
      <c r="H477" s="99"/>
      <c r="I477" s="99"/>
      <c r="J477" s="99">
        <v>0.0</v>
      </c>
      <c r="K477" s="99">
        <f>-K412-K405</f>
        <v>5988.65</v>
      </c>
      <c r="L477" s="99">
        <f t="shared" ref="L477:AV477" si="333">K477-L412-L405</f>
        <v>4491.49</v>
      </c>
      <c r="M477" s="99">
        <f t="shared" si="333"/>
        <v>2994.33</v>
      </c>
      <c r="N477" s="99">
        <f t="shared" si="333"/>
        <v>1497.165</v>
      </c>
      <c r="O477" s="99">
        <f t="shared" si="333"/>
        <v>0</v>
      </c>
      <c r="P477" s="99">
        <f t="shared" si="333"/>
        <v>0</v>
      </c>
      <c r="Q477" s="99">
        <f t="shared" si="333"/>
        <v>0</v>
      </c>
      <c r="R477" s="99">
        <f t="shared" si="333"/>
        <v>0</v>
      </c>
      <c r="S477" s="99">
        <f t="shared" si="333"/>
        <v>0</v>
      </c>
      <c r="T477" s="99">
        <f t="shared" si="333"/>
        <v>0</v>
      </c>
      <c r="U477" s="99">
        <f t="shared" si="333"/>
        <v>0</v>
      </c>
      <c r="V477" s="99">
        <f t="shared" si="333"/>
        <v>0</v>
      </c>
      <c r="W477" s="99">
        <f t="shared" si="333"/>
        <v>0</v>
      </c>
      <c r="X477" s="99">
        <f t="shared" si="333"/>
        <v>0</v>
      </c>
      <c r="Y477" s="99">
        <f t="shared" si="333"/>
        <v>0</v>
      </c>
      <c r="Z477" s="99">
        <f t="shared" si="333"/>
        <v>0</v>
      </c>
      <c r="AA477" s="99">
        <f t="shared" si="333"/>
        <v>0</v>
      </c>
      <c r="AB477" s="99">
        <f t="shared" si="333"/>
        <v>0</v>
      </c>
      <c r="AC477" s="99">
        <f t="shared" si="333"/>
        <v>0</v>
      </c>
      <c r="AD477" s="99">
        <f t="shared" si="333"/>
        <v>0</v>
      </c>
      <c r="AE477" s="99">
        <f t="shared" si="333"/>
        <v>0</v>
      </c>
      <c r="AF477" s="99">
        <f t="shared" si="333"/>
        <v>0</v>
      </c>
      <c r="AG477" s="99">
        <f t="shared" si="333"/>
        <v>0</v>
      </c>
      <c r="AH477" s="99">
        <f t="shared" si="333"/>
        <v>0</v>
      </c>
      <c r="AI477" s="99">
        <f t="shared" si="333"/>
        <v>0</v>
      </c>
      <c r="AJ477" s="99">
        <f t="shared" si="333"/>
        <v>0</v>
      </c>
      <c r="AK477" s="99">
        <f t="shared" si="333"/>
        <v>0</v>
      </c>
      <c r="AL477" s="99">
        <f t="shared" si="333"/>
        <v>0</v>
      </c>
      <c r="AM477" s="99">
        <f t="shared" si="333"/>
        <v>0</v>
      </c>
      <c r="AN477" s="99">
        <f t="shared" si="333"/>
        <v>0</v>
      </c>
      <c r="AO477" s="99">
        <f t="shared" si="333"/>
        <v>0</v>
      </c>
      <c r="AP477" s="99">
        <f t="shared" si="333"/>
        <v>0</v>
      </c>
      <c r="AQ477" s="99">
        <f t="shared" si="333"/>
        <v>0</v>
      </c>
      <c r="AR477" s="99">
        <f t="shared" si="333"/>
        <v>0</v>
      </c>
      <c r="AS477" s="99">
        <f t="shared" si="333"/>
        <v>0</v>
      </c>
      <c r="AT477" s="99">
        <f t="shared" si="333"/>
        <v>0</v>
      </c>
      <c r="AU477" s="99">
        <f t="shared" si="333"/>
        <v>0</v>
      </c>
      <c r="AV477" s="99">
        <f t="shared" si="333"/>
        <v>0</v>
      </c>
      <c r="AW477" s="99"/>
      <c r="AX477" s="90"/>
      <c r="AY477" s="90"/>
      <c r="AZ477" s="90"/>
      <c r="BA477" s="90"/>
      <c r="BB477" s="90"/>
      <c r="BC477" s="90"/>
      <c r="BD477" s="90"/>
      <c r="BE477" s="90"/>
      <c r="BF477" s="90"/>
      <c r="BG477" s="90"/>
    </row>
    <row r="478" ht="12.75" customHeight="1" outlineLevel="1">
      <c r="A478" s="316"/>
      <c r="B478" s="87"/>
      <c r="C478" s="87" t="s">
        <v>248</v>
      </c>
      <c r="D478" s="87"/>
      <c r="E478" s="87"/>
      <c r="F478" s="87"/>
      <c r="G478" s="87"/>
      <c r="H478" s="125"/>
      <c r="I478" s="125">
        <v>0.0</v>
      </c>
      <c r="J478" s="125">
        <v>6211.0</v>
      </c>
      <c r="K478" s="125">
        <v>6210.5</v>
      </c>
      <c r="L478" s="125">
        <v>6210.5</v>
      </c>
      <c r="M478" s="125">
        <v>6210.5</v>
      </c>
      <c r="N478" s="125">
        <v>6210.5</v>
      </c>
      <c r="O478" s="125">
        <v>6210.5</v>
      </c>
      <c r="P478" s="125">
        <v>6210.5</v>
      </c>
      <c r="Q478" s="125">
        <v>6210.5</v>
      </c>
      <c r="R478" s="125">
        <v>6210.5</v>
      </c>
      <c r="S478" s="125">
        <v>6210.5</v>
      </c>
      <c r="T478" s="125">
        <v>6210.5</v>
      </c>
      <c r="U478" s="125">
        <v>6210.5</v>
      </c>
      <c r="V478" s="125">
        <v>6210.5</v>
      </c>
      <c r="W478" s="125">
        <v>6210.5</v>
      </c>
      <c r="X478" s="125">
        <v>6210.5</v>
      </c>
      <c r="Y478" s="125">
        <v>6210.5</v>
      </c>
      <c r="Z478" s="125">
        <v>6210.5</v>
      </c>
      <c r="AA478" s="125">
        <v>6210.5</v>
      </c>
      <c r="AB478" s="125">
        <v>6210.5</v>
      </c>
      <c r="AC478" s="125">
        <v>6210.5</v>
      </c>
      <c r="AD478" s="125">
        <v>6210.5</v>
      </c>
      <c r="AE478" s="125">
        <v>6210.5</v>
      </c>
      <c r="AF478" s="125">
        <v>6210.5</v>
      </c>
      <c r="AG478" s="125">
        <v>6210.5</v>
      </c>
      <c r="AH478" s="125">
        <v>6210.5</v>
      </c>
      <c r="AI478" s="125">
        <v>6210.5</v>
      </c>
      <c r="AJ478" s="125">
        <v>6210.5</v>
      </c>
      <c r="AK478" s="125">
        <v>6210.5</v>
      </c>
      <c r="AL478" s="125">
        <v>6210.5</v>
      </c>
      <c r="AM478" s="125">
        <v>6210.5</v>
      </c>
      <c r="AN478" s="125">
        <v>6210.5</v>
      </c>
      <c r="AO478" s="125">
        <v>6210.5</v>
      </c>
      <c r="AP478" s="125">
        <v>6210.5</v>
      </c>
      <c r="AQ478" s="125">
        <v>6210.5</v>
      </c>
      <c r="AR478" s="125">
        <v>6210.5</v>
      </c>
      <c r="AS478" s="125">
        <v>6210.5</v>
      </c>
      <c r="AT478" s="125">
        <v>6210.5</v>
      </c>
      <c r="AU478" s="125">
        <v>6210.5</v>
      </c>
      <c r="AV478" s="125">
        <v>6210.5</v>
      </c>
      <c r="AW478" s="125"/>
      <c r="AX478" s="90"/>
      <c r="AY478" s="90"/>
      <c r="AZ478" s="90"/>
      <c r="BA478" s="90"/>
      <c r="BB478" s="90"/>
      <c r="BC478" s="90"/>
      <c r="BD478" s="90"/>
      <c r="BE478" s="90"/>
      <c r="BF478" s="90"/>
      <c r="BG478" s="90"/>
    </row>
    <row r="479" ht="12.75" customHeight="1" outlineLevel="1">
      <c r="A479" s="316"/>
      <c r="B479" s="90" t="s">
        <v>249</v>
      </c>
      <c r="C479" s="90"/>
      <c r="D479" s="90"/>
      <c r="E479" s="90"/>
      <c r="F479" s="90"/>
      <c r="G479" s="90"/>
      <c r="H479" s="99"/>
      <c r="I479" s="99" t="str">
        <f>SUM(I475:I478)</f>
        <v>#REF!</v>
      </c>
      <c r="J479" s="99">
        <v>852059.55</v>
      </c>
      <c r="K479" s="99" t="str">
        <f t="shared" ref="K479:AV479" si="334">SUM(K475:K478)</f>
        <v>#REF!</v>
      </c>
      <c r="L479" s="99" t="str">
        <f t="shared" si="334"/>
        <v>#REF!</v>
      </c>
      <c r="M479" s="99" t="str">
        <f t="shared" si="334"/>
        <v>#REF!</v>
      </c>
      <c r="N479" s="99" t="str">
        <f t="shared" si="334"/>
        <v>#REF!</v>
      </c>
      <c r="O479" s="99" t="str">
        <f t="shared" si="334"/>
        <v>#REF!</v>
      </c>
      <c r="P479" s="99" t="str">
        <f t="shared" si="334"/>
        <v>#REF!</v>
      </c>
      <c r="Q479" s="99" t="str">
        <f t="shared" si="334"/>
        <v>#REF!</v>
      </c>
      <c r="R479" s="99" t="str">
        <f t="shared" si="334"/>
        <v>#REF!</v>
      </c>
      <c r="S479" s="99" t="str">
        <f t="shared" si="334"/>
        <v>#REF!</v>
      </c>
      <c r="T479" s="99" t="str">
        <f t="shared" si="334"/>
        <v>#REF!</v>
      </c>
      <c r="U479" s="99" t="str">
        <f t="shared" si="334"/>
        <v>#REF!</v>
      </c>
      <c r="V479" s="99" t="str">
        <f t="shared" si="334"/>
        <v>#REF!</v>
      </c>
      <c r="W479" s="99" t="str">
        <f t="shared" si="334"/>
        <v>#REF!</v>
      </c>
      <c r="X479" s="99" t="str">
        <f t="shared" si="334"/>
        <v>#REF!</v>
      </c>
      <c r="Y479" s="99" t="str">
        <f t="shared" si="334"/>
        <v>#REF!</v>
      </c>
      <c r="Z479" s="99" t="str">
        <f t="shared" si="334"/>
        <v>#REF!</v>
      </c>
      <c r="AA479" s="99" t="str">
        <f t="shared" si="334"/>
        <v>#REF!</v>
      </c>
      <c r="AB479" s="99" t="str">
        <f t="shared" si="334"/>
        <v>#REF!</v>
      </c>
      <c r="AC479" s="99" t="str">
        <f t="shared" si="334"/>
        <v>#REF!</v>
      </c>
      <c r="AD479" s="99" t="str">
        <f t="shared" si="334"/>
        <v>#REF!</v>
      </c>
      <c r="AE479" s="99" t="str">
        <f t="shared" si="334"/>
        <v>#REF!</v>
      </c>
      <c r="AF479" s="99" t="str">
        <f t="shared" si="334"/>
        <v>#REF!</v>
      </c>
      <c r="AG479" s="99" t="str">
        <f t="shared" si="334"/>
        <v>#REF!</v>
      </c>
      <c r="AH479" s="99" t="str">
        <f t="shared" si="334"/>
        <v>#REF!</v>
      </c>
      <c r="AI479" s="99" t="str">
        <f t="shared" si="334"/>
        <v>#REF!</v>
      </c>
      <c r="AJ479" s="99" t="str">
        <f t="shared" si="334"/>
        <v>#REF!</v>
      </c>
      <c r="AK479" s="99" t="str">
        <f t="shared" si="334"/>
        <v>#REF!</v>
      </c>
      <c r="AL479" s="99" t="str">
        <f t="shared" si="334"/>
        <v>#REF!</v>
      </c>
      <c r="AM479" s="99" t="str">
        <f t="shared" si="334"/>
        <v>#REF!</v>
      </c>
      <c r="AN479" s="99" t="str">
        <f t="shared" si="334"/>
        <v>#REF!</v>
      </c>
      <c r="AO479" s="99" t="str">
        <f t="shared" si="334"/>
        <v>#REF!</v>
      </c>
      <c r="AP479" s="99" t="str">
        <f t="shared" si="334"/>
        <v>#REF!</v>
      </c>
      <c r="AQ479" s="99" t="str">
        <f t="shared" si="334"/>
        <v>#REF!</v>
      </c>
      <c r="AR479" s="99" t="str">
        <f t="shared" si="334"/>
        <v>#REF!</v>
      </c>
      <c r="AS479" s="99" t="str">
        <f t="shared" si="334"/>
        <v>#REF!</v>
      </c>
      <c r="AT479" s="99" t="str">
        <f t="shared" si="334"/>
        <v>#REF!</v>
      </c>
      <c r="AU479" s="99" t="str">
        <f t="shared" si="334"/>
        <v>#REF!</v>
      </c>
      <c r="AV479" s="99" t="str">
        <f t="shared" si="334"/>
        <v>#REF!</v>
      </c>
      <c r="AW479" s="99"/>
      <c r="AX479" s="90"/>
      <c r="AY479" s="90"/>
      <c r="AZ479" s="90"/>
      <c r="BA479" s="90"/>
      <c r="BB479" s="90"/>
      <c r="BC479" s="90"/>
      <c r="BD479" s="90"/>
      <c r="BE479" s="90"/>
      <c r="BF479" s="90"/>
      <c r="BG479" s="90"/>
    </row>
    <row r="480" ht="12.75" customHeight="1" outlineLevel="1">
      <c r="A480" s="316"/>
      <c r="B480" s="90"/>
      <c r="C480" s="90"/>
      <c r="D480" s="90"/>
      <c r="E480" s="90"/>
      <c r="F480" s="90"/>
      <c r="G480" s="90"/>
      <c r="H480" s="99"/>
      <c r="I480" s="99"/>
      <c r="J480" s="99"/>
      <c r="K480" s="99"/>
      <c r="L480" s="99"/>
      <c r="M480" s="99"/>
      <c r="N480" s="99"/>
      <c r="O480" s="99"/>
      <c r="P480" s="99"/>
      <c r="Q480" s="99"/>
      <c r="R480" s="99"/>
      <c r="S480" s="99"/>
      <c r="T480" s="99"/>
      <c r="U480" s="99"/>
      <c r="V480" s="99"/>
      <c r="W480" s="99"/>
      <c r="X480" s="99"/>
      <c r="Y480" s="99"/>
      <c r="Z480" s="99"/>
      <c r="AA480" s="99"/>
      <c r="AB480" s="99"/>
      <c r="AC480" s="99"/>
      <c r="AD480" s="99"/>
      <c r="AE480" s="99"/>
      <c r="AF480" s="99"/>
      <c r="AG480" s="99"/>
      <c r="AH480" s="99"/>
      <c r="AI480" s="99"/>
      <c r="AJ480" s="99"/>
      <c r="AK480" s="99"/>
      <c r="AL480" s="99"/>
      <c r="AM480" s="99"/>
      <c r="AN480" s="99"/>
      <c r="AO480" s="99"/>
      <c r="AP480" s="99"/>
      <c r="AQ480" s="99"/>
      <c r="AR480" s="99"/>
      <c r="AS480" s="99"/>
      <c r="AT480" s="99"/>
      <c r="AU480" s="99"/>
      <c r="AV480" s="99"/>
      <c r="AW480" s="99"/>
      <c r="AX480" s="90"/>
      <c r="AY480" s="90"/>
      <c r="AZ480" s="90"/>
      <c r="BA480" s="90"/>
      <c r="BB480" s="90"/>
      <c r="BC480" s="90"/>
      <c r="BD480" s="90"/>
      <c r="BE480" s="90"/>
      <c r="BF480" s="90"/>
      <c r="BG480" s="90"/>
    </row>
    <row r="481" ht="12.75" customHeight="1" outlineLevel="1">
      <c r="A481" s="316"/>
      <c r="B481" s="90" t="s">
        <v>250</v>
      </c>
      <c r="C481" s="90"/>
      <c r="D481" s="90"/>
      <c r="E481" s="90"/>
      <c r="F481" s="90"/>
      <c r="G481" s="90"/>
      <c r="H481" s="99"/>
      <c r="I481" s="99"/>
      <c r="J481" s="99"/>
      <c r="K481" s="99"/>
      <c r="L481" s="99"/>
      <c r="M481" s="99"/>
      <c r="N481" s="99"/>
      <c r="O481" s="99"/>
      <c r="P481" s="99"/>
      <c r="Q481" s="99"/>
      <c r="R481" s="99"/>
      <c r="S481" s="99"/>
      <c r="T481" s="99"/>
      <c r="U481" s="99"/>
      <c r="V481" s="99"/>
      <c r="W481" s="99"/>
      <c r="X481" s="99"/>
      <c r="Y481" s="99"/>
      <c r="Z481" s="99"/>
      <c r="AA481" s="99"/>
      <c r="AB481" s="99"/>
      <c r="AC481" s="99"/>
      <c r="AD481" s="99"/>
      <c r="AE481" s="99"/>
      <c r="AF481" s="99"/>
      <c r="AG481" s="99"/>
      <c r="AH481" s="99"/>
      <c r="AI481" s="99"/>
      <c r="AJ481" s="99"/>
      <c r="AK481" s="99"/>
      <c r="AL481" s="99"/>
      <c r="AM481" s="99"/>
      <c r="AN481" s="99"/>
      <c r="AO481" s="99"/>
      <c r="AP481" s="99"/>
      <c r="AQ481" s="99"/>
      <c r="AR481" s="99"/>
      <c r="AS481" s="99"/>
      <c r="AT481" s="99"/>
      <c r="AU481" s="99"/>
      <c r="AV481" s="99"/>
      <c r="AW481" s="99"/>
      <c r="AX481" s="90"/>
      <c r="AY481" s="90"/>
      <c r="AZ481" s="90"/>
      <c r="BA481" s="90"/>
      <c r="BB481" s="90"/>
      <c r="BC481" s="90"/>
      <c r="BD481" s="90"/>
      <c r="BE481" s="90"/>
      <c r="BF481" s="90"/>
      <c r="BG481" s="90"/>
    </row>
    <row r="482" ht="12.75" customHeight="1" outlineLevel="1">
      <c r="A482" s="316"/>
      <c r="B482" s="157">
        <f>Assumptions!H29</f>
        <v>0.05</v>
      </c>
      <c r="C482" s="90" t="s">
        <v>145</v>
      </c>
      <c r="D482" s="90"/>
      <c r="E482" s="90"/>
      <c r="F482" s="90"/>
      <c r="G482" s="90"/>
      <c r="H482" s="99"/>
      <c r="I482" s="99" t="str">
        <f>$B$482*I398</f>
        <v>#REF!</v>
      </c>
      <c r="J482" s="99">
        <v>176897.04</v>
      </c>
      <c r="K482" s="99">
        <v>127219.98</v>
      </c>
      <c r="L482" s="99" t="str">
        <f t="shared" ref="L482:AV482" si="335">$B$482*L398</f>
        <v>#REF!</v>
      </c>
      <c r="M482" s="99" t="str">
        <f t="shared" si="335"/>
        <v>#REF!</v>
      </c>
      <c r="N482" s="99" t="str">
        <f t="shared" si="335"/>
        <v>#REF!</v>
      </c>
      <c r="O482" s="99" t="str">
        <f t="shared" si="335"/>
        <v>#REF!</v>
      </c>
      <c r="P482" s="99" t="str">
        <f t="shared" si="335"/>
        <v>#REF!</v>
      </c>
      <c r="Q482" s="99" t="str">
        <f t="shared" si="335"/>
        <v>#REF!</v>
      </c>
      <c r="R482" s="99" t="str">
        <f t="shared" si="335"/>
        <v>#REF!</v>
      </c>
      <c r="S482" s="99" t="str">
        <f t="shared" si="335"/>
        <v>#REF!</v>
      </c>
      <c r="T482" s="99" t="str">
        <f t="shared" si="335"/>
        <v>#REF!</v>
      </c>
      <c r="U482" s="99" t="str">
        <f t="shared" si="335"/>
        <v>#REF!</v>
      </c>
      <c r="V482" s="99" t="str">
        <f t="shared" si="335"/>
        <v>#REF!</v>
      </c>
      <c r="W482" s="99" t="str">
        <f t="shared" si="335"/>
        <v>#REF!</v>
      </c>
      <c r="X482" s="99" t="str">
        <f t="shared" si="335"/>
        <v>#REF!</v>
      </c>
      <c r="Y482" s="99" t="str">
        <f t="shared" si="335"/>
        <v>#REF!</v>
      </c>
      <c r="Z482" s="99" t="str">
        <f t="shared" si="335"/>
        <v>#REF!</v>
      </c>
      <c r="AA482" s="99" t="str">
        <f t="shared" si="335"/>
        <v>#REF!</v>
      </c>
      <c r="AB482" s="99" t="str">
        <f t="shared" si="335"/>
        <v>#REF!</v>
      </c>
      <c r="AC482" s="99" t="str">
        <f t="shared" si="335"/>
        <v>#REF!</v>
      </c>
      <c r="AD482" s="99" t="str">
        <f t="shared" si="335"/>
        <v>#REF!</v>
      </c>
      <c r="AE482" s="99" t="str">
        <f t="shared" si="335"/>
        <v>#REF!</v>
      </c>
      <c r="AF482" s="99" t="str">
        <f t="shared" si="335"/>
        <v>#REF!</v>
      </c>
      <c r="AG482" s="99" t="str">
        <f t="shared" si="335"/>
        <v>#REF!</v>
      </c>
      <c r="AH482" s="99" t="str">
        <f t="shared" si="335"/>
        <v>#REF!</v>
      </c>
      <c r="AI482" s="99" t="str">
        <f t="shared" si="335"/>
        <v>#REF!</v>
      </c>
      <c r="AJ482" s="99" t="str">
        <f t="shared" si="335"/>
        <v>#REF!</v>
      </c>
      <c r="AK482" s="99" t="str">
        <f t="shared" si="335"/>
        <v>#REF!</v>
      </c>
      <c r="AL482" s="99" t="str">
        <f t="shared" si="335"/>
        <v>#REF!</v>
      </c>
      <c r="AM482" s="99" t="str">
        <f t="shared" si="335"/>
        <v>#REF!</v>
      </c>
      <c r="AN482" s="99" t="str">
        <f t="shared" si="335"/>
        <v>#REF!</v>
      </c>
      <c r="AO482" s="99" t="str">
        <f t="shared" si="335"/>
        <v>#REF!</v>
      </c>
      <c r="AP482" s="99" t="str">
        <f t="shared" si="335"/>
        <v>#REF!</v>
      </c>
      <c r="AQ482" s="99" t="str">
        <f t="shared" si="335"/>
        <v>#REF!</v>
      </c>
      <c r="AR482" s="99" t="str">
        <f t="shared" si="335"/>
        <v>#REF!</v>
      </c>
      <c r="AS482" s="99" t="str">
        <f t="shared" si="335"/>
        <v>#REF!</v>
      </c>
      <c r="AT482" s="99" t="str">
        <f t="shared" si="335"/>
        <v>#REF!</v>
      </c>
      <c r="AU482" s="99" t="str">
        <f t="shared" si="335"/>
        <v>#REF!</v>
      </c>
      <c r="AV482" s="99" t="str">
        <f t="shared" si="335"/>
        <v>#REF!</v>
      </c>
      <c r="AW482" s="99"/>
      <c r="AX482" s="90"/>
      <c r="AY482" s="90"/>
      <c r="AZ482" s="90"/>
      <c r="BA482" s="90"/>
      <c r="BB482" s="90"/>
      <c r="BC482" s="90"/>
      <c r="BD482" s="90"/>
      <c r="BE482" s="90"/>
      <c r="BF482" s="90"/>
      <c r="BG482" s="90"/>
    </row>
    <row r="483" ht="12.75" customHeight="1" outlineLevel="1">
      <c r="A483" s="316"/>
      <c r="B483" s="90"/>
      <c r="C483" s="90" t="s">
        <v>251</v>
      </c>
      <c r="D483" s="90"/>
      <c r="E483" s="90"/>
      <c r="F483" s="90"/>
      <c r="G483" s="90"/>
      <c r="H483" s="99"/>
      <c r="I483" s="99">
        <f>I469</f>
        <v>250000</v>
      </c>
      <c r="J483" s="99">
        <v>525000.0</v>
      </c>
      <c r="K483" s="99">
        <f t="shared" ref="K483:AV483" si="336">K469</f>
        <v>259186.33</v>
      </c>
      <c r="L483" s="99" t="str">
        <f t="shared" si="336"/>
        <v>#REF!</v>
      </c>
      <c r="M483" s="99" t="str">
        <f t="shared" si="336"/>
        <v>#REF!</v>
      </c>
      <c r="N483" s="99" t="str">
        <f t="shared" si="336"/>
        <v>#REF!</v>
      </c>
      <c r="O483" s="99" t="str">
        <f t="shared" si="336"/>
        <v>#REF!</v>
      </c>
      <c r="P483" s="99" t="str">
        <f t="shared" si="336"/>
        <v>#REF!</v>
      </c>
      <c r="Q483" s="99" t="str">
        <f t="shared" si="336"/>
        <v>#REF!</v>
      </c>
      <c r="R483" s="99" t="str">
        <f t="shared" si="336"/>
        <v>#REF!</v>
      </c>
      <c r="S483" s="99" t="str">
        <f t="shared" si="336"/>
        <v>#REF!</v>
      </c>
      <c r="T483" s="99" t="str">
        <f t="shared" si="336"/>
        <v>#REF!</v>
      </c>
      <c r="U483" s="99" t="str">
        <f t="shared" si="336"/>
        <v>#REF!</v>
      </c>
      <c r="V483" s="99" t="str">
        <f t="shared" si="336"/>
        <v>#REF!</v>
      </c>
      <c r="W483" s="99" t="str">
        <f t="shared" si="336"/>
        <v>#REF!</v>
      </c>
      <c r="X483" s="99" t="str">
        <f t="shared" si="336"/>
        <v>#REF!</v>
      </c>
      <c r="Y483" s="99" t="str">
        <f t="shared" si="336"/>
        <v>#REF!</v>
      </c>
      <c r="Z483" s="99" t="str">
        <f t="shared" si="336"/>
        <v>#REF!</v>
      </c>
      <c r="AA483" s="99" t="str">
        <f t="shared" si="336"/>
        <v>#REF!</v>
      </c>
      <c r="AB483" s="99" t="str">
        <f t="shared" si="336"/>
        <v>#REF!</v>
      </c>
      <c r="AC483" s="99" t="str">
        <f t="shared" si="336"/>
        <v>#REF!</v>
      </c>
      <c r="AD483" s="99" t="str">
        <f t="shared" si="336"/>
        <v>#REF!</v>
      </c>
      <c r="AE483" s="99" t="str">
        <f t="shared" si="336"/>
        <v>#REF!</v>
      </c>
      <c r="AF483" s="99" t="str">
        <f t="shared" si="336"/>
        <v>#REF!</v>
      </c>
      <c r="AG483" s="99" t="str">
        <f t="shared" si="336"/>
        <v>#REF!</v>
      </c>
      <c r="AH483" s="99" t="str">
        <f t="shared" si="336"/>
        <v>#REF!</v>
      </c>
      <c r="AI483" s="99" t="str">
        <f t="shared" si="336"/>
        <v>#REF!</v>
      </c>
      <c r="AJ483" s="99" t="str">
        <f t="shared" si="336"/>
        <v>#REF!</v>
      </c>
      <c r="AK483" s="99" t="str">
        <f t="shared" si="336"/>
        <v>#REF!</v>
      </c>
      <c r="AL483" s="99" t="str">
        <f t="shared" si="336"/>
        <v>#REF!</v>
      </c>
      <c r="AM483" s="99" t="str">
        <f t="shared" si="336"/>
        <v>#REF!</v>
      </c>
      <c r="AN483" s="99" t="str">
        <f t="shared" si="336"/>
        <v>#REF!</v>
      </c>
      <c r="AO483" s="99" t="str">
        <f t="shared" si="336"/>
        <v>#REF!</v>
      </c>
      <c r="AP483" s="99" t="str">
        <f t="shared" si="336"/>
        <v>#REF!</v>
      </c>
      <c r="AQ483" s="99" t="str">
        <f t="shared" si="336"/>
        <v>#REF!</v>
      </c>
      <c r="AR483" s="99" t="str">
        <f t="shared" si="336"/>
        <v>#REF!</v>
      </c>
      <c r="AS483" s="99" t="str">
        <f t="shared" si="336"/>
        <v>#REF!</v>
      </c>
      <c r="AT483" s="99" t="str">
        <f t="shared" si="336"/>
        <v>#REF!</v>
      </c>
      <c r="AU483" s="99" t="str">
        <f t="shared" si="336"/>
        <v>#REF!</v>
      </c>
      <c r="AV483" s="99" t="str">
        <f t="shared" si="336"/>
        <v>#REF!</v>
      </c>
      <c r="AW483" s="99"/>
      <c r="AX483" s="90"/>
      <c r="AY483" s="90"/>
      <c r="AZ483" s="90"/>
      <c r="BA483" s="90"/>
      <c r="BB483" s="90"/>
      <c r="BC483" s="90"/>
      <c r="BD483" s="90"/>
      <c r="BE483" s="90"/>
      <c r="BF483" s="90"/>
      <c r="BG483" s="90"/>
    </row>
    <row r="484" ht="12.75" customHeight="1" outlineLevel="1">
      <c r="A484" s="316"/>
      <c r="B484" s="87"/>
      <c r="C484" s="87" t="s">
        <v>253</v>
      </c>
      <c r="D484" s="87"/>
      <c r="E484" s="87"/>
      <c r="F484" s="87"/>
      <c r="G484" s="87"/>
      <c r="H484" s="125"/>
      <c r="I484" s="125">
        <v>-67339.0</v>
      </c>
      <c r="J484" s="125">
        <v>150162.51</v>
      </c>
      <c r="K484" s="125" t="str">
        <f t="shared" ref="K484:AV484" si="337">J484+K400</f>
        <v>#REF!</v>
      </c>
      <c r="L484" s="125" t="str">
        <f t="shared" si="337"/>
        <v>#REF!</v>
      </c>
      <c r="M484" s="125" t="str">
        <f t="shared" si="337"/>
        <v>#REF!</v>
      </c>
      <c r="N484" s="125" t="str">
        <f t="shared" si="337"/>
        <v>#REF!</v>
      </c>
      <c r="O484" s="125" t="str">
        <f t="shared" si="337"/>
        <v>#REF!</v>
      </c>
      <c r="P484" s="125" t="str">
        <f t="shared" si="337"/>
        <v>#REF!</v>
      </c>
      <c r="Q484" s="125" t="str">
        <f t="shared" si="337"/>
        <v>#REF!</v>
      </c>
      <c r="R484" s="125" t="str">
        <f t="shared" si="337"/>
        <v>#REF!</v>
      </c>
      <c r="S484" s="125" t="str">
        <f t="shared" si="337"/>
        <v>#REF!</v>
      </c>
      <c r="T484" s="125" t="str">
        <f t="shared" si="337"/>
        <v>#REF!</v>
      </c>
      <c r="U484" s="125" t="str">
        <f t="shared" si="337"/>
        <v>#REF!</v>
      </c>
      <c r="V484" s="125" t="str">
        <f t="shared" si="337"/>
        <v>#REF!</v>
      </c>
      <c r="W484" s="125" t="str">
        <f t="shared" si="337"/>
        <v>#REF!</v>
      </c>
      <c r="X484" s="125" t="str">
        <f t="shared" si="337"/>
        <v>#REF!</v>
      </c>
      <c r="Y484" s="125" t="str">
        <f t="shared" si="337"/>
        <v>#REF!</v>
      </c>
      <c r="Z484" s="125" t="str">
        <f t="shared" si="337"/>
        <v>#REF!</v>
      </c>
      <c r="AA484" s="125" t="str">
        <f t="shared" si="337"/>
        <v>#REF!</v>
      </c>
      <c r="AB484" s="125" t="str">
        <f t="shared" si="337"/>
        <v>#REF!</v>
      </c>
      <c r="AC484" s="125" t="str">
        <f t="shared" si="337"/>
        <v>#REF!</v>
      </c>
      <c r="AD484" s="125" t="str">
        <f t="shared" si="337"/>
        <v>#REF!</v>
      </c>
      <c r="AE484" s="125" t="str">
        <f t="shared" si="337"/>
        <v>#REF!</v>
      </c>
      <c r="AF484" s="125" t="str">
        <f t="shared" si="337"/>
        <v>#REF!</v>
      </c>
      <c r="AG484" s="125" t="str">
        <f t="shared" si="337"/>
        <v>#REF!</v>
      </c>
      <c r="AH484" s="125" t="str">
        <f t="shared" si="337"/>
        <v>#REF!</v>
      </c>
      <c r="AI484" s="125" t="str">
        <f t="shared" si="337"/>
        <v>#REF!</v>
      </c>
      <c r="AJ484" s="125" t="str">
        <f t="shared" si="337"/>
        <v>#REF!</v>
      </c>
      <c r="AK484" s="125" t="str">
        <f t="shared" si="337"/>
        <v>#REF!</v>
      </c>
      <c r="AL484" s="125" t="str">
        <f t="shared" si="337"/>
        <v>#REF!</v>
      </c>
      <c r="AM484" s="125" t="str">
        <f t="shared" si="337"/>
        <v>#REF!</v>
      </c>
      <c r="AN484" s="125" t="str">
        <f t="shared" si="337"/>
        <v>#REF!</v>
      </c>
      <c r="AO484" s="125" t="str">
        <f t="shared" si="337"/>
        <v>#REF!</v>
      </c>
      <c r="AP484" s="125" t="str">
        <f t="shared" si="337"/>
        <v>#REF!</v>
      </c>
      <c r="AQ484" s="125" t="str">
        <f t="shared" si="337"/>
        <v>#REF!</v>
      </c>
      <c r="AR484" s="125" t="str">
        <f t="shared" si="337"/>
        <v>#REF!</v>
      </c>
      <c r="AS484" s="125" t="str">
        <f t="shared" si="337"/>
        <v>#REF!</v>
      </c>
      <c r="AT484" s="125" t="str">
        <f t="shared" si="337"/>
        <v>#REF!</v>
      </c>
      <c r="AU484" s="125" t="str">
        <f t="shared" si="337"/>
        <v>#REF!</v>
      </c>
      <c r="AV484" s="125" t="str">
        <f t="shared" si="337"/>
        <v>#REF!</v>
      </c>
      <c r="AW484" s="125"/>
      <c r="AX484" s="90"/>
      <c r="AY484" s="90"/>
      <c r="AZ484" s="90"/>
      <c r="BA484" s="90"/>
      <c r="BB484" s="90"/>
      <c r="BC484" s="90"/>
      <c r="BD484" s="90"/>
      <c r="BE484" s="90"/>
      <c r="BF484" s="90"/>
      <c r="BG484" s="90"/>
    </row>
    <row r="485" ht="12.75" customHeight="1" outlineLevel="1">
      <c r="A485" s="316"/>
      <c r="B485" s="90" t="s">
        <v>254</v>
      </c>
      <c r="C485" s="90"/>
      <c r="D485" s="90"/>
      <c r="E485" s="90"/>
      <c r="F485" s="90"/>
      <c r="G485" s="90"/>
      <c r="H485" s="90"/>
      <c r="I485" s="99" t="str">
        <f>SUM(I482:I484)</f>
        <v>#REF!</v>
      </c>
      <c r="J485" s="99">
        <v>852059.55</v>
      </c>
      <c r="K485" s="99" t="str">
        <f t="shared" ref="K485:AV485" si="338">SUM(K482:K484)</f>
        <v>#REF!</v>
      </c>
      <c r="L485" s="99" t="str">
        <f t="shared" si="338"/>
        <v>#REF!</v>
      </c>
      <c r="M485" s="99" t="str">
        <f t="shared" si="338"/>
        <v>#REF!</v>
      </c>
      <c r="N485" s="99" t="str">
        <f t="shared" si="338"/>
        <v>#REF!</v>
      </c>
      <c r="O485" s="99" t="str">
        <f t="shared" si="338"/>
        <v>#REF!</v>
      </c>
      <c r="P485" s="99" t="str">
        <f t="shared" si="338"/>
        <v>#REF!</v>
      </c>
      <c r="Q485" s="99" t="str">
        <f t="shared" si="338"/>
        <v>#REF!</v>
      </c>
      <c r="R485" s="99" t="str">
        <f t="shared" si="338"/>
        <v>#REF!</v>
      </c>
      <c r="S485" s="99" t="str">
        <f t="shared" si="338"/>
        <v>#REF!</v>
      </c>
      <c r="T485" s="99" t="str">
        <f t="shared" si="338"/>
        <v>#REF!</v>
      </c>
      <c r="U485" s="99" t="str">
        <f t="shared" si="338"/>
        <v>#REF!</v>
      </c>
      <c r="V485" s="99" t="str">
        <f t="shared" si="338"/>
        <v>#REF!</v>
      </c>
      <c r="W485" s="99" t="str">
        <f t="shared" si="338"/>
        <v>#REF!</v>
      </c>
      <c r="X485" s="99" t="str">
        <f t="shared" si="338"/>
        <v>#REF!</v>
      </c>
      <c r="Y485" s="99" t="str">
        <f t="shared" si="338"/>
        <v>#REF!</v>
      </c>
      <c r="Z485" s="99" t="str">
        <f t="shared" si="338"/>
        <v>#REF!</v>
      </c>
      <c r="AA485" s="99" t="str">
        <f t="shared" si="338"/>
        <v>#REF!</v>
      </c>
      <c r="AB485" s="99" t="str">
        <f t="shared" si="338"/>
        <v>#REF!</v>
      </c>
      <c r="AC485" s="99" t="str">
        <f t="shared" si="338"/>
        <v>#REF!</v>
      </c>
      <c r="AD485" s="99" t="str">
        <f t="shared" si="338"/>
        <v>#REF!</v>
      </c>
      <c r="AE485" s="99" t="str">
        <f t="shared" si="338"/>
        <v>#REF!</v>
      </c>
      <c r="AF485" s="99" t="str">
        <f t="shared" si="338"/>
        <v>#REF!</v>
      </c>
      <c r="AG485" s="99" t="str">
        <f t="shared" si="338"/>
        <v>#REF!</v>
      </c>
      <c r="AH485" s="99" t="str">
        <f t="shared" si="338"/>
        <v>#REF!</v>
      </c>
      <c r="AI485" s="99" t="str">
        <f t="shared" si="338"/>
        <v>#REF!</v>
      </c>
      <c r="AJ485" s="99" t="str">
        <f t="shared" si="338"/>
        <v>#REF!</v>
      </c>
      <c r="AK485" s="99" t="str">
        <f t="shared" si="338"/>
        <v>#REF!</v>
      </c>
      <c r="AL485" s="99" t="str">
        <f t="shared" si="338"/>
        <v>#REF!</v>
      </c>
      <c r="AM485" s="99" t="str">
        <f t="shared" si="338"/>
        <v>#REF!</v>
      </c>
      <c r="AN485" s="99" t="str">
        <f t="shared" si="338"/>
        <v>#REF!</v>
      </c>
      <c r="AO485" s="99" t="str">
        <f t="shared" si="338"/>
        <v>#REF!</v>
      </c>
      <c r="AP485" s="99" t="str">
        <f t="shared" si="338"/>
        <v>#REF!</v>
      </c>
      <c r="AQ485" s="99" t="str">
        <f t="shared" si="338"/>
        <v>#REF!</v>
      </c>
      <c r="AR485" s="99" t="str">
        <f t="shared" si="338"/>
        <v>#REF!</v>
      </c>
      <c r="AS485" s="99" t="str">
        <f t="shared" si="338"/>
        <v>#REF!</v>
      </c>
      <c r="AT485" s="99" t="str">
        <f t="shared" si="338"/>
        <v>#REF!</v>
      </c>
      <c r="AU485" s="99" t="str">
        <f t="shared" si="338"/>
        <v>#REF!</v>
      </c>
      <c r="AV485" s="99" t="str">
        <f t="shared" si="338"/>
        <v>#REF!</v>
      </c>
      <c r="AW485" s="99"/>
      <c r="AX485" s="90"/>
      <c r="AY485" s="90"/>
      <c r="AZ485" s="90"/>
      <c r="BA485" s="90"/>
      <c r="BB485" s="90"/>
      <c r="BC485" s="90"/>
      <c r="BD485" s="90"/>
      <c r="BE485" s="90"/>
      <c r="BF485" s="90"/>
      <c r="BG485" s="90"/>
    </row>
    <row r="486" ht="13.5" customHeight="1" outlineLevel="1">
      <c r="A486" s="273"/>
      <c r="B486" s="274"/>
      <c r="C486" s="274"/>
      <c r="D486" s="274"/>
      <c r="E486" s="274"/>
      <c r="F486" s="274"/>
      <c r="G486" s="274"/>
      <c r="H486" s="274"/>
      <c r="I486" s="556"/>
      <c r="J486" s="275"/>
      <c r="K486" s="275"/>
      <c r="L486" s="275"/>
      <c r="M486" s="275"/>
      <c r="N486" s="275"/>
      <c r="O486" s="275"/>
      <c r="P486" s="275"/>
      <c r="Q486" s="275"/>
      <c r="R486" s="275"/>
      <c r="S486" s="275"/>
      <c r="T486" s="275"/>
      <c r="U486" s="275"/>
      <c r="V486" s="275"/>
      <c r="W486" s="275"/>
      <c r="X486" s="275"/>
      <c r="Y486" s="275"/>
      <c r="Z486" s="275"/>
      <c r="AA486" s="275"/>
      <c r="AB486" s="275"/>
      <c r="AC486" s="275"/>
      <c r="AD486" s="275"/>
      <c r="AE486" s="275"/>
      <c r="AF486" s="275"/>
      <c r="AG486" s="275"/>
      <c r="AH486" s="275"/>
      <c r="AI486" s="275"/>
      <c r="AJ486" s="275"/>
      <c r="AK486" s="275"/>
      <c r="AL486" s="275"/>
      <c r="AM486" s="275"/>
      <c r="AN486" s="275"/>
      <c r="AO486" s="275"/>
      <c r="AP486" s="275"/>
      <c r="AQ486" s="275"/>
      <c r="AR486" s="275"/>
      <c r="AS486" s="275"/>
      <c r="AT486" s="275"/>
      <c r="AU486" s="275"/>
      <c r="AV486" s="275"/>
      <c r="AW486" s="274"/>
      <c r="AX486" s="90"/>
      <c r="AY486" s="90"/>
      <c r="AZ486" s="90"/>
      <c r="BA486" s="90"/>
      <c r="BB486" s="90"/>
      <c r="BC486" s="90"/>
      <c r="BD486" s="90"/>
      <c r="BE486" s="90"/>
      <c r="BF486" s="90"/>
      <c r="BG486" s="90"/>
    </row>
    <row r="487" ht="12.75" customHeight="1">
      <c r="AX487" s="90"/>
      <c r="AY487" s="90"/>
      <c r="AZ487" s="90"/>
      <c r="BA487" s="90"/>
      <c r="BB487" s="90"/>
      <c r="BC487" s="90"/>
      <c r="BD487" s="90"/>
      <c r="BE487" s="90"/>
      <c r="BF487" s="90"/>
      <c r="BG487" s="90"/>
    </row>
    <row r="488" ht="12.75" customHeight="1">
      <c r="AX488" s="90"/>
      <c r="AY488" s="90"/>
      <c r="AZ488" s="90"/>
      <c r="BA488" s="90"/>
      <c r="BB488" s="90"/>
      <c r="BC488" s="90"/>
      <c r="BD488" s="90"/>
      <c r="BE488" s="90"/>
      <c r="BF488" s="90"/>
      <c r="BG488" s="90"/>
    </row>
    <row r="489" ht="12.75" customHeight="1">
      <c r="L489" s="99"/>
      <c r="AX489" s="90"/>
      <c r="AY489" s="90"/>
      <c r="AZ489" s="90"/>
      <c r="BA489" s="90"/>
      <c r="BB489" s="90"/>
      <c r="BC489" s="90"/>
      <c r="BD489" s="90"/>
      <c r="BE489" s="90"/>
      <c r="BF489" s="90"/>
      <c r="BG489" s="90"/>
    </row>
    <row r="490" ht="12.75" customHeight="1">
      <c r="L490" s="99"/>
      <c r="AX490" s="90"/>
      <c r="AY490" s="90"/>
      <c r="AZ490" s="90"/>
      <c r="BA490" s="90"/>
      <c r="BB490" s="90"/>
      <c r="BC490" s="90"/>
      <c r="BD490" s="90"/>
      <c r="BE490" s="90"/>
      <c r="BF490" s="90"/>
      <c r="BG490" s="90"/>
    </row>
  </sheetData>
  <autoFilter ref="$A$2:$A$400"/>
  <printOptions/>
  <pageMargins bottom="0.35" footer="0.0" header="0.0" left="0.629861111111111" right="0.390277777777778" top="1.04027777777778"/>
  <pageSetup paperSize="5" orientation="landscape"/>
  <headerFooter>
    <oddHeader>&amp;CRocketship Mateo Sheedy Financials</oddHeader>
    <oddFooter>&amp;C&amp;A&amp;R&amp;P</oddFooter>
  </headerFooter>
  <rowBreaks count="2" manualBreakCount="2">
    <brk id="340" man="1"/>
    <brk id="297" man="1"/>
  </rowBreaks>
  <colBreaks count="1" manualBreakCount="1">
    <brk id="21" man="1"/>
  </colBreak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CC00"/>
    <pageSetUpPr/>
  </sheetPr>
  <sheetViews>
    <sheetView workbookViewId="0">
      <pane xSplit="9.0" ySplit="3.0" topLeftCell="J4" activePane="bottomRight" state="frozen"/>
      <selection activeCell="J1" sqref="J1" pane="topRight"/>
      <selection activeCell="A4" sqref="A4" pane="bottomLeft"/>
      <selection activeCell="J4" sqref="J4" pane="bottomRight"/>
    </sheetView>
  </sheetViews>
  <sheetFormatPr customHeight="1" defaultColWidth="12.63" defaultRowHeight="15.0" outlineLevelCol="1" outlineLevelRow="1"/>
  <cols>
    <col customWidth="1" min="1" max="1" width="6.0"/>
    <col customWidth="1" min="2" max="2" width="4.38"/>
    <col customWidth="1" min="3" max="3" width="3.38"/>
    <col customWidth="1" min="4" max="4" width="32.25"/>
    <col customWidth="1" min="5" max="6" width="1.25"/>
    <col customWidth="1" hidden="1" min="7" max="9" width="14.75" outlineLevel="1"/>
    <col customWidth="1" min="10" max="10" width="14.25"/>
    <col customWidth="1" min="11" max="11" width="16.75"/>
    <col customWidth="1" min="12" max="21" width="15.25"/>
    <col customWidth="1" min="22" max="22" width="16.0"/>
    <col customWidth="1" min="23" max="23" width="15.75"/>
    <col customWidth="1" min="24" max="24" width="15.38"/>
    <col customWidth="1" min="25" max="25" width="15.13"/>
    <col customWidth="1" min="26" max="26" width="14.88"/>
    <col customWidth="1" min="27" max="27" width="15.13"/>
    <col customWidth="1" min="28" max="28" width="15.5"/>
    <col customWidth="1" min="29" max="29" width="14.88"/>
    <col customWidth="1" min="30" max="30" width="15.38"/>
    <col customWidth="1" min="31" max="31" width="15.13"/>
    <col customWidth="1" min="32" max="47" width="10.88" outlineLevel="1"/>
    <col customWidth="1" min="48" max="48" width="27.75" outlineLevel="1"/>
    <col customWidth="1" min="49" max="49" width="68.13"/>
    <col customWidth="1" min="50" max="50" width="10.88"/>
    <col customWidth="1" min="51" max="53" width="9.25"/>
    <col customWidth="1" min="54" max="54" width="8.88"/>
    <col customWidth="1" min="55" max="55" width="10.88"/>
    <col customWidth="1" min="56" max="59" width="8.88"/>
  </cols>
  <sheetData>
    <row r="1" ht="12.75" customHeight="1">
      <c r="A1" s="158" t="s">
        <v>1232</v>
      </c>
      <c r="B1" s="95"/>
      <c r="C1" s="95"/>
      <c r="D1" s="95"/>
      <c r="E1" s="95"/>
      <c r="F1" s="95"/>
      <c r="G1" s="506">
        <v>2006.0</v>
      </c>
      <c r="H1" s="160">
        <v>2007.0</v>
      </c>
      <c r="I1" s="507">
        <v>2008.0</v>
      </c>
      <c r="J1" s="160">
        <v>2009.0</v>
      </c>
      <c r="K1" s="160">
        <f t="shared" ref="K1:AV1" si="1">J1+1</f>
        <v>2010</v>
      </c>
      <c r="L1" s="160">
        <f t="shared" si="1"/>
        <v>2011</v>
      </c>
      <c r="M1" s="160">
        <f t="shared" si="1"/>
        <v>2012</v>
      </c>
      <c r="N1" s="160">
        <f t="shared" si="1"/>
        <v>2013</v>
      </c>
      <c r="O1" s="160">
        <f t="shared" si="1"/>
        <v>2014</v>
      </c>
      <c r="P1" s="160">
        <f t="shared" si="1"/>
        <v>2015</v>
      </c>
      <c r="Q1" s="160">
        <f t="shared" si="1"/>
        <v>2016</v>
      </c>
      <c r="R1" s="160">
        <f t="shared" si="1"/>
        <v>2017</v>
      </c>
      <c r="S1" s="160">
        <f t="shared" si="1"/>
        <v>2018</v>
      </c>
      <c r="T1" s="160">
        <f t="shared" si="1"/>
        <v>2019</v>
      </c>
      <c r="U1" s="160">
        <f t="shared" si="1"/>
        <v>2020</v>
      </c>
      <c r="V1" s="160">
        <f t="shared" si="1"/>
        <v>2021</v>
      </c>
      <c r="W1" s="160">
        <f t="shared" si="1"/>
        <v>2022</v>
      </c>
      <c r="X1" s="160">
        <f t="shared" si="1"/>
        <v>2023</v>
      </c>
      <c r="Y1" s="160">
        <f t="shared" si="1"/>
        <v>2024</v>
      </c>
      <c r="Z1" s="160">
        <f t="shared" si="1"/>
        <v>2025</v>
      </c>
      <c r="AA1" s="160">
        <f t="shared" si="1"/>
        <v>2026</v>
      </c>
      <c r="AB1" s="160">
        <f t="shared" si="1"/>
        <v>2027</v>
      </c>
      <c r="AC1" s="160">
        <f t="shared" si="1"/>
        <v>2028</v>
      </c>
      <c r="AD1" s="160">
        <f t="shared" si="1"/>
        <v>2029</v>
      </c>
      <c r="AE1" s="160">
        <f t="shared" si="1"/>
        <v>2030</v>
      </c>
      <c r="AF1" s="160">
        <f t="shared" si="1"/>
        <v>2031</v>
      </c>
      <c r="AG1" s="160">
        <f t="shared" si="1"/>
        <v>2032</v>
      </c>
      <c r="AH1" s="160">
        <f t="shared" si="1"/>
        <v>2033</v>
      </c>
      <c r="AI1" s="160">
        <f t="shared" si="1"/>
        <v>2034</v>
      </c>
      <c r="AJ1" s="160">
        <f t="shared" si="1"/>
        <v>2035</v>
      </c>
      <c r="AK1" s="160">
        <f t="shared" si="1"/>
        <v>2036</v>
      </c>
      <c r="AL1" s="160">
        <f t="shared" si="1"/>
        <v>2037</v>
      </c>
      <c r="AM1" s="160">
        <f t="shared" si="1"/>
        <v>2038</v>
      </c>
      <c r="AN1" s="160">
        <f t="shared" si="1"/>
        <v>2039</v>
      </c>
      <c r="AO1" s="160">
        <f t="shared" si="1"/>
        <v>2040</v>
      </c>
      <c r="AP1" s="160">
        <f t="shared" si="1"/>
        <v>2041</v>
      </c>
      <c r="AQ1" s="160">
        <f t="shared" si="1"/>
        <v>2042</v>
      </c>
      <c r="AR1" s="160">
        <f t="shared" si="1"/>
        <v>2043</v>
      </c>
      <c r="AS1" s="160">
        <f t="shared" si="1"/>
        <v>2044</v>
      </c>
      <c r="AT1" s="160">
        <f t="shared" si="1"/>
        <v>2045</v>
      </c>
      <c r="AU1" s="160">
        <f t="shared" si="1"/>
        <v>2046</v>
      </c>
      <c r="AV1" s="160">
        <f t="shared" si="1"/>
        <v>2047</v>
      </c>
      <c r="AW1" s="508" t="s">
        <v>256</v>
      </c>
      <c r="AX1" s="90"/>
      <c r="AY1" s="90"/>
      <c r="AZ1" s="90"/>
      <c r="BA1" s="90"/>
      <c r="BB1" s="90"/>
      <c r="BC1" s="90"/>
      <c r="BD1" s="90"/>
      <c r="BE1" s="90"/>
      <c r="BF1" s="90"/>
      <c r="BG1" s="90"/>
    </row>
    <row r="2" ht="12.75" customHeight="1">
      <c r="A2" s="96" t="s">
        <v>186</v>
      </c>
      <c r="B2" s="97"/>
      <c r="C2" s="97"/>
      <c r="D2" s="97"/>
      <c r="E2" s="97"/>
      <c r="F2" s="97"/>
      <c r="G2" s="509">
        <v>0.0</v>
      </c>
      <c r="H2" s="165">
        <f t="shared" ref="H2:AV2" si="2">G2+1</f>
        <v>1</v>
      </c>
      <c r="I2" s="165">
        <f t="shared" si="2"/>
        <v>2</v>
      </c>
      <c r="J2" s="165">
        <f t="shared" si="2"/>
        <v>3</v>
      </c>
      <c r="K2" s="165">
        <f t="shared" si="2"/>
        <v>4</v>
      </c>
      <c r="L2" s="165">
        <f t="shared" si="2"/>
        <v>5</v>
      </c>
      <c r="M2" s="165">
        <f t="shared" si="2"/>
        <v>6</v>
      </c>
      <c r="N2" s="165">
        <f t="shared" si="2"/>
        <v>7</v>
      </c>
      <c r="O2" s="165">
        <f t="shared" si="2"/>
        <v>8</v>
      </c>
      <c r="P2" s="165">
        <f t="shared" si="2"/>
        <v>9</v>
      </c>
      <c r="Q2" s="165">
        <f t="shared" si="2"/>
        <v>10</v>
      </c>
      <c r="R2" s="165">
        <f t="shared" si="2"/>
        <v>11</v>
      </c>
      <c r="S2" s="165">
        <f t="shared" si="2"/>
        <v>12</v>
      </c>
      <c r="T2" s="165">
        <f t="shared" si="2"/>
        <v>13</v>
      </c>
      <c r="U2" s="165">
        <f t="shared" si="2"/>
        <v>14</v>
      </c>
      <c r="V2" s="165">
        <f t="shared" si="2"/>
        <v>15</v>
      </c>
      <c r="W2" s="165">
        <f t="shared" si="2"/>
        <v>16</v>
      </c>
      <c r="X2" s="165">
        <f t="shared" si="2"/>
        <v>17</v>
      </c>
      <c r="Y2" s="165">
        <f t="shared" si="2"/>
        <v>18</v>
      </c>
      <c r="Z2" s="165">
        <f t="shared" si="2"/>
        <v>19</v>
      </c>
      <c r="AA2" s="165">
        <f t="shared" si="2"/>
        <v>20</v>
      </c>
      <c r="AB2" s="165">
        <f t="shared" si="2"/>
        <v>21</v>
      </c>
      <c r="AC2" s="165">
        <f t="shared" si="2"/>
        <v>22</v>
      </c>
      <c r="AD2" s="165">
        <f t="shared" si="2"/>
        <v>23</v>
      </c>
      <c r="AE2" s="165">
        <f t="shared" si="2"/>
        <v>24</v>
      </c>
      <c r="AF2" s="165">
        <f t="shared" si="2"/>
        <v>25</v>
      </c>
      <c r="AG2" s="165">
        <f t="shared" si="2"/>
        <v>26</v>
      </c>
      <c r="AH2" s="165">
        <f t="shared" si="2"/>
        <v>27</v>
      </c>
      <c r="AI2" s="165">
        <f t="shared" si="2"/>
        <v>28</v>
      </c>
      <c r="AJ2" s="165">
        <f t="shared" si="2"/>
        <v>29</v>
      </c>
      <c r="AK2" s="165">
        <f t="shared" si="2"/>
        <v>30</v>
      </c>
      <c r="AL2" s="165">
        <f t="shared" si="2"/>
        <v>31</v>
      </c>
      <c r="AM2" s="165">
        <f t="shared" si="2"/>
        <v>32</v>
      </c>
      <c r="AN2" s="165">
        <f t="shared" si="2"/>
        <v>33</v>
      </c>
      <c r="AO2" s="165">
        <f t="shared" si="2"/>
        <v>34</v>
      </c>
      <c r="AP2" s="165">
        <f t="shared" si="2"/>
        <v>35</v>
      </c>
      <c r="AQ2" s="165">
        <f t="shared" si="2"/>
        <v>36</v>
      </c>
      <c r="AR2" s="165">
        <f t="shared" si="2"/>
        <v>37</v>
      </c>
      <c r="AS2" s="165">
        <f t="shared" si="2"/>
        <v>38</v>
      </c>
      <c r="AT2" s="165">
        <f t="shared" si="2"/>
        <v>39</v>
      </c>
      <c r="AU2" s="165">
        <f t="shared" si="2"/>
        <v>40</v>
      </c>
      <c r="AV2" s="165">
        <f t="shared" si="2"/>
        <v>41</v>
      </c>
      <c r="AW2" s="510"/>
      <c r="AX2" s="90"/>
      <c r="AY2" s="90"/>
      <c r="AZ2" s="90"/>
      <c r="BA2" s="90"/>
      <c r="BB2" s="90"/>
      <c r="BC2" s="90"/>
      <c r="BD2" s="90"/>
      <c r="BE2" s="90"/>
      <c r="BF2" s="90"/>
      <c r="BG2" s="90"/>
    </row>
    <row r="3" ht="12.75" customHeight="1">
      <c r="A3" s="511" t="s">
        <v>1171</v>
      </c>
      <c r="B3" s="90"/>
      <c r="C3" s="90"/>
      <c r="D3" s="90"/>
      <c r="E3" s="90"/>
      <c r="F3" s="90"/>
      <c r="G3" s="90"/>
      <c r="H3" s="90"/>
      <c r="I3" s="90"/>
      <c r="J3" s="63"/>
      <c r="K3" s="63"/>
      <c r="L3" s="63"/>
      <c r="M3" s="63"/>
      <c r="N3" s="6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4"/>
      <c r="AO3" s="114"/>
      <c r="AP3" s="114"/>
      <c r="AQ3" s="114"/>
      <c r="AR3" s="114"/>
      <c r="AS3" s="114"/>
      <c r="AT3" s="114"/>
      <c r="AU3" s="114"/>
      <c r="AV3" s="114" t="str">
        <f>AV369+20000-AV24</f>
        <v>#VALUE!</v>
      </c>
      <c r="AW3" s="67"/>
      <c r="AX3" s="90"/>
      <c r="AY3" s="90"/>
      <c r="AZ3" s="90"/>
      <c r="BA3" s="90"/>
      <c r="BB3" s="90"/>
      <c r="BC3" s="90"/>
      <c r="BD3" s="90"/>
      <c r="BE3" s="90"/>
      <c r="BF3" s="90"/>
      <c r="BG3" s="90"/>
    </row>
    <row r="4" ht="12.75" customHeight="1">
      <c r="A4" s="512"/>
      <c r="B4" s="67" t="s">
        <v>165</v>
      </c>
      <c r="C4" s="90"/>
      <c r="D4" s="90"/>
      <c r="E4" s="90"/>
      <c r="F4" s="90"/>
      <c r="G4" s="90"/>
      <c r="H4" s="90"/>
      <c r="I4" s="90"/>
      <c r="J4" s="63"/>
      <c r="K4" s="557">
        <f t="shared" ref="K4:AU4" si="3">K46</f>
        <v>422</v>
      </c>
      <c r="L4" s="557">
        <f t="shared" si="3"/>
        <v>480</v>
      </c>
      <c r="M4" s="557">
        <f t="shared" si="3"/>
        <v>500</v>
      </c>
      <c r="N4" s="557">
        <f t="shared" si="3"/>
        <v>500</v>
      </c>
      <c r="O4" s="557">
        <f t="shared" si="3"/>
        <v>500</v>
      </c>
      <c r="P4" s="557">
        <f t="shared" si="3"/>
        <v>500</v>
      </c>
      <c r="Q4" s="557">
        <f t="shared" si="3"/>
        <v>500</v>
      </c>
      <c r="R4" s="557">
        <f t="shared" si="3"/>
        <v>500</v>
      </c>
      <c r="S4" s="557">
        <f t="shared" si="3"/>
        <v>500</v>
      </c>
      <c r="T4" s="557">
        <f t="shared" si="3"/>
        <v>500</v>
      </c>
      <c r="U4" s="557">
        <f t="shared" si="3"/>
        <v>500</v>
      </c>
      <c r="V4" s="557">
        <f t="shared" si="3"/>
        <v>500</v>
      </c>
      <c r="W4" s="557">
        <f t="shared" si="3"/>
        <v>500</v>
      </c>
      <c r="X4" s="557">
        <f t="shared" si="3"/>
        <v>500</v>
      </c>
      <c r="Y4" s="557">
        <f t="shared" si="3"/>
        <v>500</v>
      </c>
      <c r="Z4" s="557">
        <f t="shared" si="3"/>
        <v>500</v>
      </c>
      <c r="AA4" s="557">
        <f t="shared" si="3"/>
        <v>500</v>
      </c>
      <c r="AB4" s="557">
        <f t="shared" si="3"/>
        <v>500</v>
      </c>
      <c r="AC4" s="557">
        <f t="shared" si="3"/>
        <v>500</v>
      </c>
      <c r="AD4" s="557">
        <f t="shared" si="3"/>
        <v>500</v>
      </c>
      <c r="AE4" s="557">
        <f t="shared" si="3"/>
        <v>500</v>
      </c>
      <c r="AF4" s="557">
        <f t="shared" si="3"/>
        <v>500</v>
      </c>
      <c r="AG4" s="557">
        <f t="shared" si="3"/>
        <v>500</v>
      </c>
      <c r="AH4" s="557">
        <f t="shared" si="3"/>
        <v>500</v>
      </c>
      <c r="AI4" s="557">
        <f t="shared" si="3"/>
        <v>500</v>
      </c>
      <c r="AJ4" s="557">
        <f t="shared" si="3"/>
        <v>500</v>
      </c>
      <c r="AK4" s="557">
        <f t="shared" si="3"/>
        <v>500</v>
      </c>
      <c r="AL4" s="557">
        <f t="shared" si="3"/>
        <v>500</v>
      </c>
      <c r="AM4" s="557">
        <f t="shared" si="3"/>
        <v>500</v>
      </c>
      <c r="AN4" s="557">
        <f t="shared" si="3"/>
        <v>500</v>
      </c>
      <c r="AO4" s="557">
        <f t="shared" si="3"/>
        <v>500</v>
      </c>
      <c r="AP4" s="557">
        <f t="shared" si="3"/>
        <v>500</v>
      </c>
      <c r="AQ4" s="557">
        <f t="shared" si="3"/>
        <v>500</v>
      </c>
      <c r="AR4" s="557">
        <f t="shared" si="3"/>
        <v>500</v>
      </c>
      <c r="AS4" s="557">
        <f t="shared" si="3"/>
        <v>500</v>
      </c>
      <c r="AT4" s="557">
        <f t="shared" si="3"/>
        <v>500</v>
      </c>
      <c r="AU4" s="557">
        <f t="shared" si="3"/>
        <v>500</v>
      </c>
      <c r="AV4" s="63"/>
      <c r="AW4" s="67"/>
      <c r="AX4" s="90"/>
      <c r="AY4" s="90"/>
      <c r="AZ4" s="90"/>
      <c r="BA4" s="90"/>
      <c r="BB4" s="90"/>
      <c r="BC4" s="90"/>
      <c r="BD4" s="90"/>
      <c r="BE4" s="90"/>
      <c r="BF4" s="90"/>
      <c r="BG4" s="90"/>
    </row>
    <row r="5" ht="12.75" customHeight="1">
      <c r="A5" s="512"/>
      <c r="B5" s="90"/>
      <c r="C5" s="90"/>
      <c r="D5" s="90"/>
      <c r="E5" s="90"/>
      <c r="F5" s="90"/>
      <c r="G5" s="90"/>
      <c r="H5" s="90"/>
      <c r="I5" s="90"/>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7"/>
      <c r="AX5" s="90"/>
      <c r="AY5" s="90"/>
      <c r="AZ5" s="90"/>
      <c r="BA5" s="90"/>
      <c r="BB5" s="90"/>
      <c r="BC5" s="90"/>
      <c r="BD5" s="90"/>
      <c r="BE5" s="90"/>
      <c r="BF5" s="90"/>
      <c r="BG5" s="90"/>
    </row>
    <row r="6" ht="12.75" customHeight="1">
      <c r="B6" s="67" t="s">
        <v>205</v>
      </c>
      <c r="C6" s="90"/>
      <c r="D6" s="90"/>
      <c r="E6" s="90"/>
      <c r="F6" s="90"/>
      <c r="G6" s="90"/>
      <c r="H6" s="90"/>
      <c r="I6" s="90"/>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7"/>
      <c r="AX6" s="90"/>
      <c r="AY6" s="90"/>
      <c r="AZ6" s="90"/>
      <c r="BA6" s="90"/>
      <c r="BB6" s="90"/>
      <c r="BC6" s="90"/>
      <c r="BD6" s="90"/>
      <c r="BE6" s="90"/>
      <c r="BF6" s="90"/>
      <c r="BG6" s="90"/>
    </row>
    <row r="7" ht="12.75" customHeight="1">
      <c r="B7" s="90"/>
      <c r="C7" s="90" t="s">
        <v>590</v>
      </c>
      <c r="D7" s="90"/>
      <c r="E7" s="90"/>
      <c r="F7" s="90"/>
      <c r="G7" s="90"/>
      <c r="H7" s="90"/>
      <c r="I7" s="90"/>
      <c r="J7" s="177">
        <f t="shared" ref="J7:AV7" si="4">J271</f>
        <v>0</v>
      </c>
      <c r="K7" s="177">
        <f t="shared" si="4"/>
        <v>2786042.58</v>
      </c>
      <c r="L7" s="177">
        <f t="shared" si="4"/>
        <v>3003494.88</v>
      </c>
      <c r="M7" s="177">
        <f t="shared" si="4"/>
        <v>3157849.032</v>
      </c>
      <c r="N7" s="177">
        <f t="shared" si="4"/>
        <v>3217402.373</v>
      </c>
      <c r="O7" s="177">
        <f t="shared" si="4"/>
        <v>3272728.217</v>
      </c>
      <c r="P7" s="177">
        <f t="shared" si="4"/>
        <v>3328980.134</v>
      </c>
      <c r="Q7" s="177">
        <f t="shared" si="4"/>
        <v>3387216.004</v>
      </c>
      <c r="R7" s="177">
        <f t="shared" si="4"/>
        <v>3480689.129</v>
      </c>
      <c r="S7" s="177">
        <f t="shared" si="4"/>
        <v>3541901.144</v>
      </c>
      <c r="T7" s="177">
        <f t="shared" si="4"/>
        <v>3604914.565</v>
      </c>
      <c r="U7" s="177">
        <f t="shared" si="4"/>
        <v>3669031.762</v>
      </c>
      <c r="V7" s="177">
        <f t="shared" si="4"/>
        <v>3737760.559</v>
      </c>
      <c r="W7" s="177">
        <f t="shared" si="4"/>
        <v>3812515.77</v>
      </c>
      <c r="X7" s="177">
        <f t="shared" si="4"/>
        <v>3888766.085</v>
      </c>
      <c r="Y7" s="177">
        <f t="shared" si="4"/>
        <v>3966541.407</v>
      </c>
      <c r="Z7" s="177">
        <f t="shared" si="4"/>
        <v>4045872.235</v>
      </c>
      <c r="AA7" s="177">
        <f t="shared" si="4"/>
        <v>4126789.68</v>
      </c>
      <c r="AB7" s="177">
        <f t="shared" si="4"/>
        <v>4209325.474</v>
      </c>
      <c r="AC7" s="177">
        <f t="shared" si="4"/>
        <v>4293511.983</v>
      </c>
      <c r="AD7" s="177">
        <f t="shared" si="4"/>
        <v>4379382.223</v>
      </c>
      <c r="AE7" s="177">
        <f t="shared" si="4"/>
        <v>4466969.867</v>
      </c>
      <c r="AF7" s="177">
        <f t="shared" si="4"/>
        <v>4556309.264</v>
      </c>
      <c r="AG7" s="177">
        <f t="shared" si="4"/>
        <v>4647435.45</v>
      </c>
      <c r="AH7" s="177">
        <f t="shared" si="4"/>
        <v>4740384.159</v>
      </c>
      <c r="AI7" s="177">
        <f t="shared" si="4"/>
        <v>4835191.842</v>
      </c>
      <c r="AJ7" s="177">
        <f t="shared" si="4"/>
        <v>4931895.679</v>
      </c>
      <c r="AK7" s="177">
        <f t="shared" si="4"/>
        <v>5030533.592</v>
      </c>
      <c r="AL7" s="177">
        <f t="shared" si="4"/>
        <v>5131144.264</v>
      </c>
      <c r="AM7" s="177">
        <f t="shared" si="4"/>
        <v>5233767.149</v>
      </c>
      <c r="AN7" s="177">
        <f t="shared" si="4"/>
        <v>5338442.492</v>
      </c>
      <c r="AO7" s="177">
        <f t="shared" si="4"/>
        <v>5445211.342</v>
      </c>
      <c r="AP7" s="177">
        <f t="shared" si="4"/>
        <v>5554115.569</v>
      </c>
      <c r="AQ7" s="177">
        <f t="shared" si="4"/>
        <v>5665197.881</v>
      </c>
      <c r="AR7" s="177">
        <f t="shared" si="4"/>
        <v>5778501.838</v>
      </c>
      <c r="AS7" s="177">
        <f t="shared" si="4"/>
        <v>5894071.875</v>
      </c>
      <c r="AT7" s="177">
        <f t="shared" si="4"/>
        <v>6011953.312</v>
      </c>
      <c r="AU7" s="177">
        <f t="shared" si="4"/>
        <v>6132192.379</v>
      </c>
      <c r="AV7" s="177">
        <f t="shared" si="4"/>
        <v>6254836.226</v>
      </c>
      <c r="AW7" s="67"/>
      <c r="AX7" s="90"/>
      <c r="AY7" s="90"/>
      <c r="AZ7" s="90"/>
      <c r="BA7" s="90"/>
      <c r="BB7" s="90"/>
      <c r="BC7" s="90"/>
      <c r="BD7" s="90"/>
      <c r="BE7" s="90"/>
      <c r="BF7" s="90"/>
      <c r="BG7" s="90"/>
    </row>
    <row r="8" ht="12.75" customHeight="1">
      <c r="B8" s="90"/>
      <c r="C8" s="90" t="s">
        <v>792</v>
      </c>
      <c r="D8" s="90"/>
      <c r="E8" s="90"/>
      <c r="F8" s="90"/>
      <c r="G8" s="90"/>
      <c r="H8" s="90"/>
      <c r="I8" s="90"/>
      <c r="J8" s="177">
        <f t="shared" ref="J8:AV8" si="5">J281</f>
        <v>0</v>
      </c>
      <c r="K8" s="177">
        <f t="shared" si="5"/>
        <v>302282.43</v>
      </c>
      <c r="L8" s="177">
        <f t="shared" si="5"/>
        <v>298835.64</v>
      </c>
      <c r="M8" s="177">
        <f t="shared" si="5"/>
        <v>329969.4016</v>
      </c>
      <c r="N8" s="177">
        <f t="shared" si="5"/>
        <v>336568.7896</v>
      </c>
      <c r="O8" s="177">
        <f t="shared" si="5"/>
        <v>343300.1654</v>
      </c>
      <c r="P8" s="177">
        <f t="shared" si="5"/>
        <v>350166.1687</v>
      </c>
      <c r="Q8" s="177">
        <f t="shared" si="5"/>
        <v>357169.4921</v>
      </c>
      <c r="R8" s="177">
        <f t="shared" si="5"/>
        <v>364312.882</v>
      </c>
      <c r="S8" s="177">
        <f t="shared" si="5"/>
        <v>371599.1396</v>
      </c>
      <c r="T8" s="177">
        <f t="shared" si="5"/>
        <v>379031.1224</v>
      </c>
      <c r="U8" s="177">
        <f t="shared" si="5"/>
        <v>386611.7448</v>
      </c>
      <c r="V8" s="177">
        <f t="shared" si="5"/>
        <v>394343.9797</v>
      </c>
      <c r="W8" s="177">
        <f t="shared" si="5"/>
        <v>402230.8593</v>
      </c>
      <c r="X8" s="177">
        <f t="shared" si="5"/>
        <v>410275.4765</v>
      </c>
      <c r="Y8" s="177">
        <f t="shared" si="5"/>
        <v>418480.986</v>
      </c>
      <c r="Z8" s="177">
        <f t="shared" si="5"/>
        <v>426850.6058</v>
      </c>
      <c r="AA8" s="177">
        <f t="shared" si="5"/>
        <v>435387.6179</v>
      </c>
      <c r="AB8" s="177">
        <f t="shared" si="5"/>
        <v>444095.3702</v>
      </c>
      <c r="AC8" s="177">
        <f t="shared" si="5"/>
        <v>452977.2776</v>
      </c>
      <c r="AD8" s="177">
        <f t="shared" si="5"/>
        <v>462036.8232</v>
      </c>
      <c r="AE8" s="177">
        <f t="shared" si="5"/>
        <v>471277.5597</v>
      </c>
      <c r="AF8" s="177">
        <f t="shared" si="5"/>
        <v>562430.2176</v>
      </c>
      <c r="AG8" s="177">
        <f t="shared" si="5"/>
        <v>573678.822</v>
      </c>
      <c r="AH8" s="177">
        <f t="shared" si="5"/>
        <v>585152.3984</v>
      </c>
      <c r="AI8" s="177">
        <f t="shared" si="5"/>
        <v>596855.4464</v>
      </c>
      <c r="AJ8" s="177">
        <f t="shared" si="5"/>
        <v>608792.5553</v>
      </c>
      <c r="AK8" s="177">
        <f t="shared" si="5"/>
        <v>620968.4064</v>
      </c>
      <c r="AL8" s="177">
        <f t="shared" si="5"/>
        <v>633387.7746</v>
      </c>
      <c r="AM8" s="177">
        <f t="shared" si="5"/>
        <v>646055.53</v>
      </c>
      <c r="AN8" s="177">
        <f t="shared" si="5"/>
        <v>658976.6406</v>
      </c>
      <c r="AO8" s="177">
        <f t="shared" si="5"/>
        <v>672156.1735</v>
      </c>
      <c r="AP8" s="177">
        <f t="shared" si="5"/>
        <v>685599.2969</v>
      </c>
      <c r="AQ8" s="177">
        <f t="shared" si="5"/>
        <v>699311.2829</v>
      </c>
      <c r="AR8" s="177">
        <f t="shared" si="5"/>
        <v>713297.5085</v>
      </c>
      <c r="AS8" s="177">
        <f t="shared" si="5"/>
        <v>727563.4587</v>
      </c>
      <c r="AT8" s="177">
        <f t="shared" si="5"/>
        <v>742114.7279</v>
      </c>
      <c r="AU8" s="177">
        <f t="shared" si="5"/>
        <v>756957.0224</v>
      </c>
      <c r="AV8" s="177">
        <f t="shared" si="5"/>
        <v>772096.1629</v>
      </c>
      <c r="AW8" s="67"/>
      <c r="AX8" s="90"/>
      <c r="AY8" s="90"/>
      <c r="AZ8" s="90"/>
      <c r="BA8" s="90"/>
      <c r="BB8" s="90"/>
      <c r="BC8" s="90"/>
      <c r="BD8" s="90"/>
      <c r="BE8" s="90"/>
      <c r="BF8" s="90"/>
      <c r="BG8" s="90"/>
    </row>
    <row r="9" ht="12.75" customHeight="1">
      <c r="B9" s="90"/>
      <c r="C9" s="90" t="s">
        <v>797</v>
      </c>
      <c r="D9" s="90"/>
      <c r="E9" s="90"/>
      <c r="F9" s="90"/>
      <c r="G9" s="90"/>
      <c r="H9" s="90"/>
      <c r="I9" s="90"/>
      <c r="J9" s="177">
        <f t="shared" ref="J9:AV9" si="6">J288</f>
        <v>312500</v>
      </c>
      <c r="K9" s="177">
        <f t="shared" si="6"/>
        <v>800608.84</v>
      </c>
      <c r="L9" s="177">
        <f t="shared" si="6"/>
        <v>0</v>
      </c>
      <c r="M9" s="177">
        <f t="shared" si="6"/>
        <v>0</v>
      </c>
      <c r="N9" s="177">
        <f t="shared" si="6"/>
        <v>0</v>
      </c>
      <c r="O9" s="177">
        <f t="shared" si="6"/>
        <v>0</v>
      </c>
      <c r="P9" s="177">
        <f t="shared" si="6"/>
        <v>0</v>
      </c>
      <c r="Q9" s="177">
        <f t="shared" si="6"/>
        <v>0</v>
      </c>
      <c r="R9" s="177">
        <f t="shared" si="6"/>
        <v>0</v>
      </c>
      <c r="S9" s="177">
        <f t="shared" si="6"/>
        <v>0</v>
      </c>
      <c r="T9" s="177">
        <f t="shared" si="6"/>
        <v>0</v>
      </c>
      <c r="U9" s="177">
        <f t="shared" si="6"/>
        <v>0</v>
      </c>
      <c r="V9" s="177">
        <f t="shared" si="6"/>
        <v>0</v>
      </c>
      <c r="W9" s="177">
        <f t="shared" si="6"/>
        <v>0</v>
      </c>
      <c r="X9" s="177">
        <f t="shared" si="6"/>
        <v>0</v>
      </c>
      <c r="Y9" s="177">
        <f t="shared" si="6"/>
        <v>0</v>
      </c>
      <c r="Z9" s="177">
        <f t="shared" si="6"/>
        <v>0</v>
      </c>
      <c r="AA9" s="177">
        <f t="shared" si="6"/>
        <v>0</v>
      </c>
      <c r="AB9" s="177">
        <f t="shared" si="6"/>
        <v>0</v>
      </c>
      <c r="AC9" s="177">
        <f t="shared" si="6"/>
        <v>0</v>
      </c>
      <c r="AD9" s="177">
        <f t="shared" si="6"/>
        <v>0</v>
      </c>
      <c r="AE9" s="177">
        <f t="shared" si="6"/>
        <v>0</v>
      </c>
      <c r="AF9" s="177">
        <f t="shared" si="6"/>
        <v>0</v>
      </c>
      <c r="AG9" s="177">
        <f t="shared" si="6"/>
        <v>0</v>
      </c>
      <c r="AH9" s="177">
        <f t="shared" si="6"/>
        <v>0</v>
      </c>
      <c r="AI9" s="177">
        <f t="shared" si="6"/>
        <v>0</v>
      </c>
      <c r="AJ9" s="177">
        <f t="shared" si="6"/>
        <v>0</v>
      </c>
      <c r="AK9" s="177">
        <f t="shared" si="6"/>
        <v>0</v>
      </c>
      <c r="AL9" s="177">
        <f t="shared" si="6"/>
        <v>0</v>
      </c>
      <c r="AM9" s="177">
        <f t="shared" si="6"/>
        <v>0</v>
      </c>
      <c r="AN9" s="177">
        <f t="shared" si="6"/>
        <v>0</v>
      </c>
      <c r="AO9" s="177">
        <f t="shared" si="6"/>
        <v>0</v>
      </c>
      <c r="AP9" s="177">
        <f t="shared" si="6"/>
        <v>0</v>
      </c>
      <c r="AQ9" s="177">
        <f t="shared" si="6"/>
        <v>0</v>
      </c>
      <c r="AR9" s="177">
        <f t="shared" si="6"/>
        <v>0</v>
      </c>
      <c r="AS9" s="177">
        <f t="shared" si="6"/>
        <v>0</v>
      </c>
      <c r="AT9" s="177">
        <f t="shared" si="6"/>
        <v>0</v>
      </c>
      <c r="AU9" s="177">
        <f t="shared" si="6"/>
        <v>0</v>
      </c>
      <c r="AV9" s="177">
        <f t="shared" si="6"/>
        <v>0</v>
      </c>
      <c r="AW9" s="67"/>
      <c r="AX9" s="90"/>
      <c r="AY9" s="90"/>
      <c r="AZ9" s="90"/>
      <c r="BA9" s="90"/>
      <c r="BB9" s="90"/>
      <c r="BC9" s="90"/>
      <c r="BD9" s="90"/>
      <c r="BE9" s="90"/>
      <c r="BF9" s="90"/>
      <c r="BG9" s="90"/>
    </row>
    <row r="10" ht="12.75" customHeight="1">
      <c r="B10" s="90"/>
      <c r="C10" s="87" t="s">
        <v>799</v>
      </c>
      <c r="D10" s="87"/>
      <c r="E10" s="87"/>
      <c r="F10" s="87"/>
      <c r="G10" s="87"/>
      <c r="H10" s="87"/>
      <c r="I10" s="87"/>
      <c r="J10" s="204">
        <f t="shared" ref="J10:AV10" si="7">J294</f>
        <v>0</v>
      </c>
      <c r="K10" s="204">
        <f t="shared" si="7"/>
        <v>39247</v>
      </c>
      <c r="L10" s="204">
        <f t="shared" si="7"/>
        <v>76400</v>
      </c>
      <c r="M10" s="204">
        <f t="shared" si="7"/>
        <v>86100</v>
      </c>
      <c r="N10" s="204">
        <f t="shared" si="7"/>
        <v>87222</v>
      </c>
      <c r="O10" s="204">
        <f t="shared" si="7"/>
        <v>88366.44</v>
      </c>
      <c r="P10" s="204">
        <f t="shared" si="7"/>
        <v>89533.7688</v>
      </c>
      <c r="Q10" s="204">
        <f t="shared" si="7"/>
        <v>90724.44418</v>
      </c>
      <c r="R10" s="204">
        <f t="shared" si="7"/>
        <v>91938.93306</v>
      </c>
      <c r="S10" s="204">
        <f t="shared" si="7"/>
        <v>93177.71172</v>
      </c>
      <c r="T10" s="204">
        <f t="shared" si="7"/>
        <v>94441.26596</v>
      </c>
      <c r="U10" s="204">
        <f t="shared" si="7"/>
        <v>95730.09127</v>
      </c>
      <c r="V10" s="204">
        <f t="shared" si="7"/>
        <v>97044.6931</v>
      </c>
      <c r="W10" s="204">
        <f t="shared" si="7"/>
        <v>98385.58696</v>
      </c>
      <c r="X10" s="204">
        <f t="shared" si="7"/>
        <v>99753.2987</v>
      </c>
      <c r="Y10" s="204">
        <f t="shared" si="7"/>
        <v>101148.3647</v>
      </c>
      <c r="Z10" s="204">
        <f t="shared" si="7"/>
        <v>102571.332</v>
      </c>
      <c r="AA10" s="204">
        <f t="shared" si="7"/>
        <v>104022.7586</v>
      </c>
      <c r="AB10" s="204">
        <f t="shared" si="7"/>
        <v>105503.2138</v>
      </c>
      <c r="AC10" s="204">
        <f t="shared" si="7"/>
        <v>107013.2781</v>
      </c>
      <c r="AD10" s="204">
        <f t="shared" si="7"/>
        <v>108553.5436</v>
      </c>
      <c r="AE10" s="204">
        <f t="shared" si="7"/>
        <v>110124.6145</v>
      </c>
      <c r="AF10" s="204">
        <f t="shared" si="7"/>
        <v>110124.6145</v>
      </c>
      <c r="AG10" s="204">
        <f t="shared" si="7"/>
        <v>110124.6145</v>
      </c>
      <c r="AH10" s="204">
        <f t="shared" si="7"/>
        <v>110124.6145</v>
      </c>
      <c r="AI10" s="204">
        <f t="shared" si="7"/>
        <v>110124.6145</v>
      </c>
      <c r="AJ10" s="204">
        <f t="shared" si="7"/>
        <v>110124.6145</v>
      </c>
      <c r="AK10" s="204">
        <f t="shared" si="7"/>
        <v>110124.6145</v>
      </c>
      <c r="AL10" s="204">
        <f t="shared" si="7"/>
        <v>110124.6145</v>
      </c>
      <c r="AM10" s="204">
        <f t="shared" si="7"/>
        <v>110124.6145</v>
      </c>
      <c r="AN10" s="204">
        <f t="shared" si="7"/>
        <v>110124.6145</v>
      </c>
      <c r="AO10" s="204">
        <f t="shared" si="7"/>
        <v>110124.6145</v>
      </c>
      <c r="AP10" s="204">
        <f t="shared" si="7"/>
        <v>110124.6145</v>
      </c>
      <c r="AQ10" s="204">
        <f t="shared" si="7"/>
        <v>110124.6145</v>
      </c>
      <c r="AR10" s="204">
        <f t="shared" si="7"/>
        <v>110124.6145</v>
      </c>
      <c r="AS10" s="204">
        <f t="shared" si="7"/>
        <v>110124.6145</v>
      </c>
      <c r="AT10" s="204">
        <f t="shared" si="7"/>
        <v>110124.6145</v>
      </c>
      <c r="AU10" s="204">
        <f t="shared" si="7"/>
        <v>110124.6145</v>
      </c>
      <c r="AV10" s="204">
        <f t="shared" si="7"/>
        <v>110124.6145</v>
      </c>
      <c r="AW10" s="67"/>
      <c r="AX10" s="90"/>
      <c r="AY10" s="90"/>
      <c r="AZ10" s="90"/>
      <c r="BA10" s="90"/>
      <c r="BB10" s="90"/>
      <c r="BC10" s="90"/>
      <c r="BD10" s="90"/>
      <c r="BE10" s="90"/>
      <c r="BF10" s="90"/>
      <c r="BG10" s="90"/>
    </row>
    <row r="11" ht="12.75" customHeight="1">
      <c r="B11" s="67" t="s">
        <v>239</v>
      </c>
      <c r="C11" s="90"/>
      <c r="D11" s="90"/>
      <c r="E11" s="90"/>
      <c r="F11" s="90"/>
      <c r="G11" s="90"/>
      <c r="H11" s="90"/>
      <c r="I11" s="90"/>
      <c r="J11" s="205">
        <f t="shared" ref="J11:AV11" si="8">SUM(J7:J10)</f>
        <v>312500</v>
      </c>
      <c r="K11" s="205">
        <f t="shared" si="8"/>
        <v>3928180.85</v>
      </c>
      <c r="L11" s="205">
        <f t="shared" si="8"/>
        <v>3378730.52</v>
      </c>
      <c r="M11" s="205">
        <f t="shared" si="8"/>
        <v>3573918.434</v>
      </c>
      <c r="N11" s="205">
        <f t="shared" si="8"/>
        <v>3641193.163</v>
      </c>
      <c r="O11" s="205">
        <f t="shared" si="8"/>
        <v>3704394.823</v>
      </c>
      <c r="P11" s="205">
        <f t="shared" si="8"/>
        <v>3768680.072</v>
      </c>
      <c r="Q11" s="205">
        <f t="shared" si="8"/>
        <v>3835109.94</v>
      </c>
      <c r="R11" s="205">
        <f t="shared" si="8"/>
        <v>3936940.944</v>
      </c>
      <c r="S11" s="205">
        <f t="shared" si="8"/>
        <v>4006677.996</v>
      </c>
      <c r="T11" s="205">
        <f t="shared" si="8"/>
        <v>4078386.953</v>
      </c>
      <c r="U11" s="205">
        <f t="shared" si="8"/>
        <v>4151373.598</v>
      </c>
      <c r="V11" s="205">
        <f t="shared" si="8"/>
        <v>4229149.232</v>
      </c>
      <c r="W11" s="205">
        <f t="shared" si="8"/>
        <v>4313132.216</v>
      </c>
      <c r="X11" s="205">
        <f t="shared" si="8"/>
        <v>4398794.861</v>
      </c>
      <c r="Y11" s="205">
        <f t="shared" si="8"/>
        <v>4486170.758</v>
      </c>
      <c r="Z11" s="205">
        <f t="shared" si="8"/>
        <v>4575294.173</v>
      </c>
      <c r="AA11" s="205">
        <f t="shared" si="8"/>
        <v>4666200.056</v>
      </c>
      <c r="AB11" s="205">
        <f t="shared" si="8"/>
        <v>4758924.058</v>
      </c>
      <c r="AC11" s="205">
        <f t="shared" si="8"/>
        <v>4853502.539</v>
      </c>
      <c r="AD11" s="205">
        <f t="shared" si="8"/>
        <v>4949972.589</v>
      </c>
      <c r="AE11" s="205">
        <f t="shared" si="8"/>
        <v>5048372.041</v>
      </c>
      <c r="AF11" s="205">
        <f t="shared" si="8"/>
        <v>5228864.097</v>
      </c>
      <c r="AG11" s="205">
        <f t="shared" si="8"/>
        <v>5331238.886</v>
      </c>
      <c r="AH11" s="205">
        <f t="shared" si="8"/>
        <v>5435661.172</v>
      </c>
      <c r="AI11" s="205">
        <f t="shared" si="8"/>
        <v>5542171.903</v>
      </c>
      <c r="AJ11" s="205">
        <f t="shared" si="8"/>
        <v>5650812.849</v>
      </c>
      <c r="AK11" s="205">
        <f t="shared" si="8"/>
        <v>5761626.613</v>
      </c>
      <c r="AL11" s="205">
        <f t="shared" si="8"/>
        <v>5874656.653</v>
      </c>
      <c r="AM11" s="205">
        <f t="shared" si="8"/>
        <v>5989947.294</v>
      </c>
      <c r="AN11" s="205">
        <f t="shared" si="8"/>
        <v>6107543.748</v>
      </c>
      <c r="AO11" s="205">
        <f t="shared" si="8"/>
        <v>6227492.13</v>
      </c>
      <c r="AP11" s="205">
        <f t="shared" si="8"/>
        <v>6349839.481</v>
      </c>
      <c r="AQ11" s="205">
        <f t="shared" si="8"/>
        <v>6474633.778</v>
      </c>
      <c r="AR11" s="205">
        <f t="shared" si="8"/>
        <v>6601923.961</v>
      </c>
      <c r="AS11" s="205">
        <f t="shared" si="8"/>
        <v>6731759.948</v>
      </c>
      <c r="AT11" s="205">
        <f t="shared" si="8"/>
        <v>6864192.655</v>
      </c>
      <c r="AU11" s="205">
        <f t="shared" si="8"/>
        <v>6999274.016</v>
      </c>
      <c r="AV11" s="205">
        <f t="shared" si="8"/>
        <v>7137057.004</v>
      </c>
      <c r="AW11" s="67"/>
      <c r="AX11" s="90"/>
      <c r="AY11" s="90"/>
      <c r="AZ11" s="90"/>
      <c r="BA11" s="90"/>
      <c r="BB11" s="90"/>
      <c r="BC11" s="90"/>
      <c r="BD11" s="90"/>
      <c r="BE11" s="90"/>
      <c r="BF11" s="90"/>
      <c r="BG11" s="90"/>
    </row>
    <row r="12" ht="12.75" customHeight="1">
      <c r="B12" s="90"/>
      <c r="C12" s="90"/>
      <c r="D12" s="90"/>
      <c r="E12" s="90"/>
      <c r="F12" s="90"/>
      <c r="G12" s="90"/>
      <c r="H12" s="90"/>
      <c r="I12" s="90"/>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7"/>
      <c r="AX12" s="90"/>
      <c r="AY12" s="90"/>
      <c r="AZ12" s="90"/>
      <c r="BA12" s="90"/>
      <c r="BB12" s="90"/>
      <c r="BC12" s="90"/>
      <c r="BD12" s="90"/>
      <c r="BE12" s="90"/>
      <c r="BF12" s="90"/>
      <c r="BG12" s="90"/>
    </row>
    <row r="13" ht="12.75" customHeight="1">
      <c r="B13" s="67" t="s">
        <v>178</v>
      </c>
      <c r="C13" s="90"/>
      <c r="D13" s="90"/>
      <c r="E13" s="90"/>
      <c r="F13" s="90"/>
      <c r="G13" s="90"/>
      <c r="H13" s="90"/>
      <c r="I13" s="90"/>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7"/>
      <c r="AX13" s="90"/>
      <c r="AY13" s="90"/>
      <c r="AZ13" s="90"/>
      <c r="BA13" s="90"/>
      <c r="BB13" s="90"/>
      <c r="BC13" s="90"/>
      <c r="BD13" s="90"/>
      <c r="BE13" s="90"/>
      <c r="BF13" s="90"/>
      <c r="BG13" s="90"/>
    </row>
    <row r="14" ht="12.75" customHeight="1">
      <c r="B14" s="90"/>
      <c r="C14" s="90" t="s">
        <v>1172</v>
      </c>
      <c r="D14" s="90"/>
      <c r="E14" s="90"/>
      <c r="F14" s="90"/>
      <c r="G14" s="90"/>
      <c r="H14" s="90"/>
      <c r="I14" s="90"/>
      <c r="J14" s="177">
        <f t="shared" ref="J14:AV14" si="9">J319+J330</f>
        <v>86817.41</v>
      </c>
      <c r="K14" s="177">
        <f t="shared" si="9"/>
        <v>1217961.09</v>
      </c>
      <c r="L14" s="177">
        <f t="shared" si="9"/>
        <v>1569624.28</v>
      </c>
      <c r="M14" s="177">
        <f t="shared" si="9"/>
        <v>1678482.19</v>
      </c>
      <c r="N14" s="177">
        <f t="shared" si="9"/>
        <v>1709027.833</v>
      </c>
      <c r="O14" s="177">
        <f t="shared" si="9"/>
        <v>1587744.148</v>
      </c>
      <c r="P14" s="177">
        <f t="shared" si="9"/>
        <v>1618117.351</v>
      </c>
      <c r="Q14" s="177">
        <f t="shared" si="9"/>
        <v>1329330.863</v>
      </c>
      <c r="R14" s="177">
        <f t="shared" si="9"/>
        <v>1354804.755</v>
      </c>
      <c r="S14" s="177">
        <f t="shared" si="9"/>
        <v>1380776.998</v>
      </c>
      <c r="T14" s="177">
        <f t="shared" si="9"/>
        <v>1407257.447</v>
      </c>
      <c r="U14" s="177">
        <f t="shared" si="9"/>
        <v>1434256.154</v>
      </c>
      <c r="V14" s="177">
        <f t="shared" si="9"/>
        <v>1461783.371</v>
      </c>
      <c r="W14" s="177">
        <f t="shared" si="9"/>
        <v>1489849.553</v>
      </c>
      <c r="X14" s="177">
        <f t="shared" si="9"/>
        <v>1518465.364</v>
      </c>
      <c r="Y14" s="177">
        <f t="shared" si="9"/>
        <v>1547641.679</v>
      </c>
      <c r="Z14" s="177">
        <f t="shared" si="9"/>
        <v>1577389.591</v>
      </c>
      <c r="AA14" s="177">
        <f t="shared" si="9"/>
        <v>1607720.412</v>
      </c>
      <c r="AB14" s="177">
        <f t="shared" si="9"/>
        <v>1638645.679</v>
      </c>
      <c r="AC14" s="177">
        <f t="shared" si="9"/>
        <v>1670177.161</v>
      </c>
      <c r="AD14" s="177">
        <f t="shared" si="9"/>
        <v>1702326.858</v>
      </c>
      <c r="AE14" s="177">
        <f t="shared" si="9"/>
        <v>1735107.01</v>
      </c>
      <c r="AF14" s="177">
        <f t="shared" si="9"/>
        <v>1768530.101</v>
      </c>
      <c r="AG14" s="177">
        <f t="shared" si="9"/>
        <v>1802608.864</v>
      </c>
      <c r="AH14" s="177">
        <f t="shared" si="9"/>
        <v>1837356.284</v>
      </c>
      <c r="AI14" s="177">
        <f t="shared" si="9"/>
        <v>1872785.604</v>
      </c>
      <c r="AJ14" s="177">
        <f t="shared" si="9"/>
        <v>1908910.333</v>
      </c>
      <c r="AK14" s="177">
        <f t="shared" si="9"/>
        <v>1945744.246</v>
      </c>
      <c r="AL14" s="177">
        <f t="shared" si="9"/>
        <v>1983301.395</v>
      </c>
      <c r="AM14" s="177">
        <f t="shared" si="9"/>
        <v>2021596.11</v>
      </c>
      <c r="AN14" s="177">
        <f t="shared" si="9"/>
        <v>2060643.005</v>
      </c>
      <c r="AO14" s="177">
        <f t="shared" si="9"/>
        <v>2100456.989</v>
      </c>
      <c r="AP14" s="177">
        <f t="shared" si="9"/>
        <v>2141053.263</v>
      </c>
      <c r="AQ14" s="177">
        <f t="shared" si="9"/>
        <v>2182447.334</v>
      </c>
      <c r="AR14" s="177">
        <f t="shared" si="9"/>
        <v>2224655.016</v>
      </c>
      <c r="AS14" s="177">
        <f t="shared" si="9"/>
        <v>2267692.44</v>
      </c>
      <c r="AT14" s="177">
        <f t="shared" si="9"/>
        <v>2311576.055</v>
      </c>
      <c r="AU14" s="177">
        <f t="shared" si="9"/>
        <v>2356322.64</v>
      </c>
      <c r="AV14" s="177" t="str">
        <f t="shared" si="9"/>
        <v>#VALUE!</v>
      </c>
      <c r="AW14" s="67"/>
      <c r="AX14" s="90"/>
      <c r="AY14" s="90"/>
      <c r="AZ14" s="90"/>
      <c r="BA14" s="90"/>
      <c r="BB14" s="90"/>
      <c r="BC14" s="90"/>
      <c r="BD14" s="90"/>
      <c r="BE14" s="90"/>
      <c r="BF14" s="90"/>
      <c r="BG14" s="90"/>
    </row>
    <row r="15" ht="12.75" customHeight="1">
      <c r="B15" s="90"/>
      <c r="C15" s="90" t="s">
        <v>1173</v>
      </c>
      <c r="D15" s="90"/>
      <c r="E15" s="90"/>
      <c r="F15" s="90"/>
      <c r="G15" s="90"/>
      <c r="H15" s="90"/>
      <c r="I15" s="90"/>
      <c r="J15" s="177">
        <f t="shared" ref="J15:AV15" si="10">J339</f>
        <v>2163.43</v>
      </c>
      <c r="K15" s="177">
        <f t="shared" si="10"/>
        <v>454242.2</v>
      </c>
      <c r="L15" s="177">
        <f t="shared" si="10"/>
        <v>361302</v>
      </c>
      <c r="M15" s="177">
        <f t="shared" si="10"/>
        <v>364171</v>
      </c>
      <c r="N15" s="177">
        <f t="shared" si="10"/>
        <v>367077</v>
      </c>
      <c r="O15" s="177">
        <f t="shared" si="10"/>
        <v>371681.54</v>
      </c>
      <c r="P15" s="177">
        <f t="shared" si="10"/>
        <v>378422.2108</v>
      </c>
      <c r="Q15" s="177">
        <f t="shared" si="10"/>
        <v>381291.655</v>
      </c>
      <c r="R15" s="177">
        <f t="shared" si="10"/>
        <v>388306.5681</v>
      </c>
      <c r="S15" s="177">
        <f t="shared" si="10"/>
        <v>395457.6995</v>
      </c>
      <c r="T15" s="177">
        <f t="shared" si="10"/>
        <v>402751.8535</v>
      </c>
      <c r="U15" s="177">
        <f t="shared" si="10"/>
        <v>410191.8905</v>
      </c>
      <c r="V15" s="177">
        <f t="shared" si="10"/>
        <v>417780.7283</v>
      </c>
      <c r="W15" s="177">
        <f t="shared" si="10"/>
        <v>425521.3429</v>
      </c>
      <c r="X15" s="177">
        <f t="shared" si="10"/>
        <v>433416.7698</v>
      </c>
      <c r="Y15" s="177">
        <f t="shared" si="10"/>
        <v>441470.1052</v>
      </c>
      <c r="Z15" s="177">
        <f t="shared" si="10"/>
        <v>449684.5073</v>
      </c>
      <c r="AA15" s="177">
        <f t="shared" si="10"/>
        <v>458063.1974</v>
      </c>
      <c r="AB15" s="177">
        <f t="shared" si="10"/>
        <v>466609.4614</v>
      </c>
      <c r="AC15" s="177">
        <f t="shared" si="10"/>
        <v>475326.6506</v>
      </c>
      <c r="AD15" s="177">
        <f t="shared" si="10"/>
        <v>484218.1836</v>
      </c>
      <c r="AE15" s="177">
        <f t="shared" si="10"/>
        <v>493287.5473</v>
      </c>
      <c r="AF15" s="177">
        <f t="shared" si="10"/>
        <v>502538.2982</v>
      </c>
      <c r="AG15" s="177">
        <f t="shared" si="10"/>
        <v>511974.0642</v>
      </c>
      <c r="AH15" s="177">
        <f t="shared" si="10"/>
        <v>521598.5455</v>
      </c>
      <c r="AI15" s="177">
        <f t="shared" si="10"/>
        <v>531415.5164</v>
      </c>
      <c r="AJ15" s="177">
        <f t="shared" si="10"/>
        <v>541428.8267</v>
      </c>
      <c r="AK15" s="177">
        <f t="shared" si="10"/>
        <v>551642.4032</v>
      </c>
      <c r="AL15" s="177">
        <f t="shared" si="10"/>
        <v>562060.2513</v>
      </c>
      <c r="AM15" s="177">
        <f t="shared" si="10"/>
        <v>572686.4563</v>
      </c>
      <c r="AN15" s="177">
        <f t="shared" si="10"/>
        <v>583525.1855</v>
      </c>
      <c r="AO15" s="177">
        <f t="shared" si="10"/>
        <v>594580.6892</v>
      </c>
      <c r="AP15" s="177">
        <f t="shared" si="10"/>
        <v>605857.303</v>
      </c>
      <c r="AQ15" s="177">
        <f t="shared" si="10"/>
        <v>617359.449</v>
      </c>
      <c r="AR15" s="177">
        <f t="shared" si="10"/>
        <v>629091.638</v>
      </c>
      <c r="AS15" s="177">
        <f t="shared" si="10"/>
        <v>641058.4708</v>
      </c>
      <c r="AT15" s="177">
        <f t="shared" si="10"/>
        <v>653264.6402</v>
      </c>
      <c r="AU15" s="177">
        <f t="shared" si="10"/>
        <v>665714.933</v>
      </c>
      <c r="AV15" s="177">
        <f t="shared" si="10"/>
        <v>678414.2316</v>
      </c>
      <c r="AW15" s="67"/>
      <c r="AX15" s="90"/>
      <c r="AY15" s="90"/>
      <c r="AZ15" s="90"/>
      <c r="BA15" s="90"/>
      <c r="BB15" s="90"/>
      <c r="BC15" s="90"/>
      <c r="BD15" s="90"/>
      <c r="BE15" s="90"/>
      <c r="BF15" s="90"/>
      <c r="BG15" s="90"/>
    </row>
    <row r="16" ht="12.75" customHeight="1">
      <c r="B16" s="90"/>
      <c r="C16" s="90" t="s">
        <v>601</v>
      </c>
      <c r="D16" s="90"/>
      <c r="E16" s="90"/>
      <c r="F16" s="90"/>
      <c r="G16" s="90"/>
      <c r="H16" s="90"/>
      <c r="I16" s="90"/>
      <c r="J16" s="177">
        <f t="shared" ref="J16:AV16" si="11">J381</f>
        <v>0</v>
      </c>
      <c r="K16" s="177" t="str">
        <f t="shared" si="11"/>
        <v/>
      </c>
      <c r="L16" s="177">
        <f t="shared" si="11"/>
        <v>94317.9156</v>
      </c>
      <c r="M16" s="177">
        <f t="shared" si="11"/>
        <v>99585.55301</v>
      </c>
      <c r="N16" s="177">
        <f t="shared" si="11"/>
        <v>101469.1549</v>
      </c>
      <c r="O16" s="177">
        <f t="shared" si="11"/>
        <v>103227.8719</v>
      </c>
      <c r="P16" s="177">
        <f t="shared" si="11"/>
        <v>105016.3499</v>
      </c>
      <c r="Q16" s="177">
        <f t="shared" si="11"/>
        <v>106866.3649</v>
      </c>
      <c r="R16" s="177">
        <f t="shared" si="11"/>
        <v>109775.5564</v>
      </c>
      <c r="S16" s="177">
        <f t="shared" si="11"/>
        <v>111719.0145</v>
      </c>
      <c r="T16" s="177">
        <f t="shared" si="11"/>
        <v>113718.6567</v>
      </c>
      <c r="U16" s="177">
        <f t="shared" si="11"/>
        <v>115753.597</v>
      </c>
      <c r="V16" s="177">
        <f t="shared" si="11"/>
        <v>117929.1138</v>
      </c>
      <c r="W16" s="177">
        <f t="shared" si="11"/>
        <v>120287.6961</v>
      </c>
      <c r="X16" s="177">
        <f t="shared" si="11"/>
        <v>122693.45</v>
      </c>
      <c r="Y16" s="177">
        <f t="shared" si="11"/>
        <v>125147.319</v>
      </c>
      <c r="Z16" s="177">
        <f t="shared" si="11"/>
        <v>127650.2654</v>
      </c>
      <c r="AA16" s="177">
        <f t="shared" si="11"/>
        <v>130203.2707</v>
      </c>
      <c r="AB16" s="177">
        <f t="shared" si="11"/>
        <v>132807.3361</v>
      </c>
      <c r="AC16" s="177">
        <f t="shared" si="11"/>
        <v>135463.4828</v>
      </c>
      <c r="AD16" s="177">
        <f t="shared" si="11"/>
        <v>138172.7525</v>
      </c>
      <c r="AE16" s="177">
        <f t="shared" si="11"/>
        <v>140936.2075</v>
      </c>
      <c r="AF16" s="177">
        <f t="shared" si="11"/>
        <v>143754.9316</v>
      </c>
      <c r="AG16" s="177">
        <f t="shared" si="11"/>
        <v>146630.0303</v>
      </c>
      <c r="AH16" s="177">
        <f t="shared" si="11"/>
        <v>149562.6309</v>
      </c>
      <c r="AI16" s="177">
        <f t="shared" si="11"/>
        <v>152553.8835</v>
      </c>
      <c r="AJ16" s="177">
        <f t="shared" si="11"/>
        <v>155604.9612</v>
      </c>
      <c r="AK16" s="177">
        <f t="shared" si="11"/>
        <v>158717.0604</v>
      </c>
      <c r="AL16" s="177">
        <f t="shared" si="11"/>
        <v>161891.4016</v>
      </c>
      <c r="AM16" s="177">
        <f t="shared" si="11"/>
        <v>165129.2296</v>
      </c>
      <c r="AN16" s="177">
        <f t="shared" si="11"/>
        <v>168431.8142</v>
      </c>
      <c r="AO16" s="177">
        <f t="shared" si="11"/>
        <v>171800.4505</v>
      </c>
      <c r="AP16" s="177">
        <f t="shared" si="11"/>
        <v>175236.4595</v>
      </c>
      <c r="AQ16" s="177">
        <f t="shared" si="11"/>
        <v>178741.1887</v>
      </c>
      <c r="AR16" s="177">
        <f t="shared" si="11"/>
        <v>182316.0125</v>
      </c>
      <c r="AS16" s="177">
        <f t="shared" si="11"/>
        <v>185962.3327</v>
      </c>
      <c r="AT16" s="177">
        <f t="shared" si="11"/>
        <v>189681.5794</v>
      </c>
      <c r="AU16" s="177">
        <f t="shared" si="11"/>
        <v>193475.211</v>
      </c>
      <c r="AV16" s="177">
        <f t="shared" si="11"/>
        <v>197344.7152</v>
      </c>
      <c r="AW16" s="67"/>
      <c r="AX16" s="90"/>
      <c r="AY16" s="90"/>
      <c r="AZ16" s="90"/>
      <c r="BA16" s="90"/>
      <c r="BB16" s="90"/>
      <c r="BC16" s="90"/>
      <c r="BD16" s="90"/>
      <c r="BE16" s="90"/>
      <c r="BF16" s="90"/>
      <c r="BG16" s="90"/>
    </row>
    <row r="17" ht="12.75" customHeight="1">
      <c r="B17" s="90"/>
      <c r="C17" s="90" t="s">
        <v>276</v>
      </c>
      <c r="D17" s="90"/>
      <c r="E17" s="90"/>
      <c r="F17" s="90"/>
      <c r="G17" s="90"/>
      <c r="H17" s="90"/>
      <c r="I17" s="90"/>
      <c r="J17" s="177">
        <f t="shared" ref="J17:AV17" si="12">J379</f>
        <v>78125</v>
      </c>
      <c r="K17" s="177">
        <f t="shared" si="12"/>
        <v>552423.86</v>
      </c>
      <c r="L17" s="177">
        <f t="shared" si="12"/>
        <v>377271.6624</v>
      </c>
      <c r="M17" s="177">
        <f t="shared" si="12"/>
        <v>398342.212</v>
      </c>
      <c r="N17" s="177">
        <f t="shared" si="12"/>
        <v>405876.6195</v>
      </c>
      <c r="O17" s="177">
        <f t="shared" si="12"/>
        <v>412911.4875</v>
      </c>
      <c r="P17" s="177">
        <f t="shared" si="12"/>
        <v>420065.3996</v>
      </c>
      <c r="Q17" s="177">
        <f t="shared" si="12"/>
        <v>427465.4596</v>
      </c>
      <c r="R17" s="177">
        <f t="shared" si="12"/>
        <v>439102.2254</v>
      </c>
      <c r="S17" s="177">
        <f t="shared" si="12"/>
        <v>446876.0578</v>
      </c>
      <c r="T17" s="177">
        <f t="shared" si="12"/>
        <v>454874.6267</v>
      </c>
      <c r="U17" s="177">
        <f t="shared" si="12"/>
        <v>463014.3879</v>
      </c>
      <c r="V17" s="177">
        <f t="shared" si="12"/>
        <v>471716.4551</v>
      </c>
      <c r="W17" s="177">
        <f t="shared" si="12"/>
        <v>481150.7842</v>
      </c>
      <c r="X17" s="177">
        <f t="shared" si="12"/>
        <v>490773.7999</v>
      </c>
      <c r="Y17" s="177">
        <f t="shared" si="12"/>
        <v>500589.2759</v>
      </c>
      <c r="Z17" s="177">
        <f t="shared" si="12"/>
        <v>510601.0614</v>
      </c>
      <c r="AA17" s="177">
        <f t="shared" si="12"/>
        <v>520813.0826</v>
      </c>
      <c r="AB17" s="177">
        <f t="shared" si="12"/>
        <v>531229.3443</v>
      </c>
      <c r="AC17" s="177">
        <f t="shared" si="12"/>
        <v>541853.9312</v>
      </c>
      <c r="AD17" s="177">
        <f t="shared" si="12"/>
        <v>552691.0098</v>
      </c>
      <c r="AE17" s="177">
        <f t="shared" si="12"/>
        <v>563744.83</v>
      </c>
      <c r="AF17" s="177">
        <f t="shared" si="12"/>
        <v>575019.7266</v>
      </c>
      <c r="AG17" s="177">
        <f t="shared" si="12"/>
        <v>586520.1211</v>
      </c>
      <c r="AH17" s="177">
        <f t="shared" si="12"/>
        <v>598250.5236</v>
      </c>
      <c r="AI17" s="177">
        <f t="shared" si="12"/>
        <v>610215.534</v>
      </c>
      <c r="AJ17" s="177">
        <f t="shared" si="12"/>
        <v>622419.8447</v>
      </c>
      <c r="AK17" s="177">
        <f t="shared" si="12"/>
        <v>634868.2416</v>
      </c>
      <c r="AL17" s="177">
        <f t="shared" si="12"/>
        <v>647565.6064</v>
      </c>
      <c r="AM17" s="177">
        <f t="shared" si="12"/>
        <v>660516.9186</v>
      </c>
      <c r="AN17" s="177">
        <f t="shared" si="12"/>
        <v>673727.2569</v>
      </c>
      <c r="AO17" s="177">
        <f t="shared" si="12"/>
        <v>687201.8021</v>
      </c>
      <c r="AP17" s="177">
        <f t="shared" si="12"/>
        <v>700945.8381</v>
      </c>
      <c r="AQ17" s="177">
        <f t="shared" si="12"/>
        <v>714964.7549</v>
      </c>
      <c r="AR17" s="177">
        <f t="shared" si="12"/>
        <v>729264.05</v>
      </c>
      <c r="AS17" s="177">
        <f t="shared" si="12"/>
        <v>743849.331</v>
      </c>
      <c r="AT17" s="177">
        <f t="shared" si="12"/>
        <v>758726.3176</v>
      </c>
      <c r="AU17" s="177">
        <f t="shared" si="12"/>
        <v>773900.8439</v>
      </c>
      <c r="AV17" s="177">
        <f t="shared" si="12"/>
        <v>789378.8608</v>
      </c>
      <c r="AW17" s="67"/>
      <c r="AX17" s="90"/>
      <c r="AY17" s="90"/>
      <c r="AZ17" s="90"/>
      <c r="BA17" s="90"/>
      <c r="BB17" s="90"/>
      <c r="BC17" s="90"/>
      <c r="BD17" s="90"/>
      <c r="BE17" s="90"/>
      <c r="BF17" s="90"/>
      <c r="BG17" s="90"/>
    </row>
    <row r="18" ht="12.75" customHeight="1">
      <c r="B18" s="90"/>
      <c r="C18" s="90" t="s">
        <v>1174</v>
      </c>
      <c r="D18" s="90"/>
      <c r="E18" s="90"/>
      <c r="F18" s="90"/>
      <c r="G18" s="90"/>
      <c r="H18" s="90"/>
      <c r="I18" s="90"/>
      <c r="J18" s="177">
        <f t="shared" ref="J18:AV18" si="13">J380</f>
        <v>232000</v>
      </c>
      <c r="K18" s="177">
        <f t="shared" si="13"/>
        <v>743001.54</v>
      </c>
      <c r="L18" s="177">
        <f t="shared" si="13"/>
        <v>628786.104</v>
      </c>
      <c r="M18" s="177">
        <f t="shared" si="13"/>
        <v>663903.6867</v>
      </c>
      <c r="N18" s="177">
        <f t="shared" si="13"/>
        <v>676461.0325</v>
      </c>
      <c r="O18" s="177">
        <f t="shared" si="13"/>
        <v>688185.8126</v>
      </c>
      <c r="P18" s="177">
        <f t="shared" si="13"/>
        <v>700108.9994</v>
      </c>
      <c r="Q18" s="177">
        <f t="shared" si="13"/>
        <v>712442.4327</v>
      </c>
      <c r="R18" s="177">
        <f t="shared" si="13"/>
        <v>731837.0424</v>
      </c>
      <c r="S18" s="177">
        <f t="shared" si="13"/>
        <v>744793.4297</v>
      </c>
      <c r="T18" s="177">
        <f t="shared" si="13"/>
        <v>758124.3778</v>
      </c>
      <c r="U18" s="177">
        <f t="shared" si="13"/>
        <v>771690.6465</v>
      </c>
      <c r="V18" s="177">
        <f t="shared" si="13"/>
        <v>786194.0918</v>
      </c>
      <c r="W18" s="177">
        <f t="shared" si="13"/>
        <v>801917.9737</v>
      </c>
      <c r="X18" s="177">
        <f t="shared" si="13"/>
        <v>817956.3332</v>
      </c>
      <c r="Y18" s="177">
        <f t="shared" si="13"/>
        <v>834315.4598</v>
      </c>
      <c r="Z18" s="177">
        <f t="shared" si="13"/>
        <v>851001.769</v>
      </c>
      <c r="AA18" s="177">
        <f t="shared" si="13"/>
        <v>868021.8044</v>
      </c>
      <c r="AB18" s="177">
        <f t="shared" si="13"/>
        <v>885382.2405</v>
      </c>
      <c r="AC18" s="177">
        <f t="shared" si="13"/>
        <v>903089.8853</v>
      </c>
      <c r="AD18" s="177">
        <f t="shared" si="13"/>
        <v>921151.683</v>
      </c>
      <c r="AE18" s="177">
        <f t="shared" si="13"/>
        <v>939574.7167</v>
      </c>
      <c r="AF18" s="177">
        <f t="shared" si="13"/>
        <v>958366.211</v>
      </c>
      <c r="AG18" s="177">
        <f t="shared" si="13"/>
        <v>977533.5352</v>
      </c>
      <c r="AH18" s="177">
        <f t="shared" si="13"/>
        <v>997084.2059</v>
      </c>
      <c r="AI18" s="177">
        <f t="shared" si="13"/>
        <v>1017025.89</v>
      </c>
      <c r="AJ18" s="177">
        <f t="shared" si="13"/>
        <v>1037366.408</v>
      </c>
      <c r="AK18" s="177">
        <f t="shared" si="13"/>
        <v>1058113.736</v>
      </c>
      <c r="AL18" s="177">
        <f t="shared" si="13"/>
        <v>1079276.011</v>
      </c>
      <c r="AM18" s="177">
        <f t="shared" si="13"/>
        <v>1100861.531</v>
      </c>
      <c r="AN18" s="177">
        <f t="shared" si="13"/>
        <v>1122878.762</v>
      </c>
      <c r="AO18" s="177">
        <f t="shared" si="13"/>
        <v>1145336.337</v>
      </c>
      <c r="AP18" s="177">
        <f t="shared" si="13"/>
        <v>1168243.064</v>
      </c>
      <c r="AQ18" s="177">
        <f t="shared" si="13"/>
        <v>1191607.925</v>
      </c>
      <c r="AR18" s="177">
        <f t="shared" si="13"/>
        <v>1215440.083</v>
      </c>
      <c r="AS18" s="177">
        <f t="shared" si="13"/>
        <v>1239748.885</v>
      </c>
      <c r="AT18" s="177">
        <f t="shared" si="13"/>
        <v>1264543.863</v>
      </c>
      <c r="AU18" s="177">
        <f t="shared" si="13"/>
        <v>1289834.74</v>
      </c>
      <c r="AV18" s="177">
        <f t="shared" si="13"/>
        <v>1315631.435</v>
      </c>
      <c r="AW18" s="67"/>
      <c r="AX18" s="90"/>
      <c r="AY18" s="90"/>
      <c r="AZ18" s="90"/>
      <c r="BA18" s="90"/>
      <c r="BB18" s="90"/>
      <c r="BC18" s="90"/>
      <c r="BD18" s="90"/>
      <c r="BE18" s="90"/>
      <c r="BF18" s="90"/>
      <c r="BG18" s="90"/>
    </row>
    <row r="19" ht="12.75" customHeight="1">
      <c r="B19" s="90"/>
      <c r="C19" s="90" t="s">
        <v>1175</v>
      </c>
      <c r="D19" s="90"/>
      <c r="E19" s="90"/>
      <c r="F19" s="90"/>
      <c r="G19" s="90"/>
      <c r="H19" s="90"/>
      <c r="I19" s="90"/>
      <c r="J19" s="177">
        <f t="shared" ref="J19:AV19" si="14">J384+J387-SUM(J16:J18)+J388</f>
        <v>27810.99</v>
      </c>
      <c r="K19" s="177">
        <f t="shared" si="14"/>
        <v>365785.04</v>
      </c>
      <c r="L19" s="177">
        <f t="shared" si="14"/>
        <v>297526.1744</v>
      </c>
      <c r="M19" s="177">
        <f t="shared" si="14"/>
        <v>307169.1339</v>
      </c>
      <c r="N19" s="177">
        <f t="shared" si="14"/>
        <v>311878.2242</v>
      </c>
      <c r="O19" s="177">
        <f t="shared" si="14"/>
        <v>465246.2505</v>
      </c>
      <c r="P19" s="177">
        <f t="shared" si="14"/>
        <v>470682.7268</v>
      </c>
      <c r="Q19" s="177">
        <f t="shared" si="14"/>
        <v>807688.1887</v>
      </c>
      <c r="R19" s="177">
        <f t="shared" si="14"/>
        <v>841924.2549</v>
      </c>
      <c r="S19" s="177">
        <f t="shared" si="14"/>
        <v>854809.2634</v>
      </c>
      <c r="T19" s="177">
        <f t="shared" si="14"/>
        <v>868460.5466</v>
      </c>
      <c r="U19" s="177">
        <f t="shared" si="14"/>
        <v>882293.1106</v>
      </c>
      <c r="V19" s="177">
        <f t="shared" si="14"/>
        <v>898566.5518</v>
      </c>
      <c r="W19" s="177">
        <f t="shared" si="14"/>
        <v>918172.0463</v>
      </c>
      <c r="X19" s="177">
        <f t="shared" si="14"/>
        <v>938164.5956</v>
      </c>
      <c r="Y19" s="177">
        <f t="shared" si="14"/>
        <v>958568.9736</v>
      </c>
      <c r="Z19" s="177">
        <f t="shared" si="14"/>
        <v>979393.5366</v>
      </c>
      <c r="AA19" s="177">
        <f t="shared" si="14"/>
        <v>1000646.809</v>
      </c>
      <c r="AB19" s="177">
        <f t="shared" si="14"/>
        <v>1021788.39</v>
      </c>
      <c r="AC19" s="177">
        <f t="shared" si="14"/>
        <v>1043830.711</v>
      </c>
      <c r="AD19" s="177">
        <f t="shared" si="14"/>
        <v>1066323.889</v>
      </c>
      <c r="AE19" s="177">
        <f t="shared" si="14"/>
        <v>1089277.169</v>
      </c>
      <c r="AF19" s="177">
        <f t="shared" si="14"/>
        <v>1193746.797</v>
      </c>
      <c r="AG19" s="177">
        <f t="shared" si="14"/>
        <v>1217477.328</v>
      </c>
      <c r="AH19" s="177">
        <f t="shared" si="14"/>
        <v>1241992.807</v>
      </c>
      <c r="AI19" s="177">
        <f t="shared" si="14"/>
        <v>1267011.906</v>
      </c>
      <c r="AJ19" s="177">
        <f t="shared" si="14"/>
        <v>1290865.63</v>
      </c>
      <c r="AK19" s="177">
        <f t="shared" si="14"/>
        <v>1316653.634</v>
      </c>
      <c r="AL19" s="177">
        <f t="shared" si="14"/>
        <v>1343015.537</v>
      </c>
      <c r="AM19" s="177">
        <f t="shared" si="14"/>
        <v>1369916.279</v>
      </c>
      <c r="AN19" s="177">
        <f t="shared" si="14"/>
        <v>1397366.758</v>
      </c>
      <c r="AO19" s="177">
        <f t="shared" si="14"/>
        <v>1425378.083</v>
      </c>
      <c r="AP19" s="177">
        <f t="shared" si="14"/>
        <v>1454103.315</v>
      </c>
      <c r="AQ19" s="177">
        <f t="shared" si="14"/>
        <v>1483442.061</v>
      </c>
      <c r="AR19" s="177">
        <f t="shared" si="14"/>
        <v>1513381.846</v>
      </c>
      <c r="AS19" s="177">
        <f t="shared" si="14"/>
        <v>1543934.833</v>
      </c>
      <c r="AT19" s="177">
        <f t="shared" si="14"/>
        <v>1575113.431</v>
      </c>
      <c r="AU19" s="177">
        <f t="shared" si="14"/>
        <v>1606930.298</v>
      </c>
      <c r="AV19" s="177">
        <f t="shared" si="14"/>
        <v>489259.3752</v>
      </c>
      <c r="AW19" s="67"/>
      <c r="AX19" s="90"/>
      <c r="AY19" s="90"/>
      <c r="AZ19" s="90"/>
      <c r="BA19" s="90"/>
      <c r="BB19" s="90"/>
      <c r="BC19" s="90"/>
      <c r="BD19" s="90"/>
      <c r="BE19" s="90"/>
      <c r="BF19" s="90"/>
      <c r="BG19" s="90"/>
    </row>
    <row r="20" ht="12.75" customHeight="1">
      <c r="B20" s="90"/>
      <c r="C20" s="90" t="s">
        <v>465</v>
      </c>
      <c r="D20" s="90"/>
      <c r="E20" s="90"/>
      <c r="F20" s="90"/>
      <c r="G20" s="90"/>
      <c r="H20" s="90"/>
      <c r="I20" s="90"/>
      <c r="J20" s="177">
        <v>0.0</v>
      </c>
      <c r="K20" s="177">
        <f t="shared" ref="K20:AV20" si="15">K394</f>
        <v>1497.16</v>
      </c>
      <c r="L20" s="177">
        <f t="shared" si="15"/>
        <v>1497.16</v>
      </c>
      <c r="M20" s="177">
        <f t="shared" si="15"/>
        <v>1497.16</v>
      </c>
      <c r="N20" s="177">
        <f t="shared" si="15"/>
        <v>3997.165</v>
      </c>
      <c r="O20" s="177">
        <f t="shared" si="15"/>
        <v>3997.165</v>
      </c>
      <c r="P20" s="177" t="str">
        <f t="shared" si="15"/>
        <v/>
      </c>
      <c r="Q20" s="177" t="str">
        <f t="shared" si="15"/>
        <v/>
      </c>
      <c r="R20" s="177" t="str">
        <f t="shared" si="15"/>
        <v/>
      </c>
      <c r="S20" s="177" t="str">
        <f t="shared" si="15"/>
        <v/>
      </c>
      <c r="T20" s="177" t="str">
        <f t="shared" si="15"/>
        <v/>
      </c>
      <c r="U20" s="177" t="str">
        <f t="shared" si="15"/>
        <v/>
      </c>
      <c r="V20" s="177" t="str">
        <f t="shared" si="15"/>
        <v/>
      </c>
      <c r="W20" s="177" t="str">
        <f t="shared" si="15"/>
        <v/>
      </c>
      <c r="X20" s="177" t="str">
        <f t="shared" si="15"/>
        <v/>
      </c>
      <c r="Y20" s="177" t="str">
        <f t="shared" si="15"/>
        <v/>
      </c>
      <c r="Z20" s="177" t="str">
        <f t="shared" si="15"/>
        <v/>
      </c>
      <c r="AA20" s="177" t="str">
        <f t="shared" si="15"/>
        <v/>
      </c>
      <c r="AB20" s="177" t="str">
        <f t="shared" si="15"/>
        <v/>
      </c>
      <c r="AC20" s="177" t="str">
        <f t="shared" si="15"/>
        <v/>
      </c>
      <c r="AD20" s="177" t="str">
        <f t="shared" si="15"/>
        <v/>
      </c>
      <c r="AE20" s="177" t="str">
        <f t="shared" si="15"/>
        <v/>
      </c>
      <c r="AF20" s="177" t="str">
        <f t="shared" si="15"/>
        <v/>
      </c>
      <c r="AG20" s="177" t="str">
        <f t="shared" si="15"/>
        <v/>
      </c>
      <c r="AH20" s="177" t="str">
        <f t="shared" si="15"/>
        <v/>
      </c>
      <c r="AI20" s="177" t="str">
        <f t="shared" si="15"/>
        <v/>
      </c>
      <c r="AJ20" s="177" t="str">
        <f t="shared" si="15"/>
        <v/>
      </c>
      <c r="AK20" s="177" t="str">
        <f t="shared" si="15"/>
        <v/>
      </c>
      <c r="AL20" s="177" t="str">
        <f t="shared" si="15"/>
        <v/>
      </c>
      <c r="AM20" s="177" t="str">
        <f t="shared" si="15"/>
        <v/>
      </c>
      <c r="AN20" s="177" t="str">
        <f t="shared" si="15"/>
        <v/>
      </c>
      <c r="AO20" s="177" t="str">
        <f t="shared" si="15"/>
        <v/>
      </c>
      <c r="AP20" s="177" t="str">
        <f t="shared" si="15"/>
        <v/>
      </c>
      <c r="AQ20" s="177" t="str">
        <f t="shared" si="15"/>
        <v/>
      </c>
      <c r="AR20" s="177" t="str">
        <f t="shared" si="15"/>
        <v/>
      </c>
      <c r="AS20" s="177" t="str">
        <f t="shared" si="15"/>
        <v/>
      </c>
      <c r="AT20" s="177" t="str">
        <f t="shared" si="15"/>
        <v/>
      </c>
      <c r="AU20" s="177" t="str">
        <f t="shared" si="15"/>
        <v/>
      </c>
      <c r="AV20" s="177" t="str">
        <f t="shared" si="15"/>
        <v/>
      </c>
      <c r="AW20" s="67"/>
      <c r="AX20" s="90"/>
      <c r="AY20" s="90"/>
      <c r="AZ20" s="90"/>
      <c r="BA20" s="90"/>
      <c r="BB20" s="90"/>
      <c r="BC20" s="90"/>
      <c r="BD20" s="90"/>
      <c r="BE20" s="90"/>
      <c r="BF20" s="90"/>
      <c r="BG20" s="90"/>
    </row>
    <row r="21" ht="12.75" customHeight="1">
      <c r="B21" s="90"/>
      <c r="C21" s="87" t="s">
        <v>1176</v>
      </c>
      <c r="D21" s="87"/>
      <c r="E21" s="87"/>
      <c r="F21" s="87"/>
      <c r="G21" s="87"/>
      <c r="H21" s="87"/>
      <c r="I21" s="87"/>
      <c r="J21" s="204">
        <f>SUM(J390:J395)</f>
        <v>0</v>
      </c>
      <c r="K21" s="204">
        <f t="shared" ref="K21:AV21" si="16">SUM(K390:K393,K395)</f>
        <v>4889.92</v>
      </c>
      <c r="L21" s="204">
        <f t="shared" si="16"/>
        <v>48405.2236</v>
      </c>
      <c r="M21" s="204" t="str">
        <f t="shared" si="16"/>
        <v>#REF!</v>
      </c>
      <c r="N21" s="204" t="str">
        <f t="shared" si="16"/>
        <v>#REF!</v>
      </c>
      <c r="O21" s="204" t="str">
        <f t="shared" si="16"/>
        <v>#REF!</v>
      </c>
      <c r="P21" s="204" t="str">
        <f t="shared" si="16"/>
        <v>#REF!</v>
      </c>
      <c r="Q21" s="204" t="str">
        <f t="shared" si="16"/>
        <v>#REF!</v>
      </c>
      <c r="R21" s="204" t="str">
        <f t="shared" si="16"/>
        <v>#REF!</v>
      </c>
      <c r="S21" s="204" t="str">
        <f t="shared" si="16"/>
        <v>#REF!</v>
      </c>
      <c r="T21" s="204" t="str">
        <f t="shared" si="16"/>
        <v>#REF!</v>
      </c>
      <c r="U21" s="204" t="str">
        <f t="shared" si="16"/>
        <v>#REF!</v>
      </c>
      <c r="V21" s="204" t="str">
        <f t="shared" si="16"/>
        <v>#REF!</v>
      </c>
      <c r="W21" s="204" t="str">
        <f t="shared" si="16"/>
        <v>#REF!</v>
      </c>
      <c r="X21" s="204" t="str">
        <f t="shared" si="16"/>
        <v>#REF!</v>
      </c>
      <c r="Y21" s="204" t="str">
        <f t="shared" si="16"/>
        <v>#REF!</v>
      </c>
      <c r="Z21" s="204" t="str">
        <f t="shared" si="16"/>
        <v>#REF!</v>
      </c>
      <c r="AA21" s="204" t="str">
        <f t="shared" si="16"/>
        <v>#REF!</v>
      </c>
      <c r="AB21" s="204" t="str">
        <f t="shared" si="16"/>
        <v>#REF!</v>
      </c>
      <c r="AC21" s="204" t="str">
        <f t="shared" si="16"/>
        <v>#REF!</v>
      </c>
      <c r="AD21" s="204" t="str">
        <f t="shared" si="16"/>
        <v>#REF!</v>
      </c>
      <c r="AE21" s="204" t="str">
        <f t="shared" si="16"/>
        <v>#REF!</v>
      </c>
      <c r="AF21" s="204" t="str">
        <f t="shared" si="16"/>
        <v>#REF!</v>
      </c>
      <c r="AG21" s="204" t="str">
        <f t="shared" si="16"/>
        <v>#REF!</v>
      </c>
      <c r="AH21" s="204" t="str">
        <f t="shared" si="16"/>
        <v>#REF!</v>
      </c>
      <c r="AI21" s="204" t="str">
        <f t="shared" si="16"/>
        <v>#REF!</v>
      </c>
      <c r="AJ21" s="204" t="str">
        <f t="shared" si="16"/>
        <v>#REF!</v>
      </c>
      <c r="AK21" s="204" t="str">
        <f t="shared" si="16"/>
        <v>#REF!</v>
      </c>
      <c r="AL21" s="204" t="str">
        <f t="shared" si="16"/>
        <v>#REF!</v>
      </c>
      <c r="AM21" s="204" t="str">
        <f t="shared" si="16"/>
        <v>#REF!</v>
      </c>
      <c r="AN21" s="204" t="str">
        <f t="shared" si="16"/>
        <v>#REF!</v>
      </c>
      <c r="AO21" s="204" t="str">
        <f t="shared" si="16"/>
        <v>#REF!</v>
      </c>
      <c r="AP21" s="204" t="str">
        <f t="shared" si="16"/>
        <v>#REF!</v>
      </c>
      <c r="AQ21" s="204" t="str">
        <f t="shared" si="16"/>
        <v>#REF!</v>
      </c>
      <c r="AR21" s="204" t="str">
        <f t="shared" si="16"/>
        <v>#REF!</v>
      </c>
      <c r="AS21" s="204" t="str">
        <f t="shared" si="16"/>
        <v>#REF!</v>
      </c>
      <c r="AT21" s="204" t="str">
        <f t="shared" si="16"/>
        <v>#REF!</v>
      </c>
      <c r="AU21" s="204" t="str">
        <f t="shared" si="16"/>
        <v>#REF!</v>
      </c>
      <c r="AV21" s="204" t="str">
        <f t="shared" si="16"/>
        <v>#REF!</v>
      </c>
      <c r="AW21" s="67"/>
      <c r="AX21" s="90"/>
      <c r="AY21" s="90"/>
      <c r="AZ21" s="90"/>
      <c r="BA21" s="90"/>
      <c r="BB21" s="90"/>
      <c r="BC21" s="90"/>
      <c r="BD21" s="90"/>
      <c r="BE21" s="90"/>
      <c r="BF21" s="90"/>
      <c r="BG21" s="90"/>
    </row>
    <row r="22" ht="12.75" customHeight="1">
      <c r="A22" s="67"/>
      <c r="B22" s="67" t="s">
        <v>231</v>
      </c>
      <c r="C22" s="67"/>
      <c r="D22" s="67"/>
      <c r="E22" s="67"/>
      <c r="F22" s="67"/>
      <c r="G22" s="67"/>
      <c r="H22" s="67"/>
      <c r="I22" s="67"/>
      <c r="J22" s="115">
        <f t="shared" ref="J22:AV22" si="17">SUM(J14:J21)</f>
        <v>426916.83</v>
      </c>
      <c r="K22" s="115">
        <f t="shared" si="17"/>
        <v>3339800.81</v>
      </c>
      <c r="L22" s="115">
        <f t="shared" si="17"/>
        <v>3378730.52</v>
      </c>
      <c r="M22" s="115" t="str">
        <f t="shared" si="17"/>
        <v>#REF!</v>
      </c>
      <c r="N22" s="115" t="str">
        <f t="shared" si="17"/>
        <v>#REF!</v>
      </c>
      <c r="O22" s="115" t="str">
        <f t="shared" si="17"/>
        <v>#REF!</v>
      </c>
      <c r="P22" s="115" t="str">
        <f t="shared" si="17"/>
        <v>#REF!</v>
      </c>
      <c r="Q22" s="115" t="str">
        <f t="shared" si="17"/>
        <v>#REF!</v>
      </c>
      <c r="R22" s="115" t="str">
        <f t="shared" si="17"/>
        <v>#REF!</v>
      </c>
      <c r="S22" s="115" t="str">
        <f t="shared" si="17"/>
        <v>#REF!</v>
      </c>
      <c r="T22" s="115" t="str">
        <f t="shared" si="17"/>
        <v>#REF!</v>
      </c>
      <c r="U22" s="115" t="str">
        <f t="shared" si="17"/>
        <v>#REF!</v>
      </c>
      <c r="V22" s="115" t="str">
        <f t="shared" si="17"/>
        <v>#REF!</v>
      </c>
      <c r="W22" s="115" t="str">
        <f t="shared" si="17"/>
        <v>#REF!</v>
      </c>
      <c r="X22" s="115" t="str">
        <f t="shared" si="17"/>
        <v>#REF!</v>
      </c>
      <c r="Y22" s="115" t="str">
        <f t="shared" si="17"/>
        <v>#REF!</v>
      </c>
      <c r="Z22" s="115" t="str">
        <f t="shared" si="17"/>
        <v>#REF!</v>
      </c>
      <c r="AA22" s="115" t="str">
        <f t="shared" si="17"/>
        <v>#REF!</v>
      </c>
      <c r="AB22" s="115" t="str">
        <f t="shared" si="17"/>
        <v>#REF!</v>
      </c>
      <c r="AC22" s="115" t="str">
        <f t="shared" si="17"/>
        <v>#REF!</v>
      </c>
      <c r="AD22" s="115" t="str">
        <f t="shared" si="17"/>
        <v>#REF!</v>
      </c>
      <c r="AE22" s="115" t="str">
        <f t="shared" si="17"/>
        <v>#REF!</v>
      </c>
      <c r="AF22" s="115" t="str">
        <f t="shared" si="17"/>
        <v>#REF!</v>
      </c>
      <c r="AG22" s="115" t="str">
        <f t="shared" si="17"/>
        <v>#REF!</v>
      </c>
      <c r="AH22" s="115" t="str">
        <f t="shared" si="17"/>
        <v>#REF!</v>
      </c>
      <c r="AI22" s="115" t="str">
        <f t="shared" si="17"/>
        <v>#REF!</v>
      </c>
      <c r="AJ22" s="115" t="str">
        <f t="shared" si="17"/>
        <v>#REF!</v>
      </c>
      <c r="AK22" s="115" t="str">
        <f t="shared" si="17"/>
        <v>#REF!</v>
      </c>
      <c r="AL22" s="115" t="str">
        <f t="shared" si="17"/>
        <v>#REF!</v>
      </c>
      <c r="AM22" s="115" t="str">
        <f t="shared" si="17"/>
        <v>#REF!</v>
      </c>
      <c r="AN22" s="115" t="str">
        <f t="shared" si="17"/>
        <v>#REF!</v>
      </c>
      <c r="AO22" s="115" t="str">
        <f t="shared" si="17"/>
        <v>#REF!</v>
      </c>
      <c r="AP22" s="115" t="str">
        <f t="shared" si="17"/>
        <v>#REF!</v>
      </c>
      <c r="AQ22" s="115" t="str">
        <f t="shared" si="17"/>
        <v>#REF!</v>
      </c>
      <c r="AR22" s="115" t="str">
        <f t="shared" si="17"/>
        <v>#REF!</v>
      </c>
      <c r="AS22" s="115" t="str">
        <f t="shared" si="17"/>
        <v>#REF!</v>
      </c>
      <c r="AT22" s="115" t="str">
        <f t="shared" si="17"/>
        <v>#REF!</v>
      </c>
      <c r="AU22" s="115" t="str">
        <f t="shared" si="17"/>
        <v>#REF!</v>
      </c>
      <c r="AV22" s="115" t="str">
        <f t="shared" si="17"/>
        <v>#VALUE!</v>
      </c>
      <c r="AW22" s="67"/>
      <c r="AX22" s="67"/>
      <c r="AY22" s="67"/>
      <c r="AZ22" s="67"/>
      <c r="BA22" s="67"/>
      <c r="BB22" s="67"/>
      <c r="BC22" s="67"/>
      <c r="BD22" s="67"/>
      <c r="BE22" s="67"/>
      <c r="BF22" s="67"/>
      <c r="BG22" s="67"/>
    </row>
    <row r="23" ht="12.75" customHeight="1">
      <c r="B23" s="90"/>
      <c r="C23" s="90"/>
      <c r="D23" s="90"/>
      <c r="E23" s="90"/>
      <c r="F23" s="90"/>
      <c r="G23" s="90"/>
      <c r="H23" s="90"/>
      <c r="I23" s="90"/>
      <c r="J23" s="115"/>
      <c r="K23" s="115"/>
      <c r="L23" s="113"/>
      <c r="M23" s="113"/>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67"/>
      <c r="AX23" s="90"/>
      <c r="AY23" s="90"/>
      <c r="AZ23" s="90"/>
      <c r="BA23" s="90"/>
      <c r="BB23" s="90"/>
      <c r="BC23" s="90"/>
      <c r="BD23" s="90"/>
      <c r="BE23" s="90"/>
      <c r="BF23" s="90"/>
      <c r="BG23" s="90"/>
    </row>
    <row r="24" ht="12.75" customHeight="1">
      <c r="B24" s="67" t="s">
        <v>194</v>
      </c>
      <c r="C24" s="90"/>
      <c r="D24" s="90"/>
      <c r="E24" s="90"/>
      <c r="F24" s="90"/>
      <c r="G24" s="90"/>
      <c r="H24" s="90"/>
      <c r="I24" s="90"/>
      <c r="J24" s="115">
        <f t="shared" ref="J24:AV24" si="18">J11-J22</f>
        <v>-114416.83</v>
      </c>
      <c r="K24" s="115">
        <f t="shared" si="18"/>
        <v>588380.04</v>
      </c>
      <c r="L24" s="115">
        <f t="shared" si="18"/>
        <v>-0.0000000004656612873</v>
      </c>
      <c r="M24" s="115" t="str">
        <f t="shared" si="18"/>
        <v>#REF!</v>
      </c>
      <c r="N24" s="115" t="str">
        <f t="shared" si="18"/>
        <v>#REF!</v>
      </c>
      <c r="O24" s="115" t="str">
        <f t="shared" si="18"/>
        <v>#REF!</v>
      </c>
      <c r="P24" s="115" t="str">
        <f t="shared" si="18"/>
        <v>#REF!</v>
      </c>
      <c r="Q24" s="115" t="str">
        <f t="shared" si="18"/>
        <v>#REF!</v>
      </c>
      <c r="R24" s="115" t="str">
        <f t="shared" si="18"/>
        <v>#REF!</v>
      </c>
      <c r="S24" s="115" t="str">
        <f t="shared" si="18"/>
        <v>#REF!</v>
      </c>
      <c r="T24" s="115" t="str">
        <f t="shared" si="18"/>
        <v>#REF!</v>
      </c>
      <c r="U24" s="115" t="str">
        <f t="shared" si="18"/>
        <v>#REF!</v>
      </c>
      <c r="V24" s="115" t="str">
        <f t="shared" si="18"/>
        <v>#REF!</v>
      </c>
      <c r="W24" s="115" t="str">
        <f t="shared" si="18"/>
        <v>#REF!</v>
      </c>
      <c r="X24" s="115" t="str">
        <f t="shared" si="18"/>
        <v>#REF!</v>
      </c>
      <c r="Y24" s="115" t="str">
        <f t="shared" si="18"/>
        <v>#REF!</v>
      </c>
      <c r="Z24" s="115" t="str">
        <f t="shared" si="18"/>
        <v>#REF!</v>
      </c>
      <c r="AA24" s="115" t="str">
        <f t="shared" si="18"/>
        <v>#REF!</v>
      </c>
      <c r="AB24" s="115" t="str">
        <f t="shared" si="18"/>
        <v>#REF!</v>
      </c>
      <c r="AC24" s="115" t="str">
        <f t="shared" si="18"/>
        <v>#REF!</v>
      </c>
      <c r="AD24" s="115" t="str">
        <f t="shared" si="18"/>
        <v>#REF!</v>
      </c>
      <c r="AE24" s="115" t="str">
        <f t="shared" si="18"/>
        <v>#REF!</v>
      </c>
      <c r="AF24" s="115" t="str">
        <f t="shared" si="18"/>
        <v>#REF!</v>
      </c>
      <c r="AG24" s="115" t="str">
        <f t="shared" si="18"/>
        <v>#REF!</v>
      </c>
      <c r="AH24" s="115" t="str">
        <f t="shared" si="18"/>
        <v>#REF!</v>
      </c>
      <c r="AI24" s="115" t="str">
        <f t="shared" si="18"/>
        <v>#REF!</v>
      </c>
      <c r="AJ24" s="115" t="str">
        <f t="shared" si="18"/>
        <v>#REF!</v>
      </c>
      <c r="AK24" s="115" t="str">
        <f t="shared" si="18"/>
        <v>#REF!</v>
      </c>
      <c r="AL24" s="115" t="str">
        <f t="shared" si="18"/>
        <v>#REF!</v>
      </c>
      <c r="AM24" s="115" t="str">
        <f t="shared" si="18"/>
        <v>#REF!</v>
      </c>
      <c r="AN24" s="115" t="str">
        <f t="shared" si="18"/>
        <v>#REF!</v>
      </c>
      <c r="AO24" s="115" t="str">
        <f t="shared" si="18"/>
        <v>#REF!</v>
      </c>
      <c r="AP24" s="115" t="str">
        <f t="shared" si="18"/>
        <v>#REF!</v>
      </c>
      <c r="AQ24" s="115" t="str">
        <f t="shared" si="18"/>
        <v>#REF!</v>
      </c>
      <c r="AR24" s="115" t="str">
        <f t="shared" si="18"/>
        <v>#REF!</v>
      </c>
      <c r="AS24" s="115" t="str">
        <f t="shared" si="18"/>
        <v>#REF!</v>
      </c>
      <c r="AT24" s="115" t="str">
        <f t="shared" si="18"/>
        <v>#REF!</v>
      </c>
      <c r="AU24" s="115" t="str">
        <f t="shared" si="18"/>
        <v>#REF!</v>
      </c>
      <c r="AV24" s="115" t="str">
        <f t="shared" si="18"/>
        <v>#VALUE!</v>
      </c>
      <c r="AW24" s="67"/>
      <c r="AX24" s="90"/>
      <c r="AY24" s="90"/>
      <c r="AZ24" s="90"/>
      <c r="BA24" s="90"/>
      <c r="BB24" s="90"/>
      <c r="BC24" s="90"/>
      <c r="BD24" s="90"/>
      <c r="BE24" s="90"/>
      <c r="BF24" s="90"/>
      <c r="BG24" s="90"/>
    </row>
    <row r="25" ht="12.75" customHeight="1">
      <c r="B25" s="67"/>
      <c r="C25" s="67" t="s">
        <v>195</v>
      </c>
      <c r="D25" s="90"/>
      <c r="E25" s="90"/>
      <c r="F25" s="90"/>
      <c r="G25" s="90"/>
      <c r="H25" s="90"/>
      <c r="I25" s="90"/>
      <c r="J25" s="115">
        <f>J24</f>
        <v>-114416.83</v>
      </c>
      <c r="K25" s="115">
        <f t="shared" ref="K25:AV25" si="19">K24+J25</f>
        <v>473963.21</v>
      </c>
      <c r="L25" s="115">
        <f t="shared" si="19"/>
        <v>473963.21</v>
      </c>
      <c r="M25" s="115" t="str">
        <f t="shared" si="19"/>
        <v>#REF!</v>
      </c>
      <c r="N25" s="115" t="str">
        <f t="shared" si="19"/>
        <v>#REF!</v>
      </c>
      <c r="O25" s="115" t="str">
        <f t="shared" si="19"/>
        <v>#REF!</v>
      </c>
      <c r="P25" s="115" t="str">
        <f t="shared" si="19"/>
        <v>#REF!</v>
      </c>
      <c r="Q25" s="115" t="str">
        <f t="shared" si="19"/>
        <v>#REF!</v>
      </c>
      <c r="R25" s="115" t="str">
        <f t="shared" si="19"/>
        <v>#REF!</v>
      </c>
      <c r="S25" s="115" t="str">
        <f t="shared" si="19"/>
        <v>#REF!</v>
      </c>
      <c r="T25" s="115" t="str">
        <f t="shared" si="19"/>
        <v>#REF!</v>
      </c>
      <c r="U25" s="115" t="str">
        <f t="shared" si="19"/>
        <v>#REF!</v>
      </c>
      <c r="V25" s="115" t="str">
        <f t="shared" si="19"/>
        <v>#REF!</v>
      </c>
      <c r="W25" s="115" t="str">
        <f t="shared" si="19"/>
        <v>#REF!</v>
      </c>
      <c r="X25" s="115" t="str">
        <f t="shared" si="19"/>
        <v>#REF!</v>
      </c>
      <c r="Y25" s="115" t="str">
        <f t="shared" si="19"/>
        <v>#REF!</v>
      </c>
      <c r="Z25" s="115" t="str">
        <f t="shared" si="19"/>
        <v>#REF!</v>
      </c>
      <c r="AA25" s="115" t="str">
        <f t="shared" si="19"/>
        <v>#REF!</v>
      </c>
      <c r="AB25" s="115" t="str">
        <f t="shared" si="19"/>
        <v>#REF!</v>
      </c>
      <c r="AC25" s="115" t="str">
        <f t="shared" si="19"/>
        <v>#REF!</v>
      </c>
      <c r="AD25" s="115" t="str">
        <f t="shared" si="19"/>
        <v>#REF!</v>
      </c>
      <c r="AE25" s="115" t="str">
        <f t="shared" si="19"/>
        <v>#REF!</v>
      </c>
      <c r="AF25" s="115" t="str">
        <f t="shared" si="19"/>
        <v>#REF!</v>
      </c>
      <c r="AG25" s="115" t="str">
        <f t="shared" si="19"/>
        <v>#REF!</v>
      </c>
      <c r="AH25" s="115" t="str">
        <f t="shared" si="19"/>
        <v>#REF!</v>
      </c>
      <c r="AI25" s="115" t="str">
        <f t="shared" si="19"/>
        <v>#REF!</v>
      </c>
      <c r="AJ25" s="115" t="str">
        <f t="shared" si="19"/>
        <v>#REF!</v>
      </c>
      <c r="AK25" s="115" t="str">
        <f t="shared" si="19"/>
        <v>#REF!</v>
      </c>
      <c r="AL25" s="115" t="str">
        <f t="shared" si="19"/>
        <v>#REF!</v>
      </c>
      <c r="AM25" s="115" t="str">
        <f t="shared" si="19"/>
        <v>#REF!</v>
      </c>
      <c r="AN25" s="115" t="str">
        <f t="shared" si="19"/>
        <v>#REF!</v>
      </c>
      <c r="AO25" s="115" t="str">
        <f t="shared" si="19"/>
        <v>#REF!</v>
      </c>
      <c r="AP25" s="115" t="str">
        <f t="shared" si="19"/>
        <v>#REF!</v>
      </c>
      <c r="AQ25" s="115" t="str">
        <f t="shared" si="19"/>
        <v>#REF!</v>
      </c>
      <c r="AR25" s="115" t="str">
        <f t="shared" si="19"/>
        <v>#REF!</v>
      </c>
      <c r="AS25" s="115" t="str">
        <f t="shared" si="19"/>
        <v>#REF!</v>
      </c>
      <c r="AT25" s="115" t="str">
        <f t="shared" si="19"/>
        <v>#REF!</v>
      </c>
      <c r="AU25" s="115" t="str">
        <f t="shared" si="19"/>
        <v>#REF!</v>
      </c>
      <c r="AV25" s="115" t="str">
        <f t="shared" si="19"/>
        <v>#VALUE!</v>
      </c>
      <c r="AW25" s="67"/>
      <c r="AX25" s="90"/>
      <c r="AY25" s="90"/>
      <c r="AZ25" s="90"/>
      <c r="BA25" s="90"/>
      <c r="BB25" s="90"/>
      <c r="BC25" s="90"/>
      <c r="BD25" s="90"/>
      <c r="BE25" s="90"/>
      <c r="BF25" s="90"/>
      <c r="BG25" s="90"/>
    </row>
    <row r="26" ht="12.75" customHeight="1">
      <c r="B26" s="67"/>
      <c r="C26" s="67" t="s">
        <v>1177</v>
      </c>
      <c r="D26" s="90"/>
      <c r="E26" s="90"/>
      <c r="F26" s="90"/>
      <c r="G26" s="90"/>
      <c r="H26" s="90"/>
      <c r="I26" s="90"/>
      <c r="J26" s="115"/>
      <c r="K26" s="187">
        <f t="shared" ref="K26:AV26" si="20">K25/K22</f>
        <v>0.1419136161</v>
      </c>
      <c r="L26" s="187">
        <f t="shared" si="20"/>
        <v>0.1402784884</v>
      </c>
      <c r="M26" s="187" t="str">
        <f t="shared" si="20"/>
        <v>#REF!</v>
      </c>
      <c r="N26" s="187" t="str">
        <f t="shared" si="20"/>
        <v>#REF!</v>
      </c>
      <c r="O26" s="187" t="str">
        <f t="shared" si="20"/>
        <v>#REF!</v>
      </c>
      <c r="P26" s="187" t="str">
        <f t="shared" si="20"/>
        <v>#REF!</v>
      </c>
      <c r="Q26" s="187" t="str">
        <f t="shared" si="20"/>
        <v>#REF!</v>
      </c>
      <c r="R26" s="187" t="str">
        <f t="shared" si="20"/>
        <v>#REF!</v>
      </c>
      <c r="S26" s="187" t="str">
        <f t="shared" si="20"/>
        <v>#REF!</v>
      </c>
      <c r="T26" s="187" t="str">
        <f t="shared" si="20"/>
        <v>#REF!</v>
      </c>
      <c r="U26" s="187" t="str">
        <f t="shared" si="20"/>
        <v>#REF!</v>
      </c>
      <c r="V26" s="187" t="str">
        <f t="shared" si="20"/>
        <v>#REF!</v>
      </c>
      <c r="W26" s="187" t="str">
        <f t="shared" si="20"/>
        <v>#REF!</v>
      </c>
      <c r="X26" s="187" t="str">
        <f t="shared" si="20"/>
        <v>#REF!</v>
      </c>
      <c r="Y26" s="187" t="str">
        <f t="shared" si="20"/>
        <v>#REF!</v>
      </c>
      <c r="Z26" s="187" t="str">
        <f t="shared" si="20"/>
        <v>#REF!</v>
      </c>
      <c r="AA26" s="187" t="str">
        <f t="shared" si="20"/>
        <v>#REF!</v>
      </c>
      <c r="AB26" s="187" t="str">
        <f t="shared" si="20"/>
        <v>#REF!</v>
      </c>
      <c r="AC26" s="187" t="str">
        <f t="shared" si="20"/>
        <v>#REF!</v>
      </c>
      <c r="AD26" s="187" t="str">
        <f t="shared" si="20"/>
        <v>#REF!</v>
      </c>
      <c r="AE26" s="187" t="str">
        <f t="shared" si="20"/>
        <v>#REF!</v>
      </c>
      <c r="AF26" s="187" t="str">
        <f t="shared" si="20"/>
        <v>#REF!</v>
      </c>
      <c r="AG26" s="187" t="str">
        <f t="shared" si="20"/>
        <v>#REF!</v>
      </c>
      <c r="AH26" s="187" t="str">
        <f t="shared" si="20"/>
        <v>#REF!</v>
      </c>
      <c r="AI26" s="187" t="str">
        <f t="shared" si="20"/>
        <v>#REF!</v>
      </c>
      <c r="AJ26" s="187" t="str">
        <f t="shared" si="20"/>
        <v>#REF!</v>
      </c>
      <c r="AK26" s="187" t="str">
        <f t="shared" si="20"/>
        <v>#REF!</v>
      </c>
      <c r="AL26" s="187" t="str">
        <f t="shared" si="20"/>
        <v>#REF!</v>
      </c>
      <c r="AM26" s="187" t="str">
        <f t="shared" si="20"/>
        <v>#REF!</v>
      </c>
      <c r="AN26" s="187" t="str">
        <f t="shared" si="20"/>
        <v>#REF!</v>
      </c>
      <c r="AO26" s="187" t="str">
        <f t="shared" si="20"/>
        <v>#REF!</v>
      </c>
      <c r="AP26" s="187" t="str">
        <f t="shared" si="20"/>
        <v>#REF!</v>
      </c>
      <c r="AQ26" s="187" t="str">
        <f t="shared" si="20"/>
        <v>#REF!</v>
      </c>
      <c r="AR26" s="187" t="str">
        <f t="shared" si="20"/>
        <v>#REF!</v>
      </c>
      <c r="AS26" s="187" t="str">
        <f t="shared" si="20"/>
        <v>#REF!</v>
      </c>
      <c r="AT26" s="187" t="str">
        <f t="shared" si="20"/>
        <v>#REF!</v>
      </c>
      <c r="AU26" s="187" t="str">
        <f t="shared" si="20"/>
        <v>#REF!</v>
      </c>
      <c r="AV26" s="187" t="str">
        <f t="shared" si="20"/>
        <v>#VALUE!</v>
      </c>
      <c r="AW26" s="67"/>
      <c r="AX26" s="90"/>
      <c r="AY26" s="90"/>
      <c r="AZ26" s="90"/>
      <c r="BA26" s="90"/>
      <c r="BB26" s="90"/>
      <c r="BC26" s="90"/>
      <c r="BD26" s="90"/>
      <c r="BE26" s="90"/>
      <c r="BF26" s="90"/>
      <c r="BG26" s="90"/>
    </row>
    <row r="27" ht="12.75" customHeight="1">
      <c r="B27" s="67"/>
      <c r="C27" s="67"/>
      <c r="D27" s="90"/>
      <c r="E27" s="90"/>
      <c r="F27" s="90"/>
      <c r="G27" s="90"/>
      <c r="H27" s="90"/>
      <c r="I27" s="90"/>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67"/>
      <c r="AX27" s="90"/>
      <c r="AY27" s="90"/>
      <c r="AZ27" s="90"/>
      <c r="BA27" s="90"/>
      <c r="BB27" s="90"/>
      <c r="BC27" s="90"/>
      <c r="BD27" s="90"/>
      <c r="BE27" s="90"/>
      <c r="BF27" s="90"/>
      <c r="BG27" s="90"/>
    </row>
    <row r="28" ht="12.75" customHeight="1">
      <c r="A28" s="67"/>
      <c r="B28" s="67" t="s">
        <v>1233</v>
      </c>
      <c r="C28" s="67"/>
      <c r="D28" s="67"/>
      <c r="E28" s="67"/>
      <c r="F28" s="67"/>
      <c r="G28" s="67"/>
      <c r="H28" s="67"/>
      <c r="I28" s="67"/>
      <c r="J28" s="115">
        <f>J25</f>
        <v>-114416.83</v>
      </c>
      <c r="K28" s="115">
        <f t="shared" ref="K28:AV28" si="21">J28+K24+K395</f>
        <v>473963.21</v>
      </c>
      <c r="L28" s="115">
        <f t="shared" si="21"/>
        <v>515368.4336</v>
      </c>
      <c r="M28" s="115" t="str">
        <f t="shared" si="21"/>
        <v>#REF!</v>
      </c>
      <c r="N28" s="115" t="str">
        <f t="shared" si="21"/>
        <v>#REF!</v>
      </c>
      <c r="O28" s="115" t="str">
        <f t="shared" si="21"/>
        <v>#REF!</v>
      </c>
      <c r="P28" s="115" t="str">
        <f t="shared" si="21"/>
        <v>#REF!</v>
      </c>
      <c r="Q28" s="115" t="str">
        <f t="shared" si="21"/>
        <v>#REF!</v>
      </c>
      <c r="R28" s="115" t="str">
        <f t="shared" si="21"/>
        <v>#REF!</v>
      </c>
      <c r="S28" s="115" t="str">
        <f t="shared" si="21"/>
        <v>#REF!</v>
      </c>
      <c r="T28" s="115" t="str">
        <f t="shared" si="21"/>
        <v>#REF!</v>
      </c>
      <c r="U28" s="115" t="str">
        <f t="shared" si="21"/>
        <v>#REF!</v>
      </c>
      <c r="V28" s="115" t="str">
        <f t="shared" si="21"/>
        <v>#REF!</v>
      </c>
      <c r="W28" s="115" t="str">
        <f t="shared" si="21"/>
        <v>#REF!</v>
      </c>
      <c r="X28" s="115" t="str">
        <f t="shared" si="21"/>
        <v>#REF!</v>
      </c>
      <c r="Y28" s="115" t="str">
        <f t="shared" si="21"/>
        <v>#REF!</v>
      </c>
      <c r="Z28" s="115" t="str">
        <f t="shared" si="21"/>
        <v>#REF!</v>
      </c>
      <c r="AA28" s="115" t="str">
        <f t="shared" si="21"/>
        <v>#REF!</v>
      </c>
      <c r="AB28" s="115" t="str">
        <f t="shared" si="21"/>
        <v>#REF!</v>
      </c>
      <c r="AC28" s="115" t="str">
        <f t="shared" si="21"/>
        <v>#REF!</v>
      </c>
      <c r="AD28" s="115" t="str">
        <f t="shared" si="21"/>
        <v>#REF!</v>
      </c>
      <c r="AE28" s="115" t="str">
        <f t="shared" si="21"/>
        <v>#REF!</v>
      </c>
      <c r="AF28" s="115" t="str">
        <f t="shared" si="21"/>
        <v>#REF!</v>
      </c>
      <c r="AG28" s="115" t="str">
        <f t="shared" si="21"/>
        <v>#REF!</v>
      </c>
      <c r="AH28" s="115" t="str">
        <f t="shared" si="21"/>
        <v>#REF!</v>
      </c>
      <c r="AI28" s="115" t="str">
        <f t="shared" si="21"/>
        <v>#REF!</v>
      </c>
      <c r="AJ28" s="115" t="str">
        <f t="shared" si="21"/>
        <v>#REF!</v>
      </c>
      <c r="AK28" s="115" t="str">
        <f t="shared" si="21"/>
        <v>#REF!</v>
      </c>
      <c r="AL28" s="115" t="str">
        <f t="shared" si="21"/>
        <v>#REF!</v>
      </c>
      <c r="AM28" s="115" t="str">
        <f t="shared" si="21"/>
        <v>#REF!</v>
      </c>
      <c r="AN28" s="115" t="str">
        <f t="shared" si="21"/>
        <v>#REF!</v>
      </c>
      <c r="AO28" s="115" t="str">
        <f t="shared" si="21"/>
        <v>#REF!</v>
      </c>
      <c r="AP28" s="115" t="str">
        <f t="shared" si="21"/>
        <v>#REF!</v>
      </c>
      <c r="AQ28" s="115" t="str">
        <f t="shared" si="21"/>
        <v>#REF!</v>
      </c>
      <c r="AR28" s="115" t="str">
        <f t="shared" si="21"/>
        <v>#REF!</v>
      </c>
      <c r="AS28" s="115" t="str">
        <f t="shared" si="21"/>
        <v>#REF!</v>
      </c>
      <c r="AT28" s="115" t="str">
        <f t="shared" si="21"/>
        <v>#REF!</v>
      </c>
      <c r="AU28" s="115" t="str">
        <f t="shared" si="21"/>
        <v>#REF!</v>
      </c>
      <c r="AV28" s="115" t="str">
        <f t="shared" si="21"/>
        <v>#REF!</v>
      </c>
      <c r="AW28" s="67"/>
      <c r="AX28" s="67"/>
      <c r="AY28" s="67"/>
      <c r="AZ28" s="67"/>
      <c r="BA28" s="67"/>
      <c r="BB28" s="67"/>
      <c r="BC28" s="67"/>
      <c r="BD28" s="67"/>
      <c r="BE28" s="67"/>
      <c r="BF28" s="67"/>
      <c r="BG28" s="67"/>
    </row>
    <row r="29" ht="12.75" customHeight="1">
      <c r="C29" s="67" t="s">
        <v>1177</v>
      </c>
      <c r="J29" s="187"/>
      <c r="K29" s="187">
        <f t="shared" ref="K29:AV29" si="22">K28/K22</f>
        <v>0.1419136161</v>
      </c>
      <c r="L29" s="187">
        <f t="shared" si="22"/>
        <v>0.1525331572</v>
      </c>
      <c r="M29" s="187" t="str">
        <f t="shared" si="22"/>
        <v>#REF!</v>
      </c>
      <c r="N29" s="187" t="str">
        <f t="shared" si="22"/>
        <v>#REF!</v>
      </c>
      <c r="O29" s="187" t="str">
        <f t="shared" si="22"/>
        <v>#REF!</v>
      </c>
      <c r="P29" s="187" t="str">
        <f t="shared" si="22"/>
        <v>#REF!</v>
      </c>
      <c r="Q29" s="187" t="str">
        <f t="shared" si="22"/>
        <v>#REF!</v>
      </c>
      <c r="R29" s="187" t="str">
        <f t="shared" si="22"/>
        <v>#REF!</v>
      </c>
      <c r="S29" s="187" t="str">
        <f t="shared" si="22"/>
        <v>#REF!</v>
      </c>
      <c r="T29" s="187" t="str">
        <f t="shared" si="22"/>
        <v>#REF!</v>
      </c>
      <c r="U29" s="187" t="str">
        <f t="shared" si="22"/>
        <v>#REF!</v>
      </c>
      <c r="V29" s="187" t="str">
        <f t="shared" si="22"/>
        <v>#REF!</v>
      </c>
      <c r="W29" s="187" t="str">
        <f t="shared" si="22"/>
        <v>#REF!</v>
      </c>
      <c r="X29" s="187" t="str">
        <f t="shared" si="22"/>
        <v>#REF!</v>
      </c>
      <c r="Y29" s="187" t="str">
        <f t="shared" si="22"/>
        <v>#REF!</v>
      </c>
      <c r="Z29" s="187" t="str">
        <f t="shared" si="22"/>
        <v>#REF!</v>
      </c>
      <c r="AA29" s="187" t="str">
        <f t="shared" si="22"/>
        <v>#REF!</v>
      </c>
      <c r="AB29" s="187" t="str">
        <f t="shared" si="22"/>
        <v>#REF!</v>
      </c>
      <c r="AC29" s="187" t="str">
        <f t="shared" si="22"/>
        <v>#REF!</v>
      </c>
      <c r="AD29" s="187" t="str">
        <f t="shared" si="22"/>
        <v>#REF!</v>
      </c>
      <c r="AE29" s="187" t="str">
        <f t="shared" si="22"/>
        <v>#REF!</v>
      </c>
      <c r="AF29" s="187" t="str">
        <f t="shared" si="22"/>
        <v>#REF!</v>
      </c>
      <c r="AG29" s="187" t="str">
        <f t="shared" si="22"/>
        <v>#REF!</v>
      </c>
      <c r="AH29" s="187" t="str">
        <f t="shared" si="22"/>
        <v>#REF!</v>
      </c>
      <c r="AI29" s="187" t="str">
        <f t="shared" si="22"/>
        <v>#REF!</v>
      </c>
      <c r="AJ29" s="187" t="str">
        <f t="shared" si="22"/>
        <v>#REF!</v>
      </c>
      <c r="AK29" s="187" t="str">
        <f t="shared" si="22"/>
        <v>#REF!</v>
      </c>
      <c r="AL29" s="187" t="str">
        <f t="shared" si="22"/>
        <v>#REF!</v>
      </c>
      <c r="AM29" s="187" t="str">
        <f t="shared" si="22"/>
        <v>#REF!</v>
      </c>
      <c r="AN29" s="187" t="str">
        <f t="shared" si="22"/>
        <v>#REF!</v>
      </c>
      <c r="AO29" s="187" t="str">
        <f t="shared" si="22"/>
        <v>#REF!</v>
      </c>
      <c r="AP29" s="187" t="str">
        <f t="shared" si="22"/>
        <v>#REF!</v>
      </c>
      <c r="AQ29" s="187" t="str">
        <f t="shared" si="22"/>
        <v>#REF!</v>
      </c>
      <c r="AR29" s="187" t="str">
        <f t="shared" si="22"/>
        <v>#REF!</v>
      </c>
      <c r="AS29" s="187" t="str">
        <f t="shared" si="22"/>
        <v>#REF!</v>
      </c>
      <c r="AT29" s="187" t="str">
        <f t="shared" si="22"/>
        <v>#REF!</v>
      </c>
      <c r="AU29" s="187" t="str">
        <f t="shared" si="22"/>
        <v>#REF!</v>
      </c>
      <c r="AV29" s="187" t="str">
        <f t="shared" si="22"/>
        <v>#REF!</v>
      </c>
      <c r="AX29" s="90"/>
      <c r="AY29" s="90"/>
      <c r="AZ29" s="90"/>
      <c r="BA29" s="90"/>
      <c r="BB29" s="90"/>
      <c r="BC29" s="90"/>
      <c r="BD29" s="90"/>
      <c r="BE29" s="90"/>
      <c r="BF29" s="90"/>
      <c r="BG29" s="90"/>
    </row>
    <row r="30" ht="12.75" customHeight="1">
      <c r="C30" s="67"/>
      <c r="K30" s="187"/>
      <c r="L30" s="187"/>
      <c r="M30" s="187"/>
      <c r="N30" s="187"/>
      <c r="O30" s="187"/>
      <c r="P30" s="187"/>
      <c r="Q30" s="187"/>
      <c r="R30" s="187"/>
      <c r="S30" s="187"/>
      <c r="T30" s="187"/>
      <c r="U30" s="187"/>
      <c r="V30" s="187"/>
      <c r="W30" s="187"/>
      <c r="X30" s="187"/>
      <c r="Y30" s="187"/>
      <c r="Z30" s="187"/>
      <c r="AA30" s="187"/>
      <c r="AB30" s="187"/>
      <c r="AC30" s="187"/>
      <c r="AD30" s="187"/>
      <c r="AE30" s="187"/>
      <c r="AF30" s="187"/>
      <c r="AG30" s="187"/>
      <c r="AH30" s="187"/>
      <c r="AI30" s="187"/>
      <c r="AJ30" s="187"/>
      <c r="AK30" s="187"/>
      <c r="AL30" s="187"/>
      <c r="AM30" s="187"/>
      <c r="AN30" s="187"/>
      <c r="AO30" s="187"/>
      <c r="AP30" s="187"/>
      <c r="AQ30" s="187"/>
      <c r="AR30" s="187"/>
      <c r="AS30" s="187"/>
      <c r="AT30" s="187"/>
      <c r="AU30" s="187"/>
      <c r="AV30" s="187"/>
      <c r="AX30" s="90"/>
      <c r="AY30" s="90"/>
      <c r="AZ30" s="90"/>
      <c r="BA30" s="90"/>
      <c r="BB30" s="90"/>
      <c r="BC30" s="90"/>
      <c r="BD30" s="90"/>
      <c r="BE30" s="90"/>
      <c r="BF30" s="90"/>
      <c r="BG30" s="90"/>
    </row>
    <row r="31" ht="12.75" customHeight="1">
      <c r="B31" s="67" t="s">
        <v>196</v>
      </c>
      <c r="C31" s="90"/>
      <c r="D31" s="90"/>
      <c r="E31" s="90"/>
      <c r="F31" s="90"/>
      <c r="G31" s="90"/>
      <c r="H31" s="90"/>
      <c r="I31" s="90"/>
      <c r="J31" s="115">
        <f t="shared" ref="J31:AV31" si="23">J476</f>
        <v>52038.26</v>
      </c>
      <c r="K31" s="115" t="str">
        <f t="shared" si="23"/>
        <v>#REF!</v>
      </c>
      <c r="L31" s="115" t="str">
        <f t="shared" si="23"/>
        <v>#REF!</v>
      </c>
      <c r="M31" s="115" t="str">
        <f t="shared" si="23"/>
        <v>#REF!</v>
      </c>
      <c r="N31" s="115" t="str">
        <f t="shared" si="23"/>
        <v>#REF!</v>
      </c>
      <c r="O31" s="115" t="str">
        <f t="shared" si="23"/>
        <v>#REF!</v>
      </c>
      <c r="P31" s="115" t="str">
        <f t="shared" si="23"/>
        <v>#REF!</v>
      </c>
      <c r="Q31" s="115" t="str">
        <f t="shared" si="23"/>
        <v>#REF!</v>
      </c>
      <c r="R31" s="115" t="str">
        <f t="shared" si="23"/>
        <v>#REF!</v>
      </c>
      <c r="S31" s="115" t="str">
        <f t="shared" si="23"/>
        <v>#REF!</v>
      </c>
      <c r="T31" s="115" t="str">
        <f t="shared" si="23"/>
        <v>#REF!</v>
      </c>
      <c r="U31" s="115" t="str">
        <f t="shared" si="23"/>
        <v>#REF!</v>
      </c>
      <c r="V31" s="115" t="str">
        <f t="shared" si="23"/>
        <v>#REF!</v>
      </c>
      <c r="W31" s="115" t="str">
        <f t="shared" si="23"/>
        <v>#REF!</v>
      </c>
      <c r="X31" s="115" t="str">
        <f t="shared" si="23"/>
        <v>#REF!</v>
      </c>
      <c r="Y31" s="115" t="str">
        <f t="shared" si="23"/>
        <v>#REF!</v>
      </c>
      <c r="Z31" s="115" t="str">
        <f t="shared" si="23"/>
        <v>#REF!</v>
      </c>
      <c r="AA31" s="115" t="str">
        <f t="shared" si="23"/>
        <v>#REF!</v>
      </c>
      <c r="AB31" s="115" t="str">
        <f t="shared" si="23"/>
        <v>#REF!</v>
      </c>
      <c r="AC31" s="115" t="str">
        <f t="shared" si="23"/>
        <v>#REF!</v>
      </c>
      <c r="AD31" s="115" t="str">
        <f t="shared" si="23"/>
        <v>#REF!</v>
      </c>
      <c r="AE31" s="115" t="str">
        <f t="shared" si="23"/>
        <v>#REF!</v>
      </c>
      <c r="AF31" s="115" t="str">
        <f t="shared" si="23"/>
        <v>#REF!</v>
      </c>
      <c r="AG31" s="115" t="str">
        <f t="shared" si="23"/>
        <v>#REF!</v>
      </c>
      <c r="AH31" s="115" t="str">
        <f t="shared" si="23"/>
        <v>#REF!</v>
      </c>
      <c r="AI31" s="115" t="str">
        <f t="shared" si="23"/>
        <v>#REF!</v>
      </c>
      <c r="AJ31" s="115" t="str">
        <f t="shared" si="23"/>
        <v>#REF!</v>
      </c>
      <c r="AK31" s="115" t="str">
        <f t="shared" si="23"/>
        <v>#REF!</v>
      </c>
      <c r="AL31" s="115" t="str">
        <f t="shared" si="23"/>
        <v>#REF!</v>
      </c>
      <c r="AM31" s="115" t="str">
        <f t="shared" si="23"/>
        <v>#REF!</v>
      </c>
      <c r="AN31" s="115" t="str">
        <f t="shared" si="23"/>
        <v>#REF!</v>
      </c>
      <c r="AO31" s="115" t="str">
        <f t="shared" si="23"/>
        <v>#REF!</v>
      </c>
      <c r="AP31" s="115" t="str">
        <f t="shared" si="23"/>
        <v>#REF!</v>
      </c>
      <c r="AQ31" s="115" t="str">
        <f t="shared" si="23"/>
        <v>#REF!</v>
      </c>
      <c r="AR31" s="115" t="str">
        <f t="shared" si="23"/>
        <v>#REF!</v>
      </c>
      <c r="AS31" s="115" t="str">
        <f t="shared" si="23"/>
        <v>#REF!</v>
      </c>
      <c r="AT31" s="115" t="str">
        <f t="shared" si="23"/>
        <v>#REF!</v>
      </c>
      <c r="AU31" s="115" t="str">
        <f t="shared" si="23"/>
        <v>#REF!</v>
      </c>
      <c r="AV31" s="115" t="str">
        <f t="shared" si="23"/>
        <v>#REF!</v>
      </c>
      <c r="AW31" s="67"/>
      <c r="AX31" s="90"/>
      <c r="AY31" s="90"/>
      <c r="AZ31" s="90"/>
      <c r="BA31" s="90"/>
      <c r="BB31" s="90"/>
      <c r="BC31" s="90"/>
      <c r="BD31" s="90"/>
      <c r="BE31" s="90"/>
      <c r="BF31" s="90"/>
      <c r="BG31" s="90"/>
    </row>
    <row r="32" ht="12.75" customHeight="1">
      <c r="B32" s="67"/>
      <c r="C32" s="67" t="s">
        <v>633</v>
      </c>
      <c r="D32" s="90"/>
      <c r="E32" s="90"/>
      <c r="F32" s="90"/>
      <c r="G32" s="90"/>
      <c r="H32" s="90"/>
      <c r="I32" s="90"/>
      <c r="J32" s="115">
        <f t="shared" ref="J32:AV32" si="24">J484</f>
        <v>200000</v>
      </c>
      <c r="K32" s="115">
        <f t="shared" si="24"/>
        <v>300000</v>
      </c>
      <c r="L32" s="115" t="str">
        <f t="shared" si="24"/>
        <v>#REF!</v>
      </c>
      <c r="M32" s="115" t="str">
        <f t="shared" si="24"/>
        <v>#REF!</v>
      </c>
      <c r="N32" s="115" t="str">
        <f t="shared" si="24"/>
        <v>#REF!</v>
      </c>
      <c r="O32" s="115" t="str">
        <f t="shared" si="24"/>
        <v>#REF!</v>
      </c>
      <c r="P32" s="115" t="str">
        <f t="shared" si="24"/>
        <v>#REF!</v>
      </c>
      <c r="Q32" s="115" t="str">
        <f t="shared" si="24"/>
        <v>#REF!</v>
      </c>
      <c r="R32" s="115" t="str">
        <f t="shared" si="24"/>
        <v>#REF!</v>
      </c>
      <c r="S32" s="115" t="str">
        <f t="shared" si="24"/>
        <v>#REF!</v>
      </c>
      <c r="T32" s="115" t="str">
        <f t="shared" si="24"/>
        <v>#REF!</v>
      </c>
      <c r="U32" s="115" t="str">
        <f t="shared" si="24"/>
        <v>#REF!</v>
      </c>
      <c r="V32" s="115" t="str">
        <f t="shared" si="24"/>
        <v>#REF!</v>
      </c>
      <c r="W32" s="115" t="str">
        <f t="shared" si="24"/>
        <v>#REF!</v>
      </c>
      <c r="X32" s="115" t="str">
        <f t="shared" si="24"/>
        <v>#REF!</v>
      </c>
      <c r="Y32" s="115" t="str">
        <f t="shared" si="24"/>
        <v>#REF!</v>
      </c>
      <c r="Z32" s="115" t="str">
        <f t="shared" si="24"/>
        <v>#REF!</v>
      </c>
      <c r="AA32" s="115" t="str">
        <f t="shared" si="24"/>
        <v>#REF!</v>
      </c>
      <c r="AB32" s="115" t="str">
        <f t="shared" si="24"/>
        <v>#REF!</v>
      </c>
      <c r="AC32" s="115" t="str">
        <f t="shared" si="24"/>
        <v>#REF!</v>
      </c>
      <c r="AD32" s="115" t="str">
        <f t="shared" si="24"/>
        <v>#REF!</v>
      </c>
      <c r="AE32" s="115" t="str">
        <f t="shared" si="24"/>
        <v>#REF!</v>
      </c>
      <c r="AF32" s="115" t="str">
        <f t="shared" si="24"/>
        <v>#REF!</v>
      </c>
      <c r="AG32" s="115" t="str">
        <f t="shared" si="24"/>
        <v>#REF!</v>
      </c>
      <c r="AH32" s="115" t="str">
        <f t="shared" si="24"/>
        <v>#REF!</v>
      </c>
      <c r="AI32" s="115" t="str">
        <f t="shared" si="24"/>
        <v>#REF!</v>
      </c>
      <c r="AJ32" s="115" t="str">
        <f t="shared" si="24"/>
        <v>#REF!</v>
      </c>
      <c r="AK32" s="115" t="str">
        <f t="shared" si="24"/>
        <v>#REF!</v>
      </c>
      <c r="AL32" s="115" t="str">
        <f t="shared" si="24"/>
        <v>#REF!</v>
      </c>
      <c r="AM32" s="115" t="str">
        <f t="shared" si="24"/>
        <v>#REF!</v>
      </c>
      <c r="AN32" s="115" t="str">
        <f t="shared" si="24"/>
        <v>#REF!</v>
      </c>
      <c r="AO32" s="115" t="str">
        <f t="shared" si="24"/>
        <v>#REF!</v>
      </c>
      <c r="AP32" s="115" t="str">
        <f t="shared" si="24"/>
        <v>#REF!</v>
      </c>
      <c r="AQ32" s="115" t="str">
        <f t="shared" si="24"/>
        <v>#REF!</v>
      </c>
      <c r="AR32" s="115" t="str">
        <f t="shared" si="24"/>
        <v>#REF!</v>
      </c>
      <c r="AS32" s="115" t="str">
        <f t="shared" si="24"/>
        <v>#REF!</v>
      </c>
      <c r="AT32" s="115" t="str">
        <f t="shared" si="24"/>
        <v>#REF!</v>
      </c>
      <c r="AU32" s="115" t="str">
        <f t="shared" si="24"/>
        <v>#REF!</v>
      </c>
      <c r="AV32" s="115" t="str">
        <f t="shared" si="24"/>
        <v>#REF!</v>
      </c>
      <c r="AW32" s="67"/>
      <c r="AX32" s="90"/>
      <c r="AY32" s="90"/>
      <c r="AZ32" s="90"/>
      <c r="BA32" s="90"/>
      <c r="BB32" s="90"/>
      <c r="BC32" s="90"/>
      <c r="BD32" s="90"/>
      <c r="BE32" s="90"/>
      <c r="BF32" s="90"/>
      <c r="BG32" s="90"/>
    </row>
    <row r="33" ht="12.75" customHeight="1">
      <c r="A33" s="511"/>
      <c r="B33" s="90"/>
      <c r="C33" s="90"/>
      <c r="D33" s="90"/>
      <c r="E33" s="90"/>
      <c r="F33" s="90"/>
      <c r="G33" s="90"/>
      <c r="H33" s="90"/>
      <c r="I33" s="90"/>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7"/>
      <c r="AX33" s="90"/>
      <c r="AY33" s="90"/>
      <c r="AZ33" s="90"/>
      <c r="BA33" s="90"/>
      <c r="BB33" s="90"/>
      <c r="BC33" s="90"/>
      <c r="BD33" s="90"/>
      <c r="BE33" s="90"/>
      <c r="BF33" s="90"/>
      <c r="BG33" s="90"/>
    </row>
    <row r="34" ht="12.75" customHeight="1">
      <c r="A34" s="105" t="s">
        <v>634</v>
      </c>
      <c r="B34" s="253"/>
      <c r="C34" s="253"/>
      <c r="D34" s="253"/>
      <c r="E34" s="253"/>
      <c r="F34" s="253"/>
      <c r="G34" s="253"/>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t="s">
        <v>1179</v>
      </c>
      <c r="AX34" s="90"/>
      <c r="AY34" s="90"/>
      <c r="AZ34" s="90"/>
      <c r="BA34" s="90"/>
      <c r="BB34" s="90"/>
      <c r="BC34" s="90"/>
      <c r="BD34" s="90"/>
      <c r="BE34" s="90"/>
      <c r="BF34" s="90"/>
      <c r="BG34" s="90"/>
    </row>
    <row r="35" ht="12.75" hidden="1" customHeight="1" outlineLevel="1">
      <c r="A35" s="515"/>
      <c r="B35" s="90"/>
      <c r="C35" s="90"/>
      <c r="D35" s="90"/>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row>
    <row r="36" ht="12.75" hidden="1" customHeight="1" outlineLevel="1">
      <c r="A36" s="515"/>
      <c r="B36" s="90" t="s">
        <v>635</v>
      </c>
      <c r="C36" s="90"/>
      <c r="D36" s="90"/>
      <c r="E36" s="90"/>
      <c r="F36" s="90"/>
      <c r="G36" s="90"/>
      <c r="H36" s="516"/>
      <c r="I36" s="516"/>
      <c r="J36" s="516"/>
      <c r="K36" s="516">
        <v>180.0</v>
      </c>
      <c r="L36" s="102">
        <f t="shared" ref="L36:AV36" si="25">K36</f>
        <v>180</v>
      </c>
      <c r="M36" s="102">
        <f t="shared" si="25"/>
        <v>180</v>
      </c>
      <c r="N36" s="102">
        <f t="shared" si="25"/>
        <v>180</v>
      </c>
      <c r="O36" s="102">
        <f t="shared" si="25"/>
        <v>180</v>
      </c>
      <c r="P36" s="102">
        <f t="shared" si="25"/>
        <v>180</v>
      </c>
      <c r="Q36" s="102">
        <f t="shared" si="25"/>
        <v>180</v>
      </c>
      <c r="R36" s="102">
        <f t="shared" si="25"/>
        <v>180</v>
      </c>
      <c r="S36" s="102">
        <f t="shared" si="25"/>
        <v>180</v>
      </c>
      <c r="T36" s="102">
        <f t="shared" si="25"/>
        <v>180</v>
      </c>
      <c r="U36" s="102">
        <f t="shared" si="25"/>
        <v>180</v>
      </c>
      <c r="V36" s="102">
        <f t="shared" si="25"/>
        <v>180</v>
      </c>
      <c r="W36" s="102">
        <f t="shared" si="25"/>
        <v>180</v>
      </c>
      <c r="X36" s="102">
        <f t="shared" si="25"/>
        <v>180</v>
      </c>
      <c r="Y36" s="102">
        <f t="shared" si="25"/>
        <v>180</v>
      </c>
      <c r="Z36" s="102">
        <f t="shared" si="25"/>
        <v>180</v>
      </c>
      <c r="AA36" s="102">
        <f t="shared" si="25"/>
        <v>180</v>
      </c>
      <c r="AB36" s="102">
        <f t="shared" si="25"/>
        <v>180</v>
      </c>
      <c r="AC36" s="102">
        <f t="shared" si="25"/>
        <v>180</v>
      </c>
      <c r="AD36" s="102">
        <f t="shared" si="25"/>
        <v>180</v>
      </c>
      <c r="AE36" s="102">
        <f t="shared" si="25"/>
        <v>180</v>
      </c>
      <c r="AF36" s="102">
        <f t="shared" si="25"/>
        <v>180</v>
      </c>
      <c r="AG36" s="102">
        <f t="shared" si="25"/>
        <v>180</v>
      </c>
      <c r="AH36" s="102">
        <f t="shared" si="25"/>
        <v>180</v>
      </c>
      <c r="AI36" s="102">
        <f t="shared" si="25"/>
        <v>180</v>
      </c>
      <c r="AJ36" s="102">
        <f t="shared" si="25"/>
        <v>180</v>
      </c>
      <c r="AK36" s="102">
        <f t="shared" si="25"/>
        <v>180</v>
      </c>
      <c r="AL36" s="102">
        <f t="shared" si="25"/>
        <v>180</v>
      </c>
      <c r="AM36" s="102">
        <f t="shared" si="25"/>
        <v>180</v>
      </c>
      <c r="AN36" s="102">
        <f t="shared" si="25"/>
        <v>180</v>
      </c>
      <c r="AO36" s="102">
        <f t="shared" si="25"/>
        <v>180</v>
      </c>
      <c r="AP36" s="102">
        <f t="shared" si="25"/>
        <v>180</v>
      </c>
      <c r="AQ36" s="102">
        <f t="shared" si="25"/>
        <v>180</v>
      </c>
      <c r="AR36" s="102">
        <f t="shared" si="25"/>
        <v>180</v>
      </c>
      <c r="AS36" s="102">
        <f t="shared" si="25"/>
        <v>180</v>
      </c>
      <c r="AT36" s="102">
        <f t="shared" si="25"/>
        <v>180</v>
      </c>
      <c r="AU36" s="102">
        <f t="shared" si="25"/>
        <v>180</v>
      </c>
      <c r="AV36" s="102">
        <f t="shared" si="25"/>
        <v>180</v>
      </c>
      <c r="AW36" s="90"/>
      <c r="AX36" s="90"/>
      <c r="AY36" s="90"/>
      <c r="AZ36" s="90"/>
      <c r="BA36" s="90"/>
      <c r="BB36" s="90"/>
      <c r="BC36" s="90"/>
      <c r="BD36" s="90"/>
      <c r="BE36" s="90"/>
      <c r="BF36" s="90"/>
      <c r="BG36" s="90"/>
    </row>
    <row r="37" ht="12.75" hidden="1" customHeight="1" outlineLevel="1">
      <c r="A37" s="515"/>
      <c r="B37" s="90" t="s">
        <v>636</v>
      </c>
      <c r="C37" s="90"/>
      <c r="D37" s="90"/>
      <c r="E37" s="90"/>
      <c r="F37" s="90"/>
      <c r="G37" s="90"/>
      <c r="H37" s="516"/>
      <c r="I37" s="516"/>
      <c r="J37" s="516"/>
      <c r="K37" s="516">
        <v>2.0</v>
      </c>
      <c r="L37" s="102">
        <f t="shared" ref="L37:AV37" si="26">K37</f>
        <v>2</v>
      </c>
      <c r="M37" s="102">
        <f t="shared" si="26"/>
        <v>2</v>
      </c>
      <c r="N37" s="102">
        <f t="shared" si="26"/>
        <v>2</v>
      </c>
      <c r="O37" s="102">
        <f t="shared" si="26"/>
        <v>2</v>
      </c>
      <c r="P37" s="102">
        <f t="shared" si="26"/>
        <v>2</v>
      </c>
      <c r="Q37" s="102">
        <f t="shared" si="26"/>
        <v>2</v>
      </c>
      <c r="R37" s="102">
        <f t="shared" si="26"/>
        <v>2</v>
      </c>
      <c r="S37" s="102">
        <f t="shared" si="26"/>
        <v>2</v>
      </c>
      <c r="T37" s="102">
        <f t="shared" si="26"/>
        <v>2</v>
      </c>
      <c r="U37" s="102">
        <f t="shared" si="26"/>
        <v>2</v>
      </c>
      <c r="V37" s="102">
        <f t="shared" si="26"/>
        <v>2</v>
      </c>
      <c r="W37" s="102">
        <f t="shared" si="26"/>
        <v>2</v>
      </c>
      <c r="X37" s="102">
        <f t="shared" si="26"/>
        <v>2</v>
      </c>
      <c r="Y37" s="102">
        <f t="shared" si="26"/>
        <v>2</v>
      </c>
      <c r="Z37" s="102">
        <f t="shared" si="26"/>
        <v>2</v>
      </c>
      <c r="AA37" s="102">
        <f t="shared" si="26"/>
        <v>2</v>
      </c>
      <c r="AB37" s="102">
        <f t="shared" si="26"/>
        <v>2</v>
      </c>
      <c r="AC37" s="102">
        <f t="shared" si="26"/>
        <v>2</v>
      </c>
      <c r="AD37" s="102">
        <f t="shared" si="26"/>
        <v>2</v>
      </c>
      <c r="AE37" s="102">
        <f t="shared" si="26"/>
        <v>2</v>
      </c>
      <c r="AF37" s="102">
        <f t="shared" si="26"/>
        <v>2</v>
      </c>
      <c r="AG37" s="102">
        <f t="shared" si="26"/>
        <v>2</v>
      </c>
      <c r="AH37" s="102">
        <f t="shared" si="26"/>
        <v>2</v>
      </c>
      <c r="AI37" s="102">
        <f t="shared" si="26"/>
        <v>2</v>
      </c>
      <c r="AJ37" s="102">
        <f t="shared" si="26"/>
        <v>2</v>
      </c>
      <c r="AK37" s="102">
        <f t="shared" si="26"/>
        <v>2</v>
      </c>
      <c r="AL37" s="102">
        <f t="shared" si="26"/>
        <v>2</v>
      </c>
      <c r="AM37" s="102">
        <f t="shared" si="26"/>
        <v>2</v>
      </c>
      <c r="AN37" s="102">
        <f t="shared" si="26"/>
        <v>2</v>
      </c>
      <c r="AO37" s="102">
        <f t="shared" si="26"/>
        <v>2</v>
      </c>
      <c r="AP37" s="102">
        <f t="shared" si="26"/>
        <v>2</v>
      </c>
      <c r="AQ37" s="102">
        <f t="shared" si="26"/>
        <v>2</v>
      </c>
      <c r="AR37" s="102">
        <f t="shared" si="26"/>
        <v>2</v>
      </c>
      <c r="AS37" s="102">
        <f t="shared" si="26"/>
        <v>2</v>
      </c>
      <c r="AT37" s="102">
        <f t="shared" si="26"/>
        <v>2</v>
      </c>
      <c r="AU37" s="102">
        <f t="shared" si="26"/>
        <v>2</v>
      </c>
      <c r="AV37" s="102">
        <f t="shared" si="26"/>
        <v>2</v>
      </c>
      <c r="AW37" s="90"/>
      <c r="AX37" s="90"/>
      <c r="AY37" s="90"/>
      <c r="AZ37" s="90"/>
      <c r="BA37" s="90"/>
      <c r="BB37" s="90"/>
      <c r="BC37" s="90"/>
      <c r="BD37" s="90"/>
      <c r="BE37" s="90"/>
      <c r="BF37" s="90"/>
      <c r="BG37" s="90"/>
    </row>
    <row r="38" ht="12.75" hidden="1" customHeight="1" outlineLevel="1">
      <c r="A38" s="515"/>
      <c r="B38" s="90"/>
      <c r="C38" s="90"/>
      <c r="D38" s="90"/>
      <c r="E38" s="90"/>
      <c r="F38" s="90"/>
      <c r="G38" s="90"/>
      <c r="H38" s="90"/>
      <c r="I38" s="90"/>
      <c r="J38" s="90"/>
      <c r="K38" s="90"/>
      <c r="L38" s="90"/>
      <c r="M38" s="90"/>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row>
    <row r="39" ht="12.75" hidden="1" customHeight="1" outlineLevel="1">
      <c r="A39" s="515"/>
      <c r="B39" s="90" t="s">
        <v>165</v>
      </c>
      <c r="C39" s="90"/>
      <c r="D39" s="90"/>
      <c r="E39" s="90"/>
      <c r="F39" s="90"/>
      <c r="G39" s="90"/>
      <c r="H39" s="90"/>
      <c r="I39" s="90"/>
      <c r="J39" s="90"/>
      <c r="K39" s="90"/>
      <c r="L39" s="90"/>
      <c r="M39" s="90"/>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row>
    <row r="40" ht="12.75" hidden="1" customHeight="1" outlineLevel="1">
      <c r="A40" s="515"/>
      <c r="B40" s="90"/>
      <c r="C40" s="90" t="s">
        <v>166</v>
      </c>
      <c r="D40" s="90"/>
      <c r="E40" s="90"/>
      <c r="F40" s="90"/>
      <c r="G40" s="90"/>
      <c r="H40" s="517"/>
      <c r="I40" s="517"/>
      <c r="J40" s="517"/>
      <c r="K40" s="516">
        <v>120.0</v>
      </c>
      <c r="L40" s="516">
        <v>110.0</v>
      </c>
      <c r="M40" s="516">
        <f>Assumptions!G39</f>
        <v>105</v>
      </c>
      <c r="N40" s="516">
        <f>Assumptions!H39</f>
        <v>105</v>
      </c>
      <c r="O40" s="516">
        <f>Assumptions!I39</f>
        <v>105</v>
      </c>
      <c r="P40" s="516">
        <f>Assumptions!J39</f>
        <v>105</v>
      </c>
      <c r="Q40" s="516">
        <f>Assumptions!K39</f>
        <v>105</v>
      </c>
      <c r="R40" s="516">
        <f>Assumptions!L39</f>
        <v>105</v>
      </c>
      <c r="S40" s="102">
        <f t="shared" ref="S40:AV40" si="27">R40</f>
        <v>105</v>
      </c>
      <c r="T40" s="102">
        <f t="shared" si="27"/>
        <v>105</v>
      </c>
      <c r="U40" s="102">
        <f t="shared" si="27"/>
        <v>105</v>
      </c>
      <c r="V40" s="102">
        <f t="shared" si="27"/>
        <v>105</v>
      </c>
      <c r="W40" s="102">
        <f t="shared" si="27"/>
        <v>105</v>
      </c>
      <c r="X40" s="102">
        <f t="shared" si="27"/>
        <v>105</v>
      </c>
      <c r="Y40" s="102">
        <f t="shared" si="27"/>
        <v>105</v>
      </c>
      <c r="Z40" s="102">
        <f t="shared" si="27"/>
        <v>105</v>
      </c>
      <c r="AA40" s="102">
        <f t="shared" si="27"/>
        <v>105</v>
      </c>
      <c r="AB40" s="102">
        <f t="shared" si="27"/>
        <v>105</v>
      </c>
      <c r="AC40" s="102">
        <f t="shared" si="27"/>
        <v>105</v>
      </c>
      <c r="AD40" s="102">
        <f t="shared" si="27"/>
        <v>105</v>
      </c>
      <c r="AE40" s="102">
        <f t="shared" si="27"/>
        <v>105</v>
      </c>
      <c r="AF40" s="102">
        <f t="shared" si="27"/>
        <v>105</v>
      </c>
      <c r="AG40" s="102">
        <f t="shared" si="27"/>
        <v>105</v>
      </c>
      <c r="AH40" s="102">
        <f t="shared" si="27"/>
        <v>105</v>
      </c>
      <c r="AI40" s="102">
        <f t="shared" si="27"/>
        <v>105</v>
      </c>
      <c r="AJ40" s="102">
        <f t="shared" si="27"/>
        <v>105</v>
      </c>
      <c r="AK40" s="102">
        <f t="shared" si="27"/>
        <v>105</v>
      </c>
      <c r="AL40" s="102">
        <f t="shared" si="27"/>
        <v>105</v>
      </c>
      <c r="AM40" s="102">
        <f t="shared" si="27"/>
        <v>105</v>
      </c>
      <c r="AN40" s="102">
        <f t="shared" si="27"/>
        <v>105</v>
      </c>
      <c r="AO40" s="102">
        <f t="shared" si="27"/>
        <v>105</v>
      </c>
      <c r="AP40" s="102">
        <f t="shared" si="27"/>
        <v>105</v>
      </c>
      <c r="AQ40" s="102">
        <f t="shared" si="27"/>
        <v>105</v>
      </c>
      <c r="AR40" s="102">
        <f t="shared" si="27"/>
        <v>105</v>
      </c>
      <c r="AS40" s="102">
        <f t="shared" si="27"/>
        <v>105</v>
      </c>
      <c r="AT40" s="102">
        <f t="shared" si="27"/>
        <v>105</v>
      </c>
      <c r="AU40" s="102">
        <f t="shared" si="27"/>
        <v>105</v>
      </c>
      <c r="AV40" s="102">
        <f t="shared" si="27"/>
        <v>105</v>
      </c>
      <c r="AW40" s="90"/>
      <c r="AX40" s="90"/>
      <c r="AY40" s="90"/>
      <c r="AZ40" s="90"/>
      <c r="BA40" s="90"/>
      <c r="BB40" s="90"/>
      <c r="BC40" s="90"/>
      <c r="BD40" s="90"/>
      <c r="BE40" s="90"/>
      <c r="BF40" s="90"/>
      <c r="BG40" s="90"/>
    </row>
    <row r="41" ht="12.75" hidden="1" customHeight="1" outlineLevel="1">
      <c r="A41" s="515"/>
      <c r="B41" s="90"/>
      <c r="C41" s="90" t="s">
        <v>167</v>
      </c>
      <c r="D41" s="90"/>
      <c r="E41" s="90"/>
      <c r="F41" s="90"/>
      <c r="G41" s="90"/>
      <c r="H41" s="517"/>
      <c r="I41" s="517"/>
      <c r="J41" s="517"/>
      <c r="K41" s="516">
        <v>112.0</v>
      </c>
      <c r="L41" s="516">
        <v>110.0</v>
      </c>
      <c r="M41" s="516">
        <f>Assumptions!G40</f>
        <v>100</v>
      </c>
      <c r="N41" s="516">
        <f>Assumptions!H40</f>
        <v>100</v>
      </c>
      <c r="O41" s="516">
        <f>Assumptions!I40</f>
        <v>100</v>
      </c>
      <c r="P41" s="516">
        <f>Assumptions!J40</f>
        <v>100</v>
      </c>
      <c r="Q41" s="516">
        <f>Assumptions!K40</f>
        <v>100</v>
      </c>
      <c r="R41" s="516">
        <f>Assumptions!L40</f>
        <v>100</v>
      </c>
      <c r="S41" s="102">
        <f t="shared" ref="S41:AV41" si="28">R41</f>
        <v>100</v>
      </c>
      <c r="T41" s="102">
        <f t="shared" si="28"/>
        <v>100</v>
      </c>
      <c r="U41" s="102">
        <f t="shared" si="28"/>
        <v>100</v>
      </c>
      <c r="V41" s="102">
        <f t="shared" si="28"/>
        <v>100</v>
      </c>
      <c r="W41" s="102">
        <f t="shared" si="28"/>
        <v>100</v>
      </c>
      <c r="X41" s="102">
        <f t="shared" si="28"/>
        <v>100</v>
      </c>
      <c r="Y41" s="102">
        <f t="shared" si="28"/>
        <v>100</v>
      </c>
      <c r="Z41" s="102">
        <f t="shared" si="28"/>
        <v>100</v>
      </c>
      <c r="AA41" s="102">
        <f t="shared" si="28"/>
        <v>100</v>
      </c>
      <c r="AB41" s="102">
        <f t="shared" si="28"/>
        <v>100</v>
      </c>
      <c r="AC41" s="102">
        <f t="shared" si="28"/>
        <v>100</v>
      </c>
      <c r="AD41" s="102">
        <f t="shared" si="28"/>
        <v>100</v>
      </c>
      <c r="AE41" s="102">
        <f t="shared" si="28"/>
        <v>100</v>
      </c>
      <c r="AF41" s="102">
        <f t="shared" si="28"/>
        <v>100</v>
      </c>
      <c r="AG41" s="102">
        <f t="shared" si="28"/>
        <v>100</v>
      </c>
      <c r="AH41" s="102">
        <f t="shared" si="28"/>
        <v>100</v>
      </c>
      <c r="AI41" s="102">
        <f t="shared" si="28"/>
        <v>100</v>
      </c>
      <c r="AJ41" s="102">
        <f t="shared" si="28"/>
        <v>100</v>
      </c>
      <c r="AK41" s="102">
        <f t="shared" si="28"/>
        <v>100</v>
      </c>
      <c r="AL41" s="102">
        <f t="shared" si="28"/>
        <v>100</v>
      </c>
      <c r="AM41" s="102">
        <f t="shared" si="28"/>
        <v>100</v>
      </c>
      <c r="AN41" s="102">
        <f t="shared" si="28"/>
        <v>100</v>
      </c>
      <c r="AO41" s="102">
        <f t="shared" si="28"/>
        <v>100</v>
      </c>
      <c r="AP41" s="102">
        <f t="shared" si="28"/>
        <v>100</v>
      </c>
      <c r="AQ41" s="102">
        <f t="shared" si="28"/>
        <v>100</v>
      </c>
      <c r="AR41" s="102">
        <f t="shared" si="28"/>
        <v>100</v>
      </c>
      <c r="AS41" s="102">
        <f t="shared" si="28"/>
        <v>100</v>
      </c>
      <c r="AT41" s="102">
        <f t="shared" si="28"/>
        <v>100</v>
      </c>
      <c r="AU41" s="102">
        <f t="shared" si="28"/>
        <v>100</v>
      </c>
      <c r="AV41" s="102">
        <f t="shared" si="28"/>
        <v>100</v>
      </c>
      <c r="AW41" s="90"/>
      <c r="AX41" s="90"/>
      <c r="AY41" s="90"/>
      <c r="AZ41" s="90"/>
      <c r="BA41" s="90"/>
      <c r="BB41" s="90"/>
      <c r="BC41" s="90"/>
      <c r="BD41" s="90"/>
      <c r="BE41" s="90"/>
      <c r="BF41" s="90"/>
      <c r="BG41" s="90"/>
    </row>
    <row r="42" ht="12.75" hidden="1" customHeight="1" outlineLevel="1">
      <c r="A42" s="515"/>
      <c r="B42" s="90"/>
      <c r="C42" s="90" t="s">
        <v>168</v>
      </c>
      <c r="D42" s="90"/>
      <c r="E42" s="90"/>
      <c r="F42" s="90"/>
      <c r="G42" s="90"/>
      <c r="H42" s="517"/>
      <c r="I42" s="517"/>
      <c r="J42" s="517"/>
      <c r="K42" s="516">
        <v>80.0</v>
      </c>
      <c r="L42" s="516">
        <v>100.0</v>
      </c>
      <c r="M42" s="516">
        <f>Assumptions!G41</f>
        <v>80</v>
      </c>
      <c r="N42" s="516">
        <f>Assumptions!H41</f>
        <v>80</v>
      </c>
      <c r="O42" s="516">
        <f>Assumptions!I41</f>
        <v>80</v>
      </c>
      <c r="P42" s="516">
        <f>Assumptions!J41</f>
        <v>80</v>
      </c>
      <c r="Q42" s="516">
        <f>Assumptions!K41</f>
        <v>80</v>
      </c>
      <c r="R42" s="516">
        <f>Assumptions!L41</f>
        <v>80</v>
      </c>
      <c r="S42" s="102">
        <f t="shared" ref="S42:AV42" si="29">R42</f>
        <v>80</v>
      </c>
      <c r="T42" s="102">
        <f t="shared" si="29"/>
        <v>80</v>
      </c>
      <c r="U42" s="102">
        <f t="shared" si="29"/>
        <v>80</v>
      </c>
      <c r="V42" s="102">
        <f t="shared" si="29"/>
        <v>80</v>
      </c>
      <c r="W42" s="102">
        <f t="shared" si="29"/>
        <v>80</v>
      </c>
      <c r="X42" s="102">
        <f t="shared" si="29"/>
        <v>80</v>
      </c>
      <c r="Y42" s="102">
        <f t="shared" si="29"/>
        <v>80</v>
      </c>
      <c r="Z42" s="102">
        <f t="shared" si="29"/>
        <v>80</v>
      </c>
      <c r="AA42" s="102">
        <f t="shared" si="29"/>
        <v>80</v>
      </c>
      <c r="AB42" s="102">
        <f t="shared" si="29"/>
        <v>80</v>
      </c>
      <c r="AC42" s="102">
        <f t="shared" si="29"/>
        <v>80</v>
      </c>
      <c r="AD42" s="102">
        <f t="shared" si="29"/>
        <v>80</v>
      </c>
      <c r="AE42" s="102">
        <f t="shared" si="29"/>
        <v>80</v>
      </c>
      <c r="AF42" s="102">
        <f t="shared" si="29"/>
        <v>80</v>
      </c>
      <c r="AG42" s="102">
        <f t="shared" si="29"/>
        <v>80</v>
      </c>
      <c r="AH42" s="102">
        <f t="shared" si="29"/>
        <v>80</v>
      </c>
      <c r="AI42" s="102">
        <f t="shared" si="29"/>
        <v>80</v>
      </c>
      <c r="AJ42" s="102">
        <f t="shared" si="29"/>
        <v>80</v>
      </c>
      <c r="AK42" s="102">
        <f t="shared" si="29"/>
        <v>80</v>
      </c>
      <c r="AL42" s="102">
        <f t="shared" si="29"/>
        <v>80</v>
      </c>
      <c r="AM42" s="102">
        <f t="shared" si="29"/>
        <v>80</v>
      </c>
      <c r="AN42" s="102">
        <f t="shared" si="29"/>
        <v>80</v>
      </c>
      <c r="AO42" s="102">
        <f t="shared" si="29"/>
        <v>80</v>
      </c>
      <c r="AP42" s="102">
        <f t="shared" si="29"/>
        <v>80</v>
      </c>
      <c r="AQ42" s="102">
        <f t="shared" si="29"/>
        <v>80</v>
      </c>
      <c r="AR42" s="102">
        <f t="shared" si="29"/>
        <v>80</v>
      </c>
      <c r="AS42" s="102">
        <f t="shared" si="29"/>
        <v>80</v>
      </c>
      <c r="AT42" s="102">
        <f t="shared" si="29"/>
        <v>80</v>
      </c>
      <c r="AU42" s="102">
        <f t="shared" si="29"/>
        <v>80</v>
      </c>
      <c r="AV42" s="102">
        <f t="shared" si="29"/>
        <v>80</v>
      </c>
      <c r="AW42" s="90"/>
      <c r="AX42" s="90"/>
      <c r="AY42" s="90"/>
      <c r="AZ42" s="90"/>
      <c r="BA42" s="90"/>
      <c r="BB42" s="90"/>
      <c r="BC42" s="90"/>
      <c r="BD42" s="90"/>
      <c r="BE42" s="90"/>
      <c r="BF42" s="90"/>
      <c r="BG42" s="90"/>
    </row>
    <row r="43" ht="12.75" hidden="1" customHeight="1" outlineLevel="1">
      <c r="A43" s="515"/>
      <c r="B43" s="90"/>
      <c r="C43" s="90" t="s">
        <v>169</v>
      </c>
      <c r="D43" s="90"/>
      <c r="E43" s="90"/>
      <c r="F43" s="90"/>
      <c r="G43" s="90"/>
      <c r="H43" s="517"/>
      <c r="I43" s="517"/>
      <c r="J43" s="517"/>
      <c r="K43" s="516">
        <v>80.0</v>
      </c>
      <c r="L43" s="516">
        <v>88.0</v>
      </c>
      <c r="M43" s="516">
        <f>Assumptions!G42</f>
        <v>80</v>
      </c>
      <c r="N43" s="516">
        <f>Assumptions!H42</f>
        <v>80</v>
      </c>
      <c r="O43" s="516">
        <f>Assumptions!I42</f>
        <v>80</v>
      </c>
      <c r="P43" s="516">
        <f>Assumptions!J42</f>
        <v>80</v>
      </c>
      <c r="Q43" s="516">
        <f>Assumptions!K42</f>
        <v>80</v>
      </c>
      <c r="R43" s="516">
        <f>Assumptions!L42</f>
        <v>80</v>
      </c>
      <c r="S43" s="102">
        <f t="shared" ref="S43:AV43" si="30">R43</f>
        <v>80</v>
      </c>
      <c r="T43" s="102">
        <f t="shared" si="30"/>
        <v>80</v>
      </c>
      <c r="U43" s="102">
        <f t="shared" si="30"/>
        <v>80</v>
      </c>
      <c r="V43" s="102">
        <f t="shared" si="30"/>
        <v>80</v>
      </c>
      <c r="W43" s="102">
        <f t="shared" si="30"/>
        <v>80</v>
      </c>
      <c r="X43" s="102">
        <f t="shared" si="30"/>
        <v>80</v>
      </c>
      <c r="Y43" s="102">
        <f t="shared" si="30"/>
        <v>80</v>
      </c>
      <c r="Z43" s="102">
        <f t="shared" si="30"/>
        <v>80</v>
      </c>
      <c r="AA43" s="102">
        <f t="shared" si="30"/>
        <v>80</v>
      </c>
      <c r="AB43" s="102">
        <f t="shared" si="30"/>
        <v>80</v>
      </c>
      <c r="AC43" s="102">
        <f t="shared" si="30"/>
        <v>80</v>
      </c>
      <c r="AD43" s="102">
        <f t="shared" si="30"/>
        <v>80</v>
      </c>
      <c r="AE43" s="102">
        <f t="shared" si="30"/>
        <v>80</v>
      </c>
      <c r="AF43" s="102">
        <f t="shared" si="30"/>
        <v>80</v>
      </c>
      <c r="AG43" s="102">
        <f t="shared" si="30"/>
        <v>80</v>
      </c>
      <c r="AH43" s="102">
        <f t="shared" si="30"/>
        <v>80</v>
      </c>
      <c r="AI43" s="102">
        <f t="shared" si="30"/>
        <v>80</v>
      </c>
      <c r="AJ43" s="102">
        <f t="shared" si="30"/>
        <v>80</v>
      </c>
      <c r="AK43" s="102">
        <f t="shared" si="30"/>
        <v>80</v>
      </c>
      <c r="AL43" s="102">
        <f t="shared" si="30"/>
        <v>80</v>
      </c>
      <c r="AM43" s="102">
        <f t="shared" si="30"/>
        <v>80</v>
      </c>
      <c r="AN43" s="102">
        <f t="shared" si="30"/>
        <v>80</v>
      </c>
      <c r="AO43" s="102">
        <f t="shared" si="30"/>
        <v>80</v>
      </c>
      <c r="AP43" s="102">
        <f t="shared" si="30"/>
        <v>80</v>
      </c>
      <c r="AQ43" s="102">
        <f t="shared" si="30"/>
        <v>80</v>
      </c>
      <c r="AR43" s="102">
        <f t="shared" si="30"/>
        <v>80</v>
      </c>
      <c r="AS43" s="102">
        <f t="shared" si="30"/>
        <v>80</v>
      </c>
      <c r="AT43" s="102">
        <f t="shared" si="30"/>
        <v>80</v>
      </c>
      <c r="AU43" s="102">
        <f t="shared" si="30"/>
        <v>80</v>
      </c>
      <c r="AV43" s="102">
        <f t="shared" si="30"/>
        <v>80</v>
      </c>
      <c r="AW43" s="90"/>
      <c r="AX43" s="90"/>
      <c r="AY43" s="90"/>
      <c r="AZ43" s="90"/>
      <c r="BA43" s="90"/>
      <c r="BB43" s="90"/>
      <c r="BC43" s="90"/>
      <c r="BD43" s="90"/>
      <c r="BE43" s="90"/>
      <c r="BF43" s="90"/>
      <c r="BG43" s="90"/>
    </row>
    <row r="44" ht="12.75" hidden="1" customHeight="1" outlineLevel="1">
      <c r="A44" s="515"/>
      <c r="B44" s="90"/>
      <c r="C44" s="90" t="s">
        <v>170</v>
      </c>
      <c r="D44" s="90"/>
      <c r="E44" s="90"/>
      <c r="F44" s="90"/>
      <c r="G44" s="90"/>
      <c r="H44" s="517"/>
      <c r="I44" s="517"/>
      <c r="J44" s="517"/>
      <c r="K44" s="516">
        <v>30.0</v>
      </c>
      <c r="L44" s="516">
        <f>Assumptions!F43</f>
        <v>72</v>
      </c>
      <c r="M44" s="516">
        <f>Assumptions!G43</f>
        <v>75</v>
      </c>
      <c r="N44" s="516">
        <f>Assumptions!H43</f>
        <v>75</v>
      </c>
      <c r="O44" s="516">
        <f>Assumptions!I43</f>
        <v>75</v>
      </c>
      <c r="P44" s="516">
        <f>Assumptions!J43</f>
        <v>75</v>
      </c>
      <c r="Q44" s="516">
        <f>Assumptions!K43</f>
        <v>75</v>
      </c>
      <c r="R44" s="516">
        <f>Assumptions!L43</f>
        <v>75</v>
      </c>
      <c r="S44" s="102">
        <f t="shared" ref="S44:AV44" si="31">R44</f>
        <v>75</v>
      </c>
      <c r="T44" s="102">
        <f t="shared" si="31"/>
        <v>75</v>
      </c>
      <c r="U44" s="102">
        <f t="shared" si="31"/>
        <v>75</v>
      </c>
      <c r="V44" s="102">
        <f t="shared" si="31"/>
        <v>75</v>
      </c>
      <c r="W44" s="102">
        <f t="shared" si="31"/>
        <v>75</v>
      </c>
      <c r="X44" s="102">
        <f t="shared" si="31"/>
        <v>75</v>
      </c>
      <c r="Y44" s="102">
        <f t="shared" si="31"/>
        <v>75</v>
      </c>
      <c r="Z44" s="102">
        <f t="shared" si="31"/>
        <v>75</v>
      </c>
      <c r="AA44" s="102">
        <f t="shared" si="31"/>
        <v>75</v>
      </c>
      <c r="AB44" s="102">
        <f t="shared" si="31"/>
        <v>75</v>
      </c>
      <c r="AC44" s="102">
        <f t="shared" si="31"/>
        <v>75</v>
      </c>
      <c r="AD44" s="102">
        <f t="shared" si="31"/>
        <v>75</v>
      </c>
      <c r="AE44" s="102">
        <f t="shared" si="31"/>
        <v>75</v>
      </c>
      <c r="AF44" s="102">
        <f t="shared" si="31"/>
        <v>75</v>
      </c>
      <c r="AG44" s="102">
        <f t="shared" si="31"/>
        <v>75</v>
      </c>
      <c r="AH44" s="102">
        <f t="shared" si="31"/>
        <v>75</v>
      </c>
      <c r="AI44" s="102">
        <f t="shared" si="31"/>
        <v>75</v>
      </c>
      <c r="AJ44" s="102">
        <f t="shared" si="31"/>
        <v>75</v>
      </c>
      <c r="AK44" s="102">
        <f t="shared" si="31"/>
        <v>75</v>
      </c>
      <c r="AL44" s="102">
        <f t="shared" si="31"/>
        <v>75</v>
      </c>
      <c r="AM44" s="102">
        <f t="shared" si="31"/>
        <v>75</v>
      </c>
      <c r="AN44" s="102">
        <f t="shared" si="31"/>
        <v>75</v>
      </c>
      <c r="AO44" s="102">
        <f t="shared" si="31"/>
        <v>75</v>
      </c>
      <c r="AP44" s="102">
        <f t="shared" si="31"/>
        <v>75</v>
      </c>
      <c r="AQ44" s="102">
        <f t="shared" si="31"/>
        <v>75</v>
      </c>
      <c r="AR44" s="102">
        <f t="shared" si="31"/>
        <v>75</v>
      </c>
      <c r="AS44" s="102">
        <f t="shared" si="31"/>
        <v>75</v>
      </c>
      <c r="AT44" s="102">
        <f t="shared" si="31"/>
        <v>75</v>
      </c>
      <c r="AU44" s="102">
        <f t="shared" si="31"/>
        <v>75</v>
      </c>
      <c r="AV44" s="102">
        <f t="shared" si="31"/>
        <v>75</v>
      </c>
      <c r="AW44" s="90"/>
      <c r="AX44" s="90"/>
      <c r="AY44" s="90"/>
      <c r="AZ44" s="90"/>
      <c r="BA44" s="90"/>
      <c r="BB44" s="90"/>
      <c r="BC44" s="90"/>
      <c r="BD44" s="90"/>
      <c r="BE44" s="90"/>
      <c r="BF44" s="90"/>
      <c r="BG44" s="90"/>
    </row>
    <row r="45" ht="12.75" hidden="1" customHeight="1" outlineLevel="1">
      <c r="A45" s="515"/>
      <c r="B45" s="87"/>
      <c r="C45" s="87" t="s">
        <v>171</v>
      </c>
      <c r="D45" s="87"/>
      <c r="E45" s="87"/>
      <c r="F45" s="87"/>
      <c r="G45" s="87"/>
      <c r="H45" s="519"/>
      <c r="I45" s="519"/>
      <c r="J45" s="519"/>
      <c r="K45" s="558">
        <v>0.0</v>
      </c>
      <c r="L45" s="558">
        <f>Assumptions!F44</f>
        <v>0</v>
      </c>
      <c r="M45" s="558">
        <f>Assumptions!G44</f>
        <v>60</v>
      </c>
      <c r="N45" s="558">
        <f>Assumptions!H44</f>
        <v>60</v>
      </c>
      <c r="O45" s="558">
        <f>Assumptions!I44</f>
        <v>60</v>
      </c>
      <c r="P45" s="558">
        <f>Assumptions!J44</f>
        <v>60</v>
      </c>
      <c r="Q45" s="558">
        <f>Assumptions!K44</f>
        <v>60</v>
      </c>
      <c r="R45" s="558">
        <f>Assumptions!L44</f>
        <v>60</v>
      </c>
      <c r="S45" s="203">
        <f t="shared" ref="S45:AV45" si="32">R45</f>
        <v>60</v>
      </c>
      <c r="T45" s="203">
        <f t="shared" si="32"/>
        <v>60</v>
      </c>
      <c r="U45" s="203">
        <f t="shared" si="32"/>
        <v>60</v>
      </c>
      <c r="V45" s="203">
        <f t="shared" si="32"/>
        <v>60</v>
      </c>
      <c r="W45" s="203">
        <f t="shared" si="32"/>
        <v>60</v>
      </c>
      <c r="X45" s="203">
        <f t="shared" si="32"/>
        <v>60</v>
      </c>
      <c r="Y45" s="203">
        <f t="shared" si="32"/>
        <v>60</v>
      </c>
      <c r="Z45" s="203">
        <f t="shared" si="32"/>
        <v>60</v>
      </c>
      <c r="AA45" s="203">
        <f t="shared" si="32"/>
        <v>60</v>
      </c>
      <c r="AB45" s="203">
        <f t="shared" si="32"/>
        <v>60</v>
      </c>
      <c r="AC45" s="203">
        <f t="shared" si="32"/>
        <v>60</v>
      </c>
      <c r="AD45" s="203">
        <f t="shared" si="32"/>
        <v>60</v>
      </c>
      <c r="AE45" s="203">
        <f t="shared" si="32"/>
        <v>60</v>
      </c>
      <c r="AF45" s="203">
        <f t="shared" si="32"/>
        <v>60</v>
      </c>
      <c r="AG45" s="203">
        <f t="shared" si="32"/>
        <v>60</v>
      </c>
      <c r="AH45" s="203">
        <f t="shared" si="32"/>
        <v>60</v>
      </c>
      <c r="AI45" s="203">
        <f t="shared" si="32"/>
        <v>60</v>
      </c>
      <c r="AJ45" s="203">
        <f t="shared" si="32"/>
        <v>60</v>
      </c>
      <c r="AK45" s="203">
        <f t="shared" si="32"/>
        <v>60</v>
      </c>
      <c r="AL45" s="203">
        <f t="shared" si="32"/>
        <v>60</v>
      </c>
      <c r="AM45" s="203">
        <f t="shared" si="32"/>
        <v>60</v>
      </c>
      <c r="AN45" s="203">
        <f t="shared" si="32"/>
        <v>60</v>
      </c>
      <c r="AO45" s="203">
        <f t="shared" si="32"/>
        <v>60</v>
      </c>
      <c r="AP45" s="203">
        <f t="shared" si="32"/>
        <v>60</v>
      </c>
      <c r="AQ45" s="203">
        <f t="shared" si="32"/>
        <v>60</v>
      </c>
      <c r="AR45" s="203">
        <f t="shared" si="32"/>
        <v>60</v>
      </c>
      <c r="AS45" s="203">
        <f t="shared" si="32"/>
        <v>60</v>
      </c>
      <c r="AT45" s="203">
        <f t="shared" si="32"/>
        <v>60</v>
      </c>
      <c r="AU45" s="203">
        <f t="shared" si="32"/>
        <v>60</v>
      </c>
      <c r="AV45" s="203">
        <f t="shared" si="32"/>
        <v>60</v>
      </c>
      <c r="AW45" s="90"/>
      <c r="AX45" s="90"/>
      <c r="AY45" s="90"/>
      <c r="AZ45" s="90"/>
      <c r="BA45" s="90"/>
      <c r="BB45" s="90"/>
      <c r="BC45" s="90"/>
      <c r="BD45" s="90"/>
      <c r="BE45" s="90"/>
      <c r="BF45" s="90"/>
      <c r="BG45" s="90"/>
    </row>
    <row r="46" ht="12.75" hidden="1" customHeight="1" outlineLevel="1">
      <c r="A46" s="515"/>
      <c r="B46" s="90" t="s">
        <v>619</v>
      </c>
      <c r="C46" s="90"/>
      <c r="D46" s="90"/>
      <c r="E46" s="90"/>
      <c r="F46" s="90"/>
      <c r="G46" s="90"/>
      <c r="H46" s="90"/>
      <c r="I46" s="90"/>
      <c r="J46" s="90"/>
      <c r="K46" s="102">
        <f t="shared" ref="K46:AV46" si="33">SUM(K40:K45)</f>
        <v>422</v>
      </c>
      <c r="L46" s="102">
        <f t="shared" si="33"/>
        <v>480</v>
      </c>
      <c r="M46" s="102">
        <f t="shared" si="33"/>
        <v>500</v>
      </c>
      <c r="N46" s="102">
        <f t="shared" si="33"/>
        <v>500</v>
      </c>
      <c r="O46" s="102">
        <f t="shared" si="33"/>
        <v>500</v>
      </c>
      <c r="P46" s="102">
        <f t="shared" si="33"/>
        <v>500</v>
      </c>
      <c r="Q46" s="102">
        <f t="shared" si="33"/>
        <v>500</v>
      </c>
      <c r="R46" s="102">
        <f t="shared" si="33"/>
        <v>500</v>
      </c>
      <c r="S46" s="102">
        <f t="shared" si="33"/>
        <v>500</v>
      </c>
      <c r="T46" s="102">
        <f t="shared" si="33"/>
        <v>500</v>
      </c>
      <c r="U46" s="102">
        <f t="shared" si="33"/>
        <v>500</v>
      </c>
      <c r="V46" s="102">
        <f t="shared" si="33"/>
        <v>500</v>
      </c>
      <c r="W46" s="102">
        <f t="shared" si="33"/>
        <v>500</v>
      </c>
      <c r="X46" s="102">
        <f t="shared" si="33"/>
        <v>500</v>
      </c>
      <c r="Y46" s="102">
        <f t="shared" si="33"/>
        <v>500</v>
      </c>
      <c r="Z46" s="102">
        <f t="shared" si="33"/>
        <v>500</v>
      </c>
      <c r="AA46" s="102">
        <f t="shared" si="33"/>
        <v>500</v>
      </c>
      <c r="AB46" s="102">
        <f t="shared" si="33"/>
        <v>500</v>
      </c>
      <c r="AC46" s="102">
        <f t="shared" si="33"/>
        <v>500</v>
      </c>
      <c r="AD46" s="102">
        <f t="shared" si="33"/>
        <v>500</v>
      </c>
      <c r="AE46" s="102">
        <f t="shared" si="33"/>
        <v>500</v>
      </c>
      <c r="AF46" s="102">
        <f t="shared" si="33"/>
        <v>500</v>
      </c>
      <c r="AG46" s="102">
        <f t="shared" si="33"/>
        <v>500</v>
      </c>
      <c r="AH46" s="102">
        <f t="shared" si="33"/>
        <v>500</v>
      </c>
      <c r="AI46" s="102">
        <f t="shared" si="33"/>
        <v>500</v>
      </c>
      <c r="AJ46" s="102">
        <f t="shared" si="33"/>
        <v>500</v>
      </c>
      <c r="AK46" s="102">
        <f t="shared" si="33"/>
        <v>500</v>
      </c>
      <c r="AL46" s="102">
        <f t="shared" si="33"/>
        <v>500</v>
      </c>
      <c r="AM46" s="102">
        <f t="shared" si="33"/>
        <v>500</v>
      </c>
      <c r="AN46" s="102">
        <f t="shared" si="33"/>
        <v>500</v>
      </c>
      <c r="AO46" s="102">
        <f t="shared" si="33"/>
        <v>500</v>
      </c>
      <c r="AP46" s="102">
        <f t="shared" si="33"/>
        <v>500</v>
      </c>
      <c r="AQ46" s="102">
        <f t="shared" si="33"/>
        <v>500</v>
      </c>
      <c r="AR46" s="102">
        <f t="shared" si="33"/>
        <v>500</v>
      </c>
      <c r="AS46" s="102">
        <f t="shared" si="33"/>
        <v>500</v>
      </c>
      <c r="AT46" s="102">
        <f t="shared" si="33"/>
        <v>500</v>
      </c>
      <c r="AU46" s="102">
        <f t="shared" si="33"/>
        <v>500</v>
      </c>
      <c r="AV46" s="102">
        <f t="shared" si="33"/>
        <v>500</v>
      </c>
      <c r="AW46" s="90"/>
      <c r="AX46" s="90"/>
      <c r="AY46" s="90"/>
      <c r="AZ46" s="90"/>
      <c r="BA46" s="90"/>
      <c r="BB46" s="90"/>
      <c r="BC46" s="90"/>
      <c r="BD46" s="90"/>
      <c r="BE46" s="90"/>
      <c r="BF46" s="90"/>
      <c r="BG46" s="90"/>
    </row>
    <row r="47" ht="12.75" hidden="1" customHeight="1" outlineLevel="1">
      <c r="A47" s="515"/>
      <c r="B47" s="90"/>
      <c r="C47" s="90"/>
      <c r="D47" s="90"/>
      <c r="E47" s="90"/>
      <c r="F47" s="90"/>
      <c r="G47" s="90"/>
      <c r="H47" s="90"/>
      <c r="I47" s="90"/>
      <c r="J47" s="90"/>
      <c r="K47" s="102"/>
      <c r="L47" s="152"/>
      <c r="M47" s="15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90"/>
      <c r="AX47" s="90"/>
      <c r="AY47" s="90"/>
      <c r="AZ47" s="90"/>
      <c r="BA47" s="90"/>
      <c r="BB47" s="90"/>
      <c r="BC47" s="90"/>
      <c r="BD47" s="90"/>
      <c r="BE47" s="90"/>
      <c r="BF47" s="90"/>
      <c r="BG47" s="90"/>
    </row>
    <row r="48" ht="12.75" hidden="1" customHeight="1" outlineLevel="1">
      <c r="A48" s="515"/>
      <c r="B48" s="90" t="s">
        <v>637</v>
      </c>
      <c r="C48" s="90"/>
      <c r="D48" s="90"/>
      <c r="E48" s="90"/>
      <c r="F48" s="90"/>
      <c r="G48" s="90"/>
      <c r="H48" s="90"/>
      <c r="I48" s="90"/>
      <c r="J48" s="90"/>
      <c r="K48" s="102">
        <f t="shared" ref="K48:AV48" si="34">K46-J46</f>
        <v>422</v>
      </c>
      <c r="L48" s="102">
        <f t="shared" si="34"/>
        <v>58</v>
      </c>
      <c r="M48" s="102">
        <f t="shared" si="34"/>
        <v>20</v>
      </c>
      <c r="N48" s="102">
        <f t="shared" si="34"/>
        <v>0</v>
      </c>
      <c r="O48" s="102">
        <f t="shared" si="34"/>
        <v>0</v>
      </c>
      <c r="P48" s="102">
        <f t="shared" si="34"/>
        <v>0</v>
      </c>
      <c r="Q48" s="102">
        <f t="shared" si="34"/>
        <v>0</v>
      </c>
      <c r="R48" s="102">
        <f t="shared" si="34"/>
        <v>0</v>
      </c>
      <c r="S48" s="102">
        <f t="shared" si="34"/>
        <v>0</v>
      </c>
      <c r="T48" s="102">
        <f t="shared" si="34"/>
        <v>0</v>
      </c>
      <c r="U48" s="102">
        <f t="shared" si="34"/>
        <v>0</v>
      </c>
      <c r="V48" s="102">
        <f t="shared" si="34"/>
        <v>0</v>
      </c>
      <c r="W48" s="102">
        <f t="shared" si="34"/>
        <v>0</v>
      </c>
      <c r="X48" s="102">
        <f t="shared" si="34"/>
        <v>0</v>
      </c>
      <c r="Y48" s="102">
        <f t="shared" si="34"/>
        <v>0</v>
      </c>
      <c r="Z48" s="102">
        <f t="shared" si="34"/>
        <v>0</v>
      </c>
      <c r="AA48" s="102">
        <f t="shared" si="34"/>
        <v>0</v>
      </c>
      <c r="AB48" s="102">
        <f t="shared" si="34"/>
        <v>0</v>
      </c>
      <c r="AC48" s="102">
        <f t="shared" si="34"/>
        <v>0</v>
      </c>
      <c r="AD48" s="102">
        <f t="shared" si="34"/>
        <v>0</v>
      </c>
      <c r="AE48" s="102">
        <f t="shared" si="34"/>
        <v>0</v>
      </c>
      <c r="AF48" s="102">
        <f t="shared" si="34"/>
        <v>0</v>
      </c>
      <c r="AG48" s="102">
        <f t="shared" si="34"/>
        <v>0</v>
      </c>
      <c r="AH48" s="102">
        <f t="shared" si="34"/>
        <v>0</v>
      </c>
      <c r="AI48" s="102">
        <f t="shared" si="34"/>
        <v>0</v>
      </c>
      <c r="AJ48" s="102">
        <f t="shared" si="34"/>
        <v>0</v>
      </c>
      <c r="AK48" s="102">
        <f t="shared" si="34"/>
        <v>0</v>
      </c>
      <c r="AL48" s="102">
        <f t="shared" si="34"/>
        <v>0</v>
      </c>
      <c r="AM48" s="102">
        <f t="shared" si="34"/>
        <v>0</v>
      </c>
      <c r="AN48" s="102">
        <f t="shared" si="34"/>
        <v>0</v>
      </c>
      <c r="AO48" s="102">
        <f t="shared" si="34"/>
        <v>0</v>
      </c>
      <c r="AP48" s="102">
        <f t="shared" si="34"/>
        <v>0</v>
      </c>
      <c r="AQ48" s="102">
        <f t="shared" si="34"/>
        <v>0</v>
      </c>
      <c r="AR48" s="102">
        <f t="shared" si="34"/>
        <v>0</v>
      </c>
      <c r="AS48" s="102">
        <f t="shared" si="34"/>
        <v>0</v>
      </c>
      <c r="AT48" s="102">
        <f t="shared" si="34"/>
        <v>0</v>
      </c>
      <c r="AU48" s="102">
        <f t="shared" si="34"/>
        <v>0</v>
      </c>
      <c r="AV48" s="102">
        <f t="shared" si="34"/>
        <v>0</v>
      </c>
      <c r="AW48" s="90"/>
      <c r="AX48" s="90"/>
      <c r="AY48" s="90"/>
      <c r="AZ48" s="90"/>
      <c r="BA48" s="90"/>
      <c r="BB48" s="90"/>
      <c r="BC48" s="90"/>
      <c r="BD48" s="90"/>
      <c r="BE48" s="90"/>
      <c r="BF48" s="90"/>
      <c r="BG48" s="90"/>
    </row>
    <row r="49" ht="12.75" hidden="1" customHeight="1" outlineLevel="1">
      <c r="A49" s="515"/>
      <c r="B49" s="90"/>
      <c r="C49" s="90"/>
      <c r="D49" s="90"/>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row>
    <row r="50" ht="12.75" hidden="1" customHeight="1" outlineLevel="1">
      <c r="A50" s="515"/>
      <c r="B50" s="90" t="s">
        <v>638</v>
      </c>
      <c r="C50" s="90"/>
      <c r="D50" s="90"/>
      <c r="E50" s="90"/>
      <c r="F50" s="90"/>
      <c r="G50" s="90"/>
      <c r="H50" s="157"/>
      <c r="I50" s="157"/>
      <c r="J50" s="157"/>
      <c r="K50" s="157">
        <v>1.0</v>
      </c>
      <c r="L50" s="152">
        <v>1.0</v>
      </c>
      <c r="M50" s="152">
        <f t="shared" ref="M50:AV50" si="35">L50</f>
        <v>1</v>
      </c>
      <c r="N50" s="152">
        <f t="shared" si="35"/>
        <v>1</v>
      </c>
      <c r="O50" s="152">
        <f t="shared" si="35"/>
        <v>1</v>
      </c>
      <c r="P50" s="152">
        <f t="shared" si="35"/>
        <v>1</v>
      </c>
      <c r="Q50" s="152">
        <f t="shared" si="35"/>
        <v>1</v>
      </c>
      <c r="R50" s="152">
        <f t="shared" si="35"/>
        <v>1</v>
      </c>
      <c r="S50" s="152">
        <f t="shared" si="35"/>
        <v>1</v>
      </c>
      <c r="T50" s="152">
        <f t="shared" si="35"/>
        <v>1</v>
      </c>
      <c r="U50" s="152">
        <f t="shared" si="35"/>
        <v>1</v>
      </c>
      <c r="V50" s="152">
        <f t="shared" si="35"/>
        <v>1</v>
      </c>
      <c r="W50" s="152">
        <f t="shared" si="35"/>
        <v>1</v>
      </c>
      <c r="X50" s="152">
        <f t="shared" si="35"/>
        <v>1</v>
      </c>
      <c r="Y50" s="152">
        <f t="shared" si="35"/>
        <v>1</v>
      </c>
      <c r="Z50" s="152">
        <f t="shared" si="35"/>
        <v>1</v>
      </c>
      <c r="AA50" s="152">
        <f t="shared" si="35"/>
        <v>1</v>
      </c>
      <c r="AB50" s="152">
        <f t="shared" si="35"/>
        <v>1</v>
      </c>
      <c r="AC50" s="152">
        <f t="shared" si="35"/>
        <v>1</v>
      </c>
      <c r="AD50" s="152">
        <f t="shared" si="35"/>
        <v>1</v>
      </c>
      <c r="AE50" s="152">
        <f t="shared" si="35"/>
        <v>1</v>
      </c>
      <c r="AF50" s="152">
        <f t="shared" si="35"/>
        <v>1</v>
      </c>
      <c r="AG50" s="152">
        <f t="shared" si="35"/>
        <v>1</v>
      </c>
      <c r="AH50" s="152">
        <f t="shared" si="35"/>
        <v>1</v>
      </c>
      <c r="AI50" s="152">
        <f t="shared" si="35"/>
        <v>1</v>
      </c>
      <c r="AJ50" s="152">
        <f t="shared" si="35"/>
        <v>1</v>
      </c>
      <c r="AK50" s="152">
        <f t="shared" si="35"/>
        <v>1</v>
      </c>
      <c r="AL50" s="152">
        <f t="shared" si="35"/>
        <v>1</v>
      </c>
      <c r="AM50" s="152">
        <f t="shared" si="35"/>
        <v>1</v>
      </c>
      <c r="AN50" s="152">
        <f t="shared" si="35"/>
        <v>1</v>
      </c>
      <c r="AO50" s="152">
        <f t="shared" si="35"/>
        <v>1</v>
      </c>
      <c r="AP50" s="152">
        <f t="shared" si="35"/>
        <v>1</v>
      </c>
      <c r="AQ50" s="152">
        <f t="shared" si="35"/>
        <v>1</v>
      </c>
      <c r="AR50" s="152">
        <f t="shared" si="35"/>
        <v>1</v>
      </c>
      <c r="AS50" s="152">
        <f t="shared" si="35"/>
        <v>1</v>
      </c>
      <c r="AT50" s="152">
        <f t="shared" si="35"/>
        <v>1</v>
      </c>
      <c r="AU50" s="152">
        <f t="shared" si="35"/>
        <v>1</v>
      </c>
      <c r="AV50" s="152">
        <f t="shared" si="35"/>
        <v>1</v>
      </c>
      <c r="AW50" s="90"/>
      <c r="AX50" s="90"/>
      <c r="AY50" s="90"/>
      <c r="AZ50" s="90"/>
      <c r="BA50" s="90"/>
      <c r="BB50" s="90"/>
      <c r="BC50" s="90"/>
      <c r="BD50" s="90"/>
      <c r="BE50" s="90"/>
      <c r="BF50" s="90"/>
      <c r="BG50" s="90"/>
    </row>
    <row r="51" ht="12.75" hidden="1" customHeight="1" outlineLevel="1">
      <c r="A51" s="515"/>
      <c r="B51" s="90"/>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row>
    <row r="52" ht="12.75" hidden="1" customHeight="1" outlineLevel="1">
      <c r="A52" s="515"/>
      <c r="B52" s="90" t="s">
        <v>639</v>
      </c>
      <c r="C52" s="90"/>
      <c r="D52" s="90"/>
      <c r="E52" s="90"/>
      <c r="F52" s="90"/>
      <c r="G52" s="90"/>
      <c r="H52" s="157"/>
      <c r="I52" s="157"/>
      <c r="J52" s="157"/>
      <c r="K52" s="157">
        <v>0.96</v>
      </c>
      <c r="L52" s="152">
        <f t="shared" ref="L52:AV52" si="36">K52</f>
        <v>0.96</v>
      </c>
      <c r="M52" s="152">
        <f t="shared" si="36"/>
        <v>0.96</v>
      </c>
      <c r="N52" s="152">
        <f t="shared" si="36"/>
        <v>0.96</v>
      </c>
      <c r="O52" s="152">
        <f t="shared" si="36"/>
        <v>0.96</v>
      </c>
      <c r="P52" s="152">
        <f t="shared" si="36"/>
        <v>0.96</v>
      </c>
      <c r="Q52" s="152">
        <f t="shared" si="36"/>
        <v>0.96</v>
      </c>
      <c r="R52" s="152">
        <f t="shared" si="36"/>
        <v>0.96</v>
      </c>
      <c r="S52" s="152">
        <f t="shared" si="36"/>
        <v>0.96</v>
      </c>
      <c r="T52" s="152">
        <f t="shared" si="36"/>
        <v>0.96</v>
      </c>
      <c r="U52" s="152">
        <f t="shared" si="36"/>
        <v>0.96</v>
      </c>
      <c r="V52" s="152">
        <f t="shared" si="36"/>
        <v>0.96</v>
      </c>
      <c r="W52" s="152">
        <f t="shared" si="36"/>
        <v>0.96</v>
      </c>
      <c r="X52" s="152">
        <f t="shared" si="36"/>
        <v>0.96</v>
      </c>
      <c r="Y52" s="152">
        <f t="shared" si="36"/>
        <v>0.96</v>
      </c>
      <c r="Z52" s="152">
        <f t="shared" si="36"/>
        <v>0.96</v>
      </c>
      <c r="AA52" s="152">
        <f t="shared" si="36"/>
        <v>0.96</v>
      </c>
      <c r="AB52" s="152">
        <f t="shared" si="36"/>
        <v>0.96</v>
      </c>
      <c r="AC52" s="152">
        <f t="shared" si="36"/>
        <v>0.96</v>
      </c>
      <c r="AD52" s="152">
        <f t="shared" si="36"/>
        <v>0.96</v>
      </c>
      <c r="AE52" s="152">
        <f t="shared" si="36"/>
        <v>0.96</v>
      </c>
      <c r="AF52" s="152">
        <f t="shared" si="36"/>
        <v>0.96</v>
      </c>
      <c r="AG52" s="152">
        <f t="shared" si="36"/>
        <v>0.96</v>
      </c>
      <c r="AH52" s="152">
        <f t="shared" si="36"/>
        <v>0.96</v>
      </c>
      <c r="AI52" s="152">
        <f t="shared" si="36"/>
        <v>0.96</v>
      </c>
      <c r="AJ52" s="152">
        <f t="shared" si="36"/>
        <v>0.96</v>
      </c>
      <c r="AK52" s="152">
        <f t="shared" si="36"/>
        <v>0.96</v>
      </c>
      <c r="AL52" s="152">
        <f t="shared" si="36"/>
        <v>0.96</v>
      </c>
      <c r="AM52" s="152">
        <f t="shared" si="36"/>
        <v>0.96</v>
      </c>
      <c r="AN52" s="152">
        <f t="shared" si="36"/>
        <v>0.96</v>
      </c>
      <c r="AO52" s="152">
        <f t="shared" si="36"/>
        <v>0.96</v>
      </c>
      <c r="AP52" s="152">
        <f t="shared" si="36"/>
        <v>0.96</v>
      </c>
      <c r="AQ52" s="152">
        <f t="shared" si="36"/>
        <v>0.96</v>
      </c>
      <c r="AR52" s="152">
        <f t="shared" si="36"/>
        <v>0.96</v>
      </c>
      <c r="AS52" s="152">
        <f t="shared" si="36"/>
        <v>0.96</v>
      </c>
      <c r="AT52" s="152">
        <f t="shared" si="36"/>
        <v>0.96</v>
      </c>
      <c r="AU52" s="152">
        <f t="shared" si="36"/>
        <v>0.96</v>
      </c>
      <c r="AV52" s="152">
        <f t="shared" si="36"/>
        <v>0.96</v>
      </c>
      <c r="AW52" s="90"/>
      <c r="AX52" s="90"/>
      <c r="AY52" s="90"/>
      <c r="AZ52" s="90"/>
      <c r="BA52" s="90"/>
      <c r="BB52" s="90"/>
      <c r="BC52" s="90"/>
      <c r="BD52" s="90"/>
      <c r="BE52" s="90"/>
      <c r="BF52" s="90"/>
      <c r="BG52" s="90"/>
    </row>
    <row r="53" ht="12.75" hidden="1" customHeight="1" outlineLevel="1">
      <c r="A53" s="515"/>
      <c r="B53" s="90"/>
      <c r="C53" s="90" t="s">
        <v>640</v>
      </c>
      <c r="D53" s="90"/>
      <c r="E53" s="90"/>
      <c r="F53" s="90"/>
      <c r="G53" s="90"/>
      <c r="H53" s="102"/>
      <c r="I53" s="102"/>
      <c r="J53" s="102"/>
      <c r="K53" s="102">
        <f t="shared" ref="K53:AV53" si="37">K50*K52*SUM(K40:K43)</f>
        <v>376.32</v>
      </c>
      <c r="L53" s="102">
        <f t="shared" si="37"/>
        <v>391.68</v>
      </c>
      <c r="M53" s="102">
        <f t="shared" si="37"/>
        <v>350.4</v>
      </c>
      <c r="N53" s="102">
        <f t="shared" si="37"/>
        <v>350.4</v>
      </c>
      <c r="O53" s="102">
        <f t="shared" si="37"/>
        <v>350.4</v>
      </c>
      <c r="P53" s="102">
        <f t="shared" si="37"/>
        <v>350.4</v>
      </c>
      <c r="Q53" s="102">
        <f t="shared" si="37"/>
        <v>350.4</v>
      </c>
      <c r="R53" s="102">
        <f t="shared" si="37"/>
        <v>350.4</v>
      </c>
      <c r="S53" s="102">
        <f t="shared" si="37"/>
        <v>350.4</v>
      </c>
      <c r="T53" s="102">
        <f t="shared" si="37"/>
        <v>350.4</v>
      </c>
      <c r="U53" s="102">
        <f t="shared" si="37"/>
        <v>350.4</v>
      </c>
      <c r="V53" s="102">
        <f t="shared" si="37"/>
        <v>350.4</v>
      </c>
      <c r="W53" s="102">
        <f t="shared" si="37"/>
        <v>350.4</v>
      </c>
      <c r="X53" s="102">
        <f t="shared" si="37"/>
        <v>350.4</v>
      </c>
      <c r="Y53" s="102">
        <f t="shared" si="37"/>
        <v>350.4</v>
      </c>
      <c r="Z53" s="102">
        <f t="shared" si="37"/>
        <v>350.4</v>
      </c>
      <c r="AA53" s="102">
        <f t="shared" si="37"/>
        <v>350.4</v>
      </c>
      <c r="AB53" s="102">
        <f t="shared" si="37"/>
        <v>350.4</v>
      </c>
      <c r="AC53" s="102">
        <f t="shared" si="37"/>
        <v>350.4</v>
      </c>
      <c r="AD53" s="102">
        <f t="shared" si="37"/>
        <v>350.4</v>
      </c>
      <c r="AE53" s="102">
        <f t="shared" si="37"/>
        <v>350.4</v>
      </c>
      <c r="AF53" s="102">
        <f t="shared" si="37"/>
        <v>350.4</v>
      </c>
      <c r="AG53" s="102">
        <f t="shared" si="37"/>
        <v>350.4</v>
      </c>
      <c r="AH53" s="102">
        <f t="shared" si="37"/>
        <v>350.4</v>
      </c>
      <c r="AI53" s="102">
        <f t="shared" si="37"/>
        <v>350.4</v>
      </c>
      <c r="AJ53" s="102">
        <f t="shared" si="37"/>
        <v>350.4</v>
      </c>
      <c r="AK53" s="102">
        <f t="shared" si="37"/>
        <v>350.4</v>
      </c>
      <c r="AL53" s="102">
        <f t="shared" si="37"/>
        <v>350.4</v>
      </c>
      <c r="AM53" s="102">
        <f t="shared" si="37"/>
        <v>350.4</v>
      </c>
      <c r="AN53" s="102">
        <f t="shared" si="37"/>
        <v>350.4</v>
      </c>
      <c r="AO53" s="102">
        <f t="shared" si="37"/>
        <v>350.4</v>
      </c>
      <c r="AP53" s="102">
        <f t="shared" si="37"/>
        <v>350.4</v>
      </c>
      <c r="AQ53" s="102">
        <f t="shared" si="37"/>
        <v>350.4</v>
      </c>
      <c r="AR53" s="102">
        <f t="shared" si="37"/>
        <v>350.4</v>
      </c>
      <c r="AS53" s="102">
        <f t="shared" si="37"/>
        <v>350.4</v>
      </c>
      <c r="AT53" s="102">
        <f t="shared" si="37"/>
        <v>350.4</v>
      </c>
      <c r="AU53" s="102">
        <f t="shared" si="37"/>
        <v>350.4</v>
      </c>
      <c r="AV53" s="102">
        <f t="shared" si="37"/>
        <v>350.4</v>
      </c>
      <c r="AW53" s="90"/>
      <c r="AX53" s="90"/>
      <c r="AY53" s="90"/>
      <c r="AZ53" s="90"/>
      <c r="BA53" s="90"/>
      <c r="BB53" s="90"/>
      <c r="BC53" s="90"/>
      <c r="BD53" s="90"/>
      <c r="BE53" s="90"/>
      <c r="BF53" s="90"/>
      <c r="BG53" s="90"/>
    </row>
    <row r="54" ht="12.75" hidden="1" customHeight="1" outlineLevel="1">
      <c r="A54" s="515"/>
      <c r="B54" s="90"/>
      <c r="C54" s="90" t="s">
        <v>641</v>
      </c>
      <c r="D54" s="90"/>
      <c r="E54" s="90"/>
      <c r="F54" s="90"/>
      <c r="G54" s="90"/>
      <c r="H54" s="102"/>
      <c r="I54" s="102"/>
      <c r="J54" s="102"/>
      <c r="K54" s="102">
        <f t="shared" ref="K54:AV54" si="38">K50*K52*(K44+K45)</f>
        <v>28.8</v>
      </c>
      <c r="L54" s="102">
        <f t="shared" si="38"/>
        <v>69.12</v>
      </c>
      <c r="M54" s="102">
        <f t="shared" si="38"/>
        <v>129.6</v>
      </c>
      <c r="N54" s="102">
        <f t="shared" si="38"/>
        <v>129.6</v>
      </c>
      <c r="O54" s="102">
        <f t="shared" si="38"/>
        <v>129.6</v>
      </c>
      <c r="P54" s="102">
        <f t="shared" si="38"/>
        <v>129.6</v>
      </c>
      <c r="Q54" s="102">
        <f t="shared" si="38"/>
        <v>129.6</v>
      </c>
      <c r="R54" s="102">
        <f t="shared" si="38"/>
        <v>129.6</v>
      </c>
      <c r="S54" s="102">
        <f t="shared" si="38"/>
        <v>129.6</v>
      </c>
      <c r="T54" s="102">
        <f t="shared" si="38"/>
        <v>129.6</v>
      </c>
      <c r="U54" s="102">
        <f t="shared" si="38"/>
        <v>129.6</v>
      </c>
      <c r="V54" s="102">
        <f t="shared" si="38"/>
        <v>129.6</v>
      </c>
      <c r="W54" s="102">
        <f t="shared" si="38"/>
        <v>129.6</v>
      </c>
      <c r="X54" s="102">
        <f t="shared" si="38"/>
        <v>129.6</v>
      </c>
      <c r="Y54" s="102">
        <f t="shared" si="38"/>
        <v>129.6</v>
      </c>
      <c r="Z54" s="102">
        <f t="shared" si="38"/>
        <v>129.6</v>
      </c>
      <c r="AA54" s="102">
        <f t="shared" si="38"/>
        <v>129.6</v>
      </c>
      <c r="AB54" s="102">
        <f t="shared" si="38"/>
        <v>129.6</v>
      </c>
      <c r="AC54" s="102">
        <f t="shared" si="38"/>
        <v>129.6</v>
      </c>
      <c r="AD54" s="102">
        <f t="shared" si="38"/>
        <v>129.6</v>
      </c>
      <c r="AE54" s="102">
        <f t="shared" si="38"/>
        <v>129.6</v>
      </c>
      <c r="AF54" s="102">
        <f t="shared" si="38"/>
        <v>129.6</v>
      </c>
      <c r="AG54" s="102">
        <f t="shared" si="38"/>
        <v>129.6</v>
      </c>
      <c r="AH54" s="102">
        <f t="shared" si="38"/>
        <v>129.6</v>
      </c>
      <c r="AI54" s="102">
        <f t="shared" si="38"/>
        <v>129.6</v>
      </c>
      <c r="AJ54" s="102">
        <f t="shared" si="38"/>
        <v>129.6</v>
      </c>
      <c r="AK54" s="102">
        <f t="shared" si="38"/>
        <v>129.6</v>
      </c>
      <c r="AL54" s="102">
        <f t="shared" si="38"/>
        <v>129.6</v>
      </c>
      <c r="AM54" s="102">
        <f t="shared" si="38"/>
        <v>129.6</v>
      </c>
      <c r="AN54" s="102">
        <f t="shared" si="38"/>
        <v>129.6</v>
      </c>
      <c r="AO54" s="102">
        <f t="shared" si="38"/>
        <v>129.6</v>
      </c>
      <c r="AP54" s="102">
        <f t="shared" si="38"/>
        <v>129.6</v>
      </c>
      <c r="AQ54" s="102">
        <f t="shared" si="38"/>
        <v>129.6</v>
      </c>
      <c r="AR54" s="102">
        <f t="shared" si="38"/>
        <v>129.6</v>
      </c>
      <c r="AS54" s="102">
        <f t="shared" si="38"/>
        <v>129.6</v>
      </c>
      <c r="AT54" s="102">
        <f t="shared" si="38"/>
        <v>129.6</v>
      </c>
      <c r="AU54" s="102">
        <f t="shared" si="38"/>
        <v>129.6</v>
      </c>
      <c r="AV54" s="102">
        <f t="shared" si="38"/>
        <v>129.6</v>
      </c>
      <c r="AW54" s="90"/>
      <c r="AX54" s="90"/>
      <c r="AY54" s="90"/>
      <c r="AZ54" s="90"/>
      <c r="BA54" s="90"/>
      <c r="BB54" s="90"/>
      <c r="BC54" s="90"/>
      <c r="BD54" s="90"/>
      <c r="BE54" s="90"/>
      <c r="BF54" s="90"/>
      <c r="BG54" s="90"/>
    </row>
    <row r="55" ht="12.75" hidden="1" customHeight="1" outlineLevel="1">
      <c r="A55" s="515"/>
      <c r="B55" s="90" t="s">
        <v>538</v>
      </c>
      <c r="C55" s="90"/>
      <c r="D55" s="90"/>
      <c r="E55" s="90"/>
      <c r="F55" s="90"/>
      <c r="G55" s="90"/>
      <c r="H55" s="102"/>
      <c r="I55" s="102"/>
      <c r="J55" s="102"/>
      <c r="K55" s="102">
        <f t="shared" ref="K55:AV55" si="39">K50*K52*K46</f>
        <v>405.12</v>
      </c>
      <c r="L55" s="102">
        <f t="shared" si="39"/>
        <v>460.8</v>
      </c>
      <c r="M55" s="102">
        <f t="shared" si="39"/>
        <v>480</v>
      </c>
      <c r="N55" s="102">
        <f t="shared" si="39"/>
        <v>480</v>
      </c>
      <c r="O55" s="102">
        <f t="shared" si="39"/>
        <v>480</v>
      </c>
      <c r="P55" s="102">
        <f t="shared" si="39"/>
        <v>480</v>
      </c>
      <c r="Q55" s="102">
        <f t="shared" si="39"/>
        <v>480</v>
      </c>
      <c r="R55" s="102">
        <f t="shared" si="39"/>
        <v>480</v>
      </c>
      <c r="S55" s="102">
        <f t="shared" si="39"/>
        <v>480</v>
      </c>
      <c r="T55" s="102">
        <f t="shared" si="39"/>
        <v>480</v>
      </c>
      <c r="U55" s="102">
        <f t="shared" si="39"/>
        <v>480</v>
      </c>
      <c r="V55" s="102">
        <f t="shared" si="39"/>
        <v>480</v>
      </c>
      <c r="W55" s="102">
        <f t="shared" si="39"/>
        <v>480</v>
      </c>
      <c r="X55" s="102">
        <f t="shared" si="39"/>
        <v>480</v>
      </c>
      <c r="Y55" s="102">
        <f t="shared" si="39"/>
        <v>480</v>
      </c>
      <c r="Z55" s="102">
        <f t="shared" si="39"/>
        <v>480</v>
      </c>
      <c r="AA55" s="102">
        <f t="shared" si="39"/>
        <v>480</v>
      </c>
      <c r="AB55" s="102">
        <f t="shared" si="39"/>
        <v>480</v>
      </c>
      <c r="AC55" s="102">
        <f t="shared" si="39"/>
        <v>480</v>
      </c>
      <c r="AD55" s="102">
        <f t="shared" si="39"/>
        <v>480</v>
      </c>
      <c r="AE55" s="102">
        <f t="shared" si="39"/>
        <v>480</v>
      </c>
      <c r="AF55" s="102">
        <f t="shared" si="39"/>
        <v>480</v>
      </c>
      <c r="AG55" s="102">
        <f t="shared" si="39"/>
        <v>480</v>
      </c>
      <c r="AH55" s="102">
        <f t="shared" si="39"/>
        <v>480</v>
      </c>
      <c r="AI55" s="102">
        <f t="shared" si="39"/>
        <v>480</v>
      </c>
      <c r="AJ55" s="102">
        <f t="shared" si="39"/>
        <v>480</v>
      </c>
      <c r="AK55" s="102">
        <f t="shared" si="39"/>
        <v>480</v>
      </c>
      <c r="AL55" s="102">
        <f t="shared" si="39"/>
        <v>480</v>
      </c>
      <c r="AM55" s="102">
        <f t="shared" si="39"/>
        <v>480</v>
      </c>
      <c r="AN55" s="102">
        <f t="shared" si="39"/>
        <v>480</v>
      </c>
      <c r="AO55" s="102">
        <f t="shared" si="39"/>
        <v>480</v>
      </c>
      <c r="AP55" s="102">
        <f t="shared" si="39"/>
        <v>480</v>
      </c>
      <c r="AQ55" s="102">
        <f t="shared" si="39"/>
        <v>480</v>
      </c>
      <c r="AR55" s="102">
        <f t="shared" si="39"/>
        <v>480</v>
      </c>
      <c r="AS55" s="102">
        <f t="shared" si="39"/>
        <v>480</v>
      </c>
      <c r="AT55" s="102">
        <f t="shared" si="39"/>
        <v>480</v>
      </c>
      <c r="AU55" s="102">
        <f t="shared" si="39"/>
        <v>480</v>
      </c>
      <c r="AV55" s="102">
        <f t="shared" si="39"/>
        <v>480</v>
      </c>
      <c r="AW55" s="90"/>
      <c r="AX55" s="90"/>
      <c r="AY55" s="90"/>
      <c r="AZ55" s="90"/>
      <c r="BA55" s="90"/>
      <c r="BB55" s="90"/>
      <c r="BC55" s="90"/>
      <c r="BD55" s="90"/>
      <c r="BE55" s="90"/>
      <c r="BF55" s="90"/>
      <c r="BG55" s="90"/>
    </row>
    <row r="56" ht="12.75" hidden="1" customHeight="1" outlineLevel="1">
      <c r="A56" s="515"/>
      <c r="B56" s="195"/>
      <c r="C56" s="90"/>
      <c r="D56" s="90"/>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row>
    <row r="57" ht="12.75" hidden="1" customHeight="1" outlineLevel="1">
      <c r="A57" s="515"/>
      <c r="B57" s="90" t="s">
        <v>642</v>
      </c>
      <c r="C57" s="90"/>
      <c r="D57" s="90"/>
      <c r="E57" s="90"/>
      <c r="F57" s="90"/>
      <c r="G57" s="90"/>
      <c r="H57" s="157"/>
      <c r="I57" s="157"/>
      <c r="J57" s="157"/>
      <c r="K57" s="157">
        <v>0.7</v>
      </c>
      <c r="L57" s="152">
        <f t="shared" ref="L57:AV57" si="40">K57</f>
        <v>0.7</v>
      </c>
      <c r="M57" s="152">
        <f t="shared" si="40"/>
        <v>0.7</v>
      </c>
      <c r="N57" s="152">
        <f t="shared" si="40"/>
        <v>0.7</v>
      </c>
      <c r="O57" s="152">
        <f t="shared" si="40"/>
        <v>0.7</v>
      </c>
      <c r="P57" s="152">
        <f t="shared" si="40"/>
        <v>0.7</v>
      </c>
      <c r="Q57" s="152">
        <f t="shared" si="40"/>
        <v>0.7</v>
      </c>
      <c r="R57" s="152">
        <f t="shared" si="40"/>
        <v>0.7</v>
      </c>
      <c r="S57" s="152">
        <f t="shared" si="40"/>
        <v>0.7</v>
      </c>
      <c r="T57" s="152">
        <f t="shared" si="40"/>
        <v>0.7</v>
      </c>
      <c r="U57" s="152">
        <f t="shared" si="40"/>
        <v>0.7</v>
      </c>
      <c r="V57" s="152">
        <f t="shared" si="40"/>
        <v>0.7</v>
      </c>
      <c r="W57" s="152">
        <f t="shared" si="40"/>
        <v>0.7</v>
      </c>
      <c r="X57" s="152">
        <f t="shared" si="40"/>
        <v>0.7</v>
      </c>
      <c r="Y57" s="152">
        <f t="shared" si="40"/>
        <v>0.7</v>
      </c>
      <c r="Z57" s="152">
        <f t="shared" si="40"/>
        <v>0.7</v>
      </c>
      <c r="AA57" s="152">
        <f t="shared" si="40"/>
        <v>0.7</v>
      </c>
      <c r="AB57" s="152">
        <f t="shared" si="40"/>
        <v>0.7</v>
      </c>
      <c r="AC57" s="152">
        <f t="shared" si="40"/>
        <v>0.7</v>
      </c>
      <c r="AD57" s="152">
        <f t="shared" si="40"/>
        <v>0.7</v>
      </c>
      <c r="AE57" s="152">
        <f t="shared" si="40"/>
        <v>0.7</v>
      </c>
      <c r="AF57" s="152">
        <f t="shared" si="40"/>
        <v>0.7</v>
      </c>
      <c r="AG57" s="152">
        <f t="shared" si="40"/>
        <v>0.7</v>
      </c>
      <c r="AH57" s="152">
        <f t="shared" si="40"/>
        <v>0.7</v>
      </c>
      <c r="AI57" s="152">
        <f t="shared" si="40"/>
        <v>0.7</v>
      </c>
      <c r="AJ57" s="152">
        <f t="shared" si="40"/>
        <v>0.7</v>
      </c>
      <c r="AK57" s="152">
        <f t="shared" si="40"/>
        <v>0.7</v>
      </c>
      <c r="AL57" s="152">
        <f t="shared" si="40"/>
        <v>0.7</v>
      </c>
      <c r="AM57" s="152">
        <f t="shared" si="40"/>
        <v>0.7</v>
      </c>
      <c r="AN57" s="152">
        <f t="shared" si="40"/>
        <v>0.7</v>
      </c>
      <c r="AO57" s="152">
        <f t="shared" si="40"/>
        <v>0.7</v>
      </c>
      <c r="AP57" s="152">
        <f t="shared" si="40"/>
        <v>0.7</v>
      </c>
      <c r="AQ57" s="152">
        <f t="shared" si="40"/>
        <v>0.7</v>
      </c>
      <c r="AR57" s="152">
        <f t="shared" si="40"/>
        <v>0.7</v>
      </c>
      <c r="AS57" s="152">
        <f t="shared" si="40"/>
        <v>0.7</v>
      </c>
      <c r="AT57" s="152">
        <f t="shared" si="40"/>
        <v>0.7</v>
      </c>
      <c r="AU57" s="152">
        <f t="shared" si="40"/>
        <v>0.7</v>
      </c>
      <c r="AV57" s="152">
        <f t="shared" si="40"/>
        <v>0.7</v>
      </c>
      <c r="AW57" s="90"/>
      <c r="AX57" s="90"/>
      <c r="AY57" s="90"/>
      <c r="AZ57" s="90"/>
      <c r="BA57" s="90"/>
      <c r="BB57" s="90"/>
      <c r="BC57" s="90"/>
      <c r="BD57" s="90"/>
      <c r="BE57" s="90"/>
      <c r="BF57" s="90"/>
      <c r="BG57" s="90"/>
    </row>
    <row r="58" ht="12.75" hidden="1" customHeight="1" outlineLevel="1">
      <c r="A58" s="515"/>
      <c r="B58" s="90" t="s">
        <v>643</v>
      </c>
      <c r="C58" s="90"/>
      <c r="D58" s="90"/>
      <c r="E58" s="90"/>
      <c r="F58" s="90"/>
      <c r="G58" s="90"/>
      <c r="H58" s="90"/>
      <c r="I58" s="90"/>
      <c r="J58" s="90"/>
      <c r="K58" s="102">
        <f t="shared" ref="K58:AV58" si="41">ROUND(K50*K57*K46,0)</f>
        <v>295</v>
      </c>
      <c r="L58" s="102">
        <f t="shared" si="41"/>
        <v>336</v>
      </c>
      <c r="M58" s="102">
        <f t="shared" si="41"/>
        <v>350</v>
      </c>
      <c r="N58" s="102">
        <f t="shared" si="41"/>
        <v>350</v>
      </c>
      <c r="O58" s="102">
        <f t="shared" si="41"/>
        <v>350</v>
      </c>
      <c r="P58" s="102">
        <f t="shared" si="41"/>
        <v>350</v>
      </c>
      <c r="Q58" s="102">
        <f t="shared" si="41"/>
        <v>350</v>
      </c>
      <c r="R58" s="102">
        <f t="shared" si="41"/>
        <v>350</v>
      </c>
      <c r="S58" s="102">
        <f t="shared" si="41"/>
        <v>350</v>
      </c>
      <c r="T58" s="102">
        <f t="shared" si="41"/>
        <v>350</v>
      </c>
      <c r="U58" s="102">
        <f t="shared" si="41"/>
        <v>350</v>
      </c>
      <c r="V58" s="102">
        <f t="shared" si="41"/>
        <v>350</v>
      </c>
      <c r="W58" s="102">
        <f t="shared" si="41"/>
        <v>350</v>
      </c>
      <c r="X58" s="102">
        <f t="shared" si="41"/>
        <v>350</v>
      </c>
      <c r="Y58" s="102">
        <f t="shared" si="41"/>
        <v>350</v>
      </c>
      <c r="Z58" s="102">
        <f t="shared" si="41"/>
        <v>350</v>
      </c>
      <c r="AA58" s="102">
        <f t="shared" si="41"/>
        <v>350</v>
      </c>
      <c r="AB58" s="102">
        <f t="shared" si="41"/>
        <v>350</v>
      </c>
      <c r="AC58" s="102">
        <f t="shared" si="41"/>
        <v>350</v>
      </c>
      <c r="AD58" s="102">
        <f t="shared" si="41"/>
        <v>350</v>
      </c>
      <c r="AE58" s="102">
        <f t="shared" si="41"/>
        <v>350</v>
      </c>
      <c r="AF58" s="102">
        <f t="shared" si="41"/>
        <v>350</v>
      </c>
      <c r="AG58" s="102">
        <f t="shared" si="41"/>
        <v>350</v>
      </c>
      <c r="AH58" s="102">
        <f t="shared" si="41"/>
        <v>350</v>
      </c>
      <c r="AI58" s="102">
        <f t="shared" si="41"/>
        <v>350</v>
      </c>
      <c r="AJ58" s="102">
        <f t="shared" si="41"/>
        <v>350</v>
      </c>
      <c r="AK58" s="102">
        <f t="shared" si="41"/>
        <v>350</v>
      </c>
      <c r="AL58" s="102">
        <f t="shared" si="41"/>
        <v>350</v>
      </c>
      <c r="AM58" s="102">
        <f t="shared" si="41"/>
        <v>350</v>
      </c>
      <c r="AN58" s="102">
        <f t="shared" si="41"/>
        <v>350</v>
      </c>
      <c r="AO58" s="102">
        <f t="shared" si="41"/>
        <v>350</v>
      </c>
      <c r="AP58" s="102">
        <f t="shared" si="41"/>
        <v>350</v>
      </c>
      <c r="AQ58" s="102">
        <f t="shared" si="41"/>
        <v>350</v>
      </c>
      <c r="AR58" s="102">
        <f t="shared" si="41"/>
        <v>350</v>
      </c>
      <c r="AS58" s="102">
        <f t="shared" si="41"/>
        <v>350</v>
      </c>
      <c r="AT58" s="102">
        <f t="shared" si="41"/>
        <v>350</v>
      </c>
      <c r="AU58" s="102">
        <f t="shared" si="41"/>
        <v>350</v>
      </c>
      <c r="AV58" s="102">
        <f t="shared" si="41"/>
        <v>350</v>
      </c>
      <c r="AW58" s="90"/>
      <c r="AX58" s="90"/>
      <c r="AY58" s="90"/>
      <c r="AZ58" s="90"/>
      <c r="BA58" s="90"/>
      <c r="BB58" s="90"/>
      <c r="BC58" s="90"/>
      <c r="BD58" s="90"/>
      <c r="BE58" s="90"/>
      <c r="BF58" s="90"/>
      <c r="BG58" s="90"/>
    </row>
    <row r="59" ht="12.75" hidden="1" customHeight="1" outlineLevel="1">
      <c r="A59" s="515"/>
      <c r="B59" s="90" t="s">
        <v>644</v>
      </c>
      <c r="C59" s="90"/>
      <c r="D59" s="90"/>
      <c r="E59" s="90"/>
      <c r="F59" s="90"/>
      <c r="G59" s="90"/>
      <c r="H59" s="157"/>
      <c r="I59" s="157"/>
      <c r="J59" s="152"/>
      <c r="K59" s="157">
        <v>0.06</v>
      </c>
      <c r="L59" s="152">
        <f t="shared" ref="L59:AV59" si="42">K59</f>
        <v>0.06</v>
      </c>
      <c r="M59" s="152">
        <f t="shared" si="42"/>
        <v>0.06</v>
      </c>
      <c r="N59" s="152">
        <f t="shared" si="42"/>
        <v>0.06</v>
      </c>
      <c r="O59" s="152">
        <f t="shared" si="42"/>
        <v>0.06</v>
      </c>
      <c r="P59" s="152">
        <f t="shared" si="42"/>
        <v>0.06</v>
      </c>
      <c r="Q59" s="152">
        <f t="shared" si="42"/>
        <v>0.06</v>
      </c>
      <c r="R59" s="152">
        <f t="shared" si="42"/>
        <v>0.06</v>
      </c>
      <c r="S59" s="152">
        <f t="shared" si="42"/>
        <v>0.06</v>
      </c>
      <c r="T59" s="152">
        <f t="shared" si="42"/>
        <v>0.06</v>
      </c>
      <c r="U59" s="152">
        <f t="shared" si="42"/>
        <v>0.06</v>
      </c>
      <c r="V59" s="152">
        <f t="shared" si="42"/>
        <v>0.06</v>
      </c>
      <c r="W59" s="152">
        <f t="shared" si="42"/>
        <v>0.06</v>
      </c>
      <c r="X59" s="152">
        <f t="shared" si="42"/>
        <v>0.06</v>
      </c>
      <c r="Y59" s="152">
        <f t="shared" si="42"/>
        <v>0.06</v>
      </c>
      <c r="Z59" s="152">
        <f t="shared" si="42"/>
        <v>0.06</v>
      </c>
      <c r="AA59" s="152">
        <f t="shared" si="42"/>
        <v>0.06</v>
      </c>
      <c r="AB59" s="152">
        <f t="shared" si="42"/>
        <v>0.06</v>
      </c>
      <c r="AC59" s="152">
        <f t="shared" si="42"/>
        <v>0.06</v>
      </c>
      <c r="AD59" s="152">
        <f t="shared" si="42"/>
        <v>0.06</v>
      </c>
      <c r="AE59" s="152">
        <f t="shared" si="42"/>
        <v>0.06</v>
      </c>
      <c r="AF59" s="152">
        <f t="shared" si="42"/>
        <v>0.06</v>
      </c>
      <c r="AG59" s="152">
        <f t="shared" si="42"/>
        <v>0.06</v>
      </c>
      <c r="AH59" s="152">
        <f t="shared" si="42"/>
        <v>0.06</v>
      </c>
      <c r="AI59" s="152">
        <f t="shared" si="42"/>
        <v>0.06</v>
      </c>
      <c r="AJ59" s="152">
        <f t="shared" si="42"/>
        <v>0.06</v>
      </c>
      <c r="AK59" s="152">
        <f t="shared" si="42"/>
        <v>0.06</v>
      </c>
      <c r="AL59" s="152">
        <f t="shared" si="42"/>
        <v>0.06</v>
      </c>
      <c r="AM59" s="152">
        <f t="shared" si="42"/>
        <v>0.06</v>
      </c>
      <c r="AN59" s="152">
        <f t="shared" si="42"/>
        <v>0.06</v>
      </c>
      <c r="AO59" s="152">
        <f t="shared" si="42"/>
        <v>0.06</v>
      </c>
      <c r="AP59" s="152">
        <f t="shared" si="42"/>
        <v>0.06</v>
      </c>
      <c r="AQ59" s="152">
        <f t="shared" si="42"/>
        <v>0.06</v>
      </c>
      <c r="AR59" s="152">
        <f t="shared" si="42"/>
        <v>0.06</v>
      </c>
      <c r="AS59" s="152">
        <f t="shared" si="42"/>
        <v>0.06</v>
      </c>
      <c r="AT59" s="152">
        <f t="shared" si="42"/>
        <v>0.06</v>
      </c>
      <c r="AU59" s="152">
        <f t="shared" si="42"/>
        <v>0.06</v>
      </c>
      <c r="AV59" s="152">
        <f t="shared" si="42"/>
        <v>0.06</v>
      </c>
      <c r="AW59" s="90"/>
      <c r="AX59" s="90"/>
      <c r="AY59" s="90"/>
      <c r="AZ59" s="90"/>
      <c r="BA59" s="90"/>
      <c r="BB59" s="90"/>
      <c r="BC59" s="90"/>
      <c r="BD59" s="90"/>
      <c r="BE59" s="90"/>
      <c r="BF59" s="90"/>
      <c r="BG59" s="90"/>
    </row>
    <row r="60" ht="12.75" hidden="1" customHeight="1" outlineLevel="1">
      <c r="A60" s="515"/>
      <c r="B60" s="90" t="s">
        <v>645</v>
      </c>
      <c r="C60" s="90"/>
      <c r="D60" s="90"/>
      <c r="E60" s="90"/>
      <c r="F60" s="90"/>
      <c r="G60" s="90"/>
      <c r="H60" s="157"/>
      <c r="I60" s="157"/>
      <c r="J60" s="152"/>
      <c r="K60" s="157">
        <v>0.8</v>
      </c>
      <c r="L60" s="152">
        <f t="shared" ref="L60:AV60" si="43">K60</f>
        <v>0.8</v>
      </c>
      <c r="M60" s="152">
        <f t="shared" si="43"/>
        <v>0.8</v>
      </c>
      <c r="N60" s="152">
        <f t="shared" si="43"/>
        <v>0.8</v>
      </c>
      <c r="O60" s="152">
        <f t="shared" si="43"/>
        <v>0.8</v>
      </c>
      <c r="P60" s="152">
        <f t="shared" si="43"/>
        <v>0.8</v>
      </c>
      <c r="Q60" s="152">
        <f t="shared" si="43"/>
        <v>0.8</v>
      </c>
      <c r="R60" s="152">
        <f t="shared" si="43"/>
        <v>0.8</v>
      </c>
      <c r="S60" s="152">
        <f t="shared" si="43"/>
        <v>0.8</v>
      </c>
      <c r="T60" s="152">
        <f t="shared" si="43"/>
        <v>0.8</v>
      </c>
      <c r="U60" s="152">
        <f t="shared" si="43"/>
        <v>0.8</v>
      </c>
      <c r="V60" s="152">
        <f t="shared" si="43"/>
        <v>0.8</v>
      </c>
      <c r="W60" s="152">
        <f t="shared" si="43"/>
        <v>0.8</v>
      </c>
      <c r="X60" s="152">
        <f t="shared" si="43"/>
        <v>0.8</v>
      </c>
      <c r="Y60" s="152">
        <f t="shared" si="43"/>
        <v>0.8</v>
      </c>
      <c r="Z60" s="152">
        <f t="shared" si="43"/>
        <v>0.8</v>
      </c>
      <c r="AA60" s="152">
        <f t="shared" si="43"/>
        <v>0.8</v>
      </c>
      <c r="AB60" s="152">
        <f t="shared" si="43"/>
        <v>0.8</v>
      </c>
      <c r="AC60" s="152">
        <f t="shared" si="43"/>
        <v>0.8</v>
      </c>
      <c r="AD60" s="152">
        <f t="shared" si="43"/>
        <v>0.8</v>
      </c>
      <c r="AE60" s="152">
        <f t="shared" si="43"/>
        <v>0.8</v>
      </c>
      <c r="AF60" s="152">
        <f t="shared" si="43"/>
        <v>0.8</v>
      </c>
      <c r="AG60" s="152">
        <f t="shared" si="43"/>
        <v>0.8</v>
      </c>
      <c r="AH60" s="152">
        <f t="shared" si="43"/>
        <v>0.8</v>
      </c>
      <c r="AI60" s="152">
        <f t="shared" si="43"/>
        <v>0.8</v>
      </c>
      <c r="AJ60" s="152">
        <f t="shared" si="43"/>
        <v>0.8</v>
      </c>
      <c r="AK60" s="152">
        <f t="shared" si="43"/>
        <v>0.8</v>
      </c>
      <c r="AL60" s="152">
        <f t="shared" si="43"/>
        <v>0.8</v>
      </c>
      <c r="AM60" s="152">
        <f t="shared" si="43"/>
        <v>0.8</v>
      </c>
      <c r="AN60" s="152">
        <f t="shared" si="43"/>
        <v>0.8</v>
      </c>
      <c r="AO60" s="152">
        <f t="shared" si="43"/>
        <v>0.8</v>
      </c>
      <c r="AP60" s="152">
        <f t="shared" si="43"/>
        <v>0.8</v>
      </c>
      <c r="AQ60" s="152">
        <f t="shared" si="43"/>
        <v>0.8</v>
      </c>
      <c r="AR60" s="152">
        <f t="shared" si="43"/>
        <v>0.8</v>
      </c>
      <c r="AS60" s="152">
        <f t="shared" si="43"/>
        <v>0.8</v>
      </c>
      <c r="AT60" s="152">
        <f t="shared" si="43"/>
        <v>0.8</v>
      </c>
      <c r="AU60" s="152">
        <f t="shared" si="43"/>
        <v>0.8</v>
      </c>
      <c r="AV60" s="152">
        <f t="shared" si="43"/>
        <v>0.8</v>
      </c>
      <c r="AW60" s="90"/>
      <c r="AX60" s="90"/>
      <c r="AY60" s="90"/>
      <c r="AZ60" s="90"/>
      <c r="BA60" s="90"/>
      <c r="BB60" s="90"/>
      <c r="BC60" s="90"/>
      <c r="BD60" s="90"/>
      <c r="BE60" s="90"/>
      <c r="BF60" s="90"/>
      <c r="BG60" s="90"/>
    </row>
    <row r="61" ht="12.75" hidden="1" customHeight="1" outlineLevel="1">
      <c r="A61" s="515"/>
      <c r="B61" s="90" t="s">
        <v>646</v>
      </c>
      <c r="C61" s="90"/>
      <c r="D61" s="90"/>
      <c r="E61" s="90"/>
      <c r="F61" s="90"/>
      <c r="G61" s="90"/>
      <c r="H61" s="522"/>
      <c r="I61" s="522"/>
      <c r="J61" s="522"/>
      <c r="K61" s="559">
        <f t="shared" ref="K61:AV61" si="44">K58*K59</f>
        <v>17.7</v>
      </c>
      <c r="L61" s="559">
        <f t="shared" si="44"/>
        <v>20.16</v>
      </c>
      <c r="M61" s="559">
        <f t="shared" si="44"/>
        <v>21</v>
      </c>
      <c r="N61" s="559">
        <f t="shared" si="44"/>
        <v>21</v>
      </c>
      <c r="O61" s="559">
        <f t="shared" si="44"/>
        <v>21</v>
      </c>
      <c r="P61" s="559">
        <f t="shared" si="44"/>
        <v>21</v>
      </c>
      <c r="Q61" s="559">
        <f t="shared" si="44"/>
        <v>21</v>
      </c>
      <c r="R61" s="559">
        <f t="shared" si="44"/>
        <v>21</v>
      </c>
      <c r="S61" s="559">
        <f t="shared" si="44"/>
        <v>21</v>
      </c>
      <c r="T61" s="559">
        <f t="shared" si="44"/>
        <v>21</v>
      </c>
      <c r="U61" s="559">
        <f t="shared" si="44"/>
        <v>21</v>
      </c>
      <c r="V61" s="559">
        <f t="shared" si="44"/>
        <v>21</v>
      </c>
      <c r="W61" s="559">
        <f t="shared" si="44"/>
        <v>21</v>
      </c>
      <c r="X61" s="559">
        <f t="shared" si="44"/>
        <v>21</v>
      </c>
      <c r="Y61" s="559">
        <f t="shared" si="44"/>
        <v>21</v>
      </c>
      <c r="Z61" s="559">
        <f t="shared" si="44"/>
        <v>21</v>
      </c>
      <c r="AA61" s="559">
        <f t="shared" si="44"/>
        <v>21</v>
      </c>
      <c r="AB61" s="559">
        <f t="shared" si="44"/>
        <v>21</v>
      </c>
      <c r="AC61" s="559">
        <f t="shared" si="44"/>
        <v>21</v>
      </c>
      <c r="AD61" s="559">
        <f t="shared" si="44"/>
        <v>21</v>
      </c>
      <c r="AE61" s="559">
        <f t="shared" si="44"/>
        <v>21</v>
      </c>
      <c r="AF61" s="559">
        <f t="shared" si="44"/>
        <v>21</v>
      </c>
      <c r="AG61" s="559">
        <f t="shared" si="44"/>
        <v>21</v>
      </c>
      <c r="AH61" s="559">
        <f t="shared" si="44"/>
        <v>21</v>
      </c>
      <c r="AI61" s="559">
        <f t="shared" si="44"/>
        <v>21</v>
      </c>
      <c r="AJ61" s="559">
        <f t="shared" si="44"/>
        <v>21</v>
      </c>
      <c r="AK61" s="559">
        <f t="shared" si="44"/>
        <v>21</v>
      </c>
      <c r="AL61" s="559">
        <f t="shared" si="44"/>
        <v>21</v>
      </c>
      <c r="AM61" s="559">
        <f t="shared" si="44"/>
        <v>21</v>
      </c>
      <c r="AN61" s="559">
        <f t="shared" si="44"/>
        <v>21</v>
      </c>
      <c r="AO61" s="559">
        <f t="shared" si="44"/>
        <v>21</v>
      </c>
      <c r="AP61" s="559">
        <f t="shared" si="44"/>
        <v>21</v>
      </c>
      <c r="AQ61" s="559">
        <f t="shared" si="44"/>
        <v>21</v>
      </c>
      <c r="AR61" s="559">
        <f t="shared" si="44"/>
        <v>21</v>
      </c>
      <c r="AS61" s="559">
        <f t="shared" si="44"/>
        <v>21</v>
      </c>
      <c r="AT61" s="559">
        <f t="shared" si="44"/>
        <v>21</v>
      </c>
      <c r="AU61" s="559">
        <f t="shared" si="44"/>
        <v>21</v>
      </c>
      <c r="AV61" s="559">
        <f t="shared" si="44"/>
        <v>21</v>
      </c>
      <c r="AW61" s="90"/>
      <c r="AX61" s="90"/>
      <c r="AY61" s="90"/>
      <c r="AZ61" s="90"/>
      <c r="BA61" s="90"/>
      <c r="BB61" s="90"/>
      <c r="BC61" s="90"/>
      <c r="BD61" s="90"/>
      <c r="BE61" s="90"/>
      <c r="BF61" s="90"/>
      <c r="BG61" s="90"/>
    </row>
    <row r="62" ht="12.75" hidden="1" customHeight="1" outlineLevel="1">
      <c r="A62" s="90"/>
      <c r="B62" s="90" t="s">
        <v>647</v>
      </c>
      <c r="C62" s="90"/>
      <c r="D62" s="90"/>
      <c r="E62" s="90"/>
      <c r="F62" s="90"/>
      <c r="G62" s="90"/>
      <c r="H62" s="522"/>
      <c r="I62" s="522"/>
      <c r="J62" s="522"/>
      <c r="K62" s="559">
        <f t="shared" ref="K62:AV62" si="45">K61*K52</f>
        <v>16.992</v>
      </c>
      <c r="L62" s="559">
        <f t="shared" si="45"/>
        <v>19.3536</v>
      </c>
      <c r="M62" s="559">
        <f t="shared" si="45"/>
        <v>20.16</v>
      </c>
      <c r="N62" s="559">
        <f t="shared" si="45"/>
        <v>20.16</v>
      </c>
      <c r="O62" s="559">
        <f t="shared" si="45"/>
        <v>20.16</v>
      </c>
      <c r="P62" s="559">
        <f t="shared" si="45"/>
        <v>20.16</v>
      </c>
      <c r="Q62" s="559">
        <f t="shared" si="45"/>
        <v>20.16</v>
      </c>
      <c r="R62" s="559">
        <f t="shared" si="45"/>
        <v>20.16</v>
      </c>
      <c r="S62" s="559">
        <f t="shared" si="45"/>
        <v>20.16</v>
      </c>
      <c r="T62" s="559">
        <f t="shared" si="45"/>
        <v>20.16</v>
      </c>
      <c r="U62" s="559">
        <f t="shared" si="45"/>
        <v>20.16</v>
      </c>
      <c r="V62" s="559">
        <f t="shared" si="45"/>
        <v>20.16</v>
      </c>
      <c r="W62" s="559">
        <f t="shared" si="45"/>
        <v>20.16</v>
      </c>
      <c r="X62" s="559">
        <f t="shared" si="45"/>
        <v>20.16</v>
      </c>
      <c r="Y62" s="559">
        <f t="shared" si="45"/>
        <v>20.16</v>
      </c>
      <c r="Z62" s="559">
        <f t="shared" si="45"/>
        <v>20.16</v>
      </c>
      <c r="AA62" s="559">
        <f t="shared" si="45"/>
        <v>20.16</v>
      </c>
      <c r="AB62" s="559">
        <f t="shared" si="45"/>
        <v>20.16</v>
      </c>
      <c r="AC62" s="559">
        <f t="shared" si="45"/>
        <v>20.16</v>
      </c>
      <c r="AD62" s="559">
        <f t="shared" si="45"/>
        <v>20.16</v>
      </c>
      <c r="AE62" s="559">
        <f t="shared" si="45"/>
        <v>20.16</v>
      </c>
      <c r="AF62" s="559">
        <f t="shared" si="45"/>
        <v>20.16</v>
      </c>
      <c r="AG62" s="559">
        <f t="shared" si="45"/>
        <v>20.16</v>
      </c>
      <c r="AH62" s="559">
        <f t="shared" si="45"/>
        <v>20.16</v>
      </c>
      <c r="AI62" s="559">
        <f t="shared" si="45"/>
        <v>20.16</v>
      </c>
      <c r="AJ62" s="559">
        <f t="shared" si="45"/>
        <v>20.16</v>
      </c>
      <c r="AK62" s="559">
        <f t="shared" si="45"/>
        <v>20.16</v>
      </c>
      <c r="AL62" s="559">
        <f t="shared" si="45"/>
        <v>20.16</v>
      </c>
      <c r="AM62" s="559">
        <f t="shared" si="45"/>
        <v>20.16</v>
      </c>
      <c r="AN62" s="559">
        <f t="shared" si="45"/>
        <v>20.16</v>
      </c>
      <c r="AO62" s="559">
        <f t="shared" si="45"/>
        <v>20.16</v>
      </c>
      <c r="AP62" s="559">
        <f t="shared" si="45"/>
        <v>20.16</v>
      </c>
      <c r="AQ62" s="559">
        <f t="shared" si="45"/>
        <v>20.16</v>
      </c>
      <c r="AR62" s="559">
        <f t="shared" si="45"/>
        <v>20.16</v>
      </c>
      <c r="AS62" s="559">
        <f t="shared" si="45"/>
        <v>20.16</v>
      </c>
      <c r="AT62" s="559">
        <f t="shared" si="45"/>
        <v>20.16</v>
      </c>
      <c r="AU62" s="559">
        <f t="shared" si="45"/>
        <v>20.16</v>
      </c>
      <c r="AV62" s="559">
        <f t="shared" si="45"/>
        <v>20.16</v>
      </c>
      <c r="AW62" s="90"/>
      <c r="AX62" s="90"/>
      <c r="AY62" s="90"/>
      <c r="AZ62" s="90"/>
      <c r="BA62" s="90"/>
      <c r="BB62" s="90"/>
      <c r="BC62" s="90"/>
      <c r="BD62" s="90"/>
      <c r="BE62" s="90"/>
      <c r="BF62" s="90"/>
      <c r="BG62" s="90"/>
    </row>
    <row r="63" ht="12.75" hidden="1" customHeight="1" outlineLevel="1">
      <c r="A63" s="67"/>
      <c r="B63" s="90" t="s">
        <v>648</v>
      </c>
      <c r="C63" s="90"/>
      <c r="D63" s="90"/>
      <c r="E63" s="90"/>
      <c r="F63" s="90"/>
      <c r="G63" s="90"/>
      <c r="H63" s="353"/>
      <c r="I63" s="353"/>
      <c r="J63" s="353"/>
      <c r="K63" s="102">
        <f t="shared" ref="K63:AV63" si="46">K58*K52</f>
        <v>283.2</v>
      </c>
      <c r="L63" s="102">
        <f t="shared" si="46"/>
        <v>322.56</v>
      </c>
      <c r="M63" s="102">
        <f t="shared" si="46"/>
        <v>336</v>
      </c>
      <c r="N63" s="102">
        <f t="shared" si="46"/>
        <v>336</v>
      </c>
      <c r="O63" s="102">
        <f t="shared" si="46"/>
        <v>336</v>
      </c>
      <c r="P63" s="102">
        <f t="shared" si="46"/>
        <v>336</v>
      </c>
      <c r="Q63" s="102">
        <f t="shared" si="46"/>
        <v>336</v>
      </c>
      <c r="R63" s="102">
        <f t="shared" si="46"/>
        <v>336</v>
      </c>
      <c r="S63" s="102">
        <f t="shared" si="46"/>
        <v>336</v>
      </c>
      <c r="T63" s="102">
        <f t="shared" si="46"/>
        <v>336</v>
      </c>
      <c r="U63" s="102">
        <f t="shared" si="46"/>
        <v>336</v>
      </c>
      <c r="V63" s="102">
        <f t="shared" si="46"/>
        <v>336</v>
      </c>
      <c r="W63" s="102">
        <f t="shared" si="46"/>
        <v>336</v>
      </c>
      <c r="X63" s="102">
        <f t="shared" si="46"/>
        <v>336</v>
      </c>
      <c r="Y63" s="102">
        <f t="shared" si="46"/>
        <v>336</v>
      </c>
      <c r="Z63" s="102">
        <f t="shared" si="46"/>
        <v>336</v>
      </c>
      <c r="AA63" s="102">
        <f t="shared" si="46"/>
        <v>336</v>
      </c>
      <c r="AB63" s="102">
        <f t="shared" si="46"/>
        <v>336</v>
      </c>
      <c r="AC63" s="102">
        <f t="shared" si="46"/>
        <v>336</v>
      </c>
      <c r="AD63" s="102">
        <f t="shared" si="46"/>
        <v>336</v>
      </c>
      <c r="AE63" s="102">
        <f t="shared" si="46"/>
        <v>336</v>
      </c>
      <c r="AF63" s="102">
        <f t="shared" si="46"/>
        <v>336</v>
      </c>
      <c r="AG63" s="102">
        <f t="shared" si="46"/>
        <v>336</v>
      </c>
      <c r="AH63" s="102">
        <f t="shared" si="46"/>
        <v>336</v>
      </c>
      <c r="AI63" s="102">
        <f t="shared" si="46"/>
        <v>336</v>
      </c>
      <c r="AJ63" s="102">
        <f t="shared" si="46"/>
        <v>336</v>
      </c>
      <c r="AK63" s="102">
        <f t="shared" si="46"/>
        <v>336</v>
      </c>
      <c r="AL63" s="102">
        <f t="shared" si="46"/>
        <v>336</v>
      </c>
      <c r="AM63" s="102">
        <f t="shared" si="46"/>
        <v>336</v>
      </c>
      <c r="AN63" s="102">
        <f t="shared" si="46"/>
        <v>336</v>
      </c>
      <c r="AO63" s="102">
        <f t="shared" si="46"/>
        <v>336</v>
      </c>
      <c r="AP63" s="102">
        <f t="shared" si="46"/>
        <v>336</v>
      </c>
      <c r="AQ63" s="102">
        <f t="shared" si="46"/>
        <v>336</v>
      </c>
      <c r="AR63" s="102">
        <f t="shared" si="46"/>
        <v>336</v>
      </c>
      <c r="AS63" s="102">
        <f t="shared" si="46"/>
        <v>336</v>
      </c>
      <c r="AT63" s="102">
        <f t="shared" si="46"/>
        <v>336</v>
      </c>
      <c r="AU63" s="102">
        <f t="shared" si="46"/>
        <v>336</v>
      </c>
      <c r="AV63" s="102">
        <f t="shared" si="46"/>
        <v>336</v>
      </c>
      <c r="AW63" s="90"/>
      <c r="AX63" s="90"/>
      <c r="AY63" s="90"/>
      <c r="AZ63" s="90"/>
      <c r="BA63" s="90"/>
      <c r="BB63" s="90"/>
      <c r="BC63" s="90"/>
      <c r="BD63" s="90"/>
      <c r="BE63" s="90"/>
      <c r="BF63" s="90"/>
      <c r="BG63" s="90"/>
    </row>
    <row r="64" ht="12.75" hidden="1" customHeight="1" outlineLevel="1">
      <c r="A64" s="67"/>
      <c r="B64" s="90" t="s">
        <v>649</v>
      </c>
      <c r="C64" s="90"/>
      <c r="D64" s="90"/>
      <c r="E64" s="90"/>
      <c r="F64" s="90"/>
      <c r="G64" s="90"/>
      <c r="H64" s="522"/>
      <c r="I64" s="522"/>
      <c r="J64" s="522"/>
      <c r="K64" s="559">
        <f t="shared" ref="K64:AV64" si="47">K58*K60</f>
        <v>236</v>
      </c>
      <c r="L64" s="559">
        <f t="shared" si="47"/>
        <v>268.8</v>
      </c>
      <c r="M64" s="559">
        <f t="shared" si="47"/>
        <v>280</v>
      </c>
      <c r="N64" s="559">
        <f t="shared" si="47"/>
        <v>280</v>
      </c>
      <c r="O64" s="559">
        <f t="shared" si="47"/>
        <v>280</v>
      </c>
      <c r="P64" s="559">
        <f t="shared" si="47"/>
        <v>280</v>
      </c>
      <c r="Q64" s="559">
        <f t="shared" si="47"/>
        <v>280</v>
      </c>
      <c r="R64" s="559">
        <f t="shared" si="47"/>
        <v>280</v>
      </c>
      <c r="S64" s="559">
        <f t="shared" si="47"/>
        <v>280</v>
      </c>
      <c r="T64" s="559">
        <f t="shared" si="47"/>
        <v>280</v>
      </c>
      <c r="U64" s="559">
        <f t="shared" si="47"/>
        <v>280</v>
      </c>
      <c r="V64" s="559">
        <f t="shared" si="47"/>
        <v>280</v>
      </c>
      <c r="W64" s="559">
        <f t="shared" si="47"/>
        <v>280</v>
      </c>
      <c r="X64" s="559">
        <f t="shared" si="47"/>
        <v>280</v>
      </c>
      <c r="Y64" s="559">
        <f t="shared" si="47"/>
        <v>280</v>
      </c>
      <c r="Z64" s="559">
        <f t="shared" si="47"/>
        <v>280</v>
      </c>
      <c r="AA64" s="559">
        <f t="shared" si="47"/>
        <v>280</v>
      </c>
      <c r="AB64" s="559">
        <f t="shared" si="47"/>
        <v>280</v>
      </c>
      <c r="AC64" s="559">
        <f t="shared" si="47"/>
        <v>280</v>
      </c>
      <c r="AD64" s="559">
        <f t="shared" si="47"/>
        <v>280</v>
      </c>
      <c r="AE64" s="559">
        <f t="shared" si="47"/>
        <v>280</v>
      </c>
      <c r="AF64" s="559">
        <f t="shared" si="47"/>
        <v>280</v>
      </c>
      <c r="AG64" s="559">
        <f t="shared" si="47"/>
        <v>280</v>
      </c>
      <c r="AH64" s="559">
        <f t="shared" si="47"/>
        <v>280</v>
      </c>
      <c r="AI64" s="559">
        <f t="shared" si="47"/>
        <v>280</v>
      </c>
      <c r="AJ64" s="559">
        <f t="shared" si="47"/>
        <v>280</v>
      </c>
      <c r="AK64" s="559">
        <f t="shared" si="47"/>
        <v>280</v>
      </c>
      <c r="AL64" s="559">
        <f t="shared" si="47"/>
        <v>280</v>
      </c>
      <c r="AM64" s="559">
        <f t="shared" si="47"/>
        <v>280</v>
      </c>
      <c r="AN64" s="559">
        <f t="shared" si="47"/>
        <v>280</v>
      </c>
      <c r="AO64" s="559">
        <f t="shared" si="47"/>
        <v>280</v>
      </c>
      <c r="AP64" s="559">
        <f t="shared" si="47"/>
        <v>280</v>
      </c>
      <c r="AQ64" s="559">
        <f t="shared" si="47"/>
        <v>280</v>
      </c>
      <c r="AR64" s="559">
        <f t="shared" si="47"/>
        <v>280</v>
      </c>
      <c r="AS64" s="559">
        <f t="shared" si="47"/>
        <v>280</v>
      </c>
      <c r="AT64" s="559">
        <f t="shared" si="47"/>
        <v>280</v>
      </c>
      <c r="AU64" s="559">
        <f t="shared" si="47"/>
        <v>280</v>
      </c>
      <c r="AV64" s="559">
        <f t="shared" si="47"/>
        <v>280</v>
      </c>
      <c r="AW64" s="90"/>
      <c r="AX64" s="90"/>
      <c r="AY64" s="90"/>
      <c r="AZ64" s="90"/>
      <c r="BA64" s="90"/>
      <c r="BB64" s="90"/>
      <c r="BC64" s="90"/>
      <c r="BD64" s="90"/>
      <c r="BE64" s="90"/>
      <c r="BF64" s="90"/>
      <c r="BG64" s="90"/>
    </row>
    <row r="65" ht="12.75" hidden="1" customHeight="1" outlineLevel="1">
      <c r="A65" s="90"/>
      <c r="B65" s="90" t="s">
        <v>650</v>
      </c>
      <c r="C65" s="90"/>
      <c r="D65" s="90"/>
      <c r="E65" s="90"/>
      <c r="F65" s="90"/>
      <c r="G65" s="90"/>
      <c r="H65" s="522"/>
      <c r="I65" s="522"/>
      <c r="J65" s="522"/>
      <c r="K65" s="559">
        <f t="shared" ref="K65:AV65" si="48">K52*K64</f>
        <v>226.56</v>
      </c>
      <c r="L65" s="559">
        <f t="shared" si="48"/>
        <v>258.048</v>
      </c>
      <c r="M65" s="559">
        <f t="shared" si="48"/>
        <v>268.8</v>
      </c>
      <c r="N65" s="559">
        <f t="shared" si="48"/>
        <v>268.8</v>
      </c>
      <c r="O65" s="559">
        <f t="shared" si="48"/>
        <v>268.8</v>
      </c>
      <c r="P65" s="559">
        <f t="shared" si="48"/>
        <v>268.8</v>
      </c>
      <c r="Q65" s="559">
        <f t="shared" si="48"/>
        <v>268.8</v>
      </c>
      <c r="R65" s="559">
        <f t="shared" si="48"/>
        <v>268.8</v>
      </c>
      <c r="S65" s="559">
        <f t="shared" si="48"/>
        <v>268.8</v>
      </c>
      <c r="T65" s="559">
        <f t="shared" si="48"/>
        <v>268.8</v>
      </c>
      <c r="U65" s="559">
        <f t="shared" si="48"/>
        <v>268.8</v>
      </c>
      <c r="V65" s="559">
        <f t="shared" si="48"/>
        <v>268.8</v>
      </c>
      <c r="W65" s="559">
        <f t="shared" si="48"/>
        <v>268.8</v>
      </c>
      <c r="X65" s="559">
        <f t="shared" si="48"/>
        <v>268.8</v>
      </c>
      <c r="Y65" s="559">
        <f t="shared" si="48"/>
        <v>268.8</v>
      </c>
      <c r="Z65" s="559">
        <f t="shared" si="48"/>
        <v>268.8</v>
      </c>
      <c r="AA65" s="559">
        <f t="shared" si="48"/>
        <v>268.8</v>
      </c>
      <c r="AB65" s="559">
        <f t="shared" si="48"/>
        <v>268.8</v>
      </c>
      <c r="AC65" s="559">
        <f t="shared" si="48"/>
        <v>268.8</v>
      </c>
      <c r="AD65" s="559">
        <f t="shared" si="48"/>
        <v>268.8</v>
      </c>
      <c r="AE65" s="559">
        <f t="shared" si="48"/>
        <v>268.8</v>
      </c>
      <c r="AF65" s="559">
        <f t="shared" si="48"/>
        <v>268.8</v>
      </c>
      <c r="AG65" s="559">
        <f t="shared" si="48"/>
        <v>268.8</v>
      </c>
      <c r="AH65" s="559">
        <f t="shared" si="48"/>
        <v>268.8</v>
      </c>
      <c r="AI65" s="559">
        <f t="shared" si="48"/>
        <v>268.8</v>
      </c>
      <c r="AJ65" s="559">
        <f t="shared" si="48"/>
        <v>268.8</v>
      </c>
      <c r="AK65" s="559">
        <f t="shared" si="48"/>
        <v>268.8</v>
      </c>
      <c r="AL65" s="559">
        <f t="shared" si="48"/>
        <v>268.8</v>
      </c>
      <c r="AM65" s="559">
        <f t="shared" si="48"/>
        <v>268.8</v>
      </c>
      <c r="AN65" s="559">
        <f t="shared" si="48"/>
        <v>268.8</v>
      </c>
      <c r="AO65" s="559">
        <f t="shared" si="48"/>
        <v>268.8</v>
      </c>
      <c r="AP65" s="559">
        <f t="shared" si="48"/>
        <v>268.8</v>
      </c>
      <c r="AQ65" s="559">
        <f t="shared" si="48"/>
        <v>268.8</v>
      </c>
      <c r="AR65" s="559">
        <f t="shared" si="48"/>
        <v>268.8</v>
      </c>
      <c r="AS65" s="559">
        <f t="shared" si="48"/>
        <v>268.8</v>
      </c>
      <c r="AT65" s="559">
        <f t="shared" si="48"/>
        <v>268.8</v>
      </c>
      <c r="AU65" s="559">
        <f t="shared" si="48"/>
        <v>268.8</v>
      </c>
      <c r="AV65" s="559">
        <f t="shared" si="48"/>
        <v>268.8</v>
      </c>
      <c r="AW65" s="90"/>
      <c r="AX65" s="90"/>
      <c r="AY65" s="90"/>
      <c r="AZ65" s="90"/>
      <c r="BA65" s="90"/>
      <c r="BB65" s="90"/>
      <c r="BC65" s="90"/>
      <c r="BD65" s="90"/>
      <c r="BE65" s="90"/>
      <c r="BF65" s="90"/>
      <c r="BG65" s="90"/>
    </row>
    <row r="66" ht="12.75" hidden="1" customHeight="1" outlineLevel="1">
      <c r="A66" s="515"/>
      <c r="B66" s="90" t="s">
        <v>651</v>
      </c>
      <c r="C66" s="90"/>
      <c r="D66" s="90"/>
      <c r="E66" s="90"/>
      <c r="F66" s="90"/>
      <c r="G66" s="90"/>
      <c r="H66" s="353"/>
      <c r="I66" s="353"/>
      <c r="J66" s="353"/>
      <c r="K66" s="102">
        <f t="shared" ref="K66:AV66" si="49">K52*K58</f>
        <v>283.2</v>
      </c>
      <c r="L66" s="102">
        <f t="shared" si="49"/>
        <v>322.56</v>
      </c>
      <c r="M66" s="102">
        <f t="shared" si="49"/>
        <v>336</v>
      </c>
      <c r="N66" s="102">
        <f t="shared" si="49"/>
        <v>336</v>
      </c>
      <c r="O66" s="102">
        <f t="shared" si="49"/>
        <v>336</v>
      </c>
      <c r="P66" s="102">
        <f t="shared" si="49"/>
        <v>336</v>
      </c>
      <c r="Q66" s="102">
        <f t="shared" si="49"/>
        <v>336</v>
      </c>
      <c r="R66" s="102">
        <f t="shared" si="49"/>
        <v>336</v>
      </c>
      <c r="S66" s="102">
        <f t="shared" si="49"/>
        <v>336</v>
      </c>
      <c r="T66" s="102">
        <f t="shared" si="49"/>
        <v>336</v>
      </c>
      <c r="U66" s="102">
        <f t="shared" si="49"/>
        <v>336</v>
      </c>
      <c r="V66" s="102">
        <f t="shared" si="49"/>
        <v>336</v>
      </c>
      <c r="W66" s="102">
        <f t="shared" si="49"/>
        <v>336</v>
      </c>
      <c r="X66" s="102">
        <f t="shared" si="49"/>
        <v>336</v>
      </c>
      <c r="Y66" s="102">
        <f t="shared" si="49"/>
        <v>336</v>
      </c>
      <c r="Z66" s="102">
        <f t="shared" si="49"/>
        <v>336</v>
      </c>
      <c r="AA66" s="102">
        <f t="shared" si="49"/>
        <v>336</v>
      </c>
      <c r="AB66" s="102">
        <f t="shared" si="49"/>
        <v>336</v>
      </c>
      <c r="AC66" s="102">
        <f t="shared" si="49"/>
        <v>336</v>
      </c>
      <c r="AD66" s="102">
        <f t="shared" si="49"/>
        <v>336</v>
      </c>
      <c r="AE66" s="102">
        <f t="shared" si="49"/>
        <v>336</v>
      </c>
      <c r="AF66" s="102">
        <f t="shared" si="49"/>
        <v>336</v>
      </c>
      <c r="AG66" s="102">
        <f t="shared" si="49"/>
        <v>336</v>
      </c>
      <c r="AH66" s="102">
        <f t="shared" si="49"/>
        <v>336</v>
      </c>
      <c r="AI66" s="102">
        <f t="shared" si="49"/>
        <v>336</v>
      </c>
      <c r="AJ66" s="102">
        <f t="shared" si="49"/>
        <v>336</v>
      </c>
      <c r="AK66" s="102">
        <f t="shared" si="49"/>
        <v>336</v>
      </c>
      <c r="AL66" s="102">
        <f t="shared" si="49"/>
        <v>336</v>
      </c>
      <c r="AM66" s="102">
        <f t="shared" si="49"/>
        <v>336</v>
      </c>
      <c r="AN66" s="102">
        <f t="shared" si="49"/>
        <v>336</v>
      </c>
      <c r="AO66" s="102">
        <f t="shared" si="49"/>
        <v>336</v>
      </c>
      <c r="AP66" s="102">
        <f t="shared" si="49"/>
        <v>336</v>
      </c>
      <c r="AQ66" s="102">
        <f t="shared" si="49"/>
        <v>336</v>
      </c>
      <c r="AR66" s="102">
        <f t="shared" si="49"/>
        <v>336</v>
      </c>
      <c r="AS66" s="102">
        <f t="shared" si="49"/>
        <v>336</v>
      </c>
      <c r="AT66" s="102">
        <f t="shared" si="49"/>
        <v>336</v>
      </c>
      <c r="AU66" s="102">
        <f t="shared" si="49"/>
        <v>336</v>
      </c>
      <c r="AV66" s="102">
        <f t="shared" si="49"/>
        <v>336</v>
      </c>
      <c r="AW66" s="90"/>
      <c r="AX66" s="90"/>
      <c r="AY66" s="90"/>
      <c r="AZ66" s="90"/>
      <c r="BA66" s="90"/>
      <c r="BB66" s="90"/>
      <c r="BC66" s="90"/>
      <c r="BD66" s="90"/>
      <c r="BE66" s="90"/>
      <c r="BF66" s="90"/>
      <c r="BG66" s="90"/>
    </row>
    <row r="67" ht="12.75" hidden="1" customHeight="1" outlineLevel="1">
      <c r="A67" s="515"/>
      <c r="B67" s="90"/>
      <c r="C67" s="90"/>
      <c r="D67" s="90"/>
      <c r="E67" s="90"/>
      <c r="F67" s="90"/>
      <c r="G67" s="90"/>
      <c r="H67" s="353"/>
      <c r="I67" s="353"/>
      <c r="J67" s="353"/>
      <c r="K67" s="353"/>
      <c r="L67" s="353"/>
      <c r="M67" s="353"/>
      <c r="N67" s="353"/>
      <c r="O67" s="353"/>
      <c r="P67" s="353"/>
      <c r="Q67" s="353"/>
      <c r="R67" s="353"/>
      <c r="S67" s="353"/>
      <c r="T67" s="353"/>
      <c r="U67" s="353"/>
      <c r="V67" s="353"/>
      <c r="W67" s="353"/>
      <c r="X67" s="353"/>
      <c r="Y67" s="353"/>
      <c r="Z67" s="353"/>
      <c r="AA67" s="353"/>
      <c r="AB67" s="353"/>
      <c r="AC67" s="353"/>
      <c r="AD67" s="353"/>
      <c r="AE67" s="353"/>
      <c r="AF67" s="353"/>
      <c r="AG67" s="353"/>
      <c r="AH67" s="353"/>
      <c r="AI67" s="353"/>
      <c r="AJ67" s="353"/>
      <c r="AK67" s="353"/>
      <c r="AL67" s="353"/>
      <c r="AM67" s="353"/>
      <c r="AN67" s="353"/>
      <c r="AO67" s="353"/>
      <c r="AP67" s="353"/>
      <c r="AQ67" s="353"/>
      <c r="AR67" s="353"/>
      <c r="AS67" s="353"/>
      <c r="AT67" s="353"/>
      <c r="AU67" s="353"/>
      <c r="AV67" s="353"/>
      <c r="AW67" s="90"/>
      <c r="AX67" s="90"/>
      <c r="AY67" s="90"/>
      <c r="AZ67" s="90"/>
      <c r="BA67" s="90"/>
      <c r="BB67" s="90"/>
      <c r="BC67" s="90"/>
      <c r="BD67" s="90"/>
      <c r="BE67" s="90"/>
      <c r="BF67" s="90"/>
      <c r="BG67" s="90"/>
    </row>
    <row r="68" ht="12.75" hidden="1" customHeight="1" outlineLevel="1">
      <c r="A68" s="515"/>
      <c r="B68" s="90" t="s">
        <v>652</v>
      </c>
      <c r="C68" s="90"/>
      <c r="D68" s="90"/>
      <c r="E68" s="90"/>
      <c r="F68" s="90"/>
      <c r="G68" s="90"/>
      <c r="H68" s="157"/>
      <c r="I68" s="157"/>
      <c r="J68" s="157"/>
      <c r="K68" s="157">
        <v>0.6</v>
      </c>
      <c r="L68" s="152">
        <f t="shared" ref="L68:AV68" si="50">K68</f>
        <v>0.6</v>
      </c>
      <c r="M68" s="152">
        <f t="shared" si="50"/>
        <v>0.6</v>
      </c>
      <c r="N68" s="152">
        <f t="shared" si="50"/>
        <v>0.6</v>
      </c>
      <c r="O68" s="152">
        <f t="shared" si="50"/>
        <v>0.6</v>
      </c>
      <c r="P68" s="152">
        <f t="shared" si="50"/>
        <v>0.6</v>
      </c>
      <c r="Q68" s="152">
        <f t="shared" si="50"/>
        <v>0.6</v>
      </c>
      <c r="R68" s="152">
        <f t="shared" si="50"/>
        <v>0.6</v>
      </c>
      <c r="S68" s="152">
        <f t="shared" si="50"/>
        <v>0.6</v>
      </c>
      <c r="T68" s="152">
        <f t="shared" si="50"/>
        <v>0.6</v>
      </c>
      <c r="U68" s="152">
        <f t="shared" si="50"/>
        <v>0.6</v>
      </c>
      <c r="V68" s="152">
        <f t="shared" si="50"/>
        <v>0.6</v>
      </c>
      <c r="W68" s="152">
        <f t="shared" si="50"/>
        <v>0.6</v>
      </c>
      <c r="X68" s="152">
        <f t="shared" si="50"/>
        <v>0.6</v>
      </c>
      <c r="Y68" s="152">
        <f t="shared" si="50"/>
        <v>0.6</v>
      </c>
      <c r="Z68" s="152">
        <f t="shared" si="50"/>
        <v>0.6</v>
      </c>
      <c r="AA68" s="152">
        <f t="shared" si="50"/>
        <v>0.6</v>
      </c>
      <c r="AB68" s="152">
        <f t="shared" si="50"/>
        <v>0.6</v>
      </c>
      <c r="AC68" s="152">
        <f t="shared" si="50"/>
        <v>0.6</v>
      </c>
      <c r="AD68" s="152">
        <f t="shared" si="50"/>
        <v>0.6</v>
      </c>
      <c r="AE68" s="152">
        <f t="shared" si="50"/>
        <v>0.6</v>
      </c>
      <c r="AF68" s="152">
        <f t="shared" si="50"/>
        <v>0.6</v>
      </c>
      <c r="AG68" s="152">
        <f t="shared" si="50"/>
        <v>0.6</v>
      </c>
      <c r="AH68" s="152">
        <f t="shared" si="50"/>
        <v>0.6</v>
      </c>
      <c r="AI68" s="152">
        <f t="shared" si="50"/>
        <v>0.6</v>
      </c>
      <c r="AJ68" s="152">
        <f t="shared" si="50"/>
        <v>0.6</v>
      </c>
      <c r="AK68" s="152">
        <f t="shared" si="50"/>
        <v>0.6</v>
      </c>
      <c r="AL68" s="152">
        <f t="shared" si="50"/>
        <v>0.6</v>
      </c>
      <c r="AM68" s="152">
        <f t="shared" si="50"/>
        <v>0.6</v>
      </c>
      <c r="AN68" s="152">
        <f t="shared" si="50"/>
        <v>0.6</v>
      </c>
      <c r="AO68" s="152">
        <f t="shared" si="50"/>
        <v>0.6</v>
      </c>
      <c r="AP68" s="152">
        <f t="shared" si="50"/>
        <v>0.6</v>
      </c>
      <c r="AQ68" s="152">
        <f t="shared" si="50"/>
        <v>0.6</v>
      </c>
      <c r="AR68" s="152">
        <f t="shared" si="50"/>
        <v>0.6</v>
      </c>
      <c r="AS68" s="152">
        <f t="shared" si="50"/>
        <v>0.6</v>
      </c>
      <c r="AT68" s="152">
        <f t="shared" si="50"/>
        <v>0.6</v>
      </c>
      <c r="AU68" s="152">
        <f t="shared" si="50"/>
        <v>0.6</v>
      </c>
      <c r="AV68" s="152">
        <f t="shared" si="50"/>
        <v>0.6</v>
      </c>
      <c r="AW68" s="90"/>
      <c r="AX68" s="90"/>
      <c r="AY68" s="90"/>
      <c r="AZ68" s="90"/>
      <c r="BA68" s="90"/>
      <c r="BB68" s="90"/>
      <c r="BC68" s="90"/>
      <c r="BD68" s="90"/>
      <c r="BE68" s="90"/>
      <c r="BF68" s="90"/>
      <c r="BG68" s="90"/>
    </row>
    <row r="69" ht="12.75" hidden="1" customHeight="1" outlineLevel="1">
      <c r="A69" s="515"/>
      <c r="B69" s="90" t="s">
        <v>653</v>
      </c>
      <c r="C69" s="90"/>
      <c r="D69" s="90"/>
      <c r="E69" s="90"/>
      <c r="F69" s="90"/>
      <c r="G69" s="90"/>
      <c r="H69" s="90"/>
      <c r="I69" s="90"/>
      <c r="J69" s="90"/>
      <c r="K69" s="102">
        <f t="shared" ref="K69:AV69" si="51">ROUND(K50*K68*K46,0)</f>
        <v>253</v>
      </c>
      <c r="L69" s="102">
        <f t="shared" si="51"/>
        <v>288</v>
      </c>
      <c r="M69" s="102">
        <f t="shared" si="51"/>
        <v>300</v>
      </c>
      <c r="N69" s="102">
        <f t="shared" si="51"/>
        <v>300</v>
      </c>
      <c r="O69" s="102">
        <f t="shared" si="51"/>
        <v>300</v>
      </c>
      <c r="P69" s="102">
        <f t="shared" si="51"/>
        <v>300</v>
      </c>
      <c r="Q69" s="102">
        <f t="shared" si="51"/>
        <v>300</v>
      </c>
      <c r="R69" s="102">
        <f t="shared" si="51"/>
        <v>300</v>
      </c>
      <c r="S69" s="102">
        <f t="shared" si="51"/>
        <v>300</v>
      </c>
      <c r="T69" s="102">
        <f t="shared" si="51"/>
        <v>300</v>
      </c>
      <c r="U69" s="102">
        <f t="shared" si="51"/>
        <v>300</v>
      </c>
      <c r="V69" s="102">
        <f t="shared" si="51"/>
        <v>300</v>
      </c>
      <c r="W69" s="102">
        <f t="shared" si="51"/>
        <v>300</v>
      </c>
      <c r="X69" s="102">
        <f t="shared" si="51"/>
        <v>300</v>
      </c>
      <c r="Y69" s="102">
        <f t="shared" si="51"/>
        <v>300</v>
      </c>
      <c r="Z69" s="102">
        <f t="shared" si="51"/>
        <v>300</v>
      </c>
      <c r="AA69" s="102">
        <f t="shared" si="51"/>
        <v>300</v>
      </c>
      <c r="AB69" s="102">
        <f t="shared" si="51"/>
        <v>300</v>
      </c>
      <c r="AC69" s="102">
        <f t="shared" si="51"/>
        <v>300</v>
      </c>
      <c r="AD69" s="102">
        <f t="shared" si="51"/>
        <v>300</v>
      </c>
      <c r="AE69" s="102">
        <f t="shared" si="51"/>
        <v>300</v>
      </c>
      <c r="AF69" s="102">
        <f t="shared" si="51"/>
        <v>300</v>
      </c>
      <c r="AG69" s="102">
        <f t="shared" si="51"/>
        <v>300</v>
      </c>
      <c r="AH69" s="102">
        <f t="shared" si="51"/>
        <v>300</v>
      </c>
      <c r="AI69" s="102">
        <f t="shared" si="51"/>
        <v>300</v>
      </c>
      <c r="AJ69" s="102">
        <f t="shared" si="51"/>
        <v>300</v>
      </c>
      <c r="AK69" s="102">
        <f t="shared" si="51"/>
        <v>300</v>
      </c>
      <c r="AL69" s="102">
        <f t="shared" si="51"/>
        <v>300</v>
      </c>
      <c r="AM69" s="102">
        <f t="shared" si="51"/>
        <v>300</v>
      </c>
      <c r="AN69" s="102">
        <f t="shared" si="51"/>
        <v>300</v>
      </c>
      <c r="AO69" s="102">
        <f t="shared" si="51"/>
        <v>300</v>
      </c>
      <c r="AP69" s="102">
        <f t="shared" si="51"/>
        <v>300</v>
      </c>
      <c r="AQ69" s="102">
        <f t="shared" si="51"/>
        <v>300</v>
      </c>
      <c r="AR69" s="102">
        <f t="shared" si="51"/>
        <v>300</v>
      </c>
      <c r="AS69" s="102">
        <f t="shared" si="51"/>
        <v>300</v>
      </c>
      <c r="AT69" s="102">
        <f t="shared" si="51"/>
        <v>300</v>
      </c>
      <c r="AU69" s="102">
        <f t="shared" si="51"/>
        <v>300</v>
      </c>
      <c r="AV69" s="102">
        <f t="shared" si="51"/>
        <v>300</v>
      </c>
      <c r="AW69" s="90"/>
      <c r="AX69" s="90"/>
      <c r="AY69" s="90"/>
      <c r="AZ69" s="90"/>
      <c r="BA69" s="90"/>
      <c r="BB69" s="90"/>
      <c r="BC69" s="90"/>
      <c r="BD69" s="90"/>
      <c r="BE69" s="90"/>
      <c r="BF69" s="90"/>
      <c r="BG69" s="90"/>
    </row>
    <row r="70" ht="12.75" hidden="1" customHeight="1" outlineLevel="1">
      <c r="A70" s="515"/>
      <c r="B70" s="90" t="s">
        <v>654</v>
      </c>
      <c r="C70" s="90"/>
      <c r="D70" s="90"/>
      <c r="E70" s="90"/>
      <c r="F70" s="90"/>
      <c r="G70" s="90"/>
      <c r="H70" s="102"/>
      <c r="I70" s="102"/>
      <c r="J70" s="102"/>
      <c r="K70" s="102">
        <f t="shared" ref="K70:AV70" si="52">K69*K52</f>
        <v>242.88</v>
      </c>
      <c r="L70" s="102">
        <f t="shared" si="52"/>
        <v>276.48</v>
      </c>
      <c r="M70" s="102">
        <f t="shared" si="52"/>
        <v>288</v>
      </c>
      <c r="N70" s="102">
        <f t="shared" si="52"/>
        <v>288</v>
      </c>
      <c r="O70" s="102">
        <f t="shared" si="52"/>
        <v>288</v>
      </c>
      <c r="P70" s="102">
        <f t="shared" si="52"/>
        <v>288</v>
      </c>
      <c r="Q70" s="102">
        <f t="shared" si="52"/>
        <v>288</v>
      </c>
      <c r="R70" s="102">
        <f t="shared" si="52"/>
        <v>288</v>
      </c>
      <c r="S70" s="102">
        <f t="shared" si="52"/>
        <v>288</v>
      </c>
      <c r="T70" s="102">
        <f t="shared" si="52"/>
        <v>288</v>
      </c>
      <c r="U70" s="102">
        <f t="shared" si="52"/>
        <v>288</v>
      </c>
      <c r="V70" s="102">
        <f t="shared" si="52"/>
        <v>288</v>
      </c>
      <c r="W70" s="102">
        <f t="shared" si="52"/>
        <v>288</v>
      </c>
      <c r="X70" s="102">
        <f t="shared" si="52"/>
        <v>288</v>
      </c>
      <c r="Y70" s="102">
        <f t="shared" si="52"/>
        <v>288</v>
      </c>
      <c r="Z70" s="102">
        <f t="shared" si="52"/>
        <v>288</v>
      </c>
      <c r="AA70" s="102">
        <f t="shared" si="52"/>
        <v>288</v>
      </c>
      <c r="AB70" s="102">
        <f t="shared" si="52"/>
        <v>288</v>
      </c>
      <c r="AC70" s="102">
        <f t="shared" si="52"/>
        <v>288</v>
      </c>
      <c r="AD70" s="102">
        <f t="shared" si="52"/>
        <v>288</v>
      </c>
      <c r="AE70" s="102">
        <f t="shared" si="52"/>
        <v>288</v>
      </c>
      <c r="AF70" s="102">
        <f t="shared" si="52"/>
        <v>288</v>
      </c>
      <c r="AG70" s="102">
        <f t="shared" si="52"/>
        <v>288</v>
      </c>
      <c r="AH70" s="102">
        <f t="shared" si="52"/>
        <v>288</v>
      </c>
      <c r="AI70" s="102">
        <f t="shared" si="52"/>
        <v>288</v>
      </c>
      <c r="AJ70" s="102">
        <f t="shared" si="52"/>
        <v>288</v>
      </c>
      <c r="AK70" s="102">
        <f t="shared" si="52"/>
        <v>288</v>
      </c>
      <c r="AL70" s="102">
        <f t="shared" si="52"/>
        <v>288</v>
      </c>
      <c r="AM70" s="102">
        <f t="shared" si="52"/>
        <v>288</v>
      </c>
      <c r="AN70" s="102">
        <f t="shared" si="52"/>
        <v>288</v>
      </c>
      <c r="AO70" s="102">
        <f t="shared" si="52"/>
        <v>288</v>
      </c>
      <c r="AP70" s="102">
        <f t="shared" si="52"/>
        <v>288</v>
      </c>
      <c r="AQ70" s="102">
        <f t="shared" si="52"/>
        <v>288</v>
      </c>
      <c r="AR70" s="102">
        <f t="shared" si="52"/>
        <v>288</v>
      </c>
      <c r="AS70" s="102">
        <f t="shared" si="52"/>
        <v>288</v>
      </c>
      <c r="AT70" s="102">
        <f t="shared" si="52"/>
        <v>288</v>
      </c>
      <c r="AU70" s="102">
        <f t="shared" si="52"/>
        <v>288</v>
      </c>
      <c r="AV70" s="102">
        <f t="shared" si="52"/>
        <v>288</v>
      </c>
      <c r="AW70" s="90"/>
      <c r="AX70" s="90"/>
      <c r="AY70" s="90"/>
      <c r="AZ70" s="90"/>
      <c r="BA70" s="90"/>
      <c r="BB70" s="90"/>
      <c r="BC70" s="90"/>
      <c r="BD70" s="90"/>
      <c r="BE70" s="90"/>
      <c r="BF70" s="90"/>
      <c r="BG70" s="90"/>
    </row>
    <row r="71" ht="12.75" hidden="1" customHeight="1" outlineLevel="1">
      <c r="A71" s="515"/>
      <c r="B71" s="90"/>
      <c r="C71" s="90"/>
      <c r="D71" s="90"/>
      <c r="E71" s="90"/>
      <c r="F71" s="90"/>
      <c r="G71" s="90"/>
      <c r="H71" s="90"/>
      <c r="I71" s="90"/>
      <c r="J71" s="90"/>
      <c r="K71" s="90"/>
      <c r="L71" s="90"/>
      <c r="M71" s="90"/>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row>
    <row r="72" ht="12.75" hidden="1" customHeight="1" outlineLevel="1">
      <c r="A72" s="515"/>
      <c r="B72" s="90" t="s">
        <v>655</v>
      </c>
      <c r="C72" s="90"/>
      <c r="D72" s="90"/>
      <c r="E72" s="90"/>
      <c r="F72" s="90"/>
      <c r="G72" s="90"/>
      <c r="H72" s="157"/>
      <c r="I72" s="157"/>
      <c r="J72" s="157"/>
      <c r="K72" s="157">
        <v>0.864285714285714</v>
      </c>
      <c r="L72" s="152">
        <f>MAX(0.9*K72,0.5)</f>
        <v>0.7778571429</v>
      </c>
      <c r="M72" s="152">
        <f t="shared" ref="M72:AE72" si="53">MAX(0.95*L72,0.5)</f>
        <v>0.7389642857</v>
      </c>
      <c r="N72" s="152">
        <f t="shared" si="53"/>
        <v>0.7020160714</v>
      </c>
      <c r="O72" s="152">
        <f t="shared" si="53"/>
        <v>0.6669152679</v>
      </c>
      <c r="P72" s="152">
        <f t="shared" si="53"/>
        <v>0.6335695045</v>
      </c>
      <c r="Q72" s="152">
        <f t="shared" si="53"/>
        <v>0.6018910292</v>
      </c>
      <c r="R72" s="152">
        <f t="shared" si="53"/>
        <v>0.5717964778</v>
      </c>
      <c r="S72" s="152">
        <f t="shared" si="53"/>
        <v>0.5432066539</v>
      </c>
      <c r="T72" s="152">
        <f t="shared" si="53"/>
        <v>0.5160463212</v>
      </c>
      <c r="U72" s="152">
        <f t="shared" si="53"/>
        <v>0.5</v>
      </c>
      <c r="V72" s="152">
        <f t="shared" si="53"/>
        <v>0.5</v>
      </c>
      <c r="W72" s="152">
        <f t="shared" si="53"/>
        <v>0.5</v>
      </c>
      <c r="X72" s="152">
        <f t="shared" si="53"/>
        <v>0.5</v>
      </c>
      <c r="Y72" s="152">
        <f t="shared" si="53"/>
        <v>0.5</v>
      </c>
      <c r="Z72" s="152">
        <f t="shared" si="53"/>
        <v>0.5</v>
      </c>
      <c r="AA72" s="152">
        <f t="shared" si="53"/>
        <v>0.5</v>
      </c>
      <c r="AB72" s="152">
        <f t="shared" si="53"/>
        <v>0.5</v>
      </c>
      <c r="AC72" s="152">
        <f t="shared" si="53"/>
        <v>0.5</v>
      </c>
      <c r="AD72" s="152">
        <f t="shared" si="53"/>
        <v>0.5</v>
      </c>
      <c r="AE72" s="152">
        <f t="shared" si="53"/>
        <v>0.5</v>
      </c>
      <c r="AF72" s="152">
        <f t="shared" ref="AF72:AV72" si="54">MAX(0.9*AE72,0.5)</f>
        <v>0.5</v>
      </c>
      <c r="AG72" s="152">
        <f t="shared" si="54"/>
        <v>0.5</v>
      </c>
      <c r="AH72" s="152">
        <f t="shared" si="54"/>
        <v>0.5</v>
      </c>
      <c r="AI72" s="152">
        <f t="shared" si="54"/>
        <v>0.5</v>
      </c>
      <c r="AJ72" s="152">
        <f t="shared" si="54"/>
        <v>0.5</v>
      </c>
      <c r="AK72" s="152">
        <f t="shared" si="54"/>
        <v>0.5</v>
      </c>
      <c r="AL72" s="152">
        <f t="shared" si="54"/>
        <v>0.5</v>
      </c>
      <c r="AM72" s="152">
        <f t="shared" si="54"/>
        <v>0.5</v>
      </c>
      <c r="AN72" s="152">
        <f t="shared" si="54"/>
        <v>0.5</v>
      </c>
      <c r="AO72" s="152">
        <f t="shared" si="54"/>
        <v>0.5</v>
      </c>
      <c r="AP72" s="152">
        <f t="shared" si="54"/>
        <v>0.5</v>
      </c>
      <c r="AQ72" s="152">
        <f t="shared" si="54"/>
        <v>0.5</v>
      </c>
      <c r="AR72" s="152">
        <f t="shared" si="54"/>
        <v>0.5</v>
      </c>
      <c r="AS72" s="152">
        <f t="shared" si="54"/>
        <v>0.5</v>
      </c>
      <c r="AT72" s="152">
        <f t="shared" si="54"/>
        <v>0.5</v>
      </c>
      <c r="AU72" s="152">
        <f t="shared" si="54"/>
        <v>0.5</v>
      </c>
      <c r="AV72" s="152">
        <f t="shared" si="54"/>
        <v>0.5</v>
      </c>
      <c r="AW72" s="90" t="s">
        <v>1234</v>
      </c>
      <c r="AX72" s="90"/>
      <c r="AY72" s="90"/>
      <c r="AZ72" s="90"/>
      <c r="BA72" s="90"/>
      <c r="BB72" s="90"/>
      <c r="BC72" s="90"/>
      <c r="BD72" s="90"/>
      <c r="BE72" s="90"/>
      <c r="BF72" s="90"/>
      <c r="BG72" s="90"/>
    </row>
    <row r="73" ht="12.75" hidden="1" customHeight="1" outlineLevel="1">
      <c r="A73" s="515"/>
      <c r="B73" s="90" t="s">
        <v>656</v>
      </c>
      <c r="C73" s="90"/>
      <c r="D73" s="90"/>
      <c r="E73" s="90"/>
      <c r="F73" s="90"/>
      <c r="G73" s="90"/>
      <c r="H73" s="90"/>
      <c r="I73" s="90"/>
      <c r="J73" s="90"/>
      <c r="K73" s="90">
        <f t="shared" ref="K73:AV73" si="55">ROUND(K50*K72*K$46,0)</f>
        <v>365</v>
      </c>
      <c r="L73" s="90">
        <f t="shared" si="55"/>
        <v>373</v>
      </c>
      <c r="M73" s="90">
        <f t="shared" si="55"/>
        <v>369</v>
      </c>
      <c r="N73" s="90">
        <f t="shared" si="55"/>
        <v>351</v>
      </c>
      <c r="O73" s="90">
        <f t="shared" si="55"/>
        <v>333</v>
      </c>
      <c r="P73" s="90">
        <f t="shared" si="55"/>
        <v>317</v>
      </c>
      <c r="Q73" s="90">
        <f t="shared" si="55"/>
        <v>301</v>
      </c>
      <c r="R73" s="90">
        <f t="shared" si="55"/>
        <v>286</v>
      </c>
      <c r="S73" s="90">
        <f t="shared" si="55"/>
        <v>272</v>
      </c>
      <c r="T73" s="90">
        <f t="shared" si="55"/>
        <v>258</v>
      </c>
      <c r="U73" s="90">
        <f t="shared" si="55"/>
        <v>250</v>
      </c>
      <c r="V73" s="90">
        <f t="shared" si="55"/>
        <v>250</v>
      </c>
      <c r="W73" s="90">
        <f t="shared" si="55"/>
        <v>250</v>
      </c>
      <c r="X73" s="90">
        <f t="shared" si="55"/>
        <v>250</v>
      </c>
      <c r="Y73" s="90">
        <f t="shared" si="55"/>
        <v>250</v>
      </c>
      <c r="Z73" s="90">
        <f t="shared" si="55"/>
        <v>250</v>
      </c>
      <c r="AA73" s="90">
        <f t="shared" si="55"/>
        <v>250</v>
      </c>
      <c r="AB73" s="90">
        <f t="shared" si="55"/>
        <v>250</v>
      </c>
      <c r="AC73" s="90">
        <f t="shared" si="55"/>
        <v>250</v>
      </c>
      <c r="AD73" s="90">
        <f t="shared" si="55"/>
        <v>250</v>
      </c>
      <c r="AE73" s="90">
        <f t="shared" si="55"/>
        <v>250</v>
      </c>
      <c r="AF73" s="90">
        <f t="shared" si="55"/>
        <v>250</v>
      </c>
      <c r="AG73" s="90">
        <f t="shared" si="55"/>
        <v>250</v>
      </c>
      <c r="AH73" s="90">
        <f t="shared" si="55"/>
        <v>250</v>
      </c>
      <c r="AI73" s="90">
        <f t="shared" si="55"/>
        <v>250</v>
      </c>
      <c r="AJ73" s="90">
        <f t="shared" si="55"/>
        <v>250</v>
      </c>
      <c r="AK73" s="90">
        <f t="shared" si="55"/>
        <v>250</v>
      </c>
      <c r="AL73" s="90">
        <f t="shared" si="55"/>
        <v>250</v>
      </c>
      <c r="AM73" s="90">
        <f t="shared" si="55"/>
        <v>250</v>
      </c>
      <c r="AN73" s="90">
        <f t="shared" si="55"/>
        <v>250</v>
      </c>
      <c r="AO73" s="90">
        <f t="shared" si="55"/>
        <v>250</v>
      </c>
      <c r="AP73" s="90">
        <f t="shared" si="55"/>
        <v>250</v>
      </c>
      <c r="AQ73" s="90">
        <f t="shared" si="55"/>
        <v>250</v>
      </c>
      <c r="AR73" s="90">
        <f t="shared" si="55"/>
        <v>250</v>
      </c>
      <c r="AS73" s="90">
        <f t="shared" si="55"/>
        <v>250</v>
      </c>
      <c r="AT73" s="90">
        <f t="shared" si="55"/>
        <v>250</v>
      </c>
      <c r="AU73" s="90">
        <f t="shared" si="55"/>
        <v>250</v>
      </c>
      <c r="AV73" s="90">
        <f t="shared" si="55"/>
        <v>250</v>
      </c>
      <c r="AW73" s="90"/>
      <c r="AX73" s="90"/>
      <c r="AY73" s="90"/>
      <c r="AZ73" s="90"/>
      <c r="BA73" s="90"/>
      <c r="BB73" s="90"/>
      <c r="BC73" s="90"/>
      <c r="BD73" s="90"/>
      <c r="BE73" s="90"/>
      <c r="BF73" s="90"/>
      <c r="BG73" s="90"/>
    </row>
    <row r="74" ht="12.75" hidden="1" customHeight="1" outlineLevel="1">
      <c r="A74" s="515"/>
      <c r="B74" s="90" t="s">
        <v>657</v>
      </c>
      <c r="C74" s="90"/>
      <c r="D74" s="90"/>
      <c r="E74" s="90"/>
      <c r="F74" s="90"/>
      <c r="G74" s="90"/>
      <c r="H74" s="102"/>
      <c r="I74" s="102"/>
      <c r="J74" s="102"/>
      <c r="K74" s="102">
        <f t="shared" ref="K74:AV74" si="56">K73*K$52</f>
        <v>350.4</v>
      </c>
      <c r="L74" s="102">
        <f t="shared" si="56"/>
        <v>358.08</v>
      </c>
      <c r="M74" s="102">
        <f t="shared" si="56"/>
        <v>354.24</v>
      </c>
      <c r="N74" s="102">
        <f t="shared" si="56"/>
        <v>336.96</v>
      </c>
      <c r="O74" s="102">
        <f t="shared" si="56"/>
        <v>319.68</v>
      </c>
      <c r="P74" s="102">
        <f t="shared" si="56"/>
        <v>304.32</v>
      </c>
      <c r="Q74" s="102">
        <f t="shared" si="56"/>
        <v>288.96</v>
      </c>
      <c r="R74" s="102">
        <f t="shared" si="56"/>
        <v>274.56</v>
      </c>
      <c r="S74" s="102">
        <f t="shared" si="56"/>
        <v>261.12</v>
      </c>
      <c r="T74" s="102">
        <f t="shared" si="56"/>
        <v>247.68</v>
      </c>
      <c r="U74" s="102">
        <f t="shared" si="56"/>
        <v>240</v>
      </c>
      <c r="V74" s="102">
        <f t="shared" si="56"/>
        <v>240</v>
      </c>
      <c r="W74" s="102">
        <f t="shared" si="56"/>
        <v>240</v>
      </c>
      <c r="X74" s="102">
        <f t="shared" si="56"/>
        <v>240</v>
      </c>
      <c r="Y74" s="102">
        <f t="shared" si="56"/>
        <v>240</v>
      </c>
      <c r="Z74" s="102">
        <f t="shared" si="56"/>
        <v>240</v>
      </c>
      <c r="AA74" s="102">
        <f t="shared" si="56"/>
        <v>240</v>
      </c>
      <c r="AB74" s="102">
        <f t="shared" si="56"/>
        <v>240</v>
      </c>
      <c r="AC74" s="102">
        <f t="shared" si="56"/>
        <v>240</v>
      </c>
      <c r="AD74" s="102">
        <f t="shared" si="56"/>
        <v>240</v>
      </c>
      <c r="AE74" s="102">
        <f t="shared" si="56"/>
        <v>240</v>
      </c>
      <c r="AF74" s="102">
        <f t="shared" si="56"/>
        <v>240</v>
      </c>
      <c r="AG74" s="102">
        <f t="shared" si="56"/>
        <v>240</v>
      </c>
      <c r="AH74" s="102">
        <f t="shared" si="56"/>
        <v>240</v>
      </c>
      <c r="AI74" s="102">
        <f t="shared" si="56"/>
        <v>240</v>
      </c>
      <c r="AJ74" s="102">
        <f t="shared" si="56"/>
        <v>240</v>
      </c>
      <c r="AK74" s="102">
        <f t="shared" si="56"/>
        <v>240</v>
      </c>
      <c r="AL74" s="102">
        <f t="shared" si="56"/>
        <v>240</v>
      </c>
      <c r="AM74" s="102">
        <f t="shared" si="56"/>
        <v>240</v>
      </c>
      <c r="AN74" s="102">
        <f t="shared" si="56"/>
        <v>240</v>
      </c>
      <c r="AO74" s="102">
        <f t="shared" si="56"/>
        <v>240</v>
      </c>
      <c r="AP74" s="102">
        <f t="shared" si="56"/>
        <v>240</v>
      </c>
      <c r="AQ74" s="102">
        <f t="shared" si="56"/>
        <v>240</v>
      </c>
      <c r="AR74" s="102">
        <f t="shared" si="56"/>
        <v>240</v>
      </c>
      <c r="AS74" s="102">
        <f t="shared" si="56"/>
        <v>240</v>
      </c>
      <c r="AT74" s="102">
        <f t="shared" si="56"/>
        <v>240</v>
      </c>
      <c r="AU74" s="102">
        <f t="shared" si="56"/>
        <v>240</v>
      </c>
      <c r="AV74" s="102">
        <f t="shared" si="56"/>
        <v>240</v>
      </c>
      <c r="AW74" s="90"/>
      <c r="AX74" s="90"/>
      <c r="AY74" s="90"/>
      <c r="AZ74" s="90"/>
      <c r="BA74" s="90"/>
      <c r="BB74" s="90"/>
      <c r="BC74" s="90"/>
      <c r="BD74" s="90"/>
      <c r="BE74" s="90"/>
      <c r="BF74" s="90"/>
      <c r="BG74" s="90"/>
    </row>
    <row r="75" ht="12.75" hidden="1" customHeight="1" outlineLevel="1">
      <c r="A75" s="515"/>
      <c r="B75" s="90"/>
      <c r="C75" s="90"/>
      <c r="D75" s="90"/>
      <c r="E75" s="90"/>
      <c r="F75" s="90"/>
      <c r="G75" s="90"/>
      <c r="H75" s="90"/>
      <c r="I75" s="90"/>
      <c r="J75" s="90"/>
      <c r="K75" s="90"/>
      <c r="L75" s="90"/>
      <c r="M75" s="90"/>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row>
    <row r="76" ht="12.75" hidden="1" customHeight="1" outlineLevel="1">
      <c r="A76" s="515"/>
      <c r="B76" s="90" t="s">
        <v>658</v>
      </c>
      <c r="C76" s="90"/>
      <c r="D76" s="90"/>
      <c r="E76" s="90"/>
      <c r="F76" s="90"/>
      <c r="G76" s="90"/>
      <c r="H76" s="353"/>
      <c r="I76" s="353"/>
      <c r="J76" s="353"/>
      <c r="K76" s="353">
        <f>ROUND(K69+K73+IF(K69+K73-K46/2&gt;0,0.5*(K69+K73-K46/2),0),0)</f>
        <v>822</v>
      </c>
      <c r="L76" s="353">
        <f t="shared" ref="L76:AV76" si="57">ROUND(L69+K73+IF(L69+K73-K46/2&gt;0,0.5*(L69+K73-K46/2),0),0)</f>
        <v>874</v>
      </c>
      <c r="M76" s="353">
        <f t="shared" si="57"/>
        <v>890</v>
      </c>
      <c r="N76" s="353">
        <f t="shared" si="57"/>
        <v>879</v>
      </c>
      <c r="O76" s="353">
        <f t="shared" si="57"/>
        <v>852</v>
      </c>
      <c r="P76" s="353">
        <f t="shared" si="57"/>
        <v>825</v>
      </c>
      <c r="Q76" s="353">
        <f t="shared" si="57"/>
        <v>801</v>
      </c>
      <c r="R76" s="353">
        <f t="shared" si="57"/>
        <v>777</v>
      </c>
      <c r="S76" s="353">
        <f t="shared" si="57"/>
        <v>754</v>
      </c>
      <c r="T76" s="353">
        <f t="shared" si="57"/>
        <v>733</v>
      </c>
      <c r="U76" s="353">
        <f t="shared" si="57"/>
        <v>712</v>
      </c>
      <c r="V76" s="353">
        <f t="shared" si="57"/>
        <v>700</v>
      </c>
      <c r="W76" s="353">
        <f t="shared" si="57"/>
        <v>700</v>
      </c>
      <c r="X76" s="353">
        <f t="shared" si="57"/>
        <v>700</v>
      </c>
      <c r="Y76" s="353">
        <f t="shared" si="57"/>
        <v>700</v>
      </c>
      <c r="Z76" s="353">
        <f t="shared" si="57"/>
        <v>700</v>
      </c>
      <c r="AA76" s="353">
        <f t="shared" si="57"/>
        <v>700</v>
      </c>
      <c r="AB76" s="353">
        <f t="shared" si="57"/>
        <v>700</v>
      </c>
      <c r="AC76" s="353">
        <f t="shared" si="57"/>
        <v>700</v>
      </c>
      <c r="AD76" s="353">
        <f t="shared" si="57"/>
        <v>700</v>
      </c>
      <c r="AE76" s="353">
        <f t="shared" si="57"/>
        <v>700</v>
      </c>
      <c r="AF76" s="353">
        <f t="shared" si="57"/>
        <v>700</v>
      </c>
      <c r="AG76" s="353">
        <f t="shared" si="57"/>
        <v>700</v>
      </c>
      <c r="AH76" s="353">
        <f t="shared" si="57"/>
        <v>700</v>
      </c>
      <c r="AI76" s="353">
        <f t="shared" si="57"/>
        <v>700</v>
      </c>
      <c r="AJ76" s="353">
        <f t="shared" si="57"/>
        <v>700</v>
      </c>
      <c r="AK76" s="353">
        <f t="shared" si="57"/>
        <v>700</v>
      </c>
      <c r="AL76" s="353">
        <f t="shared" si="57"/>
        <v>700</v>
      </c>
      <c r="AM76" s="353">
        <f t="shared" si="57"/>
        <v>700</v>
      </c>
      <c r="AN76" s="353">
        <f t="shared" si="57"/>
        <v>700</v>
      </c>
      <c r="AO76" s="353">
        <f t="shared" si="57"/>
        <v>700</v>
      </c>
      <c r="AP76" s="353">
        <f t="shared" si="57"/>
        <v>700</v>
      </c>
      <c r="AQ76" s="353">
        <f t="shared" si="57"/>
        <v>700</v>
      </c>
      <c r="AR76" s="353">
        <f t="shared" si="57"/>
        <v>700</v>
      </c>
      <c r="AS76" s="353">
        <f t="shared" si="57"/>
        <v>700</v>
      </c>
      <c r="AT76" s="353">
        <f t="shared" si="57"/>
        <v>700</v>
      </c>
      <c r="AU76" s="353">
        <f t="shared" si="57"/>
        <v>700</v>
      </c>
      <c r="AV76" s="353">
        <f t="shared" si="57"/>
        <v>700</v>
      </c>
      <c r="AW76" s="90"/>
      <c r="AX76" s="90"/>
      <c r="AY76" s="90"/>
      <c r="AZ76" s="90"/>
      <c r="BA76" s="90"/>
      <c r="BB76" s="90"/>
      <c r="BC76" s="90"/>
      <c r="BD76" s="90"/>
      <c r="BE76" s="90"/>
      <c r="BF76" s="90"/>
      <c r="BG76" s="90"/>
    </row>
    <row r="77" ht="12.75" hidden="1" customHeight="1" outlineLevel="1">
      <c r="A77" s="515"/>
      <c r="B77" s="90"/>
      <c r="C77" s="90"/>
      <c r="D77" s="90"/>
      <c r="E77" s="90"/>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row>
    <row r="78" ht="12.75" hidden="1" customHeight="1" outlineLevel="1">
      <c r="A78" s="515"/>
      <c r="B78" s="90" t="s">
        <v>659</v>
      </c>
      <c r="C78" s="90"/>
      <c r="D78" s="90"/>
      <c r="E78" s="90"/>
      <c r="F78" s="90"/>
      <c r="G78" s="90"/>
      <c r="H78" s="157"/>
      <c r="I78" s="157"/>
      <c r="J78" s="157"/>
      <c r="K78" s="157">
        <v>0.08</v>
      </c>
      <c r="L78" s="152">
        <f t="shared" ref="L78:AV78" si="58">K78</f>
        <v>0.08</v>
      </c>
      <c r="M78" s="152">
        <f t="shared" si="58"/>
        <v>0.08</v>
      </c>
      <c r="N78" s="152">
        <f t="shared" si="58"/>
        <v>0.08</v>
      </c>
      <c r="O78" s="152">
        <f t="shared" si="58"/>
        <v>0.08</v>
      </c>
      <c r="P78" s="152">
        <f t="shared" si="58"/>
        <v>0.08</v>
      </c>
      <c r="Q78" s="152">
        <f t="shared" si="58"/>
        <v>0.08</v>
      </c>
      <c r="R78" s="152">
        <f t="shared" si="58"/>
        <v>0.08</v>
      </c>
      <c r="S78" s="152">
        <f t="shared" si="58"/>
        <v>0.08</v>
      </c>
      <c r="T78" s="152">
        <f t="shared" si="58"/>
        <v>0.08</v>
      </c>
      <c r="U78" s="152">
        <f t="shared" si="58"/>
        <v>0.08</v>
      </c>
      <c r="V78" s="152">
        <f t="shared" si="58"/>
        <v>0.08</v>
      </c>
      <c r="W78" s="152">
        <f t="shared" si="58"/>
        <v>0.08</v>
      </c>
      <c r="X78" s="152">
        <f t="shared" si="58"/>
        <v>0.08</v>
      </c>
      <c r="Y78" s="152">
        <f t="shared" si="58"/>
        <v>0.08</v>
      </c>
      <c r="Z78" s="152">
        <f t="shared" si="58"/>
        <v>0.08</v>
      </c>
      <c r="AA78" s="152">
        <f t="shared" si="58"/>
        <v>0.08</v>
      </c>
      <c r="AB78" s="152">
        <f t="shared" si="58"/>
        <v>0.08</v>
      </c>
      <c r="AC78" s="152">
        <f t="shared" si="58"/>
        <v>0.08</v>
      </c>
      <c r="AD78" s="152">
        <f t="shared" si="58"/>
        <v>0.08</v>
      </c>
      <c r="AE78" s="152">
        <f t="shared" si="58"/>
        <v>0.08</v>
      </c>
      <c r="AF78" s="152">
        <f t="shared" si="58"/>
        <v>0.08</v>
      </c>
      <c r="AG78" s="152">
        <f t="shared" si="58"/>
        <v>0.08</v>
      </c>
      <c r="AH78" s="152">
        <f t="shared" si="58"/>
        <v>0.08</v>
      </c>
      <c r="AI78" s="152">
        <f t="shared" si="58"/>
        <v>0.08</v>
      </c>
      <c r="AJ78" s="152">
        <f t="shared" si="58"/>
        <v>0.08</v>
      </c>
      <c r="AK78" s="152">
        <f t="shared" si="58"/>
        <v>0.08</v>
      </c>
      <c r="AL78" s="152">
        <f t="shared" si="58"/>
        <v>0.08</v>
      </c>
      <c r="AM78" s="152">
        <f t="shared" si="58"/>
        <v>0.08</v>
      </c>
      <c r="AN78" s="152">
        <f t="shared" si="58"/>
        <v>0.08</v>
      </c>
      <c r="AO78" s="152">
        <f t="shared" si="58"/>
        <v>0.08</v>
      </c>
      <c r="AP78" s="152">
        <f t="shared" si="58"/>
        <v>0.08</v>
      </c>
      <c r="AQ78" s="152">
        <f t="shared" si="58"/>
        <v>0.08</v>
      </c>
      <c r="AR78" s="152">
        <f t="shared" si="58"/>
        <v>0.08</v>
      </c>
      <c r="AS78" s="152">
        <f t="shared" si="58"/>
        <v>0.08</v>
      </c>
      <c r="AT78" s="152">
        <f t="shared" si="58"/>
        <v>0.08</v>
      </c>
      <c r="AU78" s="152">
        <f t="shared" si="58"/>
        <v>0.08</v>
      </c>
      <c r="AV78" s="152">
        <f t="shared" si="58"/>
        <v>0.08</v>
      </c>
      <c r="AW78" s="90" t="s">
        <v>1180</v>
      </c>
      <c r="AX78" s="90"/>
      <c r="AY78" s="90"/>
      <c r="AZ78" s="90"/>
      <c r="BA78" s="90"/>
      <c r="BB78" s="90"/>
      <c r="BC78" s="90"/>
      <c r="BD78" s="90"/>
      <c r="BE78" s="90"/>
      <c r="BF78" s="90"/>
      <c r="BG78" s="90"/>
    </row>
    <row r="79" ht="12.75" hidden="1" customHeight="1" outlineLevel="1">
      <c r="A79" s="515"/>
      <c r="B79" s="90" t="s">
        <v>660</v>
      </c>
      <c r="C79" s="90"/>
      <c r="D79" s="90"/>
      <c r="E79" s="90"/>
      <c r="F79" s="90"/>
      <c r="G79" s="90"/>
      <c r="H79" s="90"/>
      <c r="I79" s="90"/>
      <c r="J79" s="90"/>
      <c r="K79" s="102">
        <f t="shared" ref="K79:AV79" si="59">ROUND(K50*K78*K$46,0)</f>
        <v>34</v>
      </c>
      <c r="L79" s="102">
        <f t="shared" si="59"/>
        <v>38</v>
      </c>
      <c r="M79" s="102">
        <f t="shared" si="59"/>
        <v>40</v>
      </c>
      <c r="N79" s="102">
        <f t="shared" si="59"/>
        <v>40</v>
      </c>
      <c r="O79" s="102">
        <f t="shared" si="59"/>
        <v>40</v>
      </c>
      <c r="P79" s="102">
        <f t="shared" si="59"/>
        <v>40</v>
      </c>
      <c r="Q79" s="102">
        <f t="shared" si="59"/>
        <v>40</v>
      </c>
      <c r="R79" s="102">
        <f t="shared" si="59"/>
        <v>40</v>
      </c>
      <c r="S79" s="102">
        <f t="shared" si="59"/>
        <v>40</v>
      </c>
      <c r="T79" s="102">
        <f t="shared" si="59"/>
        <v>40</v>
      </c>
      <c r="U79" s="102">
        <f t="shared" si="59"/>
        <v>40</v>
      </c>
      <c r="V79" s="102">
        <f t="shared" si="59"/>
        <v>40</v>
      </c>
      <c r="W79" s="102">
        <f t="shared" si="59"/>
        <v>40</v>
      </c>
      <c r="X79" s="102">
        <f t="shared" si="59"/>
        <v>40</v>
      </c>
      <c r="Y79" s="102">
        <f t="shared" si="59"/>
        <v>40</v>
      </c>
      <c r="Z79" s="102">
        <f t="shared" si="59"/>
        <v>40</v>
      </c>
      <c r="AA79" s="102">
        <f t="shared" si="59"/>
        <v>40</v>
      </c>
      <c r="AB79" s="102">
        <f t="shared" si="59"/>
        <v>40</v>
      </c>
      <c r="AC79" s="102">
        <f t="shared" si="59"/>
        <v>40</v>
      </c>
      <c r="AD79" s="102">
        <f t="shared" si="59"/>
        <v>40</v>
      </c>
      <c r="AE79" s="102">
        <f t="shared" si="59"/>
        <v>40</v>
      </c>
      <c r="AF79" s="102">
        <f t="shared" si="59"/>
        <v>40</v>
      </c>
      <c r="AG79" s="102">
        <f t="shared" si="59"/>
        <v>40</v>
      </c>
      <c r="AH79" s="102">
        <f t="shared" si="59"/>
        <v>40</v>
      </c>
      <c r="AI79" s="102">
        <f t="shared" si="59"/>
        <v>40</v>
      </c>
      <c r="AJ79" s="102">
        <f t="shared" si="59"/>
        <v>40</v>
      </c>
      <c r="AK79" s="102">
        <f t="shared" si="59"/>
        <v>40</v>
      </c>
      <c r="AL79" s="102">
        <f t="shared" si="59"/>
        <v>40</v>
      </c>
      <c r="AM79" s="102">
        <f t="shared" si="59"/>
        <v>40</v>
      </c>
      <c r="AN79" s="102">
        <f t="shared" si="59"/>
        <v>40</v>
      </c>
      <c r="AO79" s="102">
        <f t="shared" si="59"/>
        <v>40</v>
      </c>
      <c r="AP79" s="102">
        <f t="shared" si="59"/>
        <v>40</v>
      </c>
      <c r="AQ79" s="102">
        <f t="shared" si="59"/>
        <v>40</v>
      </c>
      <c r="AR79" s="102">
        <f t="shared" si="59"/>
        <v>40</v>
      </c>
      <c r="AS79" s="102">
        <f t="shared" si="59"/>
        <v>40</v>
      </c>
      <c r="AT79" s="102">
        <f t="shared" si="59"/>
        <v>40</v>
      </c>
      <c r="AU79" s="102">
        <f t="shared" si="59"/>
        <v>40</v>
      </c>
      <c r="AV79" s="102">
        <f t="shared" si="59"/>
        <v>40</v>
      </c>
      <c r="AW79" s="90"/>
      <c r="AX79" s="90"/>
      <c r="AY79" s="90"/>
      <c r="AZ79" s="90"/>
      <c r="BA79" s="90"/>
      <c r="BB79" s="90"/>
      <c r="BC79" s="90"/>
      <c r="BD79" s="90"/>
      <c r="BE79" s="90"/>
      <c r="BF79" s="90"/>
      <c r="BG79" s="90"/>
    </row>
    <row r="80" ht="12.75" hidden="1" customHeight="1" outlineLevel="1">
      <c r="A80" s="515"/>
      <c r="B80" s="90" t="s">
        <v>661</v>
      </c>
      <c r="C80" s="90"/>
      <c r="D80" s="90"/>
      <c r="E80" s="90"/>
      <c r="F80" s="90"/>
      <c r="G80" s="90"/>
      <c r="H80" s="102"/>
      <c r="I80" s="102"/>
      <c r="J80" s="102"/>
      <c r="K80" s="102">
        <f t="shared" ref="K80:AV80" si="60">K79*K$52</f>
        <v>32.64</v>
      </c>
      <c r="L80" s="102">
        <f t="shared" si="60"/>
        <v>36.48</v>
      </c>
      <c r="M80" s="102">
        <f t="shared" si="60"/>
        <v>38.4</v>
      </c>
      <c r="N80" s="102">
        <f t="shared" si="60"/>
        <v>38.4</v>
      </c>
      <c r="O80" s="102">
        <f t="shared" si="60"/>
        <v>38.4</v>
      </c>
      <c r="P80" s="102">
        <f t="shared" si="60"/>
        <v>38.4</v>
      </c>
      <c r="Q80" s="102">
        <f t="shared" si="60"/>
        <v>38.4</v>
      </c>
      <c r="R80" s="102">
        <f t="shared" si="60"/>
        <v>38.4</v>
      </c>
      <c r="S80" s="102">
        <f t="shared" si="60"/>
        <v>38.4</v>
      </c>
      <c r="T80" s="102">
        <f t="shared" si="60"/>
        <v>38.4</v>
      </c>
      <c r="U80" s="102">
        <f t="shared" si="60"/>
        <v>38.4</v>
      </c>
      <c r="V80" s="102">
        <f t="shared" si="60"/>
        <v>38.4</v>
      </c>
      <c r="W80" s="102">
        <f t="shared" si="60"/>
        <v>38.4</v>
      </c>
      <c r="X80" s="102">
        <f t="shared" si="60"/>
        <v>38.4</v>
      </c>
      <c r="Y80" s="102">
        <f t="shared" si="60"/>
        <v>38.4</v>
      </c>
      <c r="Z80" s="102">
        <f t="shared" si="60"/>
        <v>38.4</v>
      </c>
      <c r="AA80" s="102">
        <f t="shared" si="60"/>
        <v>38.4</v>
      </c>
      <c r="AB80" s="102">
        <f t="shared" si="60"/>
        <v>38.4</v>
      </c>
      <c r="AC80" s="102">
        <f t="shared" si="60"/>
        <v>38.4</v>
      </c>
      <c r="AD80" s="102">
        <f t="shared" si="60"/>
        <v>38.4</v>
      </c>
      <c r="AE80" s="102">
        <f t="shared" si="60"/>
        <v>38.4</v>
      </c>
      <c r="AF80" s="102">
        <f t="shared" si="60"/>
        <v>38.4</v>
      </c>
      <c r="AG80" s="102">
        <f t="shared" si="60"/>
        <v>38.4</v>
      </c>
      <c r="AH80" s="102">
        <f t="shared" si="60"/>
        <v>38.4</v>
      </c>
      <c r="AI80" s="102">
        <f t="shared" si="60"/>
        <v>38.4</v>
      </c>
      <c r="AJ80" s="102">
        <f t="shared" si="60"/>
        <v>38.4</v>
      </c>
      <c r="AK80" s="102">
        <f t="shared" si="60"/>
        <v>38.4</v>
      </c>
      <c r="AL80" s="102">
        <f t="shared" si="60"/>
        <v>38.4</v>
      </c>
      <c r="AM80" s="102">
        <f t="shared" si="60"/>
        <v>38.4</v>
      </c>
      <c r="AN80" s="102">
        <f t="shared" si="60"/>
        <v>38.4</v>
      </c>
      <c r="AO80" s="102">
        <f t="shared" si="60"/>
        <v>38.4</v>
      </c>
      <c r="AP80" s="102">
        <f t="shared" si="60"/>
        <v>38.4</v>
      </c>
      <c r="AQ80" s="102">
        <f t="shared" si="60"/>
        <v>38.4</v>
      </c>
      <c r="AR80" s="102">
        <f t="shared" si="60"/>
        <v>38.4</v>
      </c>
      <c r="AS80" s="102">
        <f t="shared" si="60"/>
        <v>38.4</v>
      </c>
      <c r="AT80" s="102">
        <f t="shared" si="60"/>
        <v>38.4</v>
      </c>
      <c r="AU80" s="102">
        <f t="shared" si="60"/>
        <v>38.4</v>
      </c>
      <c r="AV80" s="102">
        <f t="shared" si="60"/>
        <v>38.4</v>
      </c>
      <c r="AW80" s="90"/>
      <c r="AX80" s="90"/>
      <c r="AY80" s="90"/>
      <c r="AZ80" s="90"/>
      <c r="BA80" s="90"/>
      <c r="BB80" s="90"/>
      <c r="BC80" s="90"/>
      <c r="BD80" s="90"/>
      <c r="BE80" s="90"/>
      <c r="BF80" s="90"/>
      <c r="BG80" s="90"/>
    </row>
    <row r="81" ht="12.75" hidden="1" customHeight="1" outlineLevel="1">
      <c r="A81" s="515"/>
      <c r="B81" s="90"/>
      <c r="C81" s="90"/>
      <c r="D81" s="90"/>
      <c r="E81" s="90"/>
      <c r="F81" s="90"/>
      <c r="G81" s="90"/>
      <c r="H81" s="90"/>
      <c r="I81" s="90"/>
      <c r="J81" s="90"/>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90"/>
      <c r="AX81" s="90"/>
      <c r="AY81" s="90"/>
      <c r="AZ81" s="90"/>
      <c r="BA81" s="90"/>
      <c r="BB81" s="90"/>
      <c r="BC81" s="90"/>
      <c r="BD81" s="90"/>
      <c r="BE81" s="90"/>
      <c r="BF81" s="90"/>
      <c r="BG81" s="90"/>
    </row>
    <row r="82" ht="12.75" hidden="1" customHeight="1" outlineLevel="1">
      <c r="A82" s="515"/>
      <c r="B82" s="90" t="s">
        <v>662</v>
      </c>
      <c r="C82" s="90"/>
      <c r="D82" s="90"/>
      <c r="E82" s="90"/>
      <c r="F82" s="90"/>
      <c r="G82" s="90"/>
      <c r="H82" s="517"/>
      <c r="I82" s="517"/>
      <c r="J82" s="518"/>
      <c r="K82" s="516">
        <f t="shared" ref="K82:R82" si="61">0.25*K55</f>
        <v>101.28</v>
      </c>
      <c r="L82" s="516">
        <f t="shared" si="61"/>
        <v>115.2</v>
      </c>
      <c r="M82" s="516">
        <f t="shared" si="61"/>
        <v>120</v>
      </c>
      <c r="N82" s="516">
        <f t="shared" si="61"/>
        <v>120</v>
      </c>
      <c r="O82" s="516">
        <f t="shared" si="61"/>
        <v>120</v>
      </c>
      <c r="P82" s="516">
        <f t="shared" si="61"/>
        <v>120</v>
      </c>
      <c r="Q82" s="516">
        <f t="shared" si="61"/>
        <v>120</v>
      </c>
      <c r="R82" s="516">
        <f t="shared" si="61"/>
        <v>120</v>
      </c>
      <c r="S82" s="102">
        <f t="shared" ref="S82:AV82" si="62">R82</f>
        <v>120</v>
      </c>
      <c r="T82" s="102">
        <f t="shared" si="62"/>
        <v>120</v>
      </c>
      <c r="U82" s="102">
        <f t="shared" si="62"/>
        <v>120</v>
      </c>
      <c r="V82" s="102">
        <f t="shared" si="62"/>
        <v>120</v>
      </c>
      <c r="W82" s="102">
        <f t="shared" si="62"/>
        <v>120</v>
      </c>
      <c r="X82" s="102">
        <f t="shared" si="62"/>
        <v>120</v>
      </c>
      <c r="Y82" s="102">
        <f t="shared" si="62"/>
        <v>120</v>
      </c>
      <c r="Z82" s="102">
        <f t="shared" si="62"/>
        <v>120</v>
      </c>
      <c r="AA82" s="102">
        <f t="shared" si="62"/>
        <v>120</v>
      </c>
      <c r="AB82" s="102">
        <f t="shared" si="62"/>
        <v>120</v>
      </c>
      <c r="AC82" s="102">
        <f t="shared" si="62"/>
        <v>120</v>
      </c>
      <c r="AD82" s="102">
        <f t="shared" si="62"/>
        <v>120</v>
      </c>
      <c r="AE82" s="102">
        <f t="shared" si="62"/>
        <v>120</v>
      </c>
      <c r="AF82" s="102">
        <f t="shared" si="62"/>
        <v>120</v>
      </c>
      <c r="AG82" s="102">
        <f t="shared" si="62"/>
        <v>120</v>
      </c>
      <c r="AH82" s="102">
        <f t="shared" si="62"/>
        <v>120</v>
      </c>
      <c r="AI82" s="102">
        <f t="shared" si="62"/>
        <v>120</v>
      </c>
      <c r="AJ82" s="102">
        <f t="shared" si="62"/>
        <v>120</v>
      </c>
      <c r="AK82" s="102">
        <f t="shared" si="62"/>
        <v>120</v>
      </c>
      <c r="AL82" s="102">
        <f t="shared" si="62"/>
        <v>120</v>
      </c>
      <c r="AM82" s="102">
        <f t="shared" si="62"/>
        <v>120</v>
      </c>
      <c r="AN82" s="102">
        <f t="shared" si="62"/>
        <v>120</v>
      </c>
      <c r="AO82" s="102">
        <f t="shared" si="62"/>
        <v>120</v>
      </c>
      <c r="AP82" s="102">
        <f t="shared" si="62"/>
        <v>120</v>
      </c>
      <c r="AQ82" s="102">
        <f t="shared" si="62"/>
        <v>120</v>
      </c>
      <c r="AR82" s="102">
        <f t="shared" si="62"/>
        <v>120</v>
      </c>
      <c r="AS82" s="102">
        <f t="shared" si="62"/>
        <v>120</v>
      </c>
      <c r="AT82" s="102">
        <f t="shared" si="62"/>
        <v>120</v>
      </c>
      <c r="AU82" s="102">
        <f t="shared" si="62"/>
        <v>120</v>
      </c>
      <c r="AV82" s="102">
        <f t="shared" si="62"/>
        <v>120</v>
      </c>
      <c r="AW82" s="90"/>
      <c r="AX82" s="90"/>
      <c r="AY82" s="90"/>
      <c r="AZ82" s="90"/>
      <c r="BA82" s="90"/>
      <c r="BB82" s="90"/>
      <c r="BC82" s="90"/>
      <c r="BD82" s="90"/>
      <c r="BE82" s="90"/>
      <c r="BF82" s="90"/>
      <c r="BG82" s="90"/>
    </row>
    <row r="83" ht="12.75" hidden="1" customHeight="1" outlineLevel="1">
      <c r="A83" s="515"/>
      <c r="B83" s="90" t="s">
        <v>663</v>
      </c>
      <c r="C83" s="90"/>
      <c r="D83" s="90"/>
      <c r="E83" s="90"/>
      <c r="F83" s="90"/>
      <c r="G83" s="90"/>
      <c r="H83" s="90"/>
      <c r="I83" s="90"/>
      <c r="J83" s="90"/>
      <c r="K83" s="102">
        <f t="shared" ref="K83:AV83" si="63">K36*K37</f>
        <v>360</v>
      </c>
      <c r="L83" s="102">
        <f t="shared" si="63"/>
        <v>360</v>
      </c>
      <c r="M83" s="102">
        <f t="shared" si="63"/>
        <v>360</v>
      </c>
      <c r="N83" s="102">
        <f t="shared" si="63"/>
        <v>360</v>
      </c>
      <c r="O83" s="102">
        <f t="shared" si="63"/>
        <v>360</v>
      </c>
      <c r="P83" s="102">
        <f t="shared" si="63"/>
        <v>360</v>
      </c>
      <c r="Q83" s="102">
        <f t="shared" si="63"/>
        <v>360</v>
      </c>
      <c r="R83" s="102">
        <f t="shared" si="63"/>
        <v>360</v>
      </c>
      <c r="S83" s="102">
        <f t="shared" si="63"/>
        <v>360</v>
      </c>
      <c r="T83" s="102">
        <f t="shared" si="63"/>
        <v>360</v>
      </c>
      <c r="U83" s="102">
        <f t="shared" si="63"/>
        <v>360</v>
      </c>
      <c r="V83" s="102">
        <f t="shared" si="63"/>
        <v>360</v>
      </c>
      <c r="W83" s="102">
        <f t="shared" si="63"/>
        <v>360</v>
      </c>
      <c r="X83" s="102">
        <f t="shared" si="63"/>
        <v>360</v>
      </c>
      <c r="Y83" s="102">
        <f t="shared" si="63"/>
        <v>360</v>
      </c>
      <c r="Z83" s="102">
        <f t="shared" si="63"/>
        <v>360</v>
      </c>
      <c r="AA83" s="102">
        <f t="shared" si="63"/>
        <v>360</v>
      </c>
      <c r="AB83" s="102">
        <f t="shared" si="63"/>
        <v>360</v>
      </c>
      <c r="AC83" s="102">
        <f t="shared" si="63"/>
        <v>360</v>
      </c>
      <c r="AD83" s="102">
        <f t="shared" si="63"/>
        <v>360</v>
      </c>
      <c r="AE83" s="102">
        <f t="shared" si="63"/>
        <v>360</v>
      </c>
      <c r="AF83" s="102">
        <f t="shared" si="63"/>
        <v>360</v>
      </c>
      <c r="AG83" s="102">
        <f t="shared" si="63"/>
        <v>360</v>
      </c>
      <c r="AH83" s="102">
        <f t="shared" si="63"/>
        <v>360</v>
      </c>
      <c r="AI83" s="102">
        <f t="shared" si="63"/>
        <v>360</v>
      </c>
      <c r="AJ83" s="102">
        <f t="shared" si="63"/>
        <v>360</v>
      </c>
      <c r="AK83" s="102">
        <f t="shared" si="63"/>
        <v>360</v>
      </c>
      <c r="AL83" s="102">
        <f t="shared" si="63"/>
        <v>360</v>
      </c>
      <c r="AM83" s="102">
        <f t="shared" si="63"/>
        <v>360</v>
      </c>
      <c r="AN83" s="102">
        <f t="shared" si="63"/>
        <v>360</v>
      </c>
      <c r="AO83" s="102">
        <f t="shared" si="63"/>
        <v>360</v>
      </c>
      <c r="AP83" s="102">
        <f t="shared" si="63"/>
        <v>360</v>
      </c>
      <c r="AQ83" s="102">
        <f t="shared" si="63"/>
        <v>360</v>
      </c>
      <c r="AR83" s="102">
        <f t="shared" si="63"/>
        <v>360</v>
      </c>
      <c r="AS83" s="102">
        <f t="shared" si="63"/>
        <v>360</v>
      </c>
      <c r="AT83" s="102">
        <f t="shared" si="63"/>
        <v>360</v>
      </c>
      <c r="AU83" s="102">
        <f t="shared" si="63"/>
        <v>360</v>
      </c>
      <c r="AV83" s="102">
        <f t="shared" si="63"/>
        <v>360</v>
      </c>
      <c r="AW83" s="90"/>
      <c r="AX83" s="90"/>
      <c r="AY83" s="90"/>
      <c r="AZ83" s="90"/>
      <c r="BA83" s="90"/>
      <c r="BB83" s="90"/>
      <c r="BC83" s="90"/>
      <c r="BD83" s="90"/>
      <c r="BE83" s="90"/>
      <c r="BF83" s="90"/>
      <c r="BG83" s="90"/>
    </row>
    <row r="84" ht="12.75" hidden="1" customHeight="1" outlineLevel="1">
      <c r="A84" s="515"/>
      <c r="B84" s="90" t="s">
        <v>664</v>
      </c>
      <c r="C84" s="90"/>
      <c r="D84" s="90"/>
      <c r="E84" s="90"/>
      <c r="F84" s="90"/>
      <c r="G84" s="90"/>
      <c r="H84" s="102"/>
      <c r="I84" s="102"/>
      <c r="J84" s="102"/>
      <c r="K84" s="102">
        <f t="shared" ref="K84:AV84" si="64">K83*K82</f>
        <v>36460.8</v>
      </c>
      <c r="L84" s="102">
        <f t="shared" si="64"/>
        <v>41472</v>
      </c>
      <c r="M84" s="102">
        <f t="shared" si="64"/>
        <v>43200</v>
      </c>
      <c r="N84" s="102">
        <f t="shared" si="64"/>
        <v>43200</v>
      </c>
      <c r="O84" s="102">
        <f t="shared" si="64"/>
        <v>43200</v>
      </c>
      <c r="P84" s="102">
        <f t="shared" si="64"/>
        <v>43200</v>
      </c>
      <c r="Q84" s="102">
        <f t="shared" si="64"/>
        <v>43200</v>
      </c>
      <c r="R84" s="102">
        <f t="shared" si="64"/>
        <v>43200</v>
      </c>
      <c r="S84" s="102">
        <f t="shared" si="64"/>
        <v>43200</v>
      </c>
      <c r="T84" s="102">
        <f t="shared" si="64"/>
        <v>43200</v>
      </c>
      <c r="U84" s="102">
        <f t="shared" si="64"/>
        <v>43200</v>
      </c>
      <c r="V84" s="102">
        <f t="shared" si="64"/>
        <v>43200</v>
      </c>
      <c r="W84" s="102">
        <f t="shared" si="64"/>
        <v>43200</v>
      </c>
      <c r="X84" s="102">
        <f t="shared" si="64"/>
        <v>43200</v>
      </c>
      <c r="Y84" s="102">
        <f t="shared" si="64"/>
        <v>43200</v>
      </c>
      <c r="Z84" s="102">
        <f t="shared" si="64"/>
        <v>43200</v>
      </c>
      <c r="AA84" s="102">
        <f t="shared" si="64"/>
        <v>43200</v>
      </c>
      <c r="AB84" s="102">
        <f t="shared" si="64"/>
        <v>43200</v>
      </c>
      <c r="AC84" s="102">
        <f t="shared" si="64"/>
        <v>43200</v>
      </c>
      <c r="AD84" s="102">
        <f t="shared" si="64"/>
        <v>43200</v>
      </c>
      <c r="AE84" s="102">
        <f t="shared" si="64"/>
        <v>43200</v>
      </c>
      <c r="AF84" s="102">
        <f t="shared" si="64"/>
        <v>43200</v>
      </c>
      <c r="AG84" s="102">
        <f t="shared" si="64"/>
        <v>43200</v>
      </c>
      <c r="AH84" s="102">
        <f t="shared" si="64"/>
        <v>43200</v>
      </c>
      <c r="AI84" s="102">
        <f t="shared" si="64"/>
        <v>43200</v>
      </c>
      <c r="AJ84" s="102">
        <f t="shared" si="64"/>
        <v>43200</v>
      </c>
      <c r="AK84" s="102">
        <f t="shared" si="64"/>
        <v>43200</v>
      </c>
      <c r="AL84" s="102">
        <f t="shared" si="64"/>
        <v>43200</v>
      </c>
      <c r="AM84" s="102">
        <f t="shared" si="64"/>
        <v>43200</v>
      </c>
      <c r="AN84" s="102">
        <f t="shared" si="64"/>
        <v>43200</v>
      </c>
      <c r="AO84" s="102">
        <f t="shared" si="64"/>
        <v>43200</v>
      </c>
      <c r="AP84" s="102">
        <f t="shared" si="64"/>
        <v>43200</v>
      </c>
      <c r="AQ84" s="102">
        <f t="shared" si="64"/>
        <v>43200</v>
      </c>
      <c r="AR84" s="102">
        <f t="shared" si="64"/>
        <v>43200</v>
      </c>
      <c r="AS84" s="102">
        <f t="shared" si="64"/>
        <v>43200</v>
      </c>
      <c r="AT84" s="102">
        <f t="shared" si="64"/>
        <v>43200</v>
      </c>
      <c r="AU84" s="102">
        <f t="shared" si="64"/>
        <v>43200</v>
      </c>
      <c r="AV84" s="102">
        <f t="shared" si="64"/>
        <v>43200</v>
      </c>
      <c r="AW84" s="90"/>
      <c r="AX84" s="90"/>
      <c r="AY84" s="90"/>
      <c r="AZ84" s="90"/>
      <c r="BA84" s="90"/>
      <c r="BB84" s="90"/>
      <c r="BC84" s="90"/>
      <c r="BD84" s="90"/>
      <c r="BE84" s="90"/>
      <c r="BF84" s="90"/>
      <c r="BG84" s="90"/>
    </row>
    <row r="85" ht="12.75" customHeight="1">
      <c r="A85" s="515"/>
      <c r="B85" s="90"/>
      <c r="C85" s="90"/>
      <c r="D85" s="90"/>
      <c r="E85" s="90"/>
      <c r="F85" s="90"/>
      <c r="G85" s="90"/>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90"/>
      <c r="AX85" s="90"/>
      <c r="AY85" s="90"/>
      <c r="AZ85" s="90"/>
      <c r="BA85" s="90"/>
      <c r="BB85" s="90"/>
      <c r="BC85" s="90"/>
      <c r="BD85" s="90"/>
      <c r="BE85" s="90"/>
      <c r="BF85" s="90"/>
      <c r="BG85" s="90"/>
    </row>
    <row r="86" ht="12.75" customHeight="1">
      <c r="A86" s="105" t="s">
        <v>665</v>
      </c>
      <c r="B86" s="253"/>
      <c r="C86" s="253"/>
      <c r="D86" s="253"/>
      <c r="E86" s="253"/>
      <c r="F86" s="253"/>
      <c r="G86" s="253"/>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90"/>
      <c r="AY86" s="90"/>
      <c r="AZ86" s="90"/>
      <c r="BA86" s="90"/>
      <c r="BB86" s="90"/>
      <c r="BC86" s="90"/>
      <c r="BD86" s="90"/>
      <c r="BE86" s="90"/>
      <c r="BF86" s="90"/>
      <c r="BG86" s="90"/>
    </row>
    <row r="87" ht="12.75" hidden="1" customHeight="1" outlineLevel="1">
      <c r="A87" s="515"/>
      <c r="B87" s="90"/>
      <c r="C87" s="90"/>
      <c r="D87" s="90"/>
      <c r="E87" s="90"/>
      <c r="F87" s="90"/>
      <c r="G87" s="90"/>
      <c r="H87" s="90"/>
      <c r="I87" s="90"/>
      <c r="J87" s="90"/>
      <c r="K87" s="90"/>
      <c r="L87" s="90"/>
      <c r="M87" s="90"/>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row>
    <row r="88" ht="12.75" hidden="1" customHeight="1" outlineLevel="1">
      <c r="A88" s="316"/>
      <c r="B88" s="67" t="s">
        <v>666</v>
      </c>
      <c r="C88" s="90"/>
      <c r="D88" s="90"/>
      <c r="E88" s="90"/>
      <c r="F88" s="90"/>
      <c r="G88" s="90"/>
      <c r="H88" s="90"/>
      <c r="I88" s="90"/>
      <c r="J88" s="90"/>
      <c r="K88" s="90"/>
      <c r="L88" s="90"/>
      <c r="M88" s="90"/>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row>
    <row r="89" ht="12.75" hidden="1" customHeight="1" outlineLevel="1">
      <c r="A89" s="316"/>
      <c r="B89" s="90"/>
      <c r="C89" s="90" t="s">
        <v>573</v>
      </c>
      <c r="D89" s="90"/>
      <c r="E89" s="90"/>
      <c r="F89" s="90"/>
      <c r="G89" s="90"/>
      <c r="H89" s="523"/>
      <c r="I89" s="178"/>
      <c r="J89" s="178"/>
      <c r="K89" s="178">
        <f>Assumptions!D57</f>
        <v>0</v>
      </c>
      <c r="L89" s="178">
        <f>Assumptions!E57</f>
        <v>0</v>
      </c>
      <c r="M89" s="178">
        <f>Assumptions!F57</f>
        <v>0.01</v>
      </c>
      <c r="N89" s="178">
        <f>Assumptions!G57</f>
        <v>0.02</v>
      </c>
      <c r="O89" s="178">
        <f>Assumptions!H57</f>
        <v>0.02</v>
      </c>
      <c r="P89" s="178">
        <f>Assumptions!I57</f>
        <v>0.02</v>
      </c>
      <c r="Q89" s="178">
        <f>Assumptions!J57</f>
        <v>0.02</v>
      </c>
      <c r="R89" s="178">
        <f>Assumptions!K57</f>
        <v>0.03013338494</v>
      </c>
      <c r="S89" s="178">
        <f>Assumptions!L57</f>
        <v>0.02</v>
      </c>
      <c r="T89" s="178">
        <f t="shared" ref="T89:AV89" si="65">S89</f>
        <v>0.02</v>
      </c>
      <c r="U89" s="178">
        <f t="shared" si="65"/>
        <v>0.02</v>
      </c>
      <c r="V89" s="178">
        <f t="shared" si="65"/>
        <v>0.02</v>
      </c>
      <c r="W89" s="178">
        <f t="shared" si="65"/>
        <v>0.02</v>
      </c>
      <c r="X89" s="178">
        <f t="shared" si="65"/>
        <v>0.02</v>
      </c>
      <c r="Y89" s="178">
        <f t="shared" si="65"/>
        <v>0.02</v>
      </c>
      <c r="Z89" s="178">
        <f t="shared" si="65"/>
        <v>0.02</v>
      </c>
      <c r="AA89" s="178">
        <f t="shared" si="65"/>
        <v>0.02</v>
      </c>
      <c r="AB89" s="178">
        <f t="shared" si="65"/>
        <v>0.02</v>
      </c>
      <c r="AC89" s="178">
        <f t="shared" si="65"/>
        <v>0.02</v>
      </c>
      <c r="AD89" s="178">
        <f t="shared" si="65"/>
        <v>0.02</v>
      </c>
      <c r="AE89" s="178">
        <f t="shared" si="65"/>
        <v>0.02</v>
      </c>
      <c r="AF89" s="178">
        <f t="shared" si="65"/>
        <v>0.02</v>
      </c>
      <c r="AG89" s="178">
        <f t="shared" si="65"/>
        <v>0.02</v>
      </c>
      <c r="AH89" s="178">
        <f t="shared" si="65"/>
        <v>0.02</v>
      </c>
      <c r="AI89" s="178">
        <f t="shared" si="65"/>
        <v>0.02</v>
      </c>
      <c r="AJ89" s="178">
        <f t="shared" si="65"/>
        <v>0.02</v>
      </c>
      <c r="AK89" s="178">
        <f t="shared" si="65"/>
        <v>0.02</v>
      </c>
      <c r="AL89" s="178">
        <f t="shared" si="65"/>
        <v>0.02</v>
      </c>
      <c r="AM89" s="178">
        <f t="shared" si="65"/>
        <v>0.02</v>
      </c>
      <c r="AN89" s="178">
        <f t="shared" si="65"/>
        <v>0.02</v>
      </c>
      <c r="AO89" s="178">
        <f t="shared" si="65"/>
        <v>0.02</v>
      </c>
      <c r="AP89" s="178">
        <f t="shared" si="65"/>
        <v>0.02</v>
      </c>
      <c r="AQ89" s="178">
        <f t="shared" si="65"/>
        <v>0.02</v>
      </c>
      <c r="AR89" s="178">
        <f t="shared" si="65"/>
        <v>0.02</v>
      </c>
      <c r="AS89" s="178">
        <f t="shared" si="65"/>
        <v>0.02</v>
      </c>
      <c r="AT89" s="178">
        <f t="shared" si="65"/>
        <v>0.02</v>
      </c>
      <c r="AU89" s="178">
        <f t="shared" si="65"/>
        <v>0.02</v>
      </c>
      <c r="AV89" s="178">
        <f t="shared" si="65"/>
        <v>0.02</v>
      </c>
      <c r="AW89" s="90"/>
      <c r="AX89" s="90"/>
      <c r="AY89" s="90"/>
      <c r="AZ89" s="90"/>
      <c r="BA89" s="90"/>
      <c r="BB89" s="90"/>
      <c r="BC89" s="90"/>
      <c r="BD89" s="90"/>
      <c r="BE89" s="90"/>
      <c r="BF89" s="90"/>
      <c r="BG89" s="90"/>
    </row>
    <row r="90" ht="12.75" hidden="1" customHeight="1" outlineLevel="1">
      <c r="A90" s="316"/>
      <c r="B90" s="90"/>
      <c r="C90" s="90" t="s">
        <v>667</v>
      </c>
      <c r="D90" s="90"/>
      <c r="E90" s="90"/>
      <c r="F90" s="90"/>
      <c r="G90" s="90"/>
      <c r="H90" s="523"/>
      <c r="I90" s="178"/>
      <c r="J90" s="99"/>
      <c r="K90" s="99">
        <f>'RS1'!K90</f>
        <v>4778</v>
      </c>
      <c r="L90" s="99">
        <f t="shared" ref="L90:AV90" si="66">K90*(1+L$89)</f>
        <v>4778</v>
      </c>
      <c r="M90" s="99">
        <f t="shared" si="66"/>
        <v>4825.78</v>
      </c>
      <c r="N90" s="99">
        <f t="shared" si="66"/>
        <v>4922.2956</v>
      </c>
      <c r="O90" s="99">
        <f t="shared" si="66"/>
        <v>5020.741512</v>
      </c>
      <c r="P90" s="99">
        <f t="shared" si="66"/>
        <v>5121.156342</v>
      </c>
      <c r="Q90" s="99">
        <f t="shared" si="66"/>
        <v>5223.579469</v>
      </c>
      <c r="R90" s="99">
        <f t="shared" si="66"/>
        <v>5380.9836</v>
      </c>
      <c r="S90" s="99">
        <f t="shared" si="66"/>
        <v>5488.603272</v>
      </c>
      <c r="T90" s="99">
        <f t="shared" si="66"/>
        <v>5598.375337</v>
      </c>
      <c r="U90" s="99">
        <f t="shared" si="66"/>
        <v>5710.342844</v>
      </c>
      <c r="V90" s="99">
        <f t="shared" si="66"/>
        <v>5824.549701</v>
      </c>
      <c r="W90" s="99">
        <f t="shared" si="66"/>
        <v>5941.040695</v>
      </c>
      <c r="X90" s="99">
        <f t="shared" si="66"/>
        <v>6059.861509</v>
      </c>
      <c r="Y90" s="99">
        <f t="shared" si="66"/>
        <v>6181.058739</v>
      </c>
      <c r="Z90" s="99">
        <f t="shared" si="66"/>
        <v>6304.679914</v>
      </c>
      <c r="AA90" s="99">
        <f t="shared" si="66"/>
        <v>6430.773512</v>
      </c>
      <c r="AB90" s="99">
        <f t="shared" si="66"/>
        <v>6559.388982</v>
      </c>
      <c r="AC90" s="99">
        <f t="shared" si="66"/>
        <v>6690.576762</v>
      </c>
      <c r="AD90" s="99">
        <f t="shared" si="66"/>
        <v>6824.388297</v>
      </c>
      <c r="AE90" s="99">
        <f t="shared" si="66"/>
        <v>6960.876063</v>
      </c>
      <c r="AF90" s="99">
        <f t="shared" si="66"/>
        <v>7100.093585</v>
      </c>
      <c r="AG90" s="99">
        <f t="shared" si="66"/>
        <v>7242.095456</v>
      </c>
      <c r="AH90" s="99">
        <f t="shared" si="66"/>
        <v>7386.937365</v>
      </c>
      <c r="AI90" s="99">
        <f t="shared" si="66"/>
        <v>7534.676113</v>
      </c>
      <c r="AJ90" s="99">
        <f t="shared" si="66"/>
        <v>7685.369635</v>
      </c>
      <c r="AK90" s="99">
        <f t="shared" si="66"/>
        <v>7839.077028</v>
      </c>
      <c r="AL90" s="99">
        <f t="shared" si="66"/>
        <v>7995.858568</v>
      </c>
      <c r="AM90" s="99">
        <f t="shared" si="66"/>
        <v>8155.77574</v>
      </c>
      <c r="AN90" s="99">
        <f t="shared" si="66"/>
        <v>8318.891254</v>
      </c>
      <c r="AO90" s="99">
        <f t="shared" si="66"/>
        <v>8485.269079</v>
      </c>
      <c r="AP90" s="99">
        <f t="shared" si="66"/>
        <v>8654.974461</v>
      </c>
      <c r="AQ90" s="99">
        <f t="shared" si="66"/>
        <v>8828.07395</v>
      </c>
      <c r="AR90" s="99">
        <f t="shared" si="66"/>
        <v>9004.635429</v>
      </c>
      <c r="AS90" s="99">
        <f t="shared" si="66"/>
        <v>9184.728138</v>
      </c>
      <c r="AT90" s="99">
        <f t="shared" si="66"/>
        <v>9368.422701</v>
      </c>
      <c r="AU90" s="99">
        <f t="shared" si="66"/>
        <v>9555.791155</v>
      </c>
      <c r="AV90" s="99">
        <f t="shared" si="66"/>
        <v>9746.906978</v>
      </c>
      <c r="AW90" s="90" t="s">
        <v>1181</v>
      </c>
      <c r="AX90" s="90"/>
      <c r="AY90" s="90"/>
      <c r="AZ90" s="90"/>
      <c r="BA90" s="90"/>
      <c r="BB90" s="90"/>
      <c r="BC90" s="90"/>
      <c r="BD90" s="90"/>
      <c r="BE90" s="90"/>
      <c r="BF90" s="90"/>
      <c r="BG90" s="90"/>
    </row>
    <row r="91" ht="12.75" hidden="1" customHeight="1" outlineLevel="1">
      <c r="A91" s="316"/>
      <c r="B91" s="90"/>
      <c r="C91" s="90" t="s">
        <v>668</v>
      </c>
      <c r="D91" s="90"/>
      <c r="E91" s="90"/>
      <c r="F91" s="90"/>
      <c r="G91" s="90"/>
      <c r="H91" s="523"/>
      <c r="I91" s="178"/>
      <c r="J91" s="99"/>
      <c r="K91" s="99">
        <f>'RS1'!K91</f>
        <v>4855</v>
      </c>
      <c r="L91" s="99">
        <f t="shared" ref="L91:AV91" si="67">K91*(1+L$89)</f>
        <v>4855</v>
      </c>
      <c r="M91" s="99">
        <f t="shared" si="67"/>
        <v>4903.55</v>
      </c>
      <c r="N91" s="99">
        <f t="shared" si="67"/>
        <v>5001.621</v>
      </c>
      <c r="O91" s="99">
        <f t="shared" si="67"/>
        <v>5101.65342</v>
      </c>
      <c r="P91" s="99">
        <f t="shared" si="67"/>
        <v>5203.686488</v>
      </c>
      <c r="Q91" s="99">
        <f t="shared" si="67"/>
        <v>5307.760218</v>
      </c>
      <c r="R91" s="99">
        <f t="shared" si="67"/>
        <v>5467.701</v>
      </c>
      <c r="S91" s="99">
        <f t="shared" si="67"/>
        <v>5577.05502</v>
      </c>
      <c r="T91" s="99">
        <f t="shared" si="67"/>
        <v>5688.59612</v>
      </c>
      <c r="U91" s="99">
        <f t="shared" si="67"/>
        <v>5802.368043</v>
      </c>
      <c r="V91" s="99">
        <f t="shared" si="67"/>
        <v>5918.415404</v>
      </c>
      <c r="W91" s="99">
        <f t="shared" si="67"/>
        <v>6036.783712</v>
      </c>
      <c r="X91" s="99">
        <f t="shared" si="67"/>
        <v>6157.519386</v>
      </c>
      <c r="Y91" s="99">
        <f t="shared" si="67"/>
        <v>6280.669774</v>
      </c>
      <c r="Z91" s="99">
        <f t="shared" si="67"/>
        <v>6406.283169</v>
      </c>
      <c r="AA91" s="99">
        <f t="shared" si="67"/>
        <v>6534.408833</v>
      </c>
      <c r="AB91" s="99">
        <f t="shared" si="67"/>
        <v>6665.097009</v>
      </c>
      <c r="AC91" s="99">
        <f t="shared" si="67"/>
        <v>6798.398949</v>
      </c>
      <c r="AD91" s="99">
        <f t="shared" si="67"/>
        <v>6934.366928</v>
      </c>
      <c r="AE91" s="99">
        <f t="shared" si="67"/>
        <v>7073.054267</v>
      </c>
      <c r="AF91" s="99">
        <f t="shared" si="67"/>
        <v>7214.515352</v>
      </c>
      <c r="AG91" s="99">
        <f t="shared" si="67"/>
        <v>7358.805659</v>
      </c>
      <c r="AH91" s="99">
        <f t="shared" si="67"/>
        <v>7505.981773</v>
      </c>
      <c r="AI91" s="99">
        <f t="shared" si="67"/>
        <v>7656.101408</v>
      </c>
      <c r="AJ91" s="99">
        <f t="shared" si="67"/>
        <v>7809.223436</v>
      </c>
      <c r="AK91" s="99">
        <f t="shared" si="67"/>
        <v>7965.407905</v>
      </c>
      <c r="AL91" s="99">
        <f t="shared" si="67"/>
        <v>8124.716063</v>
      </c>
      <c r="AM91" s="99">
        <f t="shared" si="67"/>
        <v>8287.210384</v>
      </c>
      <c r="AN91" s="99">
        <f t="shared" si="67"/>
        <v>8452.954592</v>
      </c>
      <c r="AO91" s="99">
        <f t="shared" si="67"/>
        <v>8622.013684</v>
      </c>
      <c r="AP91" s="99">
        <f t="shared" si="67"/>
        <v>8794.453957</v>
      </c>
      <c r="AQ91" s="99">
        <f t="shared" si="67"/>
        <v>8970.343037</v>
      </c>
      <c r="AR91" s="99">
        <f t="shared" si="67"/>
        <v>9149.749897</v>
      </c>
      <c r="AS91" s="99">
        <f t="shared" si="67"/>
        <v>9332.744895</v>
      </c>
      <c r="AT91" s="99">
        <f t="shared" si="67"/>
        <v>9519.399793</v>
      </c>
      <c r="AU91" s="99">
        <f t="shared" si="67"/>
        <v>9709.787789</v>
      </c>
      <c r="AV91" s="99">
        <f t="shared" si="67"/>
        <v>9903.983545</v>
      </c>
      <c r="AW91" s="90" t="s">
        <v>1181</v>
      </c>
      <c r="AX91" s="90"/>
      <c r="AY91" s="90"/>
      <c r="AZ91" s="90"/>
      <c r="BA91" s="90"/>
      <c r="BB91" s="90"/>
      <c r="BC91" s="90"/>
      <c r="BD91" s="90"/>
      <c r="BE91" s="90"/>
      <c r="BF91" s="90"/>
      <c r="BG91" s="90"/>
    </row>
    <row r="92" ht="12.75" hidden="1" customHeight="1" outlineLevel="1">
      <c r="A92" s="316"/>
      <c r="B92" s="90"/>
      <c r="C92" s="90" t="s">
        <v>669</v>
      </c>
      <c r="D92" s="90"/>
      <c r="E92" s="90"/>
      <c r="F92" s="90"/>
      <c r="G92" s="90"/>
      <c r="H92" s="523"/>
      <c r="I92" s="178"/>
      <c r="J92" s="99"/>
      <c r="K92" s="99">
        <f>'RS1'!K92</f>
        <v>401</v>
      </c>
      <c r="L92" s="99">
        <f t="shared" ref="L92:AV92" si="68">K92*(1+L$89)</f>
        <v>401</v>
      </c>
      <c r="M92" s="99">
        <f t="shared" si="68"/>
        <v>405.01</v>
      </c>
      <c r="N92" s="99">
        <f t="shared" si="68"/>
        <v>413.1102</v>
      </c>
      <c r="O92" s="99">
        <f t="shared" si="68"/>
        <v>421.372404</v>
      </c>
      <c r="P92" s="99">
        <f t="shared" si="68"/>
        <v>429.7998521</v>
      </c>
      <c r="Q92" s="99">
        <f t="shared" si="68"/>
        <v>438.3958491</v>
      </c>
      <c r="R92" s="99">
        <f t="shared" si="68"/>
        <v>451.6062</v>
      </c>
      <c r="S92" s="99">
        <f t="shared" si="68"/>
        <v>460.638324</v>
      </c>
      <c r="T92" s="99">
        <f t="shared" si="68"/>
        <v>469.8510905</v>
      </c>
      <c r="U92" s="99">
        <f t="shared" si="68"/>
        <v>479.2481123</v>
      </c>
      <c r="V92" s="99">
        <f t="shared" si="68"/>
        <v>488.8330745</v>
      </c>
      <c r="W92" s="99">
        <f t="shared" si="68"/>
        <v>498.609736</v>
      </c>
      <c r="X92" s="99">
        <f t="shared" si="68"/>
        <v>508.5819307</v>
      </c>
      <c r="Y92" s="99">
        <f t="shared" si="68"/>
        <v>518.7535694</v>
      </c>
      <c r="Z92" s="99">
        <f t="shared" si="68"/>
        <v>529.1286407</v>
      </c>
      <c r="AA92" s="99">
        <f t="shared" si="68"/>
        <v>539.7112136</v>
      </c>
      <c r="AB92" s="99">
        <f t="shared" si="68"/>
        <v>550.5054378</v>
      </c>
      <c r="AC92" s="99">
        <f t="shared" si="68"/>
        <v>561.5155466</v>
      </c>
      <c r="AD92" s="99">
        <f t="shared" si="68"/>
        <v>572.7458575</v>
      </c>
      <c r="AE92" s="99">
        <f t="shared" si="68"/>
        <v>584.2007747</v>
      </c>
      <c r="AF92" s="99">
        <f t="shared" si="68"/>
        <v>595.8847902</v>
      </c>
      <c r="AG92" s="99">
        <f t="shared" si="68"/>
        <v>607.802486</v>
      </c>
      <c r="AH92" s="99">
        <f t="shared" si="68"/>
        <v>619.9585357</v>
      </c>
      <c r="AI92" s="99">
        <f t="shared" si="68"/>
        <v>632.3577064</v>
      </c>
      <c r="AJ92" s="99">
        <f t="shared" si="68"/>
        <v>645.0048605</v>
      </c>
      <c r="AK92" s="99">
        <f t="shared" si="68"/>
        <v>657.9049577</v>
      </c>
      <c r="AL92" s="99">
        <f t="shared" si="68"/>
        <v>671.0630569</v>
      </c>
      <c r="AM92" s="99">
        <f t="shared" si="68"/>
        <v>684.484318</v>
      </c>
      <c r="AN92" s="99">
        <f t="shared" si="68"/>
        <v>698.1740044</v>
      </c>
      <c r="AO92" s="99">
        <f t="shared" si="68"/>
        <v>712.1374845</v>
      </c>
      <c r="AP92" s="99">
        <f t="shared" si="68"/>
        <v>726.3802342</v>
      </c>
      <c r="AQ92" s="99">
        <f t="shared" si="68"/>
        <v>740.9078389</v>
      </c>
      <c r="AR92" s="99">
        <f t="shared" si="68"/>
        <v>755.7259956</v>
      </c>
      <c r="AS92" s="99">
        <f t="shared" si="68"/>
        <v>770.8405155</v>
      </c>
      <c r="AT92" s="99">
        <f t="shared" si="68"/>
        <v>786.2573259</v>
      </c>
      <c r="AU92" s="99">
        <f t="shared" si="68"/>
        <v>801.9824724</v>
      </c>
      <c r="AV92" s="99">
        <f t="shared" si="68"/>
        <v>818.0221218</v>
      </c>
      <c r="AW92" s="90" t="s">
        <v>1181</v>
      </c>
      <c r="AX92" s="90"/>
      <c r="AY92" s="90"/>
      <c r="AZ92" s="90"/>
      <c r="BA92" s="90"/>
      <c r="BB92" s="90"/>
      <c r="BC92" s="90"/>
      <c r="BD92" s="90"/>
      <c r="BE92" s="90"/>
      <c r="BF92" s="90"/>
      <c r="BG92" s="90"/>
    </row>
    <row r="93" ht="12.75" hidden="1" customHeight="1" outlineLevel="1">
      <c r="A93" s="316"/>
      <c r="B93" s="90"/>
      <c r="C93" s="90" t="s">
        <v>670</v>
      </c>
      <c r="D93" s="90"/>
      <c r="E93" s="90"/>
      <c r="F93" s="90"/>
      <c r="G93" s="90"/>
      <c r="H93" s="523"/>
      <c r="I93" s="178"/>
      <c r="J93" s="99"/>
      <c r="K93" s="99">
        <f>'RS1'!K93</f>
        <v>318</v>
      </c>
      <c r="L93" s="99">
        <f t="shared" ref="L93:AV93" si="69">K93*(1+L$89)</f>
        <v>318</v>
      </c>
      <c r="M93" s="99">
        <f t="shared" si="69"/>
        <v>321.18</v>
      </c>
      <c r="N93" s="99">
        <f t="shared" si="69"/>
        <v>327.6036</v>
      </c>
      <c r="O93" s="99">
        <f t="shared" si="69"/>
        <v>334.155672</v>
      </c>
      <c r="P93" s="99">
        <f t="shared" si="69"/>
        <v>340.8387854</v>
      </c>
      <c r="Q93" s="99">
        <f t="shared" si="69"/>
        <v>347.6555611</v>
      </c>
      <c r="R93" s="99">
        <f t="shared" si="69"/>
        <v>358.1316</v>
      </c>
      <c r="S93" s="99">
        <f t="shared" si="69"/>
        <v>365.294232</v>
      </c>
      <c r="T93" s="99">
        <f t="shared" si="69"/>
        <v>372.6001166</v>
      </c>
      <c r="U93" s="99">
        <f t="shared" si="69"/>
        <v>380.052119</v>
      </c>
      <c r="V93" s="99">
        <f t="shared" si="69"/>
        <v>387.6531614</v>
      </c>
      <c r="W93" s="99">
        <f t="shared" si="69"/>
        <v>395.4062246</v>
      </c>
      <c r="X93" s="99">
        <f t="shared" si="69"/>
        <v>403.3143491</v>
      </c>
      <c r="Y93" s="99">
        <f t="shared" si="69"/>
        <v>411.3806361</v>
      </c>
      <c r="Z93" s="99">
        <f t="shared" si="69"/>
        <v>419.6082488</v>
      </c>
      <c r="AA93" s="99">
        <f t="shared" si="69"/>
        <v>428.0004137</v>
      </c>
      <c r="AB93" s="99">
        <f t="shared" si="69"/>
        <v>436.560422</v>
      </c>
      <c r="AC93" s="99">
        <f t="shared" si="69"/>
        <v>445.2916305</v>
      </c>
      <c r="AD93" s="99">
        <f t="shared" si="69"/>
        <v>454.1974631</v>
      </c>
      <c r="AE93" s="99">
        <f t="shared" si="69"/>
        <v>463.2814123</v>
      </c>
      <c r="AF93" s="99">
        <f t="shared" si="69"/>
        <v>472.5470406</v>
      </c>
      <c r="AG93" s="99">
        <f t="shared" si="69"/>
        <v>481.9979814</v>
      </c>
      <c r="AH93" s="99">
        <f t="shared" si="69"/>
        <v>491.637941</v>
      </c>
      <c r="AI93" s="99">
        <f t="shared" si="69"/>
        <v>501.4706998</v>
      </c>
      <c r="AJ93" s="99">
        <f t="shared" si="69"/>
        <v>511.5001138</v>
      </c>
      <c r="AK93" s="99">
        <f t="shared" si="69"/>
        <v>521.7301161</v>
      </c>
      <c r="AL93" s="99">
        <f t="shared" si="69"/>
        <v>532.1647184</v>
      </c>
      <c r="AM93" s="99">
        <f t="shared" si="69"/>
        <v>542.8080128</v>
      </c>
      <c r="AN93" s="99">
        <f t="shared" si="69"/>
        <v>553.6641731</v>
      </c>
      <c r="AO93" s="99">
        <f t="shared" si="69"/>
        <v>564.7374565</v>
      </c>
      <c r="AP93" s="99">
        <f t="shared" si="69"/>
        <v>576.0322057</v>
      </c>
      <c r="AQ93" s="99">
        <f t="shared" si="69"/>
        <v>587.5528498</v>
      </c>
      <c r="AR93" s="99">
        <f t="shared" si="69"/>
        <v>599.3039068</v>
      </c>
      <c r="AS93" s="99">
        <f t="shared" si="69"/>
        <v>611.2899849</v>
      </c>
      <c r="AT93" s="99">
        <f t="shared" si="69"/>
        <v>623.5157846</v>
      </c>
      <c r="AU93" s="99">
        <f t="shared" si="69"/>
        <v>635.9861003</v>
      </c>
      <c r="AV93" s="99">
        <f t="shared" si="69"/>
        <v>648.7058223</v>
      </c>
      <c r="AW93" s="90" t="s">
        <v>1182</v>
      </c>
      <c r="AX93" s="90"/>
      <c r="AY93" s="90"/>
      <c r="AZ93" s="90"/>
      <c r="BA93" s="90"/>
      <c r="BB93" s="90"/>
      <c r="BC93" s="90"/>
      <c r="BD93" s="90"/>
      <c r="BE93" s="90"/>
      <c r="BF93" s="90"/>
      <c r="BG93" s="90"/>
    </row>
    <row r="94" ht="12.75" hidden="1" customHeight="1" outlineLevel="1">
      <c r="A94" s="316"/>
      <c r="B94" s="90"/>
      <c r="C94" s="90" t="s">
        <v>671</v>
      </c>
      <c r="D94" s="90"/>
      <c r="E94" s="90"/>
      <c r="F94" s="90"/>
      <c r="G94" s="90"/>
      <c r="H94" s="523"/>
      <c r="I94" s="178"/>
      <c r="J94" s="99"/>
      <c r="K94" s="99">
        <v>0.0</v>
      </c>
      <c r="L94" s="99">
        <v>0.0</v>
      </c>
      <c r="M94" s="99">
        <v>0.0</v>
      </c>
      <c r="N94" s="99">
        <v>0.0</v>
      </c>
      <c r="O94" s="99">
        <v>0.0</v>
      </c>
      <c r="P94" s="99">
        <v>0.0</v>
      </c>
      <c r="Q94" s="99">
        <v>0.0</v>
      </c>
      <c r="R94" s="99">
        <v>0.0</v>
      </c>
      <c r="S94" s="99">
        <v>0.0</v>
      </c>
      <c r="T94" s="99">
        <v>0.0</v>
      </c>
      <c r="U94" s="99">
        <v>0.0</v>
      </c>
      <c r="V94" s="99">
        <v>0.0</v>
      </c>
      <c r="W94" s="99">
        <v>0.0</v>
      </c>
      <c r="X94" s="99">
        <v>0.0</v>
      </c>
      <c r="Y94" s="99">
        <v>0.0</v>
      </c>
      <c r="Z94" s="99">
        <v>0.0</v>
      </c>
      <c r="AA94" s="99">
        <v>0.0</v>
      </c>
      <c r="AB94" s="99">
        <v>0.0</v>
      </c>
      <c r="AC94" s="99">
        <v>0.0</v>
      </c>
      <c r="AD94" s="99">
        <v>0.0</v>
      </c>
      <c r="AE94" s="99">
        <v>0.0</v>
      </c>
      <c r="AF94" s="99">
        <v>0.0</v>
      </c>
      <c r="AG94" s="99">
        <v>0.0</v>
      </c>
      <c r="AH94" s="99">
        <v>0.0</v>
      </c>
      <c r="AI94" s="99">
        <v>0.0</v>
      </c>
      <c r="AJ94" s="99">
        <v>0.0</v>
      </c>
      <c r="AK94" s="99">
        <v>0.0</v>
      </c>
      <c r="AL94" s="99">
        <v>0.0</v>
      </c>
      <c r="AM94" s="99">
        <v>0.0</v>
      </c>
      <c r="AN94" s="99">
        <v>0.0</v>
      </c>
      <c r="AO94" s="99">
        <v>0.0</v>
      </c>
      <c r="AP94" s="99">
        <v>0.0</v>
      </c>
      <c r="AQ94" s="99">
        <v>0.0</v>
      </c>
      <c r="AR94" s="99">
        <v>0.0</v>
      </c>
      <c r="AS94" s="99">
        <v>0.0</v>
      </c>
      <c r="AT94" s="99">
        <v>0.0</v>
      </c>
      <c r="AU94" s="99">
        <v>0.0</v>
      </c>
      <c r="AV94" s="99">
        <v>0.0</v>
      </c>
      <c r="AW94" s="90" t="s">
        <v>1183</v>
      </c>
      <c r="AX94" s="90" t="s">
        <v>1184</v>
      </c>
      <c r="AY94" s="90" t="s">
        <v>21</v>
      </c>
      <c r="AZ94" s="90"/>
      <c r="BA94" s="90"/>
      <c r="BB94" s="90"/>
      <c r="BC94" s="90"/>
      <c r="BD94" s="90"/>
      <c r="BE94" s="90"/>
      <c r="BF94" s="90"/>
      <c r="BG94" s="90"/>
    </row>
    <row r="95" ht="12.75" hidden="1" customHeight="1" outlineLevel="1">
      <c r="A95" s="316"/>
      <c r="B95" s="90"/>
      <c r="C95" s="90"/>
      <c r="D95" s="90" t="s">
        <v>672</v>
      </c>
      <c r="E95" s="90"/>
      <c r="F95" s="90"/>
      <c r="G95" s="90"/>
      <c r="H95" s="523"/>
      <c r="I95" s="178"/>
      <c r="J95" s="301"/>
      <c r="K95" s="99">
        <v>0.0</v>
      </c>
      <c r="L95" s="99"/>
      <c r="M95" s="99"/>
      <c r="N95" s="99"/>
      <c r="O95" s="99"/>
      <c r="P95" s="99"/>
      <c r="Q95" s="99"/>
      <c r="R95" s="99"/>
      <c r="S95" s="99"/>
      <c r="T95" s="99"/>
      <c r="U95" s="99"/>
      <c r="V95" s="99"/>
      <c r="W95" s="99"/>
      <c r="X95" s="99"/>
      <c r="Y95" s="99"/>
      <c r="Z95" s="99"/>
      <c r="AA95" s="99"/>
      <c r="AB95" s="99"/>
      <c r="AC95" s="99"/>
      <c r="AD95" s="99"/>
      <c r="AE95" s="99"/>
      <c r="AF95" s="99"/>
      <c r="AG95" s="99"/>
      <c r="AH95" s="99"/>
      <c r="AI95" s="99"/>
      <c r="AJ95" s="99"/>
      <c r="AK95" s="99"/>
      <c r="AL95" s="99"/>
      <c r="AM95" s="99"/>
      <c r="AN95" s="99"/>
      <c r="AO95" s="99"/>
      <c r="AP95" s="99"/>
      <c r="AQ95" s="99"/>
      <c r="AR95" s="99"/>
      <c r="AS95" s="99"/>
      <c r="AT95" s="99"/>
      <c r="AU95" s="99"/>
      <c r="AV95" s="99"/>
      <c r="AW95" s="90"/>
      <c r="AX95" s="152">
        <v>0.7</v>
      </c>
      <c r="AY95" s="90">
        <v>80.0</v>
      </c>
      <c r="AZ95" s="90"/>
      <c r="BA95" s="90"/>
      <c r="BB95" s="90"/>
      <c r="BC95" s="90"/>
      <c r="BD95" s="90"/>
      <c r="BE95" s="90"/>
      <c r="BF95" s="90"/>
      <c r="BG95" s="90"/>
    </row>
    <row r="96" ht="12.75" hidden="1" customHeight="1" outlineLevel="1">
      <c r="A96" s="316"/>
      <c r="B96" s="90"/>
      <c r="C96" s="90"/>
      <c r="D96" s="90" t="s">
        <v>673</v>
      </c>
      <c r="E96" s="90"/>
      <c r="F96" s="90"/>
      <c r="G96" s="90"/>
      <c r="H96" s="523"/>
      <c r="I96" s="178"/>
      <c r="J96" s="99"/>
      <c r="K96" s="99">
        <v>0.0</v>
      </c>
      <c r="L96" s="99"/>
      <c r="M96" s="99"/>
      <c r="N96" s="99"/>
      <c r="O96" s="99"/>
      <c r="P96" s="99"/>
      <c r="Q96" s="99"/>
      <c r="R96" s="99"/>
      <c r="S96" s="99"/>
      <c r="T96" s="99"/>
      <c r="U96" s="99"/>
      <c r="V96" s="99"/>
      <c r="W96" s="99"/>
      <c r="X96" s="99"/>
      <c r="Y96" s="99"/>
      <c r="Z96" s="99"/>
      <c r="AA96" s="99"/>
      <c r="AB96" s="99"/>
      <c r="AC96" s="99"/>
      <c r="AD96" s="99"/>
      <c r="AE96" s="99"/>
      <c r="AF96" s="99"/>
      <c r="AG96" s="99"/>
      <c r="AH96" s="99"/>
      <c r="AI96" s="99"/>
      <c r="AJ96" s="99"/>
      <c r="AK96" s="99"/>
      <c r="AL96" s="99"/>
      <c r="AM96" s="99"/>
      <c r="AN96" s="99"/>
      <c r="AO96" s="99"/>
      <c r="AP96" s="99"/>
      <c r="AQ96" s="99"/>
      <c r="AR96" s="99"/>
      <c r="AS96" s="99"/>
      <c r="AT96" s="99"/>
      <c r="AU96" s="99"/>
      <c r="AV96" s="99"/>
      <c r="AW96" s="90"/>
      <c r="AX96" s="152">
        <v>0.7</v>
      </c>
      <c r="AY96" s="90">
        <v>80.0</v>
      </c>
      <c r="AZ96" s="90"/>
      <c r="BA96" s="90"/>
      <c r="BB96" s="90"/>
      <c r="BC96" s="90"/>
      <c r="BD96" s="90"/>
      <c r="BE96" s="90"/>
      <c r="BF96" s="90"/>
      <c r="BG96" s="90"/>
    </row>
    <row r="97" ht="12.75" hidden="1" customHeight="1" outlineLevel="1">
      <c r="A97" s="316"/>
      <c r="B97" s="90"/>
      <c r="C97" s="90"/>
      <c r="D97" s="90" t="s">
        <v>674</v>
      </c>
      <c r="E97" s="90"/>
      <c r="F97" s="90"/>
      <c r="G97" s="90"/>
      <c r="H97" s="523"/>
      <c r="I97" s="178"/>
      <c r="J97" s="99"/>
      <c r="K97" s="99">
        <v>0.0</v>
      </c>
      <c r="L97" s="99"/>
      <c r="M97" s="99"/>
      <c r="N97" s="99"/>
      <c r="O97" s="99"/>
      <c r="P97" s="99"/>
      <c r="Q97" s="99"/>
      <c r="R97" s="99"/>
      <c r="S97" s="99"/>
      <c r="T97" s="99"/>
      <c r="U97" s="99"/>
      <c r="V97" s="99"/>
      <c r="W97" s="99"/>
      <c r="X97" s="99"/>
      <c r="Y97" s="99"/>
      <c r="Z97" s="99"/>
      <c r="AA97" s="99"/>
      <c r="AB97" s="99"/>
      <c r="AC97" s="99"/>
      <c r="AD97" s="99"/>
      <c r="AE97" s="99"/>
      <c r="AF97" s="99"/>
      <c r="AG97" s="99"/>
      <c r="AH97" s="99"/>
      <c r="AI97" s="99"/>
      <c r="AJ97" s="99"/>
      <c r="AK97" s="99"/>
      <c r="AL97" s="99"/>
      <c r="AM97" s="99"/>
      <c r="AN97" s="99"/>
      <c r="AO97" s="99"/>
      <c r="AP97" s="99"/>
      <c r="AQ97" s="99"/>
      <c r="AR97" s="99"/>
      <c r="AS97" s="99"/>
      <c r="AT97" s="99"/>
      <c r="AU97" s="99"/>
      <c r="AV97" s="99"/>
      <c r="AW97" s="90"/>
      <c r="AX97" s="152">
        <v>1.0</v>
      </c>
      <c r="AY97" s="90">
        <v>80.0</v>
      </c>
      <c r="AZ97" s="90"/>
      <c r="BA97" s="90"/>
      <c r="BB97" s="90"/>
      <c r="BC97" s="90"/>
      <c r="BD97" s="90"/>
      <c r="BE97" s="90"/>
      <c r="BF97" s="90"/>
      <c r="BG97" s="90"/>
    </row>
    <row r="98" ht="12.75" hidden="1" customHeight="1" outlineLevel="1">
      <c r="A98" s="316"/>
      <c r="B98" s="90"/>
      <c r="C98" s="90"/>
      <c r="D98" s="90" t="s">
        <v>675</v>
      </c>
      <c r="E98" s="90"/>
      <c r="F98" s="90"/>
      <c r="G98" s="90"/>
      <c r="H98" s="523"/>
      <c r="I98" s="178"/>
      <c r="J98" s="99"/>
      <c r="K98" s="99">
        <v>0.0</v>
      </c>
      <c r="L98" s="99"/>
      <c r="M98" s="99"/>
      <c r="N98" s="99"/>
      <c r="O98" s="99"/>
      <c r="P98" s="99"/>
      <c r="Q98" s="99"/>
      <c r="R98" s="99"/>
      <c r="S98" s="99"/>
      <c r="T98" s="99"/>
      <c r="U98" s="99"/>
      <c r="V98" s="99"/>
      <c r="W98" s="99"/>
      <c r="X98" s="99"/>
      <c r="Y98" s="99"/>
      <c r="Z98" s="99"/>
      <c r="AA98" s="99"/>
      <c r="AB98" s="99"/>
      <c r="AC98" s="99"/>
      <c r="AD98" s="99"/>
      <c r="AE98" s="99"/>
      <c r="AF98" s="99"/>
      <c r="AG98" s="99"/>
      <c r="AH98" s="99"/>
      <c r="AI98" s="99"/>
      <c r="AJ98" s="99"/>
      <c r="AK98" s="99"/>
      <c r="AL98" s="99"/>
      <c r="AM98" s="99"/>
      <c r="AN98" s="99"/>
      <c r="AO98" s="99"/>
      <c r="AP98" s="99"/>
      <c r="AQ98" s="99"/>
      <c r="AR98" s="99"/>
      <c r="AS98" s="99"/>
      <c r="AT98" s="99"/>
      <c r="AU98" s="99"/>
      <c r="AV98" s="99"/>
      <c r="AW98" s="90"/>
      <c r="AX98" s="152">
        <v>0.7</v>
      </c>
      <c r="AY98" s="90">
        <v>40.0</v>
      </c>
      <c r="AZ98" s="90"/>
      <c r="BA98" s="90"/>
      <c r="BB98" s="90"/>
      <c r="BC98" s="90"/>
      <c r="BD98" s="90"/>
      <c r="BE98" s="90"/>
      <c r="BF98" s="90"/>
      <c r="BG98" s="90"/>
    </row>
    <row r="99" ht="12.75" hidden="1" customHeight="1" outlineLevel="1">
      <c r="A99" s="316"/>
      <c r="B99" s="90"/>
      <c r="C99" s="90" t="s">
        <v>676</v>
      </c>
      <c r="D99" s="90"/>
      <c r="E99" s="90"/>
      <c r="F99" s="90"/>
      <c r="G99" s="90"/>
      <c r="H99" s="523"/>
      <c r="I99" s="178"/>
      <c r="J99" s="99"/>
      <c r="K99" s="99"/>
      <c r="L99" s="301"/>
      <c r="M99" s="301"/>
      <c r="N99" s="301"/>
      <c r="O99" s="301"/>
      <c r="P99" s="301"/>
      <c r="Q99" s="301"/>
      <c r="R99" s="301"/>
      <c r="S99" s="301"/>
      <c r="T99" s="301"/>
      <c r="U99" s="301"/>
      <c r="V99" s="301"/>
      <c r="W99" s="301"/>
      <c r="X99" s="301"/>
      <c r="Y99" s="301"/>
      <c r="Z99" s="301"/>
      <c r="AA99" s="301"/>
      <c r="AB99" s="301"/>
      <c r="AC99" s="301"/>
      <c r="AD99" s="301"/>
      <c r="AE99" s="301"/>
      <c r="AF99" s="301"/>
      <c r="AG99" s="301"/>
      <c r="AH99" s="301"/>
      <c r="AI99" s="301"/>
      <c r="AJ99" s="301"/>
      <c r="AK99" s="301"/>
      <c r="AL99" s="301"/>
      <c r="AM99" s="301"/>
      <c r="AN99" s="301"/>
      <c r="AO99" s="301"/>
      <c r="AP99" s="301"/>
      <c r="AQ99" s="301"/>
      <c r="AR99" s="301"/>
      <c r="AS99" s="301"/>
      <c r="AT99" s="301"/>
      <c r="AU99" s="301"/>
      <c r="AV99" s="301"/>
      <c r="AW99" s="90"/>
      <c r="AX99" s="90"/>
      <c r="AY99" s="90"/>
      <c r="AZ99" s="90"/>
      <c r="BA99" s="90"/>
      <c r="BB99" s="90"/>
      <c r="BC99" s="90"/>
      <c r="BD99" s="90"/>
      <c r="BE99" s="90"/>
      <c r="BF99" s="90"/>
      <c r="BG99" s="90"/>
    </row>
    <row r="100" ht="12.75" hidden="1" customHeight="1" outlineLevel="1">
      <c r="A100" s="316"/>
      <c r="B100" s="90"/>
      <c r="C100" s="90" t="s">
        <v>677</v>
      </c>
      <c r="D100" s="90"/>
      <c r="E100" s="90"/>
      <c r="F100" s="90"/>
      <c r="G100" s="90"/>
      <c r="H100" s="523"/>
      <c r="I100" s="178"/>
      <c r="J100" s="99"/>
      <c r="K100" s="99">
        <f>'RS1'!K100</f>
        <v>111</v>
      </c>
      <c r="L100" s="99">
        <f t="shared" ref="L100:AV100" si="70">K100*(1+L$89)</f>
        <v>111</v>
      </c>
      <c r="M100" s="99">
        <f t="shared" si="70"/>
        <v>112.11</v>
      </c>
      <c r="N100" s="99">
        <f t="shared" si="70"/>
        <v>114.3522</v>
      </c>
      <c r="O100" s="99">
        <f t="shared" si="70"/>
        <v>116.639244</v>
      </c>
      <c r="P100" s="99">
        <f t="shared" si="70"/>
        <v>118.9720289</v>
      </c>
      <c r="Q100" s="99">
        <f t="shared" si="70"/>
        <v>121.3514695</v>
      </c>
      <c r="R100" s="99">
        <f t="shared" si="70"/>
        <v>125.0082</v>
      </c>
      <c r="S100" s="99">
        <f t="shared" si="70"/>
        <v>127.508364</v>
      </c>
      <c r="T100" s="99">
        <f t="shared" si="70"/>
        <v>130.0585313</v>
      </c>
      <c r="U100" s="99">
        <f t="shared" si="70"/>
        <v>132.6597019</v>
      </c>
      <c r="V100" s="99">
        <f t="shared" si="70"/>
        <v>135.3128959</v>
      </c>
      <c r="W100" s="99">
        <f t="shared" si="70"/>
        <v>138.0191539</v>
      </c>
      <c r="X100" s="99">
        <f t="shared" si="70"/>
        <v>140.7795369</v>
      </c>
      <c r="Y100" s="99">
        <f t="shared" si="70"/>
        <v>143.5951277</v>
      </c>
      <c r="Z100" s="99">
        <f t="shared" si="70"/>
        <v>146.4670302</v>
      </c>
      <c r="AA100" s="99">
        <f t="shared" si="70"/>
        <v>149.3963708</v>
      </c>
      <c r="AB100" s="99">
        <f t="shared" si="70"/>
        <v>152.3842983</v>
      </c>
      <c r="AC100" s="99">
        <f t="shared" si="70"/>
        <v>155.4319842</v>
      </c>
      <c r="AD100" s="99">
        <f t="shared" si="70"/>
        <v>158.5406239</v>
      </c>
      <c r="AE100" s="99">
        <f t="shared" si="70"/>
        <v>161.7114364</v>
      </c>
      <c r="AF100" s="99">
        <f t="shared" si="70"/>
        <v>164.9456651</v>
      </c>
      <c r="AG100" s="99">
        <f t="shared" si="70"/>
        <v>168.2445784</v>
      </c>
      <c r="AH100" s="99">
        <f t="shared" si="70"/>
        <v>171.60947</v>
      </c>
      <c r="AI100" s="99">
        <f t="shared" si="70"/>
        <v>175.0416594</v>
      </c>
      <c r="AJ100" s="99">
        <f t="shared" si="70"/>
        <v>178.5424926</v>
      </c>
      <c r="AK100" s="99">
        <f t="shared" si="70"/>
        <v>182.1133424</v>
      </c>
      <c r="AL100" s="99">
        <f t="shared" si="70"/>
        <v>185.7556093</v>
      </c>
      <c r="AM100" s="99">
        <f t="shared" si="70"/>
        <v>189.4707215</v>
      </c>
      <c r="AN100" s="99">
        <f t="shared" si="70"/>
        <v>193.2601359</v>
      </c>
      <c r="AO100" s="99">
        <f t="shared" si="70"/>
        <v>197.1253386</v>
      </c>
      <c r="AP100" s="99">
        <f t="shared" si="70"/>
        <v>201.0678454</v>
      </c>
      <c r="AQ100" s="99">
        <f t="shared" si="70"/>
        <v>205.0892023</v>
      </c>
      <c r="AR100" s="99">
        <f t="shared" si="70"/>
        <v>209.1909863</v>
      </c>
      <c r="AS100" s="99">
        <f t="shared" si="70"/>
        <v>213.374806</v>
      </c>
      <c r="AT100" s="99">
        <f t="shared" si="70"/>
        <v>217.6423022</v>
      </c>
      <c r="AU100" s="99">
        <f t="shared" si="70"/>
        <v>221.9951482</v>
      </c>
      <c r="AV100" s="99">
        <f t="shared" si="70"/>
        <v>226.4350512</v>
      </c>
      <c r="AW100" s="90" t="s">
        <v>1181</v>
      </c>
      <c r="AX100" s="90"/>
      <c r="AY100" s="90"/>
      <c r="AZ100" s="90"/>
      <c r="BA100" s="90"/>
      <c r="BB100" s="90"/>
      <c r="BC100" s="90"/>
      <c r="BD100" s="90"/>
      <c r="BE100" s="90"/>
      <c r="BF100" s="90"/>
      <c r="BG100" s="90"/>
    </row>
    <row r="101" ht="12.75" hidden="1" customHeight="1" outlineLevel="1">
      <c r="A101" s="316"/>
      <c r="B101" s="90"/>
      <c r="C101" s="90" t="s">
        <v>678</v>
      </c>
      <c r="D101" s="90"/>
      <c r="E101" s="90"/>
      <c r="F101" s="90"/>
      <c r="G101" s="90"/>
      <c r="H101" s="523"/>
      <c r="I101" s="178"/>
      <c r="J101" s="99"/>
      <c r="K101" s="99">
        <f>'RS1'!K101</f>
        <v>13.3</v>
      </c>
      <c r="L101" s="99">
        <f t="shared" ref="L101:AV101" si="71">K101*(1+L$89)</f>
        <v>13.3</v>
      </c>
      <c r="M101" s="99">
        <f t="shared" si="71"/>
        <v>13.433</v>
      </c>
      <c r="N101" s="99">
        <f t="shared" si="71"/>
        <v>13.70166</v>
      </c>
      <c r="O101" s="99">
        <f t="shared" si="71"/>
        <v>13.9756932</v>
      </c>
      <c r="P101" s="99">
        <f t="shared" si="71"/>
        <v>14.25520706</v>
      </c>
      <c r="Q101" s="99">
        <f t="shared" si="71"/>
        <v>14.54031121</v>
      </c>
      <c r="R101" s="99">
        <f t="shared" si="71"/>
        <v>14.97846</v>
      </c>
      <c r="S101" s="99">
        <f t="shared" si="71"/>
        <v>15.2780292</v>
      </c>
      <c r="T101" s="99">
        <f t="shared" si="71"/>
        <v>15.58358978</v>
      </c>
      <c r="U101" s="99">
        <f t="shared" si="71"/>
        <v>15.89526158</v>
      </c>
      <c r="V101" s="99">
        <f t="shared" si="71"/>
        <v>16.21316681</v>
      </c>
      <c r="W101" s="99">
        <f t="shared" si="71"/>
        <v>16.53743015</v>
      </c>
      <c r="X101" s="99">
        <f t="shared" si="71"/>
        <v>16.86817875</v>
      </c>
      <c r="Y101" s="99">
        <f t="shared" si="71"/>
        <v>17.20554233</v>
      </c>
      <c r="Z101" s="99">
        <f t="shared" si="71"/>
        <v>17.54965317</v>
      </c>
      <c r="AA101" s="99">
        <f t="shared" si="71"/>
        <v>17.90064624</v>
      </c>
      <c r="AB101" s="99">
        <f t="shared" si="71"/>
        <v>18.25865916</v>
      </c>
      <c r="AC101" s="99">
        <f t="shared" si="71"/>
        <v>18.62383234</v>
      </c>
      <c r="AD101" s="99">
        <f t="shared" si="71"/>
        <v>18.99630899</v>
      </c>
      <c r="AE101" s="99">
        <f t="shared" si="71"/>
        <v>19.37623517</v>
      </c>
      <c r="AF101" s="99">
        <f t="shared" si="71"/>
        <v>19.76375987</v>
      </c>
      <c r="AG101" s="99">
        <f t="shared" si="71"/>
        <v>20.15903507</v>
      </c>
      <c r="AH101" s="99">
        <f t="shared" si="71"/>
        <v>20.56221577</v>
      </c>
      <c r="AI101" s="99">
        <f t="shared" si="71"/>
        <v>20.97346009</v>
      </c>
      <c r="AJ101" s="99">
        <f t="shared" si="71"/>
        <v>21.39292929</v>
      </c>
      <c r="AK101" s="99">
        <f t="shared" si="71"/>
        <v>21.82078788</v>
      </c>
      <c r="AL101" s="99">
        <f t="shared" si="71"/>
        <v>22.25720363</v>
      </c>
      <c r="AM101" s="99">
        <f t="shared" si="71"/>
        <v>22.70234771</v>
      </c>
      <c r="AN101" s="99">
        <f t="shared" si="71"/>
        <v>23.15639466</v>
      </c>
      <c r="AO101" s="99">
        <f t="shared" si="71"/>
        <v>23.61952255</v>
      </c>
      <c r="AP101" s="99">
        <f t="shared" si="71"/>
        <v>24.091913</v>
      </c>
      <c r="AQ101" s="99">
        <f t="shared" si="71"/>
        <v>24.57375126</v>
      </c>
      <c r="AR101" s="99">
        <f t="shared" si="71"/>
        <v>25.06522629</v>
      </c>
      <c r="AS101" s="99">
        <f t="shared" si="71"/>
        <v>25.56653081</v>
      </c>
      <c r="AT101" s="99">
        <f t="shared" si="71"/>
        <v>26.07786143</v>
      </c>
      <c r="AU101" s="99">
        <f t="shared" si="71"/>
        <v>26.59941866</v>
      </c>
      <c r="AV101" s="99">
        <f t="shared" si="71"/>
        <v>27.13140703</v>
      </c>
      <c r="AW101" s="90" t="s">
        <v>1181</v>
      </c>
      <c r="AX101" s="90"/>
      <c r="AY101" s="90"/>
      <c r="AZ101" s="90"/>
      <c r="BA101" s="90"/>
      <c r="BB101" s="90"/>
      <c r="BC101" s="90"/>
      <c r="BD101" s="90"/>
      <c r="BE101" s="90"/>
      <c r="BF101" s="90"/>
      <c r="BG101" s="90"/>
    </row>
    <row r="102" ht="12.75" hidden="1" customHeight="1" outlineLevel="1">
      <c r="A102" s="316"/>
      <c r="B102" s="90"/>
      <c r="C102" s="90" t="s">
        <v>679</v>
      </c>
      <c r="D102" s="90"/>
      <c r="E102" s="90"/>
      <c r="F102" s="90"/>
      <c r="G102" s="90"/>
      <c r="H102" s="523"/>
      <c r="I102" s="178"/>
      <c r="J102" s="99"/>
      <c r="K102" s="99" t="str">
        <f>'RS1'!K102</f>
        <v/>
      </c>
      <c r="L102" s="99">
        <f t="shared" ref="L102:AV102" si="72">K102*(1+L$89)</f>
        <v>0</v>
      </c>
      <c r="M102" s="99">
        <f t="shared" si="72"/>
        <v>0</v>
      </c>
      <c r="N102" s="99">
        <f t="shared" si="72"/>
        <v>0</v>
      </c>
      <c r="O102" s="99">
        <f t="shared" si="72"/>
        <v>0</v>
      </c>
      <c r="P102" s="99">
        <f t="shared" si="72"/>
        <v>0</v>
      </c>
      <c r="Q102" s="99">
        <f t="shared" si="72"/>
        <v>0</v>
      </c>
      <c r="R102" s="99">
        <f t="shared" si="72"/>
        <v>0</v>
      </c>
      <c r="S102" s="99">
        <f t="shared" si="72"/>
        <v>0</v>
      </c>
      <c r="T102" s="99">
        <f t="shared" si="72"/>
        <v>0</v>
      </c>
      <c r="U102" s="99">
        <f t="shared" si="72"/>
        <v>0</v>
      </c>
      <c r="V102" s="99">
        <f t="shared" si="72"/>
        <v>0</v>
      </c>
      <c r="W102" s="99">
        <f t="shared" si="72"/>
        <v>0</v>
      </c>
      <c r="X102" s="99">
        <f t="shared" si="72"/>
        <v>0</v>
      </c>
      <c r="Y102" s="99">
        <f t="shared" si="72"/>
        <v>0</v>
      </c>
      <c r="Z102" s="99">
        <f t="shared" si="72"/>
        <v>0</v>
      </c>
      <c r="AA102" s="99">
        <f t="shared" si="72"/>
        <v>0</v>
      </c>
      <c r="AB102" s="99">
        <f t="shared" si="72"/>
        <v>0</v>
      </c>
      <c r="AC102" s="99">
        <f t="shared" si="72"/>
        <v>0</v>
      </c>
      <c r="AD102" s="99">
        <f t="shared" si="72"/>
        <v>0</v>
      </c>
      <c r="AE102" s="99">
        <f t="shared" si="72"/>
        <v>0</v>
      </c>
      <c r="AF102" s="99">
        <f t="shared" si="72"/>
        <v>0</v>
      </c>
      <c r="AG102" s="99">
        <f t="shared" si="72"/>
        <v>0</v>
      </c>
      <c r="AH102" s="99">
        <f t="shared" si="72"/>
        <v>0</v>
      </c>
      <c r="AI102" s="99">
        <f t="shared" si="72"/>
        <v>0</v>
      </c>
      <c r="AJ102" s="99">
        <f t="shared" si="72"/>
        <v>0</v>
      </c>
      <c r="AK102" s="99">
        <f t="shared" si="72"/>
        <v>0</v>
      </c>
      <c r="AL102" s="99">
        <f t="shared" si="72"/>
        <v>0</v>
      </c>
      <c r="AM102" s="99">
        <f t="shared" si="72"/>
        <v>0</v>
      </c>
      <c r="AN102" s="99">
        <f t="shared" si="72"/>
        <v>0</v>
      </c>
      <c r="AO102" s="99">
        <f t="shared" si="72"/>
        <v>0</v>
      </c>
      <c r="AP102" s="99">
        <f t="shared" si="72"/>
        <v>0</v>
      </c>
      <c r="AQ102" s="99">
        <f t="shared" si="72"/>
        <v>0</v>
      </c>
      <c r="AR102" s="99">
        <f t="shared" si="72"/>
        <v>0</v>
      </c>
      <c r="AS102" s="99">
        <f t="shared" si="72"/>
        <v>0</v>
      </c>
      <c r="AT102" s="99">
        <f t="shared" si="72"/>
        <v>0</v>
      </c>
      <c r="AU102" s="99">
        <f t="shared" si="72"/>
        <v>0</v>
      </c>
      <c r="AV102" s="99">
        <f t="shared" si="72"/>
        <v>0</v>
      </c>
      <c r="AW102" s="90" t="s">
        <v>1181</v>
      </c>
      <c r="AX102" s="90"/>
      <c r="AY102" s="90"/>
      <c r="AZ102" s="90"/>
      <c r="BA102" s="90"/>
      <c r="BB102" s="90"/>
      <c r="BC102" s="90"/>
      <c r="BD102" s="90"/>
      <c r="BE102" s="90"/>
      <c r="BF102" s="90"/>
      <c r="BG102" s="90"/>
    </row>
    <row r="103" ht="12.75" hidden="1" customHeight="1" outlineLevel="1">
      <c r="A103" s="316"/>
      <c r="B103" s="90"/>
      <c r="C103" s="90" t="s">
        <v>680</v>
      </c>
      <c r="D103" s="90"/>
      <c r="E103" s="90"/>
      <c r="F103" s="90"/>
      <c r="G103" s="90"/>
      <c r="H103" s="523"/>
      <c r="I103" s="178"/>
      <c r="J103" s="99"/>
      <c r="K103" s="99">
        <f>'RS1'!K103</f>
        <v>600</v>
      </c>
      <c r="L103" s="99">
        <f t="shared" ref="L103:AV103" si="73">K103*(1+L$89)</f>
        <v>600</v>
      </c>
      <c r="M103" s="99">
        <f t="shared" si="73"/>
        <v>606</v>
      </c>
      <c r="N103" s="99">
        <f t="shared" si="73"/>
        <v>618.12</v>
      </c>
      <c r="O103" s="99">
        <f t="shared" si="73"/>
        <v>630.4824</v>
      </c>
      <c r="P103" s="99">
        <f t="shared" si="73"/>
        <v>643.092048</v>
      </c>
      <c r="Q103" s="99">
        <f t="shared" si="73"/>
        <v>655.953889</v>
      </c>
      <c r="R103" s="99">
        <f t="shared" si="73"/>
        <v>675.72</v>
      </c>
      <c r="S103" s="99">
        <f t="shared" si="73"/>
        <v>689.2344</v>
      </c>
      <c r="T103" s="99">
        <f t="shared" si="73"/>
        <v>703.019088</v>
      </c>
      <c r="U103" s="99">
        <f t="shared" si="73"/>
        <v>717.0794698</v>
      </c>
      <c r="V103" s="99">
        <f t="shared" si="73"/>
        <v>731.4210592</v>
      </c>
      <c r="W103" s="99">
        <f t="shared" si="73"/>
        <v>746.0494803</v>
      </c>
      <c r="X103" s="99">
        <f t="shared" si="73"/>
        <v>760.9704699</v>
      </c>
      <c r="Y103" s="99">
        <f t="shared" si="73"/>
        <v>776.1898793</v>
      </c>
      <c r="Z103" s="99">
        <f t="shared" si="73"/>
        <v>791.7136769</v>
      </c>
      <c r="AA103" s="99">
        <f t="shared" si="73"/>
        <v>807.5479505</v>
      </c>
      <c r="AB103" s="99">
        <f t="shared" si="73"/>
        <v>823.6989095</v>
      </c>
      <c r="AC103" s="99">
        <f t="shared" si="73"/>
        <v>840.1728877</v>
      </c>
      <c r="AD103" s="99">
        <f t="shared" si="73"/>
        <v>856.9763454</v>
      </c>
      <c r="AE103" s="99">
        <f t="shared" si="73"/>
        <v>874.1158723</v>
      </c>
      <c r="AF103" s="99">
        <f t="shared" si="73"/>
        <v>891.5981898</v>
      </c>
      <c r="AG103" s="99">
        <f t="shared" si="73"/>
        <v>909.4301536</v>
      </c>
      <c r="AH103" s="99">
        <f t="shared" si="73"/>
        <v>927.6187566</v>
      </c>
      <c r="AI103" s="99">
        <f t="shared" si="73"/>
        <v>946.1711318</v>
      </c>
      <c r="AJ103" s="99">
        <f t="shared" si="73"/>
        <v>965.0945544</v>
      </c>
      <c r="AK103" s="99">
        <f t="shared" si="73"/>
        <v>984.3964455</v>
      </c>
      <c r="AL103" s="99">
        <f t="shared" si="73"/>
        <v>1004.084374</v>
      </c>
      <c r="AM103" s="99">
        <f t="shared" si="73"/>
        <v>1024.166062</v>
      </c>
      <c r="AN103" s="99">
        <f t="shared" si="73"/>
        <v>1044.649383</v>
      </c>
      <c r="AO103" s="99">
        <f t="shared" si="73"/>
        <v>1065.542371</v>
      </c>
      <c r="AP103" s="99">
        <f t="shared" si="73"/>
        <v>1086.853218</v>
      </c>
      <c r="AQ103" s="99">
        <f t="shared" si="73"/>
        <v>1108.590283</v>
      </c>
      <c r="AR103" s="99">
        <f t="shared" si="73"/>
        <v>1130.762088</v>
      </c>
      <c r="AS103" s="99">
        <f t="shared" si="73"/>
        <v>1153.37733</v>
      </c>
      <c r="AT103" s="99">
        <f t="shared" si="73"/>
        <v>1176.444877</v>
      </c>
      <c r="AU103" s="99">
        <f t="shared" si="73"/>
        <v>1199.973774</v>
      </c>
      <c r="AV103" s="99">
        <f t="shared" si="73"/>
        <v>1223.97325</v>
      </c>
      <c r="AW103" s="90" t="s">
        <v>1186</v>
      </c>
      <c r="AX103" s="90"/>
      <c r="AY103" s="90"/>
      <c r="AZ103" s="90"/>
      <c r="BA103" s="90"/>
      <c r="BB103" s="90"/>
      <c r="BC103" s="90"/>
      <c r="BD103" s="90"/>
      <c r="BE103" s="90"/>
      <c r="BF103" s="90"/>
      <c r="BG103" s="90"/>
    </row>
    <row r="104" ht="12.75" hidden="1" customHeight="1" outlineLevel="1">
      <c r="A104" s="316"/>
      <c r="B104" s="90"/>
      <c r="C104" s="90" t="s">
        <v>681</v>
      </c>
      <c r="D104" s="90"/>
      <c r="E104" s="90"/>
      <c r="F104" s="90"/>
      <c r="G104" s="90"/>
      <c r="H104" s="523"/>
      <c r="I104" s="178"/>
      <c r="J104" s="99"/>
      <c r="K104" s="99">
        <f>'RS1'!K104</f>
        <v>0</v>
      </c>
      <c r="L104" s="99">
        <f t="shared" ref="L104:AV104" si="74">K104*(1+L$89)</f>
        <v>0</v>
      </c>
      <c r="M104" s="99">
        <f t="shared" si="74"/>
        <v>0</v>
      </c>
      <c r="N104" s="99">
        <f t="shared" si="74"/>
        <v>0</v>
      </c>
      <c r="O104" s="99">
        <f t="shared" si="74"/>
        <v>0</v>
      </c>
      <c r="P104" s="99">
        <f t="shared" si="74"/>
        <v>0</v>
      </c>
      <c r="Q104" s="99">
        <f t="shared" si="74"/>
        <v>0</v>
      </c>
      <c r="R104" s="99">
        <f t="shared" si="74"/>
        <v>0</v>
      </c>
      <c r="S104" s="99">
        <f t="shared" si="74"/>
        <v>0</v>
      </c>
      <c r="T104" s="99">
        <f t="shared" si="74"/>
        <v>0</v>
      </c>
      <c r="U104" s="99">
        <f t="shared" si="74"/>
        <v>0</v>
      </c>
      <c r="V104" s="99">
        <f t="shared" si="74"/>
        <v>0</v>
      </c>
      <c r="W104" s="99">
        <f t="shared" si="74"/>
        <v>0</v>
      </c>
      <c r="X104" s="99">
        <f t="shared" si="74"/>
        <v>0</v>
      </c>
      <c r="Y104" s="99">
        <f t="shared" si="74"/>
        <v>0</v>
      </c>
      <c r="Z104" s="99">
        <f t="shared" si="74"/>
        <v>0</v>
      </c>
      <c r="AA104" s="99">
        <f t="shared" si="74"/>
        <v>0</v>
      </c>
      <c r="AB104" s="99">
        <f t="shared" si="74"/>
        <v>0</v>
      </c>
      <c r="AC104" s="99">
        <f t="shared" si="74"/>
        <v>0</v>
      </c>
      <c r="AD104" s="99">
        <f t="shared" si="74"/>
        <v>0</v>
      </c>
      <c r="AE104" s="99">
        <f t="shared" si="74"/>
        <v>0</v>
      </c>
      <c r="AF104" s="99">
        <f t="shared" si="74"/>
        <v>0</v>
      </c>
      <c r="AG104" s="99">
        <f t="shared" si="74"/>
        <v>0</v>
      </c>
      <c r="AH104" s="99">
        <f t="shared" si="74"/>
        <v>0</v>
      </c>
      <c r="AI104" s="99">
        <f t="shared" si="74"/>
        <v>0</v>
      </c>
      <c r="AJ104" s="99">
        <f t="shared" si="74"/>
        <v>0</v>
      </c>
      <c r="AK104" s="99">
        <f t="shared" si="74"/>
        <v>0</v>
      </c>
      <c r="AL104" s="99">
        <f t="shared" si="74"/>
        <v>0</v>
      </c>
      <c r="AM104" s="99">
        <f t="shared" si="74"/>
        <v>0</v>
      </c>
      <c r="AN104" s="99">
        <f t="shared" si="74"/>
        <v>0</v>
      </c>
      <c r="AO104" s="99">
        <f t="shared" si="74"/>
        <v>0</v>
      </c>
      <c r="AP104" s="99">
        <f t="shared" si="74"/>
        <v>0</v>
      </c>
      <c r="AQ104" s="99">
        <f t="shared" si="74"/>
        <v>0</v>
      </c>
      <c r="AR104" s="99">
        <f t="shared" si="74"/>
        <v>0</v>
      </c>
      <c r="AS104" s="99">
        <f t="shared" si="74"/>
        <v>0</v>
      </c>
      <c r="AT104" s="99">
        <f t="shared" si="74"/>
        <v>0</v>
      </c>
      <c r="AU104" s="99">
        <f t="shared" si="74"/>
        <v>0</v>
      </c>
      <c r="AV104" s="99">
        <f t="shared" si="74"/>
        <v>0</v>
      </c>
      <c r="AW104" s="90" t="s">
        <v>1181</v>
      </c>
      <c r="AX104" s="90"/>
      <c r="AY104" s="90"/>
      <c r="AZ104" s="90"/>
      <c r="BA104" s="90"/>
      <c r="BB104" s="90"/>
      <c r="BC104" s="90"/>
      <c r="BD104" s="90"/>
      <c r="BE104" s="90"/>
      <c r="BF104" s="90"/>
      <c r="BG104" s="90"/>
    </row>
    <row r="105" ht="12.75" hidden="1" customHeight="1" outlineLevel="1">
      <c r="A105" s="316"/>
      <c r="B105" s="90"/>
      <c r="C105" s="90" t="s">
        <v>682</v>
      </c>
      <c r="D105" s="90"/>
      <c r="E105" s="90"/>
      <c r="F105" s="90"/>
      <c r="G105" s="90"/>
      <c r="H105" s="523"/>
      <c r="I105" s="178"/>
      <c r="J105" s="99"/>
      <c r="K105" s="99">
        <f>'RS1'!K105</f>
        <v>0</v>
      </c>
      <c r="L105" s="99">
        <f t="shared" ref="L105:AV105" si="75">K105*(1+L$89)</f>
        <v>0</v>
      </c>
      <c r="M105" s="99">
        <f t="shared" si="75"/>
        <v>0</v>
      </c>
      <c r="N105" s="99">
        <f t="shared" si="75"/>
        <v>0</v>
      </c>
      <c r="O105" s="99">
        <f t="shared" si="75"/>
        <v>0</v>
      </c>
      <c r="P105" s="99">
        <f t="shared" si="75"/>
        <v>0</v>
      </c>
      <c r="Q105" s="99">
        <f t="shared" si="75"/>
        <v>0</v>
      </c>
      <c r="R105" s="99">
        <f t="shared" si="75"/>
        <v>0</v>
      </c>
      <c r="S105" s="99">
        <f t="shared" si="75"/>
        <v>0</v>
      </c>
      <c r="T105" s="99">
        <f t="shared" si="75"/>
        <v>0</v>
      </c>
      <c r="U105" s="99">
        <f t="shared" si="75"/>
        <v>0</v>
      </c>
      <c r="V105" s="99">
        <f t="shared" si="75"/>
        <v>0</v>
      </c>
      <c r="W105" s="99">
        <f t="shared" si="75"/>
        <v>0</v>
      </c>
      <c r="X105" s="99">
        <f t="shared" si="75"/>
        <v>0</v>
      </c>
      <c r="Y105" s="99">
        <f t="shared" si="75"/>
        <v>0</v>
      </c>
      <c r="Z105" s="99">
        <f t="shared" si="75"/>
        <v>0</v>
      </c>
      <c r="AA105" s="99">
        <f t="shared" si="75"/>
        <v>0</v>
      </c>
      <c r="AB105" s="99">
        <f t="shared" si="75"/>
        <v>0</v>
      </c>
      <c r="AC105" s="99">
        <f t="shared" si="75"/>
        <v>0</v>
      </c>
      <c r="AD105" s="99">
        <f t="shared" si="75"/>
        <v>0</v>
      </c>
      <c r="AE105" s="99">
        <f t="shared" si="75"/>
        <v>0</v>
      </c>
      <c r="AF105" s="99">
        <f t="shared" si="75"/>
        <v>0</v>
      </c>
      <c r="AG105" s="99">
        <f t="shared" si="75"/>
        <v>0</v>
      </c>
      <c r="AH105" s="99">
        <f t="shared" si="75"/>
        <v>0</v>
      </c>
      <c r="AI105" s="99">
        <f t="shared" si="75"/>
        <v>0</v>
      </c>
      <c r="AJ105" s="99">
        <f t="shared" si="75"/>
        <v>0</v>
      </c>
      <c r="AK105" s="99">
        <f t="shared" si="75"/>
        <v>0</v>
      </c>
      <c r="AL105" s="99">
        <f t="shared" si="75"/>
        <v>0</v>
      </c>
      <c r="AM105" s="99">
        <f t="shared" si="75"/>
        <v>0</v>
      </c>
      <c r="AN105" s="99">
        <f t="shared" si="75"/>
        <v>0</v>
      </c>
      <c r="AO105" s="99">
        <f t="shared" si="75"/>
        <v>0</v>
      </c>
      <c r="AP105" s="99">
        <f t="shared" si="75"/>
        <v>0</v>
      </c>
      <c r="AQ105" s="99">
        <f t="shared" si="75"/>
        <v>0</v>
      </c>
      <c r="AR105" s="99">
        <f t="shared" si="75"/>
        <v>0</v>
      </c>
      <c r="AS105" s="99">
        <f t="shared" si="75"/>
        <v>0</v>
      </c>
      <c r="AT105" s="99">
        <f t="shared" si="75"/>
        <v>0</v>
      </c>
      <c r="AU105" s="99">
        <f t="shared" si="75"/>
        <v>0</v>
      </c>
      <c r="AV105" s="99">
        <f t="shared" si="75"/>
        <v>0</v>
      </c>
      <c r="AW105" s="90" t="s">
        <v>1181</v>
      </c>
      <c r="AX105" s="90"/>
      <c r="AY105" s="90"/>
      <c r="AZ105" s="90"/>
      <c r="BA105" s="90"/>
      <c r="BB105" s="90"/>
      <c r="BC105" s="90"/>
      <c r="BD105" s="90"/>
      <c r="BE105" s="90"/>
      <c r="BF105" s="90"/>
      <c r="BG105" s="90"/>
    </row>
    <row r="106" ht="12.75" hidden="1" customHeight="1" outlineLevel="1">
      <c r="A106" s="316"/>
      <c r="B106" s="90"/>
      <c r="C106" s="90" t="s">
        <v>683</v>
      </c>
      <c r="D106" s="90"/>
      <c r="E106" s="90"/>
      <c r="F106" s="90"/>
      <c r="G106" s="90"/>
      <c r="H106" s="523"/>
      <c r="I106" s="178"/>
      <c r="J106" s="99"/>
      <c r="K106" s="99">
        <f>'RS1'!K106</f>
        <v>0</v>
      </c>
      <c r="L106" s="99">
        <f t="shared" ref="L106:AV106" si="76">K106*(1+L$89)</f>
        <v>0</v>
      </c>
      <c r="M106" s="99">
        <f t="shared" si="76"/>
        <v>0</v>
      </c>
      <c r="N106" s="99">
        <f t="shared" si="76"/>
        <v>0</v>
      </c>
      <c r="O106" s="99">
        <f t="shared" si="76"/>
        <v>0</v>
      </c>
      <c r="P106" s="99">
        <f t="shared" si="76"/>
        <v>0</v>
      </c>
      <c r="Q106" s="99">
        <f t="shared" si="76"/>
        <v>0</v>
      </c>
      <c r="R106" s="99">
        <f t="shared" si="76"/>
        <v>0</v>
      </c>
      <c r="S106" s="99">
        <f t="shared" si="76"/>
        <v>0</v>
      </c>
      <c r="T106" s="99">
        <f t="shared" si="76"/>
        <v>0</v>
      </c>
      <c r="U106" s="99">
        <f t="shared" si="76"/>
        <v>0</v>
      </c>
      <c r="V106" s="99">
        <f t="shared" si="76"/>
        <v>0</v>
      </c>
      <c r="W106" s="99">
        <f t="shared" si="76"/>
        <v>0</v>
      </c>
      <c r="X106" s="99">
        <f t="shared" si="76"/>
        <v>0</v>
      </c>
      <c r="Y106" s="99">
        <f t="shared" si="76"/>
        <v>0</v>
      </c>
      <c r="Z106" s="99">
        <f t="shared" si="76"/>
        <v>0</v>
      </c>
      <c r="AA106" s="99">
        <f t="shared" si="76"/>
        <v>0</v>
      </c>
      <c r="AB106" s="99">
        <f t="shared" si="76"/>
        <v>0</v>
      </c>
      <c r="AC106" s="99">
        <f t="shared" si="76"/>
        <v>0</v>
      </c>
      <c r="AD106" s="99">
        <f t="shared" si="76"/>
        <v>0</v>
      </c>
      <c r="AE106" s="99">
        <f t="shared" si="76"/>
        <v>0</v>
      </c>
      <c r="AF106" s="99">
        <f t="shared" si="76"/>
        <v>0</v>
      </c>
      <c r="AG106" s="99">
        <f t="shared" si="76"/>
        <v>0</v>
      </c>
      <c r="AH106" s="99">
        <f t="shared" si="76"/>
        <v>0</v>
      </c>
      <c r="AI106" s="99">
        <f t="shared" si="76"/>
        <v>0</v>
      </c>
      <c r="AJ106" s="99">
        <f t="shared" si="76"/>
        <v>0</v>
      </c>
      <c r="AK106" s="99">
        <f t="shared" si="76"/>
        <v>0</v>
      </c>
      <c r="AL106" s="99">
        <f t="shared" si="76"/>
        <v>0</v>
      </c>
      <c r="AM106" s="99">
        <f t="shared" si="76"/>
        <v>0</v>
      </c>
      <c r="AN106" s="99">
        <f t="shared" si="76"/>
        <v>0</v>
      </c>
      <c r="AO106" s="99">
        <f t="shared" si="76"/>
        <v>0</v>
      </c>
      <c r="AP106" s="99">
        <f t="shared" si="76"/>
        <v>0</v>
      </c>
      <c r="AQ106" s="99">
        <f t="shared" si="76"/>
        <v>0</v>
      </c>
      <c r="AR106" s="99">
        <f t="shared" si="76"/>
        <v>0</v>
      </c>
      <c r="AS106" s="99">
        <f t="shared" si="76"/>
        <v>0</v>
      </c>
      <c r="AT106" s="99">
        <f t="shared" si="76"/>
        <v>0</v>
      </c>
      <c r="AU106" s="99">
        <f t="shared" si="76"/>
        <v>0</v>
      </c>
      <c r="AV106" s="99">
        <f t="shared" si="76"/>
        <v>0</v>
      </c>
      <c r="AW106" s="90" t="s">
        <v>1181</v>
      </c>
      <c r="AX106" s="90"/>
      <c r="AY106" s="90"/>
      <c r="AZ106" s="90"/>
      <c r="BA106" s="90"/>
      <c r="BB106" s="90"/>
      <c r="BC106" s="90"/>
      <c r="BD106" s="90"/>
      <c r="BE106" s="90"/>
      <c r="BF106" s="90"/>
      <c r="BG106" s="90"/>
    </row>
    <row r="107" ht="12.75" hidden="1" customHeight="1" outlineLevel="1">
      <c r="A107" s="316"/>
      <c r="B107" s="90"/>
      <c r="C107" s="90" t="s">
        <v>684</v>
      </c>
      <c r="D107" s="90"/>
      <c r="E107" s="90"/>
      <c r="F107" s="90"/>
      <c r="G107" s="90"/>
      <c r="H107" s="523"/>
      <c r="I107" s="178"/>
      <c r="J107" s="99"/>
      <c r="K107" s="99">
        <f>'RS1'!K107</f>
        <v>0</v>
      </c>
      <c r="L107" s="99">
        <f t="shared" ref="L107:AV107" si="77">K107*(1+L$89)</f>
        <v>0</v>
      </c>
      <c r="M107" s="99">
        <f t="shared" si="77"/>
        <v>0</v>
      </c>
      <c r="N107" s="99">
        <f t="shared" si="77"/>
        <v>0</v>
      </c>
      <c r="O107" s="99">
        <f t="shared" si="77"/>
        <v>0</v>
      </c>
      <c r="P107" s="99">
        <f t="shared" si="77"/>
        <v>0</v>
      </c>
      <c r="Q107" s="99">
        <f t="shared" si="77"/>
        <v>0</v>
      </c>
      <c r="R107" s="99">
        <f t="shared" si="77"/>
        <v>0</v>
      </c>
      <c r="S107" s="99">
        <f t="shared" si="77"/>
        <v>0</v>
      </c>
      <c r="T107" s="99">
        <f t="shared" si="77"/>
        <v>0</v>
      </c>
      <c r="U107" s="99">
        <f t="shared" si="77"/>
        <v>0</v>
      </c>
      <c r="V107" s="99">
        <f t="shared" si="77"/>
        <v>0</v>
      </c>
      <c r="W107" s="99">
        <f t="shared" si="77"/>
        <v>0</v>
      </c>
      <c r="X107" s="99">
        <f t="shared" si="77"/>
        <v>0</v>
      </c>
      <c r="Y107" s="99">
        <f t="shared" si="77"/>
        <v>0</v>
      </c>
      <c r="Z107" s="99">
        <f t="shared" si="77"/>
        <v>0</v>
      </c>
      <c r="AA107" s="99">
        <f t="shared" si="77"/>
        <v>0</v>
      </c>
      <c r="AB107" s="99">
        <f t="shared" si="77"/>
        <v>0</v>
      </c>
      <c r="AC107" s="99">
        <f t="shared" si="77"/>
        <v>0</v>
      </c>
      <c r="AD107" s="99">
        <f t="shared" si="77"/>
        <v>0</v>
      </c>
      <c r="AE107" s="99">
        <f t="shared" si="77"/>
        <v>0</v>
      </c>
      <c r="AF107" s="99">
        <f t="shared" si="77"/>
        <v>0</v>
      </c>
      <c r="AG107" s="99">
        <f t="shared" si="77"/>
        <v>0</v>
      </c>
      <c r="AH107" s="99">
        <f t="shared" si="77"/>
        <v>0</v>
      </c>
      <c r="AI107" s="99">
        <f t="shared" si="77"/>
        <v>0</v>
      </c>
      <c r="AJ107" s="99">
        <f t="shared" si="77"/>
        <v>0</v>
      </c>
      <c r="AK107" s="99">
        <f t="shared" si="77"/>
        <v>0</v>
      </c>
      <c r="AL107" s="99">
        <f t="shared" si="77"/>
        <v>0</v>
      </c>
      <c r="AM107" s="99">
        <f t="shared" si="77"/>
        <v>0</v>
      </c>
      <c r="AN107" s="99">
        <f t="shared" si="77"/>
        <v>0</v>
      </c>
      <c r="AO107" s="99">
        <f t="shared" si="77"/>
        <v>0</v>
      </c>
      <c r="AP107" s="99">
        <f t="shared" si="77"/>
        <v>0</v>
      </c>
      <c r="AQ107" s="99">
        <f t="shared" si="77"/>
        <v>0</v>
      </c>
      <c r="AR107" s="99">
        <f t="shared" si="77"/>
        <v>0</v>
      </c>
      <c r="AS107" s="99">
        <f t="shared" si="77"/>
        <v>0</v>
      </c>
      <c r="AT107" s="99">
        <f t="shared" si="77"/>
        <v>0</v>
      </c>
      <c r="AU107" s="99">
        <f t="shared" si="77"/>
        <v>0</v>
      </c>
      <c r="AV107" s="99">
        <f t="shared" si="77"/>
        <v>0</v>
      </c>
      <c r="AW107" s="90" t="s">
        <v>1181</v>
      </c>
      <c r="AX107" s="90"/>
      <c r="AY107" s="90"/>
      <c r="AZ107" s="90"/>
      <c r="BA107" s="90"/>
      <c r="BB107" s="90"/>
      <c r="BC107" s="90"/>
      <c r="BD107" s="90"/>
      <c r="BE107" s="90"/>
      <c r="BF107" s="90"/>
      <c r="BG107" s="90"/>
    </row>
    <row r="108" ht="12.75" hidden="1" customHeight="1" outlineLevel="1">
      <c r="A108" s="316"/>
      <c r="B108" s="90"/>
      <c r="C108" s="90"/>
      <c r="D108" s="90"/>
      <c r="E108" s="90"/>
      <c r="F108" s="90"/>
      <c r="G108" s="90"/>
      <c r="H108" s="523"/>
      <c r="I108" s="178"/>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c r="AL108" s="99"/>
      <c r="AM108" s="99"/>
      <c r="AN108" s="99"/>
      <c r="AO108" s="99"/>
      <c r="AP108" s="99"/>
      <c r="AQ108" s="99"/>
      <c r="AR108" s="99"/>
      <c r="AS108" s="99"/>
      <c r="AT108" s="99"/>
      <c r="AU108" s="99"/>
      <c r="AV108" s="99"/>
      <c r="AW108" s="90"/>
      <c r="AX108" s="90"/>
      <c r="AY108" s="90"/>
      <c r="AZ108" s="90"/>
      <c r="BA108" s="90"/>
      <c r="BB108" s="90"/>
      <c r="BC108" s="90"/>
      <c r="BD108" s="90"/>
      <c r="BE108" s="90"/>
      <c r="BF108" s="90"/>
      <c r="BG108" s="90"/>
    </row>
    <row r="109" ht="12.75" hidden="1" customHeight="1" outlineLevel="1">
      <c r="A109" s="316"/>
      <c r="B109" s="67" t="s">
        <v>685</v>
      </c>
      <c r="C109" s="90"/>
      <c r="D109" s="90"/>
      <c r="E109" s="90"/>
      <c r="F109" s="90"/>
      <c r="G109" s="90"/>
      <c r="H109" s="523"/>
      <c r="I109" s="178"/>
      <c r="J109" s="99"/>
      <c r="K109" s="99"/>
      <c r="L109" s="90"/>
      <c r="M109" s="90"/>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67"/>
      <c r="AX109" s="90"/>
      <c r="AY109" s="90"/>
      <c r="AZ109" s="90"/>
      <c r="BA109" s="90"/>
      <c r="BB109" s="90"/>
      <c r="BC109" s="90"/>
      <c r="BD109" s="90"/>
      <c r="BE109" s="90"/>
      <c r="BF109" s="90"/>
      <c r="BG109" s="90"/>
    </row>
    <row r="110" ht="12.75" hidden="1" customHeight="1" outlineLevel="1">
      <c r="A110" s="316"/>
      <c r="B110" s="90"/>
      <c r="C110" s="90" t="s">
        <v>574</v>
      </c>
      <c r="D110" s="90"/>
      <c r="E110" s="90"/>
      <c r="F110" s="90"/>
      <c r="G110" s="90"/>
      <c r="H110" s="523"/>
      <c r="I110" s="178"/>
      <c r="J110" s="99"/>
      <c r="K110" s="178">
        <f>Assumptions!D58</f>
        <v>0</v>
      </c>
      <c r="L110" s="178">
        <f>Assumptions!E58</f>
        <v>0.02</v>
      </c>
      <c r="M110" s="178">
        <f>Assumptions!F58</f>
        <v>0.02</v>
      </c>
      <c r="N110" s="178">
        <f>Assumptions!G58</f>
        <v>0.02</v>
      </c>
      <c r="O110" s="178">
        <f>Assumptions!H58</f>
        <v>0.02</v>
      </c>
      <c r="P110" s="178">
        <f>Assumptions!I58</f>
        <v>0.02</v>
      </c>
      <c r="Q110" s="178">
        <f t="shared" ref="Q110:AV110" si="78">P110</f>
        <v>0.02</v>
      </c>
      <c r="R110" s="178">
        <f t="shared" si="78"/>
        <v>0.02</v>
      </c>
      <c r="S110" s="178">
        <f t="shared" si="78"/>
        <v>0.02</v>
      </c>
      <c r="T110" s="178">
        <f t="shared" si="78"/>
        <v>0.02</v>
      </c>
      <c r="U110" s="178">
        <f t="shared" si="78"/>
        <v>0.02</v>
      </c>
      <c r="V110" s="178">
        <f t="shared" si="78"/>
        <v>0.02</v>
      </c>
      <c r="W110" s="178">
        <f t="shared" si="78"/>
        <v>0.02</v>
      </c>
      <c r="X110" s="178">
        <f t="shared" si="78"/>
        <v>0.02</v>
      </c>
      <c r="Y110" s="178">
        <f t="shared" si="78"/>
        <v>0.02</v>
      </c>
      <c r="Z110" s="178">
        <f t="shared" si="78"/>
        <v>0.02</v>
      </c>
      <c r="AA110" s="178">
        <f t="shared" si="78"/>
        <v>0.02</v>
      </c>
      <c r="AB110" s="178">
        <f t="shared" si="78"/>
        <v>0.02</v>
      </c>
      <c r="AC110" s="178">
        <f t="shared" si="78"/>
        <v>0.02</v>
      </c>
      <c r="AD110" s="178">
        <f t="shared" si="78"/>
        <v>0.02</v>
      </c>
      <c r="AE110" s="178">
        <f t="shared" si="78"/>
        <v>0.02</v>
      </c>
      <c r="AF110" s="178">
        <f t="shared" si="78"/>
        <v>0.02</v>
      </c>
      <c r="AG110" s="178">
        <f t="shared" si="78"/>
        <v>0.02</v>
      </c>
      <c r="AH110" s="178">
        <f t="shared" si="78"/>
        <v>0.02</v>
      </c>
      <c r="AI110" s="178">
        <f t="shared" si="78"/>
        <v>0.02</v>
      </c>
      <c r="AJ110" s="178">
        <f t="shared" si="78"/>
        <v>0.02</v>
      </c>
      <c r="AK110" s="178">
        <f t="shared" si="78"/>
        <v>0.02</v>
      </c>
      <c r="AL110" s="178">
        <f t="shared" si="78"/>
        <v>0.02</v>
      </c>
      <c r="AM110" s="178">
        <f t="shared" si="78"/>
        <v>0.02</v>
      </c>
      <c r="AN110" s="178">
        <f t="shared" si="78"/>
        <v>0.02</v>
      </c>
      <c r="AO110" s="178">
        <f t="shared" si="78"/>
        <v>0.02</v>
      </c>
      <c r="AP110" s="178">
        <f t="shared" si="78"/>
        <v>0.02</v>
      </c>
      <c r="AQ110" s="178">
        <f t="shared" si="78"/>
        <v>0.02</v>
      </c>
      <c r="AR110" s="178">
        <f t="shared" si="78"/>
        <v>0.02</v>
      </c>
      <c r="AS110" s="178">
        <f t="shared" si="78"/>
        <v>0.02</v>
      </c>
      <c r="AT110" s="178">
        <f t="shared" si="78"/>
        <v>0.02</v>
      </c>
      <c r="AU110" s="178">
        <f t="shared" si="78"/>
        <v>0.02</v>
      </c>
      <c r="AV110" s="178">
        <f t="shared" si="78"/>
        <v>0.02</v>
      </c>
      <c r="AW110" s="90"/>
      <c r="AX110" s="90"/>
      <c r="AY110" s="90"/>
      <c r="AZ110" s="90"/>
      <c r="BA110" s="90"/>
      <c r="BB110" s="90"/>
      <c r="BC110" s="90"/>
      <c r="BD110" s="90"/>
      <c r="BE110" s="90"/>
      <c r="BF110" s="90"/>
      <c r="BG110" s="90"/>
    </row>
    <row r="111" ht="12.75" hidden="1" customHeight="1" outlineLevel="1">
      <c r="A111" s="316"/>
      <c r="B111" s="90"/>
      <c r="C111" s="90" t="s">
        <v>686</v>
      </c>
      <c r="D111" s="90"/>
      <c r="E111" s="90"/>
      <c r="F111" s="90"/>
      <c r="G111" s="90"/>
      <c r="H111" s="523"/>
      <c r="I111" s="178"/>
      <c r="J111" s="99"/>
      <c r="K111" s="99">
        <f>'RS1'!K111</f>
        <v>400</v>
      </c>
      <c r="L111" s="99">
        <f t="shared" ref="L111:AV111" si="79">K111*(1+L$110)</f>
        <v>408</v>
      </c>
      <c r="M111" s="99">
        <f t="shared" si="79"/>
        <v>416.16</v>
      </c>
      <c r="N111" s="99">
        <f t="shared" si="79"/>
        <v>424.4832</v>
      </c>
      <c r="O111" s="99">
        <f t="shared" si="79"/>
        <v>432.972864</v>
      </c>
      <c r="P111" s="99">
        <f t="shared" si="79"/>
        <v>441.6323213</v>
      </c>
      <c r="Q111" s="99">
        <f t="shared" si="79"/>
        <v>450.4649677</v>
      </c>
      <c r="R111" s="99">
        <f t="shared" si="79"/>
        <v>459.4742671</v>
      </c>
      <c r="S111" s="99">
        <f t="shared" si="79"/>
        <v>468.6637524</v>
      </c>
      <c r="T111" s="99">
        <f t="shared" si="79"/>
        <v>478.0370274</v>
      </c>
      <c r="U111" s="99">
        <f t="shared" si="79"/>
        <v>487.597768</v>
      </c>
      <c r="V111" s="99">
        <f t="shared" si="79"/>
        <v>497.3497234</v>
      </c>
      <c r="W111" s="99">
        <f t="shared" si="79"/>
        <v>507.2967178</v>
      </c>
      <c r="X111" s="99">
        <f t="shared" si="79"/>
        <v>517.4426522</v>
      </c>
      <c r="Y111" s="99">
        <f t="shared" si="79"/>
        <v>527.7915052</v>
      </c>
      <c r="Z111" s="99">
        <f t="shared" si="79"/>
        <v>538.3473353</v>
      </c>
      <c r="AA111" s="99">
        <f t="shared" si="79"/>
        <v>549.114282</v>
      </c>
      <c r="AB111" s="99">
        <f t="shared" si="79"/>
        <v>560.0965677</v>
      </c>
      <c r="AC111" s="99">
        <f t="shared" si="79"/>
        <v>571.298499</v>
      </c>
      <c r="AD111" s="99">
        <f t="shared" si="79"/>
        <v>582.724469</v>
      </c>
      <c r="AE111" s="99">
        <f t="shared" si="79"/>
        <v>594.3789584</v>
      </c>
      <c r="AF111" s="99">
        <f t="shared" si="79"/>
        <v>606.2665376</v>
      </c>
      <c r="AG111" s="99">
        <f t="shared" si="79"/>
        <v>618.3918683</v>
      </c>
      <c r="AH111" s="99">
        <f t="shared" si="79"/>
        <v>630.7597057</v>
      </c>
      <c r="AI111" s="99">
        <f t="shared" si="79"/>
        <v>643.3748998</v>
      </c>
      <c r="AJ111" s="99">
        <f t="shared" si="79"/>
        <v>656.2423978</v>
      </c>
      <c r="AK111" s="99">
        <f t="shared" si="79"/>
        <v>669.3672457</v>
      </c>
      <c r="AL111" s="99">
        <f t="shared" si="79"/>
        <v>682.7545907</v>
      </c>
      <c r="AM111" s="99">
        <f t="shared" si="79"/>
        <v>696.4096825</v>
      </c>
      <c r="AN111" s="99">
        <f t="shared" si="79"/>
        <v>710.3378761</v>
      </c>
      <c r="AO111" s="99">
        <f t="shared" si="79"/>
        <v>724.5446336</v>
      </c>
      <c r="AP111" s="99">
        <f t="shared" si="79"/>
        <v>739.0355263</v>
      </c>
      <c r="AQ111" s="99">
        <f t="shared" si="79"/>
        <v>753.8162368</v>
      </c>
      <c r="AR111" s="99">
        <f t="shared" si="79"/>
        <v>768.8925616</v>
      </c>
      <c r="AS111" s="99">
        <f t="shared" si="79"/>
        <v>784.2704128</v>
      </c>
      <c r="AT111" s="99">
        <f t="shared" si="79"/>
        <v>799.9558211</v>
      </c>
      <c r="AU111" s="99">
        <f t="shared" si="79"/>
        <v>815.9549375</v>
      </c>
      <c r="AV111" s="99">
        <f t="shared" si="79"/>
        <v>832.2740362</v>
      </c>
      <c r="AW111" s="90" t="s">
        <v>1187</v>
      </c>
      <c r="AX111" s="90"/>
      <c r="AY111" s="90"/>
      <c r="AZ111" s="90"/>
      <c r="BA111" s="90"/>
      <c r="BB111" s="90"/>
      <c r="BC111" s="90"/>
      <c r="BD111" s="90"/>
      <c r="BE111" s="90"/>
      <c r="BF111" s="90"/>
      <c r="BG111" s="90"/>
    </row>
    <row r="112" ht="12.75" hidden="1" customHeight="1" outlineLevel="1">
      <c r="A112" s="316"/>
      <c r="B112" s="90"/>
      <c r="C112" s="90" t="s">
        <v>687</v>
      </c>
      <c r="D112" s="90"/>
      <c r="E112" s="90"/>
      <c r="F112" s="90"/>
      <c r="G112" s="90"/>
      <c r="H112" s="523"/>
      <c r="I112" s="178"/>
      <c r="J112" s="99"/>
      <c r="K112" s="152">
        <v>0.75</v>
      </c>
      <c r="L112" s="152">
        <v>0.75</v>
      </c>
      <c r="M112" s="152">
        <v>0.75</v>
      </c>
      <c r="N112" s="152">
        <v>0.75</v>
      </c>
      <c r="O112" s="152">
        <v>0.75</v>
      </c>
      <c r="P112" s="152">
        <v>0.75</v>
      </c>
      <c r="Q112" s="152">
        <v>0.75</v>
      </c>
      <c r="R112" s="152">
        <v>0.75</v>
      </c>
      <c r="S112" s="152">
        <v>0.75</v>
      </c>
      <c r="T112" s="152">
        <v>0.75</v>
      </c>
      <c r="U112" s="152">
        <v>0.75</v>
      </c>
      <c r="V112" s="152">
        <v>0.75</v>
      </c>
      <c r="W112" s="152">
        <v>0.75</v>
      </c>
      <c r="X112" s="152">
        <v>0.75</v>
      </c>
      <c r="Y112" s="152">
        <v>0.75</v>
      </c>
      <c r="Z112" s="152">
        <v>0.75</v>
      </c>
      <c r="AA112" s="152">
        <v>0.75</v>
      </c>
      <c r="AB112" s="152">
        <v>0.75</v>
      </c>
      <c r="AC112" s="152">
        <v>0.75</v>
      </c>
      <c r="AD112" s="152">
        <v>0.75</v>
      </c>
      <c r="AE112" s="152">
        <v>0.75</v>
      </c>
      <c r="AF112" s="152">
        <v>0.75</v>
      </c>
      <c r="AG112" s="152">
        <v>0.75</v>
      </c>
      <c r="AH112" s="152">
        <v>0.75</v>
      </c>
      <c r="AI112" s="152">
        <v>0.75</v>
      </c>
      <c r="AJ112" s="152">
        <v>0.75</v>
      </c>
      <c r="AK112" s="152">
        <v>0.75</v>
      </c>
      <c r="AL112" s="152">
        <v>0.75</v>
      </c>
      <c r="AM112" s="152">
        <v>0.75</v>
      </c>
      <c r="AN112" s="152">
        <v>0.75</v>
      </c>
      <c r="AO112" s="152">
        <v>0.75</v>
      </c>
      <c r="AP112" s="152">
        <v>0.75</v>
      </c>
      <c r="AQ112" s="152">
        <v>0.75</v>
      </c>
      <c r="AR112" s="152">
        <v>0.75</v>
      </c>
      <c r="AS112" s="152">
        <v>0.75</v>
      </c>
      <c r="AT112" s="152">
        <v>0.75</v>
      </c>
      <c r="AU112" s="152">
        <v>0.75</v>
      </c>
      <c r="AV112" s="152">
        <v>0.75</v>
      </c>
      <c r="AW112" s="90" t="s">
        <v>1187</v>
      </c>
      <c r="AX112" s="90"/>
      <c r="AY112" s="90"/>
      <c r="AZ112" s="90"/>
      <c r="BA112" s="90"/>
      <c r="BB112" s="90"/>
      <c r="BC112" s="90"/>
      <c r="BD112" s="90"/>
      <c r="BE112" s="90"/>
      <c r="BF112" s="90"/>
      <c r="BG112" s="90"/>
    </row>
    <row r="113" ht="12.75" hidden="1" customHeight="1" outlineLevel="1">
      <c r="A113" s="316"/>
      <c r="B113" s="90"/>
      <c r="C113" s="90" t="s">
        <v>688</v>
      </c>
      <c r="D113" s="90"/>
      <c r="E113" s="90"/>
      <c r="F113" s="90"/>
      <c r="G113" s="90"/>
      <c r="H113" s="523"/>
      <c r="I113" s="178"/>
      <c r="J113" s="99"/>
      <c r="K113" s="99"/>
      <c r="L113" s="99"/>
      <c r="M113" s="99"/>
      <c r="N113" s="99"/>
      <c r="O113" s="99"/>
      <c r="P113" s="99"/>
      <c r="Q113" s="99"/>
      <c r="R113" s="99"/>
      <c r="S113" s="99"/>
      <c r="T113" s="99"/>
      <c r="U113" s="99"/>
      <c r="V113" s="99"/>
      <c r="W113" s="99"/>
      <c r="X113" s="99"/>
      <c r="Y113" s="99"/>
      <c r="Z113" s="99"/>
      <c r="AA113" s="99"/>
      <c r="AB113" s="99"/>
      <c r="AC113" s="99"/>
      <c r="AD113" s="99"/>
      <c r="AE113" s="99"/>
      <c r="AF113" s="99"/>
      <c r="AG113" s="99"/>
      <c r="AH113" s="99"/>
      <c r="AI113" s="99"/>
      <c r="AJ113" s="99"/>
      <c r="AK113" s="99"/>
      <c r="AL113" s="99"/>
      <c r="AM113" s="99"/>
      <c r="AN113" s="99"/>
      <c r="AO113" s="99"/>
      <c r="AP113" s="99"/>
      <c r="AQ113" s="99"/>
      <c r="AR113" s="99"/>
      <c r="AS113" s="99"/>
      <c r="AT113" s="99"/>
      <c r="AU113" s="99"/>
      <c r="AV113" s="99"/>
      <c r="AW113" s="90" t="s">
        <v>1181</v>
      </c>
      <c r="AX113" s="90"/>
      <c r="AY113" s="90"/>
      <c r="AZ113" s="90"/>
      <c r="BA113" s="90"/>
      <c r="BB113" s="90"/>
      <c r="BC113" s="90"/>
      <c r="BD113" s="90"/>
      <c r="BE113" s="90"/>
      <c r="BF113" s="90"/>
      <c r="BG113" s="90"/>
    </row>
    <row r="114" ht="12.75" hidden="1" customHeight="1" outlineLevel="1">
      <c r="A114" s="316"/>
      <c r="B114" s="90"/>
      <c r="C114" s="90" t="s">
        <v>689</v>
      </c>
      <c r="D114" s="90"/>
      <c r="E114" s="90"/>
      <c r="F114" s="90"/>
      <c r="G114" s="90"/>
      <c r="H114" s="523"/>
      <c r="I114" s="178"/>
      <c r="J114" s="99"/>
      <c r="K114" s="99">
        <f>'RSGen 1-7'!J115</f>
        <v>0</v>
      </c>
      <c r="L114" s="99">
        <v>0.0</v>
      </c>
      <c r="M114" s="99">
        <f>'RSGen 1-7'!L115</f>
        <v>26.73303835</v>
      </c>
      <c r="N114" s="99">
        <f t="shared" ref="N114:AV114" si="80">M114*(1+N$110)</f>
        <v>27.26769912</v>
      </c>
      <c r="O114" s="99">
        <f t="shared" si="80"/>
        <v>27.8130531</v>
      </c>
      <c r="P114" s="99">
        <f t="shared" si="80"/>
        <v>28.36931416</v>
      </c>
      <c r="Q114" s="99">
        <f t="shared" si="80"/>
        <v>28.93670044</v>
      </c>
      <c r="R114" s="99">
        <f t="shared" si="80"/>
        <v>29.51543445</v>
      </c>
      <c r="S114" s="99">
        <f t="shared" si="80"/>
        <v>30.10574314</v>
      </c>
      <c r="T114" s="99">
        <f t="shared" si="80"/>
        <v>30.707858</v>
      </c>
      <c r="U114" s="99">
        <f t="shared" si="80"/>
        <v>31.32201516</v>
      </c>
      <c r="V114" s="99">
        <f t="shared" si="80"/>
        <v>31.94845547</v>
      </c>
      <c r="W114" s="99">
        <f t="shared" si="80"/>
        <v>32.58742458</v>
      </c>
      <c r="X114" s="99">
        <f t="shared" si="80"/>
        <v>33.23917307</v>
      </c>
      <c r="Y114" s="99">
        <f t="shared" si="80"/>
        <v>33.90395653</v>
      </c>
      <c r="Z114" s="99">
        <f t="shared" si="80"/>
        <v>34.58203566</v>
      </c>
      <c r="AA114" s="99">
        <f t="shared" si="80"/>
        <v>35.27367637</v>
      </c>
      <c r="AB114" s="99">
        <f t="shared" si="80"/>
        <v>35.9791499</v>
      </c>
      <c r="AC114" s="99">
        <f t="shared" si="80"/>
        <v>36.6987329</v>
      </c>
      <c r="AD114" s="99">
        <f t="shared" si="80"/>
        <v>37.43270756</v>
      </c>
      <c r="AE114" s="99">
        <f t="shared" si="80"/>
        <v>38.18136171</v>
      </c>
      <c r="AF114" s="99">
        <f t="shared" si="80"/>
        <v>38.94498894</v>
      </c>
      <c r="AG114" s="99">
        <f t="shared" si="80"/>
        <v>39.72388872</v>
      </c>
      <c r="AH114" s="99">
        <f t="shared" si="80"/>
        <v>40.51836649</v>
      </c>
      <c r="AI114" s="99">
        <f t="shared" si="80"/>
        <v>41.32873382</v>
      </c>
      <c r="AJ114" s="99">
        <f t="shared" si="80"/>
        <v>42.1553085</v>
      </c>
      <c r="AK114" s="99">
        <f t="shared" si="80"/>
        <v>42.99841467</v>
      </c>
      <c r="AL114" s="99">
        <f t="shared" si="80"/>
        <v>43.85838296</v>
      </c>
      <c r="AM114" s="99">
        <f t="shared" si="80"/>
        <v>44.73555062</v>
      </c>
      <c r="AN114" s="99">
        <f t="shared" si="80"/>
        <v>45.63026164</v>
      </c>
      <c r="AO114" s="99">
        <f t="shared" si="80"/>
        <v>46.54286687</v>
      </c>
      <c r="AP114" s="99">
        <f t="shared" si="80"/>
        <v>47.47372421</v>
      </c>
      <c r="AQ114" s="99">
        <f t="shared" si="80"/>
        <v>48.42319869</v>
      </c>
      <c r="AR114" s="99">
        <f t="shared" si="80"/>
        <v>49.39166266</v>
      </c>
      <c r="AS114" s="99">
        <f t="shared" si="80"/>
        <v>50.37949592</v>
      </c>
      <c r="AT114" s="99">
        <f t="shared" si="80"/>
        <v>51.38708584</v>
      </c>
      <c r="AU114" s="99">
        <f t="shared" si="80"/>
        <v>52.41482755</v>
      </c>
      <c r="AV114" s="99">
        <f t="shared" si="80"/>
        <v>53.4631241</v>
      </c>
      <c r="AW114" s="90" t="s">
        <v>1181</v>
      </c>
      <c r="AX114" s="90"/>
      <c r="AY114" s="90"/>
      <c r="AZ114" s="90"/>
      <c r="BA114" s="90"/>
      <c r="BB114" s="90"/>
      <c r="BC114" s="90"/>
      <c r="BD114" s="90"/>
      <c r="BE114" s="90"/>
      <c r="BF114" s="90"/>
      <c r="BG114" s="90"/>
    </row>
    <row r="115" ht="12.75" hidden="1" customHeight="1" outlineLevel="1">
      <c r="A115" s="316"/>
      <c r="B115" s="90"/>
      <c r="C115" s="90" t="s">
        <v>690</v>
      </c>
      <c r="D115" s="90"/>
      <c r="E115" s="90"/>
      <c r="F115" s="90"/>
      <c r="G115" s="90"/>
      <c r="H115" s="523"/>
      <c r="I115" s="178"/>
      <c r="J115" s="99"/>
      <c r="K115" s="99">
        <f>'RS1'!K115</f>
        <v>0</v>
      </c>
      <c r="L115" s="99">
        <f t="shared" ref="L115:AV115" si="81">K115*(1+L$110)</f>
        <v>0</v>
      </c>
      <c r="M115" s="99">
        <f t="shared" si="81"/>
        <v>0</v>
      </c>
      <c r="N115" s="99">
        <f t="shared" si="81"/>
        <v>0</v>
      </c>
      <c r="O115" s="99">
        <f t="shared" si="81"/>
        <v>0</v>
      </c>
      <c r="P115" s="99">
        <f t="shared" si="81"/>
        <v>0</v>
      </c>
      <c r="Q115" s="99">
        <f t="shared" si="81"/>
        <v>0</v>
      </c>
      <c r="R115" s="99">
        <f t="shared" si="81"/>
        <v>0</v>
      </c>
      <c r="S115" s="99">
        <f t="shared" si="81"/>
        <v>0</v>
      </c>
      <c r="T115" s="99">
        <f t="shared" si="81"/>
        <v>0</v>
      </c>
      <c r="U115" s="99">
        <f t="shared" si="81"/>
        <v>0</v>
      </c>
      <c r="V115" s="99">
        <f t="shared" si="81"/>
        <v>0</v>
      </c>
      <c r="W115" s="99">
        <f t="shared" si="81"/>
        <v>0</v>
      </c>
      <c r="X115" s="99">
        <f t="shared" si="81"/>
        <v>0</v>
      </c>
      <c r="Y115" s="99">
        <f t="shared" si="81"/>
        <v>0</v>
      </c>
      <c r="Z115" s="99">
        <f t="shared" si="81"/>
        <v>0</v>
      </c>
      <c r="AA115" s="99">
        <f t="shared" si="81"/>
        <v>0</v>
      </c>
      <c r="AB115" s="99">
        <f t="shared" si="81"/>
        <v>0</v>
      </c>
      <c r="AC115" s="99">
        <f t="shared" si="81"/>
        <v>0</v>
      </c>
      <c r="AD115" s="99">
        <f t="shared" si="81"/>
        <v>0</v>
      </c>
      <c r="AE115" s="99">
        <f t="shared" si="81"/>
        <v>0</v>
      </c>
      <c r="AF115" s="99">
        <f t="shared" si="81"/>
        <v>0</v>
      </c>
      <c r="AG115" s="99">
        <f t="shared" si="81"/>
        <v>0</v>
      </c>
      <c r="AH115" s="99">
        <f t="shared" si="81"/>
        <v>0</v>
      </c>
      <c r="AI115" s="99">
        <f t="shared" si="81"/>
        <v>0</v>
      </c>
      <c r="AJ115" s="99">
        <f t="shared" si="81"/>
        <v>0</v>
      </c>
      <c r="AK115" s="99">
        <f t="shared" si="81"/>
        <v>0</v>
      </c>
      <c r="AL115" s="99">
        <f t="shared" si="81"/>
        <v>0</v>
      </c>
      <c r="AM115" s="99">
        <f t="shared" si="81"/>
        <v>0</v>
      </c>
      <c r="AN115" s="99">
        <f t="shared" si="81"/>
        <v>0</v>
      </c>
      <c r="AO115" s="99">
        <f t="shared" si="81"/>
        <v>0</v>
      </c>
      <c r="AP115" s="99">
        <f t="shared" si="81"/>
        <v>0</v>
      </c>
      <c r="AQ115" s="99">
        <f t="shared" si="81"/>
        <v>0</v>
      </c>
      <c r="AR115" s="99">
        <f t="shared" si="81"/>
        <v>0</v>
      </c>
      <c r="AS115" s="99">
        <f t="shared" si="81"/>
        <v>0</v>
      </c>
      <c r="AT115" s="99">
        <f t="shared" si="81"/>
        <v>0</v>
      </c>
      <c r="AU115" s="99">
        <f t="shared" si="81"/>
        <v>0</v>
      </c>
      <c r="AV115" s="99">
        <f t="shared" si="81"/>
        <v>0</v>
      </c>
      <c r="AW115" s="90" t="s">
        <v>1181</v>
      </c>
      <c r="AX115" s="90"/>
      <c r="AY115" s="90"/>
      <c r="AZ115" s="90"/>
      <c r="BA115" s="90"/>
      <c r="BB115" s="90"/>
      <c r="BC115" s="90"/>
      <c r="BD115" s="90"/>
      <c r="BE115" s="90"/>
      <c r="BF115" s="90"/>
      <c r="BG115" s="90"/>
    </row>
    <row r="116" ht="12.75" hidden="1" customHeight="1" outlineLevel="1">
      <c r="A116" s="316"/>
      <c r="B116" s="90"/>
      <c r="C116" s="90" t="s">
        <v>691</v>
      </c>
      <c r="D116" s="90"/>
      <c r="E116" s="90"/>
      <c r="F116" s="90"/>
      <c r="G116" s="90"/>
      <c r="H116" s="523"/>
      <c r="I116" s="178"/>
      <c r="J116" s="99"/>
      <c r="K116" s="99">
        <f>'RS1'!K116</f>
        <v>0</v>
      </c>
      <c r="L116" s="99">
        <f t="shared" ref="L116:AV116" si="82">K116*(1+L$110)</f>
        <v>0</v>
      </c>
      <c r="M116" s="99">
        <f t="shared" si="82"/>
        <v>0</v>
      </c>
      <c r="N116" s="99">
        <f t="shared" si="82"/>
        <v>0</v>
      </c>
      <c r="O116" s="99">
        <f t="shared" si="82"/>
        <v>0</v>
      </c>
      <c r="P116" s="99">
        <f t="shared" si="82"/>
        <v>0</v>
      </c>
      <c r="Q116" s="99">
        <f t="shared" si="82"/>
        <v>0</v>
      </c>
      <c r="R116" s="99">
        <f t="shared" si="82"/>
        <v>0</v>
      </c>
      <c r="S116" s="99">
        <f t="shared" si="82"/>
        <v>0</v>
      </c>
      <c r="T116" s="99">
        <f t="shared" si="82"/>
        <v>0</v>
      </c>
      <c r="U116" s="99">
        <f t="shared" si="82"/>
        <v>0</v>
      </c>
      <c r="V116" s="99">
        <f t="shared" si="82"/>
        <v>0</v>
      </c>
      <c r="W116" s="99">
        <f t="shared" si="82"/>
        <v>0</v>
      </c>
      <c r="X116" s="99">
        <f t="shared" si="82"/>
        <v>0</v>
      </c>
      <c r="Y116" s="99">
        <f t="shared" si="82"/>
        <v>0</v>
      </c>
      <c r="Z116" s="99">
        <f t="shared" si="82"/>
        <v>0</v>
      </c>
      <c r="AA116" s="99">
        <f t="shared" si="82"/>
        <v>0</v>
      </c>
      <c r="AB116" s="99">
        <f t="shared" si="82"/>
        <v>0</v>
      </c>
      <c r="AC116" s="99">
        <f t="shared" si="82"/>
        <v>0</v>
      </c>
      <c r="AD116" s="99">
        <f t="shared" si="82"/>
        <v>0</v>
      </c>
      <c r="AE116" s="99">
        <f t="shared" si="82"/>
        <v>0</v>
      </c>
      <c r="AF116" s="99">
        <f t="shared" si="82"/>
        <v>0</v>
      </c>
      <c r="AG116" s="99">
        <f t="shared" si="82"/>
        <v>0</v>
      </c>
      <c r="AH116" s="99">
        <f t="shared" si="82"/>
        <v>0</v>
      </c>
      <c r="AI116" s="99">
        <f t="shared" si="82"/>
        <v>0</v>
      </c>
      <c r="AJ116" s="99">
        <f t="shared" si="82"/>
        <v>0</v>
      </c>
      <c r="AK116" s="99">
        <f t="shared" si="82"/>
        <v>0</v>
      </c>
      <c r="AL116" s="99">
        <f t="shared" si="82"/>
        <v>0</v>
      </c>
      <c r="AM116" s="99">
        <f t="shared" si="82"/>
        <v>0</v>
      </c>
      <c r="AN116" s="99">
        <f t="shared" si="82"/>
        <v>0</v>
      </c>
      <c r="AO116" s="99">
        <f t="shared" si="82"/>
        <v>0</v>
      </c>
      <c r="AP116" s="99">
        <f t="shared" si="82"/>
        <v>0</v>
      </c>
      <c r="AQ116" s="99">
        <f t="shared" si="82"/>
        <v>0</v>
      </c>
      <c r="AR116" s="99">
        <f t="shared" si="82"/>
        <v>0</v>
      </c>
      <c r="AS116" s="99">
        <f t="shared" si="82"/>
        <v>0</v>
      </c>
      <c r="AT116" s="99">
        <f t="shared" si="82"/>
        <v>0</v>
      </c>
      <c r="AU116" s="99">
        <f t="shared" si="82"/>
        <v>0</v>
      </c>
      <c r="AV116" s="99">
        <f t="shared" si="82"/>
        <v>0</v>
      </c>
      <c r="AW116" s="90" t="s">
        <v>1181</v>
      </c>
      <c r="AX116" s="90"/>
      <c r="AY116" s="90"/>
      <c r="AZ116" s="90"/>
      <c r="BA116" s="90"/>
      <c r="BB116" s="90"/>
      <c r="BC116" s="90"/>
      <c r="BD116" s="90"/>
      <c r="BE116" s="90"/>
      <c r="BF116" s="90"/>
      <c r="BG116" s="90"/>
    </row>
    <row r="117" ht="12.75" hidden="1" customHeight="1" outlineLevel="1">
      <c r="A117" s="316"/>
      <c r="B117" s="90"/>
      <c r="C117" s="90"/>
      <c r="D117" s="90"/>
      <c r="E117" s="90"/>
      <c r="F117" s="90"/>
      <c r="G117" s="90"/>
      <c r="H117" s="523"/>
      <c r="I117" s="178"/>
      <c r="J117" s="99"/>
      <c r="K117" s="99"/>
      <c r="L117" s="90"/>
      <c r="M117" s="90"/>
      <c r="N117" s="90"/>
      <c r="O117" s="90"/>
      <c r="P117" s="90"/>
      <c r="Q117" s="90"/>
      <c r="R117" s="90"/>
      <c r="S117" s="90"/>
      <c r="T117" s="90"/>
      <c r="U117" s="90"/>
      <c r="V117" s="90"/>
      <c r="W117" s="90"/>
      <c r="X117" s="90"/>
      <c r="Y117" s="90"/>
      <c r="Z117" s="90"/>
      <c r="AA117" s="90"/>
      <c r="AB117" s="90"/>
      <c r="AC117" s="90"/>
      <c r="AD117" s="90"/>
      <c r="AE117" s="90"/>
      <c r="AF117" s="90"/>
      <c r="AG117" s="90"/>
      <c r="AH117" s="90"/>
      <c r="AI117" s="90"/>
      <c r="AJ117" s="90"/>
      <c r="AK117" s="90"/>
      <c r="AL117" s="90"/>
      <c r="AM117" s="90"/>
      <c r="AN117" s="90"/>
      <c r="AO117" s="90"/>
      <c r="AP117" s="90"/>
      <c r="AQ117" s="90"/>
      <c r="AR117" s="90"/>
      <c r="AS117" s="90"/>
      <c r="AT117" s="90"/>
      <c r="AU117" s="90"/>
      <c r="AV117" s="90"/>
      <c r="AW117" s="90"/>
      <c r="AX117" s="90"/>
      <c r="AY117" s="90"/>
      <c r="AZ117" s="90"/>
      <c r="BA117" s="90"/>
      <c r="BB117" s="90"/>
      <c r="BC117" s="90"/>
      <c r="BD117" s="90"/>
      <c r="BE117" s="90"/>
      <c r="BF117" s="90"/>
      <c r="BG117" s="90"/>
    </row>
    <row r="118" ht="12.75" hidden="1" customHeight="1" outlineLevel="1">
      <c r="A118" s="316"/>
      <c r="B118" s="67" t="s">
        <v>692</v>
      </c>
      <c r="C118" s="90"/>
      <c r="D118" s="90"/>
      <c r="E118" s="90"/>
      <c r="F118" s="90"/>
      <c r="G118" s="90"/>
      <c r="H118" s="523"/>
      <c r="I118" s="178"/>
      <c r="J118" s="99"/>
      <c r="K118" s="99"/>
      <c r="L118" s="90"/>
      <c r="M118" s="90"/>
      <c r="N118" s="90"/>
      <c r="O118" s="90"/>
      <c r="P118" s="90"/>
      <c r="Q118" s="90"/>
      <c r="R118" s="90"/>
      <c r="S118" s="90"/>
      <c r="T118" s="90"/>
      <c r="U118" s="90"/>
      <c r="V118" s="90"/>
      <c r="W118" s="90"/>
      <c r="X118" s="90"/>
      <c r="Y118" s="90"/>
      <c r="Z118" s="90"/>
      <c r="AA118" s="90"/>
      <c r="AB118" s="90"/>
      <c r="AC118" s="90"/>
      <c r="AD118" s="90"/>
      <c r="AE118" s="90"/>
      <c r="AF118" s="90"/>
      <c r="AG118" s="90"/>
      <c r="AH118" s="90"/>
      <c r="AI118" s="90"/>
      <c r="AJ118" s="90"/>
      <c r="AK118" s="90"/>
      <c r="AL118" s="90"/>
      <c r="AM118" s="90"/>
      <c r="AN118" s="90"/>
      <c r="AO118" s="90"/>
      <c r="AP118" s="90"/>
      <c r="AQ118" s="90"/>
      <c r="AR118" s="90"/>
      <c r="AS118" s="90"/>
      <c r="AT118" s="90"/>
      <c r="AU118" s="90"/>
      <c r="AV118" s="90"/>
      <c r="AW118" s="67"/>
      <c r="AX118" s="90"/>
      <c r="AY118" s="90"/>
      <c r="AZ118" s="90"/>
      <c r="BA118" s="90"/>
      <c r="BB118" s="90"/>
      <c r="BC118" s="90"/>
      <c r="BD118" s="90"/>
      <c r="BE118" s="90"/>
      <c r="BF118" s="90"/>
      <c r="BG118" s="90"/>
    </row>
    <row r="119" ht="12.75" hidden="1" customHeight="1" outlineLevel="1">
      <c r="A119" s="316"/>
      <c r="B119" s="90"/>
      <c r="C119" s="90" t="s">
        <v>1189</v>
      </c>
      <c r="D119" s="90"/>
      <c r="E119" s="90"/>
      <c r="F119" s="90"/>
      <c r="G119" s="254"/>
      <c r="H119" s="523"/>
      <c r="I119" s="178"/>
      <c r="J119" s="99"/>
      <c r="K119" s="99"/>
      <c r="L119" s="99"/>
      <c r="M119" s="99"/>
      <c r="N119" s="99"/>
      <c r="O119" s="99"/>
      <c r="P119" s="99"/>
      <c r="Q119" s="99"/>
      <c r="R119" s="99"/>
      <c r="S119" s="99"/>
      <c r="T119" s="99"/>
      <c r="U119" s="99"/>
      <c r="V119" s="99"/>
      <c r="W119" s="99"/>
      <c r="X119" s="99"/>
      <c r="Y119" s="99"/>
      <c r="Z119" s="99"/>
      <c r="AA119" s="99"/>
      <c r="AB119" s="99"/>
      <c r="AC119" s="99"/>
      <c r="AD119" s="99"/>
      <c r="AE119" s="99"/>
      <c r="AF119" s="99"/>
      <c r="AG119" s="99"/>
      <c r="AH119" s="99"/>
      <c r="AI119" s="99"/>
      <c r="AJ119" s="99"/>
      <c r="AK119" s="99"/>
      <c r="AL119" s="99"/>
      <c r="AM119" s="99"/>
      <c r="AN119" s="99"/>
      <c r="AO119" s="99"/>
      <c r="AP119" s="99"/>
      <c r="AQ119" s="99"/>
      <c r="AR119" s="99"/>
      <c r="AS119" s="99"/>
      <c r="AT119" s="99"/>
      <c r="AU119" s="99"/>
      <c r="AV119" s="99"/>
      <c r="AW119" s="90"/>
      <c r="AX119" s="90"/>
      <c r="AY119" s="90"/>
      <c r="AZ119" s="90"/>
      <c r="BA119" s="90"/>
      <c r="BB119" s="90"/>
      <c r="BC119" s="90"/>
      <c r="BD119" s="90"/>
      <c r="BE119" s="90"/>
      <c r="BF119" s="90"/>
      <c r="BG119" s="90"/>
    </row>
    <row r="120" ht="12.75" hidden="1" customHeight="1" outlineLevel="1">
      <c r="A120" s="316"/>
      <c r="B120" s="90"/>
      <c r="C120" s="90" t="s">
        <v>1235</v>
      </c>
      <c r="D120" s="90"/>
      <c r="E120" s="90"/>
      <c r="F120" s="90"/>
      <c r="G120" s="254"/>
      <c r="H120" s="523"/>
      <c r="I120" s="178"/>
      <c r="J120" s="99"/>
      <c r="K120" s="99">
        <f>'RSGen 1-7'!I120</f>
        <v>10000</v>
      </c>
      <c r="L120" s="99">
        <f>'RSGen 1-7'!J120</f>
        <v>10000</v>
      </c>
      <c r="M120" s="99">
        <f>'RSGen 1-7'!K120</f>
        <v>5000</v>
      </c>
      <c r="N120" s="99">
        <f t="shared" ref="N120:AV120" si="83">M120</f>
        <v>5000</v>
      </c>
      <c r="O120" s="99">
        <f t="shared" si="83"/>
        <v>5000</v>
      </c>
      <c r="P120" s="99">
        <f t="shared" si="83"/>
        <v>5000</v>
      </c>
      <c r="Q120" s="99">
        <f t="shared" si="83"/>
        <v>5000</v>
      </c>
      <c r="R120" s="99">
        <f t="shared" si="83"/>
        <v>5000</v>
      </c>
      <c r="S120" s="99">
        <f t="shared" si="83"/>
        <v>5000</v>
      </c>
      <c r="T120" s="99">
        <f t="shared" si="83"/>
        <v>5000</v>
      </c>
      <c r="U120" s="99">
        <f t="shared" si="83"/>
        <v>5000</v>
      </c>
      <c r="V120" s="99">
        <f t="shared" si="83"/>
        <v>5000</v>
      </c>
      <c r="W120" s="99">
        <f t="shared" si="83"/>
        <v>5000</v>
      </c>
      <c r="X120" s="99">
        <f t="shared" si="83"/>
        <v>5000</v>
      </c>
      <c r="Y120" s="99">
        <f t="shared" si="83"/>
        <v>5000</v>
      </c>
      <c r="Z120" s="99">
        <f t="shared" si="83"/>
        <v>5000</v>
      </c>
      <c r="AA120" s="99">
        <f t="shared" si="83"/>
        <v>5000</v>
      </c>
      <c r="AB120" s="99">
        <f t="shared" si="83"/>
        <v>5000</v>
      </c>
      <c r="AC120" s="99">
        <f t="shared" si="83"/>
        <v>5000</v>
      </c>
      <c r="AD120" s="99">
        <f t="shared" si="83"/>
        <v>5000</v>
      </c>
      <c r="AE120" s="99">
        <f t="shared" si="83"/>
        <v>5000</v>
      </c>
      <c r="AF120" s="99">
        <f t="shared" si="83"/>
        <v>5000</v>
      </c>
      <c r="AG120" s="99">
        <f t="shared" si="83"/>
        <v>5000</v>
      </c>
      <c r="AH120" s="99">
        <f t="shared" si="83"/>
        <v>5000</v>
      </c>
      <c r="AI120" s="99">
        <f t="shared" si="83"/>
        <v>5000</v>
      </c>
      <c r="AJ120" s="99">
        <f t="shared" si="83"/>
        <v>5000</v>
      </c>
      <c r="AK120" s="99">
        <f t="shared" si="83"/>
        <v>5000</v>
      </c>
      <c r="AL120" s="99">
        <f t="shared" si="83"/>
        <v>5000</v>
      </c>
      <c r="AM120" s="99">
        <f t="shared" si="83"/>
        <v>5000</v>
      </c>
      <c r="AN120" s="99">
        <f t="shared" si="83"/>
        <v>5000</v>
      </c>
      <c r="AO120" s="99">
        <f t="shared" si="83"/>
        <v>5000</v>
      </c>
      <c r="AP120" s="99">
        <f t="shared" si="83"/>
        <v>5000</v>
      </c>
      <c r="AQ120" s="99">
        <f t="shared" si="83"/>
        <v>5000</v>
      </c>
      <c r="AR120" s="99">
        <f t="shared" si="83"/>
        <v>5000</v>
      </c>
      <c r="AS120" s="99">
        <f t="shared" si="83"/>
        <v>5000</v>
      </c>
      <c r="AT120" s="99">
        <f t="shared" si="83"/>
        <v>5000</v>
      </c>
      <c r="AU120" s="99">
        <f t="shared" si="83"/>
        <v>5000</v>
      </c>
      <c r="AV120" s="99">
        <f t="shared" si="83"/>
        <v>5000</v>
      </c>
      <c r="AW120" s="90"/>
      <c r="AX120" s="90"/>
      <c r="AY120" s="90"/>
      <c r="AZ120" s="90"/>
      <c r="BA120" s="90"/>
      <c r="BB120" s="90"/>
      <c r="BC120" s="90"/>
      <c r="BD120" s="90"/>
      <c r="BE120" s="90"/>
      <c r="BF120" s="90"/>
      <c r="BG120" s="90"/>
    </row>
    <row r="121" ht="12.75" hidden="1" customHeight="1" outlineLevel="1">
      <c r="A121" s="316"/>
      <c r="B121" s="90"/>
      <c r="C121" s="90" t="s">
        <v>695</v>
      </c>
      <c r="D121" s="90"/>
      <c r="E121" s="90"/>
      <c r="F121" s="90"/>
      <c r="G121" s="99"/>
      <c r="H121" s="99"/>
      <c r="I121" s="99">
        <v>70.0</v>
      </c>
      <c r="J121" s="99">
        <v>70.0</v>
      </c>
      <c r="K121" s="99">
        <v>70.0</v>
      </c>
      <c r="L121" s="99">
        <v>70.0</v>
      </c>
      <c r="M121" s="99">
        <v>70.0</v>
      </c>
      <c r="N121" s="99">
        <v>70.0</v>
      </c>
      <c r="O121" s="99">
        <v>70.0</v>
      </c>
      <c r="P121" s="99">
        <v>70.0</v>
      </c>
      <c r="Q121" s="99">
        <v>70.0</v>
      </c>
      <c r="R121" s="99">
        <v>70.0</v>
      </c>
      <c r="S121" s="99">
        <f t="shared" ref="S121:AV121" si="84">R121</f>
        <v>70</v>
      </c>
      <c r="T121" s="99">
        <f t="shared" si="84"/>
        <v>70</v>
      </c>
      <c r="U121" s="99">
        <f t="shared" si="84"/>
        <v>70</v>
      </c>
      <c r="V121" s="99">
        <f t="shared" si="84"/>
        <v>70</v>
      </c>
      <c r="W121" s="99">
        <f t="shared" si="84"/>
        <v>70</v>
      </c>
      <c r="X121" s="99">
        <f t="shared" si="84"/>
        <v>70</v>
      </c>
      <c r="Y121" s="99">
        <f t="shared" si="84"/>
        <v>70</v>
      </c>
      <c r="Z121" s="99">
        <f t="shared" si="84"/>
        <v>70</v>
      </c>
      <c r="AA121" s="99">
        <f t="shared" si="84"/>
        <v>70</v>
      </c>
      <c r="AB121" s="99">
        <f t="shared" si="84"/>
        <v>70</v>
      </c>
      <c r="AC121" s="99">
        <f t="shared" si="84"/>
        <v>70</v>
      </c>
      <c r="AD121" s="99">
        <f t="shared" si="84"/>
        <v>70</v>
      </c>
      <c r="AE121" s="99">
        <f t="shared" si="84"/>
        <v>70</v>
      </c>
      <c r="AF121" s="99">
        <f t="shared" si="84"/>
        <v>70</v>
      </c>
      <c r="AG121" s="99">
        <f t="shared" si="84"/>
        <v>70</v>
      </c>
      <c r="AH121" s="99">
        <f t="shared" si="84"/>
        <v>70</v>
      </c>
      <c r="AI121" s="99">
        <f t="shared" si="84"/>
        <v>70</v>
      </c>
      <c r="AJ121" s="99">
        <f t="shared" si="84"/>
        <v>70</v>
      </c>
      <c r="AK121" s="99">
        <f t="shared" si="84"/>
        <v>70</v>
      </c>
      <c r="AL121" s="99">
        <f t="shared" si="84"/>
        <v>70</v>
      </c>
      <c r="AM121" s="99">
        <f t="shared" si="84"/>
        <v>70</v>
      </c>
      <c r="AN121" s="99">
        <f t="shared" si="84"/>
        <v>70</v>
      </c>
      <c r="AO121" s="99">
        <f t="shared" si="84"/>
        <v>70</v>
      </c>
      <c r="AP121" s="99">
        <f t="shared" si="84"/>
        <v>70</v>
      </c>
      <c r="AQ121" s="99">
        <f t="shared" si="84"/>
        <v>70</v>
      </c>
      <c r="AR121" s="99">
        <f t="shared" si="84"/>
        <v>70</v>
      </c>
      <c r="AS121" s="99">
        <f t="shared" si="84"/>
        <v>70</v>
      </c>
      <c r="AT121" s="99">
        <f t="shared" si="84"/>
        <v>70</v>
      </c>
      <c r="AU121" s="99">
        <f t="shared" si="84"/>
        <v>70</v>
      </c>
      <c r="AV121" s="99">
        <f t="shared" si="84"/>
        <v>70</v>
      </c>
      <c r="AW121" s="308"/>
      <c r="AX121" s="308"/>
      <c r="AY121" s="308"/>
      <c r="AZ121" s="308"/>
      <c r="BA121" s="308"/>
      <c r="BB121" s="308"/>
      <c r="BC121" s="308"/>
      <c r="BD121" s="308"/>
      <c r="BE121" s="308"/>
      <c r="BF121" s="308"/>
      <c r="BG121" s="308"/>
    </row>
    <row r="122" ht="12.75" hidden="1" customHeight="1" outlineLevel="1">
      <c r="A122" s="316"/>
      <c r="B122" s="90"/>
      <c r="C122" s="90" t="s">
        <v>696</v>
      </c>
      <c r="D122" s="90"/>
      <c r="E122" s="90"/>
      <c r="F122" s="90"/>
      <c r="G122" s="523"/>
      <c r="H122" s="523"/>
      <c r="I122" s="178"/>
      <c r="J122" s="178"/>
      <c r="K122" s="178">
        <f>'RS1'!K122</f>
        <v>0.041</v>
      </c>
      <c r="L122" s="178">
        <f t="shared" ref="L122:AV122" si="85">K122</f>
        <v>0.041</v>
      </c>
      <c r="M122" s="178">
        <f t="shared" si="85"/>
        <v>0.041</v>
      </c>
      <c r="N122" s="178">
        <f t="shared" si="85"/>
        <v>0.041</v>
      </c>
      <c r="O122" s="178">
        <f t="shared" si="85"/>
        <v>0.041</v>
      </c>
      <c r="P122" s="178">
        <f t="shared" si="85"/>
        <v>0.041</v>
      </c>
      <c r="Q122" s="178">
        <f t="shared" si="85"/>
        <v>0.041</v>
      </c>
      <c r="R122" s="178">
        <f t="shared" si="85"/>
        <v>0.041</v>
      </c>
      <c r="S122" s="178">
        <f t="shared" si="85"/>
        <v>0.041</v>
      </c>
      <c r="T122" s="178">
        <f t="shared" si="85"/>
        <v>0.041</v>
      </c>
      <c r="U122" s="178">
        <f t="shared" si="85"/>
        <v>0.041</v>
      </c>
      <c r="V122" s="178">
        <f t="shared" si="85"/>
        <v>0.041</v>
      </c>
      <c r="W122" s="178">
        <f t="shared" si="85"/>
        <v>0.041</v>
      </c>
      <c r="X122" s="178">
        <f t="shared" si="85"/>
        <v>0.041</v>
      </c>
      <c r="Y122" s="178">
        <f t="shared" si="85"/>
        <v>0.041</v>
      </c>
      <c r="Z122" s="178">
        <f t="shared" si="85"/>
        <v>0.041</v>
      </c>
      <c r="AA122" s="178">
        <f t="shared" si="85"/>
        <v>0.041</v>
      </c>
      <c r="AB122" s="178">
        <f t="shared" si="85"/>
        <v>0.041</v>
      </c>
      <c r="AC122" s="178">
        <f t="shared" si="85"/>
        <v>0.041</v>
      </c>
      <c r="AD122" s="178">
        <f t="shared" si="85"/>
        <v>0.041</v>
      </c>
      <c r="AE122" s="178">
        <f t="shared" si="85"/>
        <v>0.041</v>
      </c>
      <c r="AF122" s="178">
        <f t="shared" si="85"/>
        <v>0.041</v>
      </c>
      <c r="AG122" s="178">
        <f t="shared" si="85"/>
        <v>0.041</v>
      </c>
      <c r="AH122" s="178">
        <f t="shared" si="85"/>
        <v>0.041</v>
      </c>
      <c r="AI122" s="178">
        <f t="shared" si="85"/>
        <v>0.041</v>
      </c>
      <c r="AJ122" s="178">
        <f t="shared" si="85"/>
        <v>0.041</v>
      </c>
      <c r="AK122" s="178">
        <f t="shared" si="85"/>
        <v>0.041</v>
      </c>
      <c r="AL122" s="178">
        <f t="shared" si="85"/>
        <v>0.041</v>
      </c>
      <c r="AM122" s="178">
        <f t="shared" si="85"/>
        <v>0.041</v>
      </c>
      <c r="AN122" s="178">
        <f t="shared" si="85"/>
        <v>0.041</v>
      </c>
      <c r="AO122" s="178">
        <f t="shared" si="85"/>
        <v>0.041</v>
      </c>
      <c r="AP122" s="178">
        <f t="shared" si="85"/>
        <v>0.041</v>
      </c>
      <c r="AQ122" s="178">
        <f t="shared" si="85"/>
        <v>0.041</v>
      </c>
      <c r="AR122" s="178">
        <f t="shared" si="85"/>
        <v>0.041</v>
      </c>
      <c r="AS122" s="178">
        <f t="shared" si="85"/>
        <v>0.041</v>
      </c>
      <c r="AT122" s="178">
        <f t="shared" si="85"/>
        <v>0.041</v>
      </c>
      <c r="AU122" s="178">
        <f t="shared" si="85"/>
        <v>0.041</v>
      </c>
      <c r="AV122" s="178">
        <f t="shared" si="85"/>
        <v>0.041</v>
      </c>
      <c r="AW122" s="90"/>
      <c r="AX122" s="90"/>
      <c r="AY122" s="90"/>
      <c r="AZ122" s="90"/>
      <c r="BA122" s="90"/>
      <c r="BB122" s="90"/>
      <c r="BC122" s="90"/>
      <c r="BD122" s="90"/>
      <c r="BE122" s="90"/>
      <c r="BF122" s="90"/>
      <c r="BG122" s="90"/>
    </row>
    <row r="123" ht="12.75" customHeight="1">
      <c r="A123" s="316"/>
      <c r="B123" s="90"/>
      <c r="C123" s="90"/>
      <c r="D123" s="90"/>
      <c r="E123" s="90"/>
      <c r="F123" s="90"/>
      <c r="G123" s="90"/>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c r="AF123" s="90"/>
      <c r="AG123" s="90"/>
      <c r="AH123" s="90"/>
      <c r="AI123" s="90"/>
      <c r="AJ123" s="90"/>
      <c r="AK123" s="90"/>
      <c r="AL123" s="90"/>
      <c r="AM123" s="90"/>
      <c r="AN123" s="90"/>
      <c r="AO123" s="90"/>
      <c r="AP123" s="90"/>
      <c r="AQ123" s="90"/>
      <c r="AR123" s="90"/>
      <c r="AS123" s="90"/>
      <c r="AT123" s="90"/>
      <c r="AU123" s="90"/>
      <c r="AV123" s="90"/>
      <c r="AW123" s="90"/>
      <c r="AX123" s="90"/>
      <c r="AY123" s="90"/>
      <c r="AZ123" s="90"/>
      <c r="BA123" s="90"/>
      <c r="BB123" s="90"/>
      <c r="BC123" s="90"/>
      <c r="BD123" s="90"/>
      <c r="BE123" s="90"/>
      <c r="BF123" s="90"/>
      <c r="BG123" s="90"/>
    </row>
    <row r="124" ht="12.75" customHeight="1">
      <c r="A124" s="105" t="s">
        <v>697</v>
      </c>
      <c r="B124" s="253"/>
      <c r="C124" s="253"/>
      <c r="D124" s="253"/>
      <c r="E124" s="253"/>
      <c r="F124" s="253"/>
      <c r="G124" s="253"/>
      <c r="H124" s="253"/>
      <c r="I124" s="253"/>
      <c r="J124" s="253"/>
      <c r="K124" s="253"/>
      <c r="L124" s="253"/>
      <c r="M124" s="253"/>
      <c r="N124" s="253"/>
      <c r="O124" s="253"/>
      <c r="P124" s="253"/>
      <c r="Q124" s="253"/>
      <c r="R124" s="253"/>
      <c r="S124" s="253"/>
      <c r="T124" s="253"/>
      <c r="U124" s="253"/>
      <c r="V124" s="253"/>
      <c r="W124" s="253"/>
      <c r="X124" s="253"/>
      <c r="Y124" s="253"/>
      <c r="Z124" s="253"/>
      <c r="AA124" s="253"/>
      <c r="AB124" s="253"/>
      <c r="AC124" s="253"/>
      <c r="AD124" s="253"/>
      <c r="AE124" s="253"/>
      <c r="AF124" s="253"/>
      <c r="AG124" s="253"/>
      <c r="AH124" s="253"/>
      <c r="AI124" s="253"/>
      <c r="AJ124" s="253"/>
      <c r="AK124" s="253"/>
      <c r="AL124" s="253"/>
      <c r="AM124" s="253"/>
      <c r="AN124" s="253"/>
      <c r="AO124" s="253"/>
      <c r="AP124" s="253"/>
      <c r="AQ124" s="253"/>
      <c r="AR124" s="253"/>
      <c r="AS124" s="253"/>
      <c r="AT124" s="253"/>
      <c r="AU124" s="253"/>
      <c r="AV124" s="253"/>
      <c r="AW124" s="253"/>
      <c r="AX124" s="90"/>
      <c r="AY124" s="90"/>
      <c r="AZ124" s="90"/>
      <c r="BA124" s="90"/>
      <c r="BB124" s="90"/>
      <c r="BC124" s="90"/>
      <c r="BD124" s="90"/>
      <c r="BE124" s="90"/>
      <c r="BF124" s="90"/>
      <c r="BG124" s="90"/>
    </row>
    <row r="125" ht="12.75" hidden="1" customHeight="1" outlineLevel="1">
      <c r="A125" s="316"/>
      <c r="B125" s="90"/>
      <c r="C125" s="90"/>
      <c r="D125" s="90"/>
      <c r="E125" s="90"/>
      <c r="F125" s="90"/>
      <c r="G125" s="90"/>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c r="AF125" s="90"/>
      <c r="AG125" s="90"/>
      <c r="AH125" s="90"/>
      <c r="AI125" s="90"/>
      <c r="AJ125" s="90"/>
      <c r="AK125" s="90"/>
      <c r="AL125" s="90"/>
      <c r="AM125" s="90"/>
      <c r="AN125" s="90"/>
      <c r="AO125" s="90"/>
      <c r="AP125" s="90"/>
      <c r="AQ125" s="90"/>
      <c r="AR125" s="90"/>
      <c r="AS125" s="90"/>
      <c r="AT125" s="90"/>
      <c r="AU125" s="90"/>
      <c r="AV125" s="90"/>
      <c r="AW125" s="90"/>
      <c r="AX125" s="90"/>
      <c r="AY125" s="90"/>
      <c r="AZ125" s="90"/>
      <c r="BA125" s="90"/>
      <c r="BB125" s="90"/>
      <c r="BC125" s="90"/>
      <c r="BD125" s="90"/>
      <c r="BE125" s="90"/>
      <c r="BF125" s="90"/>
      <c r="BG125" s="90"/>
    </row>
    <row r="126" ht="12.75" hidden="1" customHeight="1" outlineLevel="1">
      <c r="A126" s="316"/>
      <c r="B126" s="67" t="s">
        <v>698</v>
      </c>
      <c r="C126" s="90"/>
      <c r="D126" s="90"/>
      <c r="E126" s="90"/>
      <c r="F126" s="90"/>
      <c r="G126" s="90"/>
      <c r="H126" s="102"/>
      <c r="I126" s="102"/>
      <c r="J126" s="223"/>
      <c r="K126" s="223"/>
      <c r="L126" s="223"/>
      <c r="M126" s="223"/>
      <c r="N126" s="223"/>
      <c r="O126" s="223"/>
      <c r="P126" s="223"/>
      <c r="Q126" s="223"/>
      <c r="R126" s="223"/>
      <c r="S126" s="223"/>
      <c r="T126" s="223"/>
      <c r="U126" s="223"/>
      <c r="V126" s="223"/>
      <c r="W126" s="223"/>
      <c r="X126" s="223"/>
      <c r="Y126" s="223"/>
      <c r="Z126" s="223"/>
      <c r="AA126" s="223"/>
      <c r="AB126" s="223"/>
      <c r="AC126" s="223"/>
      <c r="AD126" s="223"/>
      <c r="AE126" s="223"/>
      <c r="AF126" s="223"/>
      <c r="AG126" s="223"/>
      <c r="AH126" s="223"/>
      <c r="AI126" s="223"/>
      <c r="AJ126" s="223"/>
      <c r="AK126" s="223"/>
      <c r="AL126" s="223"/>
      <c r="AM126" s="223"/>
      <c r="AN126" s="223"/>
      <c r="AO126" s="223"/>
      <c r="AP126" s="223"/>
      <c r="AQ126" s="223"/>
      <c r="AR126" s="223"/>
      <c r="AS126" s="223"/>
      <c r="AT126" s="223"/>
      <c r="AU126" s="223"/>
      <c r="AV126" s="223"/>
      <c r="AW126" s="90"/>
      <c r="AX126" s="90"/>
      <c r="AY126" s="90"/>
      <c r="AZ126" s="90"/>
      <c r="BA126" s="90"/>
      <c r="BB126" s="90"/>
      <c r="BC126" s="90"/>
      <c r="BD126" s="90"/>
      <c r="BE126" s="90"/>
      <c r="BF126" s="90"/>
      <c r="BG126" s="90"/>
    </row>
    <row r="127" ht="12.75" hidden="1" customHeight="1" outlineLevel="1">
      <c r="A127" s="316"/>
      <c r="B127" s="90"/>
      <c r="C127" s="90" t="s">
        <v>1191</v>
      </c>
      <c r="D127" s="90"/>
      <c r="E127" s="90"/>
      <c r="F127" s="90"/>
      <c r="G127" s="90"/>
      <c r="H127" s="102"/>
      <c r="I127" s="102"/>
      <c r="J127" s="526"/>
      <c r="K127" s="223"/>
      <c r="L127" s="223"/>
      <c r="M127" s="223"/>
      <c r="N127" s="223"/>
      <c r="O127" s="223"/>
      <c r="P127" s="223"/>
      <c r="Q127" s="223"/>
      <c r="R127" s="223"/>
      <c r="S127" s="223"/>
      <c r="T127" s="223"/>
      <c r="U127" s="223"/>
      <c r="V127" s="223"/>
      <c r="W127" s="223"/>
      <c r="X127" s="223"/>
      <c r="Y127" s="223"/>
      <c r="Z127" s="223"/>
      <c r="AA127" s="223"/>
      <c r="AB127" s="223"/>
      <c r="AC127" s="223"/>
      <c r="AD127" s="223"/>
      <c r="AE127" s="223"/>
      <c r="AF127" s="223"/>
      <c r="AG127" s="223"/>
      <c r="AH127" s="223"/>
      <c r="AI127" s="223"/>
      <c r="AJ127" s="223"/>
      <c r="AK127" s="223"/>
      <c r="AL127" s="223"/>
      <c r="AM127" s="223"/>
      <c r="AN127" s="223"/>
      <c r="AO127" s="223"/>
      <c r="AP127" s="223"/>
      <c r="AQ127" s="223"/>
      <c r="AR127" s="223"/>
      <c r="AS127" s="223"/>
      <c r="AT127" s="223"/>
      <c r="AU127" s="223"/>
      <c r="AV127" s="223"/>
      <c r="AW127" s="90"/>
      <c r="AX127" s="90"/>
      <c r="AY127" s="90"/>
      <c r="AZ127" s="90"/>
      <c r="BA127" s="90"/>
      <c r="BB127" s="90"/>
      <c r="BC127" s="90"/>
      <c r="BD127" s="90"/>
      <c r="BE127" s="90"/>
      <c r="BF127" s="90"/>
      <c r="BG127" s="90"/>
    </row>
    <row r="128" ht="12.75" hidden="1" customHeight="1" outlineLevel="1">
      <c r="A128" s="316"/>
      <c r="B128" s="90"/>
      <c r="C128" s="90"/>
      <c r="D128" s="90" t="s">
        <v>699</v>
      </c>
      <c r="E128" s="90"/>
      <c r="F128" s="90"/>
      <c r="G128" s="313"/>
      <c r="H128" s="306"/>
      <c r="I128" s="306"/>
      <c r="J128" s="361"/>
      <c r="K128" s="527">
        <v>30.0</v>
      </c>
      <c r="L128" s="527">
        <v>31.0</v>
      </c>
      <c r="M128" s="527">
        <v>27.0</v>
      </c>
      <c r="N128" s="527">
        <v>27.0</v>
      </c>
      <c r="O128" s="223">
        <f t="shared" ref="O128:AV128" si="86">N128</f>
        <v>27</v>
      </c>
      <c r="P128" s="223">
        <f t="shared" si="86"/>
        <v>27</v>
      </c>
      <c r="Q128" s="223">
        <f t="shared" si="86"/>
        <v>27</v>
      </c>
      <c r="R128" s="223">
        <f t="shared" si="86"/>
        <v>27</v>
      </c>
      <c r="S128" s="223">
        <f t="shared" si="86"/>
        <v>27</v>
      </c>
      <c r="T128" s="223">
        <f t="shared" si="86"/>
        <v>27</v>
      </c>
      <c r="U128" s="223">
        <f t="shared" si="86"/>
        <v>27</v>
      </c>
      <c r="V128" s="223">
        <f t="shared" si="86"/>
        <v>27</v>
      </c>
      <c r="W128" s="223">
        <f t="shared" si="86"/>
        <v>27</v>
      </c>
      <c r="X128" s="223">
        <f t="shared" si="86"/>
        <v>27</v>
      </c>
      <c r="Y128" s="223">
        <f t="shared" si="86"/>
        <v>27</v>
      </c>
      <c r="Z128" s="223">
        <f t="shared" si="86"/>
        <v>27</v>
      </c>
      <c r="AA128" s="223">
        <f t="shared" si="86"/>
        <v>27</v>
      </c>
      <c r="AB128" s="223">
        <f t="shared" si="86"/>
        <v>27</v>
      </c>
      <c r="AC128" s="223">
        <f t="shared" si="86"/>
        <v>27</v>
      </c>
      <c r="AD128" s="223">
        <f t="shared" si="86"/>
        <v>27</v>
      </c>
      <c r="AE128" s="223">
        <f t="shared" si="86"/>
        <v>27</v>
      </c>
      <c r="AF128" s="223">
        <f t="shared" si="86"/>
        <v>27</v>
      </c>
      <c r="AG128" s="223">
        <f t="shared" si="86"/>
        <v>27</v>
      </c>
      <c r="AH128" s="223">
        <f t="shared" si="86"/>
        <v>27</v>
      </c>
      <c r="AI128" s="223">
        <f t="shared" si="86"/>
        <v>27</v>
      </c>
      <c r="AJ128" s="223">
        <f t="shared" si="86"/>
        <v>27</v>
      </c>
      <c r="AK128" s="223">
        <f t="shared" si="86"/>
        <v>27</v>
      </c>
      <c r="AL128" s="223">
        <f t="shared" si="86"/>
        <v>27</v>
      </c>
      <c r="AM128" s="223">
        <f t="shared" si="86"/>
        <v>27</v>
      </c>
      <c r="AN128" s="223">
        <f t="shared" si="86"/>
        <v>27</v>
      </c>
      <c r="AO128" s="223">
        <f t="shared" si="86"/>
        <v>27</v>
      </c>
      <c r="AP128" s="223">
        <f t="shared" si="86"/>
        <v>27</v>
      </c>
      <c r="AQ128" s="223">
        <f t="shared" si="86"/>
        <v>27</v>
      </c>
      <c r="AR128" s="223">
        <f t="shared" si="86"/>
        <v>27</v>
      </c>
      <c r="AS128" s="223">
        <f t="shared" si="86"/>
        <v>27</v>
      </c>
      <c r="AT128" s="223">
        <f t="shared" si="86"/>
        <v>27</v>
      </c>
      <c r="AU128" s="223">
        <f t="shared" si="86"/>
        <v>27</v>
      </c>
      <c r="AV128" s="223">
        <f t="shared" si="86"/>
        <v>27</v>
      </c>
      <c r="AW128" s="90"/>
      <c r="AX128" s="90"/>
      <c r="AY128" s="90"/>
      <c r="AZ128" s="90"/>
      <c r="BA128" s="90"/>
      <c r="BB128" s="90"/>
      <c r="BC128" s="90"/>
      <c r="BD128" s="90"/>
      <c r="BE128" s="90"/>
      <c r="BF128" s="90"/>
      <c r="BG128" s="90"/>
    </row>
    <row r="129" ht="12.75" hidden="1" customHeight="1" outlineLevel="1">
      <c r="A129" s="316"/>
      <c r="B129" s="90"/>
      <c r="C129" s="90"/>
      <c r="D129" s="64">
        <v>1.0</v>
      </c>
      <c r="E129" s="90"/>
      <c r="F129" s="90"/>
      <c r="G129" s="313"/>
      <c r="H129" s="306"/>
      <c r="I129" s="306"/>
      <c r="J129" s="361"/>
      <c r="K129" s="527">
        <v>30.0</v>
      </c>
      <c r="L129" s="527">
        <v>31.0</v>
      </c>
      <c r="M129" s="527">
        <v>30.0</v>
      </c>
      <c r="N129" s="527">
        <v>30.0</v>
      </c>
      <c r="O129" s="223">
        <f t="shared" ref="O129:AV129" si="87">N129</f>
        <v>30</v>
      </c>
      <c r="P129" s="223">
        <f t="shared" si="87"/>
        <v>30</v>
      </c>
      <c r="Q129" s="223">
        <f t="shared" si="87"/>
        <v>30</v>
      </c>
      <c r="R129" s="223">
        <f t="shared" si="87"/>
        <v>30</v>
      </c>
      <c r="S129" s="223">
        <f t="shared" si="87"/>
        <v>30</v>
      </c>
      <c r="T129" s="223">
        <f t="shared" si="87"/>
        <v>30</v>
      </c>
      <c r="U129" s="223">
        <f t="shared" si="87"/>
        <v>30</v>
      </c>
      <c r="V129" s="223">
        <f t="shared" si="87"/>
        <v>30</v>
      </c>
      <c r="W129" s="223">
        <f t="shared" si="87"/>
        <v>30</v>
      </c>
      <c r="X129" s="223">
        <f t="shared" si="87"/>
        <v>30</v>
      </c>
      <c r="Y129" s="223">
        <f t="shared" si="87"/>
        <v>30</v>
      </c>
      <c r="Z129" s="223">
        <f t="shared" si="87"/>
        <v>30</v>
      </c>
      <c r="AA129" s="223">
        <f t="shared" si="87"/>
        <v>30</v>
      </c>
      <c r="AB129" s="223">
        <f t="shared" si="87"/>
        <v>30</v>
      </c>
      <c r="AC129" s="223">
        <f t="shared" si="87"/>
        <v>30</v>
      </c>
      <c r="AD129" s="223">
        <f t="shared" si="87"/>
        <v>30</v>
      </c>
      <c r="AE129" s="223">
        <f t="shared" si="87"/>
        <v>30</v>
      </c>
      <c r="AF129" s="223">
        <f t="shared" si="87"/>
        <v>30</v>
      </c>
      <c r="AG129" s="223">
        <f t="shared" si="87"/>
        <v>30</v>
      </c>
      <c r="AH129" s="223">
        <f t="shared" si="87"/>
        <v>30</v>
      </c>
      <c r="AI129" s="223">
        <f t="shared" si="87"/>
        <v>30</v>
      </c>
      <c r="AJ129" s="223">
        <f t="shared" si="87"/>
        <v>30</v>
      </c>
      <c r="AK129" s="223">
        <f t="shared" si="87"/>
        <v>30</v>
      </c>
      <c r="AL129" s="223">
        <f t="shared" si="87"/>
        <v>30</v>
      </c>
      <c r="AM129" s="223">
        <f t="shared" si="87"/>
        <v>30</v>
      </c>
      <c r="AN129" s="223">
        <f t="shared" si="87"/>
        <v>30</v>
      </c>
      <c r="AO129" s="223">
        <f t="shared" si="87"/>
        <v>30</v>
      </c>
      <c r="AP129" s="223">
        <f t="shared" si="87"/>
        <v>30</v>
      </c>
      <c r="AQ129" s="223">
        <f t="shared" si="87"/>
        <v>30</v>
      </c>
      <c r="AR129" s="223">
        <f t="shared" si="87"/>
        <v>30</v>
      </c>
      <c r="AS129" s="223">
        <f t="shared" si="87"/>
        <v>30</v>
      </c>
      <c r="AT129" s="223">
        <f t="shared" si="87"/>
        <v>30</v>
      </c>
      <c r="AU129" s="223">
        <f t="shared" si="87"/>
        <v>30</v>
      </c>
      <c r="AV129" s="223">
        <f t="shared" si="87"/>
        <v>30</v>
      </c>
      <c r="AW129" s="90"/>
      <c r="AX129" s="90"/>
      <c r="AY129" s="90"/>
      <c r="AZ129" s="90"/>
      <c r="BA129" s="90"/>
      <c r="BB129" s="90"/>
      <c r="BC129" s="90"/>
      <c r="BD129" s="90"/>
      <c r="BE129" s="90"/>
      <c r="BF129" s="90"/>
      <c r="BG129" s="90"/>
    </row>
    <row r="130" ht="12.75" hidden="1" customHeight="1" outlineLevel="1">
      <c r="A130" s="316"/>
      <c r="B130" s="90"/>
      <c r="C130" s="90"/>
      <c r="D130" s="64">
        <v>2.0</v>
      </c>
      <c r="E130" s="90"/>
      <c r="F130" s="90"/>
      <c r="G130" s="313"/>
      <c r="H130" s="306"/>
      <c r="I130" s="306"/>
      <c r="J130" s="361"/>
      <c r="K130" s="527">
        <v>22.0</v>
      </c>
      <c r="L130" s="527">
        <v>31.0</v>
      </c>
      <c r="M130" s="527">
        <v>30.0</v>
      </c>
      <c r="N130" s="527">
        <v>30.0</v>
      </c>
      <c r="O130" s="223">
        <f t="shared" ref="O130:AV130" si="88">N130</f>
        <v>30</v>
      </c>
      <c r="P130" s="223">
        <f t="shared" si="88"/>
        <v>30</v>
      </c>
      <c r="Q130" s="223">
        <f t="shared" si="88"/>
        <v>30</v>
      </c>
      <c r="R130" s="223">
        <f t="shared" si="88"/>
        <v>30</v>
      </c>
      <c r="S130" s="223">
        <f t="shared" si="88"/>
        <v>30</v>
      </c>
      <c r="T130" s="223">
        <f t="shared" si="88"/>
        <v>30</v>
      </c>
      <c r="U130" s="223">
        <f t="shared" si="88"/>
        <v>30</v>
      </c>
      <c r="V130" s="223">
        <f t="shared" si="88"/>
        <v>30</v>
      </c>
      <c r="W130" s="223">
        <f t="shared" si="88"/>
        <v>30</v>
      </c>
      <c r="X130" s="223">
        <f t="shared" si="88"/>
        <v>30</v>
      </c>
      <c r="Y130" s="223">
        <f t="shared" si="88"/>
        <v>30</v>
      </c>
      <c r="Z130" s="223">
        <f t="shared" si="88"/>
        <v>30</v>
      </c>
      <c r="AA130" s="223">
        <f t="shared" si="88"/>
        <v>30</v>
      </c>
      <c r="AB130" s="223">
        <f t="shared" si="88"/>
        <v>30</v>
      </c>
      <c r="AC130" s="223">
        <f t="shared" si="88"/>
        <v>30</v>
      </c>
      <c r="AD130" s="223">
        <f t="shared" si="88"/>
        <v>30</v>
      </c>
      <c r="AE130" s="223">
        <f t="shared" si="88"/>
        <v>30</v>
      </c>
      <c r="AF130" s="223">
        <f t="shared" si="88"/>
        <v>30</v>
      </c>
      <c r="AG130" s="223">
        <f t="shared" si="88"/>
        <v>30</v>
      </c>
      <c r="AH130" s="223">
        <f t="shared" si="88"/>
        <v>30</v>
      </c>
      <c r="AI130" s="223">
        <f t="shared" si="88"/>
        <v>30</v>
      </c>
      <c r="AJ130" s="223">
        <f t="shared" si="88"/>
        <v>30</v>
      </c>
      <c r="AK130" s="223">
        <f t="shared" si="88"/>
        <v>30</v>
      </c>
      <c r="AL130" s="223">
        <f t="shared" si="88"/>
        <v>30</v>
      </c>
      <c r="AM130" s="223">
        <f t="shared" si="88"/>
        <v>30</v>
      </c>
      <c r="AN130" s="223">
        <f t="shared" si="88"/>
        <v>30</v>
      </c>
      <c r="AO130" s="223">
        <f t="shared" si="88"/>
        <v>30</v>
      </c>
      <c r="AP130" s="223">
        <f t="shared" si="88"/>
        <v>30</v>
      </c>
      <c r="AQ130" s="223">
        <f t="shared" si="88"/>
        <v>30</v>
      </c>
      <c r="AR130" s="223">
        <f t="shared" si="88"/>
        <v>30</v>
      </c>
      <c r="AS130" s="223">
        <f t="shared" si="88"/>
        <v>30</v>
      </c>
      <c r="AT130" s="223">
        <f t="shared" si="88"/>
        <v>30</v>
      </c>
      <c r="AU130" s="223">
        <f t="shared" si="88"/>
        <v>30</v>
      </c>
      <c r="AV130" s="223">
        <f t="shared" si="88"/>
        <v>30</v>
      </c>
      <c r="AW130" s="90"/>
      <c r="AX130" s="90"/>
      <c r="AY130" s="90"/>
      <c r="AZ130" s="90"/>
      <c r="BA130" s="90"/>
      <c r="BB130" s="90"/>
      <c r="BC130" s="90"/>
      <c r="BD130" s="90"/>
      <c r="BE130" s="90"/>
      <c r="BF130" s="90"/>
      <c r="BG130" s="90"/>
    </row>
    <row r="131" ht="12.75" hidden="1" customHeight="1" outlineLevel="1">
      <c r="A131" s="316"/>
      <c r="B131" s="90"/>
      <c r="C131" s="90"/>
      <c r="D131" s="64">
        <v>3.0</v>
      </c>
      <c r="E131" s="90"/>
      <c r="F131" s="90"/>
      <c r="G131" s="313"/>
      <c r="H131" s="306"/>
      <c r="I131" s="306"/>
      <c r="J131" s="361"/>
      <c r="K131" s="527">
        <v>20.0</v>
      </c>
      <c r="L131" s="527">
        <v>20.0</v>
      </c>
      <c r="M131" s="527">
        <v>27.0</v>
      </c>
      <c r="N131" s="527">
        <v>27.0</v>
      </c>
      <c r="O131" s="223">
        <f t="shared" ref="O131:AV131" si="89">N131</f>
        <v>27</v>
      </c>
      <c r="P131" s="223">
        <f t="shared" si="89"/>
        <v>27</v>
      </c>
      <c r="Q131" s="223">
        <f t="shared" si="89"/>
        <v>27</v>
      </c>
      <c r="R131" s="223">
        <f t="shared" si="89"/>
        <v>27</v>
      </c>
      <c r="S131" s="223">
        <f t="shared" si="89"/>
        <v>27</v>
      </c>
      <c r="T131" s="223">
        <f t="shared" si="89"/>
        <v>27</v>
      </c>
      <c r="U131" s="223">
        <f t="shared" si="89"/>
        <v>27</v>
      </c>
      <c r="V131" s="223">
        <f t="shared" si="89"/>
        <v>27</v>
      </c>
      <c r="W131" s="223">
        <f t="shared" si="89"/>
        <v>27</v>
      </c>
      <c r="X131" s="223">
        <f t="shared" si="89"/>
        <v>27</v>
      </c>
      <c r="Y131" s="223">
        <f t="shared" si="89"/>
        <v>27</v>
      </c>
      <c r="Z131" s="223">
        <f t="shared" si="89"/>
        <v>27</v>
      </c>
      <c r="AA131" s="223">
        <f t="shared" si="89"/>
        <v>27</v>
      </c>
      <c r="AB131" s="223">
        <f t="shared" si="89"/>
        <v>27</v>
      </c>
      <c r="AC131" s="223">
        <f t="shared" si="89"/>
        <v>27</v>
      </c>
      <c r="AD131" s="223">
        <f t="shared" si="89"/>
        <v>27</v>
      </c>
      <c r="AE131" s="223">
        <f t="shared" si="89"/>
        <v>27</v>
      </c>
      <c r="AF131" s="223">
        <f t="shared" si="89"/>
        <v>27</v>
      </c>
      <c r="AG131" s="223">
        <f t="shared" si="89"/>
        <v>27</v>
      </c>
      <c r="AH131" s="223">
        <f t="shared" si="89"/>
        <v>27</v>
      </c>
      <c r="AI131" s="223">
        <f t="shared" si="89"/>
        <v>27</v>
      </c>
      <c r="AJ131" s="223">
        <f t="shared" si="89"/>
        <v>27</v>
      </c>
      <c r="AK131" s="223">
        <f t="shared" si="89"/>
        <v>27</v>
      </c>
      <c r="AL131" s="223">
        <f t="shared" si="89"/>
        <v>27</v>
      </c>
      <c r="AM131" s="223">
        <f t="shared" si="89"/>
        <v>27</v>
      </c>
      <c r="AN131" s="223">
        <f t="shared" si="89"/>
        <v>27</v>
      </c>
      <c r="AO131" s="223">
        <f t="shared" si="89"/>
        <v>27</v>
      </c>
      <c r="AP131" s="223">
        <f t="shared" si="89"/>
        <v>27</v>
      </c>
      <c r="AQ131" s="223">
        <f t="shared" si="89"/>
        <v>27</v>
      </c>
      <c r="AR131" s="223">
        <f t="shared" si="89"/>
        <v>27</v>
      </c>
      <c r="AS131" s="223">
        <f t="shared" si="89"/>
        <v>27</v>
      </c>
      <c r="AT131" s="223">
        <f t="shared" si="89"/>
        <v>27</v>
      </c>
      <c r="AU131" s="223">
        <f t="shared" si="89"/>
        <v>27</v>
      </c>
      <c r="AV131" s="223">
        <f t="shared" si="89"/>
        <v>27</v>
      </c>
      <c r="AW131" s="90"/>
      <c r="AX131" s="90"/>
      <c r="AY131" s="90"/>
      <c r="AZ131" s="90"/>
      <c r="BA131" s="90"/>
      <c r="BB131" s="90"/>
      <c r="BC131" s="90"/>
      <c r="BD131" s="90"/>
      <c r="BE131" s="90"/>
      <c r="BF131" s="90"/>
      <c r="BG131" s="90"/>
    </row>
    <row r="132" ht="12.75" hidden="1" customHeight="1" outlineLevel="1">
      <c r="A132" s="316"/>
      <c r="B132" s="90"/>
      <c r="C132" s="90"/>
      <c r="D132" s="64">
        <v>4.0</v>
      </c>
      <c r="E132" s="90"/>
      <c r="F132" s="90"/>
      <c r="G132" s="313"/>
      <c r="H132" s="306"/>
      <c r="I132" s="306"/>
      <c r="J132" s="361"/>
      <c r="K132" s="527">
        <v>30.0</v>
      </c>
      <c r="L132" s="527">
        <v>27.0</v>
      </c>
      <c r="M132" s="527">
        <v>24.0</v>
      </c>
      <c r="N132" s="527">
        <v>24.0</v>
      </c>
      <c r="O132" s="223">
        <f t="shared" ref="O132:AV132" si="90">N132</f>
        <v>24</v>
      </c>
      <c r="P132" s="223">
        <f t="shared" si="90"/>
        <v>24</v>
      </c>
      <c r="Q132" s="223">
        <f t="shared" si="90"/>
        <v>24</v>
      </c>
      <c r="R132" s="223">
        <f t="shared" si="90"/>
        <v>24</v>
      </c>
      <c r="S132" s="223">
        <f t="shared" si="90"/>
        <v>24</v>
      </c>
      <c r="T132" s="223">
        <f t="shared" si="90"/>
        <v>24</v>
      </c>
      <c r="U132" s="223">
        <f t="shared" si="90"/>
        <v>24</v>
      </c>
      <c r="V132" s="223">
        <f t="shared" si="90"/>
        <v>24</v>
      </c>
      <c r="W132" s="223">
        <f t="shared" si="90"/>
        <v>24</v>
      </c>
      <c r="X132" s="223">
        <f t="shared" si="90"/>
        <v>24</v>
      </c>
      <c r="Y132" s="223">
        <f t="shared" si="90"/>
        <v>24</v>
      </c>
      <c r="Z132" s="223">
        <f t="shared" si="90"/>
        <v>24</v>
      </c>
      <c r="AA132" s="223">
        <f t="shared" si="90"/>
        <v>24</v>
      </c>
      <c r="AB132" s="223">
        <f t="shared" si="90"/>
        <v>24</v>
      </c>
      <c r="AC132" s="223">
        <f t="shared" si="90"/>
        <v>24</v>
      </c>
      <c r="AD132" s="223">
        <f t="shared" si="90"/>
        <v>24</v>
      </c>
      <c r="AE132" s="223">
        <f t="shared" si="90"/>
        <v>24</v>
      </c>
      <c r="AF132" s="223">
        <f t="shared" si="90"/>
        <v>24</v>
      </c>
      <c r="AG132" s="223">
        <f t="shared" si="90"/>
        <v>24</v>
      </c>
      <c r="AH132" s="223">
        <f t="shared" si="90"/>
        <v>24</v>
      </c>
      <c r="AI132" s="223">
        <f t="shared" si="90"/>
        <v>24</v>
      </c>
      <c r="AJ132" s="223">
        <f t="shared" si="90"/>
        <v>24</v>
      </c>
      <c r="AK132" s="223">
        <f t="shared" si="90"/>
        <v>24</v>
      </c>
      <c r="AL132" s="223">
        <f t="shared" si="90"/>
        <v>24</v>
      </c>
      <c r="AM132" s="223">
        <f t="shared" si="90"/>
        <v>24</v>
      </c>
      <c r="AN132" s="223">
        <f t="shared" si="90"/>
        <v>24</v>
      </c>
      <c r="AO132" s="223">
        <f t="shared" si="90"/>
        <v>24</v>
      </c>
      <c r="AP132" s="223">
        <f t="shared" si="90"/>
        <v>24</v>
      </c>
      <c r="AQ132" s="223">
        <f t="shared" si="90"/>
        <v>24</v>
      </c>
      <c r="AR132" s="223">
        <f t="shared" si="90"/>
        <v>24</v>
      </c>
      <c r="AS132" s="223">
        <f t="shared" si="90"/>
        <v>24</v>
      </c>
      <c r="AT132" s="223">
        <f t="shared" si="90"/>
        <v>24</v>
      </c>
      <c r="AU132" s="223">
        <f t="shared" si="90"/>
        <v>24</v>
      </c>
      <c r="AV132" s="223">
        <f t="shared" si="90"/>
        <v>24</v>
      </c>
      <c r="AW132" s="90"/>
      <c r="AX132" s="90"/>
      <c r="AY132" s="90"/>
      <c r="AZ132" s="90"/>
      <c r="BA132" s="90"/>
      <c r="BB132" s="90"/>
      <c r="BC132" s="90"/>
      <c r="BD132" s="90"/>
      <c r="BE132" s="90"/>
      <c r="BF132" s="90"/>
      <c r="BG132" s="90"/>
    </row>
    <row r="133" ht="12.75" hidden="1" customHeight="1" outlineLevel="1">
      <c r="A133" s="316"/>
      <c r="B133" s="90"/>
      <c r="C133" s="90"/>
      <c r="D133" s="64">
        <v>5.0</v>
      </c>
      <c r="E133" s="90"/>
      <c r="F133" s="90"/>
      <c r="G133" s="313"/>
      <c r="H133" s="306"/>
      <c r="I133" s="306"/>
      <c r="J133" s="361"/>
      <c r="K133" s="527">
        <v>0.0</v>
      </c>
      <c r="L133" s="527">
        <v>30.0</v>
      </c>
      <c r="M133" s="527">
        <v>30.0</v>
      </c>
      <c r="N133" s="527">
        <v>30.0</v>
      </c>
      <c r="O133" s="223">
        <f t="shared" ref="O133:AV133" si="91">N133</f>
        <v>30</v>
      </c>
      <c r="P133" s="223">
        <f t="shared" si="91"/>
        <v>30</v>
      </c>
      <c r="Q133" s="223">
        <f t="shared" si="91"/>
        <v>30</v>
      </c>
      <c r="R133" s="223">
        <f t="shared" si="91"/>
        <v>30</v>
      </c>
      <c r="S133" s="223">
        <f t="shared" si="91"/>
        <v>30</v>
      </c>
      <c r="T133" s="223">
        <f t="shared" si="91"/>
        <v>30</v>
      </c>
      <c r="U133" s="223">
        <f t="shared" si="91"/>
        <v>30</v>
      </c>
      <c r="V133" s="223">
        <f t="shared" si="91"/>
        <v>30</v>
      </c>
      <c r="W133" s="223">
        <f t="shared" si="91"/>
        <v>30</v>
      </c>
      <c r="X133" s="223">
        <f t="shared" si="91"/>
        <v>30</v>
      </c>
      <c r="Y133" s="223">
        <f t="shared" si="91"/>
        <v>30</v>
      </c>
      <c r="Z133" s="223">
        <f t="shared" si="91"/>
        <v>30</v>
      </c>
      <c r="AA133" s="223">
        <f t="shared" si="91"/>
        <v>30</v>
      </c>
      <c r="AB133" s="223">
        <f t="shared" si="91"/>
        <v>30</v>
      </c>
      <c r="AC133" s="223">
        <f t="shared" si="91"/>
        <v>30</v>
      </c>
      <c r="AD133" s="223">
        <f t="shared" si="91"/>
        <v>30</v>
      </c>
      <c r="AE133" s="223">
        <f t="shared" si="91"/>
        <v>30</v>
      </c>
      <c r="AF133" s="223">
        <f t="shared" si="91"/>
        <v>30</v>
      </c>
      <c r="AG133" s="223">
        <f t="shared" si="91"/>
        <v>30</v>
      </c>
      <c r="AH133" s="223">
        <f t="shared" si="91"/>
        <v>30</v>
      </c>
      <c r="AI133" s="223">
        <f t="shared" si="91"/>
        <v>30</v>
      </c>
      <c r="AJ133" s="223">
        <f t="shared" si="91"/>
        <v>30</v>
      </c>
      <c r="AK133" s="223">
        <f t="shared" si="91"/>
        <v>30</v>
      </c>
      <c r="AL133" s="223">
        <f t="shared" si="91"/>
        <v>30</v>
      </c>
      <c r="AM133" s="223">
        <f t="shared" si="91"/>
        <v>30</v>
      </c>
      <c r="AN133" s="223">
        <f t="shared" si="91"/>
        <v>30</v>
      </c>
      <c r="AO133" s="223">
        <f t="shared" si="91"/>
        <v>30</v>
      </c>
      <c r="AP133" s="223">
        <f t="shared" si="91"/>
        <v>30</v>
      </c>
      <c r="AQ133" s="223">
        <f t="shared" si="91"/>
        <v>30</v>
      </c>
      <c r="AR133" s="223">
        <f t="shared" si="91"/>
        <v>30</v>
      </c>
      <c r="AS133" s="223">
        <f t="shared" si="91"/>
        <v>30</v>
      </c>
      <c r="AT133" s="223">
        <f t="shared" si="91"/>
        <v>30</v>
      </c>
      <c r="AU133" s="223">
        <f t="shared" si="91"/>
        <v>30</v>
      </c>
      <c r="AV133" s="223">
        <f t="shared" si="91"/>
        <v>30</v>
      </c>
      <c r="AW133" s="90"/>
      <c r="AX133" s="90"/>
      <c r="AY133" s="90"/>
      <c r="AZ133" s="90"/>
      <c r="BA133" s="90"/>
      <c r="BB133" s="90"/>
      <c r="BC133" s="90"/>
      <c r="BD133" s="90"/>
      <c r="BE133" s="90"/>
      <c r="BF133" s="90"/>
      <c r="BG133" s="90"/>
    </row>
    <row r="134" ht="12.75" hidden="1" customHeight="1" outlineLevel="1">
      <c r="A134" s="316"/>
      <c r="B134" s="90"/>
      <c r="C134" s="148" t="s">
        <v>173</v>
      </c>
      <c r="D134" s="362"/>
      <c r="E134" s="148"/>
      <c r="F134" s="148"/>
      <c r="G134" s="148"/>
      <c r="H134" s="285"/>
      <c r="I134" s="285"/>
      <c r="J134" s="363"/>
      <c r="K134" s="364">
        <v>13.0</v>
      </c>
      <c r="L134" s="364">
        <v>15.0</v>
      </c>
      <c r="M134" s="364">
        <v>16.0</v>
      </c>
      <c r="N134" s="364">
        <v>16.0</v>
      </c>
      <c r="O134" s="364">
        <v>16.0</v>
      </c>
      <c r="P134" s="364">
        <v>16.0</v>
      </c>
      <c r="Q134" s="364">
        <v>16.0</v>
      </c>
      <c r="R134" s="364">
        <v>16.0</v>
      </c>
      <c r="S134" s="364">
        <f t="shared" ref="S134:AV134" si="92">R134</f>
        <v>16</v>
      </c>
      <c r="T134" s="364">
        <f t="shared" si="92"/>
        <v>16</v>
      </c>
      <c r="U134" s="364">
        <f t="shared" si="92"/>
        <v>16</v>
      </c>
      <c r="V134" s="364">
        <f t="shared" si="92"/>
        <v>16</v>
      </c>
      <c r="W134" s="364">
        <f t="shared" si="92"/>
        <v>16</v>
      </c>
      <c r="X134" s="364">
        <f t="shared" si="92"/>
        <v>16</v>
      </c>
      <c r="Y134" s="364">
        <f t="shared" si="92"/>
        <v>16</v>
      </c>
      <c r="Z134" s="364">
        <f t="shared" si="92"/>
        <v>16</v>
      </c>
      <c r="AA134" s="364">
        <f t="shared" si="92"/>
        <v>16</v>
      </c>
      <c r="AB134" s="364">
        <f t="shared" si="92"/>
        <v>16</v>
      </c>
      <c r="AC134" s="364">
        <f t="shared" si="92"/>
        <v>16</v>
      </c>
      <c r="AD134" s="364">
        <f t="shared" si="92"/>
        <v>16</v>
      </c>
      <c r="AE134" s="364">
        <f t="shared" si="92"/>
        <v>16</v>
      </c>
      <c r="AF134" s="364">
        <f t="shared" si="92"/>
        <v>16</v>
      </c>
      <c r="AG134" s="364">
        <f t="shared" si="92"/>
        <v>16</v>
      </c>
      <c r="AH134" s="364">
        <f t="shared" si="92"/>
        <v>16</v>
      </c>
      <c r="AI134" s="364">
        <f t="shared" si="92"/>
        <v>16</v>
      </c>
      <c r="AJ134" s="364">
        <f t="shared" si="92"/>
        <v>16</v>
      </c>
      <c r="AK134" s="364">
        <f t="shared" si="92"/>
        <v>16</v>
      </c>
      <c r="AL134" s="364">
        <f t="shared" si="92"/>
        <v>16</v>
      </c>
      <c r="AM134" s="364">
        <f t="shared" si="92"/>
        <v>16</v>
      </c>
      <c r="AN134" s="364">
        <f t="shared" si="92"/>
        <v>16</v>
      </c>
      <c r="AO134" s="364">
        <f t="shared" si="92"/>
        <v>16</v>
      </c>
      <c r="AP134" s="364">
        <f t="shared" si="92"/>
        <v>16</v>
      </c>
      <c r="AQ134" s="364">
        <f t="shared" si="92"/>
        <v>16</v>
      </c>
      <c r="AR134" s="364">
        <f t="shared" si="92"/>
        <v>16</v>
      </c>
      <c r="AS134" s="364">
        <f t="shared" si="92"/>
        <v>16</v>
      </c>
      <c r="AT134" s="364">
        <f t="shared" si="92"/>
        <v>16</v>
      </c>
      <c r="AU134" s="364">
        <f t="shared" si="92"/>
        <v>16</v>
      </c>
      <c r="AV134" s="364">
        <f t="shared" si="92"/>
        <v>16</v>
      </c>
      <c r="AW134" s="90"/>
      <c r="AX134" s="90"/>
      <c r="AY134" s="90"/>
      <c r="AZ134" s="90"/>
      <c r="BA134" s="90"/>
      <c r="BB134" s="90"/>
      <c r="BC134" s="90"/>
      <c r="BD134" s="90"/>
      <c r="BE134" s="90"/>
      <c r="BF134" s="90"/>
      <c r="BG134" s="90"/>
    </row>
    <row r="135" ht="12.75" hidden="1" customHeight="1" outlineLevel="1">
      <c r="A135" s="316"/>
      <c r="B135" s="90"/>
      <c r="C135" s="90"/>
      <c r="D135" s="90"/>
      <c r="E135" s="90"/>
      <c r="F135" s="90"/>
      <c r="G135" s="90"/>
      <c r="H135" s="102"/>
      <c r="I135" s="102"/>
      <c r="J135" s="526"/>
      <c r="K135" s="223"/>
      <c r="L135" s="223"/>
      <c r="M135" s="223"/>
      <c r="N135" s="223"/>
      <c r="O135" s="223"/>
      <c r="P135" s="223"/>
      <c r="Q135" s="223"/>
      <c r="R135" s="223"/>
      <c r="S135" s="223"/>
      <c r="T135" s="223"/>
      <c r="U135" s="223"/>
      <c r="V135" s="223"/>
      <c r="W135" s="223"/>
      <c r="X135" s="223"/>
      <c r="Y135" s="223"/>
      <c r="Z135" s="223"/>
      <c r="AA135" s="223"/>
      <c r="AB135" s="223"/>
      <c r="AC135" s="223"/>
      <c r="AD135" s="223"/>
      <c r="AE135" s="223"/>
      <c r="AF135" s="223"/>
      <c r="AG135" s="223"/>
      <c r="AH135" s="223"/>
      <c r="AI135" s="223"/>
      <c r="AJ135" s="223"/>
      <c r="AK135" s="223"/>
      <c r="AL135" s="223"/>
      <c r="AM135" s="223"/>
      <c r="AN135" s="223"/>
      <c r="AO135" s="223"/>
      <c r="AP135" s="223"/>
      <c r="AQ135" s="223"/>
      <c r="AR135" s="223"/>
      <c r="AS135" s="223"/>
      <c r="AT135" s="223"/>
      <c r="AU135" s="223"/>
      <c r="AV135" s="223"/>
      <c r="AW135" s="90"/>
      <c r="AX135" s="90"/>
      <c r="AY135" s="90"/>
      <c r="AZ135" s="90"/>
      <c r="BA135" s="90"/>
      <c r="BB135" s="90"/>
      <c r="BC135" s="90"/>
      <c r="BD135" s="90"/>
      <c r="BE135" s="90"/>
      <c r="BF135" s="90"/>
      <c r="BG135" s="90"/>
    </row>
    <row r="136" ht="12.75" hidden="1" customHeight="1" outlineLevel="1">
      <c r="A136" s="316"/>
      <c r="B136" s="195"/>
      <c r="C136" s="90" t="s">
        <v>700</v>
      </c>
      <c r="D136" s="90"/>
      <c r="E136" s="90"/>
      <c r="F136" s="90"/>
      <c r="G136" s="90"/>
      <c r="H136" s="223"/>
      <c r="I136" s="223"/>
      <c r="J136" s="223"/>
      <c r="K136" s="223"/>
      <c r="L136" s="223"/>
      <c r="M136" s="223"/>
      <c r="N136" s="223"/>
      <c r="O136" s="223"/>
      <c r="P136" s="223"/>
      <c r="Q136" s="223"/>
      <c r="R136" s="223"/>
      <c r="S136" s="223"/>
      <c r="T136" s="223"/>
      <c r="U136" s="223"/>
      <c r="V136" s="223"/>
      <c r="W136" s="223"/>
      <c r="X136" s="223"/>
      <c r="Y136" s="223"/>
      <c r="Z136" s="223"/>
      <c r="AA136" s="223"/>
      <c r="AB136" s="223"/>
      <c r="AC136" s="223"/>
      <c r="AD136" s="223"/>
      <c r="AE136" s="223"/>
      <c r="AF136" s="223"/>
      <c r="AG136" s="223"/>
      <c r="AH136" s="223"/>
      <c r="AI136" s="223"/>
      <c r="AJ136" s="223"/>
      <c r="AK136" s="223"/>
      <c r="AL136" s="223"/>
      <c r="AM136" s="223"/>
      <c r="AN136" s="223"/>
      <c r="AO136" s="223"/>
      <c r="AP136" s="223"/>
      <c r="AQ136" s="223"/>
      <c r="AR136" s="223"/>
      <c r="AS136" s="223"/>
      <c r="AT136" s="223"/>
      <c r="AU136" s="223"/>
      <c r="AV136" s="223"/>
      <c r="AW136" s="90"/>
      <c r="AX136" s="90"/>
      <c r="AY136" s="90"/>
      <c r="AZ136" s="90"/>
      <c r="BA136" s="90"/>
      <c r="BB136" s="90"/>
      <c r="BC136" s="90"/>
      <c r="BD136" s="90"/>
      <c r="BE136" s="90"/>
      <c r="BF136" s="90"/>
      <c r="BG136" s="90"/>
    </row>
    <row r="137" ht="12.75" hidden="1" customHeight="1" outlineLevel="1">
      <c r="A137" s="316"/>
      <c r="B137" s="195"/>
      <c r="C137" s="90"/>
      <c r="D137" s="90" t="s">
        <v>701</v>
      </c>
      <c r="E137" s="90"/>
      <c r="F137" s="90"/>
      <c r="G137" s="527"/>
      <c r="H137" s="527"/>
      <c r="I137" s="527"/>
      <c r="J137" s="527">
        <v>0.5</v>
      </c>
      <c r="K137" s="527">
        <v>1.0</v>
      </c>
      <c r="L137" s="223">
        <f t="shared" ref="L137:AV137" si="93">K137</f>
        <v>1</v>
      </c>
      <c r="M137" s="223">
        <f t="shared" si="93"/>
        <v>1</v>
      </c>
      <c r="N137" s="223">
        <f t="shared" si="93"/>
        <v>1</v>
      </c>
      <c r="O137" s="223">
        <f t="shared" si="93"/>
        <v>1</v>
      </c>
      <c r="P137" s="223">
        <f t="shared" si="93"/>
        <v>1</v>
      </c>
      <c r="Q137" s="223">
        <f t="shared" si="93"/>
        <v>1</v>
      </c>
      <c r="R137" s="223">
        <f t="shared" si="93"/>
        <v>1</v>
      </c>
      <c r="S137" s="223">
        <f t="shared" si="93"/>
        <v>1</v>
      </c>
      <c r="T137" s="223">
        <f t="shared" si="93"/>
        <v>1</v>
      </c>
      <c r="U137" s="223">
        <f t="shared" si="93"/>
        <v>1</v>
      </c>
      <c r="V137" s="223">
        <f t="shared" si="93"/>
        <v>1</v>
      </c>
      <c r="W137" s="223">
        <f t="shared" si="93"/>
        <v>1</v>
      </c>
      <c r="X137" s="223">
        <f t="shared" si="93"/>
        <v>1</v>
      </c>
      <c r="Y137" s="223">
        <f t="shared" si="93"/>
        <v>1</v>
      </c>
      <c r="Z137" s="223">
        <f t="shared" si="93"/>
        <v>1</v>
      </c>
      <c r="AA137" s="223">
        <f t="shared" si="93"/>
        <v>1</v>
      </c>
      <c r="AB137" s="223">
        <f t="shared" si="93"/>
        <v>1</v>
      </c>
      <c r="AC137" s="223">
        <f t="shared" si="93"/>
        <v>1</v>
      </c>
      <c r="AD137" s="223">
        <f t="shared" si="93"/>
        <v>1</v>
      </c>
      <c r="AE137" s="223">
        <f t="shared" si="93"/>
        <v>1</v>
      </c>
      <c r="AF137" s="223">
        <f t="shared" si="93"/>
        <v>1</v>
      </c>
      <c r="AG137" s="223">
        <f t="shared" si="93"/>
        <v>1</v>
      </c>
      <c r="AH137" s="223">
        <f t="shared" si="93"/>
        <v>1</v>
      </c>
      <c r="AI137" s="223">
        <f t="shared" si="93"/>
        <v>1</v>
      </c>
      <c r="AJ137" s="223">
        <f t="shared" si="93"/>
        <v>1</v>
      </c>
      <c r="AK137" s="223">
        <f t="shared" si="93"/>
        <v>1</v>
      </c>
      <c r="AL137" s="223">
        <f t="shared" si="93"/>
        <v>1</v>
      </c>
      <c r="AM137" s="223">
        <f t="shared" si="93"/>
        <v>1</v>
      </c>
      <c r="AN137" s="223">
        <f t="shared" si="93"/>
        <v>1</v>
      </c>
      <c r="AO137" s="223">
        <f t="shared" si="93"/>
        <v>1</v>
      </c>
      <c r="AP137" s="223">
        <f t="shared" si="93"/>
        <v>1</v>
      </c>
      <c r="AQ137" s="223">
        <f t="shared" si="93"/>
        <v>1</v>
      </c>
      <c r="AR137" s="223">
        <f t="shared" si="93"/>
        <v>1</v>
      </c>
      <c r="AS137" s="223">
        <f t="shared" si="93"/>
        <v>1</v>
      </c>
      <c r="AT137" s="223">
        <f t="shared" si="93"/>
        <v>1</v>
      </c>
      <c r="AU137" s="223">
        <f t="shared" si="93"/>
        <v>1</v>
      </c>
      <c r="AV137" s="223">
        <f t="shared" si="93"/>
        <v>1</v>
      </c>
      <c r="AW137" s="90" t="s">
        <v>1192</v>
      </c>
      <c r="AX137" s="90"/>
      <c r="AY137" s="90"/>
      <c r="AZ137" s="90"/>
      <c r="BA137" s="90"/>
      <c r="BB137" s="90"/>
      <c r="BC137" s="90"/>
      <c r="BD137" s="90"/>
      <c r="BE137" s="90"/>
      <c r="BF137" s="90"/>
      <c r="BG137" s="90"/>
    </row>
    <row r="138" ht="12.75" hidden="1" customHeight="1" outlineLevel="1">
      <c r="A138" s="316"/>
      <c r="B138" s="195"/>
      <c r="C138" s="90"/>
      <c r="D138" s="90" t="s">
        <v>702</v>
      </c>
      <c r="E138" s="90"/>
      <c r="F138" s="90"/>
      <c r="G138" s="527"/>
      <c r="H138" s="527"/>
      <c r="I138" s="527"/>
      <c r="J138" s="527">
        <v>0.0</v>
      </c>
      <c r="K138" s="527">
        <v>1.0</v>
      </c>
      <c r="L138" s="223">
        <f t="shared" ref="L138:AV138" si="94">K138</f>
        <v>1</v>
      </c>
      <c r="M138" s="223">
        <f t="shared" si="94"/>
        <v>1</v>
      </c>
      <c r="N138" s="223">
        <f t="shared" si="94"/>
        <v>1</v>
      </c>
      <c r="O138" s="223">
        <f t="shared" si="94"/>
        <v>1</v>
      </c>
      <c r="P138" s="223">
        <f t="shared" si="94"/>
        <v>1</v>
      </c>
      <c r="Q138" s="223">
        <f t="shared" si="94"/>
        <v>1</v>
      </c>
      <c r="R138" s="223">
        <f t="shared" si="94"/>
        <v>1</v>
      </c>
      <c r="S138" s="223">
        <f t="shared" si="94"/>
        <v>1</v>
      </c>
      <c r="T138" s="223">
        <f t="shared" si="94"/>
        <v>1</v>
      </c>
      <c r="U138" s="223">
        <f t="shared" si="94"/>
        <v>1</v>
      </c>
      <c r="V138" s="223">
        <f t="shared" si="94"/>
        <v>1</v>
      </c>
      <c r="W138" s="223">
        <f t="shared" si="94"/>
        <v>1</v>
      </c>
      <c r="X138" s="223">
        <f t="shared" si="94"/>
        <v>1</v>
      </c>
      <c r="Y138" s="223">
        <f t="shared" si="94"/>
        <v>1</v>
      </c>
      <c r="Z138" s="223">
        <f t="shared" si="94"/>
        <v>1</v>
      </c>
      <c r="AA138" s="223">
        <f t="shared" si="94"/>
        <v>1</v>
      </c>
      <c r="AB138" s="223">
        <f t="shared" si="94"/>
        <v>1</v>
      </c>
      <c r="AC138" s="223">
        <f t="shared" si="94"/>
        <v>1</v>
      </c>
      <c r="AD138" s="223">
        <f t="shared" si="94"/>
        <v>1</v>
      </c>
      <c r="AE138" s="223">
        <f t="shared" si="94"/>
        <v>1</v>
      </c>
      <c r="AF138" s="223">
        <f t="shared" si="94"/>
        <v>1</v>
      </c>
      <c r="AG138" s="223">
        <f t="shared" si="94"/>
        <v>1</v>
      </c>
      <c r="AH138" s="223">
        <f t="shared" si="94"/>
        <v>1</v>
      </c>
      <c r="AI138" s="223">
        <f t="shared" si="94"/>
        <v>1</v>
      </c>
      <c r="AJ138" s="223">
        <f t="shared" si="94"/>
        <v>1</v>
      </c>
      <c r="AK138" s="223">
        <f t="shared" si="94"/>
        <v>1</v>
      </c>
      <c r="AL138" s="223">
        <f t="shared" si="94"/>
        <v>1</v>
      </c>
      <c r="AM138" s="223">
        <f t="shared" si="94"/>
        <v>1</v>
      </c>
      <c r="AN138" s="223">
        <f t="shared" si="94"/>
        <v>1</v>
      </c>
      <c r="AO138" s="223">
        <f t="shared" si="94"/>
        <v>1</v>
      </c>
      <c r="AP138" s="223">
        <f t="shared" si="94"/>
        <v>1</v>
      </c>
      <c r="AQ138" s="223">
        <f t="shared" si="94"/>
        <v>1</v>
      </c>
      <c r="AR138" s="223">
        <f t="shared" si="94"/>
        <v>1</v>
      </c>
      <c r="AS138" s="223">
        <f t="shared" si="94"/>
        <v>1</v>
      </c>
      <c r="AT138" s="223">
        <f t="shared" si="94"/>
        <v>1</v>
      </c>
      <c r="AU138" s="223">
        <f t="shared" si="94"/>
        <v>1</v>
      </c>
      <c r="AV138" s="223">
        <f t="shared" si="94"/>
        <v>1</v>
      </c>
      <c r="AW138" s="90"/>
      <c r="AX138" s="90"/>
      <c r="AY138" s="90"/>
      <c r="AZ138" s="90"/>
      <c r="BA138" s="90"/>
      <c r="BB138" s="90"/>
      <c r="BC138" s="90"/>
      <c r="BD138" s="90"/>
      <c r="BE138" s="90"/>
      <c r="BF138" s="90"/>
      <c r="BG138" s="90"/>
    </row>
    <row r="139" ht="12.75" hidden="1" customHeight="1" outlineLevel="1">
      <c r="A139" s="316"/>
      <c r="B139" s="195"/>
      <c r="C139" s="87"/>
      <c r="D139" s="87" t="s">
        <v>703</v>
      </c>
      <c r="E139" s="87"/>
      <c r="F139" s="87"/>
      <c r="G139" s="528"/>
      <c r="H139" s="528"/>
      <c r="I139" s="528"/>
      <c r="J139" s="528">
        <v>0.0</v>
      </c>
      <c r="K139" s="528">
        <v>0.0</v>
      </c>
      <c r="L139" s="367">
        <f t="shared" ref="L139:AV139" si="95">K139</f>
        <v>0</v>
      </c>
      <c r="M139" s="367">
        <f t="shared" si="95"/>
        <v>0</v>
      </c>
      <c r="N139" s="367">
        <f t="shared" si="95"/>
        <v>0</v>
      </c>
      <c r="O139" s="367">
        <f t="shared" si="95"/>
        <v>0</v>
      </c>
      <c r="P139" s="367">
        <f t="shared" si="95"/>
        <v>0</v>
      </c>
      <c r="Q139" s="367">
        <f t="shared" si="95"/>
        <v>0</v>
      </c>
      <c r="R139" s="367">
        <f t="shared" si="95"/>
        <v>0</v>
      </c>
      <c r="S139" s="367">
        <f t="shared" si="95"/>
        <v>0</v>
      </c>
      <c r="T139" s="367">
        <f t="shared" si="95"/>
        <v>0</v>
      </c>
      <c r="U139" s="367">
        <f t="shared" si="95"/>
        <v>0</v>
      </c>
      <c r="V139" s="367">
        <f t="shared" si="95"/>
        <v>0</v>
      </c>
      <c r="W139" s="367">
        <f t="shared" si="95"/>
        <v>0</v>
      </c>
      <c r="X139" s="367">
        <f t="shared" si="95"/>
        <v>0</v>
      </c>
      <c r="Y139" s="367">
        <f t="shared" si="95"/>
        <v>0</v>
      </c>
      <c r="Z139" s="367">
        <f t="shared" si="95"/>
        <v>0</v>
      </c>
      <c r="AA139" s="367">
        <f t="shared" si="95"/>
        <v>0</v>
      </c>
      <c r="AB139" s="367">
        <f t="shared" si="95"/>
        <v>0</v>
      </c>
      <c r="AC139" s="367">
        <f t="shared" si="95"/>
        <v>0</v>
      </c>
      <c r="AD139" s="367">
        <f t="shared" si="95"/>
        <v>0</v>
      </c>
      <c r="AE139" s="367">
        <f t="shared" si="95"/>
        <v>0</v>
      </c>
      <c r="AF139" s="367">
        <f t="shared" si="95"/>
        <v>0</v>
      </c>
      <c r="AG139" s="367">
        <f t="shared" si="95"/>
        <v>0</v>
      </c>
      <c r="AH139" s="367">
        <f t="shared" si="95"/>
        <v>0</v>
      </c>
      <c r="AI139" s="367">
        <f t="shared" si="95"/>
        <v>0</v>
      </c>
      <c r="AJ139" s="367">
        <f t="shared" si="95"/>
        <v>0</v>
      </c>
      <c r="AK139" s="367">
        <f t="shared" si="95"/>
        <v>0</v>
      </c>
      <c r="AL139" s="367">
        <f t="shared" si="95"/>
        <v>0</v>
      </c>
      <c r="AM139" s="367">
        <f t="shared" si="95"/>
        <v>0</v>
      </c>
      <c r="AN139" s="367">
        <f t="shared" si="95"/>
        <v>0</v>
      </c>
      <c r="AO139" s="367">
        <f t="shared" si="95"/>
        <v>0</v>
      </c>
      <c r="AP139" s="367">
        <f t="shared" si="95"/>
        <v>0</v>
      </c>
      <c r="AQ139" s="367">
        <f t="shared" si="95"/>
        <v>0</v>
      </c>
      <c r="AR139" s="367">
        <f t="shared" si="95"/>
        <v>0</v>
      </c>
      <c r="AS139" s="367">
        <f t="shared" si="95"/>
        <v>0</v>
      </c>
      <c r="AT139" s="367">
        <f t="shared" si="95"/>
        <v>0</v>
      </c>
      <c r="AU139" s="367">
        <f t="shared" si="95"/>
        <v>0</v>
      </c>
      <c r="AV139" s="367">
        <f t="shared" si="95"/>
        <v>0</v>
      </c>
      <c r="AW139" s="90"/>
      <c r="AX139" s="90"/>
      <c r="AY139" s="90"/>
      <c r="AZ139" s="90"/>
      <c r="BA139" s="90"/>
      <c r="BB139" s="90"/>
      <c r="BC139" s="90"/>
      <c r="BD139" s="90"/>
      <c r="BE139" s="90"/>
      <c r="BF139" s="90"/>
      <c r="BG139" s="90"/>
    </row>
    <row r="140" ht="12.75" hidden="1" customHeight="1" outlineLevel="1">
      <c r="A140" s="316"/>
      <c r="B140" s="195"/>
      <c r="C140" s="90" t="s">
        <v>704</v>
      </c>
      <c r="D140" s="90"/>
      <c r="E140" s="90"/>
      <c r="F140" s="90"/>
      <c r="G140" s="223"/>
      <c r="H140" s="223"/>
      <c r="I140" s="223"/>
      <c r="J140" s="223">
        <f t="shared" ref="J140:AV140" si="96">SUM(J137:J139)</f>
        <v>0.5</v>
      </c>
      <c r="K140" s="223">
        <f t="shared" si="96"/>
        <v>2</v>
      </c>
      <c r="L140" s="223">
        <f t="shared" si="96"/>
        <v>2</v>
      </c>
      <c r="M140" s="223">
        <f t="shared" si="96"/>
        <v>2</v>
      </c>
      <c r="N140" s="223">
        <f t="shared" si="96"/>
        <v>2</v>
      </c>
      <c r="O140" s="223">
        <f t="shared" si="96"/>
        <v>2</v>
      </c>
      <c r="P140" s="223">
        <f t="shared" si="96"/>
        <v>2</v>
      </c>
      <c r="Q140" s="223">
        <f t="shared" si="96"/>
        <v>2</v>
      </c>
      <c r="R140" s="223">
        <f t="shared" si="96"/>
        <v>2</v>
      </c>
      <c r="S140" s="223">
        <f t="shared" si="96"/>
        <v>2</v>
      </c>
      <c r="T140" s="223">
        <f t="shared" si="96"/>
        <v>2</v>
      </c>
      <c r="U140" s="223">
        <f t="shared" si="96"/>
        <v>2</v>
      </c>
      <c r="V140" s="223">
        <f t="shared" si="96"/>
        <v>2</v>
      </c>
      <c r="W140" s="223">
        <f t="shared" si="96"/>
        <v>2</v>
      </c>
      <c r="X140" s="223">
        <f t="shared" si="96"/>
        <v>2</v>
      </c>
      <c r="Y140" s="223">
        <f t="shared" si="96"/>
        <v>2</v>
      </c>
      <c r="Z140" s="223">
        <f t="shared" si="96"/>
        <v>2</v>
      </c>
      <c r="AA140" s="223">
        <f t="shared" si="96"/>
        <v>2</v>
      </c>
      <c r="AB140" s="223">
        <f t="shared" si="96"/>
        <v>2</v>
      </c>
      <c r="AC140" s="223">
        <f t="shared" si="96"/>
        <v>2</v>
      </c>
      <c r="AD140" s="223">
        <f t="shared" si="96"/>
        <v>2</v>
      </c>
      <c r="AE140" s="223">
        <f t="shared" si="96"/>
        <v>2</v>
      </c>
      <c r="AF140" s="223">
        <f t="shared" si="96"/>
        <v>2</v>
      </c>
      <c r="AG140" s="223">
        <f t="shared" si="96"/>
        <v>2</v>
      </c>
      <c r="AH140" s="223">
        <f t="shared" si="96"/>
        <v>2</v>
      </c>
      <c r="AI140" s="223">
        <f t="shared" si="96"/>
        <v>2</v>
      </c>
      <c r="AJ140" s="223">
        <f t="shared" si="96"/>
        <v>2</v>
      </c>
      <c r="AK140" s="223">
        <f t="shared" si="96"/>
        <v>2</v>
      </c>
      <c r="AL140" s="223">
        <f t="shared" si="96"/>
        <v>2</v>
      </c>
      <c r="AM140" s="223">
        <f t="shared" si="96"/>
        <v>2</v>
      </c>
      <c r="AN140" s="223">
        <f t="shared" si="96"/>
        <v>2</v>
      </c>
      <c r="AO140" s="223">
        <f t="shared" si="96"/>
        <v>2</v>
      </c>
      <c r="AP140" s="223">
        <f t="shared" si="96"/>
        <v>2</v>
      </c>
      <c r="AQ140" s="223">
        <f t="shared" si="96"/>
        <v>2</v>
      </c>
      <c r="AR140" s="223">
        <f t="shared" si="96"/>
        <v>2</v>
      </c>
      <c r="AS140" s="223">
        <f t="shared" si="96"/>
        <v>2</v>
      </c>
      <c r="AT140" s="223">
        <f t="shared" si="96"/>
        <v>2</v>
      </c>
      <c r="AU140" s="223">
        <f t="shared" si="96"/>
        <v>2</v>
      </c>
      <c r="AV140" s="223">
        <f t="shared" si="96"/>
        <v>2</v>
      </c>
      <c r="AW140" s="90"/>
      <c r="AX140" s="90"/>
      <c r="AY140" s="90"/>
      <c r="AZ140" s="90"/>
      <c r="BA140" s="90"/>
      <c r="BB140" s="90"/>
      <c r="BC140" s="90"/>
      <c r="BD140" s="90"/>
      <c r="BE140" s="90"/>
      <c r="BF140" s="90"/>
      <c r="BG140" s="90"/>
    </row>
    <row r="141" ht="12.75" hidden="1" customHeight="1" outlineLevel="1">
      <c r="A141" s="316"/>
      <c r="B141" s="195"/>
      <c r="C141" s="90"/>
      <c r="D141" s="90"/>
      <c r="E141" s="90"/>
      <c r="F141" s="90"/>
      <c r="G141" s="90"/>
      <c r="H141" s="223"/>
      <c r="I141" s="223"/>
      <c r="J141" s="223"/>
      <c r="K141" s="223"/>
      <c r="L141" s="223"/>
      <c r="M141" s="223"/>
      <c r="N141" s="223"/>
      <c r="O141" s="223"/>
      <c r="P141" s="223"/>
      <c r="Q141" s="223"/>
      <c r="R141" s="223"/>
      <c r="S141" s="223"/>
      <c r="T141" s="223"/>
      <c r="U141" s="223"/>
      <c r="V141" s="223"/>
      <c r="W141" s="223"/>
      <c r="X141" s="223"/>
      <c r="Y141" s="223"/>
      <c r="Z141" s="223"/>
      <c r="AA141" s="223"/>
      <c r="AB141" s="223"/>
      <c r="AC141" s="223"/>
      <c r="AD141" s="223"/>
      <c r="AE141" s="223"/>
      <c r="AF141" s="223"/>
      <c r="AG141" s="223"/>
      <c r="AH141" s="223"/>
      <c r="AI141" s="223"/>
      <c r="AJ141" s="223"/>
      <c r="AK141" s="223"/>
      <c r="AL141" s="223"/>
      <c r="AM141" s="223"/>
      <c r="AN141" s="223"/>
      <c r="AO141" s="223"/>
      <c r="AP141" s="223"/>
      <c r="AQ141" s="223"/>
      <c r="AR141" s="223"/>
      <c r="AS141" s="223"/>
      <c r="AT141" s="223"/>
      <c r="AU141" s="223"/>
      <c r="AV141" s="223"/>
      <c r="AW141" s="90"/>
      <c r="AX141" s="90"/>
      <c r="AY141" s="90"/>
      <c r="AZ141" s="90"/>
      <c r="BA141" s="90"/>
      <c r="BB141" s="90"/>
      <c r="BC141" s="90"/>
      <c r="BD141" s="90"/>
      <c r="BE141" s="90"/>
      <c r="BF141" s="90"/>
      <c r="BG141" s="90"/>
    </row>
    <row r="142" ht="12.75" hidden="1" customHeight="1" outlineLevel="1">
      <c r="A142" s="316"/>
      <c r="B142" s="195"/>
      <c r="C142" s="90" t="s">
        <v>705</v>
      </c>
      <c r="D142" s="90"/>
      <c r="E142" s="90"/>
      <c r="F142" s="90"/>
      <c r="G142" s="90"/>
      <c r="H142" s="223"/>
      <c r="I142" s="223"/>
      <c r="J142" s="223"/>
      <c r="K142" s="223"/>
      <c r="L142" s="223"/>
      <c r="M142" s="223"/>
      <c r="N142" s="223"/>
      <c r="O142" s="223"/>
      <c r="P142" s="223"/>
      <c r="Q142" s="223"/>
      <c r="R142" s="223"/>
      <c r="S142" s="223"/>
      <c r="T142" s="223"/>
      <c r="U142" s="223"/>
      <c r="V142" s="223"/>
      <c r="W142" s="223"/>
      <c r="X142" s="223"/>
      <c r="Y142" s="223"/>
      <c r="Z142" s="223"/>
      <c r="AA142" s="223"/>
      <c r="AB142" s="223"/>
      <c r="AC142" s="223"/>
      <c r="AD142" s="223"/>
      <c r="AE142" s="223"/>
      <c r="AF142" s="223"/>
      <c r="AG142" s="223"/>
      <c r="AH142" s="223"/>
      <c r="AI142" s="223"/>
      <c r="AJ142" s="223"/>
      <c r="AK142" s="223"/>
      <c r="AL142" s="223"/>
      <c r="AM142" s="223"/>
      <c r="AN142" s="223"/>
      <c r="AO142" s="223"/>
      <c r="AP142" s="223"/>
      <c r="AQ142" s="223"/>
      <c r="AR142" s="223"/>
      <c r="AS142" s="223"/>
      <c r="AT142" s="223"/>
      <c r="AU142" s="223"/>
      <c r="AV142" s="223"/>
      <c r="AW142" s="90"/>
      <c r="AX142" s="90"/>
      <c r="AY142" s="90"/>
      <c r="AZ142" s="90"/>
      <c r="BA142" s="90"/>
      <c r="BB142" s="90"/>
      <c r="BC142" s="90"/>
      <c r="BD142" s="90"/>
      <c r="BE142" s="90"/>
      <c r="BF142" s="90"/>
      <c r="BG142" s="90"/>
    </row>
    <row r="143" ht="12.75" hidden="1" customHeight="1" outlineLevel="1">
      <c r="A143" s="316"/>
      <c r="B143" s="195"/>
      <c r="C143" s="90"/>
      <c r="D143" s="90" t="s">
        <v>706</v>
      </c>
      <c r="E143" s="90"/>
      <c r="F143" s="90"/>
      <c r="G143" s="527"/>
      <c r="H143" s="527"/>
      <c r="I143" s="527"/>
      <c r="J143" s="527">
        <v>0.0</v>
      </c>
      <c r="K143" s="529">
        <v>4.0</v>
      </c>
      <c r="L143" s="530">
        <v>8.0</v>
      </c>
      <c r="M143" s="530">
        <v>8.0</v>
      </c>
      <c r="N143" s="531">
        <v>8.0</v>
      </c>
      <c r="O143" s="223">
        <v>7.0</v>
      </c>
      <c r="P143" s="223">
        <f>O143</f>
        <v>7</v>
      </c>
      <c r="Q143" s="223">
        <v>5.0</v>
      </c>
      <c r="R143" s="223">
        <v>5.0</v>
      </c>
      <c r="S143" s="223">
        <v>5.0</v>
      </c>
      <c r="T143" s="223">
        <v>5.0</v>
      </c>
      <c r="U143" s="223">
        <v>5.0</v>
      </c>
      <c r="V143" s="223">
        <v>5.0</v>
      </c>
      <c r="W143" s="223">
        <v>5.0</v>
      </c>
      <c r="X143" s="223">
        <v>5.0</v>
      </c>
      <c r="Y143" s="223">
        <v>5.0</v>
      </c>
      <c r="Z143" s="223">
        <v>5.0</v>
      </c>
      <c r="AA143" s="223">
        <v>5.0</v>
      </c>
      <c r="AB143" s="223">
        <v>5.0</v>
      </c>
      <c r="AC143" s="223">
        <v>5.0</v>
      </c>
      <c r="AD143" s="223">
        <v>5.0</v>
      </c>
      <c r="AE143" s="223">
        <v>5.0</v>
      </c>
      <c r="AF143" s="223">
        <v>5.0</v>
      </c>
      <c r="AG143" s="223">
        <v>5.0</v>
      </c>
      <c r="AH143" s="223">
        <v>5.0</v>
      </c>
      <c r="AI143" s="223">
        <v>5.0</v>
      </c>
      <c r="AJ143" s="223">
        <v>5.0</v>
      </c>
      <c r="AK143" s="223">
        <v>5.0</v>
      </c>
      <c r="AL143" s="223">
        <v>5.0</v>
      </c>
      <c r="AM143" s="223">
        <v>5.0</v>
      </c>
      <c r="AN143" s="223">
        <v>5.0</v>
      </c>
      <c r="AO143" s="223">
        <v>5.0</v>
      </c>
      <c r="AP143" s="223">
        <v>5.0</v>
      </c>
      <c r="AQ143" s="223">
        <v>5.0</v>
      </c>
      <c r="AR143" s="223">
        <v>5.0</v>
      </c>
      <c r="AS143" s="223">
        <v>5.0</v>
      </c>
      <c r="AT143" s="223">
        <v>5.0</v>
      </c>
      <c r="AU143" s="223">
        <v>5.0</v>
      </c>
      <c r="AV143" s="223">
        <v>5.0</v>
      </c>
      <c r="AW143" s="90" t="s">
        <v>1193</v>
      </c>
      <c r="AX143" s="90"/>
      <c r="AY143" s="90"/>
      <c r="AZ143" s="90"/>
      <c r="BA143" s="90"/>
      <c r="BB143" s="90"/>
      <c r="BC143" s="90"/>
      <c r="BD143" s="90"/>
      <c r="BE143" s="90"/>
      <c r="BF143" s="90"/>
      <c r="BG143" s="90"/>
    </row>
    <row r="144" ht="12.75" hidden="1" customHeight="1" outlineLevel="1">
      <c r="A144" s="316"/>
      <c r="B144" s="195"/>
      <c r="C144" s="90"/>
      <c r="D144" s="90" t="s">
        <v>707</v>
      </c>
      <c r="E144" s="90"/>
      <c r="F144" s="90"/>
      <c r="G144" s="527"/>
      <c r="H144" s="527"/>
      <c r="I144" s="527"/>
      <c r="J144" s="527">
        <v>0.0</v>
      </c>
      <c r="K144" s="532">
        <f t="shared" ref="K144:N144" si="97">K134-K143</f>
        <v>9</v>
      </c>
      <c r="L144" s="533">
        <f t="shared" si="97"/>
        <v>7</v>
      </c>
      <c r="M144" s="533">
        <f t="shared" si="97"/>
        <v>8</v>
      </c>
      <c r="N144" s="534">
        <f t="shared" si="97"/>
        <v>8</v>
      </c>
      <c r="O144" s="223">
        <v>7.0</v>
      </c>
      <c r="P144" s="223">
        <v>7.0</v>
      </c>
      <c r="Q144" s="223">
        <v>5.0</v>
      </c>
      <c r="R144" s="223">
        <v>5.0</v>
      </c>
      <c r="S144" s="223">
        <v>5.0</v>
      </c>
      <c r="T144" s="223">
        <v>5.0</v>
      </c>
      <c r="U144" s="223">
        <v>5.0</v>
      </c>
      <c r="V144" s="223">
        <v>5.0</v>
      </c>
      <c r="W144" s="223">
        <v>5.0</v>
      </c>
      <c r="X144" s="223">
        <v>5.0</v>
      </c>
      <c r="Y144" s="223">
        <v>5.0</v>
      </c>
      <c r="Z144" s="223">
        <v>5.0</v>
      </c>
      <c r="AA144" s="223">
        <v>5.0</v>
      </c>
      <c r="AB144" s="223">
        <v>5.0</v>
      </c>
      <c r="AC144" s="223">
        <v>5.0</v>
      </c>
      <c r="AD144" s="223">
        <v>5.0</v>
      </c>
      <c r="AE144" s="223">
        <v>5.0</v>
      </c>
      <c r="AF144" s="223">
        <v>5.0</v>
      </c>
      <c r="AG144" s="223">
        <v>5.0</v>
      </c>
      <c r="AH144" s="223">
        <v>5.0</v>
      </c>
      <c r="AI144" s="223">
        <v>5.0</v>
      </c>
      <c r="AJ144" s="223">
        <v>5.0</v>
      </c>
      <c r="AK144" s="223">
        <v>5.0</v>
      </c>
      <c r="AL144" s="223">
        <v>5.0</v>
      </c>
      <c r="AM144" s="223">
        <v>5.0</v>
      </c>
      <c r="AN144" s="223">
        <v>5.0</v>
      </c>
      <c r="AO144" s="223">
        <v>5.0</v>
      </c>
      <c r="AP144" s="223">
        <v>5.0</v>
      </c>
      <c r="AQ144" s="223">
        <v>5.0</v>
      </c>
      <c r="AR144" s="223">
        <v>5.0</v>
      </c>
      <c r="AS144" s="223">
        <v>5.0</v>
      </c>
      <c r="AT144" s="223">
        <v>5.0</v>
      </c>
      <c r="AU144" s="223">
        <v>5.0</v>
      </c>
      <c r="AV144" s="223">
        <v>5.0</v>
      </c>
      <c r="AW144" s="90" t="s">
        <v>1194</v>
      </c>
      <c r="AX144" s="90"/>
      <c r="AY144" s="90"/>
      <c r="AZ144" s="90"/>
      <c r="BA144" s="90"/>
      <c r="BB144" s="90"/>
      <c r="BC144" s="90"/>
      <c r="BD144" s="90"/>
      <c r="BE144" s="90"/>
      <c r="BF144" s="90"/>
      <c r="BG144" s="90"/>
    </row>
    <row r="145" ht="12.75" hidden="1" customHeight="1" outlineLevel="1">
      <c r="A145" s="316"/>
      <c r="B145" s="195"/>
      <c r="C145" s="90"/>
      <c r="D145" s="90" t="s">
        <v>708</v>
      </c>
      <c r="E145" s="90"/>
      <c r="F145" s="90"/>
      <c r="G145" s="527"/>
      <c r="H145" s="527"/>
      <c r="I145" s="527"/>
      <c r="J145" s="527">
        <v>0.0</v>
      </c>
      <c r="K145" s="527">
        <v>0.0</v>
      </c>
      <c r="L145" s="527">
        <v>0.0</v>
      </c>
      <c r="M145" s="223">
        <f t="shared" ref="M145:AV145" si="98">L145</f>
        <v>0</v>
      </c>
      <c r="N145" s="223">
        <f t="shared" si="98"/>
        <v>0</v>
      </c>
      <c r="O145" s="223">
        <f t="shared" si="98"/>
        <v>0</v>
      </c>
      <c r="P145" s="223">
        <f t="shared" si="98"/>
        <v>0</v>
      </c>
      <c r="Q145" s="223">
        <f t="shared" si="98"/>
        <v>0</v>
      </c>
      <c r="R145" s="223">
        <f t="shared" si="98"/>
        <v>0</v>
      </c>
      <c r="S145" s="223">
        <f t="shared" si="98"/>
        <v>0</v>
      </c>
      <c r="T145" s="223">
        <f t="shared" si="98"/>
        <v>0</v>
      </c>
      <c r="U145" s="223">
        <f t="shared" si="98"/>
        <v>0</v>
      </c>
      <c r="V145" s="223">
        <f t="shared" si="98"/>
        <v>0</v>
      </c>
      <c r="W145" s="223">
        <f t="shared" si="98"/>
        <v>0</v>
      </c>
      <c r="X145" s="223">
        <f t="shared" si="98"/>
        <v>0</v>
      </c>
      <c r="Y145" s="223">
        <f t="shared" si="98"/>
        <v>0</v>
      </c>
      <c r="Z145" s="223">
        <f t="shared" si="98"/>
        <v>0</v>
      </c>
      <c r="AA145" s="223">
        <f t="shared" si="98"/>
        <v>0</v>
      </c>
      <c r="AB145" s="223">
        <f t="shared" si="98"/>
        <v>0</v>
      </c>
      <c r="AC145" s="223">
        <f t="shared" si="98"/>
        <v>0</v>
      </c>
      <c r="AD145" s="223">
        <f t="shared" si="98"/>
        <v>0</v>
      </c>
      <c r="AE145" s="223">
        <f t="shared" si="98"/>
        <v>0</v>
      </c>
      <c r="AF145" s="223">
        <f t="shared" si="98"/>
        <v>0</v>
      </c>
      <c r="AG145" s="223">
        <f t="shared" si="98"/>
        <v>0</v>
      </c>
      <c r="AH145" s="223">
        <f t="shared" si="98"/>
        <v>0</v>
      </c>
      <c r="AI145" s="223">
        <f t="shared" si="98"/>
        <v>0</v>
      </c>
      <c r="AJ145" s="223">
        <f t="shared" si="98"/>
        <v>0</v>
      </c>
      <c r="AK145" s="223">
        <f t="shared" si="98"/>
        <v>0</v>
      </c>
      <c r="AL145" s="223">
        <f t="shared" si="98"/>
        <v>0</v>
      </c>
      <c r="AM145" s="223">
        <f t="shared" si="98"/>
        <v>0</v>
      </c>
      <c r="AN145" s="223">
        <f t="shared" si="98"/>
        <v>0</v>
      </c>
      <c r="AO145" s="223">
        <f t="shared" si="98"/>
        <v>0</v>
      </c>
      <c r="AP145" s="223">
        <f t="shared" si="98"/>
        <v>0</v>
      </c>
      <c r="AQ145" s="223">
        <f t="shared" si="98"/>
        <v>0</v>
      </c>
      <c r="AR145" s="223">
        <f t="shared" si="98"/>
        <v>0</v>
      </c>
      <c r="AS145" s="223">
        <f t="shared" si="98"/>
        <v>0</v>
      </c>
      <c r="AT145" s="223">
        <f t="shared" si="98"/>
        <v>0</v>
      </c>
      <c r="AU145" s="223">
        <f t="shared" si="98"/>
        <v>0</v>
      </c>
      <c r="AV145" s="223">
        <f t="shared" si="98"/>
        <v>0</v>
      </c>
      <c r="AW145" s="90" t="s">
        <v>1195</v>
      </c>
      <c r="AX145" s="90"/>
      <c r="AY145" s="90"/>
      <c r="AZ145" s="90"/>
      <c r="BA145" s="90"/>
      <c r="BB145" s="90"/>
      <c r="BC145" s="90"/>
      <c r="BD145" s="90"/>
      <c r="BE145" s="90"/>
      <c r="BF145" s="90"/>
      <c r="BG145" s="90"/>
    </row>
    <row r="146" ht="12.75" hidden="1" customHeight="1" outlineLevel="1">
      <c r="A146" s="316"/>
      <c r="B146" s="195"/>
      <c r="C146" s="148" t="s">
        <v>709</v>
      </c>
      <c r="D146" s="148"/>
      <c r="E146" s="148"/>
      <c r="F146" s="148"/>
      <c r="G146" s="364"/>
      <c r="H146" s="364"/>
      <c r="I146" s="364"/>
      <c r="J146" s="364">
        <f t="shared" ref="J146:AV146" si="99">SUM(J143:J145)</f>
        <v>0</v>
      </c>
      <c r="K146" s="364">
        <f t="shared" si="99"/>
        <v>13</v>
      </c>
      <c r="L146" s="364">
        <f t="shared" si="99"/>
        <v>15</v>
      </c>
      <c r="M146" s="364">
        <f t="shared" si="99"/>
        <v>16</v>
      </c>
      <c r="N146" s="364">
        <f t="shared" si="99"/>
        <v>16</v>
      </c>
      <c r="O146" s="364">
        <f t="shared" si="99"/>
        <v>14</v>
      </c>
      <c r="P146" s="364">
        <f t="shared" si="99"/>
        <v>14</v>
      </c>
      <c r="Q146" s="364">
        <f t="shared" si="99"/>
        <v>10</v>
      </c>
      <c r="R146" s="364">
        <f t="shared" si="99"/>
        <v>10</v>
      </c>
      <c r="S146" s="364">
        <f t="shared" si="99"/>
        <v>10</v>
      </c>
      <c r="T146" s="364">
        <f t="shared" si="99"/>
        <v>10</v>
      </c>
      <c r="U146" s="364">
        <f t="shared" si="99"/>
        <v>10</v>
      </c>
      <c r="V146" s="364">
        <f t="shared" si="99"/>
        <v>10</v>
      </c>
      <c r="W146" s="364">
        <f t="shared" si="99"/>
        <v>10</v>
      </c>
      <c r="X146" s="364">
        <f t="shared" si="99"/>
        <v>10</v>
      </c>
      <c r="Y146" s="364">
        <f t="shared" si="99"/>
        <v>10</v>
      </c>
      <c r="Z146" s="364">
        <f t="shared" si="99"/>
        <v>10</v>
      </c>
      <c r="AA146" s="364">
        <f t="shared" si="99"/>
        <v>10</v>
      </c>
      <c r="AB146" s="364">
        <f t="shared" si="99"/>
        <v>10</v>
      </c>
      <c r="AC146" s="364">
        <f t="shared" si="99"/>
        <v>10</v>
      </c>
      <c r="AD146" s="364">
        <f t="shared" si="99"/>
        <v>10</v>
      </c>
      <c r="AE146" s="364">
        <f t="shared" si="99"/>
        <v>10</v>
      </c>
      <c r="AF146" s="364">
        <f t="shared" si="99"/>
        <v>10</v>
      </c>
      <c r="AG146" s="364">
        <f t="shared" si="99"/>
        <v>10</v>
      </c>
      <c r="AH146" s="364">
        <f t="shared" si="99"/>
        <v>10</v>
      </c>
      <c r="AI146" s="364">
        <f t="shared" si="99"/>
        <v>10</v>
      </c>
      <c r="AJ146" s="364">
        <f t="shared" si="99"/>
        <v>10</v>
      </c>
      <c r="AK146" s="364">
        <f t="shared" si="99"/>
        <v>10</v>
      </c>
      <c r="AL146" s="364">
        <f t="shared" si="99"/>
        <v>10</v>
      </c>
      <c r="AM146" s="364">
        <f t="shared" si="99"/>
        <v>10</v>
      </c>
      <c r="AN146" s="364">
        <f t="shared" si="99"/>
        <v>10</v>
      </c>
      <c r="AO146" s="364">
        <f t="shared" si="99"/>
        <v>10</v>
      </c>
      <c r="AP146" s="364">
        <f t="shared" si="99"/>
        <v>10</v>
      </c>
      <c r="AQ146" s="364">
        <f t="shared" si="99"/>
        <v>10</v>
      </c>
      <c r="AR146" s="364">
        <f t="shared" si="99"/>
        <v>10</v>
      </c>
      <c r="AS146" s="364">
        <f t="shared" si="99"/>
        <v>10</v>
      </c>
      <c r="AT146" s="364">
        <f t="shared" si="99"/>
        <v>10</v>
      </c>
      <c r="AU146" s="364">
        <f t="shared" si="99"/>
        <v>10</v>
      </c>
      <c r="AV146" s="364">
        <f t="shared" si="99"/>
        <v>10</v>
      </c>
      <c r="AW146" s="90"/>
      <c r="AX146" s="90"/>
      <c r="AY146" s="90"/>
      <c r="AZ146" s="90"/>
      <c r="BA146" s="90"/>
      <c r="BB146" s="90"/>
      <c r="BC146" s="90"/>
      <c r="BD146" s="90"/>
      <c r="BE146" s="90"/>
      <c r="BF146" s="90"/>
      <c r="BG146" s="90"/>
    </row>
    <row r="147" ht="12.75" hidden="1" customHeight="1" outlineLevel="1">
      <c r="A147" s="316"/>
      <c r="B147" s="195"/>
      <c r="C147" s="90"/>
      <c r="D147" s="90"/>
      <c r="E147" s="90"/>
      <c r="F147" s="90"/>
      <c r="G147" s="223"/>
      <c r="H147" s="223"/>
      <c r="I147" s="223"/>
      <c r="J147" s="223"/>
      <c r="K147" s="223"/>
      <c r="L147" s="223"/>
      <c r="M147" s="223"/>
      <c r="N147" s="223"/>
      <c r="O147" s="223"/>
      <c r="P147" s="223"/>
      <c r="Q147" s="223"/>
      <c r="R147" s="223"/>
      <c r="S147" s="223"/>
      <c r="T147" s="223"/>
      <c r="U147" s="223"/>
      <c r="V147" s="223"/>
      <c r="W147" s="223"/>
      <c r="X147" s="223"/>
      <c r="Y147" s="223"/>
      <c r="Z147" s="223"/>
      <c r="AA147" s="223"/>
      <c r="AB147" s="223"/>
      <c r="AC147" s="223"/>
      <c r="AD147" s="223"/>
      <c r="AE147" s="223"/>
      <c r="AF147" s="223"/>
      <c r="AG147" s="223"/>
      <c r="AH147" s="223"/>
      <c r="AI147" s="223"/>
      <c r="AJ147" s="223"/>
      <c r="AK147" s="223"/>
      <c r="AL147" s="223"/>
      <c r="AM147" s="223"/>
      <c r="AN147" s="223"/>
      <c r="AO147" s="223"/>
      <c r="AP147" s="223"/>
      <c r="AQ147" s="223"/>
      <c r="AR147" s="223"/>
      <c r="AS147" s="223"/>
      <c r="AT147" s="223"/>
      <c r="AU147" s="223"/>
      <c r="AV147" s="223"/>
      <c r="AW147" s="90"/>
      <c r="AX147" s="90"/>
      <c r="AY147" s="90"/>
      <c r="AZ147" s="90"/>
      <c r="BA147" s="90"/>
      <c r="BB147" s="90"/>
      <c r="BC147" s="90"/>
      <c r="BD147" s="90"/>
      <c r="BE147" s="90"/>
      <c r="BF147" s="90"/>
      <c r="BG147" s="90"/>
    </row>
    <row r="148" ht="12.75" hidden="1" customHeight="1" outlineLevel="1">
      <c r="A148" s="316"/>
      <c r="B148" s="195"/>
      <c r="C148" s="90" t="s">
        <v>710</v>
      </c>
      <c r="D148" s="90"/>
      <c r="E148" s="90"/>
      <c r="F148" s="90"/>
      <c r="G148" s="223"/>
      <c r="H148" s="223"/>
      <c r="I148" s="223"/>
      <c r="J148" s="223"/>
      <c r="K148" s="223"/>
      <c r="L148" s="223"/>
      <c r="M148" s="223"/>
      <c r="N148" s="223"/>
      <c r="O148" s="223"/>
      <c r="P148" s="223"/>
      <c r="Q148" s="223"/>
      <c r="R148" s="223"/>
      <c r="S148" s="223"/>
      <c r="T148" s="223"/>
      <c r="U148" s="223"/>
      <c r="V148" s="223"/>
      <c r="W148" s="223"/>
      <c r="X148" s="223"/>
      <c r="Y148" s="223"/>
      <c r="Z148" s="223"/>
      <c r="AA148" s="223"/>
      <c r="AB148" s="223"/>
      <c r="AC148" s="223"/>
      <c r="AD148" s="223"/>
      <c r="AE148" s="223"/>
      <c r="AF148" s="223"/>
      <c r="AG148" s="223"/>
      <c r="AH148" s="223"/>
      <c r="AI148" s="223"/>
      <c r="AJ148" s="223"/>
      <c r="AK148" s="223"/>
      <c r="AL148" s="223"/>
      <c r="AM148" s="223"/>
      <c r="AN148" s="223"/>
      <c r="AO148" s="223"/>
      <c r="AP148" s="223"/>
      <c r="AQ148" s="223"/>
      <c r="AR148" s="223"/>
      <c r="AS148" s="223"/>
      <c r="AT148" s="223"/>
      <c r="AU148" s="223"/>
      <c r="AV148" s="223"/>
      <c r="AW148" s="90"/>
      <c r="AX148" s="90"/>
      <c r="AY148" s="90"/>
      <c r="AZ148" s="90"/>
      <c r="BA148" s="90"/>
      <c r="BB148" s="90"/>
      <c r="BC148" s="90"/>
      <c r="BD148" s="90"/>
      <c r="BE148" s="90"/>
      <c r="BF148" s="90"/>
      <c r="BG148" s="90"/>
    </row>
    <row r="149" ht="12.75" hidden="1" customHeight="1" outlineLevel="1">
      <c r="A149" s="316"/>
      <c r="B149" s="195"/>
      <c r="C149" s="90"/>
      <c r="D149" s="90" t="s">
        <v>711</v>
      </c>
      <c r="E149" s="90"/>
      <c r="F149" s="90"/>
      <c r="G149" s="527"/>
      <c r="H149" s="527"/>
      <c r="I149" s="527"/>
      <c r="J149" s="527">
        <v>0.5</v>
      </c>
      <c r="K149" s="527">
        <v>1.0</v>
      </c>
      <c r="L149" s="223">
        <f t="shared" ref="L149:AV149" si="100">K149</f>
        <v>1</v>
      </c>
      <c r="M149" s="223">
        <f t="shared" si="100"/>
        <v>1</v>
      </c>
      <c r="N149" s="223">
        <f t="shared" si="100"/>
        <v>1</v>
      </c>
      <c r="O149" s="223">
        <f t="shared" si="100"/>
        <v>1</v>
      </c>
      <c r="P149" s="223">
        <f t="shared" si="100"/>
        <v>1</v>
      </c>
      <c r="Q149" s="223">
        <f t="shared" si="100"/>
        <v>1</v>
      </c>
      <c r="R149" s="223">
        <f t="shared" si="100"/>
        <v>1</v>
      </c>
      <c r="S149" s="223">
        <f t="shared" si="100"/>
        <v>1</v>
      </c>
      <c r="T149" s="223">
        <f t="shared" si="100"/>
        <v>1</v>
      </c>
      <c r="U149" s="223">
        <f t="shared" si="100"/>
        <v>1</v>
      </c>
      <c r="V149" s="223">
        <f t="shared" si="100"/>
        <v>1</v>
      </c>
      <c r="W149" s="223">
        <f t="shared" si="100"/>
        <v>1</v>
      </c>
      <c r="X149" s="223">
        <f t="shared" si="100"/>
        <v>1</v>
      </c>
      <c r="Y149" s="223">
        <f t="shared" si="100"/>
        <v>1</v>
      </c>
      <c r="Z149" s="223">
        <f t="shared" si="100"/>
        <v>1</v>
      </c>
      <c r="AA149" s="223">
        <f t="shared" si="100"/>
        <v>1</v>
      </c>
      <c r="AB149" s="223">
        <f t="shared" si="100"/>
        <v>1</v>
      </c>
      <c r="AC149" s="223">
        <f t="shared" si="100"/>
        <v>1</v>
      </c>
      <c r="AD149" s="223">
        <f t="shared" si="100"/>
        <v>1</v>
      </c>
      <c r="AE149" s="223">
        <f t="shared" si="100"/>
        <v>1</v>
      </c>
      <c r="AF149" s="223">
        <f t="shared" si="100"/>
        <v>1</v>
      </c>
      <c r="AG149" s="223">
        <f t="shared" si="100"/>
        <v>1</v>
      </c>
      <c r="AH149" s="223">
        <f t="shared" si="100"/>
        <v>1</v>
      </c>
      <c r="AI149" s="223">
        <f t="shared" si="100"/>
        <v>1</v>
      </c>
      <c r="AJ149" s="223">
        <f t="shared" si="100"/>
        <v>1</v>
      </c>
      <c r="AK149" s="223">
        <f t="shared" si="100"/>
        <v>1</v>
      </c>
      <c r="AL149" s="223">
        <f t="shared" si="100"/>
        <v>1</v>
      </c>
      <c r="AM149" s="223">
        <f t="shared" si="100"/>
        <v>1</v>
      </c>
      <c r="AN149" s="223">
        <f t="shared" si="100"/>
        <v>1</v>
      </c>
      <c r="AO149" s="223">
        <f t="shared" si="100"/>
        <v>1</v>
      </c>
      <c r="AP149" s="223">
        <f t="shared" si="100"/>
        <v>1</v>
      </c>
      <c r="AQ149" s="223">
        <f t="shared" si="100"/>
        <v>1</v>
      </c>
      <c r="AR149" s="223">
        <f t="shared" si="100"/>
        <v>1</v>
      </c>
      <c r="AS149" s="223">
        <f t="shared" si="100"/>
        <v>1</v>
      </c>
      <c r="AT149" s="223">
        <f t="shared" si="100"/>
        <v>1</v>
      </c>
      <c r="AU149" s="223">
        <f t="shared" si="100"/>
        <v>1</v>
      </c>
      <c r="AV149" s="223">
        <f t="shared" si="100"/>
        <v>1</v>
      </c>
      <c r="AW149" s="90"/>
      <c r="AX149" s="90"/>
      <c r="AY149" s="90"/>
      <c r="AZ149" s="90"/>
      <c r="BA149" s="90"/>
      <c r="BB149" s="90"/>
      <c r="BC149" s="90"/>
      <c r="BD149" s="90"/>
      <c r="BE149" s="90"/>
      <c r="BF149" s="90"/>
      <c r="BG149" s="90"/>
    </row>
    <row r="150" ht="12.75" hidden="1" customHeight="1" outlineLevel="1">
      <c r="A150" s="316"/>
      <c r="B150" s="195"/>
      <c r="C150" s="90"/>
      <c r="D150" s="90" t="s">
        <v>712</v>
      </c>
      <c r="E150" s="90"/>
      <c r="F150" s="90"/>
      <c r="G150" s="527"/>
      <c r="H150" s="527"/>
      <c r="I150" s="527"/>
      <c r="J150" s="527">
        <v>0.0</v>
      </c>
      <c r="K150" s="527">
        <f>'RSGen 1-7'!I152</f>
        <v>2</v>
      </c>
      <c r="L150" s="223">
        <f t="shared" ref="L150:AV150" si="101">K150</f>
        <v>2</v>
      </c>
      <c r="M150" s="223">
        <f t="shared" si="101"/>
        <v>2</v>
      </c>
      <c r="N150" s="223">
        <f t="shared" si="101"/>
        <v>2</v>
      </c>
      <c r="O150" s="223">
        <f t="shared" si="101"/>
        <v>2</v>
      </c>
      <c r="P150" s="223">
        <f t="shared" si="101"/>
        <v>2</v>
      </c>
      <c r="Q150" s="223">
        <f t="shared" si="101"/>
        <v>2</v>
      </c>
      <c r="R150" s="223">
        <f t="shared" si="101"/>
        <v>2</v>
      </c>
      <c r="S150" s="223">
        <f t="shared" si="101"/>
        <v>2</v>
      </c>
      <c r="T150" s="223">
        <f t="shared" si="101"/>
        <v>2</v>
      </c>
      <c r="U150" s="223">
        <f t="shared" si="101"/>
        <v>2</v>
      </c>
      <c r="V150" s="223">
        <f t="shared" si="101"/>
        <v>2</v>
      </c>
      <c r="W150" s="223">
        <f t="shared" si="101"/>
        <v>2</v>
      </c>
      <c r="X150" s="223">
        <f t="shared" si="101"/>
        <v>2</v>
      </c>
      <c r="Y150" s="223">
        <f t="shared" si="101"/>
        <v>2</v>
      </c>
      <c r="Z150" s="223">
        <f t="shared" si="101"/>
        <v>2</v>
      </c>
      <c r="AA150" s="223">
        <f t="shared" si="101"/>
        <v>2</v>
      </c>
      <c r="AB150" s="223">
        <f t="shared" si="101"/>
        <v>2</v>
      </c>
      <c r="AC150" s="223">
        <f t="shared" si="101"/>
        <v>2</v>
      </c>
      <c r="AD150" s="223">
        <f t="shared" si="101"/>
        <v>2</v>
      </c>
      <c r="AE150" s="223">
        <f t="shared" si="101"/>
        <v>2</v>
      </c>
      <c r="AF150" s="223">
        <f t="shared" si="101"/>
        <v>2</v>
      </c>
      <c r="AG150" s="223">
        <f t="shared" si="101"/>
        <v>2</v>
      </c>
      <c r="AH150" s="223">
        <f t="shared" si="101"/>
        <v>2</v>
      </c>
      <c r="AI150" s="223">
        <f t="shared" si="101"/>
        <v>2</v>
      </c>
      <c r="AJ150" s="223">
        <f t="shared" si="101"/>
        <v>2</v>
      </c>
      <c r="AK150" s="223">
        <f t="shared" si="101"/>
        <v>2</v>
      </c>
      <c r="AL150" s="223">
        <f t="shared" si="101"/>
        <v>2</v>
      </c>
      <c r="AM150" s="223">
        <f t="shared" si="101"/>
        <v>2</v>
      </c>
      <c r="AN150" s="223">
        <f t="shared" si="101"/>
        <v>2</v>
      </c>
      <c r="AO150" s="223">
        <f t="shared" si="101"/>
        <v>2</v>
      </c>
      <c r="AP150" s="223">
        <f t="shared" si="101"/>
        <v>2</v>
      </c>
      <c r="AQ150" s="223">
        <f t="shared" si="101"/>
        <v>2</v>
      </c>
      <c r="AR150" s="223">
        <f t="shared" si="101"/>
        <v>2</v>
      </c>
      <c r="AS150" s="223">
        <f t="shared" si="101"/>
        <v>2</v>
      </c>
      <c r="AT150" s="223">
        <f t="shared" si="101"/>
        <v>2</v>
      </c>
      <c r="AU150" s="223">
        <f t="shared" si="101"/>
        <v>2</v>
      </c>
      <c r="AV150" s="223">
        <f t="shared" si="101"/>
        <v>2</v>
      </c>
      <c r="AW150" s="90"/>
      <c r="AX150" s="90"/>
      <c r="AY150" s="90"/>
      <c r="AZ150" s="90"/>
      <c r="BA150" s="90"/>
      <c r="BB150" s="90"/>
      <c r="BC150" s="90"/>
      <c r="BD150" s="90"/>
      <c r="BE150" s="90"/>
      <c r="BF150" s="90"/>
      <c r="BG150" s="90"/>
    </row>
    <row r="151" ht="12.75" hidden="1" customHeight="1" outlineLevel="1">
      <c r="A151" s="316"/>
      <c r="B151" s="195"/>
      <c r="C151" s="90"/>
      <c r="D151" s="90" t="s">
        <v>713</v>
      </c>
      <c r="E151" s="90"/>
      <c r="F151" s="90"/>
      <c r="G151" s="527"/>
      <c r="H151" s="527"/>
      <c r="I151" s="527"/>
      <c r="J151" s="527" t="str">
        <f t="shared" ref="J151:J152" si="103">I151</f>
        <v/>
      </c>
      <c r="K151" s="223">
        <f>'RSGen 1-7'!I153</f>
        <v>1.5</v>
      </c>
      <c r="L151" s="223">
        <f t="shared" ref="L151:AV151" si="102">K151</f>
        <v>1.5</v>
      </c>
      <c r="M151" s="223">
        <f t="shared" si="102"/>
        <v>1.5</v>
      </c>
      <c r="N151" s="223">
        <f t="shared" si="102"/>
        <v>1.5</v>
      </c>
      <c r="O151" s="223">
        <f t="shared" si="102"/>
        <v>1.5</v>
      </c>
      <c r="P151" s="223">
        <f t="shared" si="102"/>
        <v>1.5</v>
      </c>
      <c r="Q151" s="223">
        <f t="shared" si="102"/>
        <v>1.5</v>
      </c>
      <c r="R151" s="223">
        <f t="shared" si="102"/>
        <v>1.5</v>
      </c>
      <c r="S151" s="223">
        <f t="shared" si="102"/>
        <v>1.5</v>
      </c>
      <c r="T151" s="223">
        <f t="shared" si="102"/>
        <v>1.5</v>
      </c>
      <c r="U151" s="223">
        <f t="shared" si="102"/>
        <v>1.5</v>
      </c>
      <c r="V151" s="223">
        <f t="shared" si="102"/>
        <v>1.5</v>
      </c>
      <c r="W151" s="223">
        <f t="shared" si="102"/>
        <v>1.5</v>
      </c>
      <c r="X151" s="223">
        <f t="shared" si="102"/>
        <v>1.5</v>
      </c>
      <c r="Y151" s="223">
        <f t="shared" si="102"/>
        <v>1.5</v>
      </c>
      <c r="Z151" s="223">
        <f t="shared" si="102"/>
        <v>1.5</v>
      </c>
      <c r="AA151" s="223">
        <f t="shared" si="102"/>
        <v>1.5</v>
      </c>
      <c r="AB151" s="223">
        <f t="shared" si="102"/>
        <v>1.5</v>
      </c>
      <c r="AC151" s="223">
        <f t="shared" si="102"/>
        <v>1.5</v>
      </c>
      <c r="AD151" s="223">
        <f t="shared" si="102"/>
        <v>1.5</v>
      </c>
      <c r="AE151" s="223">
        <f t="shared" si="102"/>
        <v>1.5</v>
      </c>
      <c r="AF151" s="223">
        <f t="shared" si="102"/>
        <v>1.5</v>
      </c>
      <c r="AG151" s="223">
        <f t="shared" si="102"/>
        <v>1.5</v>
      </c>
      <c r="AH151" s="223">
        <f t="shared" si="102"/>
        <v>1.5</v>
      </c>
      <c r="AI151" s="223">
        <f t="shared" si="102"/>
        <v>1.5</v>
      </c>
      <c r="AJ151" s="223">
        <f t="shared" si="102"/>
        <v>1.5</v>
      </c>
      <c r="AK151" s="223">
        <f t="shared" si="102"/>
        <v>1.5</v>
      </c>
      <c r="AL151" s="223">
        <f t="shared" si="102"/>
        <v>1.5</v>
      </c>
      <c r="AM151" s="223">
        <f t="shared" si="102"/>
        <v>1.5</v>
      </c>
      <c r="AN151" s="223">
        <f t="shared" si="102"/>
        <v>1.5</v>
      </c>
      <c r="AO151" s="223">
        <f t="shared" si="102"/>
        <v>1.5</v>
      </c>
      <c r="AP151" s="223">
        <f t="shared" si="102"/>
        <v>1.5</v>
      </c>
      <c r="AQ151" s="223">
        <f t="shared" si="102"/>
        <v>1.5</v>
      </c>
      <c r="AR151" s="223">
        <f t="shared" si="102"/>
        <v>1.5</v>
      </c>
      <c r="AS151" s="223">
        <f t="shared" si="102"/>
        <v>1.5</v>
      </c>
      <c r="AT151" s="223">
        <f t="shared" si="102"/>
        <v>1.5</v>
      </c>
      <c r="AU151" s="223">
        <f t="shared" si="102"/>
        <v>1.5</v>
      </c>
      <c r="AV151" s="223">
        <f t="shared" si="102"/>
        <v>1.5</v>
      </c>
      <c r="AW151" s="90" t="s">
        <v>1196</v>
      </c>
      <c r="AX151" s="90"/>
      <c r="AY151" s="90"/>
      <c r="AZ151" s="90"/>
      <c r="BA151" s="90"/>
      <c r="BB151" s="90"/>
      <c r="BC151" s="90"/>
      <c r="BD151" s="90"/>
      <c r="BE151" s="90"/>
      <c r="BF151" s="90"/>
      <c r="BG151" s="90"/>
    </row>
    <row r="152" ht="12.75" hidden="1" customHeight="1" outlineLevel="1">
      <c r="A152" s="316"/>
      <c r="B152" s="195"/>
      <c r="C152" s="87"/>
      <c r="D152" s="87" t="s">
        <v>714</v>
      </c>
      <c r="E152" s="87"/>
      <c r="F152" s="87"/>
      <c r="G152" s="528"/>
      <c r="H152" s="528"/>
      <c r="I152" s="528"/>
      <c r="J152" s="528" t="str">
        <f t="shared" si="103"/>
        <v/>
      </c>
      <c r="K152" s="367">
        <f>'RSGen 1-7'!I154</f>
        <v>2.75</v>
      </c>
      <c r="L152" s="367">
        <f t="shared" ref="L152:AV152" si="104">K152</f>
        <v>2.75</v>
      </c>
      <c r="M152" s="367">
        <f t="shared" si="104"/>
        <v>2.75</v>
      </c>
      <c r="N152" s="367">
        <f t="shared" si="104"/>
        <v>2.75</v>
      </c>
      <c r="O152" s="367">
        <f t="shared" si="104"/>
        <v>2.75</v>
      </c>
      <c r="P152" s="367">
        <f t="shared" si="104"/>
        <v>2.75</v>
      </c>
      <c r="Q152" s="367">
        <f t="shared" si="104"/>
        <v>2.75</v>
      </c>
      <c r="R152" s="367">
        <f t="shared" si="104"/>
        <v>2.75</v>
      </c>
      <c r="S152" s="367">
        <f t="shared" si="104"/>
        <v>2.75</v>
      </c>
      <c r="T152" s="367">
        <f t="shared" si="104"/>
        <v>2.75</v>
      </c>
      <c r="U152" s="367">
        <f t="shared" si="104"/>
        <v>2.75</v>
      </c>
      <c r="V152" s="367">
        <f t="shared" si="104"/>
        <v>2.75</v>
      </c>
      <c r="W152" s="367">
        <f t="shared" si="104"/>
        <v>2.75</v>
      </c>
      <c r="X152" s="367">
        <f t="shared" si="104"/>
        <v>2.75</v>
      </c>
      <c r="Y152" s="367">
        <f t="shared" si="104"/>
        <v>2.75</v>
      </c>
      <c r="Z152" s="367">
        <f t="shared" si="104"/>
        <v>2.75</v>
      </c>
      <c r="AA152" s="367">
        <f t="shared" si="104"/>
        <v>2.75</v>
      </c>
      <c r="AB152" s="367">
        <f t="shared" si="104"/>
        <v>2.75</v>
      </c>
      <c r="AC152" s="367">
        <f t="shared" si="104"/>
        <v>2.75</v>
      </c>
      <c r="AD152" s="367">
        <f t="shared" si="104"/>
        <v>2.75</v>
      </c>
      <c r="AE152" s="367">
        <f t="shared" si="104"/>
        <v>2.75</v>
      </c>
      <c r="AF152" s="367">
        <f t="shared" si="104"/>
        <v>2.75</v>
      </c>
      <c r="AG152" s="367">
        <f t="shared" si="104"/>
        <v>2.75</v>
      </c>
      <c r="AH152" s="367">
        <f t="shared" si="104"/>
        <v>2.75</v>
      </c>
      <c r="AI152" s="367">
        <f t="shared" si="104"/>
        <v>2.75</v>
      </c>
      <c r="AJ152" s="367">
        <f t="shared" si="104"/>
        <v>2.75</v>
      </c>
      <c r="AK152" s="367">
        <f t="shared" si="104"/>
        <v>2.75</v>
      </c>
      <c r="AL152" s="367">
        <f t="shared" si="104"/>
        <v>2.75</v>
      </c>
      <c r="AM152" s="367">
        <f t="shared" si="104"/>
        <v>2.75</v>
      </c>
      <c r="AN152" s="367">
        <f t="shared" si="104"/>
        <v>2.75</v>
      </c>
      <c r="AO152" s="367">
        <f t="shared" si="104"/>
        <v>2.75</v>
      </c>
      <c r="AP152" s="367">
        <f t="shared" si="104"/>
        <v>2.75</v>
      </c>
      <c r="AQ152" s="367">
        <f t="shared" si="104"/>
        <v>2.75</v>
      </c>
      <c r="AR152" s="367">
        <f t="shared" si="104"/>
        <v>2.75</v>
      </c>
      <c r="AS152" s="367">
        <f t="shared" si="104"/>
        <v>2.75</v>
      </c>
      <c r="AT152" s="367">
        <f t="shared" si="104"/>
        <v>2.75</v>
      </c>
      <c r="AU152" s="367">
        <f t="shared" si="104"/>
        <v>2.75</v>
      </c>
      <c r="AV152" s="367">
        <f t="shared" si="104"/>
        <v>2.75</v>
      </c>
      <c r="AW152" s="90"/>
      <c r="AX152" s="90"/>
      <c r="AY152" s="90"/>
      <c r="AZ152" s="90"/>
      <c r="BA152" s="90"/>
      <c r="BB152" s="90"/>
      <c r="BC152" s="90"/>
      <c r="BD152" s="90"/>
      <c r="BE152" s="90"/>
      <c r="BF152" s="90"/>
      <c r="BG152" s="90"/>
    </row>
    <row r="153" ht="12.75" hidden="1" customHeight="1" outlineLevel="1">
      <c r="A153" s="316"/>
      <c r="B153" s="195"/>
      <c r="C153" s="90" t="s">
        <v>715</v>
      </c>
      <c r="D153" s="90"/>
      <c r="E153" s="90"/>
      <c r="F153" s="90"/>
      <c r="G153" s="223"/>
      <c r="H153" s="223"/>
      <c r="I153" s="223"/>
      <c r="J153" s="223">
        <f t="shared" ref="J153:AV153" si="105">SUM(J148:J152)</f>
        <v>0.5</v>
      </c>
      <c r="K153" s="223">
        <f t="shared" si="105"/>
        <v>7.25</v>
      </c>
      <c r="L153" s="223">
        <f t="shared" si="105"/>
        <v>7.25</v>
      </c>
      <c r="M153" s="223">
        <f t="shared" si="105"/>
        <v>7.25</v>
      </c>
      <c r="N153" s="223">
        <f t="shared" si="105"/>
        <v>7.25</v>
      </c>
      <c r="O153" s="223">
        <f t="shared" si="105"/>
        <v>7.25</v>
      </c>
      <c r="P153" s="223">
        <f t="shared" si="105"/>
        <v>7.25</v>
      </c>
      <c r="Q153" s="223">
        <f t="shared" si="105"/>
        <v>7.25</v>
      </c>
      <c r="R153" s="223">
        <f t="shared" si="105"/>
        <v>7.25</v>
      </c>
      <c r="S153" s="223">
        <f t="shared" si="105"/>
        <v>7.25</v>
      </c>
      <c r="T153" s="223">
        <f t="shared" si="105"/>
        <v>7.25</v>
      </c>
      <c r="U153" s="223">
        <f t="shared" si="105"/>
        <v>7.25</v>
      </c>
      <c r="V153" s="223">
        <f t="shared" si="105"/>
        <v>7.25</v>
      </c>
      <c r="W153" s="223">
        <f t="shared" si="105"/>
        <v>7.25</v>
      </c>
      <c r="X153" s="223">
        <f t="shared" si="105"/>
        <v>7.25</v>
      </c>
      <c r="Y153" s="223">
        <f t="shared" si="105"/>
        <v>7.25</v>
      </c>
      <c r="Z153" s="223">
        <f t="shared" si="105"/>
        <v>7.25</v>
      </c>
      <c r="AA153" s="223">
        <f t="shared" si="105"/>
        <v>7.25</v>
      </c>
      <c r="AB153" s="223">
        <f t="shared" si="105"/>
        <v>7.25</v>
      </c>
      <c r="AC153" s="223">
        <f t="shared" si="105"/>
        <v>7.25</v>
      </c>
      <c r="AD153" s="223">
        <f t="shared" si="105"/>
        <v>7.25</v>
      </c>
      <c r="AE153" s="223">
        <f t="shared" si="105"/>
        <v>7.25</v>
      </c>
      <c r="AF153" s="223">
        <f t="shared" si="105"/>
        <v>7.25</v>
      </c>
      <c r="AG153" s="223">
        <f t="shared" si="105"/>
        <v>7.25</v>
      </c>
      <c r="AH153" s="223">
        <f t="shared" si="105"/>
        <v>7.25</v>
      </c>
      <c r="AI153" s="223">
        <f t="shared" si="105"/>
        <v>7.25</v>
      </c>
      <c r="AJ153" s="223">
        <f t="shared" si="105"/>
        <v>7.25</v>
      </c>
      <c r="AK153" s="223">
        <f t="shared" si="105"/>
        <v>7.25</v>
      </c>
      <c r="AL153" s="223">
        <f t="shared" si="105"/>
        <v>7.25</v>
      </c>
      <c r="AM153" s="223">
        <f t="shared" si="105"/>
        <v>7.25</v>
      </c>
      <c r="AN153" s="223">
        <f t="shared" si="105"/>
        <v>7.25</v>
      </c>
      <c r="AO153" s="223">
        <f t="shared" si="105"/>
        <v>7.25</v>
      </c>
      <c r="AP153" s="223">
        <f t="shared" si="105"/>
        <v>7.25</v>
      </c>
      <c r="AQ153" s="223">
        <f t="shared" si="105"/>
        <v>7.25</v>
      </c>
      <c r="AR153" s="223">
        <f t="shared" si="105"/>
        <v>7.25</v>
      </c>
      <c r="AS153" s="223">
        <f t="shared" si="105"/>
        <v>7.25</v>
      </c>
      <c r="AT153" s="223">
        <f t="shared" si="105"/>
        <v>7.25</v>
      </c>
      <c r="AU153" s="223">
        <f t="shared" si="105"/>
        <v>7.25</v>
      </c>
      <c r="AV153" s="223">
        <f t="shared" si="105"/>
        <v>7.25</v>
      </c>
      <c r="AW153" s="90"/>
      <c r="AX153" s="90"/>
      <c r="AY153" s="90"/>
      <c r="AZ153" s="90"/>
      <c r="BA153" s="90"/>
      <c r="BB153" s="90"/>
      <c r="BC153" s="90"/>
      <c r="BD153" s="90"/>
      <c r="BE153" s="90"/>
      <c r="BF153" s="90"/>
      <c r="BG153" s="90"/>
    </row>
    <row r="154" ht="12.75" hidden="1" customHeight="1" outlineLevel="1">
      <c r="A154" s="316"/>
      <c r="B154" s="195"/>
      <c r="C154" s="90"/>
      <c r="D154" s="90"/>
      <c r="E154" s="90"/>
      <c r="F154" s="90"/>
      <c r="G154" s="223"/>
      <c r="H154" s="223"/>
      <c r="I154" s="223"/>
      <c r="J154" s="223"/>
      <c r="K154" s="223"/>
      <c r="L154" s="223"/>
      <c r="M154" s="223"/>
      <c r="N154" s="223"/>
      <c r="O154" s="223"/>
      <c r="P154" s="223"/>
      <c r="Q154" s="223"/>
      <c r="R154" s="223"/>
      <c r="S154" s="223"/>
      <c r="T154" s="223"/>
      <c r="U154" s="223"/>
      <c r="V154" s="223"/>
      <c r="W154" s="223"/>
      <c r="X154" s="223"/>
      <c r="Y154" s="223"/>
      <c r="Z154" s="223"/>
      <c r="AA154" s="223"/>
      <c r="AB154" s="223"/>
      <c r="AC154" s="223"/>
      <c r="AD154" s="223"/>
      <c r="AE154" s="223"/>
      <c r="AF154" s="223"/>
      <c r="AG154" s="223"/>
      <c r="AH154" s="223"/>
      <c r="AI154" s="223"/>
      <c r="AJ154" s="223"/>
      <c r="AK154" s="223"/>
      <c r="AL154" s="223"/>
      <c r="AM154" s="223"/>
      <c r="AN154" s="223"/>
      <c r="AO154" s="223"/>
      <c r="AP154" s="223"/>
      <c r="AQ154" s="223"/>
      <c r="AR154" s="223"/>
      <c r="AS154" s="223"/>
      <c r="AT154" s="223"/>
      <c r="AU154" s="223"/>
      <c r="AV154" s="223"/>
      <c r="AW154" s="90"/>
      <c r="AX154" s="90"/>
      <c r="AY154" s="90"/>
      <c r="AZ154" s="90"/>
      <c r="BA154" s="90"/>
      <c r="BB154" s="90"/>
      <c r="BC154" s="90"/>
      <c r="BD154" s="90"/>
      <c r="BE154" s="90"/>
      <c r="BF154" s="90"/>
      <c r="BG154" s="90"/>
    </row>
    <row r="155" ht="12.75" hidden="1" customHeight="1" outlineLevel="1">
      <c r="A155" s="316"/>
      <c r="B155" s="195"/>
      <c r="C155" s="90" t="s">
        <v>716</v>
      </c>
      <c r="D155" s="90"/>
      <c r="E155" s="90"/>
      <c r="F155" s="90"/>
      <c r="G155" s="223"/>
      <c r="H155" s="223"/>
      <c r="I155" s="223"/>
      <c r="J155" s="223">
        <f t="shared" ref="J155:AV155" si="106">J140+J146</f>
        <v>0.5</v>
      </c>
      <c r="K155" s="223">
        <f t="shared" si="106"/>
        <v>15</v>
      </c>
      <c r="L155" s="223">
        <f t="shared" si="106"/>
        <v>17</v>
      </c>
      <c r="M155" s="223">
        <f t="shared" si="106"/>
        <v>18</v>
      </c>
      <c r="N155" s="223">
        <f t="shared" si="106"/>
        <v>18</v>
      </c>
      <c r="O155" s="223">
        <f t="shared" si="106"/>
        <v>16</v>
      </c>
      <c r="P155" s="223">
        <f t="shared" si="106"/>
        <v>16</v>
      </c>
      <c r="Q155" s="223">
        <f t="shared" si="106"/>
        <v>12</v>
      </c>
      <c r="R155" s="223">
        <f t="shared" si="106"/>
        <v>12</v>
      </c>
      <c r="S155" s="223">
        <f t="shared" si="106"/>
        <v>12</v>
      </c>
      <c r="T155" s="223">
        <f t="shared" si="106"/>
        <v>12</v>
      </c>
      <c r="U155" s="223">
        <f t="shared" si="106"/>
        <v>12</v>
      </c>
      <c r="V155" s="223">
        <f t="shared" si="106"/>
        <v>12</v>
      </c>
      <c r="W155" s="223">
        <f t="shared" si="106"/>
        <v>12</v>
      </c>
      <c r="X155" s="223">
        <f t="shared" si="106"/>
        <v>12</v>
      </c>
      <c r="Y155" s="223">
        <f t="shared" si="106"/>
        <v>12</v>
      </c>
      <c r="Z155" s="223">
        <f t="shared" si="106"/>
        <v>12</v>
      </c>
      <c r="AA155" s="223">
        <f t="shared" si="106"/>
        <v>12</v>
      </c>
      <c r="AB155" s="223">
        <f t="shared" si="106"/>
        <v>12</v>
      </c>
      <c r="AC155" s="223">
        <f t="shared" si="106"/>
        <v>12</v>
      </c>
      <c r="AD155" s="223">
        <f t="shared" si="106"/>
        <v>12</v>
      </c>
      <c r="AE155" s="223">
        <f t="shared" si="106"/>
        <v>12</v>
      </c>
      <c r="AF155" s="223">
        <f t="shared" si="106"/>
        <v>12</v>
      </c>
      <c r="AG155" s="223">
        <f t="shared" si="106"/>
        <v>12</v>
      </c>
      <c r="AH155" s="223">
        <f t="shared" si="106"/>
        <v>12</v>
      </c>
      <c r="AI155" s="223">
        <f t="shared" si="106"/>
        <v>12</v>
      </c>
      <c r="AJ155" s="223">
        <f t="shared" si="106"/>
        <v>12</v>
      </c>
      <c r="AK155" s="223">
        <f t="shared" si="106"/>
        <v>12</v>
      </c>
      <c r="AL155" s="223">
        <f t="shared" si="106"/>
        <v>12</v>
      </c>
      <c r="AM155" s="223">
        <f t="shared" si="106"/>
        <v>12</v>
      </c>
      <c r="AN155" s="223">
        <f t="shared" si="106"/>
        <v>12</v>
      </c>
      <c r="AO155" s="223">
        <f t="shared" si="106"/>
        <v>12</v>
      </c>
      <c r="AP155" s="223">
        <f t="shared" si="106"/>
        <v>12</v>
      </c>
      <c r="AQ155" s="223">
        <f t="shared" si="106"/>
        <v>12</v>
      </c>
      <c r="AR155" s="223">
        <f t="shared" si="106"/>
        <v>12</v>
      </c>
      <c r="AS155" s="223">
        <f t="shared" si="106"/>
        <v>12</v>
      </c>
      <c r="AT155" s="223">
        <f t="shared" si="106"/>
        <v>12</v>
      </c>
      <c r="AU155" s="223">
        <f t="shared" si="106"/>
        <v>12</v>
      </c>
      <c r="AV155" s="223">
        <f t="shared" si="106"/>
        <v>12</v>
      </c>
      <c r="AW155" s="90" t="s">
        <v>1197</v>
      </c>
      <c r="AX155" s="90"/>
      <c r="AY155" s="90"/>
      <c r="AZ155" s="90"/>
      <c r="BA155" s="90"/>
      <c r="BB155" s="90"/>
      <c r="BC155" s="90"/>
      <c r="BD155" s="90"/>
      <c r="BE155" s="90"/>
      <c r="BF155" s="90"/>
      <c r="BG155" s="90"/>
    </row>
    <row r="156" ht="12.75" hidden="1" customHeight="1" outlineLevel="1">
      <c r="A156" s="316"/>
      <c r="B156" s="195"/>
      <c r="C156" s="87" t="s">
        <v>717</v>
      </c>
      <c r="D156" s="87"/>
      <c r="E156" s="87"/>
      <c r="F156" s="87"/>
      <c r="G156" s="367"/>
      <c r="H156" s="367"/>
      <c r="I156" s="367"/>
      <c r="J156" s="367">
        <f t="shared" ref="J156:AV156" si="107">J153</f>
        <v>0.5</v>
      </c>
      <c r="K156" s="367">
        <f t="shared" si="107"/>
        <v>7.25</v>
      </c>
      <c r="L156" s="367">
        <f t="shared" si="107"/>
        <v>7.25</v>
      </c>
      <c r="M156" s="367">
        <f t="shared" si="107"/>
        <v>7.25</v>
      </c>
      <c r="N156" s="367">
        <f t="shared" si="107"/>
        <v>7.25</v>
      </c>
      <c r="O156" s="367">
        <f t="shared" si="107"/>
        <v>7.25</v>
      </c>
      <c r="P156" s="367">
        <f t="shared" si="107"/>
        <v>7.25</v>
      </c>
      <c r="Q156" s="367">
        <f t="shared" si="107"/>
        <v>7.25</v>
      </c>
      <c r="R156" s="367">
        <f t="shared" si="107"/>
        <v>7.25</v>
      </c>
      <c r="S156" s="367">
        <f t="shared" si="107"/>
        <v>7.25</v>
      </c>
      <c r="T156" s="367">
        <f t="shared" si="107"/>
        <v>7.25</v>
      </c>
      <c r="U156" s="367">
        <f t="shared" si="107"/>
        <v>7.25</v>
      </c>
      <c r="V156" s="367">
        <f t="shared" si="107"/>
        <v>7.25</v>
      </c>
      <c r="W156" s="367">
        <f t="shared" si="107"/>
        <v>7.25</v>
      </c>
      <c r="X156" s="367">
        <f t="shared" si="107"/>
        <v>7.25</v>
      </c>
      <c r="Y156" s="367">
        <f t="shared" si="107"/>
        <v>7.25</v>
      </c>
      <c r="Z156" s="367">
        <f t="shared" si="107"/>
        <v>7.25</v>
      </c>
      <c r="AA156" s="367">
        <f t="shared" si="107"/>
        <v>7.25</v>
      </c>
      <c r="AB156" s="367">
        <f t="shared" si="107"/>
        <v>7.25</v>
      </c>
      <c r="AC156" s="367">
        <f t="shared" si="107"/>
        <v>7.25</v>
      </c>
      <c r="AD156" s="367">
        <f t="shared" si="107"/>
        <v>7.25</v>
      </c>
      <c r="AE156" s="367">
        <f t="shared" si="107"/>
        <v>7.25</v>
      </c>
      <c r="AF156" s="367">
        <f t="shared" si="107"/>
        <v>7.25</v>
      </c>
      <c r="AG156" s="367">
        <f t="shared" si="107"/>
        <v>7.25</v>
      </c>
      <c r="AH156" s="367">
        <f t="shared" si="107"/>
        <v>7.25</v>
      </c>
      <c r="AI156" s="367">
        <f t="shared" si="107"/>
        <v>7.25</v>
      </c>
      <c r="AJ156" s="367">
        <f t="shared" si="107"/>
        <v>7.25</v>
      </c>
      <c r="AK156" s="367">
        <f t="shared" si="107"/>
        <v>7.25</v>
      </c>
      <c r="AL156" s="367">
        <f t="shared" si="107"/>
        <v>7.25</v>
      </c>
      <c r="AM156" s="367">
        <f t="shared" si="107"/>
        <v>7.25</v>
      </c>
      <c r="AN156" s="367">
        <f t="shared" si="107"/>
        <v>7.25</v>
      </c>
      <c r="AO156" s="367">
        <f t="shared" si="107"/>
        <v>7.25</v>
      </c>
      <c r="AP156" s="367">
        <f t="shared" si="107"/>
        <v>7.25</v>
      </c>
      <c r="AQ156" s="367">
        <f t="shared" si="107"/>
        <v>7.25</v>
      </c>
      <c r="AR156" s="367">
        <f t="shared" si="107"/>
        <v>7.25</v>
      </c>
      <c r="AS156" s="367">
        <f t="shared" si="107"/>
        <v>7.25</v>
      </c>
      <c r="AT156" s="367">
        <f t="shared" si="107"/>
        <v>7.25</v>
      </c>
      <c r="AU156" s="367">
        <f t="shared" si="107"/>
        <v>7.25</v>
      </c>
      <c r="AV156" s="367">
        <f t="shared" si="107"/>
        <v>7.25</v>
      </c>
      <c r="AW156" s="90"/>
      <c r="AX156" s="90"/>
      <c r="AY156" s="90"/>
      <c r="AZ156" s="90"/>
      <c r="BA156" s="90"/>
      <c r="BB156" s="90"/>
      <c r="BC156" s="90"/>
      <c r="BD156" s="90"/>
      <c r="BE156" s="90"/>
      <c r="BF156" s="90"/>
      <c r="BG156" s="90"/>
    </row>
    <row r="157" ht="12.75" hidden="1" customHeight="1" outlineLevel="1">
      <c r="A157" s="316"/>
      <c r="B157" s="195"/>
      <c r="C157" s="90" t="s">
        <v>718</v>
      </c>
      <c r="D157" s="67"/>
      <c r="E157" s="67"/>
      <c r="F157" s="67"/>
      <c r="G157" s="223"/>
      <c r="H157" s="223"/>
      <c r="I157" s="223"/>
      <c r="J157" s="223">
        <f t="shared" ref="J157:AV157" si="108">J155+J156</f>
        <v>1</v>
      </c>
      <c r="K157" s="223">
        <f t="shared" si="108"/>
        <v>22.25</v>
      </c>
      <c r="L157" s="223">
        <f t="shared" si="108"/>
        <v>24.25</v>
      </c>
      <c r="M157" s="223">
        <f t="shared" si="108"/>
        <v>25.25</v>
      </c>
      <c r="N157" s="223">
        <f t="shared" si="108"/>
        <v>25.25</v>
      </c>
      <c r="O157" s="223">
        <f t="shared" si="108"/>
        <v>23.25</v>
      </c>
      <c r="P157" s="223">
        <f t="shared" si="108"/>
        <v>23.25</v>
      </c>
      <c r="Q157" s="223">
        <f t="shared" si="108"/>
        <v>19.25</v>
      </c>
      <c r="R157" s="223">
        <f t="shared" si="108"/>
        <v>19.25</v>
      </c>
      <c r="S157" s="223">
        <f t="shared" si="108"/>
        <v>19.25</v>
      </c>
      <c r="T157" s="223">
        <f t="shared" si="108"/>
        <v>19.25</v>
      </c>
      <c r="U157" s="223">
        <f t="shared" si="108"/>
        <v>19.25</v>
      </c>
      <c r="V157" s="223">
        <f t="shared" si="108"/>
        <v>19.25</v>
      </c>
      <c r="W157" s="223">
        <f t="shared" si="108"/>
        <v>19.25</v>
      </c>
      <c r="X157" s="223">
        <f t="shared" si="108"/>
        <v>19.25</v>
      </c>
      <c r="Y157" s="223">
        <f t="shared" si="108"/>
        <v>19.25</v>
      </c>
      <c r="Z157" s="223">
        <f t="shared" si="108"/>
        <v>19.25</v>
      </c>
      <c r="AA157" s="223">
        <f t="shared" si="108"/>
        <v>19.25</v>
      </c>
      <c r="AB157" s="223">
        <f t="shared" si="108"/>
        <v>19.25</v>
      </c>
      <c r="AC157" s="223">
        <f t="shared" si="108"/>
        <v>19.25</v>
      </c>
      <c r="AD157" s="223">
        <f t="shared" si="108"/>
        <v>19.25</v>
      </c>
      <c r="AE157" s="223">
        <f t="shared" si="108"/>
        <v>19.25</v>
      </c>
      <c r="AF157" s="223">
        <f t="shared" si="108"/>
        <v>19.25</v>
      </c>
      <c r="AG157" s="223">
        <f t="shared" si="108"/>
        <v>19.25</v>
      </c>
      <c r="AH157" s="223">
        <f t="shared" si="108"/>
        <v>19.25</v>
      </c>
      <c r="AI157" s="223">
        <f t="shared" si="108"/>
        <v>19.25</v>
      </c>
      <c r="AJ157" s="223">
        <f t="shared" si="108"/>
        <v>19.25</v>
      </c>
      <c r="AK157" s="223">
        <f t="shared" si="108"/>
        <v>19.25</v>
      </c>
      <c r="AL157" s="223">
        <f t="shared" si="108"/>
        <v>19.25</v>
      </c>
      <c r="AM157" s="223">
        <f t="shared" si="108"/>
        <v>19.25</v>
      </c>
      <c r="AN157" s="223">
        <f t="shared" si="108"/>
        <v>19.25</v>
      </c>
      <c r="AO157" s="223">
        <f t="shared" si="108"/>
        <v>19.25</v>
      </c>
      <c r="AP157" s="223">
        <f t="shared" si="108"/>
        <v>19.25</v>
      </c>
      <c r="AQ157" s="223">
        <f t="shared" si="108"/>
        <v>19.25</v>
      </c>
      <c r="AR157" s="223">
        <f t="shared" si="108"/>
        <v>19.25</v>
      </c>
      <c r="AS157" s="223">
        <f t="shared" si="108"/>
        <v>19.25</v>
      </c>
      <c r="AT157" s="223">
        <f t="shared" si="108"/>
        <v>19.25</v>
      </c>
      <c r="AU157" s="223">
        <f t="shared" si="108"/>
        <v>19.25</v>
      </c>
      <c r="AV157" s="223">
        <f t="shared" si="108"/>
        <v>19.25</v>
      </c>
      <c r="AW157" s="90"/>
      <c r="AX157" s="90"/>
      <c r="AY157" s="90"/>
      <c r="AZ157" s="90"/>
      <c r="BA157" s="90"/>
      <c r="BB157" s="90"/>
      <c r="BC157" s="90"/>
      <c r="BD157" s="90"/>
      <c r="BE157" s="90"/>
      <c r="BF157" s="90"/>
      <c r="BG157" s="90"/>
    </row>
    <row r="158" ht="12.75" hidden="1" customHeight="1" outlineLevel="1">
      <c r="A158" s="316"/>
      <c r="B158" s="195"/>
      <c r="C158" s="90" t="s">
        <v>719</v>
      </c>
      <c r="D158" s="67"/>
      <c r="E158" s="67"/>
      <c r="F158" s="67"/>
      <c r="G158" s="223"/>
      <c r="H158" s="223"/>
      <c r="I158" s="223"/>
      <c r="J158" s="223">
        <f t="shared" ref="J158:AV158" si="109">J157-I157</f>
        <v>1</v>
      </c>
      <c r="K158" s="223">
        <f t="shared" si="109"/>
        <v>21.25</v>
      </c>
      <c r="L158" s="223">
        <f t="shared" si="109"/>
        <v>2</v>
      </c>
      <c r="M158" s="223">
        <f t="shared" si="109"/>
        <v>1</v>
      </c>
      <c r="N158" s="223">
        <f t="shared" si="109"/>
        <v>0</v>
      </c>
      <c r="O158" s="223">
        <f t="shared" si="109"/>
        <v>-2</v>
      </c>
      <c r="P158" s="223">
        <f t="shared" si="109"/>
        <v>0</v>
      </c>
      <c r="Q158" s="223">
        <f t="shared" si="109"/>
        <v>-4</v>
      </c>
      <c r="R158" s="223">
        <f t="shared" si="109"/>
        <v>0</v>
      </c>
      <c r="S158" s="223">
        <f t="shared" si="109"/>
        <v>0</v>
      </c>
      <c r="T158" s="223">
        <f t="shared" si="109"/>
        <v>0</v>
      </c>
      <c r="U158" s="223">
        <f t="shared" si="109"/>
        <v>0</v>
      </c>
      <c r="V158" s="223">
        <f t="shared" si="109"/>
        <v>0</v>
      </c>
      <c r="W158" s="223">
        <f t="shared" si="109"/>
        <v>0</v>
      </c>
      <c r="X158" s="223">
        <f t="shared" si="109"/>
        <v>0</v>
      </c>
      <c r="Y158" s="223">
        <f t="shared" si="109"/>
        <v>0</v>
      </c>
      <c r="Z158" s="223">
        <f t="shared" si="109"/>
        <v>0</v>
      </c>
      <c r="AA158" s="223">
        <f t="shared" si="109"/>
        <v>0</v>
      </c>
      <c r="AB158" s="223">
        <f t="shared" si="109"/>
        <v>0</v>
      </c>
      <c r="AC158" s="223">
        <f t="shared" si="109"/>
        <v>0</v>
      </c>
      <c r="AD158" s="223">
        <f t="shared" si="109"/>
        <v>0</v>
      </c>
      <c r="AE158" s="223">
        <f t="shared" si="109"/>
        <v>0</v>
      </c>
      <c r="AF158" s="223">
        <f t="shared" si="109"/>
        <v>0</v>
      </c>
      <c r="AG158" s="223">
        <f t="shared" si="109"/>
        <v>0</v>
      </c>
      <c r="AH158" s="223">
        <f t="shared" si="109"/>
        <v>0</v>
      </c>
      <c r="AI158" s="223">
        <f t="shared" si="109"/>
        <v>0</v>
      </c>
      <c r="AJ158" s="223">
        <f t="shared" si="109"/>
        <v>0</v>
      </c>
      <c r="AK158" s="223">
        <f t="shared" si="109"/>
        <v>0</v>
      </c>
      <c r="AL158" s="223">
        <f t="shared" si="109"/>
        <v>0</v>
      </c>
      <c r="AM158" s="223">
        <f t="shared" si="109"/>
        <v>0</v>
      </c>
      <c r="AN158" s="223">
        <f t="shared" si="109"/>
        <v>0</v>
      </c>
      <c r="AO158" s="223">
        <f t="shared" si="109"/>
        <v>0</v>
      </c>
      <c r="AP158" s="223">
        <f t="shared" si="109"/>
        <v>0</v>
      </c>
      <c r="AQ158" s="223">
        <f t="shared" si="109"/>
        <v>0</v>
      </c>
      <c r="AR158" s="223">
        <f t="shared" si="109"/>
        <v>0</v>
      </c>
      <c r="AS158" s="223">
        <f t="shared" si="109"/>
        <v>0</v>
      </c>
      <c r="AT158" s="223">
        <f t="shared" si="109"/>
        <v>0</v>
      </c>
      <c r="AU158" s="223">
        <f t="shared" si="109"/>
        <v>0</v>
      </c>
      <c r="AV158" s="223">
        <f t="shared" si="109"/>
        <v>0</v>
      </c>
      <c r="AW158" s="90"/>
      <c r="AX158" s="90"/>
      <c r="AY158" s="90"/>
      <c r="AZ158" s="90"/>
      <c r="BA158" s="90"/>
      <c r="BB158" s="90"/>
      <c r="BC158" s="90"/>
      <c r="BD158" s="90"/>
      <c r="BE158" s="90"/>
      <c r="BF158" s="90"/>
      <c r="BG158" s="90"/>
    </row>
    <row r="159" ht="12.75" hidden="1" customHeight="1" outlineLevel="1">
      <c r="A159" s="316"/>
      <c r="B159" s="195"/>
      <c r="C159" s="90"/>
      <c r="D159" s="67"/>
      <c r="E159" s="67"/>
      <c r="F159" s="67"/>
      <c r="G159" s="67"/>
      <c r="H159" s="369"/>
      <c r="I159" s="369"/>
      <c r="J159" s="369"/>
      <c r="K159" s="369"/>
      <c r="L159" s="369"/>
      <c r="M159" s="369"/>
      <c r="N159" s="369"/>
      <c r="O159" s="369"/>
      <c r="P159" s="369"/>
      <c r="Q159" s="369"/>
      <c r="R159" s="369"/>
      <c r="S159" s="369"/>
      <c r="T159" s="369"/>
      <c r="U159" s="369"/>
      <c r="V159" s="369"/>
      <c r="W159" s="369"/>
      <c r="X159" s="369"/>
      <c r="Y159" s="369"/>
      <c r="Z159" s="369"/>
      <c r="AA159" s="369"/>
      <c r="AB159" s="369"/>
      <c r="AC159" s="369"/>
      <c r="AD159" s="369"/>
      <c r="AE159" s="369"/>
      <c r="AF159" s="369"/>
      <c r="AG159" s="369"/>
      <c r="AH159" s="369"/>
      <c r="AI159" s="369"/>
      <c r="AJ159" s="369"/>
      <c r="AK159" s="369"/>
      <c r="AL159" s="369"/>
      <c r="AM159" s="369"/>
      <c r="AN159" s="369"/>
      <c r="AO159" s="369"/>
      <c r="AP159" s="369"/>
      <c r="AQ159" s="369"/>
      <c r="AR159" s="369"/>
      <c r="AS159" s="369"/>
      <c r="AT159" s="369"/>
      <c r="AU159" s="369"/>
      <c r="AV159" s="369"/>
      <c r="AW159" s="90"/>
      <c r="AX159" s="90"/>
      <c r="AY159" s="90"/>
      <c r="AZ159" s="90"/>
      <c r="BA159" s="90"/>
      <c r="BB159" s="90"/>
      <c r="BC159" s="90"/>
      <c r="BD159" s="90"/>
      <c r="BE159" s="90"/>
      <c r="BF159" s="90"/>
      <c r="BG159" s="90"/>
    </row>
    <row r="160" ht="12.75" hidden="1" customHeight="1" outlineLevel="1">
      <c r="A160" s="316"/>
      <c r="B160" s="67" t="s">
        <v>278</v>
      </c>
      <c r="C160" s="90"/>
      <c r="D160" s="90"/>
      <c r="E160" s="90"/>
      <c r="F160" s="90"/>
      <c r="G160" s="90"/>
      <c r="H160" s="195"/>
      <c r="I160" s="195"/>
      <c r="J160" s="195"/>
      <c r="K160" s="90"/>
      <c r="L160" s="90"/>
      <c r="M160" s="90"/>
      <c r="N160" s="90"/>
      <c r="O160" s="90"/>
      <c r="P160" s="90"/>
      <c r="Q160" s="90"/>
      <c r="R160" s="90"/>
      <c r="S160" s="90"/>
      <c r="T160" s="90"/>
      <c r="U160" s="90"/>
      <c r="V160" s="90"/>
      <c r="W160" s="90"/>
      <c r="X160" s="90"/>
      <c r="Y160" s="90"/>
      <c r="Z160" s="90"/>
      <c r="AA160" s="90"/>
      <c r="AB160" s="90"/>
      <c r="AC160" s="90"/>
      <c r="AD160" s="90"/>
      <c r="AE160" s="90"/>
      <c r="AF160" s="90"/>
      <c r="AG160" s="90"/>
      <c r="AH160" s="90"/>
      <c r="AI160" s="90"/>
      <c r="AJ160" s="90"/>
      <c r="AK160" s="90"/>
      <c r="AL160" s="90"/>
      <c r="AM160" s="90"/>
      <c r="AN160" s="90"/>
      <c r="AO160" s="90"/>
      <c r="AP160" s="90"/>
      <c r="AQ160" s="90"/>
      <c r="AR160" s="90"/>
      <c r="AS160" s="90"/>
      <c r="AT160" s="90"/>
      <c r="AU160" s="90"/>
      <c r="AV160" s="90"/>
      <c r="AW160" s="90"/>
      <c r="AX160" s="90"/>
      <c r="AY160" s="90"/>
      <c r="AZ160" s="90"/>
      <c r="BA160" s="90"/>
      <c r="BB160" s="90"/>
      <c r="BC160" s="90"/>
      <c r="BD160" s="90"/>
      <c r="BE160" s="90"/>
      <c r="BF160" s="90"/>
      <c r="BG160" s="90"/>
    </row>
    <row r="161" ht="12.75" hidden="1" customHeight="1" outlineLevel="1">
      <c r="A161" s="316"/>
      <c r="B161" s="90"/>
      <c r="C161" s="90" t="s">
        <v>720</v>
      </c>
      <c r="D161" s="90"/>
      <c r="E161" s="90"/>
      <c r="F161" s="90"/>
      <c r="G161" s="90"/>
      <c r="H161" s="523"/>
      <c r="I161" s="523"/>
      <c r="J161" s="178">
        <f>Assumptions!D59</f>
        <v>0</v>
      </c>
      <c r="K161" s="178">
        <f>Assumptions!E59</f>
        <v>0.02</v>
      </c>
      <c r="L161" s="178">
        <f>Assumptions!F59</f>
        <v>0.02</v>
      </c>
      <c r="M161" s="178">
        <f>Assumptions!G59</f>
        <v>0.02</v>
      </c>
      <c r="N161" s="178">
        <f>Assumptions!H59</f>
        <v>0.02</v>
      </c>
      <c r="O161" s="178">
        <f>Assumptions!I59</f>
        <v>0.02</v>
      </c>
      <c r="P161" s="178">
        <f t="shared" ref="P161:AV161" si="110">O161</f>
        <v>0.02</v>
      </c>
      <c r="Q161" s="178">
        <f t="shared" si="110"/>
        <v>0.02</v>
      </c>
      <c r="R161" s="178">
        <f t="shared" si="110"/>
        <v>0.02</v>
      </c>
      <c r="S161" s="178">
        <f t="shared" si="110"/>
        <v>0.02</v>
      </c>
      <c r="T161" s="178">
        <f t="shared" si="110"/>
        <v>0.02</v>
      </c>
      <c r="U161" s="178">
        <f t="shared" si="110"/>
        <v>0.02</v>
      </c>
      <c r="V161" s="178">
        <f t="shared" si="110"/>
        <v>0.02</v>
      </c>
      <c r="W161" s="178">
        <f t="shared" si="110"/>
        <v>0.02</v>
      </c>
      <c r="X161" s="178">
        <f t="shared" si="110"/>
        <v>0.02</v>
      </c>
      <c r="Y161" s="178">
        <f t="shared" si="110"/>
        <v>0.02</v>
      </c>
      <c r="Z161" s="178">
        <f t="shared" si="110"/>
        <v>0.02</v>
      </c>
      <c r="AA161" s="178">
        <f t="shared" si="110"/>
        <v>0.02</v>
      </c>
      <c r="AB161" s="178">
        <f t="shared" si="110"/>
        <v>0.02</v>
      </c>
      <c r="AC161" s="178">
        <f t="shared" si="110"/>
        <v>0.02</v>
      </c>
      <c r="AD161" s="178">
        <f t="shared" si="110"/>
        <v>0.02</v>
      </c>
      <c r="AE161" s="178">
        <f t="shared" si="110"/>
        <v>0.02</v>
      </c>
      <c r="AF161" s="178">
        <f t="shared" si="110"/>
        <v>0.02</v>
      </c>
      <c r="AG161" s="178">
        <f t="shared" si="110"/>
        <v>0.02</v>
      </c>
      <c r="AH161" s="178">
        <f t="shared" si="110"/>
        <v>0.02</v>
      </c>
      <c r="AI161" s="178">
        <f t="shared" si="110"/>
        <v>0.02</v>
      </c>
      <c r="AJ161" s="178">
        <f t="shared" si="110"/>
        <v>0.02</v>
      </c>
      <c r="AK161" s="178">
        <f t="shared" si="110"/>
        <v>0.02</v>
      </c>
      <c r="AL161" s="178">
        <f t="shared" si="110"/>
        <v>0.02</v>
      </c>
      <c r="AM161" s="178">
        <f t="shared" si="110"/>
        <v>0.02</v>
      </c>
      <c r="AN161" s="178">
        <f t="shared" si="110"/>
        <v>0.02</v>
      </c>
      <c r="AO161" s="178">
        <f t="shared" si="110"/>
        <v>0.02</v>
      </c>
      <c r="AP161" s="178">
        <f t="shared" si="110"/>
        <v>0.02</v>
      </c>
      <c r="AQ161" s="178">
        <f t="shared" si="110"/>
        <v>0.02</v>
      </c>
      <c r="AR161" s="178">
        <f t="shared" si="110"/>
        <v>0.02</v>
      </c>
      <c r="AS161" s="178">
        <f t="shared" si="110"/>
        <v>0.02</v>
      </c>
      <c r="AT161" s="178">
        <f t="shared" si="110"/>
        <v>0.02</v>
      </c>
      <c r="AU161" s="178">
        <f t="shared" si="110"/>
        <v>0.02</v>
      </c>
      <c r="AV161" s="178">
        <f t="shared" si="110"/>
        <v>0.02</v>
      </c>
      <c r="AW161" s="90"/>
      <c r="AX161" s="90"/>
      <c r="AY161" s="90"/>
      <c r="AZ161" s="90"/>
      <c r="BA161" s="90"/>
      <c r="BB161" s="90"/>
      <c r="BC161" s="90"/>
      <c r="BD161" s="90"/>
      <c r="BE161" s="90"/>
      <c r="BF161" s="90"/>
      <c r="BG161" s="90"/>
    </row>
    <row r="162" ht="12.75" hidden="1" customHeight="1" outlineLevel="1">
      <c r="A162" s="316"/>
      <c r="B162" s="90"/>
      <c r="C162" s="90"/>
      <c r="D162" s="90"/>
      <c r="E162" s="90"/>
      <c r="F162" s="90"/>
      <c r="G162" s="90"/>
      <c r="H162" s="195"/>
      <c r="I162" s="195"/>
      <c r="J162" s="195"/>
      <c r="K162" s="90"/>
      <c r="L162" s="99"/>
      <c r="M162" s="99"/>
      <c r="N162" s="99"/>
      <c r="O162" s="99"/>
      <c r="P162" s="99"/>
      <c r="Q162" s="90"/>
      <c r="R162" s="90"/>
      <c r="S162" s="90"/>
      <c r="T162" s="90"/>
      <c r="U162" s="90"/>
      <c r="V162" s="90"/>
      <c r="W162" s="90"/>
      <c r="X162" s="90"/>
      <c r="Y162" s="90"/>
      <c r="Z162" s="90"/>
      <c r="AA162" s="90"/>
      <c r="AB162" s="90"/>
      <c r="AC162" s="90"/>
      <c r="AD162" s="90"/>
      <c r="AE162" s="90"/>
      <c r="AF162" s="90"/>
      <c r="AG162" s="90"/>
      <c r="AH162" s="90"/>
      <c r="AI162" s="90"/>
      <c r="AJ162" s="90"/>
      <c r="AK162" s="90"/>
      <c r="AL162" s="90"/>
      <c r="AM162" s="90"/>
      <c r="AN162" s="90"/>
      <c r="AO162" s="90"/>
      <c r="AP162" s="90"/>
      <c r="AQ162" s="90"/>
      <c r="AR162" s="90"/>
      <c r="AS162" s="90"/>
      <c r="AT162" s="90"/>
      <c r="AU162" s="90"/>
      <c r="AV162" s="90"/>
      <c r="AW162" s="90"/>
      <c r="AX162" s="90"/>
      <c r="AY162" s="90" t="s">
        <v>1199</v>
      </c>
      <c r="AZ162" s="90" t="s">
        <v>707</v>
      </c>
      <c r="BA162" s="90" t="s">
        <v>1200</v>
      </c>
      <c r="BB162" s="90" t="s">
        <v>701</v>
      </c>
      <c r="BC162" s="90" t="s">
        <v>1201</v>
      </c>
      <c r="BD162" s="90"/>
      <c r="BE162" s="90"/>
      <c r="BF162" s="90"/>
      <c r="BG162" s="90"/>
    </row>
    <row r="163" ht="12.75" hidden="1" customHeight="1" outlineLevel="1">
      <c r="A163" s="316"/>
      <c r="B163" s="371"/>
      <c r="C163" s="90" t="s">
        <v>701</v>
      </c>
      <c r="D163" s="90"/>
      <c r="E163" s="90"/>
      <c r="F163" s="90"/>
      <c r="G163" s="254"/>
      <c r="H163" s="254"/>
      <c r="I163" s="254"/>
      <c r="J163" s="99">
        <v>85000.0</v>
      </c>
      <c r="K163" s="99">
        <f>100000/1.2</f>
        <v>83333.33333</v>
      </c>
      <c r="L163" s="99">
        <v>100000.0</v>
      </c>
      <c r="M163" s="99">
        <f t="shared" ref="M163:AV163" si="111">L163*(1+M$161)</f>
        <v>102000</v>
      </c>
      <c r="N163" s="99">
        <f t="shared" si="111"/>
        <v>104040</v>
      </c>
      <c r="O163" s="99">
        <f t="shared" si="111"/>
        <v>106120.8</v>
      </c>
      <c r="P163" s="99">
        <f t="shared" si="111"/>
        <v>108243.216</v>
      </c>
      <c r="Q163" s="99">
        <f t="shared" si="111"/>
        <v>110408.0803</v>
      </c>
      <c r="R163" s="99">
        <f t="shared" si="111"/>
        <v>112616.2419</v>
      </c>
      <c r="S163" s="99">
        <f t="shared" si="111"/>
        <v>114868.5668</v>
      </c>
      <c r="T163" s="99">
        <f t="shared" si="111"/>
        <v>117165.9381</v>
      </c>
      <c r="U163" s="99">
        <f t="shared" si="111"/>
        <v>119509.2569</v>
      </c>
      <c r="V163" s="99">
        <f t="shared" si="111"/>
        <v>121899.442</v>
      </c>
      <c r="W163" s="99">
        <f t="shared" si="111"/>
        <v>124337.4308</v>
      </c>
      <c r="X163" s="99">
        <f t="shared" si="111"/>
        <v>126824.1795</v>
      </c>
      <c r="Y163" s="99">
        <f t="shared" si="111"/>
        <v>129360.663</v>
      </c>
      <c r="Z163" s="99">
        <f t="shared" si="111"/>
        <v>131947.8763</v>
      </c>
      <c r="AA163" s="99">
        <f t="shared" si="111"/>
        <v>134586.8338</v>
      </c>
      <c r="AB163" s="99">
        <f t="shared" si="111"/>
        <v>137278.5705</v>
      </c>
      <c r="AC163" s="99">
        <f t="shared" si="111"/>
        <v>140024.1419</v>
      </c>
      <c r="AD163" s="99">
        <f t="shared" si="111"/>
        <v>142824.6248</v>
      </c>
      <c r="AE163" s="99">
        <f t="shared" si="111"/>
        <v>145681.1173</v>
      </c>
      <c r="AF163" s="99">
        <f t="shared" si="111"/>
        <v>148594.7396</v>
      </c>
      <c r="AG163" s="99">
        <f t="shared" si="111"/>
        <v>151566.6344</v>
      </c>
      <c r="AH163" s="99">
        <f t="shared" si="111"/>
        <v>154597.9671</v>
      </c>
      <c r="AI163" s="99">
        <f t="shared" si="111"/>
        <v>157689.9264</v>
      </c>
      <c r="AJ163" s="99">
        <f t="shared" si="111"/>
        <v>160843.7249</v>
      </c>
      <c r="AK163" s="99">
        <f t="shared" si="111"/>
        <v>164060.5994</v>
      </c>
      <c r="AL163" s="99">
        <f t="shared" si="111"/>
        <v>167341.8114</v>
      </c>
      <c r="AM163" s="99">
        <f t="shared" si="111"/>
        <v>170688.6477</v>
      </c>
      <c r="AN163" s="99">
        <f t="shared" si="111"/>
        <v>174102.4206</v>
      </c>
      <c r="AO163" s="99">
        <f t="shared" si="111"/>
        <v>177584.469</v>
      </c>
      <c r="AP163" s="99">
        <f t="shared" si="111"/>
        <v>181136.1584</v>
      </c>
      <c r="AQ163" s="99">
        <f t="shared" si="111"/>
        <v>184758.8816</v>
      </c>
      <c r="AR163" s="99">
        <f t="shared" si="111"/>
        <v>188454.0592</v>
      </c>
      <c r="AS163" s="99">
        <f t="shared" si="111"/>
        <v>192223.1404</v>
      </c>
      <c r="AT163" s="99">
        <f t="shared" si="111"/>
        <v>196067.6032</v>
      </c>
      <c r="AU163" s="99">
        <f t="shared" si="111"/>
        <v>199988.9553</v>
      </c>
      <c r="AV163" s="99">
        <f t="shared" si="111"/>
        <v>203988.7344</v>
      </c>
      <c r="AW163" s="90"/>
      <c r="AX163" s="90"/>
      <c r="AY163" s="535">
        <v>47000.0</v>
      </c>
      <c r="AZ163" s="535">
        <v>68475.0</v>
      </c>
      <c r="BA163" s="536">
        <v>67000.0</v>
      </c>
      <c r="BB163" s="90">
        <v>85000.0</v>
      </c>
      <c r="BC163" s="90">
        <v>50000.0</v>
      </c>
      <c r="BD163" s="90"/>
      <c r="BE163" s="90"/>
      <c r="BF163" s="90"/>
      <c r="BG163" s="90"/>
    </row>
    <row r="164" ht="12.75" hidden="1" customHeight="1" outlineLevel="1">
      <c r="A164" s="316"/>
      <c r="B164" s="195"/>
      <c r="C164" s="90" t="s">
        <v>721</v>
      </c>
      <c r="D164" s="90"/>
      <c r="E164" s="90"/>
      <c r="F164" s="90"/>
      <c r="G164" s="254"/>
      <c r="H164" s="254"/>
      <c r="I164" s="99"/>
      <c r="J164" s="99">
        <v>0.0</v>
      </c>
      <c r="K164" s="99">
        <v>0.0</v>
      </c>
      <c r="L164" s="99">
        <f t="shared" ref="L164:L165" si="113">K164*(1+L$159)</f>
        <v>0</v>
      </c>
      <c r="M164" s="99">
        <f t="shared" ref="M164:AV164" si="112">L164*(1+M$161)</f>
        <v>0</v>
      </c>
      <c r="N164" s="99">
        <f t="shared" si="112"/>
        <v>0</v>
      </c>
      <c r="O164" s="99">
        <f t="shared" si="112"/>
        <v>0</v>
      </c>
      <c r="P164" s="99">
        <f t="shared" si="112"/>
        <v>0</v>
      </c>
      <c r="Q164" s="99">
        <f t="shared" si="112"/>
        <v>0</v>
      </c>
      <c r="R164" s="99">
        <f t="shared" si="112"/>
        <v>0</v>
      </c>
      <c r="S164" s="99">
        <f t="shared" si="112"/>
        <v>0</v>
      </c>
      <c r="T164" s="99">
        <f t="shared" si="112"/>
        <v>0</v>
      </c>
      <c r="U164" s="99">
        <f t="shared" si="112"/>
        <v>0</v>
      </c>
      <c r="V164" s="99">
        <f t="shared" si="112"/>
        <v>0</v>
      </c>
      <c r="W164" s="99">
        <f t="shared" si="112"/>
        <v>0</v>
      </c>
      <c r="X164" s="99">
        <f t="shared" si="112"/>
        <v>0</v>
      </c>
      <c r="Y164" s="99">
        <f t="shared" si="112"/>
        <v>0</v>
      </c>
      <c r="Z164" s="99">
        <f t="shared" si="112"/>
        <v>0</v>
      </c>
      <c r="AA164" s="99">
        <f t="shared" si="112"/>
        <v>0</v>
      </c>
      <c r="AB164" s="99">
        <f t="shared" si="112"/>
        <v>0</v>
      </c>
      <c r="AC164" s="99">
        <f t="shared" si="112"/>
        <v>0</v>
      </c>
      <c r="AD164" s="99">
        <f t="shared" si="112"/>
        <v>0</v>
      </c>
      <c r="AE164" s="99">
        <f t="shared" si="112"/>
        <v>0</v>
      </c>
      <c r="AF164" s="99">
        <f t="shared" si="112"/>
        <v>0</v>
      </c>
      <c r="AG164" s="99">
        <f t="shared" si="112"/>
        <v>0</v>
      </c>
      <c r="AH164" s="99">
        <f t="shared" si="112"/>
        <v>0</v>
      </c>
      <c r="AI164" s="99">
        <f t="shared" si="112"/>
        <v>0</v>
      </c>
      <c r="AJ164" s="99">
        <f t="shared" si="112"/>
        <v>0</v>
      </c>
      <c r="AK164" s="99">
        <f t="shared" si="112"/>
        <v>0</v>
      </c>
      <c r="AL164" s="99">
        <f t="shared" si="112"/>
        <v>0</v>
      </c>
      <c r="AM164" s="99">
        <f t="shared" si="112"/>
        <v>0</v>
      </c>
      <c r="AN164" s="99">
        <f t="shared" si="112"/>
        <v>0</v>
      </c>
      <c r="AO164" s="99">
        <f t="shared" si="112"/>
        <v>0</v>
      </c>
      <c r="AP164" s="99">
        <f t="shared" si="112"/>
        <v>0</v>
      </c>
      <c r="AQ164" s="99">
        <f t="shared" si="112"/>
        <v>0</v>
      </c>
      <c r="AR164" s="99">
        <f t="shared" si="112"/>
        <v>0</v>
      </c>
      <c r="AS164" s="99">
        <f t="shared" si="112"/>
        <v>0</v>
      </c>
      <c r="AT164" s="99">
        <f t="shared" si="112"/>
        <v>0</v>
      </c>
      <c r="AU164" s="99">
        <f t="shared" si="112"/>
        <v>0</v>
      </c>
      <c r="AV164" s="99">
        <f t="shared" si="112"/>
        <v>0</v>
      </c>
      <c r="AW164" s="90"/>
      <c r="AX164" s="90"/>
      <c r="AY164" s="535">
        <v>47000.0</v>
      </c>
      <c r="AZ164" s="535">
        <v>68475.0</v>
      </c>
      <c r="BA164" s="90"/>
      <c r="BB164" s="90"/>
      <c r="BC164" s="90"/>
      <c r="BD164" s="90"/>
      <c r="BE164" s="90"/>
      <c r="BF164" s="90"/>
      <c r="BG164" s="90"/>
    </row>
    <row r="165" ht="12.75" hidden="1" customHeight="1" outlineLevel="1">
      <c r="A165" s="316"/>
      <c r="B165" s="195"/>
      <c r="C165" s="90" t="s">
        <v>703</v>
      </c>
      <c r="D165" s="90"/>
      <c r="E165" s="90"/>
      <c r="F165" s="90"/>
      <c r="G165" s="254"/>
      <c r="H165" s="254"/>
      <c r="I165" s="99"/>
      <c r="J165" s="99">
        <v>0.0</v>
      </c>
      <c r="K165" s="99">
        <v>0.0</v>
      </c>
      <c r="L165" s="99">
        <f t="shared" si="113"/>
        <v>0</v>
      </c>
      <c r="M165" s="99">
        <f t="shared" ref="M165:AV165" si="114">L165*(1+M$161)</f>
        <v>0</v>
      </c>
      <c r="N165" s="99">
        <f t="shared" si="114"/>
        <v>0</v>
      </c>
      <c r="O165" s="99">
        <f t="shared" si="114"/>
        <v>0</v>
      </c>
      <c r="P165" s="99">
        <f t="shared" si="114"/>
        <v>0</v>
      </c>
      <c r="Q165" s="99">
        <f t="shared" si="114"/>
        <v>0</v>
      </c>
      <c r="R165" s="99">
        <f t="shared" si="114"/>
        <v>0</v>
      </c>
      <c r="S165" s="99">
        <f t="shared" si="114"/>
        <v>0</v>
      </c>
      <c r="T165" s="99">
        <f t="shared" si="114"/>
        <v>0</v>
      </c>
      <c r="U165" s="99">
        <f t="shared" si="114"/>
        <v>0</v>
      </c>
      <c r="V165" s="99">
        <f t="shared" si="114"/>
        <v>0</v>
      </c>
      <c r="W165" s="99">
        <f t="shared" si="114"/>
        <v>0</v>
      </c>
      <c r="X165" s="99">
        <f t="shared" si="114"/>
        <v>0</v>
      </c>
      <c r="Y165" s="99">
        <f t="shared" si="114"/>
        <v>0</v>
      </c>
      <c r="Z165" s="99">
        <f t="shared" si="114"/>
        <v>0</v>
      </c>
      <c r="AA165" s="99">
        <f t="shared" si="114"/>
        <v>0</v>
      </c>
      <c r="AB165" s="99">
        <f t="shared" si="114"/>
        <v>0</v>
      </c>
      <c r="AC165" s="99">
        <f t="shared" si="114"/>
        <v>0</v>
      </c>
      <c r="AD165" s="99">
        <f t="shared" si="114"/>
        <v>0</v>
      </c>
      <c r="AE165" s="99">
        <f t="shared" si="114"/>
        <v>0</v>
      </c>
      <c r="AF165" s="99">
        <f t="shared" si="114"/>
        <v>0</v>
      </c>
      <c r="AG165" s="99">
        <f t="shared" si="114"/>
        <v>0</v>
      </c>
      <c r="AH165" s="99">
        <f t="shared" si="114"/>
        <v>0</v>
      </c>
      <c r="AI165" s="99">
        <f t="shared" si="114"/>
        <v>0</v>
      </c>
      <c r="AJ165" s="99">
        <f t="shared" si="114"/>
        <v>0</v>
      </c>
      <c r="AK165" s="99">
        <f t="shared" si="114"/>
        <v>0</v>
      </c>
      <c r="AL165" s="99">
        <f t="shared" si="114"/>
        <v>0</v>
      </c>
      <c r="AM165" s="99">
        <f t="shared" si="114"/>
        <v>0</v>
      </c>
      <c r="AN165" s="99">
        <f t="shared" si="114"/>
        <v>0</v>
      </c>
      <c r="AO165" s="99">
        <f t="shared" si="114"/>
        <v>0</v>
      </c>
      <c r="AP165" s="99">
        <f t="shared" si="114"/>
        <v>0</v>
      </c>
      <c r="AQ165" s="99">
        <f t="shared" si="114"/>
        <v>0</v>
      </c>
      <c r="AR165" s="99">
        <f t="shared" si="114"/>
        <v>0</v>
      </c>
      <c r="AS165" s="99">
        <f t="shared" si="114"/>
        <v>0</v>
      </c>
      <c r="AT165" s="99">
        <f t="shared" si="114"/>
        <v>0</v>
      </c>
      <c r="AU165" s="99">
        <f t="shared" si="114"/>
        <v>0</v>
      </c>
      <c r="AV165" s="99">
        <f t="shared" si="114"/>
        <v>0</v>
      </c>
      <c r="AW165" s="90"/>
      <c r="AX165" s="90"/>
      <c r="AY165" s="535">
        <v>47000.0</v>
      </c>
      <c r="AZ165" s="535">
        <v>49500.0</v>
      </c>
      <c r="BA165" s="90"/>
      <c r="BB165" s="90"/>
      <c r="BC165" s="90"/>
      <c r="BD165" s="90"/>
      <c r="BE165" s="90"/>
      <c r="BF165" s="90"/>
      <c r="BG165" s="90"/>
    </row>
    <row r="166" ht="12.75" hidden="1" customHeight="1" outlineLevel="1">
      <c r="A166" s="316"/>
      <c r="B166" s="195"/>
      <c r="C166" s="90" t="s">
        <v>722</v>
      </c>
      <c r="D166" s="90"/>
      <c r="E166" s="90"/>
      <c r="F166" s="90"/>
      <c r="G166" s="254"/>
      <c r="H166" s="254"/>
      <c r="I166" s="99"/>
      <c r="J166" s="99">
        <v>0.0</v>
      </c>
      <c r="K166" s="254">
        <f>AVERAGE(AY162:AY165)</f>
        <v>47000</v>
      </c>
      <c r="L166" s="99">
        <f>AVERAGE(47000,49500)</f>
        <v>48250</v>
      </c>
      <c r="M166" s="99">
        <f t="shared" ref="M166:AV166" si="115">L166*(1+M$161)</f>
        <v>49215</v>
      </c>
      <c r="N166" s="99">
        <f t="shared" si="115"/>
        <v>50199.3</v>
      </c>
      <c r="O166" s="99">
        <f t="shared" si="115"/>
        <v>51203.286</v>
      </c>
      <c r="P166" s="99">
        <f t="shared" si="115"/>
        <v>52227.35172</v>
      </c>
      <c r="Q166" s="99">
        <f t="shared" si="115"/>
        <v>53271.89875</v>
      </c>
      <c r="R166" s="99">
        <f t="shared" si="115"/>
        <v>54337.33673</v>
      </c>
      <c r="S166" s="99">
        <f t="shared" si="115"/>
        <v>55424.08346</v>
      </c>
      <c r="T166" s="99">
        <f t="shared" si="115"/>
        <v>56532.56513</v>
      </c>
      <c r="U166" s="99">
        <f t="shared" si="115"/>
        <v>57663.21644</v>
      </c>
      <c r="V166" s="99">
        <f t="shared" si="115"/>
        <v>58816.48076</v>
      </c>
      <c r="W166" s="99">
        <f t="shared" si="115"/>
        <v>59992.81038</v>
      </c>
      <c r="X166" s="99">
        <f t="shared" si="115"/>
        <v>61192.66659</v>
      </c>
      <c r="Y166" s="99">
        <f t="shared" si="115"/>
        <v>62416.51992</v>
      </c>
      <c r="Z166" s="99">
        <f t="shared" si="115"/>
        <v>63664.85032</v>
      </c>
      <c r="AA166" s="99">
        <f t="shared" si="115"/>
        <v>64938.14732</v>
      </c>
      <c r="AB166" s="99">
        <f t="shared" si="115"/>
        <v>66236.91027</v>
      </c>
      <c r="AC166" s="99">
        <f t="shared" si="115"/>
        <v>67561.64848</v>
      </c>
      <c r="AD166" s="99">
        <f t="shared" si="115"/>
        <v>68912.88145</v>
      </c>
      <c r="AE166" s="99">
        <f t="shared" si="115"/>
        <v>70291.13907</v>
      </c>
      <c r="AF166" s="99">
        <f t="shared" si="115"/>
        <v>71696.96186</v>
      </c>
      <c r="AG166" s="99">
        <f t="shared" si="115"/>
        <v>73130.90109</v>
      </c>
      <c r="AH166" s="99">
        <f t="shared" si="115"/>
        <v>74593.51911</v>
      </c>
      <c r="AI166" s="99">
        <f t="shared" si="115"/>
        <v>76085.3895</v>
      </c>
      <c r="AJ166" s="99">
        <f t="shared" si="115"/>
        <v>77607.09729</v>
      </c>
      <c r="AK166" s="99">
        <f t="shared" si="115"/>
        <v>79159.23923</v>
      </c>
      <c r="AL166" s="99">
        <f t="shared" si="115"/>
        <v>80742.42402</v>
      </c>
      <c r="AM166" s="99">
        <f t="shared" si="115"/>
        <v>82357.2725</v>
      </c>
      <c r="AN166" s="99">
        <f t="shared" si="115"/>
        <v>84004.41795</v>
      </c>
      <c r="AO166" s="99">
        <f t="shared" si="115"/>
        <v>85684.50631</v>
      </c>
      <c r="AP166" s="99">
        <f t="shared" si="115"/>
        <v>87398.19643</v>
      </c>
      <c r="AQ166" s="99">
        <f t="shared" si="115"/>
        <v>89146.16036</v>
      </c>
      <c r="AR166" s="99">
        <f t="shared" si="115"/>
        <v>90929.08357</v>
      </c>
      <c r="AS166" s="99">
        <f t="shared" si="115"/>
        <v>92747.66524</v>
      </c>
      <c r="AT166" s="99">
        <f t="shared" si="115"/>
        <v>94602.61855</v>
      </c>
      <c r="AU166" s="99">
        <f t="shared" si="115"/>
        <v>96494.67092</v>
      </c>
      <c r="AV166" s="99">
        <f t="shared" si="115"/>
        <v>98424.56433</v>
      </c>
      <c r="AW166" s="90"/>
      <c r="AX166" s="90"/>
      <c r="AY166" s="535">
        <v>47000.0</v>
      </c>
      <c r="AZ166" s="535">
        <v>54450.0</v>
      </c>
      <c r="BA166" s="90"/>
      <c r="BB166" s="90"/>
      <c r="BC166" s="90"/>
      <c r="BD166" s="90"/>
      <c r="BE166" s="90"/>
      <c r="BF166" s="90"/>
      <c r="BG166" s="90"/>
    </row>
    <row r="167" ht="12.75" hidden="1" customHeight="1" outlineLevel="1">
      <c r="A167" s="316"/>
      <c r="B167" s="195"/>
      <c r="C167" s="90" t="s">
        <v>707</v>
      </c>
      <c r="D167" s="90"/>
      <c r="E167" s="90"/>
      <c r="F167" s="90"/>
      <c r="G167" s="254"/>
      <c r="H167" s="254"/>
      <c r="I167" s="99"/>
      <c r="J167" s="99">
        <v>0.0</v>
      </c>
      <c r="K167" s="254">
        <v>52250.0</v>
      </c>
      <c r="L167" s="254">
        <f>'RSGen 1-7'!I169</f>
        <v>58000</v>
      </c>
      <c r="M167" s="99">
        <f t="shared" ref="M167:AV167" si="116">L167*(1+M$161)</f>
        <v>59160</v>
      </c>
      <c r="N167" s="99">
        <f t="shared" si="116"/>
        <v>60343.2</v>
      </c>
      <c r="O167" s="99">
        <f t="shared" si="116"/>
        <v>61550.064</v>
      </c>
      <c r="P167" s="99">
        <f t="shared" si="116"/>
        <v>62781.06528</v>
      </c>
      <c r="Q167" s="99">
        <f t="shared" si="116"/>
        <v>64036.68659</v>
      </c>
      <c r="R167" s="99">
        <f t="shared" si="116"/>
        <v>65317.42032</v>
      </c>
      <c r="S167" s="99">
        <f t="shared" si="116"/>
        <v>66623.76872</v>
      </c>
      <c r="T167" s="99">
        <f t="shared" si="116"/>
        <v>67956.2441</v>
      </c>
      <c r="U167" s="99">
        <f t="shared" si="116"/>
        <v>69315.36898</v>
      </c>
      <c r="V167" s="99">
        <f t="shared" si="116"/>
        <v>70701.67636</v>
      </c>
      <c r="W167" s="99">
        <f t="shared" si="116"/>
        <v>72115.70989</v>
      </c>
      <c r="X167" s="99">
        <f t="shared" si="116"/>
        <v>73558.02408</v>
      </c>
      <c r="Y167" s="99">
        <f t="shared" si="116"/>
        <v>75029.18457</v>
      </c>
      <c r="Z167" s="99">
        <f t="shared" si="116"/>
        <v>76529.76826</v>
      </c>
      <c r="AA167" s="99">
        <f t="shared" si="116"/>
        <v>78060.36362</v>
      </c>
      <c r="AB167" s="99">
        <f t="shared" si="116"/>
        <v>79621.5709</v>
      </c>
      <c r="AC167" s="99">
        <f t="shared" si="116"/>
        <v>81214.00231</v>
      </c>
      <c r="AD167" s="99">
        <f t="shared" si="116"/>
        <v>82838.28236</v>
      </c>
      <c r="AE167" s="99">
        <f t="shared" si="116"/>
        <v>84495.04801</v>
      </c>
      <c r="AF167" s="99">
        <f t="shared" si="116"/>
        <v>86184.94897</v>
      </c>
      <c r="AG167" s="99">
        <f t="shared" si="116"/>
        <v>87908.64795</v>
      </c>
      <c r="AH167" s="99">
        <f t="shared" si="116"/>
        <v>89666.82091</v>
      </c>
      <c r="AI167" s="99">
        <f t="shared" si="116"/>
        <v>91460.15732</v>
      </c>
      <c r="AJ167" s="99">
        <f t="shared" si="116"/>
        <v>93289.36047</v>
      </c>
      <c r="AK167" s="99">
        <f t="shared" si="116"/>
        <v>95155.14768</v>
      </c>
      <c r="AL167" s="99">
        <f t="shared" si="116"/>
        <v>97058.25063</v>
      </c>
      <c r="AM167" s="99">
        <f t="shared" si="116"/>
        <v>98999.41565</v>
      </c>
      <c r="AN167" s="99">
        <f t="shared" si="116"/>
        <v>100979.404</v>
      </c>
      <c r="AO167" s="99">
        <f t="shared" si="116"/>
        <v>102998.992</v>
      </c>
      <c r="AP167" s="99">
        <f t="shared" si="116"/>
        <v>105058.9719</v>
      </c>
      <c r="AQ167" s="99">
        <f t="shared" si="116"/>
        <v>107160.1513</v>
      </c>
      <c r="AR167" s="99">
        <f t="shared" si="116"/>
        <v>109303.3543</v>
      </c>
      <c r="AS167" s="99">
        <f t="shared" si="116"/>
        <v>111489.4214</v>
      </c>
      <c r="AT167" s="99">
        <f t="shared" si="116"/>
        <v>113719.2099</v>
      </c>
      <c r="AU167" s="99">
        <f t="shared" si="116"/>
        <v>115993.5941</v>
      </c>
      <c r="AV167" s="99">
        <f t="shared" si="116"/>
        <v>118313.4659</v>
      </c>
      <c r="AW167" s="90"/>
      <c r="AX167" s="90"/>
      <c r="AY167" s="536">
        <f>AVERAGE(AY163:AY166)</f>
        <v>47000</v>
      </c>
      <c r="AZ167" s="535">
        <v>58300.0</v>
      </c>
      <c r="BA167" s="90"/>
      <c r="BB167" s="90"/>
      <c r="BC167" s="90"/>
      <c r="BD167" s="90"/>
      <c r="BE167" s="90"/>
      <c r="BF167" s="90"/>
      <c r="BG167" s="90"/>
    </row>
    <row r="168" ht="12.75" hidden="1" customHeight="1" outlineLevel="1">
      <c r="A168" s="316"/>
      <c r="B168" s="195"/>
      <c r="C168" s="90" t="s">
        <v>702</v>
      </c>
      <c r="D168" s="90"/>
      <c r="E168" s="90"/>
      <c r="F168" s="90"/>
      <c r="G168" s="254"/>
      <c r="H168" s="254"/>
      <c r="I168" s="99"/>
      <c r="J168" s="99">
        <v>0.0</v>
      </c>
      <c r="K168" s="254">
        <v>67000.0</v>
      </c>
      <c r="L168" s="99">
        <f>100000/1.2</f>
        <v>83333.33333</v>
      </c>
      <c r="M168" s="99">
        <f t="shared" ref="M168:AV168" si="117">L168*(1+M$161)</f>
        <v>85000</v>
      </c>
      <c r="N168" s="99">
        <f t="shared" si="117"/>
        <v>86700</v>
      </c>
      <c r="O168" s="99">
        <f t="shared" si="117"/>
        <v>88434</v>
      </c>
      <c r="P168" s="99">
        <f t="shared" si="117"/>
        <v>90202.68</v>
      </c>
      <c r="Q168" s="99">
        <f t="shared" si="117"/>
        <v>92006.7336</v>
      </c>
      <c r="R168" s="99">
        <f t="shared" si="117"/>
        <v>93846.86827</v>
      </c>
      <c r="S168" s="99">
        <f t="shared" si="117"/>
        <v>95723.80564</v>
      </c>
      <c r="T168" s="99">
        <f t="shared" si="117"/>
        <v>97638.28175</v>
      </c>
      <c r="U168" s="99">
        <f t="shared" si="117"/>
        <v>99591.04739</v>
      </c>
      <c r="V168" s="99">
        <f t="shared" si="117"/>
        <v>101582.8683</v>
      </c>
      <c r="W168" s="99">
        <f t="shared" si="117"/>
        <v>103614.5257</v>
      </c>
      <c r="X168" s="99">
        <f t="shared" si="117"/>
        <v>105686.8162</v>
      </c>
      <c r="Y168" s="99">
        <f t="shared" si="117"/>
        <v>107800.5525</v>
      </c>
      <c r="Z168" s="99">
        <f t="shared" si="117"/>
        <v>109956.5636</v>
      </c>
      <c r="AA168" s="99">
        <f t="shared" si="117"/>
        <v>112155.6949</v>
      </c>
      <c r="AB168" s="99">
        <f t="shared" si="117"/>
        <v>114398.8088</v>
      </c>
      <c r="AC168" s="99">
        <f t="shared" si="117"/>
        <v>116686.7849</v>
      </c>
      <c r="AD168" s="99">
        <f t="shared" si="117"/>
        <v>119020.5206</v>
      </c>
      <c r="AE168" s="99">
        <f t="shared" si="117"/>
        <v>121400.931</v>
      </c>
      <c r="AF168" s="99">
        <f t="shared" si="117"/>
        <v>123828.9497</v>
      </c>
      <c r="AG168" s="99">
        <f t="shared" si="117"/>
        <v>126305.5287</v>
      </c>
      <c r="AH168" s="99">
        <f t="shared" si="117"/>
        <v>128831.6392</v>
      </c>
      <c r="AI168" s="99">
        <f t="shared" si="117"/>
        <v>131408.272</v>
      </c>
      <c r="AJ168" s="99">
        <f t="shared" si="117"/>
        <v>134036.4375</v>
      </c>
      <c r="AK168" s="99">
        <f t="shared" si="117"/>
        <v>136717.1662</v>
      </c>
      <c r="AL168" s="99">
        <f t="shared" si="117"/>
        <v>139451.5095</v>
      </c>
      <c r="AM168" s="99">
        <f t="shared" si="117"/>
        <v>142240.5397</v>
      </c>
      <c r="AN168" s="99">
        <f t="shared" si="117"/>
        <v>145085.3505</v>
      </c>
      <c r="AO168" s="99">
        <f t="shared" si="117"/>
        <v>147987.0575</v>
      </c>
      <c r="AP168" s="99">
        <f t="shared" si="117"/>
        <v>150946.7987</v>
      </c>
      <c r="AQ168" s="99">
        <f t="shared" si="117"/>
        <v>153965.7346</v>
      </c>
      <c r="AR168" s="99">
        <f t="shared" si="117"/>
        <v>157045.0493</v>
      </c>
      <c r="AS168" s="99">
        <f t="shared" si="117"/>
        <v>160185.9503</v>
      </c>
      <c r="AT168" s="99">
        <f t="shared" si="117"/>
        <v>163389.6693</v>
      </c>
      <c r="AU168" s="99">
        <f t="shared" si="117"/>
        <v>166657.4627</v>
      </c>
      <c r="AV168" s="99">
        <f t="shared" si="117"/>
        <v>169990.612</v>
      </c>
      <c r="AW168" s="90"/>
      <c r="AX168" s="90"/>
      <c r="AY168" s="537"/>
      <c r="AZ168" s="535">
        <v>54450.0</v>
      </c>
      <c r="BA168" s="90"/>
      <c r="BB168" s="90"/>
      <c r="BC168" s="90"/>
      <c r="BD168" s="90"/>
      <c r="BE168" s="90"/>
      <c r="BF168" s="90"/>
      <c r="BG168" s="90"/>
    </row>
    <row r="169" ht="12.75" hidden="1" customHeight="1" outlineLevel="1">
      <c r="A169" s="316"/>
      <c r="B169" s="195"/>
      <c r="C169" s="90" t="s">
        <v>723</v>
      </c>
      <c r="D169" s="90"/>
      <c r="E169" s="90"/>
      <c r="F169" s="90"/>
      <c r="G169" s="254"/>
      <c r="H169" s="254"/>
      <c r="I169" s="99"/>
      <c r="J169" s="99"/>
      <c r="K169" s="254"/>
      <c r="L169" s="99"/>
      <c r="M169" s="99"/>
      <c r="N169" s="99"/>
      <c r="O169" s="99"/>
      <c r="P169" s="99"/>
      <c r="Q169" s="99"/>
      <c r="R169" s="99"/>
      <c r="S169" s="99"/>
      <c r="T169" s="99"/>
      <c r="U169" s="99"/>
      <c r="V169" s="99"/>
      <c r="W169" s="99"/>
      <c r="X169" s="99"/>
      <c r="Y169" s="99"/>
      <c r="Z169" s="99"/>
      <c r="AA169" s="99"/>
      <c r="AB169" s="99"/>
      <c r="AC169" s="99"/>
      <c r="AD169" s="99"/>
      <c r="AE169" s="99"/>
      <c r="AF169" s="99"/>
      <c r="AG169" s="99"/>
      <c r="AH169" s="99"/>
      <c r="AI169" s="99"/>
      <c r="AJ169" s="99"/>
      <c r="AK169" s="99"/>
      <c r="AL169" s="99"/>
      <c r="AM169" s="99"/>
      <c r="AN169" s="99"/>
      <c r="AO169" s="99"/>
      <c r="AP169" s="99"/>
      <c r="AQ169" s="99"/>
      <c r="AR169" s="99"/>
      <c r="AS169" s="99"/>
      <c r="AT169" s="99"/>
      <c r="AU169" s="99"/>
      <c r="AV169" s="99"/>
      <c r="AW169" s="90"/>
      <c r="AX169" s="90"/>
      <c r="AY169" s="537"/>
      <c r="AZ169" s="535">
        <v>49500.0</v>
      </c>
      <c r="BA169" s="90"/>
      <c r="BB169" s="90"/>
      <c r="BC169" s="90"/>
      <c r="BD169" s="90"/>
      <c r="BE169" s="90"/>
      <c r="BF169" s="90"/>
      <c r="BG169" s="90"/>
    </row>
    <row r="170" ht="12.75" hidden="1" customHeight="1" outlineLevel="1">
      <c r="A170" s="316"/>
      <c r="B170" s="195"/>
      <c r="C170" s="90" t="s">
        <v>711</v>
      </c>
      <c r="D170" s="90"/>
      <c r="E170" s="90"/>
      <c r="F170" s="90"/>
      <c r="G170" s="254"/>
      <c r="H170" s="254"/>
      <c r="I170" s="254"/>
      <c r="J170" s="254">
        <v>42500.0</v>
      </c>
      <c r="K170" s="254">
        <v>45000.0</v>
      </c>
      <c r="L170" s="99">
        <f>'RSGen 1-7'!I172</f>
        <v>48000</v>
      </c>
      <c r="M170" s="99">
        <f t="shared" ref="M170:AV170" si="118">L170*(1+M$161)</f>
        <v>48960</v>
      </c>
      <c r="N170" s="99">
        <f t="shared" si="118"/>
        <v>49939.2</v>
      </c>
      <c r="O170" s="99">
        <f t="shared" si="118"/>
        <v>50937.984</v>
      </c>
      <c r="P170" s="99">
        <f t="shared" si="118"/>
        <v>51956.74368</v>
      </c>
      <c r="Q170" s="99">
        <f t="shared" si="118"/>
        <v>52995.87855</v>
      </c>
      <c r="R170" s="99">
        <f t="shared" si="118"/>
        <v>54055.79612</v>
      </c>
      <c r="S170" s="99">
        <f t="shared" si="118"/>
        <v>55136.91205</v>
      </c>
      <c r="T170" s="99">
        <f t="shared" si="118"/>
        <v>56239.65029</v>
      </c>
      <c r="U170" s="99">
        <f t="shared" si="118"/>
        <v>57364.44329</v>
      </c>
      <c r="V170" s="99">
        <f t="shared" si="118"/>
        <v>58511.73216</v>
      </c>
      <c r="W170" s="99">
        <f t="shared" si="118"/>
        <v>59681.9668</v>
      </c>
      <c r="X170" s="99">
        <f t="shared" si="118"/>
        <v>60875.60614</v>
      </c>
      <c r="Y170" s="99">
        <f t="shared" si="118"/>
        <v>62093.11826</v>
      </c>
      <c r="Z170" s="99">
        <f t="shared" si="118"/>
        <v>63334.98063</v>
      </c>
      <c r="AA170" s="99">
        <f t="shared" si="118"/>
        <v>64601.68024</v>
      </c>
      <c r="AB170" s="99">
        <f t="shared" si="118"/>
        <v>65893.71384</v>
      </c>
      <c r="AC170" s="99">
        <f t="shared" si="118"/>
        <v>67211.58812</v>
      </c>
      <c r="AD170" s="99">
        <f t="shared" si="118"/>
        <v>68555.81988</v>
      </c>
      <c r="AE170" s="99">
        <f t="shared" si="118"/>
        <v>69926.93628</v>
      </c>
      <c r="AF170" s="99">
        <f t="shared" si="118"/>
        <v>71325.47501</v>
      </c>
      <c r="AG170" s="99">
        <f t="shared" si="118"/>
        <v>72751.98451</v>
      </c>
      <c r="AH170" s="99">
        <f t="shared" si="118"/>
        <v>74207.0242</v>
      </c>
      <c r="AI170" s="99">
        <f t="shared" si="118"/>
        <v>75691.16468</v>
      </c>
      <c r="AJ170" s="99">
        <f t="shared" si="118"/>
        <v>77204.98797</v>
      </c>
      <c r="AK170" s="99">
        <f t="shared" si="118"/>
        <v>78749.08773</v>
      </c>
      <c r="AL170" s="99">
        <f t="shared" si="118"/>
        <v>80324.06949</v>
      </c>
      <c r="AM170" s="99">
        <f t="shared" si="118"/>
        <v>81930.55088</v>
      </c>
      <c r="AN170" s="99">
        <f t="shared" si="118"/>
        <v>83569.1619</v>
      </c>
      <c r="AO170" s="99">
        <f t="shared" si="118"/>
        <v>85240.54513</v>
      </c>
      <c r="AP170" s="99">
        <f t="shared" si="118"/>
        <v>86945.35604</v>
      </c>
      <c r="AQ170" s="99">
        <f t="shared" si="118"/>
        <v>88684.26316</v>
      </c>
      <c r="AR170" s="99">
        <f t="shared" si="118"/>
        <v>90457.94842</v>
      </c>
      <c r="AS170" s="99">
        <f t="shared" si="118"/>
        <v>92267.10739</v>
      </c>
      <c r="AT170" s="99">
        <f t="shared" si="118"/>
        <v>94112.44954</v>
      </c>
      <c r="AU170" s="99">
        <f t="shared" si="118"/>
        <v>95994.69853</v>
      </c>
      <c r="AV170" s="99">
        <f t="shared" si="118"/>
        <v>97914.5925</v>
      </c>
      <c r="AW170" s="90"/>
      <c r="AX170" s="90"/>
      <c r="AY170" s="536"/>
      <c r="AZ170" s="535">
        <v>54450.0</v>
      </c>
      <c r="BA170" s="90"/>
      <c r="BB170" s="90"/>
      <c r="BC170" s="90"/>
      <c r="BD170" s="90"/>
      <c r="BE170" s="90"/>
      <c r="BF170" s="90"/>
      <c r="BG170" s="90"/>
    </row>
    <row r="171" ht="12.75" hidden="1" customHeight="1" outlineLevel="1">
      <c r="A171" s="316"/>
      <c r="B171" s="195"/>
      <c r="C171" s="90" t="s">
        <v>724</v>
      </c>
      <c r="D171" s="90"/>
      <c r="E171" s="90"/>
      <c r="F171" s="90"/>
      <c r="G171" s="254"/>
      <c r="H171" s="254"/>
      <c r="I171" s="99"/>
      <c r="J171" s="99">
        <v>0.0</v>
      </c>
      <c r="K171" s="254">
        <v>0.0</v>
      </c>
      <c r="L171" s="99">
        <f>'RS1'!L171</f>
        <v>25000</v>
      </c>
      <c r="M171" s="99">
        <f t="shared" ref="M171:AV171" si="119">L171*(1+M$161)</f>
        <v>25500</v>
      </c>
      <c r="N171" s="99">
        <f t="shared" si="119"/>
        <v>26010</v>
      </c>
      <c r="O171" s="99">
        <f t="shared" si="119"/>
        <v>26530.2</v>
      </c>
      <c r="P171" s="99">
        <f t="shared" si="119"/>
        <v>27060.804</v>
      </c>
      <c r="Q171" s="99">
        <f t="shared" si="119"/>
        <v>27602.02008</v>
      </c>
      <c r="R171" s="99">
        <f t="shared" si="119"/>
        <v>28154.06048</v>
      </c>
      <c r="S171" s="99">
        <f t="shared" si="119"/>
        <v>28717.14169</v>
      </c>
      <c r="T171" s="99">
        <f t="shared" si="119"/>
        <v>29291.48453</v>
      </c>
      <c r="U171" s="99">
        <f t="shared" si="119"/>
        <v>29877.31422</v>
      </c>
      <c r="V171" s="99">
        <f t="shared" si="119"/>
        <v>30474.8605</v>
      </c>
      <c r="W171" s="99">
        <f t="shared" si="119"/>
        <v>31084.35771</v>
      </c>
      <c r="X171" s="99">
        <f t="shared" si="119"/>
        <v>31706.04486</v>
      </c>
      <c r="Y171" s="99">
        <f t="shared" si="119"/>
        <v>32340.16576</v>
      </c>
      <c r="Z171" s="99">
        <f t="shared" si="119"/>
        <v>32986.96908</v>
      </c>
      <c r="AA171" s="99">
        <f t="shared" si="119"/>
        <v>33646.70846</v>
      </c>
      <c r="AB171" s="99">
        <f t="shared" si="119"/>
        <v>34319.64263</v>
      </c>
      <c r="AC171" s="99">
        <f t="shared" si="119"/>
        <v>35006.03548</v>
      </c>
      <c r="AD171" s="99">
        <f t="shared" si="119"/>
        <v>35706.15619</v>
      </c>
      <c r="AE171" s="99">
        <f t="shared" si="119"/>
        <v>36420.27931</v>
      </c>
      <c r="AF171" s="99">
        <f t="shared" si="119"/>
        <v>37148.6849</v>
      </c>
      <c r="AG171" s="99">
        <f t="shared" si="119"/>
        <v>37891.6586</v>
      </c>
      <c r="AH171" s="99">
        <f t="shared" si="119"/>
        <v>38649.49177</v>
      </c>
      <c r="AI171" s="99">
        <f t="shared" si="119"/>
        <v>39422.4816</v>
      </c>
      <c r="AJ171" s="99">
        <f t="shared" si="119"/>
        <v>40210.93124</v>
      </c>
      <c r="AK171" s="99">
        <f t="shared" si="119"/>
        <v>41015.14986</v>
      </c>
      <c r="AL171" s="99">
        <f t="shared" si="119"/>
        <v>41835.45286</v>
      </c>
      <c r="AM171" s="99">
        <f t="shared" si="119"/>
        <v>42672.16192</v>
      </c>
      <c r="AN171" s="99">
        <f t="shared" si="119"/>
        <v>43525.60515</v>
      </c>
      <c r="AO171" s="99">
        <f t="shared" si="119"/>
        <v>44396.11726</v>
      </c>
      <c r="AP171" s="99">
        <f t="shared" si="119"/>
        <v>45284.0396</v>
      </c>
      <c r="AQ171" s="99">
        <f t="shared" si="119"/>
        <v>46189.72039</v>
      </c>
      <c r="AR171" s="99">
        <f t="shared" si="119"/>
        <v>47113.5148</v>
      </c>
      <c r="AS171" s="99">
        <f t="shared" si="119"/>
        <v>48055.7851</v>
      </c>
      <c r="AT171" s="99">
        <f t="shared" si="119"/>
        <v>49016.9008</v>
      </c>
      <c r="AU171" s="99">
        <f t="shared" si="119"/>
        <v>49997.23882</v>
      </c>
      <c r="AV171" s="99">
        <f t="shared" si="119"/>
        <v>50997.18359</v>
      </c>
      <c r="AW171" s="90"/>
      <c r="AX171" s="90"/>
      <c r="AY171" s="90"/>
      <c r="AZ171" s="535">
        <v>49500.0</v>
      </c>
      <c r="BA171" s="90"/>
      <c r="BB171" s="90"/>
      <c r="BC171" s="90"/>
      <c r="BD171" s="90"/>
      <c r="BE171" s="90"/>
      <c r="BF171" s="90"/>
      <c r="BG171" s="90"/>
    </row>
    <row r="172" ht="12.75" hidden="1" customHeight="1" outlineLevel="1">
      <c r="A172" s="316"/>
      <c r="B172" s="195"/>
      <c r="C172" s="90" t="s">
        <v>713</v>
      </c>
      <c r="D172" s="90"/>
      <c r="E172" s="90"/>
      <c r="F172" s="90"/>
      <c r="G172" s="254"/>
      <c r="H172" s="254"/>
      <c r="I172" s="99"/>
      <c r="J172" s="99">
        <v>0.0</v>
      </c>
      <c r="K172" s="99">
        <v>0.0</v>
      </c>
      <c r="L172" s="99">
        <f>'RS1'!L172</f>
        <v>14400</v>
      </c>
      <c r="M172" s="99">
        <f t="shared" ref="M172:AV172" si="120">L172*(1+M$161)</f>
        <v>14688</v>
      </c>
      <c r="N172" s="99">
        <f t="shared" si="120"/>
        <v>14981.76</v>
      </c>
      <c r="O172" s="99">
        <f t="shared" si="120"/>
        <v>15281.3952</v>
      </c>
      <c r="P172" s="99">
        <f t="shared" si="120"/>
        <v>15587.0231</v>
      </c>
      <c r="Q172" s="99">
        <f t="shared" si="120"/>
        <v>15898.76357</v>
      </c>
      <c r="R172" s="99">
        <f t="shared" si="120"/>
        <v>16216.73884</v>
      </c>
      <c r="S172" s="99">
        <f t="shared" si="120"/>
        <v>16541.07361</v>
      </c>
      <c r="T172" s="99">
        <f t="shared" si="120"/>
        <v>16871.89509</v>
      </c>
      <c r="U172" s="99">
        <f t="shared" si="120"/>
        <v>17209.33299</v>
      </c>
      <c r="V172" s="99">
        <f t="shared" si="120"/>
        <v>17553.51965</v>
      </c>
      <c r="W172" s="99">
        <f t="shared" si="120"/>
        <v>17904.59004</v>
      </c>
      <c r="X172" s="99">
        <f t="shared" si="120"/>
        <v>18262.68184</v>
      </c>
      <c r="Y172" s="99">
        <f t="shared" si="120"/>
        <v>18627.93548</v>
      </c>
      <c r="Z172" s="99">
        <f t="shared" si="120"/>
        <v>19000.49419</v>
      </c>
      <c r="AA172" s="99">
        <f t="shared" si="120"/>
        <v>19380.50407</v>
      </c>
      <c r="AB172" s="99">
        <f t="shared" si="120"/>
        <v>19768.11415</v>
      </c>
      <c r="AC172" s="99">
        <f t="shared" si="120"/>
        <v>20163.47644</v>
      </c>
      <c r="AD172" s="99">
        <f t="shared" si="120"/>
        <v>20566.74597</v>
      </c>
      <c r="AE172" s="99">
        <f t="shared" si="120"/>
        <v>20978.08088</v>
      </c>
      <c r="AF172" s="99">
        <f t="shared" si="120"/>
        <v>21397.6425</v>
      </c>
      <c r="AG172" s="99">
        <f t="shared" si="120"/>
        <v>21825.59535</v>
      </c>
      <c r="AH172" s="99">
        <f t="shared" si="120"/>
        <v>22262.10726</v>
      </c>
      <c r="AI172" s="99">
        <f t="shared" si="120"/>
        <v>22707.3494</v>
      </c>
      <c r="AJ172" s="99">
        <f t="shared" si="120"/>
        <v>23161.49639</v>
      </c>
      <c r="AK172" s="99">
        <f t="shared" si="120"/>
        <v>23624.72632</v>
      </c>
      <c r="AL172" s="99">
        <f t="shared" si="120"/>
        <v>24097.22085</v>
      </c>
      <c r="AM172" s="99">
        <f t="shared" si="120"/>
        <v>24579.16526</v>
      </c>
      <c r="AN172" s="99">
        <f t="shared" si="120"/>
        <v>25070.74857</v>
      </c>
      <c r="AO172" s="99">
        <f t="shared" si="120"/>
        <v>25572.16354</v>
      </c>
      <c r="AP172" s="99">
        <f t="shared" si="120"/>
        <v>26083.60681</v>
      </c>
      <c r="AQ172" s="99">
        <f t="shared" si="120"/>
        <v>26605.27895</v>
      </c>
      <c r="AR172" s="99">
        <f t="shared" si="120"/>
        <v>27137.38453</v>
      </c>
      <c r="AS172" s="99">
        <f t="shared" si="120"/>
        <v>27680.13222</v>
      </c>
      <c r="AT172" s="99">
        <f t="shared" si="120"/>
        <v>28233.73486</v>
      </c>
      <c r="AU172" s="99">
        <f t="shared" si="120"/>
        <v>28798.40956</v>
      </c>
      <c r="AV172" s="99">
        <f t="shared" si="120"/>
        <v>29374.37775</v>
      </c>
      <c r="AW172" s="90"/>
      <c r="AX172" s="90"/>
      <c r="AY172" s="90"/>
      <c r="AZ172" s="535">
        <v>50000.0</v>
      </c>
      <c r="BA172" s="90"/>
      <c r="BB172" s="90"/>
      <c r="BC172" s="90"/>
      <c r="BD172" s="90"/>
      <c r="BE172" s="90"/>
      <c r="BF172" s="90"/>
      <c r="BG172" s="90"/>
    </row>
    <row r="173" ht="12.75" hidden="1" customHeight="1" outlineLevel="1">
      <c r="A173" s="316"/>
      <c r="B173" s="195"/>
      <c r="C173" s="90" t="s">
        <v>714</v>
      </c>
      <c r="D173" s="90"/>
      <c r="E173" s="90"/>
      <c r="F173" s="90"/>
      <c r="G173" s="254"/>
      <c r="H173" s="254"/>
      <c r="I173" s="99"/>
      <c r="J173" s="99">
        <v>0.0</v>
      </c>
      <c r="K173" s="99">
        <v>0.0</v>
      </c>
      <c r="L173" s="99">
        <f>'RS1'!L173</f>
        <v>14400</v>
      </c>
      <c r="M173" s="99">
        <f t="shared" ref="M173:AV173" si="121">L173*(1+M$161)</f>
        <v>14688</v>
      </c>
      <c r="N173" s="99">
        <f t="shared" si="121"/>
        <v>14981.76</v>
      </c>
      <c r="O173" s="99">
        <f t="shared" si="121"/>
        <v>15281.3952</v>
      </c>
      <c r="P173" s="99">
        <f t="shared" si="121"/>
        <v>15587.0231</v>
      </c>
      <c r="Q173" s="99">
        <f t="shared" si="121"/>
        <v>15898.76357</v>
      </c>
      <c r="R173" s="99">
        <f t="shared" si="121"/>
        <v>16216.73884</v>
      </c>
      <c r="S173" s="99">
        <f t="shared" si="121"/>
        <v>16541.07361</v>
      </c>
      <c r="T173" s="99">
        <f t="shared" si="121"/>
        <v>16871.89509</v>
      </c>
      <c r="U173" s="99">
        <f t="shared" si="121"/>
        <v>17209.33299</v>
      </c>
      <c r="V173" s="99">
        <f t="shared" si="121"/>
        <v>17553.51965</v>
      </c>
      <c r="W173" s="99">
        <f t="shared" si="121"/>
        <v>17904.59004</v>
      </c>
      <c r="X173" s="99">
        <f t="shared" si="121"/>
        <v>18262.68184</v>
      </c>
      <c r="Y173" s="99">
        <f t="shared" si="121"/>
        <v>18627.93548</v>
      </c>
      <c r="Z173" s="99">
        <f t="shared" si="121"/>
        <v>19000.49419</v>
      </c>
      <c r="AA173" s="99">
        <f t="shared" si="121"/>
        <v>19380.50407</v>
      </c>
      <c r="AB173" s="99">
        <f t="shared" si="121"/>
        <v>19768.11415</v>
      </c>
      <c r="AC173" s="99">
        <f t="shared" si="121"/>
        <v>20163.47644</v>
      </c>
      <c r="AD173" s="99">
        <f t="shared" si="121"/>
        <v>20566.74597</v>
      </c>
      <c r="AE173" s="99">
        <f t="shared" si="121"/>
        <v>20978.08088</v>
      </c>
      <c r="AF173" s="99">
        <f t="shared" si="121"/>
        <v>21397.6425</v>
      </c>
      <c r="AG173" s="99">
        <f t="shared" si="121"/>
        <v>21825.59535</v>
      </c>
      <c r="AH173" s="99">
        <f t="shared" si="121"/>
        <v>22262.10726</v>
      </c>
      <c r="AI173" s="99">
        <f t="shared" si="121"/>
        <v>22707.3494</v>
      </c>
      <c r="AJ173" s="99">
        <f t="shared" si="121"/>
        <v>23161.49639</v>
      </c>
      <c r="AK173" s="99">
        <f t="shared" si="121"/>
        <v>23624.72632</v>
      </c>
      <c r="AL173" s="99">
        <f t="shared" si="121"/>
        <v>24097.22085</v>
      </c>
      <c r="AM173" s="99">
        <f t="shared" si="121"/>
        <v>24579.16526</v>
      </c>
      <c r="AN173" s="99">
        <f t="shared" si="121"/>
        <v>25070.74857</v>
      </c>
      <c r="AO173" s="99">
        <f t="shared" si="121"/>
        <v>25572.16354</v>
      </c>
      <c r="AP173" s="99">
        <f t="shared" si="121"/>
        <v>26083.60681</v>
      </c>
      <c r="AQ173" s="99">
        <f t="shared" si="121"/>
        <v>26605.27895</v>
      </c>
      <c r="AR173" s="99">
        <f t="shared" si="121"/>
        <v>27137.38453</v>
      </c>
      <c r="AS173" s="99">
        <f t="shared" si="121"/>
        <v>27680.13222</v>
      </c>
      <c r="AT173" s="99">
        <f t="shared" si="121"/>
        <v>28233.73486</v>
      </c>
      <c r="AU173" s="99">
        <f t="shared" si="121"/>
        <v>28798.40956</v>
      </c>
      <c r="AV173" s="99">
        <f t="shared" si="121"/>
        <v>29374.37775</v>
      </c>
      <c r="AW173" s="90"/>
      <c r="AX173" s="90"/>
      <c r="AY173" s="90"/>
      <c r="AZ173" s="535">
        <v>49500.0</v>
      </c>
      <c r="BA173" s="90"/>
      <c r="BB173" s="90"/>
      <c r="BC173" s="90"/>
      <c r="BD173" s="90"/>
      <c r="BE173" s="90"/>
      <c r="BF173" s="90"/>
      <c r="BG173" s="90"/>
    </row>
    <row r="174" ht="12.75" hidden="1" customHeight="1" outlineLevel="1">
      <c r="A174" s="316"/>
      <c r="B174" s="195"/>
      <c r="C174" s="90"/>
      <c r="D174" s="90"/>
      <c r="E174" s="90"/>
      <c r="F174" s="90"/>
      <c r="G174" s="254"/>
      <c r="H174" s="254"/>
      <c r="I174" s="99"/>
      <c r="J174" s="99"/>
      <c r="K174" s="99"/>
      <c r="L174" s="99"/>
      <c r="M174" s="99"/>
      <c r="N174" s="99"/>
      <c r="O174" s="99"/>
      <c r="P174" s="99"/>
      <c r="Q174" s="99"/>
      <c r="R174" s="99"/>
      <c r="S174" s="99"/>
      <c r="T174" s="99"/>
      <c r="U174" s="99"/>
      <c r="V174" s="99"/>
      <c r="W174" s="99"/>
      <c r="X174" s="99"/>
      <c r="Y174" s="99"/>
      <c r="Z174" s="99"/>
      <c r="AA174" s="99"/>
      <c r="AB174" s="99"/>
      <c r="AC174" s="99"/>
      <c r="AD174" s="99"/>
      <c r="AE174" s="99"/>
      <c r="AF174" s="99"/>
      <c r="AG174" s="99"/>
      <c r="AH174" s="99"/>
      <c r="AI174" s="99"/>
      <c r="AJ174" s="99"/>
      <c r="AK174" s="99"/>
      <c r="AL174" s="99"/>
      <c r="AM174" s="99"/>
      <c r="AN174" s="99"/>
      <c r="AO174" s="99"/>
      <c r="AP174" s="99"/>
      <c r="AQ174" s="99"/>
      <c r="AR174" s="99"/>
      <c r="AS174" s="99"/>
      <c r="AT174" s="99"/>
      <c r="AU174" s="99"/>
      <c r="AV174" s="99"/>
      <c r="AW174" s="90"/>
      <c r="AX174" s="90"/>
      <c r="AY174" s="90"/>
      <c r="AZ174" s="537">
        <f>AVERAGE(AZ163:AZ173)</f>
        <v>55145.45455</v>
      </c>
      <c r="BA174" s="90"/>
      <c r="BB174" s="90"/>
      <c r="BC174" s="90"/>
      <c r="BD174" s="90"/>
      <c r="BE174" s="90"/>
      <c r="BF174" s="90"/>
      <c r="BG174" s="90"/>
    </row>
    <row r="175" ht="12.75" hidden="1" customHeight="1" outlineLevel="1">
      <c r="A175" s="316"/>
      <c r="B175" s="67" t="s">
        <v>725</v>
      </c>
      <c r="C175" s="90"/>
      <c r="D175" s="90"/>
      <c r="E175" s="90"/>
      <c r="F175" s="90"/>
      <c r="G175" s="254"/>
      <c r="H175" s="254"/>
      <c r="I175" s="99"/>
      <c r="J175" s="99"/>
      <c r="K175" s="99"/>
      <c r="L175" s="99"/>
      <c r="M175" s="99"/>
      <c r="N175" s="99"/>
      <c r="O175" s="99"/>
      <c r="P175" s="99"/>
      <c r="Q175" s="99"/>
      <c r="R175" s="99"/>
      <c r="S175" s="99"/>
      <c r="T175" s="99"/>
      <c r="U175" s="99"/>
      <c r="V175" s="99"/>
      <c r="W175" s="99"/>
      <c r="X175" s="99"/>
      <c r="Y175" s="99"/>
      <c r="Z175" s="99"/>
      <c r="AA175" s="99"/>
      <c r="AB175" s="99"/>
      <c r="AC175" s="99"/>
      <c r="AD175" s="99"/>
      <c r="AE175" s="99"/>
      <c r="AF175" s="99"/>
      <c r="AG175" s="99"/>
      <c r="AH175" s="99"/>
      <c r="AI175" s="99"/>
      <c r="AJ175" s="99"/>
      <c r="AK175" s="99"/>
      <c r="AL175" s="99"/>
      <c r="AM175" s="99"/>
      <c r="AN175" s="99"/>
      <c r="AO175" s="99"/>
      <c r="AP175" s="99"/>
      <c r="AQ175" s="99"/>
      <c r="AR175" s="99"/>
      <c r="AS175" s="99"/>
      <c r="AT175" s="99"/>
      <c r="AU175" s="99"/>
      <c r="AV175" s="99"/>
      <c r="AW175" s="90"/>
      <c r="AX175" s="90"/>
      <c r="AY175" s="90"/>
      <c r="AZ175" s="90"/>
      <c r="BA175" s="90"/>
      <c r="BB175" s="90"/>
      <c r="BC175" s="90"/>
      <c r="BD175" s="90"/>
      <c r="BE175" s="90"/>
      <c r="BF175" s="90"/>
      <c r="BG175" s="90"/>
    </row>
    <row r="176" ht="12.75" hidden="1" customHeight="1" outlineLevel="1">
      <c r="A176" s="316"/>
      <c r="B176" s="195"/>
      <c r="C176" s="90" t="s">
        <v>726</v>
      </c>
      <c r="D176" s="90"/>
      <c r="E176" s="90"/>
      <c r="F176" s="90"/>
      <c r="G176" s="254"/>
      <c r="H176" s="254"/>
      <c r="I176" s="157"/>
      <c r="J176" s="157">
        <v>0.1</v>
      </c>
      <c r="K176" s="152">
        <f t="shared" ref="K176:AV176" si="122">J176</f>
        <v>0.1</v>
      </c>
      <c r="L176" s="152">
        <f t="shared" si="122"/>
        <v>0.1</v>
      </c>
      <c r="M176" s="152">
        <f t="shared" si="122"/>
        <v>0.1</v>
      </c>
      <c r="N176" s="152">
        <f t="shared" si="122"/>
        <v>0.1</v>
      </c>
      <c r="O176" s="152">
        <f t="shared" si="122"/>
        <v>0.1</v>
      </c>
      <c r="P176" s="152">
        <f t="shared" si="122"/>
        <v>0.1</v>
      </c>
      <c r="Q176" s="152">
        <f t="shared" si="122"/>
        <v>0.1</v>
      </c>
      <c r="R176" s="152">
        <f t="shared" si="122"/>
        <v>0.1</v>
      </c>
      <c r="S176" s="152">
        <f t="shared" si="122"/>
        <v>0.1</v>
      </c>
      <c r="T176" s="152">
        <f t="shared" si="122"/>
        <v>0.1</v>
      </c>
      <c r="U176" s="152">
        <f t="shared" si="122"/>
        <v>0.1</v>
      </c>
      <c r="V176" s="152">
        <f t="shared" si="122"/>
        <v>0.1</v>
      </c>
      <c r="W176" s="152">
        <f t="shared" si="122"/>
        <v>0.1</v>
      </c>
      <c r="X176" s="152">
        <f t="shared" si="122"/>
        <v>0.1</v>
      </c>
      <c r="Y176" s="152">
        <f t="shared" si="122"/>
        <v>0.1</v>
      </c>
      <c r="Z176" s="152">
        <f t="shared" si="122"/>
        <v>0.1</v>
      </c>
      <c r="AA176" s="152">
        <f t="shared" si="122"/>
        <v>0.1</v>
      </c>
      <c r="AB176" s="152">
        <f t="shared" si="122"/>
        <v>0.1</v>
      </c>
      <c r="AC176" s="152">
        <f t="shared" si="122"/>
        <v>0.1</v>
      </c>
      <c r="AD176" s="152">
        <f t="shared" si="122"/>
        <v>0.1</v>
      </c>
      <c r="AE176" s="152">
        <f t="shared" si="122"/>
        <v>0.1</v>
      </c>
      <c r="AF176" s="152">
        <f t="shared" si="122"/>
        <v>0.1</v>
      </c>
      <c r="AG176" s="152">
        <f t="shared" si="122"/>
        <v>0.1</v>
      </c>
      <c r="AH176" s="152">
        <f t="shared" si="122"/>
        <v>0.1</v>
      </c>
      <c r="AI176" s="152">
        <f t="shared" si="122"/>
        <v>0.1</v>
      </c>
      <c r="AJ176" s="152">
        <f t="shared" si="122"/>
        <v>0.1</v>
      </c>
      <c r="AK176" s="152">
        <f t="shared" si="122"/>
        <v>0.1</v>
      </c>
      <c r="AL176" s="152">
        <f t="shared" si="122"/>
        <v>0.1</v>
      </c>
      <c r="AM176" s="152">
        <f t="shared" si="122"/>
        <v>0.1</v>
      </c>
      <c r="AN176" s="152">
        <f t="shared" si="122"/>
        <v>0.1</v>
      </c>
      <c r="AO176" s="152">
        <f t="shared" si="122"/>
        <v>0.1</v>
      </c>
      <c r="AP176" s="152">
        <f t="shared" si="122"/>
        <v>0.1</v>
      </c>
      <c r="AQ176" s="152">
        <f t="shared" si="122"/>
        <v>0.1</v>
      </c>
      <c r="AR176" s="152">
        <f t="shared" si="122"/>
        <v>0.1</v>
      </c>
      <c r="AS176" s="152">
        <f t="shared" si="122"/>
        <v>0.1</v>
      </c>
      <c r="AT176" s="152">
        <f t="shared" si="122"/>
        <v>0.1</v>
      </c>
      <c r="AU176" s="152">
        <f t="shared" si="122"/>
        <v>0.1</v>
      </c>
      <c r="AV176" s="152">
        <f t="shared" si="122"/>
        <v>0.1</v>
      </c>
      <c r="AW176" s="90"/>
      <c r="AX176" s="90"/>
      <c r="AY176" s="90"/>
      <c r="AZ176" s="90"/>
      <c r="BA176" s="90"/>
      <c r="BB176" s="90"/>
      <c r="BC176" s="90"/>
      <c r="BD176" s="90"/>
      <c r="BE176" s="90"/>
      <c r="BF176" s="90"/>
      <c r="BG176" s="90"/>
    </row>
    <row r="177" ht="12.75" hidden="1" customHeight="1" outlineLevel="1">
      <c r="A177" s="316"/>
      <c r="B177" s="195"/>
      <c r="C177" s="90" t="s">
        <v>727</v>
      </c>
      <c r="D177" s="90"/>
      <c r="E177" s="90"/>
      <c r="F177" s="90"/>
      <c r="G177" s="254"/>
      <c r="H177" s="254"/>
      <c r="I177" s="157"/>
      <c r="J177" s="157">
        <v>1.0</v>
      </c>
      <c r="K177" s="152">
        <v>1.0</v>
      </c>
      <c r="L177" s="152">
        <f t="shared" ref="L177:AV177" si="123">K177</f>
        <v>1</v>
      </c>
      <c r="M177" s="152">
        <f t="shared" si="123"/>
        <v>1</v>
      </c>
      <c r="N177" s="152">
        <f t="shared" si="123"/>
        <v>1</v>
      </c>
      <c r="O177" s="152">
        <f t="shared" si="123"/>
        <v>1</v>
      </c>
      <c r="P177" s="152">
        <f t="shared" si="123"/>
        <v>1</v>
      </c>
      <c r="Q177" s="152">
        <f t="shared" si="123"/>
        <v>1</v>
      </c>
      <c r="R177" s="152">
        <f t="shared" si="123"/>
        <v>1</v>
      </c>
      <c r="S177" s="152">
        <f t="shared" si="123"/>
        <v>1</v>
      </c>
      <c r="T177" s="152">
        <f t="shared" si="123"/>
        <v>1</v>
      </c>
      <c r="U177" s="152">
        <f t="shared" si="123"/>
        <v>1</v>
      </c>
      <c r="V177" s="152">
        <f t="shared" si="123"/>
        <v>1</v>
      </c>
      <c r="W177" s="152">
        <f t="shared" si="123"/>
        <v>1</v>
      </c>
      <c r="X177" s="152">
        <f t="shared" si="123"/>
        <v>1</v>
      </c>
      <c r="Y177" s="152">
        <f t="shared" si="123"/>
        <v>1</v>
      </c>
      <c r="Z177" s="152">
        <f t="shared" si="123"/>
        <v>1</v>
      </c>
      <c r="AA177" s="152">
        <f t="shared" si="123"/>
        <v>1</v>
      </c>
      <c r="AB177" s="152">
        <f t="shared" si="123"/>
        <v>1</v>
      </c>
      <c r="AC177" s="152">
        <f t="shared" si="123"/>
        <v>1</v>
      </c>
      <c r="AD177" s="152">
        <f t="shared" si="123"/>
        <v>1</v>
      </c>
      <c r="AE177" s="152">
        <f t="shared" si="123"/>
        <v>1</v>
      </c>
      <c r="AF177" s="152">
        <f t="shared" si="123"/>
        <v>1</v>
      </c>
      <c r="AG177" s="152">
        <f t="shared" si="123"/>
        <v>1</v>
      </c>
      <c r="AH177" s="152">
        <f t="shared" si="123"/>
        <v>1</v>
      </c>
      <c r="AI177" s="152">
        <f t="shared" si="123"/>
        <v>1</v>
      </c>
      <c r="AJ177" s="152">
        <f t="shared" si="123"/>
        <v>1</v>
      </c>
      <c r="AK177" s="152">
        <f t="shared" si="123"/>
        <v>1</v>
      </c>
      <c r="AL177" s="152">
        <f t="shared" si="123"/>
        <v>1</v>
      </c>
      <c r="AM177" s="152">
        <f t="shared" si="123"/>
        <v>1</v>
      </c>
      <c r="AN177" s="152">
        <f t="shared" si="123"/>
        <v>1</v>
      </c>
      <c r="AO177" s="152">
        <f t="shared" si="123"/>
        <v>1</v>
      </c>
      <c r="AP177" s="152">
        <f t="shared" si="123"/>
        <v>1</v>
      </c>
      <c r="AQ177" s="152">
        <f t="shared" si="123"/>
        <v>1</v>
      </c>
      <c r="AR177" s="152">
        <f t="shared" si="123"/>
        <v>1</v>
      </c>
      <c r="AS177" s="152">
        <f t="shared" si="123"/>
        <v>1</v>
      </c>
      <c r="AT177" s="152">
        <f t="shared" si="123"/>
        <v>1</v>
      </c>
      <c r="AU177" s="152">
        <f t="shared" si="123"/>
        <v>1</v>
      </c>
      <c r="AV177" s="152">
        <f t="shared" si="123"/>
        <v>1</v>
      </c>
      <c r="AW177" s="90"/>
      <c r="AX177" s="90"/>
      <c r="AY177" s="90"/>
      <c r="AZ177" s="90"/>
      <c r="BA177" s="90"/>
      <c r="BB177" s="90"/>
      <c r="BC177" s="90"/>
      <c r="BD177" s="90"/>
      <c r="BE177" s="90"/>
      <c r="BF177" s="90"/>
      <c r="BG177" s="90"/>
    </row>
    <row r="178" ht="12.75" hidden="1" customHeight="1" outlineLevel="1">
      <c r="A178" s="538"/>
      <c r="B178" s="372"/>
      <c r="C178" s="353" t="s">
        <v>728</v>
      </c>
      <c r="D178" s="353"/>
      <c r="E178" s="353"/>
      <c r="F178" s="353"/>
      <c r="G178" s="353"/>
      <c r="H178" s="518"/>
      <c r="I178" s="254"/>
      <c r="J178" s="254">
        <f t="shared" ref="J178:AV178" si="124">J163*0.1+J168*0.1</f>
        <v>8500</v>
      </c>
      <c r="K178" s="254">
        <f t="shared" si="124"/>
        <v>15033.33333</v>
      </c>
      <c r="L178" s="254">
        <f t="shared" si="124"/>
        <v>18333.33333</v>
      </c>
      <c r="M178" s="254">
        <f t="shared" si="124"/>
        <v>18700</v>
      </c>
      <c r="N178" s="254">
        <f t="shared" si="124"/>
        <v>19074</v>
      </c>
      <c r="O178" s="254">
        <f t="shared" si="124"/>
        <v>19455.48</v>
      </c>
      <c r="P178" s="254">
        <f t="shared" si="124"/>
        <v>19844.5896</v>
      </c>
      <c r="Q178" s="254">
        <f t="shared" si="124"/>
        <v>20241.48139</v>
      </c>
      <c r="R178" s="254">
        <f t="shared" si="124"/>
        <v>20646.31102</v>
      </c>
      <c r="S178" s="254">
        <f t="shared" si="124"/>
        <v>21059.23724</v>
      </c>
      <c r="T178" s="254">
        <f t="shared" si="124"/>
        <v>21480.42199</v>
      </c>
      <c r="U178" s="254">
        <f t="shared" si="124"/>
        <v>21910.03042</v>
      </c>
      <c r="V178" s="254">
        <f t="shared" si="124"/>
        <v>22348.23103</v>
      </c>
      <c r="W178" s="254">
        <f t="shared" si="124"/>
        <v>22795.19565</v>
      </c>
      <c r="X178" s="254">
        <f t="shared" si="124"/>
        <v>23251.09957</v>
      </c>
      <c r="Y178" s="254">
        <f t="shared" si="124"/>
        <v>23716.12156</v>
      </c>
      <c r="Z178" s="254">
        <f t="shared" si="124"/>
        <v>24190.44399</v>
      </c>
      <c r="AA178" s="254">
        <f t="shared" si="124"/>
        <v>24674.25287</v>
      </c>
      <c r="AB178" s="254">
        <f t="shared" si="124"/>
        <v>25167.73793</v>
      </c>
      <c r="AC178" s="254">
        <f t="shared" si="124"/>
        <v>25671.09269</v>
      </c>
      <c r="AD178" s="254">
        <f t="shared" si="124"/>
        <v>26184.51454</v>
      </c>
      <c r="AE178" s="254">
        <f t="shared" si="124"/>
        <v>26708.20483</v>
      </c>
      <c r="AF178" s="254">
        <f t="shared" si="124"/>
        <v>27242.36893</v>
      </c>
      <c r="AG178" s="254">
        <f t="shared" si="124"/>
        <v>27787.2163</v>
      </c>
      <c r="AH178" s="254">
        <f t="shared" si="124"/>
        <v>28342.96063</v>
      </c>
      <c r="AI178" s="254">
        <f t="shared" si="124"/>
        <v>28909.81984</v>
      </c>
      <c r="AJ178" s="254">
        <f t="shared" si="124"/>
        <v>29488.01624</v>
      </c>
      <c r="AK178" s="254">
        <f t="shared" si="124"/>
        <v>30077.77657</v>
      </c>
      <c r="AL178" s="254">
        <f t="shared" si="124"/>
        <v>30679.3321</v>
      </c>
      <c r="AM178" s="254">
        <f t="shared" si="124"/>
        <v>31292.91874</v>
      </c>
      <c r="AN178" s="254">
        <f t="shared" si="124"/>
        <v>31918.77711</v>
      </c>
      <c r="AO178" s="254">
        <f t="shared" si="124"/>
        <v>32557.15266</v>
      </c>
      <c r="AP178" s="254">
        <f t="shared" si="124"/>
        <v>33208.29571</v>
      </c>
      <c r="AQ178" s="254">
        <f t="shared" si="124"/>
        <v>33872.46162</v>
      </c>
      <c r="AR178" s="254">
        <f t="shared" si="124"/>
        <v>34549.91086</v>
      </c>
      <c r="AS178" s="254">
        <f t="shared" si="124"/>
        <v>35240.90907</v>
      </c>
      <c r="AT178" s="254">
        <f t="shared" si="124"/>
        <v>35945.72725</v>
      </c>
      <c r="AU178" s="254">
        <f t="shared" si="124"/>
        <v>36664.6418</v>
      </c>
      <c r="AV178" s="254">
        <f t="shared" si="124"/>
        <v>37397.93463</v>
      </c>
      <c r="AW178" s="353"/>
      <c r="AX178" s="353"/>
      <c r="AY178" s="353"/>
      <c r="AZ178" s="353"/>
      <c r="BA178" s="353"/>
      <c r="BB178" s="353"/>
      <c r="BC178" s="353"/>
      <c r="BD178" s="353"/>
      <c r="BE178" s="353"/>
      <c r="BF178" s="353"/>
      <c r="BG178" s="353"/>
    </row>
    <row r="179" ht="12.75" hidden="1" customHeight="1" outlineLevel="1">
      <c r="A179" s="538"/>
      <c r="B179" s="372"/>
      <c r="C179" s="353"/>
      <c r="D179" s="353"/>
      <c r="E179" s="353"/>
      <c r="F179" s="353"/>
      <c r="G179" s="353"/>
      <c r="H179" s="518"/>
      <c r="I179" s="254"/>
      <c r="J179" s="254"/>
      <c r="K179" s="254"/>
      <c r="L179" s="254"/>
      <c r="M179" s="254"/>
      <c r="N179" s="254"/>
      <c r="O179" s="254"/>
      <c r="P179" s="254"/>
      <c r="Q179" s="254"/>
      <c r="R179" s="254"/>
      <c r="S179" s="254"/>
      <c r="T179" s="254"/>
      <c r="U179" s="254"/>
      <c r="V179" s="254"/>
      <c r="W179" s="254"/>
      <c r="X179" s="254"/>
      <c r="Y179" s="254"/>
      <c r="Z179" s="254"/>
      <c r="AA179" s="254"/>
      <c r="AB179" s="254"/>
      <c r="AC179" s="254"/>
      <c r="AD179" s="254"/>
      <c r="AE179" s="254"/>
      <c r="AF179" s="254"/>
      <c r="AG179" s="254"/>
      <c r="AH179" s="254"/>
      <c r="AI179" s="254"/>
      <c r="AJ179" s="254"/>
      <c r="AK179" s="254"/>
      <c r="AL179" s="254"/>
      <c r="AM179" s="254"/>
      <c r="AN179" s="254"/>
      <c r="AO179" s="254"/>
      <c r="AP179" s="254"/>
      <c r="AQ179" s="254"/>
      <c r="AR179" s="254"/>
      <c r="AS179" s="254"/>
      <c r="AT179" s="254"/>
      <c r="AU179" s="254"/>
      <c r="AV179" s="254"/>
      <c r="AW179" s="353"/>
      <c r="AX179" s="353"/>
      <c r="AY179" s="353"/>
      <c r="AZ179" s="353"/>
      <c r="BA179" s="353"/>
      <c r="BB179" s="353"/>
      <c r="BC179" s="353"/>
      <c r="BD179" s="353"/>
      <c r="BE179" s="353"/>
      <c r="BF179" s="353"/>
      <c r="BG179" s="353"/>
    </row>
    <row r="180" ht="12.75" hidden="1" customHeight="1" outlineLevel="1">
      <c r="A180" s="316"/>
      <c r="B180" s="67" t="s">
        <v>133</v>
      </c>
      <c r="C180" s="67"/>
      <c r="D180" s="67"/>
      <c r="E180" s="67"/>
      <c r="F180" s="67"/>
      <c r="G180" s="67"/>
      <c r="H180" s="99"/>
      <c r="I180" s="99"/>
      <c r="J180" s="99"/>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N180" s="90"/>
      <c r="AO180" s="90"/>
      <c r="AP180" s="90"/>
      <c r="AQ180" s="90"/>
      <c r="AR180" s="90"/>
      <c r="AS180" s="90"/>
      <c r="AT180" s="90"/>
      <c r="AU180" s="90"/>
      <c r="AV180" s="90"/>
      <c r="AW180" s="90"/>
      <c r="AX180" s="90"/>
      <c r="AY180" s="90"/>
      <c r="AZ180" s="90"/>
      <c r="BA180" s="90"/>
      <c r="BB180" s="90"/>
      <c r="BC180" s="90"/>
      <c r="BD180" s="90"/>
      <c r="BE180" s="90"/>
      <c r="BF180" s="90"/>
      <c r="BG180" s="90"/>
    </row>
    <row r="181" ht="12.75" hidden="1" customHeight="1" outlineLevel="1">
      <c r="A181" s="316"/>
      <c r="B181" s="90"/>
      <c r="C181" s="90" t="s">
        <v>577</v>
      </c>
      <c r="D181" s="90"/>
      <c r="E181" s="90"/>
      <c r="F181" s="90"/>
      <c r="G181" s="90"/>
      <c r="H181" s="523"/>
      <c r="I181" s="178"/>
      <c r="J181" s="523">
        <v>0.0</v>
      </c>
      <c r="K181" s="523">
        <v>0.01</v>
      </c>
      <c r="L181" s="178">
        <f t="shared" ref="L181:N181" si="125">K181</f>
        <v>0.01</v>
      </c>
      <c r="M181" s="178">
        <f t="shared" si="125"/>
        <v>0.01</v>
      </c>
      <c r="N181" s="178">
        <f t="shared" si="125"/>
        <v>0.01</v>
      </c>
      <c r="O181" s="178">
        <f>'RS1'!O181</f>
        <v>0.01</v>
      </c>
      <c r="P181" s="178">
        <f>'RS1'!P181</f>
        <v>0.01</v>
      </c>
      <c r="Q181" s="178">
        <f>'RS1'!Q181</f>
        <v>0.01</v>
      </c>
      <c r="R181" s="178">
        <f>'RS1'!R181</f>
        <v>0.01</v>
      </c>
      <c r="S181" s="178">
        <f>'RS1'!S181</f>
        <v>0.01</v>
      </c>
      <c r="T181" s="523">
        <f>'RS1'!T181</f>
        <v>0.01</v>
      </c>
      <c r="U181" s="178">
        <f>'RS1'!U181</f>
        <v>0.01</v>
      </c>
      <c r="V181" s="178">
        <f>'RS1'!V181</f>
        <v>0.01</v>
      </c>
      <c r="W181" s="178">
        <f>'RS1'!W181</f>
        <v>0.01</v>
      </c>
      <c r="X181" s="178">
        <f>'RS1'!X181</f>
        <v>0.01</v>
      </c>
      <c r="Y181" s="178">
        <f>'RS1'!Y181</f>
        <v>0.01</v>
      </c>
      <c r="Z181" s="178">
        <f>'RS1'!Z181</f>
        <v>0.01</v>
      </c>
      <c r="AA181" s="178">
        <f>'RS1'!AA181</f>
        <v>0.01</v>
      </c>
      <c r="AB181" s="178">
        <f>'RS1'!AB181</f>
        <v>0.01</v>
      </c>
      <c r="AC181" s="178">
        <f>'RS1'!AC181</f>
        <v>0.01</v>
      </c>
      <c r="AD181" s="178">
        <f>'RS1'!AD181</f>
        <v>0.01</v>
      </c>
      <c r="AE181" s="178">
        <f>'RS1'!AE181</f>
        <v>0.01</v>
      </c>
      <c r="AF181" s="178">
        <f>'RS1'!AF181</f>
        <v>0.01</v>
      </c>
      <c r="AG181" s="178">
        <f>'RS1'!AG181</f>
        <v>0.01</v>
      </c>
      <c r="AH181" s="178">
        <f>'RS1'!AH181</f>
        <v>0.01</v>
      </c>
      <c r="AI181" s="178">
        <f>'RS1'!AI181</f>
        <v>0.01</v>
      </c>
      <c r="AJ181" s="178">
        <f>'RS1'!AJ181</f>
        <v>0.01</v>
      </c>
      <c r="AK181" s="178">
        <f>'RS1'!AK181</f>
        <v>0.01</v>
      </c>
      <c r="AL181" s="178">
        <f>'RS1'!AL181</f>
        <v>0.01</v>
      </c>
      <c r="AM181" s="178">
        <f>'RS1'!AM181</f>
        <v>0.01</v>
      </c>
      <c r="AN181" s="178">
        <f>'RS1'!AN181</f>
        <v>0.01</v>
      </c>
      <c r="AO181" s="178">
        <f>'RS1'!AO181</f>
        <v>0.01</v>
      </c>
      <c r="AP181" s="178">
        <f>'RS1'!AP181</f>
        <v>0.01</v>
      </c>
      <c r="AQ181" s="178">
        <f>'RS1'!AQ181</f>
        <v>0.01</v>
      </c>
      <c r="AR181" s="178">
        <f>'RS1'!AR181</f>
        <v>0.01</v>
      </c>
      <c r="AS181" s="178">
        <f>'RS1'!AS181</f>
        <v>0.01</v>
      </c>
      <c r="AT181" s="178">
        <f>'RS1'!AT181</f>
        <v>0.01</v>
      </c>
      <c r="AU181" s="178">
        <f>'RS1'!AU181</f>
        <v>0.01</v>
      </c>
      <c r="AV181" s="178">
        <f>'RS1'!AV181</f>
        <v>0.01</v>
      </c>
      <c r="AW181" s="560" t="s">
        <v>1236</v>
      </c>
      <c r="AX181" s="90"/>
      <c r="AY181" s="90"/>
      <c r="AZ181" s="90"/>
      <c r="BA181" s="90"/>
      <c r="BB181" s="90"/>
      <c r="BC181" s="90"/>
      <c r="BD181" s="90"/>
      <c r="BE181" s="90"/>
      <c r="BF181" s="90"/>
      <c r="BG181" s="90"/>
    </row>
    <row r="182" ht="12.75" hidden="1" customHeight="1" outlineLevel="1">
      <c r="A182" s="316"/>
      <c r="B182" s="195"/>
      <c r="C182" s="90" t="s">
        <v>729</v>
      </c>
      <c r="D182" s="90"/>
      <c r="E182" s="90"/>
      <c r="F182" s="90"/>
      <c r="G182" s="254"/>
      <c r="H182" s="254"/>
      <c r="I182" s="254"/>
      <c r="J182" s="254">
        <f t="shared" ref="J182:N182" si="126">7200</f>
        <v>7200</v>
      </c>
      <c r="K182" s="254">
        <f t="shared" si="126"/>
        <v>7200</v>
      </c>
      <c r="L182" s="254">
        <f t="shared" si="126"/>
        <v>7200</v>
      </c>
      <c r="M182" s="254">
        <f t="shared" si="126"/>
        <v>7200</v>
      </c>
      <c r="N182" s="254">
        <f t="shared" si="126"/>
        <v>7200</v>
      </c>
      <c r="O182" s="99">
        <f t="shared" ref="O182:AV182" si="127">N182*(1+O181)</f>
        <v>7272</v>
      </c>
      <c r="P182" s="99">
        <f t="shared" si="127"/>
        <v>7344.72</v>
      </c>
      <c r="Q182" s="99">
        <f t="shared" si="127"/>
        <v>7418.1672</v>
      </c>
      <c r="R182" s="99">
        <f t="shared" si="127"/>
        <v>7492.348872</v>
      </c>
      <c r="S182" s="99">
        <f t="shared" si="127"/>
        <v>7567.272361</v>
      </c>
      <c r="T182" s="99">
        <f t="shared" si="127"/>
        <v>7642.945084</v>
      </c>
      <c r="U182" s="99">
        <f t="shared" si="127"/>
        <v>7719.374535</v>
      </c>
      <c r="V182" s="99">
        <f t="shared" si="127"/>
        <v>7796.568281</v>
      </c>
      <c r="W182" s="99">
        <f t="shared" si="127"/>
        <v>7874.533963</v>
      </c>
      <c r="X182" s="99">
        <f t="shared" si="127"/>
        <v>7953.279303</v>
      </c>
      <c r="Y182" s="99">
        <f t="shared" si="127"/>
        <v>8032.812096</v>
      </c>
      <c r="Z182" s="99">
        <f t="shared" si="127"/>
        <v>8113.140217</v>
      </c>
      <c r="AA182" s="99">
        <f t="shared" si="127"/>
        <v>8194.271619</v>
      </c>
      <c r="AB182" s="99">
        <f t="shared" si="127"/>
        <v>8276.214335</v>
      </c>
      <c r="AC182" s="99">
        <f t="shared" si="127"/>
        <v>8358.976479</v>
      </c>
      <c r="AD182" s="99">
        <f t="shared" si="127"/>
        <v>8442.566243</v>
      </c>
      <c r="AE182" s="99">
        <f t="shared" si="127"/>
        <v>8526.991906</v>
      </c>
      <c r="AF182" s="99">
        <f t="shared" si="127"/>
        <v>8612.261825</v>
      </c>
      <c r="AG182" s="99">
        <f t="shared" si="127"/>
        <v>8698.384443</v>
      </c>
      <c r="AH182" s="99">
        <f t="shared" si="127"/>
        <v>8785.368288</v>
      </c>
      <c r="AI182" s="99">
        <f t="shared" si="127"/>
        <v>8873.221971</v>
      </c>
      <c r="AJ182" s="99">
        <f t="shared" si="127"/>
        <v>8961.95419</v>
      </c>
      <c r="AK182" s="99">
        <f t="shared" si="127"/>
        <v>9051.573732</v>
      </c>
      <c r="AL182" s="99">
        <f t="shared" si="127"/>
        <v>9142.089469</v>
      </c>
      <c r="AM182" s="99">
        <f t="shared" si="127"/>
        <v>9233.510364</v>
      </c>
      <c r="AN182" s="99">
        <f t="shared" si="127"/>
        <v>9325.845468</v>
      </c>
      <c r="AO182" s="99">
        <f t="shared" si="127"/>
        <v>9419.103922</v>
      </c>
      <c r="AP182" s="99">
        <f t="shared" si="127"/>
        <v>9513.294962</v>
      </c>
      <c r="AQ182" s="99">
        <f t="shared" si="127"/>
        <v>9608.427911</v>
      </c>
      <c r="AR182" s="99">
        <f t="shared" si="127"/>
        <v>9704.51219</v>
      </c>
      <c r="AS182" s="99">
        <f t="shared" si="127"/>
        <v>9801.557312</v>
      </c>
      <c r="AT182" s="99">
        <f t="shared" si="127"/>
        <v>9899.572885</v>
      </c>
      <c r="AU182" s="99">
        <f t="shared" si="127"/>
        <v>9998.568614</v>
      </c>
      <c r="AV182" s="99">
        <f t="shared" si="127"/>
        <v>10098.5543</v>
      </c>
      <c r="AW182" s="90" t="s">
        <v>1202</v>
      </c>
      <c r="AX182" s="90"/>
      <c r="AY182" s="90"/>
      <c r="AZ182" s="90"/>
      <c r="BA182" s="90"/>
      <c r="BB182" s="90"/>
      <c r="BC182" s="90"/>
      <c r="BD182" s="90"/>
      <c r="BE182" s="90"/>
      <c r="BF182" s="90"/>
      <c r="BG182" s="90"/>
    </row>
    <row r="183" ht="12.75" hidden="1" customHeight="1" outlineLevel="1">
      <c r="A183" s="316"/>
      <c r="B183" s="195"/>
      <c r="C183" s="90" t="s">
        <v>730</v>
      </c>
      <c r="D183" s="90"/>
      <c r="E183" s="90"/>
      <c r="F183" s="90"/>
      <c r="G183" s="102"/>
      <c r="H183" s="102"/>
      <c r="I183" s="102"/>
      <c r="J183" s="102">
        <f t="shared" ref="J183:AV183" si="128">(J149+J150+J146+J140)</f>
        <v>1</v>
      </c>
      <c r="K183" s="102">
        <f t="shared" si="128"/>
        <v>18</v>
      </c>
      <c r="L183" s="102">
        <f t="shared" si="128"/>
        <v>20</v>
      </c>
      <c r="M183" s="102">
        <f t="shared" si="128"/>
        <v>21</v>
      </c>
      <c r="N183" s="102">
        <f t="shared" si="128"/>
        <v>21</v>
      </c>
      <c r="O183" s="102">
        <f t="shared" si="128"/>
        <v>19</v>
      </c>
      <c r="P183" s="102">
        <f t="shared" si="128"/>
        <v>19</v>
      </c>
      <c r="Q183" s="102">
        <f t="shared" si="128"/>
        <v>15</v>
      </c>
      <c r="R183" s="102">
        <f t="shared" si="128"/>
        <v>15</v>
      </c>
      <c r="S183" s="102">
        <f t="shared" si="128"/>
        <v>15</v>
      </c>
      <c r="T183" s="102">
        <f t="shared" si="128"/>
        <v>15</v>
      </c>
      <c r="U183" s="102">
        <f t="shared" si="128"/>
        <v>15</v>
      </c>
      <c r="V183" s="102">
        <f t="shared" si="128"/>
        <v>15</v>
      </c>
      <c r="W183" s="102">
        <f t="shared" si="128"/>
        <v>15</v>
      </c>
      <c r="X183" s="102">
        <f t="shared" si="128"/>
        <v>15</v>
      </c>
      <c r="Y183" s="102">
        <f t="shared" si="128"/>
        <v>15</v>
      </c>
      <c r="Z183" s="102">
        <f t="shared" si="128"/>
        <v>15</v>
      </c>
      <c r="AA183" s="102">
        <f t="shared" si="128"/>
        <v>15</v>
      </c>
      <c r="AB183" s="102">
        <f t="shared" si="128"/>
        <v>15</v>
      </c>
      <c r="AC183" s="102">
        <f t="shared" si="128"/>
        <v>15</v>
      </c>
      <c r="AD183" s="102">
        <f t="shared" si="128"/>
        <v>15</v>
      </c>
      <c r="AE183" s="102">
        <f t="shared" si="128"/>
        <v>15</v>
      </c>
      <c r="AF183" s="102">
        <f t="shared" si="128"/>
        <v>15</v>
      </c>
      <c r="AG183" s="102">
        <f t="shared" si="128"/>
        <v>15</v>
      </c>
      <c r="AH183" s="102">
        <f t="shared" si="128"/>
        <v>15</v>
      </c>
      <c r="AI183" s="102">
        <f t="shared" si="128"/>
        <v>15</v>
      </c>
      <c r="AJ183" s="102">
        <f t="shared" si="128"/>
        <v>15</v>
      </c>
      <c r="AK183" s="102">
        <f t="shared" si="128"/>
        <v>15</v>
      </c>
      <c r="AL183" s="102">
        <f t="shared" si="128"/>
        <v>15</v>
      </c>
      <c r="AM183" s="102">
        <f t="shared" si="128"/>
        <v>15</v>
      </c>
      <c r="AN183" s="102">
        <f t="shared" si="128"/>
        <v>15</v>
      </c>
      <c r="AO183" s="102">
        <f t="shared" si="128"/>
        <v>15</v>
      </c>
      <c r="AP183" s="102">
        <f t="shared" si="128"/>
        <v>15</v>
      </c>
      <c r="AQ183" s="102">
        <f t="shared" si="128"/>
        <v>15</v>
      </c>
      <c r="AR183" s="102">
        <f t="shared" si="128"/>
        <v>15</v>
      </c>
      <c r="AS183" s="102">
        <f t="shared" si="128"/>
        <v>15</v>
      </c>
      <c r="AT183" s="102">
        <f t="shared" si="128"/>
        <v>15</v>
      </c>
      <c r="AU183" s="102">
        <f t="shared" si="128"/>
        <v>15</v>
      </c>
      <c r="AV183" s="102">
        <f t="shared" si="128"/>
        <v>15</v>
      </c>
      <c r="AW183" s="90"/>
      <c r="AX183" s="90"/>
      <c r="AY183" s="90"/>
      <c r="AZ183" s="90"/>
      <c r="BA183" s="90"/>
      <c r="BB183" s="90"/>
      <c r="BC183" s="90"/>
      <c r="BD183" s="90"/>
      <c r="BE183" s="90"/>
      <c r="BF183" s="90"/>
      <c r="BG183" s="90"/>
    </row>
    <row r="184" ht="12.75" hidden="1" customHeight="1" outlineLevel="1">
      <c r="A184" s="316"/>
      <c r="B184" s="195"/>
      <c r="C184" s="90" t="s">
        <v>731</v>
      </c>
      <c r="D184" s="90"/>
      <c r="E184" s="90"/>
      <c r="F184" s="90"/>
      <c r="G184" s="539"/>
      <c r="H184" s="89"/>
      <c r="I184" s="89"/>
      <c r="J184" s="539">
        <f>'RS1'!K184</f>
        <v>0.016</v>
      </c>
      <c r="K184" s="89">
        <f>'RS1'!L184</f>
        <v>0.016</v>
      </c>
      <c r="L184" s="89">
        <f>'RS1'!M184</f>
        <v>0.016</v>
      </c>
      <c r="M184" s="89">
        <f>'RS1'!N184</f>
        <v>0.016</v>
      </c>
      <c r="N184" s="89">
        <f>'RS1'!O184</f>
        <v>0.016</v>
      </c>
      <c r="O184" s="89">
        <f>'RS1'!P184</f>
        <v>0.016</v>
      </c>
      <c r="P184" s="89">
        <f>'RS1'!Q184</f>
        <v>0.016</v>
      </c>
      <c r="Q184" s="89">
        <f>'RS1'!R184</f>
        <v>0.016</v>
      </c>
      <c r="R184" s="89">
        <f>'RS1'!S184</f>
        <v>0.016</v>
      </c>
      <c r="S184" s="89">
        <f>'RS1'!T184</f>
        <v>0.016</v>
      </c>
      <c r="T184" s="89">
        <f>'RS1'!U184</f>
        <v>0.016</v>
      </c>
      <c r="U184" s="89">
        <f>'RS1'!V184</f>
        <v>0.016</v>
      </c>
      <c r="V184" s="89">
        <f>'RS1'!W184</f>
        <v>0.016</v>
      </c>
      <c r="W184" s="89">
        <f>'RS1'!X184</f>
        <v>0.016</v>
      </c>
      <c r="X184" s="89">
        <f>'RS1'!Y184</f>
        <v>0.016</v>
      </c>
      <c r="Y184" s="89">
        <f>'RS1'!Z184</f>
        <v>0.016</v>
      </c>
      <c r="Z184" s="89">
        <f>'RS1'!AA184</f>
        <v>0.016</v>
      </c>
      <c r="AA184" s="89">
        <f>'RS1'!AB184</f>
        <v>0.016</v>
      </c>
      <c r="AB184" s="89">
        <f>'RS1'!AC184</f>
        <v>0.016</v>
      </c>
      <c r="AC184" s="89">
        <f>'RS1'!AD184</f>
        <v>0.016</v>
      </c>
      <c r="AD184" s="89">
        <f>'RS1'!AE184</f>
        <v>0.016</v>
      </c>
      <c r="AE184" s="89">
        <f>'RS1'!AF184</f>
        <v>0.016</v>
      </c>
      <c r="AF184" s="89">
        <f>'RS1'!AG184</f>
        <v>0.016</v>
      </c>
      <c r="AG184" s="89">
        <f>'RS1'!AH184</f>
        <v>0.016</v>
      </c>
      <c r="AH184" s="89">
        <f>'RS1'!AI184</f>
        <v>0.016</v>
      </c>
      <c r="AI184" s="89">
        <f>'RS1'!AJ184</f>
        <v>0.016</v>
      </c>
      <c r="AJ184" s="89">
        <f>'RS1'!AK184</f>
        <v>0.016</v>
      </c>
      <c r="AK184" s="89">
        <f>'RS1'!AL184</f>
        <v>0.016</v>
      </c>
      <c r="AL184" s="89">
        <f>'RS1'!AM184</f>
        <v>0.016</v>
      </c>
      <c r="AM184" s="89">
        <f>'RS1'!AN184</f>
        <v>0.016</v>
      </c>
      <c r="AN184" s="89">
        <f>'RS1'!AO184</f>
        <v>0.016</v>
      </c>
      <c r="AO184" s="89">
        <f>'RS1'!AP184</f>
        <v>0.016</v>
      </c>
      <c r="AP184" s="89">
        <f>'RS1'!AQ184</f>
        <v>0.016</v>
      </c>
      <c r="AQ184" s="89">
        <f>'RS1'!AR184</f>
        <v>0.016</v>
      </c>
      <c r="AR184" s="89">
        <f>'RS1'!AS184</f>
        <v>0.016</v>
      </c>
      <c r="AS184" s="89">
        <f>'RS1'!AT184</f>
        <v>0.016</v>
      </c>
      <c r="AT184" s="89">
        <f>'RS1'!AU184</f>
        <v>0.016</v>
      </c>
      <c r="AU184" s="89">
        <f>'RS1'!AV184</f>
        <v>0.016</v>
      </c>
      <c r="AV184" s="89" t="str">
        <f>'RS1'!AW184</f>
        <v/>
      </c>
      <c r="AW184" s="90"/>
      <c r="AX184" s="90"/>
      <c r="AY184" s="90"/>
      <c r="AZ184" s="90"/>
      <c r="BA184" s="90"/>
      <c r="BB184" s="90"/>
      <c r="BC184" s="90"/>
      <c r="BD184" s="90"/>
      <c r="BE184" s="90"/>
      <c r="BF184" s="90"/>
      <c r="BG184" s="90"/>
    </row>
    <row r="185" ht="12.75" hidden="1" customHeight="1" outlineLevel="1">
      <c r="A185" s="316"/>
      <c r="B185" s="195"/>
      <c r="C185" s="90" t="s">
        <v>732</v>
      </c>
      <c r="D185" s="90"/>
      <c r="E185" s="90"/>
      <c r="F185" s="90"/>
      <c r="G185" s="539"/>
      <c r="H185" s="89"/>
      <c r="I185" s="89"/>
      <c r="J185" s="539">
        <f>'RS1'!K185</f>
        <v>0.006</v>
      </c>
      <c r="K185" s="89">
        <f>'RS1'!L185</f>
        <v>0.011</v>
      </c>
      <c r="L185" s="89">
        <f>'RS1'!M185</f>
        <v>0.011</v>
      </c>
      <c r="M185" s="89">
        <f>'RS1'!N185</f>
        <v>0.011</v>
      </c>
      <c r="N185" s="89">
        <f>'RS1'!O185</f>
        <v>0.011</v>
      </c>
      <c r="O185" s="89">
        <f>'RS1'!P185</f>
        <v>0.011</v>
      </c>
      <c r="P185" s="89">
        <f>'RS1'!Q185</f>
        <v>0.011</v>
      </c>
      <c r="Q185" s="89">
        <f>'RS1'!R185</f>
        <v>0.011</v>
      </c>
      <c r="R185" s="89">
        <f>'RS1'!S185</f>
        <v>0.011</v>
      </c>
      <c r="S185" s="89">
        <f>'RS1'!T185</f>
        <v>0.011</v>
      </c>
      <c r="T185" s="89">
        <f>'RS1'!U185</f>
        <v>0.011</v>
      </c>
      <c r="U185" s="89">
        <f>'RS1'!V185</f>
        <v>0.011</v>
      </c>
      <c r="V185" s="89">
        <f>'RS1'!W185</f>
        <v>0.011</v>
      </c>
      <c r="W185" s="89">
        <f>'RS1'!X185</f>
        <v>0.011</v>
      </c>
      <c r="X185" s="89">
        <f>'RS1'!Y185</f>
        <v>0.011</v>
      </c>
      <c r="Y185" s="89">
        <f>'RS1'!Z185</f>
        <v>0.011</v>
      </c>
      <c r="Z185" s="89">
        <f>'RS1'!AA185</f>
        <v>0.011</v>
      </c>
      <c r="AA185" s="89">
        <f>'RS1'!AB185</f>
        <v>0.011</v>
      </c>
      <c r="AB185" s="89">
        <f>'RS1'!AC185</f>
        <v>0.011</v>
      </c>
      <c r="AC185" s="89">
        <f>'RS1'!AD185</f>
        <v>0.011</v>
      </c>
      <c r="AD185" s="89">
        <f>'RS1'!AE185</f>
        <v>0.011</v>
      </c>
      <c r="AE185" s="89">
        <f>'RS1'!AF185</f>
        <v>0.011</v>
      </c>
      <c r="AF185" s="89">
        <f>'RS1'!AG185</f>
        <v>0.011</v>
      </c>
      <c r="AG185" s="89">
        <f>'RS1'!AH185</f>
        <v>0.011</v>
      </c>
      <c r="AH185" s="89">
        <f>'RS1'!AI185</f>
        <v>0.011</v>
      </c>
      <c r="AI185" s="89">
        <f>'RS1'!AJ185</f>
        <v>0.011</v>
      </c>
      <c r="AJ185" s="89">
        <f>'RS1'!AK185</f>
        <v>0.011</v>
      </c>
      <c r="AK185" s="89">
        <f>'RS1'!AL185</f>
        <v>0.011</v>
      </c>
      <c r="AL185" s="89">
        <f>'RS1'!AM185</f>
        <v>0.011</v>
      </c>
      <c r="AM185" s="89">
        <f>'RS1'!AN185</f>
        <v>0.011</v>
      </c>
      <c r="AN185" s="89">
        <f>'RS1'!AO185</f>
        <v>0.011</v>
      </c>
      <c r="AO185" s="89">
        <f>'RS1'!AP185</f>
        <v>0.011</v>
      </c>
      <c r="AP185" s="89">
        <f>'RS1'!AQ185</f>
        <v>0.011</v>
      </c>
      <c r="AQ185" s="89">
        <f>'RS1'!AR185</f>
        <v>0.011</v>
      </c>
      <c r="AR185" s="89">
        <f>'RS1'!AS185</f>
        <v>0.011</v>
      </c>
      <c r="AS185" s="89">
        <f>'RS1'!AT185</f>
        <v>0.011</v>
      </c>
      <c r="AT185" s="89">
        <f>'RS1'!AU185</f>
        <v>0.011</v>
      </c>
      <c r="AU185" s="89">
        <f>'RS1'!AV185</f>
        <v>0.011</v>
      </c>
      <c r="AV185" s="89" t="str">
        <f>'RS1'!AW185</f>
        <v/>
      </c>
      <c r="AW185" s="90"/>
      <c r="AX185" s="90"/>
      <c r="AY185" s="90"/>
      <c r="AZ185" s="90"/>
      <c r="BA185" s="90"/>
      <c r="BB185" s="90"/>
      <c r="BC185" s="90"/>
      <c r="BD185" s="90"/>
      <c r="BE185" s="90"/>
      <c r="BF185" s="90"/>
      <c r="BG185" s="90"/>
    </row>
    <row r="186" ht="12.75" hidden="1" customHeight="1" outlineLevel="1">
      <c r="A186" s="316"/>
      <c r="B186" s="195"/>
      <c r="C186" s="90" t="s">
        <v>733</v>
      </c>
      <c r="D186" s="90"/>
      <c r="E186" s="90"/>
      <c r="F186" s="90"/>
      <c r="G186" s="539"/>
      <c r="H186" s="89"/>
      <c r="I186" s="89"/>
      <c r="J186" s="539">
        <f>'RS1'!K186</f>
        <v>0.0145</v>
      </c>
      <c r="K186" s="89">
        <f>'RS1'!L186</f>
        <v>0.0145</v>
      </c>
      <c r="L186" s="89">
        <f>'RS1'!M186</f>
        <v>0.0145</v>
      </c>
      <c r="M186" s="89">
        <f>'RS1'!N186</f>
        <v>0.0145</v>
      </c>
      <c r="N186" s="89">
        <f>'RS1'!O186</f>
        <v>0.0145</v>
      </c>
      <c r="O186" s="89">
        <f>'RS1'!P186</f>
        <v>0.0145</v>
      </c>
      <c r="P186" s="89">
        <f>'RS1'!Q186</f>
        <v>0.0145</v>
      </c>
      <c r="Q186" s="89">
        <f>'RS1'!R186</f>
        <v>0.0145</v>
      </c>
      <c r="R186" s="89">
        <f>'RS1'!S186</f>
        <v>0.0145</v>
      </c>
      <c r="S186" s="89">
        <f>'RS1'!T186</f>
        <v>0.0145</v>
      </c>
      <c r="T186" s="89">
        <f>'RS1'!U186</f>
        <v>0.0145</v>
      </c>
      <c r="U186" s="89">
        <f>'RS1'!V186</f>
        <v>0.0145</v>
      </c>
      <c r="V186" s="89">
        <f>'RS1'!W186</f>
        <v>0.0145</v>
      </c>
      <c r="W186" s="89">
        <f>'RS1'!X186</f>
        <v>0.0145</v>
      </c>
      <c r="X186" s="89">
        <f>'RS1'!Y186</f>
        <v>0.0145</v>
      </c>
      <c r="Y186" s="89">
        <f>'RS1'!Z186</f>
        <v>0.0145</v>
      </c>
      <c r="Z186" s="89">
        <f>'RS1'!AA186</f>
        <v>0.0145</v>
      </c>
      <c r="AA186" s="89">
        <f>'RS1'!AB186</f>
        <v>0.0145</v>
      </c>
      <c r="AB186" s="89">
        <f>'RS1'!AC186</f>
        <v>0.0145</v>
      </c>
      <c r="AC186" s="89">
        <f>'RS1'!AD186</f>
        <v>0.0145</v>
      </c>
      <c r="AD186" s="89">
        <f>'RS1'!AE186</f>
        <v>0.0145</v>
      </c>
      <c r="AE186" s="89">
        <f>'RS1'!AF186</f>
        <v>0.0145</v>
      </c>
      <c r="AF186" s="89">
        <f>'RS1'!AG186</f>
        <v>0.0145</v>
      </c>
      <c r="AG186" s="89">
        <f>'RS1'!AH186</f>
        <v>0.0145</v>
      </c>
      <c r="AH186" s="89">
        <f>'RS1'!AI186</f>
        <v>0.0145</v>
      </c>
      <c r="AI186" s="89">
        <f>'RS1'!AJ186</f>
        <v>0.0145</v>
      </c>
      <c r="AJ186" s="89">
        <f>'RS1'!AK186</f>
        <v>0.0145</v>
      </c>
      <c r="AK186" s="89">
        <f>'RS1'!AL186</f>
        <v>0.0145</v>
      </c>
      <c r="AL186" s="89">
        <f>'RS1'!AM186</f>
        <v>0.0145</v>
      </c>
      <c r="AM186" s="89">
        <f>'RS1'!AN186</f>
        <v>0.0145</v>
      </c>
      <c r="AN186" s="89">
        <f>'RS1'!AO186</f>
        <v>0.0145</v>
      </c>
      <c r="AO186" s="89">
        <f>'RS1'!AP186</f>
        <v>0.0145</v>
      </c>
      <c r="AP186" s="89">
        <f>'RS1'!AQ186</f>
        <v>0.0145</v>
      </c>
      <c r="AQ186" s="89">
        <f>'RS1'!AR186</f>
        <v>0.0145</v>
      </c>
      <c r="AR186" s="89">
        <f>'RS1'!AS186</f>
        <v>0.0145</v>
      </c>
      <c r="AS186" s="89">
        <f>'RS1'!AT186</f>
        <v>0.0145</v>
      </c>
      <c r="AT186" s="89">
        <f>'RS1'!AU186</f>
        <v>0.0145</v>
      </c>
      <c r="AU186" s="89">
        <f>'RS1'!AV186</f>
        <v>0.0145</v>
      </c>
      <c r="AV186" s="89" t="str">
        <f>'RS1'!AW186</f>
        <v/>
      </c>
      <c r="AW186" s="90"/>
      <c r="AX186" s="90"/>
      <c r="AY186" s="90"/>
      <c r="AZ186" s="90"/>
      <c r="BA186" s="90"/>
      <c r="BB186" s="90"/>
      <c r="BC186" s="90"/>
      <c r="BD186" s="90"/>
      <c r="BE186" s="90"/>
      <c r="BF186" s="90"/>
      <c r="BG186" s="90"/>
    </row>
    <row r="187" ht="12.75" hidden="1" customHeight="1" outlineLevel="1">
      <c r="A187" s="540"/>
      <c r="B187" s="374"/>
      <c r="C187" s="90" t="s">
        <v>734</v>
      </c>
      <c r="D187" s="230"/>
      <c r="E187" s="230"/>
      <c r="F187" s="230"/>
      <c r="G187" s="539"/>
      <c r="H187" s="89"/>
      <c r="I187" s="89"/>
      <c r="J187" s="539">
        <f>'RS1'!K187</f>
        <v>0.0825</v>
      </c>
      <c r="K187" s="89">
        <f>'RS1'!L187</f>
        <v>0.0825</v>
      </c>
      <c r="L187" s="89">
        <f>'RS1'!M187</f>
        <v>0.0825</v>
      </c>
      <c r="M187" s="89">
        <f>'RS1'!N187</f>
        <v>0.0825</v>
      </c>
      <c r="N187" s="89">
        <f>'RS1'!O187</f>
        <v>0.0825</v>
      </c>
      <c r="O187" s="89">
        <f>'RS1'!P187</f>
        <v>0.0825</v>
      </c>
      <c r="P187" s="89">
        <f>'RS1'!Q187</f>
        <v>0.0825</v>
      </c>
      <c r="Q187" s="89">
        <f>'RS1'!R187</f>
        <v>0.0825</v>
      </c>
      <c r="R187" s="89">
        <f>'RS1'!S187</f>
        <v>0.0825</v>
      </c>
      <c r="S187" s="89">
        <f>'RS1'!T187</f>
        <v>0.0825</v>
      </c>
      <c r="T187" s="89">
        <f>'RS1'!U187</f>
        <v>0.0825</v>
      </c>
      <c r="U187" s="89">
        <f>'RS1'!V187</f>
        <v>0.0825</v>
      </c>
      <c r="V187" s="89">
        <f>'RS1'!W187</f>
        <v>0.0825</v>
      </c>
      <c r="W187" s="89">
        <f>'RS1'!X187</f>
        <v>0.0825</v>
      </c>
      <c r="X187" s="89">
        <f>'RS1'!Y187</f>
        <v>0.0825</v>
      </c>
      <c r="Y187" s="89">
        <f>'RS1'!Z187</f>
        <v>0.0825</v>
      </c>
      <c r="Z187" s="89">
        <f>'RS1'!AA187</f>
        <v>0.0825</v>
      </c>
      <c r="AA187" s="89">
        <f>'RS1'!AB187</f>
        <v>0.0825</v>
      </c>
      <c r="AB187" s="89">
        <f>'RS1'!AC187</f>
        <v>0.0825</v>
      </c>
      <c r="AC187" s="89">
        <f>'RS1'!AD187</f>
        <v>0.0825</v>
      </c>
      <c r="AD187" s="89">
        <f>'RS1'!AE187</f>
        <v>0.0825</v>
      </c>
      <c r="AE187" s="89">
        <f>'RS1'!AF187</f>
        <v>0.0825</v>
      </c>
      <c r="AF187" s="89">
        <f>'RS1'!AG187</f>
        <v>0.0825</v>
      </c>
      <c r="AG187" s="89">
        <f>'RS1'!AH187</f>
        <v>0.0825</v>
      </c>
      <c r="AH187" s="89">
        <f>'RS1'!AI187</f>
        <v>0.0825</v>
      </c>
      <c r="AI187" s="89">
        <f>'RS1'!AJ187</f>
        <v>0.0825</v>
      </c>
      <c r="AJ187" s="89">
        <f>'RS1'!AK187</f>
        <v>0.0825</v>
      </c>
      <c r="AK187" s="89">
        <f>'RS1'!AL187</f>
        <v>0.0825</v>
      </c>
      <c r="AL187" s="89">
        <f>'RS1'!AM187</f>
        <v>0.0825</v>
      </c>
      <c r="AM187" s="89">
        <f>'RS1'!AN187</f>
        <v>0.0825</v>
      </c>
      <c r="AN187" s="89">
        <f>'RS1'!AO187</f>
        <v>0.0825</v>
      </c>
      <c r="AO187" s="89">
        <f>'RS1'!AP187</f>
        <v>0.0825</v>
      </c>
      <c r="AP187" s="89">
        <f>'RS1'!AQ187</f>
        <v>0.0825</v>
      </c>
      <c r="AQ187" s="89">
        <f>'RS1'!AR187</f>
        <v>0.0825</v>
      </c>
      <c r="AR187" s="89">
        <f>'RS1'!AS187</f>
        <v>0.0825</v>
      </c>
      <c r="AS187" s="89">
        <f>'RS1'!AT187</f>
        <v>0.0825</v>
      </c>
      <c r="AT187" s="89">
        <f>'RS1'!AU187</f>
        <v>0.0825</v>
      </c>
      <c r="AU187" s="89">
        <f>'RS1'!AV187</f>
        <v>0.0825</v>
      </c>
      <c r="AV187" s="89" t="str">
        <f>'RS1'!AW187</f>
        <v/>
      </c>
      <c r="AW187" s="230"/>
      <c r="AX187" s="230"/>
      <c r="AY187" s="230"/>
      <c r="AZ187" s="230"/>
      <c r="BA187" s="230"/>
      <c r="BB187" s="230"/>
      <c r="BC187" s="230"/>
      <c r="BD187" s="230"/>
      <c r="BE187" s="230"/>
      <c r="BF187" s="230"/>
      <c r="BG187" s="230"/>
    </row>
    <row r="188" ht="12.75" hidden="1" customHeight="1" outlineLevel="1">
      <c r="A188" s="316"/>
      <c r="B188" s="195"/>
      <c r="C188" s="90" t="s">
        <v>735</v>
      </c>
      <c r="D188" s="90"/>
      <c r="E188" s="90"/>
      <c r="F188" s="90"/>
      <c r="G188" s="539"/>
      <c r="H188" s="89"/>
      <c r="I188" s="89"/>
      <c r="J188" s="539">
        <f>'RS1'!K188</f>
        <v>0.102</v>
      </c>
      <c r="K188" s="89">
        <f>'RS1'!L188</f>
        <v>0.102</v>
      </c>
      <c r="L188" s="89">
        <f>'RS1'!M188</f>
        <v>0.102</v>
      </c>
      <c r="M188" s="89">
        <f>'RS1'!N188</f>
        <v>0.102</v>
      </c>
      <c r="N188" s="89">
        <f>'RS1'!O188</f>
        <v>0.102</v>
      </c>
      <c r="O188" s="89">
        <f>'RS1'!P188</f>
        <v>0.102</v>
      </c>
      <c r="P188" s="89">
        <f>'RS1'!Q188</f>
        <v>0.102</v>
      </c>
      <c r="Q188" s="89">
        <f>'RS1'!R188</f>
        <v>0.102</v>
      </c>
      <c r="R188" s="89">
        <f>'RS1'!S188</f>
        <v>0.102</v>
      </c>
      <c r="S188" s="89">
        <f>'RS1'!T188</f>
        <v>0.102</v>
      </c>
      <c r="T188" s="89">
        <f>'RS1'!U188</f>
        <v>0.102</v>
      </c>
      <c r="U188" s="89">
        <f>'RS1'!V188</f>
        <v>0.102</v>
      </c>
      <c r="V188" s="89">
        <f>'RS1'!W188</f>
        <v>0.102</v>
      </c>
      <c r="W188" s="89">
        <f>'RS1'!X188</f>
        <v>0.102</v>
      </c>
      <c r="X188" s="89">
        <f>'RS1'!Y188</f>
        <v>0.102</v>
      </c>
      <c r="Y188" s="89">
        <f>'RS1'!Z188</f>
        <v>0.102</v>
      </c>
      <c r="Z188" s="89">
        <f>'RS1'!AA188</f>
        <v>0.102</v>
      </c>
      <c r="AA188" s="89">
        <f>'RS1'!AB188</f>
        <v>0.102</v>
      </c>
      <c r="AB188" s="89">
        <f>'RS1'!AC188</f>
        <v>0.102</v>
      </c>
      <c r="AC188" s="89">
        <f>'RS1'!AD188</f>
        <v>0.102</v>
      </c>
      <c r="AD188" s="89">
        <f>'RS1'!AE188</f>
        <v>0.102</v>
      </c>
      <c r="AE188" s="89">
        <f>'RS1'!AF188</f>
        <v>0.102</v>
      </c>
      <c r="AF188" s="89">
        <f>'RS1'!AG188</f>
        <v>0.102</v>
      </c>
      <c r="AG188" s="89">
        <f>'RS1'!AH188</f>
        <v>0.102</v>
      </c>
      <c r="AH188" s="89">
        <f>'RS1'!AI188</f>
        <v>0.102</v>
      </c>
      <c r="AI188" s="89">
        <f>'RS1'!AJ188</f>
        <v>0.102</v>
      </c>
      <c r="AJ188" s="89">
        <f>'RS1'!AK188</f>
        <v>0.102</v>
      </c>
      <c r="AK188" s="89">
        <f>'RS1'!AL188</f>
        <v>0.102</v>
      </c>
      <c r="AL188" s="89">
        <f>'RS1'!AM188</f>
        <v>0.102</v>
      </c>
      <c r="AM188" s="89">
        <f>'RS1'!AN188</f>
        <v>0.102</v>
      </c>
      <c r="AN188" s="89">
        <f>'RS1'!AO188</f>
        <v>0.102</v>
      </c>
      <c r="AO188" s="89">
        <f>'RS1'!AP188</f>
        <v>0.102</v>
      </c>
      <c r="AP188" s="89">
        <f>'RS1'!AQ188</f>
        <v>0.102</v>
      </c>
      <c r="AQ188" s="89">
        <f>'RS1'!AR188</f>
        <v>0.102</v>
      </c>
      <c r="AR188" s="89">
        <f>'RS1'!AS188</f>
        <v>0.102</v>
      </c>
      <c r="AS188" s="89">
        <f>'RS1'!AT188</f>
        <v>0.102</v>
      </c>
      <c r="AT188" s="89">
        <f>'RS1'!AU188</f>
        <v>0.102</v>
      </c>
      <c r="AU188" s="89">
        <f>'RS1'!AV188</f>
        <v>0.102</v>
      </c>
      <c r="AV188" s="89" t="str">
        <f>'RS1'!AW188</f>
        <v>FICA plus 4% 403b contribution</v>
      </c>
      <c r="AW188" s="90" t="s">
        <v>1203</v>
      </c>
      <c r="AX188" s="90"/>
      <c r="AY188" s="90"/>
      <c r="AZ188" s="90"/>
      <c r="BA188" s="90"/>
      <c r="BB188" s="90"/>
      <c r="BC188" s="90"/>
      <c r="BD188" s="90"/>
      <c r="BE188" s="90"/>
      <c r="BF188" s="90"/>
      <c r="BG188" s="90"/>
    </row>
    <row r="189" ht="12.75" hidden="1" customHeight="1" outlineLevel="1">
      <c r="A189" s="316"/>
      <c r="B189" s="90"/>
      <c r="C189" s="90" t="s">
        <v>736</v>
      </c>
      <c r="D189" s="90"/>
      <c r="E189" s="90"/>
      <c r="F189" s="90"/>
      <c r="G189" s="539"/>
      <c r="H189" s="89"/>
      <c r="I189" s="89"/>
      <c r="J189" s="539">
        <f>'RS1'!K189</f>
        <v>0.005</v>
      </c>
      <c r="K189" s="89">
        <f>'RS1'!L189</f>
        <v>0.005</v>
      </c>
      <c r="L189" s="89">
        <f>'RS1'!M189</f>
        <v>0.005</v>
      </c>
      <c r="M189" s="89">
        <f>'RS1'!N189</f>
        <v>0.005</v>
      </c>
      <c r="N189" s="89">
        <f>'RS1'!O189</f>
        <v>0.005</v>
      </c>
      <c r="O189" s="89">
        <f>'RS1'!P189</f>
        <v>0.005</v>
      </c>
      <c r="P189" s="89">
        <f>'RS1'!Q189</f>
        <v>0.005</v>
      </c>
      <c r="Q189" s="89">
        <f>'RS1'!R189</f>
        <v>0.005</v>
      </c>
      <c r="R189" s="89">
        <f>'RS1'!S189</f>
        <v>0.005</v>
      </c>
      <c r="S189" s="89">
        <f>'RS1'!T189</f>
        <v>0.005</v>
      </c>
      <c r="T189" s="89">
        <f>'RS1'!U189</f>
        <v>0.005</v>
      </c>
      <c r="U189" s="89">
        <f>'RS1'!V189</f>
        <v>0.005</v>
      </c>
      <c r="V189" s="89">
        <f>'RS1'!W189</f>
        <v>0.005</v>
      </c>
      <c r="W189" s="89">
        <f>'RS1'!X189</f>
        <v>0.005</v>
      </c>
      <c r="X189" s="89">
        <f>'RS1'!Y189</f>
        <v>0.005</v>
      </c>
      <c r="Y189" s="89">
        <f>'RS1'!Z189</f>
        <v>0.005</v>
      </c>
      <c r="Z189" s="89">
        <f>'RS1'!AA189</f>
        <v>0.005</v>
      </c>
      <c r="AA189" s="89">
        <f>'RS1'!AB189</f>
        <v>0.005</v>
      </c>
      <c r="AB189" s="89">
        <f>'RS1'!AC189</f>
        <v>0.005</v>
      </c>
      <c r="AC189" s="89">
        <f>'RS1'!AD189</f>
        <v>0.005</v>
      </c>
      <c r="AD189" s="89">
        <f>'RS1'!AE189</f>
        <v>0.005</v>
      </c>
      <c r="AE189" s="89">
        <f>'RS1'!AF189</f>
        <v>0.005</v>
      </c>
      <c r="AF189" s="89">
        <f>'RS1'!AG189</f>
        <v>0.005</v>
      </c>
      <c r="AG189" s="89">
        <f>'RS1'!AH189</f>
        <v>0.005</v>
      </c>
      <c r="AH189" s="89">
        <f>'RS1'!AI189</f>
        <v>0.005</v>
      </c>
      <c r="AI189" s="89">
        <f>'RS1'!AJ189</f>
        <v>0.005</v>
      </c>
      <c r="AJ189" s="89">
        <f>'RS1'!AK189</f>
        <v>0.005</v>
      </c>
      <c r="AK189" s="89">
        <f>'RS1'!AL189</f>
        <v>0.005</v>
      </c>
      <c r="AL189" s="89">
        <f>'RS1'!AM189</f>
        <v>0.005</v>
      </c>
      <c r="AM189" s="89">
        <f>'RS1'!AN189</f>
        <v>0.005</v>
      </c>
      <c r="AN189" s="89">
        <f>'RS1'!AO189</f>
        <v>0.005</v>
      </c>
      <c r="AO189" s="89">
        <f>'RS1'!AP189</f>
        <v>0.005</v>
      </c>
      <c r="AP189" s="89">
        <f>'RS1'!AQ189</f>
        <v>0.005</v>
      </c>
      <c r="AQ189" s="89">
        <f>'RS1'!AR189</f>
        <v>0.005</v>
      </c>
      <c r="AR189" s="89">
        <f>'RS1'!AS189</f>
        <v>0.005</v>
      </c>
      <c r="AS189" s="89">
        <f>'RS1'!AT189</f>
        <v>0.005</v>
      </c>
      <c r="AT189" s="89">
        <f>'RS1'!AU189</f>
        <v>0.005</v>
      </c>
      <c r="AU189" s="89">
        <f>'RS1'!AV189</f>
        <v>0.005</v>
      </c>
      <c r="AV189" s="89" t="str">
        <f>'RS1'!AW189</f>
        <v/>
      </c>
      <c r="AW189" s="90"/>
      <c r="AX189" s="90"/>
      <c r="AY189" s="90"/>
      <c r="AZ189" s="90"/>
      <c r="BA189" s="90"/>
      <c r="BB189" s="90"/>
      <c r="BC189" s="90"/>
      <c r="BD189" s="90"/>
      <c r="BE189" s="90"/>
      <c r="BF189" s="90"/>
      <c r="BG189" s="90"/>
    </row>
    <row r="190" ht="12.75" hidden="1" customHeight="1" outlineLevel="1">
      <c r="A190" s="316"/>
      <c r="B190" s="90"/>
      <c r="C190" s="90" t="s">
        <v>737</v>
      </c>
      <c r="D190" s="90"/>
      <c r="E190" s="90"/>
      <c r="F190" s="90"/>
      <c r="G190" s="539"/>
      <c r="H190" s="89"/>
      <c r="I190" s="89"/>
      <c r="J190" s="539">
        <f>'RS1'!K190</f>
        <v>0.005</v>
      </c>
      <c r="K190" s="89">
        <f>'RS1'!L190</f>
        <v>0.005</v>
      </c>
      <c r="L190" s="89">
        <f>'RS1'!M190</f>
        <v>0.005</v>
      </c>
      <c r="M190" s="89">
        <f>'RS1'!N190</f>
        <v>0.005</v>
      </c>
      <c r="N190" s="89">
        <f>'RS1'!O190</f>
        <v>0.005</v>
      </c>
      <c r="O190" s="89">
        <f>'RS1'!P190</f>
        <v>0.005</v>
      </c>
      <c r="P190" s="89">
        <f>'RS1'!Q190</f>
        <v>0.005</v>
      </c>
      <c r="Q190" s="89">
        <f>'RS1'!R190</f>
        <v>0.005</v>
      </c>
      <c r="R190" s="89">
        <f>'RS1'!S190</f>
        <v>0.005</v>
      </c>
      <c r="S190" s="89">
        <f>'RS1'!T190</f>
        <v>0.005</v>
      </c>
      <c r="T190" s="89">
        <f>'RS1'!U190</f>
        <v>0.005</v>
      </c>
      <c r="U190" s="89">
        <f>'RS1'!V190</f>
        <v>0.005</v>
      </c>
      <c r="V190" s="89">
        <f>'RS1'!W190</f>
        <v>0.005</v>
      </c>
      <c r="W190" s="89">
        <f>'RS1'!X190</f>
        <v>0.005</v>
      </c>
      <c r="X190" s="89">
        <f>'RS1'!Y190</f>
        <v>0.005</v>
      </c>
      <c r="Y190" s="89">
        <f>'RS1'!Z190</f>
        <v>0.005</v>
      </c>
      <c r="Z190" s="89">
        <f>'RS1'!AA190</f>
        <v>0.005</v>
      </c>
      <c r="AA190" s="89">
        <f>'RS1'!AB190</f>
        <v>0.005</v>
      </c>
      <c r="AB190" s="89">
        <f>'RS1'!AC190</f>
        <v>0.005</v>
      </c>
      <c r="AC190" s="89">
        <f>'RS1'!AD190</f>
        <v>0.005</v>
      </c>
      <c r="AD190" s="89">
        <f>'RS1'!AE190</f>
        <v>0.005</v>
      </c>
      <c r="AE190" s="89">
        <f>'RS1'!AF190</f>
        <v>0.005</v>
      </c>
      <c r="AF190" s="89">
        <f>'RS1'!AG190</f>
        <v>0.005</v>
      </c>
      <c r="AG190" s="89">
        <f>'RS1'!AH190</f>
        <v>0.005</v>
      </c>
      <c r="AH190" s="89">
        <f>'RS1'!AI190</f>
        <v>0.005</v>
      </c>
      <c r="AI190" s="89">
        <f>'RS1'!AJ190</f>
        <v>0.005</v>
      </c>
      <c r="AJ190" s="89">
        <f>'RS1'!AK190</f>
        <v>0.005</v>
      </c>
      <c r="AK190" s="89">
        <f>'RS1'!AL190</f>
        <v>0.005</v>
      </c>
      <c r="AL190" s="89">
        <f>'RS1'!AM190</f>
        <v>0.005</v>
      </c>
      <c r="AM190" s="89">
        <f>'RS1'!AN190</f>
        <v>0.005</v>
      </c>
      <c r="AN190" s="89">
        <f>'RS1'!AO190</f>
        <v>0.005</v>
      </c>
      <c r="AO190" s="89">
        <f>'RS1'!AP190</f>
        <v>0.005</v>
      </c>
      <c r="AP190" s="89">
        <f>'RS1'!AQ190</f>
        <v>0.005</v>
      </c>
      <c r="AQ190" s="89">
        <f>'RS1'!AR190</f>
        <v>0.005</v>
      </c>
      <c r="AR190" s="89">
        <f>'RS1'!AS190</f>
        <v>0.005</v>
      </c>
      <c r="AS190" s="89">
        <f>'RS1'!AT190</f>
        <v>0.005</v>
      </c>
      <c r="AT190" s="89">
        <f>'RS1'!AU190</f>
        <v>0.005</v>
      </c>
      <c r="AU190" s="89">
        <f>'RS1'!AV190</f>
        <v>0.005</v>
      </c>
      <c r="AV190" s="89" t="str">
        <f>'RS1'!AW190</f>
        <v/>
      </c>
      <c r="AW190" s="90"/>
      <c r="AX190" s="90"/>
      <c r="AY190" s="90"/>
      <c r="AZ190" s="90"/>
      <c r="BA190" s="90"/>
      <c r="BB190" s="90"/>
      <c r="BC190" s="90"/>
      <c r="BD190" s="90"/>
      <c r="BE190" s="90"/>
      <c r="BF190" s="90"/>
      <c r="BG190" s="90"/>
    </row>
    <row r="191" ht="12.75" customHeight="1">
      <c r="A191" s="316"/>
      <c r="B191" s="90"/>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c r="AF191" s="90"/>
      <c r="AG191" s="90"/>
      <c r="AH191" s="90"/>
      <c r="AI191" s="90"/>
      <c r="AJ191" s="90"/>
      <c r="AK191" s="90"/>
      <c r="AL191" s="90"/>
      <c r="AM191" s="90"/>
      <c r="AN191" s="90"/>
      <c r="AO191" s="90"/>
      <c r="AP191" s="90"/>
      <c r="AQ191" s="90"/>
      <c r="AR191" s="90"/>
      <c r="AS191" s="90"/>
      <c r="AT191" s="90"/>
      <c r="AU191" s="90"/>
      <c r="AV191" s="90"/>
      <c r="AW191" s="90"/>
      <c r="AX191" s="90"/>
      <c r="AY191" s="90"/>
      <c r="AZ191" s="90"/>
      <c r="BA191" s="90"/>
      <c r="BB191" s="90"/>
      <c r="BC191" s="90"/>
      <c r="BD191" s="90"/>
      <c r="BE191" s="90"/>
      <c r="BF191" s="90"/>
      <c r="BG191" s="90"/>
    </row>
    <row r="192" ht="12.75" customHeight="1">
      <c r="A192" s="105" t="s">
        <v>738</v>
      </c>
      <c r="B192" s="253"/>
      <c r="C192" s="253"/>
      <c r="D192" s="253"/>
      <c r="E192" s="253"/>
      <c r="F192" s="253"/>
      <c r="G192" s="253"/>
      <c r="H192" s="253"/>
      <c r="I192" s="253"/>
      <c r="J192" s="253"/>
      <c r="K192" s="253"/>
      <c r="L192" s="253"/>
      <c r="M192" s="253"/>
      <c r="N192" s="253"/>
      <c r="O192" s="253"/>
      <c r="P192" s="253"/>
      <c r="Q192" s="253"/>
      <c r="R192" s="253"/>
      <c r="S192" s="253"/>
      <c r="T192" s="253"/>
      <c r="U192" s="253"/>
      <c r="V192" s="253"/>
      <c r="W192" s="253"/>
      <c r="X192" s="253"/>
      <c r="Y192" s="253"/>
      <c r="Z192" s="253"/>
      <c r="AA192" s="253"/>
      <c r="AB192" s="253"/>
      <c r="AC192" s="253"/>
      <c r="AD192" s="253"/>
      <c r="AE192" s="253"/>
      <c r="AF192" s="253"/>
      <c r="AG192" s="253"/>
      <c r="AH192" s="253"/>
      <c r="AI192" s="253"/>
      <c r="AJ192" s="253"/>
      <c r="AK192" s="253"/>
      <c r="AL192" s="253"/>
      <c r="AM192" s="253"/>
      <c r="AN192" s="253"/>
      <c r="AO192" s="253"/>
      <c r="AP192" s="253"/>
      <c r="AQ192" s="253"/>
      <c r="AR192" s="253"/>
      <c r="AS192" s="253"/>
      <c r="AT192" s="253"/>
      <c r="AU192" s="253"/>
      <c r="AV192" s="253"/>
      <c r="AW192" s="253"/>
      <c r="AX192" s="90"/>
      <c r="AY192" s="90"/>
      <c r="AZ192" s="90"/>
      <c r="BA192" s="90"/>
      <c r="BB192" s="90"/>
      <c r="BC192" s="90"/>
      <c r="BD192" s="90"/>
      <c r="BE192" s="90"/>
      <c r="BF192" s="90"/>
      <c r="BG192" s="90"/>
    </row>
    <row r="193" ht="12.75" hidden="1" customHeight="1" outlineLevel="1">
      <c r="A193" s="515"/>
      <c r="B193" s="90"/>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0"/>
      <c r="AH193" s="90"/>
      <c r="AI193" s="90"/>
      <c r="AJ193" s="90"/>
      <c r="AK193" s="90"/>
      <c r="AL193" s="90"/>
      <c r="AM193" s="90"/>
      <c r="AN193" s="90"/>
      <c r="AO193" s="90"/>
      <c r="AP193" s="90"/>
      <c r="AQ193" s="90"/>
      <c r="AR193" s="90"/>
      <c r="AS193" s="90"/>
      <c r="AT193" s="90"/>
      <c r="AU193" s="90"/>
      <c r="AV193" s="90"/>
      <c r="AW193" s="90"/>
      <c r="AX193" s="90"/>
      <c r="AY193" s="90"/>
      <c r="AZ193" s="90"/>
      <c r="BA193" s="90"/>
      <c r="BB193" s="90"/>
      <c r="BC193" s="90"/>
      <c r="BD193" s="90"/>
      <c r="BE193" s="90"/>
      <c r="BF193" s="90"/>
      <c r="BG193" s="90"/>
    </row>
    <row r="194" ht="12.75" hidden="1" customHeight="1" outlineLevel="1">
      <c r="A194" s="316"/>
      <c r="B194" s="90" t="s">
        <v>739</v>
      </c>
      <c r="C194" s="90"/>
      <c r="D194" s="90"/>
      <c r="E194" s="90"/>
      <c r="F194" s="90"/>
      <c r="G194" s="90"/>
      <c r="H194" s="178"/>
      <c r="I194" s="178"/>
      <c r="J194" s="178" t="str">
        <f>J89</f>
        <v/>
      </c>
      <c r="K194" s="178">
        <f>Assumptions!D59</f>
        <v>0</v>
      </c>
      <c r="L194" s="178">
        <f>Assumptions!E59</f>
        <v>0.02</v>
      </c>
      <c r="M194" s="178">
        <f>Assumptions!F59</f>
        <v>0.02</v>
      </c>
      <c r="N194" s="178">
        <f>Assumptions!G59</f>
        <v>0.02</v>
      </c>
      <c r="O194" s="178">
        <f>Assumptions!H59</f>
        <v>0.02</v>
      </c>
      <c r="P194" s="178">
        <f>Assumptions!I59</f>
        <v>0.02</v>
      </c>
      <c r="Q194" s="178">
        <f t="shared" ref="Q194:AV194" si="129">P194</f>
        <v>0.02</v>
      </c>
      <c r="R194" s="178">
        <f t="shared" si="129"/>
        <v>0.02</v>
      </c>
      <c r="S194" s="178">
        <f t="shared" si="129"/>
        <v>0.02</v>
      </c>
      <c r="T194" s="178">
        <f t="shared" si="129"/>
        <v>0.02</v>
      </c>
      <c r="U194" s="178">
        <f t="shared" si="129"/>
        <v>0.02</v>
      </c>
      <c r="V194" s="178">
        <f t="shared" si="129"/>
        <v>0.02</v>
      </c>
      <c r="W194" s="178">
        <f t="shared" si="129"/>
        <v>0.02</v>
      </c>
      <c r="X194" s="178">
        <f t="shared" si="129"/>
        <v>0.02</v>
      </c>
      <c r="Y194" s="178">
        <f t="shared" si="129"/>
        <v>0.02</v>
      </c>
      <c r="Z194" s="178">
        <f t="shared" si="129"/>
        <v>0.02</v>
      </c>
      <c r="AA194" s="178">
        <f t="shared" si="129"/>
        <v>0.02</v>
      </c>
      <c r="AB194" s="178">
        <f t="shared" si="129"/>
        <v>0.02</v>
      </c>
      <c r="AC194" s="178">
        <f t="shared" si="129"/>
        <v>0.02</v>
      </c>
      <c r="AD194" s="178">
        <f t="shared" si="129"/>
        <v>0.02</v>
      </c>
      <c r="AE194" s="178">
        <f t="shared" si="129"/>
        <v>0.02</v>
      </c>
      <c r="AF194" s="178">
        <f t="shared" si="129"/>
        <v>0.02</v>
      </c>
      <c r="AG194" s="178">
        <f t="shared" si="129"/>
        <v>0.02</v>
      </c>
      <c r="AH194" s="178">
        <f t="shared" si="129"/>
        <v>0.02</v>
      </c>
      <c r="AI194" s="178">
        <f t="shared" si="129"/>
        <v>0.02</v>
      </c>
      <c r="AJ194" s="178">
        <f t="shared" si="129"/>
        <v>0.02</v>
      </c>
      <c r="AK194" s="178">
        <f t="shared" si="129"/>
        <v>0.02</v>
      </c>
      <c r="AL194" s="178">
        <f t="shared" si="129"/>
        <v>0.02</v>
      </c>
      <c r="AM194" s="178">
        <f t="shared" si="129"/>
        <v>0.02</v>
      </c>
      <c r="AN194" s="178">
        <f t="shared" si="129"/>
        <v>0.02</v>
      </c>
      <c r="AO194" s="178">
        <f t="shared" si="129"/>
        <v>0.02</v>
      </c>
      <c r="AP194" s="178">
        <f t="shared" si="129"/>
        <v>0.02</v>
      </c>
      <c r="AQ194" s="178">
        <f t="shared" si="129"/>
        <v>0.02</v>
      </c>
      <c r="AR194" s="178">
        <f t="shared" si="129"/>
        <v>0.02</v>
      </c>
      <c r="AS194" s="178">
        <f t="shared" si="129"/>
        <v>0.02</v>
      </c>
      <c r="AT194" s="178">
        <f t="shared" si="129"/>
        <v>0.02</v>
      </c>
      <c r="AU194" s="178">
        <f t="shared" si="129"/>
        <v>0.02</v>
      </c>
      <c r="AV194" s="178">
        <f t="shared" si="129"/>
        <v>0.02</v>
      </c>
      <c r="AW194" s="90"/>
      <c r="AX194" s="90"/>
      <c r="AY194" s="90"/>
      <c r="AZ194" s="90"/>
      <c r="BA194" s="90"/>
      <c r="BB194" s="90"/>
      <c r="BC194" s="90"/>
      <c r="BD194" s="90"/>
      <c r="BE194" s="90"/>
      <c r="BF194" s="90"/>
      <c r="BG194" s="90"/>
    </row>
    <row r="195" ht="12.75" hidden="1" customHeight="1" outlineLevel="1">
      <c r="A195" s="316"/>
      <c r="B195" s="90"/>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c r="AE195" s="90"/>
      <c r="AF195" s="90"/>
      <c r="AG195" s="90"/>
      <c r="AH195" s="90"/>
      <c r="AI195" s="90"/>
      <c r="AJ195" s="90"/>
      <c r="AK195" s="90"/>
      <c r="AL195" s="90"/>
      <c r="AM195" s="90"/>
      <c r="AN195" s="90"/>
      <c r="AO195" s="90"/>
      <c r="AP195" s="90"/>
      <c r="AQ195" s="90"/>
      <c r="AR195" s="90"/>
      <c r="AS195" s="90"/>
      <c r="AT195" s="90"/>
      <c r="AU195" s="90"/>
      <c r="AV195" s="90"/>
      <c r="AW195" s="90"/>
      <c r="AX195" s="90"/>
      <c r="AY195" s="90"/>
      <c r="AZ195" s="90"/>
      <c r="BA195" s="90"/>
      <c r="BB195" s="90"/>
      <c r="BC195" s="90"/>
      <c r="BD195" s="90"/>
      <c r="BE195" s="90"/>
      <c r="BF195" s="90"/>
      <c r="BG195" s="90"/>
    </row>
    <row r="196" ht="12.75" hidden="1" customHeight="1" outlineLevel="1">
      <c r="A196" s="316"/>
      <c r="B196" s="67" t="s">
        <v>550</v>
      </c>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c r="AA196" s="90"/>
      <c r="AB196" s="90"/>
      <c r="AC196" s="90"/>
      <c r="AD196" s="90"/>
      <c r="AE196" s="90"/>
      <c r="AF196" s="90"/>
      <c r="AG196" s="90"/>
      <c r="AH196" s="90"/>
      <c r="AI196" s="90"/>
      <c r="AJ196" s="90"/>
      <c r="AK196" s="90"/>
      <c r="AL196" s="90"/>
      <c r="AM196" s="90"/>
      <c r="AN196" s="90"/>
      <c r="AO196" s="90"/>
      <c r="AP196" s="90"/>
      <c r="AQ196" s="90"/>
      <c r="AR196" s="90"/>
      <c r="AS196" s="90"/>
      <c r="AT196" s="90"/>
      <c r="AU196" s="90"/>
      <c r="AV196" s="90"/>
      <c r="AW196" s="90"/>
      <c r="AX196" s="90"/>
      <c r="AY196" s="90"/>
      <c r="AZ196" s="90"/>
      <c r="BA196" s="90"/>
      <c r="BB196" s="90"/>
      <c r="BC196" s="90"/>
      <c r="BD196" s="90"/>
      <c r="BE196" s="90"/>
      <c r="BF196" s="90"/>
      <c r="BG196" s="90"/>
    </row>
    <row r="197" ht="12.75" hidden="1" customHeight="1" outlineLevel="1">
      <c r="A197" s="316"/>
      <c r="B197" s="90"/>
      <c r="C197" s="90" t="s">
        <v>740</v>
      </c>
      <c r="D197" s="90"/>
      <c r="E197" s="90"/>
      <c r="F197" s="90"/>
      <c r="G197" s="90"/>
      <c r="H197" s="254"/>
      <c r="I197" s="99"/>
      <c r="J197" s="99"/>
      <c r="K197" s="99"/>
      <c r="L197" s="99">
        <f>'RS1'!L197</f>
        <v>65</v>
      </c>
      <c r="M197" s="99">
        <f>'RS1'!M197</f>
        <v>66.3</v>
      </c>
      <c r="N197" s="99">
        <f>'RS1'!N197</f>
        <v>67.626</v>
      </c>
      <c r="O197" s="99">
        <f>'RS1'!O197</f>
        <v>68.97852</v>
      </c>
      <c r="P197" s="99">
        <f>'RS1'!P197</f>
        <v>70.3580904</v>
      </c>
      <c r="Q197" s="99">
        <f>'RS1'!Q197</f>
        <v>71.76525221</v>
      </c>
      <c r="R197" s="99">
        <f>'RS1'!R197</f>
        <v>73.20055725</v>
      </c>
      <c r="S197" s="99">
        <f>'RS1'!S197</f>
        <v>74.6645684</v>
      </c>
      <c r="T197" s="99">
        <f>'RS1'!T197</f>
        <v>76.15785977</v>
      </c>
      <c r="U197" s="99">
        <f>'RS1'!U197</f>
        <v>77.68101696</v>
      </c>
      <c r="V197" s="99">
        <f>'RS1'!V197</f>
        <v>79.2346373</v>
      </c>
      <c r="W197" s="99">
        <f>'RS1'!W197</f>
        <v>80.81933005</v>
      </c>
      <c r="X197" s="99">
        <f>'RS1'!X197</f>
        <v>82.43571665</v>
      </c>
      <c r="Y197" s="99">
        <f>'RS1'!Y197</f>
        <v>84.08443098</v>
      </c>
      <c r="Z197" s="99">
        <f>'RS1'!Z197</f>
        <v>85.7661196</v>
      </c>
      <c r="AA197" s="99">
        <f>'RS1'!AA197</f>
        <v>87.48144199</v>
      </c>
      <c r="AB197" s="99">
        <f>'RS1'!AB197</f>
        <v>89.23107083</v>
      </c>
      <c r="AC197" s="99">
        <f>'RS1'!AC197</f>
        <v>91.01569225</v>
      </c>
      <c r="AD197" s="99">
        <f>'RS1'!AD197</f>
        <v>92.83600609</v>
      </c>
      <c r="AE197" s="99">
        <f>'RS1'!AE197</f>
        <v>94.69272621</v>
      </c>
      <c r="AF197" s="99">
        <f>'RS1'!AF197</f>
        <v>96.58658074</v>
      </c>
      <c r="AG197" s="99">
        <f>'RS1'!AG197</f>
        <v>98.51831235</v>
      </c>
      <c r="AH197" s="99">
        <f>'RS1'!AH197</f>
        <v>100.4886786</v>
      </c>
      <c r="AI197" s="99">
        <f>'RS1'!AI197</f>
        <v>102.4984522</v>
      </c>
      <c r="AJ197" s="99">
        <f>'RS1'!AJ197</f>
        <v>104.5484212</v>
      </c>
      <c r="AK197" s="99">
        <f>'RS1'!AK197</f>
        <v>106.6393896</v>
      </c>
      <c r="AL197" s="99">
        <f>'RS1'!AL197</f>
        <v>108.7721774</v>
      </c>
      <c r="AM197" s="99">
        <f>'RS1'!AM197</f>
        <v>110.947621</v>
      </c>
      <c r="AN197" s="99">
        <f>'RS1'!AN197</f>
        <v>113.1665734</v>
      </c>
      <c r="AO197" s="99">
        <f>'RS1'!AO197</f>
        <v>115.4299049</v>
      </c>
      <c r="AP197" s="99">
        <f>'RS1'!AP197</f>
        <v>117.738503</v>
      </c>
      <c r="AQ197" s="99">
        <f>'RS1'!AQ197</f>
        <v>120.093273</v>
      </c>
      <c r="AR197" s="99">
        <f>'RS1'!AR197</f>
        <v>122.4951385</v>
      </c>
      <c r="AS197" s="99">
        <f>'RS1'!AS197</f>
        <v>124.9450413</v>
      </c>
      <c r="AT197" s="99">
        <f>'RS1'!AT197</f>
        <v>127.4439421</v>
      </c>
      <c r="AU197" s="99">
        <f>'RS1'!AU197</f>
        <v>129.9928209</v>
      </c>
      <c r="AV197" s="99">
        <f>'RS1'!AV197</f>
        <v>132.5926773</v>
      </c>
      <c r="AW197" s="67"/>
      <c r="AX197" s="90"/>
      <c r="AY197" s="90"/>
      <c r="AZ197" s="90"/>
      <c r="BA197" s="90"/>
      <c r="BB197" s="90"/>
      <c r="BC197" s="90"/>
      <c r="BD197" s="90"/>
      <c r="BE197" s="90"/>
      <c r="BF197" s="90"/>
      <c r="BG197" s="90"/>
    </row>
    <row r="198" ht="12.75" hidden="1" customHeight="1" outlineLevel="1">
      <c r="A198" s="316"/>
      <c r="B198" s="90"/>
      <c r="C198" s="90" t="s">
        <v>741</v>
      </c>
      <c r="D198" s="90"/>
      <c r="E198" s="90"/>
      <c r="F198" s="90"/>
      <c r="G198" s="90"/>
      <c r="H198" s="254"/>
      <c r="I198" s="99"/>
      <c r="J198" s="99"/>
      <c r="K198" s="99"/>
      <c r="L198" s="99">
        <f>'RS1'!L198</f>
        <v>25</v>
      </c>
      <c r="M198" s="99">
        <f>'RS1'!M198</f>
        <v>25.5</v>
      </c>
      <c r="N198" s="99">
        <f>'RS1'!N198</f>
        <v>26.01</v>
      </c>
      <c r="O198" s="99">
        <f>'RS1'!O198</f>
        <v>26.5302</v>
      </c>
      <c r="P198" s="99">
        <f>'RS1'!P198</f>
        <v>27.060804</v>
      </c>
      <c r="Q198" s="99">
        <f>'RS1'!Q198</f>
        <v>27.60202008</v>
      </c>
      <c r="R198" s="99">
        <f>'RS1'!R198</f>
        <v>28.15406048</v>
      </c>
      <c r="S198" s="99">
        <f>'RS1'!S198</f>
        <v>28.71714169</v>
      </c>
      <c r="T198" s="99">
        <f>'RS1'!T198</f>
        <v>29.29148453</v>
      </c>
      <c r="U198" s="99">
        <f>'RS1'!U198</f>
        <v>29.87731422</v>
      </c>
      <c r="V198" s="99">
        <f>'RS1'!V198</f>
        <v>30.4748605</v>
      </c>
      <c r="W198" s="99">
        <f>'RS1'!W198</f>
        <v>31.08435771</v>
      </c>
      <c r="X198" s="99">
        <f>'RS1'!X198</f>
        <v>31.70604486</v>
      </c>
      <c r="Y198" s="99">
        <f>'RS1'!Y198</f>
        <v>32.34016576</v>
      </c>
      <c r="Z198" s="99">
        <f>'RS1'!Z198</f>
        <v>32.98696908</v>
      </c>
      <c r="AA198" s="99">
        <f>'RS1'!AA198</f>
        <v>33.64670846</v>
      </c>
      <c r="AB198" s="99">
        <f>'RS1'!AB198</f>
        <v>34.31964263</v>
      </c>
      <c r="AC198" s="99">
        <f>'RS1'!AC198</f>
        <v>35.00603548</v>
      </c>
      <c r="AD198" s="99">
        <f>'RS1'!AD198</f>
        <v>35.70615619</v>
      </c>
      <c r="AE198" s="99">
        <f>'RS1'!AE198</f>
        <v>36.42027931</v>
      </c>
      <c r="AF198" s="99">
        <f>'RS1'!AF198</f>
        <v>37.1486849</v>
      </c>
      <c r="AG198" s="99">
        <f>'RS1'!AG198</f>
        <v>37.8916586</v>
      </c>
      <c r="AH198" s="99">
        <f>'RS1'!AH198</f>
        <v>38.64949177</v>
      </c>
      <c r="AI198" s="99">
        <f>'RS1'!AI198</f>
        <v>39.4224816</v>
      </c>
      <c r="AJ198" s="99">
        <f>'RS1'!AJ198</f>
        <v>40.21093124</v>
      </c>
      <c r="AK198" s="99">
        <f>'RS1'!AK198</f>
        <v>41.01514986</v>
      </c>
      <c r="AL198" s="99">
        <f>'RS1'!AL198</f>
        <v>41.83545286</v>
      </c>
      <c r="AM198" s="99">
        <f>'RS1'!AM198</f>
        <v>42.67216192</v>
      </c>
      <c r="AN198" s="99">
        <f>'RS1'!AN198</f>
        <v>43.52560515</v>
      </c>
      <c r="AO198" s="99">
        <f>'RS1'!AO198</f>
        <v>44.39611726</v>
      </c>
      <c r="AP198" s="99">
        <f>'RS1'!AP198</f>
        <v>45.2840396</v>
      </c>
      <c r="AQ198" s="99">
        <f>'RS1'!AQ198</f>
        <v>46.18972039</v>
      </c>
      <c r="AR198" s="99">
        <f>'RS1'!AR198</f>
        <v>47.1135148</v>
      </c>
      <c r="AS198" s="99">
        <f>'RS1'!AS198</f>
        <v>48.0557851</v>
      </c>
      <c r="AT198" s="99">
        <f>'RS1'!AT198</f>
        <v>49.0169008</v>
      </c>
      <c r="AU198" s="99">
        <f>'RS1'!AU198</f>
        <v>49.99723882</v>
      </c>
      <c r="AV198" s="99">
        <f>'RS1'!AV198</f>
        <v>50.99718359</v>
      </c>
      <c r="AW198" s="67"/>
      <c r="AX198" s="90"/>
      <c r="AY198" s="90"/>
      <c r="AZ198" s="90"/>
      <c r="BA198" s="90"/>
      <c r="BB198" s="90"/>
      <c r="BC198" s="90"/>
      <c r="BD198" s="90"/>
      <c r="BE198" s="90"/>
      <c r="BF198" s="90"/>
      <c r="BG198" s="90"/>
    </row>
    <row r="199" ht="12.75" hidden="1" customHeight="1" outlineLevel="1">
      <c r="A199" s="316"/>
      <c r="B199" s="90"/>
      <c r="C199" s="90" t="s">
        <v>742</v>
      </c>
      <c r="D199" s="90"/>
      <c r="E199" s="90"/>
      <c r="F199" s="90"/>
      <c r="G199" s="90"/>
      <c r="H199" s="254"/>
      <c r="I199" s="99"/>
      <c r="J199" s="99"/>
      <c r="K199" s="99"/>
      <c r="L199" s="99">
        <f>'RS1'!L199</f>
        <v>1000</v>
      </c>
      <c r="M199" s="99">
        <f t="shared" ref="M199:AV199" si="130">L199</f>
        <v>1000</v>
      </c>
      <c r="N199" s="99">
        <f t="shared" si="130"/>
        <v>1000</v>
      </c>
      <c r="O199" s="99">
        <f t="shared" si="130"/>
        <v>1000</v>
      </c>
      <c r="P199" s="99">
        <f t="shared" si="130"/>
        <v>1000</v>
      </c>
      <c r="Q199" s="99">
        <f t="shared" si="130"/>
        <v>1000</v>
      </c>
      <c r="R199" s="99">
        <f t="shared" si="130"/>
        <v>1000</v>
      </c>
      <c r="S199" s="99">
        <f t="shared" si="130"/>
        <v>1000</v>
      </c>
      <c r="T199" s="99">
        <f t="shared" si="130"/>
        <v>1000</v>
      </c>
      <c r="U199" s="99">
        <f t="shared" si="130"/>
        <v>1000</v>
      </c>
      <c r="V199" s="99">
        <f t="shared" si="130"/>
        <v>1000</v>
      </c>
      <c r="W199" s="99">
        <f t="shared" si="130"/>
        <v>1000</v>
      </c>
      <c r="X199" s="99">
        <f t="shared" si="130"/>
        <v>1000</v>
      </c>
      <c r="Y199" s="99">
        <f t="shared" si="130"/>
        <v>1000</v>
      </c>
      <c r="Z199" s="99">
        <f t="shared" si="130"/>
        <v>1000</v>
      </c>
      <c r="AA199" s="99">
        <f t="shared" si="130"/>
        <v>1000</v>
      </c>
      <c r="AB199" s="99">
        <f t="shared" si="130"/>
        <v>1000</v>
      </c>
      <c r="AC199" s="99">
        <f t="shared" si="130"/>
        <v>1000</v>
      </c>
      <c r="AD199" s="99">
        <f t="shared" si="130"/>
        <v>1000</v>
      </c>
      <c r="AE199" s="99">
        <f t="shared" si="130"/>
        <v>1000</v>
      </c>
      <c r="AF199" s="99">
        <f t="shared" si="130"/>
        <v>1000</v>
      </c>
      <c r="AG199" s="99">
        <f t="shared" si="130"/>
        <v>1000</v>
      </c>
      <c r="AH199" s="99">
        <f t="shared" si="130"/>
        <v>1000</v>
      </c>
      <c r="AI199" s="99">
        <f t="shared" si="130"/>
        <v>1000</v>
      </c>
      <c r="AJ199" s="99">
        <f t="shared" si="130"/>
        <v>1000</v>
      </c>
      <c r="AK199" s="99">
        <f t="shared" si="130"/>
        <v>1000</v>
      </c>
      <c r="AL199" s="99">
        <f t="shared" si="130"/>
        <v>1000</v>
      </c>
      <c r="AM199" s="99">
        <f t="shared" si="130"/>
        <v>1000</v>
      </c>
      <c r="AN199" s="99">
        <f t="shared" si="130"/>
        <v>1000</v>
      </c>
      <c r="AO199" s="99">
        <f t="shared" si="130"/>
        <v>1000</v>
      </c>
      <c r="AP199" s="99">
        <f t="shared" si="130"/>
        <v>1000</v>
      </c>
      <c r="AQ199" s="99">
        <f t="shared" si="130"/>
        <v>1000</v>
      </c>
      <c r="AR199" s="99">
        <f t="shared" si="130"/>
        <v>1000</v>
      </c>
      <c r="AS199" s="99">
        <f t="shared" si="130"/>
        <v>1000</v>
      </c>
      <c r="AT199" s="99">
        <f t="shared" si="130"/>
        <v>1000</v>
      </c>
      <c r="AU199" s="99">
        <f t="shared" si="130"/>
        <v>1000</v>
      </c>
      <c r="AV199" s="99">
        <f t="shared" si="130"/>
        <v>1000</v>
      </c>
      <c r="AW199" s="67"/>
      <c r="AX199" s="90"/>
      <c r="AY199" s="90"/>
      <c r="AZ199" s="90"/>
      <c r="BA199" s="90"/>
      <c r="BB199" s="90"/>
      <c r="BC199" s="90"/>
      <c r="BD199" s="90"/>
      <c r="BE199" s="90"/>
      <c r="BF199" s="90"/>
      <c r="BG199" s="90"/>
    </row>
    <row r="200" ht="12.75" hidden="1" customHeight="1" outlineLevel="1">
      <c r="A200" s="316"/>
      <c r="B200" s="90"/>
      <c r="C200" s="90" t="s">
        <v>743</v>
      </c>
      <c r="D200" s="90"/>
      <c r="E200" s="90"/>
      <c r="F200" s="90"/>
      <c r="G200" s="90"/>
      <c r="H200" s="254"/>
      <c r="I200" s="99"/>
      <c r="J200" s="99"/>
      <c r="K200" s="99"/>
      <c r="L200" s="99" t="str">
        <f>'RS1'!L200</f>
        <v/>
      </c>
      <c r="M200" s="99">
        <f>'RS1'!M200</f>
        <v>0</v>
      </c>
      <c r="N200" s="99">
        <f>'RS1'!N200</f>
        <v>0</v>
      </c>
      <c r="O200" s="99">
        <f>'RS1'!O200</f>
        <v>0</v>
      </c>
      <c r="P200" s="99">
        <f>'RS1'!P200</f>
        <v>0</v>
      </c>
      <c r="Q200" s="99">
        <f>'RS1'!Q200</f>
        <v>0</v>
      </c>
      <c r="R200" s="99">
        <f>'RS1'!R200</f>
        <v>0</v>
      </c>
      <c r="S200" s="99">
        <f>'RS1'!S200</f>
        <v>0</v>
      </c>
      <c r="T200" s="99">
        <f>'RS1'!T200</f>
        <v>0</v>
      </c>
      <c r="U200" s="99">
        <f>'RS1'!U200</f>
        <v>0</v>
      </c>
      <c r="V200" s="99">
        <f>'RS1'!V200</f>
        <v>0</v>
      </c>
      <c r="W200" s="99">
        <f>'RS1'!W200</f>
        <v>0</v>
      </c>
      <c r="X200" s="99">
        <f>'RS1'!X200</f>
        <v>0</v>
      </c>
      <c r="Y200" s="99">
        <f>'RS1'!Y200</f>
        <v>0</v>
      </c>
      <c r="Z200" s="99">
        <f>'RS1'!Z200</f>
        <v>0</v>
      </c>
      <c r="AA200" s="99">
        <f>'RS1'!AA200</f>
        <v>0</v>
      </c>
      <c r="AB200" s="99">
        <f>'RS1'!AB200</f>
        <v>0</v>
      </c>
      <c r="AC200" s="99">
        <f>'RS1'!AC200</f>
        <v>0</v>
      </c>
      <c r="AD200" s="99">
        <f>'RS1'!AD200</f>
        <v>0</v>
      </c>
      <c r="AE200" s="99">
        <f>'RS1'!AE200</f>
        <v>0</v>
      </c>
      <c r="AF200" s="99">
        <f>'RS1'!AF200</f>
        <v>0</v>
      </c>
      <c r="AG200" s="99">
        <f>'RS1'!AG200</f>
        <v>0</v>
      </c>
      <c r="AH200" s="99">
        <f>'RS1'!AH200</f>
        <v>0</v>
      </c>
      <c r="AI200" s="99">
        <f>'RS1'!AI200</f>
        <v>0</v>
      </c>
      <c r="AJ200" s="99">
        <f>'RS1'!AJ200</f>
        <v>0</v>
      </c>
      <c r="AK200" s="99">
        <f>'RS1'!AK200</f>
        <v>0</v>
      </c>
      <c r="AL200" s="99">
        <f>'RS1'!AL200</f>
        <v>0</v>
      </c>
      <c r="AM200" s="99">
        <f>'RS1'!AM200</f>
        <v>0</v>
      </c>
      <c r="AN200" s="99">
        <f>'RS1'!AN200</f>
        <v>0</v>
      </c>
      <c r="AO200" s="99">
        <f>'RS1'!AO200</f>
        <v>0</v>
      </c>
      <c r="AP200" s="99">
        <f>'RS1'!AP200</f>
        <v>0</v>
      </c>
      <c r="AQ200" s="99">
        <f>'RS1'!AQ200</f>
        <v>0</v>
      </c>
      <c r="AR200" s="99">
        <f>'RS1'!AR200</f>
        <v>0</v>
      </c>
      <c r="AS200" s="99">
        <f>'RS1'!AS200</f>
        <v>0</v>
      </c>
      <c r="AT200" s="99">
        <f>'RS1'!AT200</f>
        <v>0</v>
      </c>
      <c r="AU200" s="99">
        <f>'RS1'!AU200</f>
        <v>0</v>
      </c>
      <c r="AV200" s="99">
        <f>'RS1'!AV200</f>
        <v>0</v>
      </c>
      <c r="AW200" s="67"/>
      <c r="AX200" s="90"/>
      <c r="AY200" s="90"/>
      <c r="AZ200" s="90"/>
      <c r="BA200" s="90"/>
      <c r="BB200" s="90"/>
      <c r="BC200" s="90"/>
      <c r="BD200" s="90"/>
      <c r="BE200" s="90"/>
      <c r="BF200" s="90"/>
      <c r="BG200" s="90"/>
    </row>
    <row r="201" ht="12.75" hidden="1" customHeight="1" outlineLevel="1">
      <c r="A201" s="316"/>
      <c r="B201" s="90"/>
      <c r="C201" s="90" t="s">
        <v>744</v>
      </c>
      <c r="D201" s="90"/>
      <c r="E201" s="90"/>
      <c r="F201" s="90"/>
      <c r="G201" s="90"/>
      <c r="H201" s="254"/>
      <c r="I201" s="99"/>
      <c r="J201" s="99"/>
      <c r="K201" s="99"/>
      <c r="L201" s="99">
        <f>'RS1'!L201</f>
        <v>150</v>
      </c>
      <c r="M201" s="99">
        <f>'RS1'!M201</f>
        <v>153</v>
      </c>
      <c r="N201" s="99">
        <f>'RS1'!N201</f>
        <v>156.06</v>
      </c>
      <c r="O201" s="99">
        <f>'RS1'!O201</f>
        <v>159.1812</v>
      </c>
      <c r="P201" s="99">
        <f>'RS1'!P201</f>
        <v>162.364824</v>
      </c>
      <c r="Q201" s="99">
        <f>'RS1'!Q201</f>
        <v>165.6121205</v>
      </c>
      <c r="R201" s="99">
        <f>'RS1'!R201</f>
        <v>168.9243629</v>
      </c>
      <c r="S201" s="99">
        <f>'RS1'!S201</f>
        <v>172.3028501</v>
      </c>
      <c r="T201" s="99">
        <f>'RS1'!T201</f>
        <v>175.7489072</v>
      </c>
      <c r="U201" s="99">
        <f>'RS1'!U201</f>
        <v>179.2638853</v>
      </c>
      <c r="V201" s="99">
        <f>'RS1'!V201</f>
        <v>182.849163</v>
      </c>
      <c r="W201" s="99">
        <f>'RS1'!W201</f>
        <v>186.5061463</v>
      </c>
      <c r="X201" s="99">
        <f>'RS1'!X201</f>
        <v>190.2362692</v>
      </c>
      <c r="Y201" s="99">
        <f>'RS1'!Y201</f>
        <v>194.0409946</v>
      </c>
      <c r="Z201" s="99">
        <f>'RS1'!Z201</f>
        <v>197.9218145</v>
      </c>
      <c r="AA201" s="99">
        <f>'RS1'!AA201</f>
        <v>201.8802507</v>
      </c>
      <c r="AB201" s="99">
        <f>'RS1'!AB201</f>
        <v>205.9178558</v>
      </c>
      <c r="AC201" s="99">
        <f>'RS1'!AC201</f>
        <v>210.0362129</v>
      </c>
      <c r="AD201" s="99">
        <f>'RS1'!AD201</f>
        <v>214.2369371</v>
      </c>
      <c r="AE201" s="99">
        <f>'RS1'!AE201</f>
        <v>218.5216759</v>
      </c>
      <c r="AF201" s="99">
        <f>'RS1'!AF201</f>
        <v>222.8921094</v>
      </c>
      <c r="AG201" s="99">
        <f>'RS1'!AG201</f>
        <v>227.3499516</v>
      </c>
      <c r="AH201" s="99">
        <f>'RS1'!AH201</f>
        <v>231.8969506</v>
      </c>
      <c r="AI201" s="99">
        <f>'RS1'!AI201</f>
        <v>236.5348896</v>
      </c>
      <c r="AJ201" s="99">
        <f>'RS1'!AJ201</f>
        <v>241.2655874</v>
      </c>
      <c r="AK201" s="99">
        <f>'RS1'!AK201</f>
        <v>246.0908992</v>
      </c>
      <c r="AL201" s="99">
        <f>'RS1'!AL201</f>
        <v>251.0127172</v>
      </c>
      <c r="AM201" s="99">
        <f>'RS1'!AM201</f>
        <v>256.0329715</v>
      </c>
      <c r="AN201" s="99">
        <f>'RS1'!AN201</f>
        <v>261.1536309</v>
      </c>
      <c r="AO201" s="99">
        <f>'RS1'!AO201</f>
        <v>266.3767035</v>
      </c>
      <c r="AP201" s="99">
        <f>'RS1'!AP201</f>
        <v>271.7042376</v>
      </c>
      <c r="AQ201" s="99">
        <f>'RS1'!AQ201</f>
        <v>277.1383224</v>
      </c>
      <c r="AR201" s="99">
        <f>'RS1'!AR201</f>
        <v>282.6810888</v>
      </c>
      <c r="AS201" s="99">
        <f>'RS1'!AS201</f>
        <v>288.3347106</v>
      </c>
      <c r="AT201" s="99">
        <f>'RS1'!AT201</f>
        <v>294.1014048</v>
      </c>
      <c r="AU201" s="99">
        <f>'RS1'!AU201</f>
        <v>299.9834329</v>
      </c>
      <c r="AV201" s="99">
        <f>'RS1'!AV201</f>
        <v>305.9831016</v>
      </c>
      <c r="AW201" s="67"/>
      <c r="AX201" s="90"/>
      <c r="AY201" s="90"/>
      <c r="AZ201" s="90"/>
      <c r="BA201" s="90"/>
      <c r="BB201" s="90"/>
      <c r="BC201" s="90"/>
      <c r="BD201" s="90"/>
      <c r="BE201" s="90"/>
      <c r="BF201" s="90"/>
      <c r="BG201" s="90"/>
    </row>
    <row r="202" ht="12.75" hidden="1" customHeight="1" outlineLevel="1">
      <c r="A202" s="316"/>
      <c r="B202" s="90"/>
      <c r="C202" s="90" t="s">
        <v>745</v>
      </c>
      <c r="D202" s="90"/>
      <c r="E202" s="90"/>
      <c r="F202" s="90"/>
      <c r="G202" s="90"/>
      <c r="H202" s="254"/>
      <c r="I202" s="99"/>
      <c r="J202" s="99"/>
      <c r="K202" s="99"/>
      <c r="L202" s="99">
        <v>10000.0</v>
      </c>
      <c r="M202" s="99">
        <f>'RS1'!M202</f>
        <v>0</v>
      </c>
      <c r="N202" s="99">
        <f>'RS1'!N202</f>
        <v>0</v>
      </c>
      <c r="O202" s="99">
        <f>'RS1'!O202</f>
        <v>0</v>
      </c>
      <c r="P202" s="99">
        <f>'RS1'!P202</f>
        <v>0</v>
      </c>
      <c r="Q202" s="99">
        <f>'RS1'!Q202</f>
        <v>0</v>
      </c>
      <c r="R202" s="99">
        <f>'RS1'!R202</f>
        <v>0</v>
      </c>
      <c r="S202" s="99">
        <f>'RS1'!S202</f>
        <v>0</v>
      </c>
      <c r="T202" s="99">
        <f>'RS1'!T202</f>
        <v>0</v>
      </c>
      <c r="U202" s="99">
        <f>'RS1'!U202</f>
        <v>0</v>
      </c>
      <c r="V202" s="99">
        <f>'RS1'!V202</f>
        <v>0</v>
      </c>
      <c r="W202" s="99">
        <f>'RS1'!W202</f>
        <v>0</v>
      </c>
      <c r="X202" s="99">
        <f>'RS1'!X202</f>
        <v>0</v>
      </c>
      <c r="Y202" s="99">
        <f>'RS1'!Y202</f>
        <v>0</v>
      </c>
      <c r="Z202" s="99">
        <f>'RS1'!Z202</f>
        <v>0</v>
      </c>
      <c r="AA202" s="99">
        <f>'RS1'!AA202</f>
        <v>0</v>
      </c>
      <c r="AB202" s="99">
        <f>'RS1'!AB202</f>
        <v>0</v>
      </c>
      <c r="AC202" s="99">
        <f>'RS1'!AC202</f>
        <v>0</v>
      </c>
      <c r="AD202" s="99">
        <f>'RS1'!AD202</f>
        <v>0</v>
      </c>
      <c r="AE202" s="99">
        <f>'RS1'!AE202</f>
        <v>0</v>
      </c>
      <c r="AF202" s="99">
        <f>'RS1'!AF202</f>
        <v>0</v>
      </c>
      <c r="AG202" s="99">
        <f>'RS1'!AG202</f>
        <v>0</v>
      </c>
      <c r="AH202" s="99">
        <f>'RS1'!AH202</f>
        <v>0</v>
      </c>
      <c r="AI202" s="99">
        <f>'RS1'!AI202</f>
        <v>0</v>
      </c>
      <c r="AJ202" s="99">
        <f>'RS1'!AJ202</f>
        <v>0</v>
      </c>
      <c r="AK202" s="99">
        <f>'RS1'!AK202</f>
        <v>0</v>
      </c>
      <c r="AL202" s="99">
        <f>'RS1'!AL202</f>
        <v>0</v>
      </c>
      <c r="AM202" s="99">
        <f>'RS1'!AM202</f>
        <v>0</v>
      </c>
      <c r="AN202" s="99">
        <f>'RS1'!AN202</f>
        <v>0</v>
      </c>
      <c r="AO202" s="99">
        <f>'RS1'!AO202</f>
        <v>0</v>
      </c>
      <c r="AP202" s="99">
        <f>'RS1'!AP202</f>
        <v>0</v>
      </c>
      <c r="AQ202" s="99">
        <f>'RS1'!AQ202</f>
        <v>0</v>
      </c>
      <c r="AR202" s="99">
        <f>'RS1'!AR202</f>
        <v>0</v>
      </c>
      <c r="AS202" s="99">
        <f>'RS1'!AS202</f>
        <v>0</v>
      </c>
      <c r="AT202" s="99">
        <f>'RS1'!AT202</f>
        <v>0</v>
      </c>
      <c r="AU202" s="99">
        <f>'RS1'!AU202</f>
        <v>0</v>
      </c>
      <c r="AV202" s="99">
        <f>'RS1'!AV202</f>
        <v>0</v>
      </c>
      <c r="AW202" s="67"/>
      <c r="AX202" s="90"/>
      <c r="AY202" s="90"/>
      <c r="AZ202" s="90"/>
      <c r="BA202" s="90"/>
      <c r="BB202" s="90"/>
      <c r="BC202" s="90"/>
      <c r="BD202" s="90"/>
      <c r="BE202" s="90"/>
      <c r="BF202" s="90"/>
      <c r="BG202" s="90"/>
    </row>
    <row r="203" ht="12.75" hidden="1" customHeight="1" outlineLevel="1">
      <c r="A203" s="316"/>
      <c r="B203" s="90"/>
      <c r="C203" s="90" t="s">
        <v>746</v>
      </c>
      <c r="D203" s="90"/>
      <c r="E203" s="90"/>
      <c r="F203" s="90"/>
      <c r="G203" s="90"/>
      <c r="H203" s="254"/>
      <c r="I203" s="99"/>
      <c r="J203" s="99"/>
      <c r="K203" s="99"/>
      <c r="L203" s="99">
        <f>'RS1'!L203</f>
        <v>15000</v>
      </c>
      <c r="M203" s="99">
        <f>'RS1'!M203</f>
        <v>15300</v>
      </c>
      <c r="N203" s="99">
        <f>'RS1'!N203</f>
        <v>15606</v>
      </c>
      <c r="O203" s="99">
        <f>'RS1'!O203</f>
        <v>15918.12</v>
      </c>
      <c r="P203" s="99">
        <f>'RS1'!P203</f>
        <v>16236.4824</v>
      </c>
      <c r="Q203" s="99">
        <f>'RS1'!Q203</f>
        <v>16561.21205</v>
      </c>
      <c r="R203" s="99">
        <f>'RS1'!R203</f>
        <v>16892.43629</v>
      </c>
      <c r="S203" s="99">
        <f>'RS1'!S203</f>
        <v>17230.28501</v>
      </c>
      <c r="T203" s="99">
        <f>'RS1'!T203</f>
        <v>17574.89072</v>
      </c>
      <c r="U203" s="99">
        <f>'RS1'!U203</f>
        <v>17926.38853</v>
      </c>
      <c r="V203" s="99">
        <f>'RS1'!V203</f>
        <v>18284.9163</v>
      </c>
      <c r="W203" s="99">
        <f>'RS1'!W203</f>
        <v>18650.61463</v>
      </c>
      <c r="X203" s="99">
        <f>'RS1'!X203</f>
        <v>19023.62692</v>
      </c>
      <c r="Y203" s="99">
        <f>'RS1'!Y203</f>
        <v>19404.09946</v>
      </c>
      <c r="Z203" s="99">
        <f>'RS1'!Z203</f>
        <v>19792.18145</v>
      </c>
      <c r="AA203" s="99">
        <f>'RS1'!AA203</f>
        <v>20188.02507</v>
      </c>
      <c r="AB203" s="99">
        <f>'RS1'!AB203</f>
        <v>20591.78558</v>
      </c>
      <c r="AC203" s="99">
        <f>'RS1'!AC203</f>
        <v>21003.62129</v>
      </c>
      <c r="AD203" s="99">
        <f>'RS1'!AD203</f>
        <v>21423.69371</v>
      </c>
      <c r="AE203" s="99">
        <f>'RS1'!AE203</f>
        <v>21852.16759</v>
      </c>
      <c r="AF203" s="99">
        <f>'RS1'!AF203</f>
        <v>22289.21094</v>
      </c>
      <c r="AG203" s="99">
        <f>'RS1'!AG203</f>
        <v>22734.99516</v>
      </c>
      <c r="AH203" s="99">
        <f>'RS1'!AH203</f>
        <v>23189.69506</v>
      </c>
      <c r="AI203" s="99">
        <f>'RS1'!AI203</f>
        <v>23653.48896</v>
      </c>
      <c r="AJ203" s="99">
        <f>'RS1'!AJ203</f>
        <v>24126.55874</v>
      </c>
      <c r="AK203" s="99">
        <f>'RS1'!AK203</f>
        <v>24609.08992</v>
      </c>
      <c r="AL203" s="99">
        <f>'RS1'!AL203</f>
        <v>25101.27172</v>
      </c>
      <c r="AM203" s="99">
        <f>'RS1'!AM203</f>
        <v>25603.29715</v>
      </c>
      <c r="AN203" s="99">
        <f>'RS1'!AN203</f>
        <v>26115.36309</v>
      </c>
      <c r="AO203" s="99">
        <f>'RS1'!AO203</f>
        <v>26637.67035</v>
      </c>
      <c r="AP203" s="99">
        <f>'RS1'!AP203</f>
        <v>27170.42376</v>
      </c>
      <c r="AQ203" s="99">
        <f>'RS1'!AQ203</f>
        <v>27713.83224</v>
      </c>
      <c r="AR203" s="99">
        <f>'RS1'!AR203</f>
        <v>28268.10888</v>
      </c>
      <c r="AS203" s="99">
        <f>'RS1'!AS203</f>
        <v>28833.47106</v>
      </c>
      <c r="AT203" s="99">
        <f>'RS1'!AT203</f>
        <v>29410.14048</v>
      </c>
      <c r="AU203" s="99">
        <f>'RS1'!AU203</f>
        <v>29998.34329</v>
      </c>
      <c r="AV203" s="99">
        <f>'RS1'!AV203</f>
        <v>30598.31016</v>
      </c>
      <c r="AW203" s="67"/>
      <c r="AX203" s="90"/>
      <c r="AY203" s="90"/>
      <c r="AZ203" s="90"/>
      <c r="BA203" s="90"/>
      <c r="BB203" s="90"/>
      <c r="BC203" s="90"/>
      <c r="BD203" s="90"/>
      <c r="BE203" s="90"/>
      <c r="BF203" s="90"/>
      <c r="BG203" s="90"/>
    </row>
    <row r="204" ht="12.75" hidden="1" customHeight="1" outlineLevel="1">
      <c r="A204" s="316"/>
      <c r="B204" s="90"/>
      <c r="C204" s="90" t="s">
        <v>747</v>
      </c>
      <c r="D204" s="90"/>
      <c r="E204" s="90"/>
      <c r="F204" s="90"/>
      <c r="G204" s="90"/>
      <c r="H204" s="90"/>
      <c r="I204" s="90"/>
      <c r="J204" s="90"/>
      <c r="K204" s="90"/>
      <c r="L204" s="99">
        <f>'RS1'!L204</f>
        <v>100</v>
      </c>
      <c r="M204" s="99">
        <f>'RS1'!M204</f>
        <v>102</v>
      </c>
      <c r="N204" s="99">
        <f>'RS1'!N204</f>
        <v>104.04</v>
      </c>
      <c r="O204" s="99">
        <f>'RS1'!O204</f>
        <v>106.1208</v>
      </c>
      <c r="P204" s="99">
        <f>'RS1'!P204</f>
        <v>108.243216</v>
      </c>
      <c r="Q204" s="99">
        <f>'RS1'!Q204</f>
        <v>110.4080803</v>
      </c>
      <c r="R204" s="99">
        <f>'RS1'!R204</f>
        <v>112.6162419</v>
      </c>
      <c r="S204" s="99">
        <f>'RS1'!S204</f>
        <v>114.8685668</v>
      </c>
      <c r="T204" s="99">
        <f>'RS1'!T204</f>
        <v>117.1659381</v>
      </c>
      <c r="U204" s="99">
        <f>'RS1'!U204</f>
        <v>119.5092569</v>
      </c>
      <c r="V204" s="99">
        <f>'RS1'!V204</f>
        <v>121.899442</v>
      </c>
      <c r="W204" s="99">
        <f>'RS1'!W204</f>
        <v>124.3374308</v>
      </c>
      <c r="X204" s="99">
        <f>'RS1'!X204</f>
        <v>126.8241795</v>
      </c>
      <c r="Y204" s="99">
        <f>'RS1'!Y204</f>
        <v>129.360663</v>
      </c>
      <c r="Z204" s="99">
        <f>'RS1'!Z204</f>
        <v>131.9478763</v>
      </c>
      <c r="AA204" s="99">
        <f>'RS1'!AA204</f>
        <v>134.5868338</v>
      </c>
      <c r="AB204" s="99">
        <f>'RS1'!AB204</f>
        <v>137.2785705</v>
      </c>
      <c r="AC204" s="99">
        <f>'RS1'!AC204</f>
        <v>140.0241419</v>
      </c>
      <c r="AD204" s="99">
        <f>'RS1'!AD204</f>
        <v>142.8246248</v>
      </c>
      <c r="AE204" s="99">
        <f>'RS1'!AE204</f>
        <v>145.6811173</v>
      </c>
      <c r="AF204" s="99">
        <f>'RS1'!AF204</f>
        <v>148.5947396</v>
      </c>
      <c r="AG204" s="99">
        <f>'RS1'!AG204</f>
        <v>151.5666344</v>
      </c>
      <c r="AH204" s="99">
        <f>'RS1'!AH204</f>
        <v>154.5979671</v>
      </c>
      <c r="AI204" s="99">
        <f>'RS1'!AI204</f>
        <v>157.6899264</v>
      </c>
      <c r="AJ204" s="99">
        <f>'RS1'!AJ204</f>
        <v>160.8437249</v>
      </c>
      <c r="AK204" s="99">
        <f>'RS1'!AK204</f>
        <v>164.0605994</v>
      </c>
      <c r="AL204" s="99">
        <f>'RS1'!AL204</f>
        <v>167.3418114</v>
      </c>
      <c r="AM204" s="99">
        <f>'RS1'!AM204</f>
        <v>170.6886477</v>
      </c>
      <c r="AN204" s="99">
        <f>'RS1'!AN204</f>
        <v>174.1024206</v>
      </c>
      <c r="AO204" s="99">
        <f>'RS1'!AO204</f>
        <v>177.584469</v>
      </c>
      <c r="AP204" s="99">
        <f>'RS1'!AP204</f>
        <v>181.1361584</v>
      </c>
      <c r="AQ204" s="99">
        <f>'RS1'!AQ204</f>
        <v>184.7588816</v>
      </c>
      <c r="AR204" s="99">
        <f>'RS1'!AR204</f>
        <v>188.4540592</v>
      </c>
      <c r="AS204" s="99">
        <f>'RS1'!AS204</f>
        <v>192.2231404</v>
      </c>
      <c r="AT204" s="99">
        <f>'RS1'!AT204</f>
        <v>196.0676032</v>
      </c>
      <c r="AU204" s="99">
        <f>'RS1'!AU204</f>
        <v>199.9889553</v>
      </c>
      <c r="AV204" s="99">
        <f>'RS1'!AV204</f>
        <v>203.9887344</v>
      </c>
      <c r="AW204" s="90"/>
      <c r="AX204" s="90"/>
      <c r="AY204" s="90"/>
      <c r="AZ204" s="90"/>
      <c r="BA204" s="90"/>
      <c r="BB204" s="90"/>
      <c r="BC204" s="90"/>
      <c r="BD204" s="90"/>
      <c r="BE204" s="90"/>
      <c r="BF204" s="90"/>
      <c r="BG204" s="90"/>
    </row>
    <row r="205" ht="12.75" hidden="1" customHeight="1" outlineLevel="1">
      <c r="A205" s="316"/>
      <c r="B205" s="90"/>
      <c r="C205" s="90" t="s">
        <v>748</v>
      </c>
      <c r="D205" s="90"/>
      <c r="E205" s="90"/>
      <c r="F205" s="90"/>
      <c r="G205" s="90"/>
      <c r="H205" s="90"/>
      <c r="I205" s="90"/>
      <c r="J205" s="90"/>
      <c r="K205" s="90"/>
      <c r="L205" s="99">
        <f>'RS1'!L205</f>
        <v>10000</v>
      </c>
      <c r="M205" s="99">
        <f t="shared" ref="M205:AV205" si="131">L205</f>
        <v>10000</v>
      </c>
      <c r="N205" s="99">
        <f t="shared" si="131"/>
        <v>10000</v>
      </c>
      <c r="O205" s="99">
        <f t="shared" si="131"/>
        <v>10000</v>
      </c>
      <c r="P205" s="99">
        <f t="shared" si="131"/>
        <v>10000</v>
      </c>
      <c r="Q205" s="99">
        <f t="shared" si="131"/>
        <v>10000</v>
      </c>
      <c r="R205" s="99">
        <f t="shared" si="131"/>
        <v>10000</v>
      </c>
      <c r="S205" s="99">
        <f t="shared" si="131"/>
        <v>10000</v>
      </c>
      <c r="T205" s="99">
        <f t="shared" si="131"/>
        <v>10000</v>
      </c>
      <c r="U205" s="99">
        <f t="shared" si="131"/>
        <v>10000</v>
      </c>
      <c r="V205" s="99">
        <f t="shared" si="131"/>
        <v>10000</v>
      </c>
      <c r="W205" s="99">
        <f t="shared" si="131"/>
        <v>10000</v>
      </c>
      <c r="X205" s="99">
        <f t="shared" si="131"/>
        <v>10000</v>
      </c>
      <c r="Y205" s="99">
        <f t="shared" si="131"/>
        <v>10000</v>
      </c>
      <c r="Z205" s="99">
        <f t="shared" si="131"/>
        <v>10000</v>
      </c>
      <c r="AA205" s="99">
        <f t="shared" si="131"/>
        <v>10000</v>
      </c>
      <c r="AB205" s="99">
        <f t="shared" si="131"/>
        <v>10000</v>
      </c>
      <c r="AC205" s="99">
        <f t="shared" si="131"/>
        <v>10000</v>
      </c>
      <c r="AD205" s="99">
        <f t="shared" si="131"/>
        <v>10000</v>
      </c>
      <c r="AE205" s="99">
        <f t="shared" si="131"/>
        <v>10000</v>
      </c>
      <c r="AF205" s="99">
        <f t="shared" si="131"/>
        <v>10000</v>
      </c>
      <c r="AG205" s="99">
        <f t="shared" si="131"/>
        <v>10000</v>
      </c>
      <c r="AH205" s="99">
        <f t="shared" si="131"/>
        <v>10000</v>
      </c>
      <c r="AI205" s="99">
        <f t="shared" si="131"/>
        <v>10000</v>
      </c>
      <c r="AJ205" s="99">
        <f t="shared" si="131"/>
        <v>10000</v>
      </c>
      <c r="AK205" s="99">
        <f t="shared" si="131"/>
        <v>10000</v>
      </c>
      <c r="AL205" s="99">
        <f t="shared" si="131"/>
        <v>10000</v>
      </c>
      <c r="AM205" s="99">
        <f t="shared" si="131"/>
        <v>10000</v>
      </c>
      <c r="AN205" s="99">
        <f t="shared" si="131"/>
        <v>10000</v>
      </c>
      <c r="AO205" s="99">
        <f t="shared" si="131"/>
        <v>10000</v>
      </c>
      <c r="AP205" s="99">
        <f t="shared" si="131"/>
        <v>10000</v>
      </c>
      <c r="AQ205" s="99">
        <f t="shared" si="131"/>
        <v>10000</v>
      </c>
      <c r="AR205" s="99">
        <f t="shared" si="131"/>
        <v>10000</v>
      </c>
      <c r="AS205" s="99">
        <f t="shared" si="131"/>
        <v>10000</v>
      </c>
      <c r="AT205" s="99">
        <f t="shared" si="131"/>
        <v>10000</v>
      </c>
      <c r="AU205" s="99">
        <f t="shared" si="131"/>
        <v>10000</v>
      </c>
      <c r="AV205" s="99">
        <f t="shared" si="131"/>
        <v>10000</v>
      </c>
      <c r="AW205" s="90"/>
      <c r="AX205" s="90"/>
      <c r="AY205" s="90"/>
      <c r="AZ205" s="90"/>
      <c r="BA205" s="90"/>
      <c r="BB205" s="90"/>
      <c r="BC205" s="90"/>
      <c r="BD205" s="90"/>
      <c r="BE205" s="90"/>
      <c r="BF205" s="90"/>
      <c r="BG205" s="90"/>
    </row>
    <row r="206" ht="12.75" hidden="1" customHeight="1" outlineLevel="1">
      <c r="A206" s="316"/>
      <c r="B206" s="90"/>
      <c r="C206" s="90" t="s">
        <v>749</v>
      </c>
      <c r="D206" s="90"/>
      <c r="E206" s="90"/>
      <c r="F206" s="90"/>
      <c r="G206" s="90"/>
      <c r="H206" s="90"/>
      <c r="I206" s="90"/>
      <c r="J206" s="90"/>
      <c r="K206" s="90"/>
      <c r="L206" s="99">
        <f>'RS1'!L206</f>
        <v>750</v>
      </c>
      <c r="M206" s="99">
        <f t="shared" ref="M206:AV206" si="132">L206</f>
        <v>750</v>
      </c>
      <c r="N206" s="99">
        <f t="shared" si="132"/>
        <v>750</v>
      </c>
      <c r="O206" s="99">
        <f t="shared" si="132"/>
        <v>750</v>
      </c>
      <c r="P206" s="99">
        <f t="shared" si="132"/>
        <v>750</v>
      </c>
      <c r="Q206" s="99">
        <f t="shared" si="132"/>
        <v>750</v>
      </c>
      <c r="R206" s="99">
        <f t="shared" si="132"/>
        <v>750</v>
      </c>
      <c r="S206" s="99">
        <f t="shared" si="132"/>
        <v>750</v>
      </c>
      <c r="T206" s="99">
        <f t="shared" si="132"/>
        <v>750</v>
      </c>
      <c r="U206" s="99">
        <f t="shared" si="132"/>
        <v>750</v>
      </c>
      <c r="V206" s="99">
        <f t="shared" si="132"/>
        <v>750</v>
      </c>
      <c r="W206" s="99">
        <f t="shared" si="132"/>
        <v>750</v>
      </c>
      <c r="X206" s="99">
        <f t="shared" si="132"/>
        <v>750</v>
      </c>
      <c r="Y206" s="99">
        <f t="shared" si="132"/>
        <v>750</v>
      </c>
      <c r="Z206" s="99">
        <f t="shared" si="132"/>
        <v>750</v>
      </c>
      <c r="AA206" s="99">
        <f t="shared" si="132"/>
        <v>750</v>
      </c>
      <c r="AB206" s="99">
        <f t="shared" si="132"/>
        <v>750</v>
      </c>
      <c r="AC206" s="99">
        <f t="shared" si="132"/>
        <v>750</v>
      </c>
      <c r="AD206" s="99">
        <f t="shared" si="132"/>
        <v>750</v>
      </c>
      <c r="AE206" s="99">
        <f t="shared" si="132"/>
        <v>750</v>
      </c>
      <c r="AF206" s="99">
        <f t="shared" si="132"/>
        <v>750</v>
      </c>
      <c r="AG206" s="99">
        <f t="shared" si="132"/>
        <v>750</v>
      </c>
      <c r="AH206" s="99">
        <f t="shared" si="132"/>
        <v>750</v>
      </c>
      <c r="AI206" s="99">
        <f t="shared" si="132"/>
        <v>750</v>
      </c>
      <c r="AJ206" s="99">
        <f t="shared" si="132"/>
        <v>750</v>
      </c>
      <c r="AK206" s="99">
        <f t="shared" si="132"/>
        <v>750</v>
      </c>
      <c r="AL206" s="99">
        <f t="shared" si="132"/>
        <v>750</v>
      </c>
      <c r="AM206" s="99">
        <f t="shared" si="132"/>
        <v>750</v>
      </c>
      <c r="AN206" s="99">
        <f t="shared" si="132"/>
        <v>750</v>
      </c>
      <c r="AO206" s="99">
        <f t="shared" si="132"/>
        <v>750</v>
      </c>
      <c r="AP206" s="99">
        <f t="shared" si="132"/>
        <v>750</v>
      </c>
      <c r="AQ206" s="99">
        <f t="shared" si="132"/>
        <v>750</v>
      </c>
      <c r="AR206" s="99">
        <f t="shared" si="132"/>
        <v>750</v>
      </c>
      <c r="AS206" s="99">
        <f t="shared" si="132"/>
        <v>750</v>
      </c>
      <c r="AT206" s="99">
        <f t="shared" si="132"/>
        <v>750</v>
      </c>
      <c r="AU206" s="99">
        <f t="shared" si="132"/>
        <v>750</v>
      </c>
      <c r="AV206" s="99">
        <f t="shared" si="132"/>
        <v>750</v>
      </c>
      <c r="AW206" s="90"/>
      <c r="AX206" s="90"/>
      <c r="AY206" s="90"/>
      <c r="AZ206" s="90"/>
      <c r="BA206" s="90"/>
      <c r="BB206" s="90"/>
      <c r="BC206" s="90"/>
      <c r="BD206" s="90"/>
      <c r="BE206" s="90"/>
      <c r="BF206" s="90"/>
      <c r="BG206" s="90"/>
    </row>
    <row r="207" ht="12.75" hidden="1" customHeight="1" outlineLevel="1">
      <c r="A207" s="316"/>
      <c r="B207" s="90"/>
      <c r="C207" s="90" t="s">
        <v>750</v>
      </c>
      <c r="D207" s="90"/>
      <c r="E207" s="90"/>
      <c r="F207" s="90"/>
      <c r="G207" s="90"/>
      <c r="H207" s="90"/>
      <c r="I207" s="90"/>
      <c r="J207" s="90"/>
      <c r="K207" s="90"/>
      <c r="L207" s="99">
        <f>'RS1'!L207</f>
        <v>440</v>
      </c>
      <c r="M207" s="99">
        <f>'RS1'!M207</f>
        <v>448.8</v>
      </c>
      <c r="N207" s="99">
        <f>'RS1'!N207</f>
        <v>457.776</v>
      </c>
      <c r="O207" s="99">
        <f>'RS1'!O207</f>
        <v>466.93152</v>
      </c>
      <c r="P207" s="99">
        <f>'RS1'!P207</f>
        <v>476.2701504</v>
      </c>
      <c r="Q207" s="99">
        <f>'RS1'!Q207</f>
        <v>485.7955534</v>
      </c>
      <c r="R207" s="99">
        <f>'RS1'!R207</f>
        <v>495.5114645</v>
      </c>
      <c r="S207" s="99">
        <f>'RS1'!S207</f>
        <v>505.4216938</v>
      </c>
      <c r="T207" s="99">
        <f>'RS1'!T207</f>
        <v>515.5301276</v>
      </c>
      <c r="U207" s="99">
        <f>'RS1'!U207</f>
        <v>525.8407302</v>
      </c>
      <c r="V207" s="99">
        <f>'RS1'!V207</f>
        <v>536.3575448</v>
      </c>
      <c r="W207" s="99">
        <f>'RS1'!W207</f>
        <v>547.0846957</v>
      </c>
      <c r="X207" s="99">
        <f>'RS1'!X207</f>
        <v>558.0263896</v>
      </c>
      <c r="Y207" s="99">
        <f>'RS1'!Y207</f>
        <v>569.1869174</v>
      </c>
      <c r="Z207" s="99">
        <f>'RS1'!Z207</f>
        <v>580.5706557</v>
      </c>
      <c r="AA207" s="99">
        <f>'RS1'!AA207</f>
        <v>592.1820689</v>
      </c>
      <c r="AB207" s="99">
        <f>'RS1'!AB207</f>
        <v>604.0257102</v>
      </c>
      <c r="AC207" s="99">
        <f>'RS1'!AC207</f>
        <v>616.1062244</v>
      </c>
      <c r="AD207" s="99">
        <f>'RS1'!AD207</f>
        <v>628.4283489</v>
      </c>
      <c r="AE207" s="99">
        <f>'RS1'!AE207</f>
        <v>640.9969159</v>
      </c>
      <c r="AF207" s="99">
        <f>'RS1'!AF207</f>
        <v>653.8168542</v>
      </c>
      <c r="AG207" s="99">
        <f>'RS1'!AG207</f>
        <v>666.8931913</v>
      </c>
      <c r="AH207" s="99">
        <f>'RS1'!AH207</f>
        <v>680.2310551</v>
      </c>
      <c r="AI207" s="99">
        <f>'RS1'!AI207</f>
        <v>693.8356762</v>
      </c>
      <c r="AJ207" s="99">
        <f>'RS1'!AJ207</f>
        <v>707.7123898</v>
      </c>
      <c r="AK207" s="99">
        <f>'RS1'!AK207</f>
        <v>721.8666376</v>
      </c>
      <c r="AL207" s="99">
        <f>'RS1'!AL207</f>
        <v>736.3039703</v>
      </c>
      <c r="AM207" s="99">
        <f>'RS1'!AM207</f>
        <v>751.0300497</v>
      </c>
      <c r="AN207" s="99">
        <f>'RS1'!AN207</f>
        <v>766.0506507</v>
      </c>
      <c r="AO207" s="99">
        <f>'RS1'!AO207</f>
        <v>781.3716637</v>
      </c>
      <c r="AP207" s="99">
        <f>'RS1'!AP207</f>
        <v>796.999097</v>
      </c>
      <c r="AQ207" s="99">
        <f>'RS1'!AQ207</f>
        <v>812.9390789</v>
      </c>
      <c r="AR207" s="99">
        <f>'RS1'!AR207</f>
        <v>829.1978605</v>
      </c>
      <c r="AS207" s="99">
        <f>'RS1'!AS207</f>
        <v>845.7818177</v>
      </c>
      <c r="AT207" s="99">
        <f>'RS1'!AT207</f>
        <v>862.6974541</v>
      </c>
      <c r="AU207" s="99">
        <f>'RS1'!AU207</f>
        <v>879.9514032</v>
      </c>
      <c r="AV207" s="99">
        <f>'RS1'!AV207</f>
        <v>897.5504312</v>
      </c>
      <c r="AW207" s="90"/>
      <c r="AX207" s="90"/>
      <c r="AY207" s="90"/>
      <c r="AZ207" s="90"/>
      <c r="BA207" s="90"/>
      <c r="BB207" s="90"/>
      <c r="BC207" s="90"/>
      <c r="BD207" s="90"/>
      <c r="BE207" s="90"/>
      <c r="BF207" s="90"/>
      <c r="BG207" s="90"/>
    </row>
    <row r="208" ht="12.75" hidden="1" customHeight="1" outlineLevel="1">
      <c r="A208" s="316"/>
      <c r="B208" s="90"/>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c r="AA208" s="90"/>
      <c r="AB208" s="90"/>
      <c r="AC208" s="90"/>
      <c r="AD208" s="90"/>
      <c r="AE208" s="90"/>
      <c r="AF208" s="90"/>
      <c r="AG208" s="90"/>
      <c r="AH208" s="90"/>
      <c r="AI208" s="90"/>
      <c r="AJ208" s="90"/>
      <c r="AK208" s="90"/>
      <c r="AL208" s="90"/>
      <c r="AM208" s="90"/>
      <c r="AN208" s="90"/>
      <c r="AO208" s="90"/>
      <c r="AP208" s="90"/>
      <c r="AQ208" s="90"/>
      <c r="AR208" s="90"/>
      <c r="AS208" s="90"/>
      <c r="AT208" s="90"/>
      <c r="AU208" s="90"/>
      <c r="AV208" s="90"/>
      <c r="AW208" s="90"/>
      <c r="AX208" s="90"/>
      <c r="AY208" s="90"/>
      <c r="AZ208" s="90"/>
      <c r="BA208" s="90"/>
      <c r="BB208" s="90"/>
      <c r="BC208" s="90"/>
      <c r="BD208" s="90"/>
      <c r="BE208" s="90"/>
      <c r="BF208" s="90"/>
      <c r="BG208" s="90"/>
    </row>
    <row r="209" ht="12.75" hidden="1" customHeight="1" outlineLevel="1">
      <c r="A209" s="316"/>
      <c r="B209" s="67" t="s">
        <v>626</v>
      </c>
      <c r="C209" s="90"/>
      <c r="D209" s="90"/>
      <c r="E209" s="90"/>
      <c r="F209" s="90"/>
      <c r="G209" s="254"/>
      <c r="H209" s="99"/>
      <c r="I209" s="99"/>
      <c r="J209" s="99"/>
      <c r="K209" s="99"/>
      <c r="L209" s="99"/>
      <c r="M209" s="99"/>
      <c r="N209" s="99"/>
      <c r="O209" s="99"/>
      <c r="P209" s="99"/>
      <c r="Q209" s="99"/>
      <c r="R209" s="99"/>
      <c r="S209" s="99"/>
      <c r="T209" s="99"/>
      <c r="U209" s="99"/>
      <c r="V209" s="99"/>
      <c r="W209" s="99"/>
      <c r="X209" s="99"/>
      <c r="Y209" s="99"/>
      <c r="Z209" s="99"/>
      <c r="AA209" s="99"/>
      <c r="AB209" s="99"/>
      <c r="AC209" s="99"/>
      <c r="AD209" s="99"/>
      <c r="AE209" s="99"/>
      <c r="AF209" s="99"/>
      <c r="AG209" s="99"/>
      <c r="AH209" s="99"/>
      <c r="AI209" s="99"/>
      <c r="AJ209" s="99"/>
      <c r="AK209" s="99"/>
      <c r="AL209" s="99"/>
      <c r="AM209" s="99"/>
      <c r="AN209" s="99"/>
      <c r="AO209" s="99"/>
      <c r="AP209" s="99"/>
      <c r="AQ209" s="99"/>
      <c r="AR209" s="99"/>
      <c r="AS209" s="99"/>
      <c r="AT209" s="99"/>
      <c r="AU209" s="99"/>
      <c r="AV209" s="99"/>
      <c r="AW209" s="90"/>
      <c r="AX209" s="90"/>
      <c r="AY209" s="90"/>
      <c r="AZ209" s="90"/>
      <c r="BA209" s="90"/>
      <c r="BB209" s="90"/>
      <c r="BC209" s="90"/>
      <c r="BD209" s="90"/>
      <c r="BE209" s="90"/>
      <c r="BF209" s="90"/>
      <c r="BG209" s="90"/>
    </row>
    <row r="210" ht="12.75" hidden="1" customHeight="1" outlineLevel="1">
      <c r="A210" s="316"/>
      <c r="B210" s="90"/>
      <c r="C210" s="90" t="s">
        <v>751</v>
      </c>
      <c r="D210" s="90"/>
      <c r="E210" s="90"/>
      <c r="F210" s="90"/>
      <c r="G210" s="254"/>
      <c r="H210" s="99"/>
      <c r="I210" s="254"/>
      <c r="J210" s="254">
        <v>12000.0</v>
      </c>
      <c r="K210" s="99">
        <f t="shared" ref="K210:K213" si="134">J210*(1+K$194)</f>
        <v>12000</v>
      </c>
      <c r="L210" s="99">
        <f>'RS1'!L211</f>
        <v>3500</v>
      </c>
      <c r="M210" s="99">
        <f t="shared" ref="M210:AV210" si="133">L210*(1+M$194)</f>
        <v>3570</v>
      </c>
      <c r="N210" s="99">
        <f t="shared" si="133"/>
        <v>3641.4</v>
      </c>
      <c r="O210" s="99">
        <f t="shared" si="133"/>
        <v>3714.228</v>
      </c>
      <c r="P210" s="99">
        <f t="shared" si="133"/>
        <v>3788.51256</v>
      </c>
      <c r="Q210" s="99">
        <f t="shared" si="133"/>
        <v>3864.282811</v>
      </c>
      <c r="R210" s="99">
        <f t="shared" si="133"/>
        <v>3941.568467</v>
      </c>
      <c r="S210" s="99">
        <f t="shared" si="133"/>
        <v>4020.399837</v>
      </c>
      <c r="T210" s="99">
        <f t="shared" si="133"/>
        <v>4100.807834</v>
      </c>
      <c r="U210" s="99">
        <f t="shared" si="133"/>
        <v>4182.82399</v>
      </c>
      <c r="V210" s="99">
        <f t="shared" si="133"/>
        <v>4266.48047</v>
      </c>
      <c r="W210" s="99">
        <f t="shared" si="133"/>
        <v>4351.810079</v>
      </c>
      <c r="X210" s="99">
        <f t="shared" si="133"/>
        <v>4438.846281</v>
      </c>
      <c r="Y210" s="99">
        <f t="shared" si="133"/>
        <v>4527.623207</v>
      </c>
      <c r="Z210" s="99">
        <f t="shared" si="133"/>
        <v>4618.175671</v>
      </c>
      <c r="AA210" s="99">
        <f t="shared" si="133"/>
        <v>4710.539184</v>
      </c>
      <c r="AB210" s="99">
        <f t="shared" si="133"/>
        <v>4804.749968</v>
      </c>
      <c r="AC210" s="99">
        <f t="shared" si="133"/>
        <v>4900.844967</v>
      </c>
      <c r="AD210" s="99">
        <f t="shared" si="133"/>
        <v>4998.861867</v>
      </c>
      <c r="AE210" s="99">
        <f t="shared" si="133"/>
        <v>5098.839104</v>
      </c>
      <c r="AF210" s="99">
        <f t="shared" si="133"/>
        <v>5200.815886</v>
      </c>
      <c r="AG210" s="99">
        <f t="shared" si="133"/>
        <v>5304.832204</v>
      </c>
      <c r="AH210" s="99">
        <f t="shared" si="133"/>
        <v>5410.928848</v>
      </c>
      <c r="AI210" s="99">
        <f t="shared" si="133"/>
        <v>5519.147425</v>
      </c>
      <c r="AJ210" s="99">
        <f t="shared" si="133"/>
        <v>5629.530373</v>
      </c>
      <c r="AK210" s="99">
        <f t="shared" si="133"/>
        <v>5742.120981</v>
      </c>
      <c r="AL210" s="99">
        <f t="shared" si="133"/>
        <v>5856.9634</v>
      </c>
      <c r="AM210" s="99">
        <f t="shared" si="133"/>
        <v>5974.102668</v>
      </c>
      <c r="AN210" s="99">
        <f t="shared" si="133"/>
        <v>6093.584722</v>
      </c>
      <c r="AO210" s="99">
        <f t="shared" si="133"/>
        <v>6215.456416</v>
      </c>
      <c r="AP210" s="99">
        <f t="shared" si="133"/>
        <v>6339.765544</v>
      </c>
      <c r="AQ210" s="99">
        <f t="shared" si="133"/>
        <v>6466.560855</v>
      </c>
      <c r="AR210" s="99">
        <f t="shared" si="133"/>
        <v>6595.892072</v>
      </c>
      <c r="AS210" s="99">
        <f t="shared" si="133"/>
        <v>6727.809914</v>
      </c>
      <c r="AT210" s="99">
        <f t="shared" si="133"/>
        <v>6862.366112</v>
      </c>
      <c r="AU210" s="99">
        <f t="shared" si="133"/>
        <v>6999.613434</v>
      </c>
      <c r="AV210" s="99">
        <f t="shared" si="133"/>
        <v>7139.605703</v>
      </c>
      <c r="AW210" s="67"/>
      <c r="AX210" s="90"/>
      <c r="AY210" s="90"/>
      <c r="AZ210" s="90"/>
      <c r="BA210" s="90"/>
      <c r="BB210" s="90"/>
      <c r="BC210" s="90"/>
      <c r="BD210" s="90"/>
      <c r="BE210" s="90"/>
      <c r="BF210" s="90"/>
      <c r="BG210" s="90"/>
    </row>
    <row r="211" ht="12.75" hidden="1" customHeight="1" outlineLevel="1">
      <c r="A211" s="316"/>
      <c r="B211" s="90"/>
      <c r="C211" s="90" t="s">
        <v>752</v>
      </c>
      <c r="D211" s="90"/>
      <c r="E211" s="90"/>
      <c r="F211" s="90"/>
      <c r="G211" s="90"/>
      <c r="H211" s="254"/>
      <c r="I211" s="254"/>
      <c r="J211" s="254">
        <v>1500.0</v>
      </c>
      <c r="K211" s="99">
        <f t="shared" si="134"/>
        <v>1500</v>
      </c>
      <c r="L211" s="99">
        <f>'RS1'!L212</f>
        <v>700</v>
      </c>
      <c r="M211" s="99">
        <f t="shared" ref="M211:AV211" si="135">L211*(1+M$194)</f>
        <v>714</v>
      </c>
      <c r="N211" s="99">
        <f t="shared" si="135"/>
        <v>728.28</v>
      </c>
      <c r="O211" s="99">
        <f t="shared" si="135"/>
        <v>742.8456</v>
      </c>
      <c r="P211" s="99">
        <f t="shared" si="135"/>
        <v>757.702512</v>
      </c>
      <c r="Q211" s="99">
        <f t="shared" si="135"/>
        <v>772.8565622</v>
      </c>
      <c r="R211" s="99">
        <f t="shared" si="135"/>
        <v>788.3136935</v>
      </c>
      <c r="S211" s="99">
        <f t="shared" si="135"/>
        <v>804.0799674</v>
      </c>
      <c r="T211" s="99">
        <f t="shared" si="135"/>
        <v>820.1615667</v>
      </c>
      <c r="U211" s="99">
        <f t="shared" si="135"/>
        <v>836.564798</v>
      </c>
      <c r="V211" s="99">
        <f t="shared" si="135"/>
        <v>853.296094</v>
      </c>
      <c r="W211" s="99">
        <f t="shared" si="135"/>
        <v>870.3620159</v>
      </c>
      <c r="X211" s="99">
        <f t="shared" si="135"/>
        <v>887.7692562</v>
      </c>
      <c r="Y211" s="99">
        <f t="shared" si="135"/>
        <v>905.5246413</v>
      </c>
      <c r="Z211" s="99">
        <f t="shared" si="135"/>
        <v>923.6351341</v>
      </c>
      <c r="AA211" s="99">
        <f t="shared" si="135"/>
        <v>942.1078368</v>
      </c>
      <c r="AB211" s="99">
        <f t="shared" si="135"/>
        <v>960.9499936</v>
      </c>
      <c r="AC211" s="99">
        <f t="shared" si="135"/>
        <v>980.1689934</v>
      </c>
      <c r="AD211" s="99">
        <f t="shared" si="135"/>
        <v>999.7723733</v>
      </c>
      <c r="AE211" s="99">
        <f t="shared" si="135"/>
        <v>1019.767821</v>
      </c>
      <c r="AF211" s="99">
        <f t="shared" si="135"/>
        <v>1040.163177</v>
      </c>
      <c r="AG211" s="99">
        <f t="shared" si="135"/>
        <v>1060.966441</v>
      </c>
      <c r="AH211" s="99">
        <f t="shared" si="135"/>
        <v>1082.18577</v>
      </c>
      <c r="AI211" s="99">
        <f t="shared" si="135"/>
        <v>1103.829485</v>
      </c>
      <c r="AJ211" s="99">
        <f t="shared" si="135"/>
        <v>1125.906075</v>
      </c>
      <c r="AK211" s="99">
        <f t="shared" si="135"/>
        <v>1148.424196</v>
      </c>
      <c r="AL211" s="99">
        <f t="shared" si="135"/>
        <v>1171.39268</v>
      </c>
      <c r="AM211" s="99">
        <f t="shared" si="135"/>
        <v>1194.820534</v>
      </c>
      <c r="AN211" s="99">
        <f t="shared" si="135"/>
        <v>1218.716944</v>
      </c>
      <c r="AO211" s="99">
        <f t="shared" si="135"/>
        <v>1243.091283</v>
      </c>
      <c r="AP211" s="99">
        <f t="shared" si="135"/>
        <v>1267.953109</v>
      </c>
      <c r="AQ211" s="99">
        <f t="shared" si="135"/>
        <v>1293.312171</v>
      </c>
      <c r="AR211" s="99">
        <f t="shared" si="135"/>
        <v>1319.178414</v>
      </c>
      <c r="AS211" s="99">
        <f t="shared" si="135"/>
        <v>1345.561983</v>
      </c>
      <c r="AT211" s="99">
        <f t="shared" si="135"/>
        <v>1372.473222</v>
      </c>
      <c r="AU211" s="99">
        <f t="shared" si="135"/>
        <v>1399.922687</v>
      </c>
      <c r="AV211" s="99">
        <f t="shared" si="135"/>
        <v>1427.921141</v>
      </c>
      <c r="AW211" s="67"/>
      <c r="AX211" s="90"/>
      <c r="AY211" s="90"/>
      <c r="AZ211" s="90"/>
      <c r="BA211" s="90"/>
      <c r="BB211" s="90"/>
      <c r="BC211" s="90"/>
      <c r="BD211" s="90"/>
      <c r="BE211" s="90"/>
      <c r="BF211" s="90"/>
      <c r="BG211" s="90"/>
    </row>
    <row r="212" ht="12.75" hidden="1" customHeight="1" outlineLevel="1">
      <c r="A212" s="316"/>
      <c r="B212" s="90"/>
      <c r="C212" s="90" t="s">
        <v>753</v>
      </c>
      <c r="D212" s="90"/>
      <c r="E212" s="90"/>
      <c r="F212" s="90"/>
      <c r="G212" s="90"/>
      <c r="H212" s="254"/>
      <c r="I212" s="254"/>
      <c r="J212" s="99" t="str">
        <f>'RS1'!J213</f>
        <v/>
      </c>
      <c r="K212" s="99">
        <f t="shared" si="134"/>
        <v>0</v>
      </c>
      <c r="L212" s="99" t="str">
        <f>'RS1'!L213</f>
        <v/>
      </c>
      <c r="M212" s="99" t="str">
        <f t="shared" ref="M212:AV212" si="136">L212</f>
        <v/>
      </c>
      <c r="N212" s="99" t="str">
        <f t="shared" si="136"/>
        <v/>
      </c>
      <c r="O212" s="99" t="str">
        <f t="shared" si="136"/>
        <v/>
      </c>
      <c r="P212" s="99" t="str">
        <f t="shared" si="136"/>
        <v/>
      </c>
      <c r="Q212" s="99" t="str">
        <f t="shared" si="136"/>
        <v/>
      </c>
      <c r="R212" s="99" t="str">
        <f t="shared" si="136"/>
        <v/>
      </c>
      <c r="S212" s="99" t="str">
        <f t="shared" si="136"/>
        <v/>
      </c>
      <c r="T212" s="99" t="str">
        <f t="shared" si="136"/>
        <v/>
      </c>
      <c r="U212" s="99" t="str">
        <f t="shared" si="136"/>
        <v/>
      </c>
      <c r="V212" s="99" t="str">
        <f t="shared" si="136"/>
        <v/>
      </c>
      <c r="W212" s="99" t="str">
        <f t="shared" si="136"/>
        <v/>
      </c>
      <c r="X212" s="99" t="str">
        <f t="shared" si="136"/>
        <v/>
      </c>
      <c r="Y212" s="99" t="str">
        <f t="shared" si="136"/>
        <v/>
      </c>
      <c r="Z212" s="99" t="str">
        <f t="shared" si="136"/>
        <v/>
      </c>
      <c r="AA212" s="99" t="str">
        <f t="shared" si="136"/>
        <v/>
      </c>
      <c r="AB212" s="99" t="str">
        <f t="shared" si="136"/>
        <v/>
      </c>
      <c r="AC212" s="99" t="str">
        <f t="shared" si="136"/>
        <v/>
      </c>
      <c r="AD212" s="99" t="str">
        <f t="shared" si="136"/>
        <v/>
      </c>
      <c r="AE212" s="99" t="str">
        <f t="shared" si="136"/>
        <v/>
      </c>
      <c r="AF212" s="99" t="str">
        <f t="shared" si="136"/>
        <v/>
      </c>
      <c r="AG212" s="99" t="str">
        <f t="shared" si="136"/>
        <v/>
      </c>
      <c r="AH212" s="99" t="str">
        <f t="shared" si="136"/>
        <v/>
      </c>
      <c r="AI212" s="99" t="str">
        <f t="shared" si="136"/>
        <v/>
      </c>
      <c r="AJ212" s="99" t="str">
        <f t="shared" si="136"/>
        <v/>
      </c>
      <c r="AK212" s="99" t="str">
        <f t="shared" si="136"/>
        <v/>
      </c>
      <c r="AL212" s="99" t="str">
        <f t="shared" si="136"/>
        <v/>
      </c>
      <c r="AM212" s="99" t="str">
        <f t="shared" si="136"/>
        <v/>
      </c>
      <c r="AN212" s="99" t="str">
        <f t="shared" si="136"/>
        <v/>
      </c>
      <c r="AO212" s="99" t="str">
        <f t="shared" si="136"/>
        <v/>
      </c>
      <c r="AP212" s="99" t="str">
        <f t="shared" si="136"/>
        <v/>
      </c>
      <c r="AQ212" s="99" t="str">
        <f t="shared" si="136"/>
        <v/>
      </c>
      <c r="AR212" s="99" t="str">
        <f t="shared" si="136"/>
        <v/>
      </c>
      <c r="AS212" s="99" t="str">
        <f t="shared" si="136"/>
        <v/>
      </c>
      <c r="AT212" s="99" t="str">
        <f t="shared" si="136"/>
        <v/>
      </c>
      <c r="AU212" s="99" t="str">
        <f t="shared" si="136"/>
        <v/>
      </c>
      <c r="AV212" s="99" t="str">
        <f t="shared" si="136"/>
        <v/>
      </c>
      <c r="AW212" s="67" t="s">
        <v>1204</v>
      </c>
      <c r="AX212" s="90"/>
      <c r="AY212" s="90"/>
      <c r="AZ212" s="90"/>
      <c r="BA212" s="90"/>
      <c r="BB212" s="90"/>
      <c r="BC212" s="90"/>
      <c r="BD212" s="90"/>
      <c r="BE212" s="90"/>
      <c r="BF212" s="90"/>
      <c r="BG212" s="90"/>
    </row>
    <row r="213" ht="12.75" hidden="1" customHeight="1" outlineLevel="1">
      <c r="A213" s="316"/>
      <c r="B213" s="90"/>
      <c r="C213" s="90" t="s">
        <v>754</v>
      </c>
      <c r="D213" s="90"/>
      <c r="E213" s="90"/>
      <c r="F213" s="90"/>
      <c r="G213" s="90"/>
      <c r="H213" s="254"/>
      <c r="I213" s="254"/>
      <c r="J213" s="254">
        <v>212.0</v>
      </c>
      <c r="K213" s="99">
        <f t="shared" si="134"/>
        <v>212</v>
      </c>
      <c r="L213" s="99">
        <f>'RS1'!L214</f>
        <v>25000</v>
      </c>
      <c r="M213" s="99">
        <f t="shared" ref="M213:AV213" si="137">L213*(1+M$194)</f>
        <v>25500</v>
      </c>
      <c r="N213" s="99">
        <f t="shared" si="137"/>
        <v>26010</v>
      </c>
      <c r="O213" s="99">
        <f t="shared" si="137"/>
        <v>26530.2</v>
      </c>
      <c r="P213" s="99">
        <f t="shared" si="137"/>
        <v>27060.804</v>
      </c>
      <c r="Q213" s="99">
        <f t="shared" si="137"/>
        <v>27602.02008</v>
      </c>
      <c r="R213" s="99">
        <f t="shared" si="137"/>
        <v>28154.06048</v>
      </c>
      <c r="S213" s="99">
        <f t="shared" si="137"/>
        <v>28717.14169</v>
      </c>
      <c r="T213" s="99">
        <f t="shared" si="137"/>
        <v>29291.48453</v>
      </c>
      <c r="U213" s="99">
        <f t="shared" si="137"/>
        <v>29877.31422</v>
      </c>
      <c r="V213" s="99">
        <f t="shared" si="137"/>
        <v>30474.8605</v>
      </c>
      <c r="W213" s="99">
        <f t="shared" si="137"/>
        <v>31084.35771</v>
      </c>
      <c r="X213" s="99">
        <f t="shared" si="137"/>
        <v>31706.04486</v>
      </c>
      <c r="Y213" s="99">
        <f t="shared" si="137"/>
        <v>32340.16576</v>
      </c>
      <c r="Z213" s="99">
        <f t="shared" si="137"/>
        <v>32986.96908</v>
      </c>
      <c r="AA213" s="99">
        <f t="shared" si="137"/>
        <v>33646.70846</v>
      </c>
      <c r="AB213" s="99">
        <f t="shared" si="137"/>
        <v>34319.64263</v>
      </c>
      <c r="AC213" s="99">
        <f t="shared" si="137"/>
        <v>35006.03548</v>
      </c>
      <c r="AD213" s="99">
        <f t="shared" si="137"/>
        <v>35706.15619</v>
      </c>
      <c r="AE213" s="99">
        <f t="shared" si="137"/>
        <v>36420.27931</v>
      </c>
      <c r="AF213" s="99">
        <f t="shared" si="137"/>
        <v>37148.6849</v>
      </c>
      <c r="AG213" s="99">
        <f t="shared" si="137"/>
        <v>37891.6586</v>
      </c>
      <c r="AH213" s="99">
        <f t="shared" si="137"/>
        <v>38649.49177</v>
      </c>
      <c r="AI213" s="99">
        <f t="shared" si="137"/>
        <v>39422.4816</v>
      </c>
      <c r="AJ213" s="99">
        <f t="shared" si="137"/>
        <v>40210.93124</v>
      </c>
      <c r="AK213" s="99">
        <f t="shared" si="137"/>
        <v>41015.14986</v>
      </c>
      <c r="AL213" s="99">
        <f t="shared" si="137"/>
        <v>41835.45286</v>
      </c>
      <c r="AM213" s="99">
        <f t="shared" si="137"/>
        <v>42672.16192</v>
      </c>
      <c r="AN213" s="99">
        <f t="shared" si="137"/>
        <v>43525.60515</v>
      </c>
      <c r="AO213" s="99">
        <f t="shared" si="137"/>
        <v>44396.11726</v>
      </c>
      <c r="AP213" s="99">
        <f t="shared" si="137"/>
        <v>45284.0396</v>
      </c>
      <c r="AQ213" s="99">
        <f t="shared" si="137"/>
        <v>46189.72039</v>
      </c>
      <c r="AR213" s="99">
        <f t="shared" si="137"/>
        <v>47113.5148</v>
      </c>
      <c r="AS213" s="99">
        <f t="shared" si="137"/>
        <v>48055.7851</v>
      </c>
      <c r="AT213" s="99">
        <f t="shared" si="137"/>
        <v>49016.9008</v>
      </c>
      <c r="AU213" s="99">
        <f t="shared" si="137"/>
        <v>49997.23882</v>
      </c>
      <c r="AV213" s="99">
        <f t="shared" si="137"/>
        <v>50997.18359</v>
      </c>
      <c r="AW213" s="67"/>
      <c r="AX213" s="90"/>
      <c r="AY213" s="90"/>
      <c r="AZ213" s="90"/>
      <c r="BA213" s="90"/>
      <c r="BB213" s="90"/>
      <c r="BC213" s="90"/>
      <c r="BD213" s="90"/>
      <c r="BE213" s="90"/>
      <c r="BF213" s="90"/>
      <c r="BG213" s="90"/>
    </row>
    <row r="214" ht="12.75" hidden="1" customHeight="1" outlineLevel="1">
      <c r="A214" s="316"/>
      <c r="B214" s="90"/>
      <c r="C214" s="90" t="s">
        <v>755</v>
      </c>
      <c r="D214" s="90"/>
      <c r="E214" s="90"/>
      <c r="F214" s="90"/>
      <c r="G214" s="254"/>
      <c r="H214" s="254"/>
      <c r="I214" s="254"/>
      <c r="J214" s="254">
        <v>13000.0</v>
      </c>
      <c r="K214" s="99">
        <v>45000.0</v>
      </c>
      <c r="L214" s="99">
        <f>'RS1'!L215</f>
        <v>65000</v>
      </c>
      <c r="M214" s="99">
        <f t="shared" ref="M214:AV214" si="138">L214*(1+M$194)</f>
        <v>66300</v>
      </c>
      <c r="N214" s="99">
        <f t="shared" si="138"/>
        <v>67626</v>
      </c>
      <c r="O214" s="99">
        <f t="shared" si="138"/>
        <v>68978.52</v>
      </c>
      <c r="P214" s="99">
        <f t="shared" si="138"/>
        <v>70358.0904</v>
      </c>
      <c r="Q214" s="99">
        <f t="shared" si="138"/>
        <v>71765.25221</v>
      </c>
      <c r="R214" s="99">
        <f t="shared" si="138"/>
        <v>73200.55725</v>
      </c>
      <c r="S214" s="99">
        <f t="shared" si="138"/>
        <v>74664.5684</v>
      </c>
      <c r="T214" s="99">
        <f t="shared" si="138"/>
        <v>76157.85977</v>
      </c>
      <c r="U214" s="99">
        <f t="shared" si="138"/>
        <v>77681.01696</v>
      </c>
      <c r="V214" s="99">
        <f t="shared" si="138"/>
        <v>79234.6373</v>
      </c>
      <c r="W214" s="99">
        <f t="shared" si="138"/>
        <v>80819.33005</v>
      </c>
      <c r="X214" s="99">
        <f t="shared" si="138"/>
        <v>82435.71665</v>
      </c>
      <c r="Y214" s="99">
        <f t="shared" si="138"/>
        <v>84084.43098</v>
      </c>
      <c r="Z214" s="99">
        <f t="shared" si="138"/>
        <v>85766.1196</v>
      </c>
      <c r="AA214" s="99">
        <f t="shared" si="138"/>
        <v>87481.44199</v>
      </c>
      <c r="AB214" s="99">
        <f t="shared" si="138"/>
        <v>89231.07083</v>
      </c>
      <c r="AC214" s="99">
        <f t="shared" si="138"/>
        <v>91015.69225</v>
      </c>
      <c r="AD214" s="99">
        <f t="shared" si="138"/>
        <v>92836.00609</v>
      </c>
      <c r="AE214" s="99">
        <f t="shared" si="138"/>
        <v>94692.72621</v>
      </c>
      <c r="AF214" s="99">
        <f t="shared" si="138"/>
        <v>96586.58074</v>
      </c>
      <c r="AG214" s="99">
        <f t="shared" si="138"/>
        <v>98518.31235</v>
      </c>
      <c r="AH214" s="99">
        <f t="shared" si="138"/>
        <v>100488.6786</v>
      </c>
      <c r="AI214" s="99">
        <f t="shared" si="138"/>
        <v>102498.4522</v>
      </c>
      <c r="AJ214" s="99">
        <f t="shared" si="138"/>
        <v>104548.4212</v>
      </c>
      <c r="AK214" s="99">
        <f t="shared" si="138"/>
        <v>106639.3896</v>
      </c>
      <c r="AL214" s="99">
        <f t="shared" si="138"/>
        <v>108772.1774</v>
      </c>
      <c r="AM214" s="99">
        <f t="shared" si="138"/>
        <v>110947.621</v>
      </c>
      <c r="AN214" s="99">
        <f t="shared" si="138"/>
        <v>113166.5734</v>
      </c>
      <c r="AO214" s="99">
        <f t="shared" si="138"/>
        <v>115429.9049</v>
      </c>
      <c r="AP214" s="99">
        <f t="shared" si="138"/>
        <v>117738.503</v>
      </c>
      <c r="AQ214" s="99">
        <f t="shared" si="138"/>
        <v>120093.273</v>
      </c>
      <c r="AR214" s="99">
        <f t="shared" si="138"/>
        <v>122495.1385</v>
      </c>
      <c r="AS214" s="99">
        <f t="shared" si="138"/>
        <v>124945.0413</v>
      </c>
      <c r="AT214" s="99">
        <f t="shared" si="138"/>
        <v>127443.9421</v>
      </c>
      <c r="AU214" s="99">
        <f t="shared" si="138"/>
        <v>129992.8209</v>
      </c>
      <c r="AV214" s="99">
        <f t="shared" si="138"/>
        <v>132592.6773</v>
      </c>
      <c r="AW214" s="67"/>
      <c r="AX214" s="90"/>
      <c r="AY214" s="90"/>
      <c r="AZ214" s="90"/>
      <c r="BA214" s="90"/>
      <c r="BB214" s="90"/>
      <c r="BC214" s="90"/>
      <c r="BD214" s="90"/>
      <c r="BE214" s="90"/>
      <c r="BF214" s="90"/>
      <c r="BG214" s="90"/>
    </row>
    <row r="215" ht="12.75" hidden="1" customHeight="1" outlineLevel="1">
      <c r="A215" s="316"/>
      <c r="B215" s="90"/>
      <c r="C215" s="90" t="s">
        <v>756</v>
      </c>
      <c r="D215" s="90"/>
      <c r="E215" s="90"/>
      <c r="F215" s="90"/>
      <c r="G215" s="99"/>
      <c r="H215" s="99"/>
      <c r="I215" s="99"/>
      <c r="J215" s="99">
        <v>0.0</v>
      </c>
      <c r="K215" s="99">
        <v>0.0</v>
      </c>
      <c r="L215" s="99">
        <f>'RS1'!L216</f>
        <v>2000</v>
      </c>
      <c r="M215" s="99">
        <f t="shared" ref="M215:AV215" si="139">L215*(1+M$194)</f>
        <v>2040</v>
      </c>
      <c r="N215" s="99">
        <f t="shared" si="139"/>
        <v>2080.8</v>
      </c>
      <c r="O215" s="99">
        <f t="shared" si="139"/>
        <v>2122.416</v>
      </c>
      <c r="P215" s="99">
        <f t="shared" si="139"/>
        <v>2164.86432</v>
      </c>
      <c r="Q215" s="99">
        <f t="shared" si="139"/>
        <v>2208.161606</v>
      </c>
      <c r="R215" s="99">
        <f t="shared" si="139"/>
        <v>2252.324839</v>
      </c>
      <c r="S215" s="99">
        <f t="shared" si="139"/>
        <v>2297.371335</v>
      </c>
      <c r="T215" s="99">
        <f t="shared" si="139"/>
        <v>2343.318762</v>
      </c>
      <c r="U215" s="99">
        <f t="shared" si="139"/>
        <v>2390.185137</v>
      </c>
      <c r="V215" s="99">
        <f t="shared" si="139"/>
        <v>2437.98884</v>
      </c>
      <c r="W215" s="99">
        <f t="shared" si="139"/>
        <v>2486.748617</v>
      </c>
      <c r="X215" s="99">
        <f t="shared" si="139"/>
        <v>2536.483589</v>
      </c>
      <c r="Y215" s="99">
        <f t="shared" si="139"/>
        <v>2587.213261</v>
      </c>
      <c r="Z215" s="99">
        <f t="shared" si="139"/>
        <v>2638.957526</v>
      </c>
      <c r="AA215" s="99">
        <f t="shared" si="139"/>
        <v>2691.736677</v>
      </c>
      <c r="AB215" s="99">
        <f t="shared" si="139"/>
        <v>2745.57141</v>
      </c>
      <c r="AC215" s="99">
        <f t="shared" si="139"/>
        <v>2800.482838</v>
      </c>
      <c r="AD215" s="99">
        <f t="shared" si="139"/>
        <v>2856.492495</v>
      </c>
      <c r="AE215" s="99">
        <f t="shared" si="139"/>
        <v>2913.622345</v>
      </c>
      <c r="AF215" s="99">
        <f t="shared" si="139"/>
        <v>2971.894792</v>
      </c>
      <c r="AG215" s="99">
        <f t="shared" si="139"/>
        <v>3031.332688</v>
      </c>
      <c r="AH215" s="99">
        <f t="shared" si="139"/>
        <v>3091.959342</v>
      </c>
      <c r="AI215" s="99">
        <f t="shared" si="139"/>
        <v>3153.798528</v>
      </c>
      <c r="AJ215" s="99">
        <f t="shared" si="139"/>
        <v>3216.874499</v>
      </c>
      <c r="AK215" s="99">
        <f t="shared" si="139"/>
        <v>3281.211989</v>
      </c>
      <c r="AL215" s="99">
        <f t="shared" si="139"/>
        <v>3346.836229</v>
      </c>
      <c r="AM215" s="99">
        <f t="shared" si="139"/>
        <v>3413.772953</v>
      </c>
      <c r="AN215" s="99">
        <f t="shared" si="139"/>
        <v>3482.048412</v>
      </c>
      <c r="AO215" s="99">
        <f t="shared" si="139"/>
        <v>3551.689381</v>
      </c>
      <c r="AP215" s="99">
        <f t="shared" si="139"/>
        <v>3622.723168</v>
      </c>
      <c r="AQ215" s="99">
        <f t="shared" si="139"/>
        <v>3695.177632</v>
      </c>
      <c r="AR215" s="99">
        <f t="shared" si="139"/>
        <v>3769.081184</v>
      </c>
      <c r="AS215" s="99">
        <f t="shared" si="139"/>
        <v>3844.462808</v>
      </c>
      <c r="AT215" s="99">
        <f t="shared" si="139"/>
        <v>3921.352064</v>
      </c>
      <c r="AU215" s="99">
        <f t="shared" si="139"/>
        <v>3999.779105</v>
      </c>
      <c r="AV215" s="99">
        <f t="shared" si="139"/>
        <v>4079.774687</v>
      </c>
      <c r="AW215" s="90"/>
      <c r="AX215" s="90"/>
      <c r="AY215" s="90"/>
      <c r="AZ215" s="90"/>
      <c r="BA215" s="90"/>
      <c r="BB215" s="90"/>
      <c r="BC215" s="90"/>
      <c r="BD215" s="90"/>
      <c r="BE215" s="90"/>
      <c r="BF215" s="90"/>
      <c r="BG215" s="90"/>
    </row>
    <row r="216" ht="12.75" hidden="1" customHeight="1" outlineLevel="1">
      <c r="A216" s="316"/>
      <c r="B216" s="90"/>
      <c r="C216" s="90" t="s">
        <v>757</v>
      </c>
      <c r="D216" s="90"/>
      <c r="E216" s="90"/>
      <c r="F216" s="90"/>
      <c r="G216" s="254"/>
      <c r="H216" s="254"/>
      <c r="I216" s="254"/>
      <c r="J216" s="254"/>
      <c r="K216" s="254"/>
      <c r="L216" s="254"/>
      <c r="M216" s="254"/>
      <c r="N216" s="254"/>
      <c r="O216" s="254"/>
      <c r="P216" s="254"/>
      <c r="Q216" s="254"/>
      <c r="R216" s="254"/>
      <c r="S216" s="99"/>
      <c r="T216" s="99"/>
      <c r="U216" s="99"/>
      <c r="V216" s="99"/>
      <c r="W216" s="99"/>
      <c r="X216" s="99"/>
      <c r="Y216" s="99"/>
      <c r="Z216" s="99"/>
      <c r="AA216" s="99"/>
      <c r="AB216" s="99"/>
      <c r="AC216" s="99"/>
      <c r="AD216" s="99"/>
      <c r="AE216" s="99"/>
      <c r="AF216" s="99"/>
      <c r="AG216" s="99"/>
      <c r="AH216" s="99"/>
      <c r="AI216" s="99"/>
      <c r="AJ216" s="99"/>
      <c r="AK216" s="99"/>
      <c r="AL216" s="99"/>
      <c r="AM216" s="99"/>
      <c r="AN216" s="99"/>
      <c r="AO216" s="99"/>
      <c r="AP216" s="99"/>
      <c r="AQ216" s="99"/>
      <c r="AR216" s="99"/>
      <c r="AS216" s="99"/>
      <c r="AT216" s="99"/>
      <c r="AU216" s="99"/>
      <c r="AV216" s="99"/>
      <c r="AW216" s="67"/>
      <c r="AX216" s="90"/>
      <c r="AY216" s="90"/>
      <c r="AZ216" s="90"/>
      <c r="BA216" s="90"/>
      <c r="BB216" s="90"/>
      <c r="BC216" s="90"/>
      <c r="BD216" s="90"/>
      <c r="BE216" s="90"/>
      <c r="BF216" s="90"/>
      <c r="BG216" s="90"/>
    </row>
    <row r="217" ht="12.75" hidden="1" customHeight="1" outlineLevel="1">
      <c r="A217" s="316"/>
      <c r="B217" s="90"/>
      <c r="C217" s="90"/>
      <c r="D217" s="90" t="s">
        <v>339</v>
      </c>
      <c r="E217" s="90"/>
      <c r="F217" s="90"/>
      <c r="G217" s="254"/>
      <c r="H217" s="254"/>
      <c r="I217" s="254"/>
      <c r="J217" s="99" t="str">
        <f>'RS1'!J218</f>
        <v/>
      </c>
      <c r="K217" s="99" t="str">
        <f>'RS1'!K218</f>
        <v/>
      </c>
      <c r="L217" s="99">
        <f>'RS1'!L218</f>
        <v>600</v>
      </c>
      <c r="M217" s="99">
        <f t="shared" ref="M217:AV217" si="140">L217*(1+M$194)</f>
        <v>612</v>
      </c>
      <c r="N217" s="99">
        <f t="shared" si="140"/>
        <v>624.24</v>
      </c>
      <c r="O217" s="99">
        <f t="shared" si="140"/>
        <v>636.7248</v>
      </c>
      <c r="P217" s="99">
        <f t="shared" si="140"/>
        <v>649.459296</v>
      </c>
      <c r="Q217" s="99">
        <f t="shared" si="140"/>
        <v>662.4484819</v>
      </c>
      <c r="R217" s="99">
        <f t="shared" si="140"/>
        <v>675.6974516</v>
      </c>
      <c r="S217" s="99">
        <f t="shared" si="140"/>
        <v>689.2114006</v>
      </c>
      <c r="T217" s="99">
        <f t="shared" si="140"/>
        <v>702.9956286</v>
      </c>
      <c r="U217" s="99">
        <f t="shared" si="140"/>
        <v>717.0555412</v>
      </c>
      <c r="V217" s="99">
        <f t="shared" si="140"/>
        <v>731.396652</v>
      </c>
      <c r="W217" s="99">
        <f t="shared" si="140"/>
        <v>746.024585</v>
      </c>
      <c r="X217" s="99">
        <f t="shared" si="140"/>
        <v>760.9450767</v>
      </c>
      <c r="Y217" s="99">
        <f t="shared" si="140"/>
        <v>776.1639783</v>
      </c>
      <c r="Z217" s="99">
        <f t="shared" si="140"/>
        <v>791.6872578</v>
      </c>
      <c r="AA217" s="99">
        <f t="shared" si="140"/>
        <v>807.521003</v>
      </c>
      <c r="AB217" s="99">
        <f t="shared" si="140"/>
        <v>823.6714231</v>
      </c>
      <c r="AC217" s="99">
        <f t="shared" si="140"/>
        <v>840.1448515</v>
      </c>
      <c r="AD217" s="99">
        <f t="shared" si="140"/>
        <v>856.9477485</v>
      </c>
      <c r="AE217" s="99">
        <f t="shared" si="140"/>
        <v>874.0867035</v>
      </c>
      <c r="AF217" s="99">
        <f t="shared" si="140"/>
        <v>891.5684376</v>
      </c>
      <c r="AG217" s="99">
        <f t="shared" si="140"/>
        <v>909.3998063</v>
      </c>
      <c r="AH217" s="99">
        <f t="shared" si="140"/>
        <v>927.5878025</v>
      </c>
      <c r="AI217" s="99">
        <f t="shared" si="140"/>
        <v>946.1395585</v>
      </c>
      <c r="AJ217" s="99">
        <f t="shared" si="140"/>
        <v>965.0623497</v>
      </c>
      <c r="AK217" s="99">
        <f t="shared" si="140"/>
        <v>984.3635967</v>
      </c>
      <c r="AL217" s="99">
        <f t="shared" si="140"/>
        <v>1004.050869</v>
      </c>
      <c r="AM217" s="99">
        <f t="shared" si="140"/>
        <v>1024.131886</v>
      </c>
      <c r="AN217" s="99">
        <f t="shared" si="140"/>
        <v>1044.614524</v>
      </c>
      <c r="AO217" s="99">
        <f t="shared" si="140"/>
        <v>1065.506814</v>
      </c>
      <c r="AP217" s="99">
        <f t="shared" si="140"/>
        <v>1086.81695</v>
      </c>
      <c r="AQ217" s="99">
        <f t="shared" si="140"/>
        <v>1108.553289</v>
      </c>
      <c r="AR217" s="99">
        <f t="shared" si="140"/>
        <v>1130.724355</v>
      </c>
      <c r="AS217" s="99">
        <f t="shared" si="140"/>
        <v>1153.338842</v>
      </c>
      <c r="AT217" s="99">
        <f t="shared" si="140"/>
        <v>1176.405619</v>
      </c>
      <c r="AU217" s="99">
        <f t="shared" si="140"/>
        <v>1199.933732</v>
      </c>
      <c r="AV217" s="99">
        <f t="shared" si="140"/>
        <v>1223.932406</v>
      </c>
      <c r="AW217" s="67"/>
      <c r="AX217" s="90"/>
      <c r="AY217" s="90"/>
      <c r="AZ217" s="90"/>
      <c r="BA217" s="90"/>
      <c r="BB217" s="90"/>
      <c r="BC217" s="90"/>
      <c r="BD217" s="90"/>
      <c r="BE217" s="90"/>
      <c r="BF217" s="90"/>
      <c r="BG217" s="90"/>
    </row>
    <row r="218" ht="12.75" hidden="1" customHeight="1" outlineLevel="1">
      <c r="A218" s="316"/>
      <c r="B218" s="90"/>
      <c r="C218" s="90"/>
      <c r="D218" s="90" t="s">
        <v>758</v>
      </c>
      <c r="E218" s="90"/>
      <c r="F218" s="90"/>
      <c r="G218" s="254"/>
      <c r="H218" s="254"/>
      <c r="I218" s="254"/>
      <c r="J218" s="99">
        <v>0.0</v>
      </c>
      <c r="K218" s="99">
        <v>20000.0</v>
      </c>
      <c r="L218" s="99">
        <f>'RS1'!L219</f>
        <v>30000</v>
      </c>
      <c r="M218" s="99">
        <f t="shared" ref="M218:AV218" si="141">L218*(1+M$194)</f>
        <v>30600</v>
      </c>
      <c r="N218" s="99">
        <f t="shared" si="141"/>
        <v>31212</v>
      </c>
      <c r="O218" s="99">
        <f t="shared" si="141"/>
        <v>31836.24</v>
      </c>
      <c r="P218" s="99">
        <f t="shared" si="141"/>
        <v>32472.9648</v>
      </c>
      <c r="Q218" s="99">
        <f t="shared" si="141"/>
        <v>33122.4241</v>
      </c>
      <c r="R218" s="99">
        <f t="shared" si="141"/>
        <v>33784.87258</v>
      </c>
      <c r="S218" s="99">
        <f t="shared" si="141"/>
        <v>34460.57003</v>
      </c>
      <c r="T218" s="99">
        <f t="shared" si="141"/>
        <v>35149.78143</v>
      </c>
      <c r="U218" s="99">
        <f t="shared" si="141"/>
        <v>35852.77706</v>
      </c>
      <c r="V218" s="99">
        <f t="shared" si="141"/>
        <v>36569.8326</v>
      </c>
      <c r="W218" s="99">
        <f t="shared" si="141"/>
        <v>37301.22925</v>
      </c>
      <c r="X218" s="99">
        <f t="shared" si="141"/>
        <v>38047.25384</v>
      </c>
      <c r="Y218" s="99">
        <f t="shared" si="141"/>
        <v>38808.19891</v>
      </c>
      <c r="Z218" s="99">
        <f t="shared" si="141"/>
        <v>39584.36289</v>
      </c>
      <c r="AA218" s="99">
        <f t="shared" si="141"/>
        <v>40376.05015</v>
      </c>
      <c r="AB218" s="99">
        <f t="shared" si="141"/>
        <v>41183.57115</v>
      </c>
      <c r="AC218" s="99">
        <f t="shared" si="141"/>
        <v>42007.24258</v>
      </c>
      <c r="AD218" s="99">
        <f t="shared" si="141"/>
        <v>42847.38743</v>
      </c>
      <c r="AE218" s="99">
        <f t="shared" si="141"/>
        <v>43704.33518</v>
      </c>
      <c r="AF218" s="99">
        <f t="shared" si="141"/>
        <v>44578.42188</v>
      </c>
      <c r="AG218" s="99">
        <f t="shared" si="141"/>
        <v>45469.99032</v>
      </c>
      <c r="AH218" s="99">
        <f t="shared" si="141"/>
        <v>46379.39012</v>
      </c>
      <c r="AI218" s="99">
        <f t="shared" si="141"/>
        <v>47306.97793</v>
      </c>
      <c r="AJ218" s="99">
        <f t="shared" si="141"/>
        <v>48253.11748</v>
      </c>
      <c r="AK218" s="99">
        <f t="shared" si="141"/>
        <v>49218.17983</v>
      </c>
      <c r="AL218" s="99">
        <f t="shared" si="141"/>
        <v>50202.54343</v>
      </c>
      <c r="AM218" s="99">
        <f t="shared" si="141"/>
        <v>51206.5943</v>
      </c>
      <c r="AN218" s="99">
        <f t="shared" si="141"/>
        <v>52230.72619</v>
      </c>
      <c r="AO218" s="99">
        <f t="shared" si="141"/>
        <v>53275.34071</v>
      </c>
      <c r="AP218" s="99">
        <f t="shared" si="141"/>
        <v>54340.84752</v>
      </c>
      <c r="AQ218" s="99">
        <f t="shared" si="141"/>
        <v>55427.66447</v>
      </c>
      <c r="AR218" s="99">
        <f t="shared" si="141"/>
        <v>56536.21776</v>
      </c>
      <c r="AS218" s="99">
        <f t="shared" si="141"/>
        <v>57666.94212</v>
      </c>
      <c r="AT218" s="99">
        <f t="shared" si="141"/>
        <v>58820.28096</v>
      </c>
      <c r="AU218" s="99">
        <f t="shared" si="141"/>
        <v>59996.68658</v>
      </c>
      <c r="AV218" s="99">
        <f t="shared" si="141"/>
        <v>61196.62031</v>
      </c>
      <c r="AW218" s="67"/>
      <c r="AX218" s="90"/>
      <c r="AY218" s="90"/>
      <c r="AZ218" s="90"/>
      <c r="BA218" s="90"/>
      <c r="BB218" s="90"/>
      <c r="BC218" s="90"/>
      <c r="BD218" s="90"/>
      <c r="BE218" s="90"/>
      <c r="BF218" s="90"/>
      <c r="BG218" s="90"/>
    </row>
    <row r="219" ht="12.75" hidden="1" customHeight="1" outlineLevel="1">
      <c r="A219" s="316"/>
      <c r="B219" s="90"/>
      <c r="C219" s="90"/>
      <c r="D219" s="90" t="s">
        <v>376</v>
      </c>
      <c r="E219" s="90"/>
      <c r="F219" s="90"/>
      <c r="G219" s="254"/>
      <c r="H219" s="254"/>
      <c r="I219" s="254"/>
      <c r="J219" s="99">
        <v>0.0</v>
      </c>
      <c r="K219" s="99" t="str">
        <f>'RS1'!K220</f>
        <v/>
      </c>
      <c r="L219" s="99">
        <f>'RS1'!L220</f>
        <v>8000</v>
      </c>
      <c r="M219" s="99">
        <f t="shared" ref="M219:AV219" si="142">L219*(1+M$194)</f>
        <v>8160</v>
      </c>
      <c r="N219" s="99">
        <f t="shared" si="142"/>
        <v>8323.2</v>
      </c>
      <c r="O219" s="99">
        <f t="shared" si="142"/>
        <v>8489.664</v>
      </c>
      <c r="P219" s="99">
        <f t="shared" si="142"/>
        <v>8659.45728</v>
      </c>
      <c r="Q219" s="99">
        <f t="shared" si="142"/>
        <v>8832.646426</v>
      </c>
      <c r="R219" s="99">
        <f t="shared" si="142"/>
        <v>9009.299354</v>
      </c>
      <c r="S219" s="99">
        <f t="shared" si="142"/>
        <v>9189.485341</v>
      </c>
      <c r="T219" s="99">
        <f t="shared" si="142"/>
        <v>9373.275048</v>
      </c>
      <c r="U219" s="99">
        <f t="shared" si="142"/>
        <v>9560.740549</v>
      </c>
      <c r="V219" s="99">
        <f t="shared" si="142"/>
        <v>9751.95536</v>
      </c>
      <c r="W219" s="99">
        <f t="shared" si="142"/>
        <v>9946.994467</v>
      </c>
      <c r="X219" s="99">
        <f t="shared" si="142"/>
        <v>10145.93436</v>
      </c>
      <c r="Y219" s="99">
        <f t="shared" si="142"/>
        <v>10348.85304</v>
      </c>
      <c r="Z219" s="99">
        <f t="shared" si="142"/>
        <v>10555.8301</v>
      </c>
      <c r="AA219" s="99">
        <f t="shared" si="142"/>
        <v>10766.94671</v>
      </c>
      <c r="AB219" s="99">
        <f t="shared" si="142"/>
        <v>10982.28564</v>
      </c>
      <c r="AC219" s="99">
        <f t="shared" si="142"/>
        <v>11201.93135</v>
      </c>
      <c r="AD219" s="99">
        <f t="shared" si="142"/>
        <v>11425.96998</v>
      </c>
      <c r="AE219" s="99">
        <f t="shared" si="142"/>
        <v>11654.48938</v>
      </c>
      <c r="AF219" s="99">
        <f t="shared" si="142"/>
        <v>11887.57917</v>
      </c>
      <c r="AG219" s="99">
        <f t="shared" si="142"/>
        <v>12125.33075</v>
      </c>
      <c r="AH219" s="99">
        <f t="shared" si="142"/>
        <v>12367.83737</v>
      </c>
      <c r="AI219" s="99">
        <f t="shared" si="142"/>
        <v>12615.19411</v>
      </c>
      <c r="AJ219" s="99">
        <f t="shared" si="142"/>
        <v>12867.498</v>
      </c>
      <c r="AK219" s="99">
        <f t="shared" si="142"/>
        <v>13124.84796</v>
      </c>
      <c r="AL219" s="99">
        <f t="shared" si="142"/>
        <v>13387.34491</v>
      </c>
      <c r="AM219" s="99">
        <f t="shared" si="142"/>
        <v>13655.09181</v>
      </c>
      <c r="AN219" s="99">
        <f t="shared" si="142"/>
        <v>13928.19365</v>
      </c>
      <c r="AO219" s="99">
        <f t="shared" si="142"/>
        <v>14206.75752</v>
      </c>
      <c r="AP219" s="99">
        <f t="shared" si="142"/>
        <v>14490.89267</v>
      </c>
      <c r="AQ219" s="99">
        <f t="shared" si="142"/>
        <v>14780.71053</v>
      </c>
      <c r="AR219" s="99">
        <f t="shared" si="142"/>
        <v>15076.32474</v>
      </c>
      <c r="AS219" s="99">
        <f t="shared" si="142"/>
        <v>15377.85123</v>
      </c>
      <c r="AT219" s="99">
        <f t="shared" si="142"/>
        <v>15685.40826</v>
      </c>
      <c r="AU219" s="99">
        <f t="shared" si="142"/>
        <v>15999.11642</v>
      </c>
      <c r="AV219" s="99">
        <f t="shared" si="142"/>
        <v>16319.09875</v>
      </c>
      <c r="AW219" s="67"/>
      <c r="AX219" s="90"/>
      <c r="AY219" s="90"/>
      <c r="AZ219" s="90"/>
      <c r="BA219" s="90"/>
      <c r="BB219" s="90"/>
      <c r="BC219" s="90"/>
      <c r="BD219" s="90"/>
      <c r="BE219" s="90"/>
      <c r="BF219" s="90"/>
      <c r="BG219" s="90"/>
    </row>
    <row r="220" ht="12.75" hidden="1" customHeight="1" outlineLevel="1">
      <c r="A220" s="316"/>
      <c r="B220" s="90"/>
      <c r="C220" s="90"/>
      <c r="D220" s="90" t="s">
        <v>759</v>
      </c>
      <c r="E220" s="90"/>
      <c r="F220" s="90"/>
      <c r="G220" s="254"/>
      <c r="H220" s="254"/>
      <c r="I220" s="254"/>
      <c r="J220" s="99" t="str">
        <f>'RS1'!J221</f>
        <v/>
      </c>
      <c r="K220" s="99" t="str">
        <f>'RS1'!K221</f>
        <v/>
      </c>
      <c r="L220" s="99">
        <f>'RS1'!L221</f>
        <v>1000</v>
      </c>
      <c r="M220" s="99">
        <f t="shared" ref="M220:AV220" si="143">L220*(1+M$194)</f>
        <v>1020</v>
      </c>
      <c r="N220" s="99">
        <f t="shared" si="143"/>
        <v>1040.4</v>
      </c>
      <c r="O220" s="99">
        <f t="shared" si="143"/>
        <v>1061.208</v>
      </c>
      <c r="P220" s="93">
        <f t="shared" si="143"/>
        <v>1082.43216</v>
      </c>
      <c r="Q220" s="93">
        <f t="shared" si="143"/>
        <v>1104.080803</v>
      </c>
      <c r="R220" s="93">
        <f t="shared" si="143"/>
        <v>1126.162419</v>
      </c>
      <c r="S220" s="93">
        <f t="shared" si="143"/>
        <v>1148.685668</v>
      </c>
      <c r="T220" s="93">
        <f t="shared" si="143"/>
        <v>1171.659381</v>
      </c>
      <c r="U220" s="93">
        <f t="shared" si="143"/>
        <v>1195.092569</v>
      </c>
      <c r="V220" s="93">
        <f t="shared" si="143"/>
        <v>1218.99442</v>
      </c>
      <c r="W220" s="93">
        <f t="shared" si="143"/>
        <v>1243.374308</v>
      </c>
      <c r="X220" s="93">
        <f t="shared" si="143"/>
        <v>1268.241795</v>
      </c>
      <c r="Y220" s="93">
        <f t="shared" si="143"/>
        <v>1293.60663</v>
      </c>
      <c r="Z220" s="93">
        <f t="shared" si="143"/>
        <v>1319.478763</v>
      </c>
      <c r="AA220" s="93">
        <f t="shared" si="143"/>
        <v>1345.868338</v>
      </c>
      <c r="AB220" s="93">
        <f t="shared" si="143"/>
        <v>1372.785705</v>
      </c>
      <c r="AC220" s="93">
        <f t="shared" si="143"/>
        <v>1400.241419</v>
      </c>
      <c r="AD220" s="93">
        <f t="shared" si="143"/>
        <v>1428.246248</v>
      </c>
      <c r="AE220" s="93">
        <f t="shared" si="143"/>
        <v>1456.811173</v>
      </c>
      <c r="AF220" s="93">
        <f t="shared" si="143"/>
        <v>1485.947396</v>
      </c>
      <c r="AG220" s="93">
        <f t="shared" si="143"/>
        <v>1515.666344</v>
      </c>
      <c r="AH220" s="93">
        <f t="shared" si="143"/>
        <v>1545.979671</v>
      </c>
      <c r="AI220" s="93">
        <f t="shared" si="143"/>
        <v>1576.899264</v>
      </c>
      <c r="AJ220" s="93">
        <f t="shared" si="143"/>
        <v>1608.437249</v>
      </c>
      <c r="AK220" s="93">
        <f t="shared" si="143"/>
        <v>1640.605994</v>
      </c>
      <c r="AL220" s="93">
        <f t="shared" si="143"/>
        <v>1673.418114</v>
      </c>
      <c r="AM220" s="93">
        <f t="shared" si="143"/>
        <v>1706.886477</v>
      </c>
      <c r="AN220" s="93">
        <f t="shared" si="143"/>
        <v>1741.024206</v>
      </c>
      <c r="AO220" s="93">
        <f t="shared" si="143"/>
        <v>1775.84469</v>
      </c>
      <c r="AP220" s="93">
        <f t="shared" si="143"/>
        <v>1811.361584</v>
      </c>
      <c r="AQ220" s="93">
        <f t="shared" si="143"/>
        <v>1847.588816</v>
      </c>
      <c r="AR220" s="93">
        <f t="shared" si="143"/>
        <v>1884.540592</v>
      </c>
      <c r="AS220" s="93">
        <f t="shared" si="143"/>
        <v>1922.231404</v>
      </c>
      <c r="AT220" s="93">
        <f t="shared" si="143"/>
        <v>1960.676032</v>
      </c>
      <c r="AU220" s="93">
        <f t="shared" si="143"/>
        <v>1999.889553</v>
      </c>
      <c r="AV220" s="93">
        <f t="shared" si="143"/>
        <v>2039.887344</v>
      </c>
      <c r="AW220" s="115"/>
      <c r="AX220" s="93"/>
      <c r="AY220" s="93"/>
      <c r="AZ220" s="90"/>
      <c r="BA220" s="90"/>
      <c r="BB220" s="90"/>
      <c r="BC220" s="90"/>
      <c r="BD220" s="90"/>
      <c r="BE220" s="90"/>
      <c r="BF220" s="90"/>
      <c r="BG220" s="90"/>
    </row>
    <row r="221" ht="12.75" hidden="1" customHeight="1" outlineLevel="1">
      <c r="A221" s="316"/>
      <c r="B221" s="90"/>
      <c r="C221" s="90"/>
      <c r="D221" s="90" t="s">
        <v>760</v>
      </c>
      <c r="E221" s="90"/>
      <c r="F221" s="90"/>
      <c r="G221" s="254"/>
      <c r="H221" s="254"/>
      <c r="I221" s="254"/>
      <c r="J221" s="99" t="str">
        <f>'RS1'!J222</f>
        <v/>
      </c>
      <c r="K221" s="99">
        <v>10000.0</v>
      </c>
      <c r="L221" s="99">
        <f>'RS1'!L222</f>
        <v>5000</v>
      </c>
      <c r="M221" s="99">
        <f t="shared" ref="M221:AV221" si="144">L221*(1+M$194)</f>
        <v>5100</v>
      </c>
      <c r="N221" s="99">
        <f t="shared" si="144"/>
        <v>5202</v>
      </c>
      <c r="O221" s="99">
        <f t="shared" si="144"/>
        <v>5306.04</v>
      </c>
      <c r="P221" s="93">
        <f t="shared" si="144"/>
        <v>5412.1608</v>
      </c>
      <c r="Q221" s="93">
        <f t="shared" si="144"/>
        <v>5520.404016</v>
      </c>
      <c r="R221" s="93">
        <f t="shared" si="144"/>
        <v>5630.812096</v>
      </c>
      <c r="S221" s="93">
        <f t="shared" si="144"/>
        <v>5743.428338</v>
      </c>
      <c r="T221" s="93">
        <f t="shared" si="144"/>
        <v>5858.296905</v>
      </c>
      <c r="U221" s="93">
        <f t="shared" si="144"/>
        <v>5975.462843</v>
      </c>
      <c r="V221" s="93">
        <f t="shared" si="144"/>
        <v>6094.9721</v>
      </c>
      <c r="W221" s="93">
        <f t="shared" si="144"/>
        <v>6216.871542</v>
      </c>
      <c r="X221" s="93">
        <f t="shared" si="144"/>
        <v>6341.208973</v>
      </c>
      <c r="Y221" s="93">
        <f t="shared" si="144"/>
        <v>6468.033152</v>
      </c>
      <c r="Z221" s="93">
        <f t="shared" si="144"/>
        <v>6597.393815</v>
      </c>
      <c r="AA221" s="93">
        <f t="shared" si="144"/>
        <v>6729.341692</v>
      </c>
      <c r="AB221" s="93">
        <f t="shared" si="144"/>
        <v>6863.928525</v>
      </c>
      <c r="AC221" s="93">
        <f t="shared" si="144"/>
        <v>7001.207096</v>
      </c>
      <c r="AD221" s="93">
        <f t="shared" si="144"/>
        <v>7141.231238</v>
      </c>
      <c r="AE221" s="93">
        <f t="shared" si="144"/>
        <v>7284.055863</v>
      </c>
      <c r="AF221" s="93">
        <f t="shared" si="144"/>
        <v>7429.73698</v>
      </c>
      <c r="AG221" s="93">
        <f t="shared" si="144"/>
        <v>7578.331719</v>
      </c>
      <c r="AH221" s="93">
        <f t="shared" si="144"/>
        <v>7729.898354</v>
      </c>
      <c r="AI221" s="93">
        <f t="shared" si="144"/>
        <v>7884.496321</v>
      </c>
      <c r="AJ221" s="93">
        <f t="shared" si="144"/>
        <v>8042.186247</v>
      </c>
      <c r="AK221" s="93">
        <f t="shared" si="144"/>
        <v>8203.029972</v>
      </c>
      <c r="AL221" s="93">
        <f t="shared" si="144"/>
        <v>8367.090572</v>
      </c>
      <c r="AM221" s="93">
        <f t="shared" si="144"/>
        <v>8534.432383</v>
      </c>
      <c r="AN221" s="93">
        <f t="shared" si="144"/>
        <v>8705.121031</v>
      </c>
      <c r="AO221" s="93">
        <f t="shared" si="144"/>
        <v>8879.223451</v>
      </c>
      <c r="AP221" s="93">
        <f t="shared" si="144"/>
        <v>9056.807921</v>
      </c>
      <c r="AQ221" s="93">
        <f t="shared" si="144"/>
        <v>9237.944079</v>
      </c>
      <c r="AR221" s="93">
        <f t="shared" si="144"/>
        <v>9422.702961</v>
      </c>
      <c r="AS221" s="93">
        <f t="shared" si="144"/>
        <v>9611.15702</v>
      </c>
      <c r="AT221" s="93">
        <f t="shared" si="144"/>
        <v>9803.38016</v>
      </c>
      <c r="AU221" s="93">
        <f t="shared" si="144"/>
        <v>9999.447763</v>
      </c>
      <c r="AV221" s="93">
        <f t="shared" si="144"/>
        <v>10199.43672</v>
      </c>
      <c r="AW221" s="115"/>
      <c r="AX221" s="93"/>
      <c r="AY221" s="93"/>
      <c r="AZ221" s="90"/>
      <c r="BA221" s="90"/>
      <c r="BB221" s="90"/>
      <c r="BC221" s="90"/>
      <c r="BD221" s="90"/>
      <c r="BE221" s="90"/>
      <c r="BF221" s="90"/>
      <c r="BG221" s="90"/>
    </row>
    <row r="222" ht="12.75" hidden="1" customHeight="1" outlineLevel="1">
      <c r="A222" s="316"/>
      <c r="B222" s="90"/>
      <c r="C222" s="90"/>
      <c r="D222" s="90" t="s">
        <v>761</v>
      </c>
      <c r="E222" s="90"/>
      <c r="F222" s="90"/>
      <c r="G222" s="254"/>
      <c r="H222" s="254"/>
      <c r="I222" s="254"/>
      <c r="J222" s="99" t="str">
        <f>'RS1'!J223</f>
        <v/>
      </c>
      <c r="K222" s="99" t="str">
        <f>'RS1'!K223</f>
        <v/>
      </c>
      <c r="L222" s="99" t="str">
        <f>'RS1'!L223</f>
        <v/>
      </c>
      <c r="M222" s="99" t="str">
        <f t="shared" ref="M222:AV222" si="145">L222</f>
        <v/>
      </c>
      <c r="N222" s="99" t="str">
        <f t="shared" si="145"/>
        <v/>
      </c>
      <c r="O222" s="99" t="str">
        <f t="shared" si="145"/>
        <v/>
      </c>
      <c r="P222" s="93" t="str">
        <f t="shared" si="145"/>
        <v/>
      </c>
      <c r="Q222" s="93" t="str">
        <f t="shared" si="145"/>
        <v/>
      </c>
      <c r="R222" s="93" t="str">
        <f t="shared" si="145"/>
        <v/>
      </c>
      <c r="S222" s="93" t="str">
        <f t="shared" si="145"/>
        <v/>
      </c>
      <c r="T222" s="93" t="str">
        <f t="shared" si="145"/>
        <v/>
      </c>
      <c r="U222" s="93" t="str">
        <f t="shared" si="145"/>
        <v/>
      </c>
      <c r="V222" s="93" t="str">
        <f t="shared" si="145"/>
        <v/>
      </c>
      <c r="W222" s="93" t="str">
        <f t="shared" si="145"/>
        <v/>
      </c>
      <c r="X222" s="93" t="str">
        <f t="shared" si="145"/>
        <v/>
      </c>
      <c r="Y222" s="93" t="str">
        <f t="shared" si="145"/>
        <v/>
      </c>
      <c r="Z222" s="93" t="str">
        <f t="shared" si="145"/>
        <v/>
      </c>
      <c r="AA222" s="93" t="str">
        <f t="shared" si="145"/>
        <v/>
      </c>
      <c r="AB222" s="93" t="str">
        <f t="shared" si="145"/>
        <v/>
      </c>
      <c r="AC222" s="93" t="str">
        <f t="shared" si="145"/>
        <v/>
      </c>
      <c r="AD222" s="93" t="str">
        <f t="shared" si="145"/>
        <v/>
      </c>
      <c r="AE222" s="93" t="str">
        <f t="shared" si="145"/>
        <v/>
      </c>
      <c r="AF222" s="93" t="str">
        <f t="shared" si="145"/>
        <v/>
      </c>
      <c r="AG222" s="93" t="str">
        <f t="shared" si="145"/>
        <v/>
      </c>
      <c r="AH222" s="93" t="str">
        <f t="shared" si="145"/>
        <v/>
      </c>
      <c r="AI222" s="93" t="str">
        <f t="shared" si="145"/>
        <v/>
      </c>
      <c r="AJ222" s="93" t="str">
        <f t="shared" si="145"/>
        <v/>
      </c>
      <c r="AK222" s="93" t="str">
        <f t="shared" si="145"/>
        <v/>
      </c>
      <c r="AL222" s="93" t="str">
        <f t="shared" si="145"/>
        <v/>
      </c>
      <c r="AM222" s="93" t="str">
        <f t="shared" si="145"/>
        <v/>
      </c>
      <c r="AN222" s="93" t="str">
        <f t="shared" si="145"/>
        <v/>
      </c>
      <c r="AO222" s="93" t="str">
        <f t="shared" si="145"/>
        <v/>
      </c>
      <c r="AP222" s="93" t="str">
        <f t="shared" si="145"/>
        <v/>
      </c>
      <c r="AQ222" s="93" t="str">
        <f t="shared" si="145"/>
        <v/>
      </c>
      <c r="AR222" s="93" t="str">
        <f t="shared" si="145"/>
        <v/>
      </c>
      <c r="AS222" s="93" t="str">
        <f t="shared" si="145"/>
        <v/>
      </c>
      <c r="AT222" s="93" t="str">
        <f t="shared" si="145"/>
        <v/>
      </c>
      <c r="AU222" s="93" t="str">
        <f t="shared" si="145"/>
        <v/>
      </c>
      <c r="AV222" s="93" t="str">
        <f t="shared" si="145"/>
        <v/>
      </c>
      <c r="AW222" s="115"/>
      <c r="AX222" s="93"/>
      <c r="AY222" s="93"/>
      <c r="AZ222" s="90"/>
      <c r="BA222" s="90"/>
      <c r="BB222" s="90"/>
      <c r="BC222" s="90"/>
      <c r="BD222" s="90"/>
      <c r="BE222" s="90"/>
      <c r="BF222" s="90"/>
      <c r="BG222" s="90"/>
    </row>
    <row r="223" ht="12.75" hidden="1" customHeight="1" outlineLevel="1">
      <c r="A223" s="316"/>
      <c r="B223" s="90"/>
      <c r="C223" s="90"/>
      <c r="D223" s="90" t="s">
        <v>762</v>
      </c>
      <c r="E223" s="90"/>
      <c r="F223" s="90"/>
      <c r="G223" s="254"/>
      <c r="H223" s="254"/>
      <c r="I223" s="254"/>
      <c r="J223" s="99">
        <v>0.0</v>
      </c>
      <c r="K223" s="99" t="str">
        <f>'RS1'!K224</f>
        <v/>
      </c>
      <c r="L223" s="99">
        <f>'RS1'!L224</f>
        <v>6000</v>
      </c>
      <c r="M223" s="99">
        <f t="shared" ref="M223:AV223" si="146">L223*(1+M$194)</f>
        <v>6120</v>
      </c>
      <c r="N223" s="99">
        <f t="shared" si="146"/>
        <v>6242.4</v>
      </c>
      <c r="O223" s="99">
        <f t="shared" si="146"/>
        <v>6367.248</v>
      </c>
      <c r="P223" s="93">
        <f t="shared" si="146"/>
        <v>6494.59296</v>
      </c>
      <c r="Q223" s="93">
        <f t="shared" si="146"/>
        <v>6624.484819</v>
      </c>
      <c r="R223" s="93">
        <f t="shared" si="146"/>
        <v>6756.974516</v>
      </c>
      <c r="S223" s="93">
        <f t="shared" si="146"/>
        <v>6892.114006</v>
      </c>
      <c r="T223" s="93">
        <f t="shared" si="146"/>
        <v>7029.956286</v>
      </c>
      <c r="U223" s="93">
        <f t="shared" si="146"/>
        <v>7170.555412</v>
      </c>
      <c r="V223" s="93">
        <f t="shared" si="146"/>
        <v>7313.96652</v>
      </c>
      <c r="W223" s="93">
        <f t="shared" si="146"/>
        <v>7460.24585</v>
      </c>
      <c r="X223" s="93">
        <f t="shared" si="146"/>
        <v>7609.450767</v>
      </c>
      <c r="Y223" s="93">
        <f t="shared" si="146"/>
        <v>7761.639783</v>
      </c>
      <c r="Z223" s="93">
        <f t="shared" si="146"/>
        <v>7916.872578</v>
      </c>
      <c r="AA223" s="93">
        <f t="shared" si="146"/>
        <v>8075.21003</v>
      </c>
      <c r="AB223" s="93">
        <f t="shared" si="146"/>
        <v>8236.714231</v>
      </c>
      <c r="AC223" s="93">
        <f t="shared" si="146"/>
        <v>8401.448515</v>
      </c>
      <c r="AD223" s="93">
        <f t="shared" si="146"/>
        <v>8569.477485</v>
      </c>
      <c r="AE223" s="93">
        <f t="shared" si="146"/>
        <v>8740.867035</v>
      </c>
      <c r="AF223" s="93">
        <f t="shared" si="146"/>
        <v>8915.684376</v>
      </c>
      <c r="AG223" s="93">
        <f t="shared" si="146"/>
        <v>9093.998063</v>
      </c>
      <c r="AH223" s="93">
        <f t="shared" si="146"/>
        <v>9275.878025</v>
      </c>
      <c r="AI223" s="93">
        <f t="shared" si="146"/>
        <v>9461.395585</v>
      </c>
      <c r="AJ223" s="93">
        <f t="shared" si="146"/>
        <v>9650.623497</v>
      </c>
      <c r="AK223" s="93">
        <f t="shared" si="146"/>
        <v>9843.635967</v>
      </c>
      <c r="AL223" s="93">
        <f t="shared" si="146"/>
        <v>10040.50869</v>
      </c>
      <c r="AM223" s="93">
        <f t="shared" si="146"/>
        <v>10241.31886</v>
      </c>
      <c r="AN223" s="93">
        <f t="shared" si="146"/>
        <v>10446.14524</v>
      </c>
      <c r="AO223" s="93">
        <f t="shared" si="146"/>
        <v>10655.06814</v>
      </c>
      <c r="AP223" s="93">
        <f t="shared" si="146"/>
        <v>10868.1695</v>
      </c>
      <c r="AQ223" s="93">
        <f t="shared" si="146"/>
        <v>11085.53289</v>
      </c>
      <c r="AR223" s="93">
        <f t="shared" si="146"/>
        <v>11307.24355</v>
      </c>
      <c r="AS223" s="93">
        <f t="shared" si="146"/>
        <v>11533.38842</v>
      </c>
      <c r="AT223" s="93">
        <f t="shared" si="146"/>
        <v>11764.05619</v>
      </c>
      <c r="AU223" s="93">
        <f t="shared" si="146"/>
        <v>11999.33732</v>
      </c>
      <c r="AV223" s="93">
        <f t="shared" si="146"/>
        <v>12239.32406</v>
      </c>
      <c r="AW223" s="115"/>
      <c r="AX223" s="93"/>
      <c r="AY223" s="93"/>
      <c r="AZ223" s="90"/>
      <c r="BA223" s="90"/>
      <c r="BB223" s="90"/>
      <c r="BC223" s="90"/>
      <c r="BD223" s="90"/>
      <c r="BE223" s="90"/>
      <c r="BF223" s="90"/>
      <c r="BG223" s="90"/>
    </row>
    <row r="224" ht="12.75" hidden="1" customHeight="1" outlineLevel="1">
      <c r="A224" s="316"/>
      <c r="B224" s="90"/>
      <c r="C224" s="90"/>
      <c r="D224" s="90" t="s">
        <v>763</v>
      </c>
      <c r="E224" s="90"/>
      <c r="F224" s="90"/>
      <c r="G224" s="254"/>
      <c r="H224" s="254"/>
      <c r="I224" s="254"/>
      <c r="J224" s="99" t="str">
        <f>'RS1'!J225</f>
        <v/>
      </c>
      <c r="K224" s="99" t="str">
        <f>'RS1'!K225</f>
        <v/>
      </c>
      <c r="L224" s="99" t="str">
        <f>'RS1'!L225</f>
        <v/>
      </c>
      <c r="M224" s="99">
        <f t="shared" ref="M224:AV224" si="147">L224*(1+M$194)</f>
        <v>0</v>
      </c>
      <c r="N224" s="99">
        <f t="shared" si="147"/>
        <v>0</v>
      </c>
      <c r="O224" s="99">
        <f t="shared" si="147"/>
        <v>0</v>
      </c>
      <c r="P224" s="93">
        <f t="shared" si="147"/>
        <v>0</v>
      </c>
      <c r="Q224" s="93">
        <f t="shared" si="147"/>
        <v>0</v>
      </c>
      <c r="R224" s="93">
        <f t="shared" si="147"/>
        <v>0</v>
      </c>
      <c r="S224" s="93">
        <f t="shared" si="147"/>
        <v>0</v>
      </c>
      <c r="T224" s="93">
        <f t="shared" si="147"/>
        <v>0</v>
      </c>
      <c r="U224" s="93">
        <f t="shared" si="147"/>
        <v>0</v>
      </c>
      <c r="V224" s="93">
        <f t="shared" si="147"/>
        <v>0</v>
      </c>
      <c r="W224" s="93">
        <f t="shared" si="147"/>
        <v>0</v>
      </c>
      <c r="X224" s="93">
        <f t="shared" si="147"/>
        <v>0</v>
      </c>
      <c r="Y224" s="93">
        <f t="shared" si="147"/>
        <v>0</v>
      </c>
      <c r="Z224" s="93">
        <f t="shared" si="147"/>
        <v>0</v>
      </c>
      <c r="AA224" s="93">
        <f t="shared" si="147"/>
        <v>0</v>
      </c>
      <c r="AB224" s="93">
        <f t="shared" si="147"/>
        <v>0</v>
      </c>
      <c r="AC224" s="93">
        <f t="shared" si="147"/>
        <v>0</v>
      </c>
      <c r="AD224" s="93">
        <f t="shared" si="147"/>
        <v>0</v>
      </c>
      <c r="AE224" s="93">
        <f t="shared" si="147"/>
        <v>0</v>
      </c>
      <c r="AF224" s="93">
        <f t="shared" si="147"/>
        <v>0</v>
      </c>
      <c r="AG224" s="93">
        <f t="shared" si="147"/>
        <v>0</v>
      </c>
      <c r="AH224" s="93">
        <f t="shared" si="147"/>
        <v>0</v>
      </c>
      <c r="AI224" s="93">
        <f t="shared" si="147"/>
        <v>0</v>
      </c>
      <c r="AJ224" s="93">
        <f t="shared" si="147"/>
        <v>0</v>
      </c>
      <c r="AK224" s="93">
        <f t="shared" si="147"/>
        <v>0</v>
      </c>
      <c r="AL224" s="93">
        <f t="shared" si="147"/>
        <v>0</v>
      </c>
      <c r="AM224" s="93">
        <f t="shared" si="147"/>
        <v>0</v>
      </c>
      <c r="AN224" s="93">
        <f t="shared" si="147"/>
        <v>0</v>
      </c>
      <c r="AO224" s="93">
        <f t="shared" si="147"/>
        <v>0</v>
      </c>
      <c r="AP224" s="93">
        <f t="shared" si="147"/>
        <v>0</v>
      </c>
      <c r="AQ224" s="93">
        <f t="shared" si="147"/>
        <v>0</v>
      </c>
      <c r="AR224" s="93">
        <f t="shared" si="147"/>
        <v>0</v>
      </c>
      <c r="AS224" s="93">
        <f t="shared" si="147"/>
        <v>0</v>
      </c>
      <c r="AT224" s="93">
        <f t="shared" si="147"/>
        <v>0</v>
      </c>
      <c r="AU224" s="93">
        <f t="shared" si="147"/>
        <v>0</v>
      </c>
      <c r="AV224" s="93">
        <f t="shared" si="147"/>
        <v>0</v>
      </c>
      <c r="AW224" s="115"/>
      <c r="AX224" s="93"/>
      <c r="AY224" s="93"/>
      <c r="AZ224" s="90"/>
      <c r="BA224" s="90"/>
      <c r="BB224" s="90"/>
      <c r="BC224" s="90"/>
      <c r="BD224" s="90"/>
      <c r="BE224" s="90"/>
      <c r="BF224" s="90"/>
      <c r="BG224" s="90"/>
    </row>
    <row r="225" ht="12.75" hidden="1" customHeight="1" outlineLevel="1">
      <c r="A225" s="316"/>
      <c r="B225" s="90"/>
      <c r="C225" s="90"/>
      <c r="D225" s="90" t="s">
        <v>764</v>
      </c>
      <c r="E225" s="90"/>
      <c r="F225" s="90"/>
      <c r="G225" s="254"/>
      <c r="H225" s="254"/>
      <c r="I225" s="254"/>
      <c r="J225" s="99">
        <v>0.0</v>
      </c>
      <c r="K225" s="99" t="str">
        <f>'RS1'!K226</f>
        <v/>
      </c>
      <c r="L225" s="99">
        <f>'RS1'!L226</f>
        <v>300</v>
      </c>
      <c r="M225" s="254">
        <f t="shared" ref="M225:AV225" si="148">L225</f>
        <v>300</v>
      </c>
      <c r="N225" s="254">
        <f t="shared" si="148"/>
        <v>300</v>
      </c>
      <c r="O225" s="254">
        <f t="shared" si="148"/>
        <v>300</v>
      </c>
      <c r="P225" s="69">
        <f t="shared" si="148"/>
        <v>300</v>
      </c>
      <c r="Q225" s="69">
        <f t="shared" si="148"/>
        <v>300</v>
      </c>
      <c r="R225" s="69">
        <f t="shared" si="148"/>
        <v>300</v>
      </c>
      <c r="S225" s="69">
        <f t="shared" si="148"/>
        <v>300</v>
      </c>
      <c r="T225" s="69">
        <f t="shared" si="148"/>
        <v>300</v>
      </c>
      <c r="U225" s="69">
        <f t="shared" si="148"/>
        <v>300</v>
      </c>
      <c r="V225" s="69">
        <f t="shared" si="148"/>
        <v>300</v>
      </c>
      <c r="W225" s="69">
        <f t="shared" si="148"/>
        <v>300</v>
      </c>
      <c r="X225" s="69">
        <f t="shared" si="148"/>
        <v>300</v>
      </c>
      <c r="Y225" s="69">
        <f t="shared" si="148"/>
        <v>300</v>
      </c>
      <c r="Z225" s="69">
        <f t="shared" si="148"/>
        <v>300</v>
      </c>
      <c r="AA225" s="69">
        <f t="shared" si="148"/>
        <v>300</v>
      </c>
      <c r="AB225" s="69">
        <f t="shared" si="148"/>
        <v>300</v>
      </c>
      <c r="AC225" s="69">
        <f t="shared" si="148"/>
        <v>300</v>
      </c>
      <c r="AD225" s="69">
        <f t="shared" si="148"/>
        <v>300</v>
      </c>
      <c r="AE225" s="69">
        <f t="shared" si="148"/>
        <v>300</v>
      </c>
      <c r="AF225" s="69">
        <f t="shared" si="148"/>
        <v>300</v>
      </c>
      <c r="AG225" s="69">
        <f t="shared" si="148"/>
        <v>300</v>
      </c>
      <c r="AH225" s="69">
        <f t="shared" si="148"/>
        <v>300</v>
      </c>
      <c r="AI225" s="69">
        <f t="shared" si="148"/>
        <v>300</v>
      </c>
      <c r="AJ225" s="69">
        <f t="shared" si="148"/>
        <v>300</v>
      </c>
      <c r="AK225" s="69">
        <f t="shared" si="148"/>
        <v>300</v>
      </c>
      <c r="AL225" s="69">
        <f t="shared" si="148"/>
        <v>300</v>
      </c>
      <c r="AM225" s="69">
        <f t="shared" si="148"/>
        <v>300</v>
      </c>
      <c r="AN225" s="69">
        <f t="shared" si="148"/>
        <v>300</v>
      </c>
      <c r="AO225" s="69">
        <f t="shared" si="148"/>
        <v>300</v>
      </c>
      <c r="AP225" s="69">
        <f t="shared" si="148"/>
        <v>300</v>
      </c>
      <c r="AQ225" s="69">
        <f t="shared" si="148"/>
        <v>300</v>
      </c>
      <c r="AR225" s="69">
        <f t="shared" si="148"/>
        <v>300</v>
      </c>
      <c r="AS225" s="69">
        <f t="shared" si="148"/>
        <v>300</v>
      </c>
      <c r="AT225" s="69">
        <f t="shared" si="148"/>
        <v>300</v>
      </c>
      <c r="AU225" s="69">
        <f t="shared" si="148"/>
        <v>300</v>
      </c>
      <c r="AV225" s="69">
        <f t="shared" si="148"/>
        <v>300</v>
      </c>
      <c r="AW225" s="115"/>
      <c r="AX225" s="93"/>
      <c r="AY225" s="93"/>
      <c r="AZ225" s="90"/>
      <c r="BA225" s="90"/>
      <c r="BB225" s="90"/>
      <c r="BC225" s="90"/>
      <c r="BD225" s="90"/>
      <c r="BE225" s="90"/>
      <c r="BF225" s="90"/>
      <c r="BG225" s="90"/>
    </row>
    <row r="226" ht="12.75" hidden="1" customHeight="1" outlineLevel="1">
      <c r="A226" s="316"/>
      <c r="B226" s="90"/>
      <c r="C226" s="90"/>
      <c r="D226" s="90" t="s">
        <v>765</v>
      </c>
      <c r="E226" s="90"/>
      <c r="F226" s="90"/>
      <c r="G226" s="254"/>
      <c r="H226" s="254"/>
      <c r="I226" s="254"/>
      <c r="J226" s="99">
        <v>0.0</v>
      </c>
      <c r="K226" s="99" t="str">
        <f>'RS1'!K227</f>
        <v/>
      </c>
      <c r="L226" s="99">
        <f>'RS1'!L227</f>
        <v>1500</v>
      </c>
      <c r="M226" s="99">
        <f t="shared" ref="M226:AV226" si="149">L226*(1+M$194)</f>
        <v>1530</v>
      </c>
      <c r="N226" s="99">
        <f t="shared" si="149"/>
        <v>1560.6</v>
      </c>
      <c r="O226" s="99">
        <f t="shared" si="149"/>
        <v>1591.812</v>
      </c>
      <c r="P226" s="93">
        <f t="shared" si="149"/>
        <v>1623.64824</v>
      </c>
      <c r="Q226" s="93">
        <f t="shared" si="149"/>
        <v>1656.121205</v>
      </c>
      <c r="R226" s="93">
        <f t="shared" si="149"/>
        <v>1689.243629</v>
      </c>
      <c r="S226" s="93">
        <f t="shared" si="149"/>
        <v>1723.028501</v>
      </c>
      <c r="T226" s="93">
        <f t="shared" si="149"/>
        <v>1757.489072</v>
      </c>
      <c r="U226" s="93">
        <f t="shared" si="149"/>
        <v>1792.638853</v>
      </c>
      <c r="V226" s="93">
        <f t="shared" si="149"/>
        <v>1828.49163</v>
      </c>
      <c r="W226" s="93">
        <f t="shared" si="149"/>
        <v>1865.061463</v>
      </c>
      <c r="X226" s="93">
        <f t="shared" si="149"/>
        <v>1902.362692</v>
      </c>
      <c r="Y226" s="93">
        <f t="shared" si="149"/>
        <v>1940.409946</v>
      </c>
      <c r="Z226" s="93">
        <f t="shared" si="149"/>
        <v>1979.218145</v>
      </c>
      <c r="AA226" s="93">
        <f t="shared" si="149"/>
        <v>2018.802507</v>
      </c>
      <c r="AB226" s="93">
        <f t="shared" si="149"/>
        <v>2059.178558</v>
      </c>
      <c r="AC226" s="93">
        <f t="shared" si="149"/>
        <v>2100.362129</v>
      </c>
      <c r="AD226" s="93">
        <f t="shared" si="149"/>
        <v>2142.369371</v>
      </c>
      <c r="AE226" s="93">
        <f t="shared" si="149"/>
        <v>2185.216759</v>
      </c>
      <c r="AF226" s="93">
        <f t="shared" si="149"/>
        <v>2228.921094</v>
      </c>
      <c r="AG226" s="93">
        <f t="shared" si="149"/>
        <v>2273.499516</v>
      </c>
      <c r="AH226" s="93">
        <f t="shared" si="149"/>
        <v>2318.969506</v>
      </c>
      <c r="AI226" s="93">
        <f t="shared" si="149"/>
        <v>2365.348896</v>
      </c>
      <c r="AJ226" s="93">
        <f t="shared" si="149"/>
        <v>2412.655874</v>
      </c>
      <c r="AK226" s="93">
        <f t="shared" si="149"/>
        <v>2460.908992</v>
      </c>
      <c r="AL226" s="93">
        <f t="shared" si="149"/>
        <v>2510.127172</v>
      </c>
      <c r="AM226" s="93">
        <f t="shared" si="149"/>
        <v>2560.329715</v>
      </c>
      <c r="AN226" s="93">
        <f t="shared" si="149"/>
        <v>2611.536309</v>
      </c>
      <c r="AO226" s="93">
        <f t="shared" si="149"/>
        <v>2663.767035</v>
      </c>
      <c r="AP226" s="93">
        <f t="shared" si="149"/>
        <v>2717.042376</v>
      </c>
      <c r="AQ226" s="93">
        <f t="shared" si="149"/>
        <v>2771.383224</v>
      </c>
      <c r="AR226" s="93">
        <f t="shared" si="149"/>
        <v>2826.810888</v>
      </c>
      <c r="AS226" s="93">
        <f t="shared" si="149"/>
        <v>2883.347106</v>
      </c>
      <c r="AT226" s="93">
        <f t="shared" si="149"/>
        <v>2941.014048</v>
      </c>
      <c r="AU226" s="93">
        <f t="shared" si="149"/>
        <v>2999.834329</v>
      </c>
      <c r="AV226" s="93">
        <f t="shared" si="149"/>
        <v>3059.831016</v>
      </c>
      <c r="AW226" s="115"/>
      <c r="AX226" s="93"/>
      <c r="AY226" s="93"/>
      <c r="AZ226" s="90"/>
      <c r="BA226" s="90"/>
      <c r="BB226" s="90"/>
      <c r="BC226" s="90"/>
      <c r="BD226" s="90"/>
      <c r="BE226" s="90"/>
      <c r="BF226" s="90"/>
      <c r="BG226" s="90"/>
    </row>
    <row r="227" ht="12.75" hidden="1" customHeight="1" outlineLevel="1">
      <c r="A227" s="316"/>
      <c r="B227" s="90"/>
      <c r="C227" s="90"/>
      <c r="D227" s="90" t="s">
        <v>766</v>
      </c>
      <c r="E227" s="90"/>
      <c r="F227" s="90"/>
      <c r="G227" s="254"/>
      <c r="H227" s="254"/>
      <c r="I227" s="254"/>
      <c r="J227" s="99">
        <v>0.0</v>
      </c>
      <c r="K227" s="99">
        <f>J227</f>
        <v>0</v>
      </c>
      <c r="L227" s="99">
        <f>'RS1'!L228</f>
        <v>0</v>
      </c>
      <c r="M227" s="99">
        <f t="shared" ref="M227:AV227" si="150">L227</f>
        <v>0</v>
      </c>
      <c r="N227" s="99">
        <f t="shared" si="150"/>
        <v>0</v>
      </c>
      <c r="O227" s="99">
        <f t="shared" si="150"/>
        <v>0</v>
      </c>
      <c r="P227" s="93">
        <f t="shared" si="150"/>
        <v>0</v>
      </c>
      <c r="Q227" s="93">
        <f t="shared" si="150"/>
        <v>0</v>
      </c>
      <c r="R227" s="93">
        <f t="shared" si="150"/>
        <v>0</v>
      </c>
      <c r="S227" s="93">
        <f t="shared" si="150"/>
        <v>0</v>
      </c>
      <c r="T227" s="93">
        <f t="shared" si="150"/>
        <v>0</v>
      </c>
      <c r="U227" s="93">
        <f t="shared" si="150"/>
        <v>0</v>
      </c>
      <c r="V227" s="93">
        <f t="shared" si="150"/>
        <v>0</v>
      </c>
      <c r="W227" s="93">
        <f t="shared" si="150"/>
        <v>0</v>
      </c>
      <c r="X227" s="93">
        <f t="shared" si="150"/>
        <v>0</v>
      </c>
      <c r="Y227" s="93">
        <f t="shared" si="150"/>
        <v>0</v>
      </c>
      <c r="Z227" s="93">
        <f t="shared" si="150"/>
        <v>0</v>
      </c>
      <c r="AA227" s="93">
        <f t="shared" si="150"/>
        <v>0</v>
      </c>
      <c r="AB227" s="93">
        <f t="shared" si="150"/>
        <v>0</v>
      </c>
      <c r="AC227" s="93">
        <f t="shared" si="150"/>
        <v>0</v>
      </c>
      <c r="AD227" s="93">
        <f t="shared" si="150"/>
        <v>0</v>
      </c>
      <c r="AE227" s="93">
        <f t="shared" si="150"/>
        <v>0</v>
      </c>
      <c r="AF227" s="93">
        <f t="shared" si="150"/>
        <v>0</v>
      </c>
      <c r="AG227" s="93">
        <f t="shared" si="150"/>
        <v>0</v>
      </c>
      <c r="AH227" s="93">
        <f t="shared" si="150"/>
        <v>0</v>
      </c>
      <c r="AI227" s="93">
        <f t="shared" si="150"/>
        <v>0</v>
      </c>
      <c r="AJ227" s="93">
        <f t="shared" si="150"/>
        <v>0</v>
      </c>
      <c r="AK227" s="93">
        <f t="shared" si="150"/>
        <v>0</v>
      </c>
      <c r="AL227" s="93">
        <f t="shared" si="150"/>
        <v>0</v>
      </c>
      <c r="AM227" s="93">
        <f t="shared" si="150"/>
        <v>0</v>
      </c>
      <c r="AN227" s="93">
        <f t="shared" si="150"/>
        <v>0</v>
      </c>
      <c r="AO227" s="93">
        <f t="shared" si="150"/>
        <v>0</v>
      </c>
      <c r="AP227" s="93">
        <f t="shared" si="150"/>
        <v>0</v>
      </c>
      <c r="AQ227" s="93">
        <f t="shared" si="150"/>
        <v>0</v>
      </c>
      <c r="AR227" s="93">
        <f t="shared" si="150"/>
        <v>0</v>
      </c>
      <c r="AS227" s="93">
        <f t="shared" si="150"/>
        <v>0</v>
      </c>
      <c r="AT227" s="93">
        <f t="shared" si="150"/>
        <v>0</v>
      </c>
      <c r="AU227" s="93">
        <f t="shared" si="150"/>
        <v>0</v>
      </c>
      <c r="AV227" s="93">
        <f t="shared" si="150"/>
        <v>0</v>
      </c>
      <c r="AW227" s="115"/>
      <c r="AX227" s="93"/>
      <c r="AY227" s="93"/>
      <c r="AZ227" s="90"/>
      <c r="BA227" s="90"/>
      <c r="BB227" s="90"/>
      <c r="BC227" s="90"/>
      <c r="BD227" s="90"/>
      <c r="BE227" s="90"/>
      <c r="BF227" s="90"/>
      <c r="BG227" s="90"/>
    </row>
    <row r="228" ht="12.75" hidden="1" customHeight="1" outlineLevel="1">
      <c r="A228" s="316"/>
      <c r="B228" s="90"/>
      <c r="C228" s="90" t="s">
        <v>767</v>
      </c>
      <c r="D228" s="90"/>
      <c r="E228" s="90"/>
      <c r="F228" s="90"/>
      <c r="G228" s="254"/>
      <c r="H228" s="254"/>
      <c r="I228" s="254"/>
      <c r="J228" s="254"/>
      <c r="K228" s="99"/>
      <c r="L228" s="99"/>
      <c r="M228" s="99"/>
      <c r="N228" s="99"/>
      <c r="O228" s="99"/>
      <c r="P228" s="93"/>
      <c r="Q228" s="93"/>
      <c r="R228" s="93"/>
      <c r="S228" s="93"/>
      <c r="T228" s="93"/>
      <c r="U228" s="93"/>
      <c r="V228" s="93"/>
      <c r="W228" s="93"/>
      <c r="X228" s="93"/>
      <c r="Y228" s="93"/>
      <c r="Z228" s="93"/>
      <c r="AA228" s="93"/>
      <c r="AB228" s="93"/>
      <c r="AC228" s="93"/>
      <c r="AD228" s="93"/>
      <c r="AE228" s="93"/>
      <c r="AF228" s="93"/>
      <c r="AG228" s="93"/>
      <c r="AH228" s="93"/>
      <c r="AI228" s="93"/>
      <c r="AJ228" s="93"/>
      <c r="AK228" s="93"/>
      <c r="AL228" s="93"/>
      <c r="AM228" s="93"/>
      <c r="AN228" s="93"/>
      <c r="AO228" s="93"/>
      <c r="AP228" s="93"/>
      <c r="AQ228" s="93"/>
      <c r="AR228" s="93"/>
      <c r="AS228" s="93"/>
      <c r="AT228" s="93"/>
      <c r="AU228" s="93"/>
      <c r="AV228" s="93"/>
      <c r="AW228" s="115"/>
      <c r="AX228" s="93"/>
      <c r="AY228" s="93"/>
      <c r="AZ228" s="90"/>
      <c r="BA228" s="90"/>
      <c r="BB228" s="90"/>
      <c r="BC228" s="90"/>
      <c r="BD228" s="90"/>
      <c r="BE228" s="90"/>
      <c r="BF228" s="90"/>
      <c r="BG228" s="90"/>
    </row>
    <row r="229" ht="12.75" hidden="1" customHeight="1" outlineLevel="1">
      <c r="A229" s="316"/>
      <c r="B229" s="90"/>
      <c r="C229" s="90"/>
      <c r="D229" s="90" t="s">
        <v>768</v>
      </c>
      <c r="E229" s="90"/>
      <c r="F229" s="90"/>
      <c r="G229" s="254"/>
      <c r="H229" s="254"/>
      <c r="I229" s="254"/>
      <c r="J229" s="99" t="str">
        <f>'RS1'!J230</f>
        <v/>
      </c>
      <c r="K229" s="99">
        <f>J229*(1+K$194)</f>
        <v>0</v>
      </c>
      <c r="L229" s="99">
        <f>'RS1'!L230</f>
        <v>3.825</v>
      </c>
      <c r="M229" s="99">
        <f t="shared" ref="M229:AV229" si="151">L229*(1+M$194)</f>
        <v>3.9015</v>
      </c>
      <c r="N229" s="99">
        <f t="shared" si="151"/>
        <v>3.97953</v>
      </c>
      <c r="O229" s="99">
        <f t="shared" si="151"/>
        <v>4.0591206</v>
      </c>
      <c r="P229" s="93">
        <f t="shared" si="151"/>
        <v>4.140303012</v>
      </c>
      <c r="Q229" s="93">
        <f t="shared" si="151"/>
        <v>4.223109072</v>
      </c>
      <c r="R229" s="93">
        <f t="shared" si="151"/>
        <v>4.307571254</v>
      </c>
      <c r="S229" s="93">
        <f t="shared" si="151"/>
        <v>4.393722679</v>
      </c>
      <c r="T229" s="93">
        <f t="shared" si="151"/>
        <v>4.481597132</v>
      </c>
      <c r="U229" s="93">
        <f t="shared" si="151"/>
        <v>4.571229075</v>
      </c>
      <c r="V229" s="93">
        <f t="shared" si="151"/>
        <v>4.662653656</v>
      </c>
      <c r="W229" s="93">
        <f t="shared" si="151"/>
        <v>4.75590673</v>
      </c>
      <c r="X229" s="93">
        <f t="shared" si="151"/>
        <v>4.851024864</v>
      </c>
      <c r="Y229" s="93">
        <f t="shared" si="151"/>
        <v>4.948045361</v>
      </c>
      <c r="Z229" s="93">
        <f t="shared" si="151"/>
        <v>5.047006269</v>
      </c>
      <c r="AA229" s="93">
        <f t="shared" si="151"/>
        <v>5.147946394</v>
      </c>
      <c r="AB229" s="93">
        <f t="shared" si="151"/>
        <v>5.250905322</v>
      </c>
      <c r="AC229" s="93">
        <f t="shared" si="151"/>
        <v>5.355923428</v>
      </c>
      <c r="AD229" s="93">
        <f t="shared" si="151"/>
        <v>5.463041897</v>
      </c>
      <c r="AE229" s="93">
        <f t="shared" si="151"/>
        <v>5.572302735</v>
      </c>
      <c r="AF229" s="93">
        <f t="shared" si="151"/>
        <v>5.68374879</v>
      </c>
      <c r="AG229" s="93">
        <f t="shared" si="151"/>
        <v>5.797423765</v>
      </c>
      <c r="AH229" s="93">
        <f t="shared" si="151"/>
        <v>5.913372241</v>
      </c>
      <c r="AI229" s="93">
        <f t="shared" si="151"/>
        <v>6.031639686</v>
      </c>
      <c r="AJ229" s="93">
        <f t="shared" si="151"/>
        <v>6.152272479</v>
      </c>
      <c r="AK229" s="93">
        <f t="shared" si="151"/>
        <v>6.275317929</v>
      </c>
      <c r="AL229" s="93">
        <f t="shared" si="151"/>
        <v>6.400824287</v>
      </c>
      <c r="AM229" s="93">
        <f t="shared" si="151"/>
        <v>6.528840773</v>
      </c>
      <c r="AN229" s="93">
        <f t="shared" si="151"/>
        <v>6.659417589</v>
      </c>
      <c r="AO229" s="93">
        <f t="shared" si="151"/>
        <v>6.79260594</v>
      </c>
      <c r="AP229" s="93">
        <f t="shared" si="151"/>
        <v>6.928458059</v>
      </c>
      <c r="AQ229" s="93">
        <f t="shared" si="151"/>
        <v>7.06702722</v>
      </c>
      <c r="AR229" s="93">
        <f t="shared" si="151"/>
        <v>7.208367765</v>
      </c>
      <c r="AS229" s="93">
        <f t="shared" si="151"/>
        <v>7.35253512</v>
      </c>
      <c r="AT229" s="93">
        <f t="shared" si="151"/>
        <v>7.499585822</v>
      </c>
      <c r="AU229" s="93">
        <f t="shared" si="151"/>
        <v>7.649577539</v>
      </c>
      <c r="AV229" s="93">
        <f t="shared" si="151"/>
        <v>7.80256909</v>
      </c>
      <c r="AW229" s="115"/>
      <c r="AX229" s="93"/>
      <c r="AY229" s="93"/>
      <c r="AZ229" s="90"/>
      <c r="BA229" s="90"/>
      <c r="BB229" s="90"/>
      <c r="BC229" s="90"/>
      <c r="BD229" s="90"/>
      <c r="BE229" s="90"/>
      <c r="BF229" s="90"/>
      <c r="BG229" s="90"/>
    </row>
    <row r="230" ht="12.75" hidden="1" customHeight="1" outlineLevel="1">
      <c r="A230" s="316"/>
      <c r="B230" s="90"/>
      <c r="C230" s="90"/>
      <c r="D230" s="90" t="s">
        <v>769</v>
      </c>
      <c r="E230" s="90"/>
      <c r="F230" s="90"/>
      <c r="G230" s="254"/>
      <c r="H230" s="254"/>
      <c r="I230" s="254"/>
      <c r="J230" s="99" t="str">
        <f>'RS1'!J231</f>
        <v/>
      </c>
      <c r="K230" s="254">
        <v>58.0</v>
      </c>
      <c r="L230" s="99">
        <f>'RS1'!L231</f>
        <v>52</v>
      </c>
      <c r="M230" s="99">
        <f t="shared" ref="M230:AV230" si="152">L230*(1+M$194)</f>
        <v>53.04</v>
      </c>
      <c r="N230" s="99">
        <f t="shared" si="152"/>
        <v>54.1008</v>
      </c>
      <c r="O230" s="99">
        <f t="shared" si="152"/>
        <v>55.182816</v>
      </c>
      <c r="P230" s="99">
        <f t="shared" si="152"/>
        <v>56.28647232</v>
      </c>
      <c r="Q230" s="99">
        <f t="shared" si="152"/>
        <v>57.41220177</v>
      </c>
      <c r="R230" s="99">
        <f t="shared" si="152"/>
        <v>58.5604458</v>
      </c>
      <c r="S230" s="99">
        <f t="shared" si="152"/>
        <v>59.73165472</v>
      </c>
      <c r="T230" s="99">
        <f t="shared" si="152"/>
        <v>60.92628781</v>
      </c>
      <c r="U230" s="99">
        <f t="shared" si="152"/>
        <v>62.14481357</v>
      </c>
      <c r="V230" s="99">
        <f t="shared" si="152"/>
        <v>63.38770984</v>
      </c>
      <c r="W230" s="99">
        <f t="shared" si="152"/>
        <v>64.65546404</v>
      </c>
      <c r="X230" s="99">
        <f t="shared" si="152"/>
        <v>65.94857332</v>
      </c>
      <c r="Y230" s="99">
        <f t="shared" si="152"/>
        <v>67.26754478</v>
      </c>
      <c r="Z230" s="99">
        <f t="shared" si="152"/>
        <v>68.61289568</v>
      </c>
      <c r="AA230" s="99">
        <f t="shared" si="152"/>
        <v>69.98515359</v>
      </c>
      <c r="AB230" s="99">
        <f t="shared" si="152"/>
        <v>71.38485666</v>
      </c>
      <c r="AC230" s="99">
        <f t="shared" si="152"/>
        <v>72.8125538</v>
      </c>
      <c r="AD230" s="99">
        <f t="shared" si="152"/>
        <v>74.26880487</v>
      </c>
      <c r="AE230" s="99">
        <f t="shared" si="152"/>
        <v>75.75418097</v>
      </c>
      <c r="AF230" s="99">
        <f t="shared" si="152"/>
        <v>77.26926459</v>
      </c>
      <c r="AG230" s="99">
        <f t="shared" si="152"/>
        <v>78.81464988</v>
      </c>
      <c r="AH230" s="99">
        <f t="shared" si="152"/>
        <v>80.39094288</v>
      </c>
      <c r="AI230" s="99">
        <f t="shared" si="152"/>
        <v>81.99876174</v>
      </c>
      <c r="AJ230" s="99">
        <f t="shared" si="152"/>
        <v>83.63873697</v>
      </c>
      <c r="AK230" s="99">
        <f t="shared" si="152"/>
        <v>85.31151171</v>
      </c>
      <c r="AL230" s="99">
        <f t="shared" si="152"/>
        <v>87.01774195</v>
      </c>
      <c r="AM230" s="99">
        <f t="shared" si="152"/>
        <v>88.75809679</v>
      </c>
      <c r="AN230" s="99">
        <f t="shared" si="152"/>
        <v>90.53325872</v>
      </c>
      <c r="AO230" s="99">
        <f t="shared" si="152"/>
        <v>92.3439239</v>
      </c>
      <c r="AP230" s="99">
        <f t="shared" si="152"/>
        <v>94.19080237</v>
      </c>
      <c r="AQ230" s="99">
        <f t="shared" si="152"/>
        <v>96.07461842</v>
      </c>
      <c r="AR230" s="99">
        <f t="shared" si="152"/>
        <v>97.99611079</v>
      </c>
      <c r="AS230" s="99">
        <f t="shared" si="152"/>
        <v>99.95603301</v>
      </c>
      <c r="AT230" s="99">
        <f t="shared" si="152"/>
        <v>101.9551537</v>
      </c>
      <c r="AU230" s="99">
        <f t="shared" si="152"/>
        <v>103.9942567</v>
      </c>
      <c r="AV230" s="99">
        <f t="shared" si="152"/>
        <v>106.0741419</v>
      </c>
      <c r="AW230" s="67"/>
      <c r="AX230" s="90"/>
      <c r="AY230" s="90"/>
      <c r="AZ230" s="90"/>
      <c r="BA230" s="90"/>
      <c r="BB230" s="90"/>
      <c r="BC230" s="90"/>
      <c r="BD230" s="90"/>
      <c r="BE230" s="90"/>
      <c r="BF230" s="90"/>
      <c r="BG230" s="90"/>
    </row>
    <row r="231" ht="12.75" hidden="1" customHeight="1" outlineLevel="1">
      <c r="A231" s="316"/>
      <c r="B231" s="90"/>
      <c r="C231" s="90"/>
      <c r="D231" s="90" t="s">
        <v>770</v>
      </c>
      <c r="E231" s="90"/>
      <c r="F231" s="90"/>
      <c r="G231" s="254"/>
      <c r="H231" s="254"/>
      <c r="I231" s="254"/>
      <c r="J231" s="99" t="str">
        <f>'RS1'!J232</f>
        <v/>
      </c>
      <c r="K231" s="99">
        <f t="shared" ref="K231:K235" si="154">J231*(1+K$194)</f>
        <v>0</v>
      </c>
      <c r="L231" s="99">
        <f>'RS1'!L232</f>
        <v>9.5625</v>
      </c>
      <c r="M231" s="99">
        <f t="shared" ref="M231:AV231" si="153">L231*(1+M$194)</f>
        <v>9.75375</v>
      </c>
      <c r="N231" s="99">
        <f t="shared" si="153"/>
        <v>9.948825</v>
      </c>
      <c r="O231" s="99">
        <f t="shared" si="153"/>
        <v>10.1478015</v>
      </c>
      <c r="P231" s="99">
        <f t="shared" si="153"/>
        <v>10.35075753</v>
      </c>
      <c r="Q231" s="99">
        <f t="shared" si="153"/>
        <v>10.55777268</v>
      </c>
      <c r="R231" s="99">
        <f t="shared" si="153"/>
        <v>10.76892813</v>
      </c>
      <c r="S231" s="99">
        <f t="shared" si="153"/>
        <v>10.9843067</v>
      </c>
      <c r="T231" s="99">
        <f t="shared" si="153"/>
        <v>11.20399283</v>
      </c>
      <c r="U231" s="99">
        <f t="shared" si="153"/>
        <v>11.42807269</v>
      </c>
      <c r="V231" s="99">
        <f t="shared" si="153"/>
        <v>11.65663414</v>
      </c>
      <c r="W231" s="99">
        <f t="shared" si="153"/>
        <v>11.88976682</v>
      </c>
      <c r="X231" s="99">
        <f t="shared" si="153"/>
        <v>12.12756216</v>
      </c>
      <c r="Y231" s="99">
        <f t="shared" si="153"/>
        <v>12.3701134</v>
      </c>
      <c r="Z231" s="99">
        <f t="shared" si="153"/>
        <v>12.61751567</v>
      </c>
      <c r="AA231" s="99">
        <f t="shared" si="153"/>
        <v>12.86986599</v>
      </c>
      <c r="AB231" s="99">
        <f t="shared" si="153"/>
        <v>13.1272633</v>
      </c>
      <c r="AC231" s="99">
        <f t="shared" si="153"/>
        <v>13.38980857</v>
      </c>
      <c r="AD231" s="99">
        <f t="shared" si="153"/>
        <v>13.65760474</v>
      </c>
      <c r="AE231" s="99">
        <f t="shared" si="153"/>
        <v>13.93075684</v>
      </c>
      <c r="AF231" s="99">
        <f t="shared" si="153"/>
        <v>14.20937197</v>
      </c>
      <c r="AG231" s="99">
        <f t="shared" si="153"/>
        <v>14.49355941</v>
      </c>
      <c r="AH231" s="99">
        <f t="shared" si="153"/>
        <v>14.7834306</v>
      </c>
      <c r="AI231" s="99">
        <f t="shared" si="153"/>
        <v>15.07909921</v>
      </c>
      <c r="AJ231" s="99">
        <f t="shared" si="153"/>
        <v>15.3806812</v>
      </c>
      <c r="AK231" s="99">
        <f t="shared" si="153"/>
        <v>15.68829482</v>
      </c>
      <c r="AL231" s="99">
        <f t="shared" si="153"/>
        <v>16.00206072</v>
      </c>
      <c r="AM231" s="99">
        <f t="shared" si="153"/>
        <v>16.32210193</v>
      </c>
      <c r="AN231" s="99">
        <f t="shared" si="153"/>
        <v>16.64854397</v>
      </c>
      <c r="AO231" s="99">
        <f t="shared" si="153"/>
        <v>16.98151485</v>
      </c>
      <c r="AP231" s="99">
        <f t="shared" si="153"/>
        <v>17.32114515</v>
      </c>
      <c r="AQ231" s="99">
        <f t="shared" si="153"/>
        <v>17.66756805</v>
      </c>
      <c r="AR231" s="99">
        <f t="shared" si="153"/>
        <v>18.02091941</v>
      </c>
      <c r="AS231" s="99">
        <f t="shared" si="153"/>
        <v>18.3813378</v>
      </c>
      <c r="AT231" s="99">
        <f t="shared" si="153"/>
        <v>18.74896456</v>
      </c>
      <c r="AU231" s="99">
        <f t="shared" si="153"/>
        <v>19.12394385</v>
      </c>
      <c r="AV231" s="99">
        <f t="shared" si="153"/>
        <v>19.50642272</v>
      </c>
      <c r="AW231" s="67"/>
      <c r="AX231" s="90"/>
      <c r="AY231" s="90"/>
      <c r="AZ231" s="90"/>
      <c r="BA231" s="90"/>
      <c r="BB231" s="90"/>
      <c r="BC231" s="90"/>
      <c r="BD231" s="90"/>
      <c r="BE231" s="90"/>
      <c r="BF231" s="90"/>
      <c r="BG231" s="90"/>
    </row>
    <row r="232" ht="12.75" hidden="1" customHeight="1" outlineLevel="1">
      <c r="A232" s="316"/>
      <c r="B232" s="90"/>
      <c r="C232" s="90"/>
      <c r="D232" s="90" t="s">
        <v>771</v>
      </c>
      <c r="E232" s="90"/>
      <c r="F232" s="90"/>
      <c r="G232" s="254"/>
      <c r="H232" s="254"/>
      <c r="I232" s="254"/>
      <c r="J232" s="99" t="str">
        <f>'RS1'!J233</f>
        <v/>
      </c>
      <c r="K232" s="99">
        <f t="shared" si="154"/>
        <v>0</v>
      </c>
      <c r="L232" s="99">
        <f>'RS1'!L233</f>
        <v>3.1875</v>
      </c>
      <c r="M232" s="99">
        <f t="shared" ref="M232:AV232" si="155">L232*(1+M$194)</f>
        <v>3.25125</v>
      </c>
      <c r="N232" s="99">
        <f t="shared" si="155"/>
        <v>3.316275</v>
      </c>
      <c r="O232" s="99">
        <f t="shared" si="155"/>
        <v>3.3826005</v>
      </c>
      <c r="P232" s="99">
        <f t="shared" si="155"/>
        <v>3.45025251</v>
      </c>
      <c r="Q232" s="99">
        <f t="shared" si="155"/>
        <v>3.51925756</v>
      </c>
      <c r="R232" s="99">
        <f t="shared" si="155"/>
        <v>3.589642711</v>
      </c>
      <c r="S232" s="99">
        <f t="shared" si="155"/>
        <v>3.661435566</v>
      </c>
      <c r="T232" s="99">
        <f t="shared" si="155"/>
        <v>3.734664277</v>
      </c>
      <c r="U232" s="99">
        <f t="shared" si="155"/>
        <v>3.809357562</v>
      </c>
      <c r="V232" s="99">
        <f t="shared" si="155"/>
        <v>3.885544714</v>
      </c>
      <c r="W232" s="99">
        <f t="shared" si="155"/>
        <v>3.963255608</v>
      </c>
      <c r="X232" s="99">
        <f t="shared" si="155"/>
        <v>4.04252072</v>
      </c>
      <c r="Y232" s="99">
        <f t="shared" si="155"/>
        <v>4.123371135</v>
      </c>
      <c r="Z232" s="99">
        <f t="shared" si="155"/>
        <v>4.205838557</v>
      </c>
      <c r="AA232" s="99">
        <f t="shared" si="155"/>
        <v>4.289955328</v>
      </c>
      <c r="AB232" s="99">
        <f t="shared" si="155"/>
        <v>4.375754435</v>
      </c>
      <c r="AC232" s="99">
        <f t="shared" si="155"/>
        <v>4.463269524</v>
      </c>
      <c r="AD232" s="99">
        <f t="shared" si="155"/>
        <v>4.552534914</v>
      </c>
      <c r="AE232" s="99">
        <f t="shared" si="155"/>
        <v>4.643585612</v>
      </c>
      <c r="AF232" s="99">
        <f t="shared" si="155"/>
        <v>4.736457325</v>
      </c>
      <c r="AG232" s="99">
        <f t="shared" si="155"/>
        <v>4.831186471</v>
      </c>
      <c r="AH232" s="99">
        <f t="shared" si="155"/>
        <v>4.927810201</v>
      </c>
      <c r="AI232" s="99">
        <f t="shared" si="155"/>
        <v>5.026366405</v>
      </c>
      <c r="AJ232" s="99">
        <f t="shared" si="155"/>
        <v>5.126893733</v>
      </c>
      <c r="AK232" s="99">
        <f t="shared" si="155"/>
        <v>5.229431607</v>
      </c>
      <c r="AL232" s="99">
        <f t="shared" si="155"/>
        <v>5.33402024</v>
      </c>
      <c r="AM232" s="99">
        <f t="shared" si="155"/>
        <v>5.440700644</v>
      </c>
      <c r="AN232" s="99">
        <f t="shared" si="155"/>
        <v>5.549514657</v>
      </c>
      <c r="AO232" s="99">
        <f t="shared" si="155"/>
        <v>5.66050495</v>
      </c>
      <c r="AP232" s="99">
        <f t="shared" si="155"/>
        <v>5.773715049</v>
      </c>
      <c r="AQ232" s="99">
        <f t="shared" si="155"/>
        <v>5.88918935</v>
      </c>
      <c r="AR232" s="99">
        <f t="shared" si="155"/>
        <v>6.006973137</v>
      </c>
      <c r="AS232" s="99">
        <f t="shared" si="155"/>
        <v>6.1271126</v>
      </c>
      <c r="AT232" s="99">
        <f t="shared" si="155"/>
        <v>6.249654852</v>
      </c>
      <c r="AU232" s="99">
        <f t="shared" si="155"/>
        <v>6.374647949</v>
      </c>
      <c r="AV232" s="99">
        <f t="shared" si="155"/>
        <v>6.502140908</v>
      </c>
      <c r="AW232" s="67"/>
      <c r="AX232" s="90"/>
      <c r="AY232" s="90"/>
      <c r="AZ232" s="90"/>
      <c r="BA232" s="90"/>
      <c r="BB232" s="90"/>
      <c r="BC232" s="90"/>
      <c r="BD232" s="90"/>
      <c r="BE232" s="90"/>
      <c r="BF232" s="90"/>
      <c r="BG232" s="90"/>
    </row>
    <row r="233" ht="12.75" hidden="1" customHeight="1" outlineLevel="1">
      <c r="A233" s="316"/>
      <c r="B233" s="90"/>
      <c r="C233" s="90"/>
      <c r="D233" s="90" t="s">
        <v>772</v>
      </c>
      <c r="E233" s="90"/>
      <c r="F233" s="90"/>
      <c r="G233" s="254"/>
      <c r="H233" s="254"/>
      <c r="I233" s="254"/>
      <c r="J233" s="99" t="str">
        <f>'RS1'!J234</f>
        <v/>
      </c>
      <c r="K233" s="99">
        <f t="shared" si="154"/>
        <v>0</v>
      </c>
      <c r="L233" s="99" t="str">
        <f>'RS1'!L234</f>
        <v/>
      </c>
      <c r="M233" s="99">
        <f t="shared" ref="M233:AV233" si="156">L233*(1+M$194)</f>
        <v>0</v>
      </c>
      <c r="N233" s="99">
        <f t="shared" si="156"/>
        <v>0</v>
      </c>
      <c r="O233" s="99">
        <f t="shared" si="156"/>
        <v>0</v>
      </c>
      <c r="P233" s="99">
        <f t="shared" si="156"/>
        <v>0</v>
      </c>
      <c r="Q233" s="99">
        <f t="shared" si="156"/>
        <v>0</v>
      </c>
      <c r="R233" s="99">
        <f t="shared" si="156"/>
        <v>0</v>
      </c>
      <c r="S233" s="99">
        <f t="shared" si="156"/>
        <v>0</v>
      </c>
      <c r="T233" s="99">
        <f t="shared" si="156"/>
        <v>0</v>
      </c>
      <c r="U233" s="99">
        <f t="shared" si="156"/>
        <v>0</v>
      </c>
      <c r="V233" s="99">
        <f t="shared" si="156"/>
        <v>0</v>
      </c>
      <c r="W233" s="99">
        <f t="shared" si="156"/>
        <v>0</v>
      </c>
      <c r="X233" s="99">
        <f t="shared" si="156"/>
        <v>0</v>
      </c>
      <c r="Y233" s="99">
        <f t="shared" si="156"/>
        <v>0</v>
      </c>
      <c r="Z233" s="99">
        <f t="shared" si="156"/>
        <v>0</v>
      </c>
      <c r="AA233" s="99">
        <f t="shared" si="156"/>
        <v>0</v>
      </c>
      <c r="AB233" s="99">
        <f t="shared" si="156"/>
        <v>0</v>
      </c>
      <c r="AC233" s="99">
        <f t="shared" si="156"/>
        <v>0</v>
      </c>
      <c r="AD233" s="99">
        <f t="shared" si="156"/>
        <v>0</v>
      </c>
      <c r="AE233" s="99">
        <f t="shared" si="156"/>
        <v>0</v>
      </c>
      <c r="AF233" s="99">
        <f t="shared" si="156"/>
        <v>0</v>
      </c>
      <c r="AG233" s="99">
        <f t="shared" si="156"/>
        <v>0</v>
      </c>
      <c r="AH233" s="99">
        <f t="shared" si="156"/>
        <v>0</v>
      </c>
      <c r="AI233" s="99">
        <f t="shared" si="156"/>
        <v>0</v>
      </c>
      <c r="AJ233" s="99">
        <f t="shared" si="156"/>
        <v>0</v>
      </c>
      <c r="AK233" s="99">
        <f t="shared" si="156"/>
        <v>0</v>
      </c>
      <c r="AL233" s="99">
        <f t="shared" si="156"/>
        <v>0</v>
      </c>
      <c r="AM233" s="99">
        <f t="shared" si="156"/>
        <v>0</v>
      </c>
      <c r="AN233" s="99">
        <f t="shared" si="156"/>
        <v>0</v>
      </c>
      <c r="AO233" s="99">
        <f t="shared" si="156"/>
        <v>0</v>
      </c>
      <c r="AP233" s="99">
        <f t="shared" si="156"/>
        <v>0</v>
      </c>
      <c r="AQ233" s="99">
        <f t="shared" si="156"/>
        <v>0</v>
      </c>
      <c r="AR233" s="99">
        <f t="shared" si="156"/>
        <v>0</v>
      </c>
      <c r="AS233" s="99">
        <f t="shared" si="156"/>
        <v>0</v>
      </c>
      <c r="AT233" s="99">
        <f t="shared" si="156"/>
        <v>0</v>
      </c>
      <c r="AU233" s="99">
        <f t="shared" si="156"/>
        <v>0</v>
      </c>
      <c r="AV233" s="99">
        <f t="shared" si="156"/>
        <v>0</v>
      </c>
      <c r="AW233" s="67"/>
      <c r="AX233" s="90"/>
      <c r="AY233" s="90"/>
      <c r="AZ233" s="90"/>
      <c r="BA233" s="90"/>
      <c r="BB233" s="90"/>
      <c r="BC233" s="90"/>
      <c r="BD233" s="90"/>
      <c r="BE233" s="90"/>
      <c r="BF233" s="90"/>
      <c r="BG233" s="90"/>
    </row>
    <row r="234" ht="12.75" hidden="1" customHeight="1" outlineLevel="1">
      <c r="A234" s="316"/>
      <c r="B234" s="90"/>
      <c r="C234" s="90"/>
      <c r="D234" s="90" t="s">
        <v>773</v>
      </c>
      <c r="E234" s="90"/>
      <c r="F234" s="90"/>
      <c r="G234" s="254"/>
      <c r="H234" s="254"/>
      <c r="I234" s="254"/>
      <c r="J234" s="99" t="str">
        <f>'RS1'!J235</f>
        <v/>
      </c>
      <c r="K234" s="99">
        <f t="shared" si="154"/>
        <v>0</v>
      </c>
      <c r="L234" s="99">
        <f>'RS1'!L235</f>
        <v>5</v>
      </c>
      <c r="M234" s="99">
        <f t="shared" ref="M234:AV234" si="157">L234*(1+M$194)</f>
        <v>5.1</v>
      </c>
      <c r="N234" s="99">
        <f t="shared" si="157"/>
        <v>5.202</v>
      </c>
      <c r="O234" s="99">
        <f t="shared" si="157"/>
        <v>5.30604</v>
      </c>
      <c r="P234" s="99">
        <f t="shared" si="157"/>
        <v>5.4121608</v>
      </c>
      <c r="Q234" s="99">
        <f t="shared" si="157"/>
        <v>5.520404016</v>
      </c>
      <c r="R234" s="99">
        <f t="shared" si="157"/>
        <v>5.630812096</v>
      </c>
      <c r="S234" s="99">
        <f t="shared" si="157"/>
        <v>5.743428338</v>
      </c>
      <c r="T234" s="99">
        <f t="shared" si="157"/>
        <v>5.858296905</v>
      </c>
      <c r="U234" s="99">
        <f t="shared" si="157"/>
        <v>5.975462843</v>
      </c>
      <c r="V234" s="99">
        <f t="shared" si="157"/>
        <v>6.0949721</v>
      </c>
      <c r="W234" s="99">
        <f t="shared" si="157"/>
        <v>6.216871542</v>
      </c>
      <c r="X234" s="99">
        <f t="shared" si="157"/>
        <v>6.341208973</v>
      </c>
      <c r="Y234" s="99">
        <f t="shared" si="157"/>
        <v>6.468033152</v>
      </c>
      <c r="Z234" s="99">
        <f t="shared" si="157"/>
        <v>6.597393815</v>
      </c>
      <c r="AA234" s="99">
        <f t="shared" si="157"/>
        <v>6.729341692</v>
      </c>
      <c r="AB234" s="99">
        <f t="shared" si="157"/>
        <v>6.863928525</v>
      </c>
      <c r="AC234" s="99">
        <f t="shared" si="157"/>
        <v>7.001207096</v>
      </c>
      <c r="AD234" s="99">
        <f t="shared" si="157"/>
        <v>7.141231238</v>
      </c>
      <c r="AE234" s="99">
        <f t="shared" si="157"/>
        <v>7.284055863</v>
      </c>
      <c r="AF234" s="99">
        <f t="shared" si="157"/>
        <v>7.42973698</v>
      </c>
      <c r="AG234" s="99">
        <f t="shared" si="157"/>
        <v>7.578331719</v>
      </c>
      <c r="AH234" s="99">
        <f t="shared" si="157"/>
        <v>7.729898354</v>
      </c>
      <c r="AI234" s="99">
        <f t="shared" si="157"/>
        <v>7.884496321</v>
      </c>
      <c r="AJ234" s="99">
        <f t="shared" si="157"/>
        <v>8.042186247</v>
      </c>
      <c r="AK234" s="99">
        <f t="shared" si="157"/>
        <v>8.203029972</v>
      </c>
      <c r="AL234" s="99">
        <f t="shared" si="157"/>
        <v>8.367090572</v>
      </c>
      <c r="AM234" s="99">
        <f t="shared" si="157"/>
        <v>8.534432383</v>
      </c>
      <c r="AN234" s="99">
        <f t="shared" si="157"/>
        <v>8.705121031</v>
      </c>
      <c r="AO234" s="99">
        <f t="shared" si="157"/>
        <v>8.879223451</v>
      </c>
      <c r="AP234" s="99">
        <f t="shared" si="157"/>
        <v>9.056807921</v>
      </c>
      <c r="AQ234" s="99">
        <f t="shared" si="157"/>
        <v>9.237944079</v>
      </c>
      <c r="AR234" s="99">
        <f t="shared" si="157"/>
        <v>9.422702961</v>
      </c>
      <c r="AS234" s="99">
        <f t="shared" si="157"/>
        <v>9.61115702</v>
      </c>
      <c r="AT234" s="99">
        <f t="shared" si="157"/>
        <v>9.80338016</v>
      </c>
      <c r="AU234" s="99">
        <f t="shared" si="157"/>
        <v>9.999447763</v>
      </c>
      <c r="AV234" s="99">
        <f t="shared" si="157"/>
        <v>10.19943672</v>
      </c>
      <c r="AW234" s="67"/>
      <c r="AX234" s="90"/>
      <c r="AY234" s="90"/>
      <c r="AZ234" s="90"/>
      <c r="BA234" s="90"/>
      <c r="BB234" s="90"/>
      <c r="BC234" s="90"/>
      <c r="BD234" s="90"/>
      <c r="BE234" s="90"/>
      <c r="BF234" s="90"/>
      <c r="BG234" s="90"/>
    </row>
    <row r="235" ht="12.75" hidden="1" customHeight="1" outlineLevel="1">
      <c r="A235" s="316"/>
      <c r="B235" s="90"/>
      <c r="C235" s="90"/>
      <c r="D235" s="90" t="s">
        <v>774</v>
      </c>
      <c r="E235" s="90"/>
      <c r="F235" s="90"/>
      <c r="G235" s="254"/>
      <c r="H235" s="254"/>
      <c r="I235" s="254"/>
      <c r="J235" s="99" t="str">
        <f>'RS1'!J236</f>
        <v/>
      </c>
      <c r="K235" s="99">
        <f t="shared" si="154"/>
        <v>0</v>
      </c>
      <c r="L235" s="99" t="str">
        <f>'RS1'!L236</f>
        <v/>
      </c>
      <c r="M235" s="99">
        <f t="shared" ref="M235:AV235" si="158">L235*(1+M$194)</f>
        <v>0</v>
      </c>
      <c r="N235" s="99">
        <f t="shared" si="158"/>
        <v>0</v>
      </c>
      <c r="O235" s="99">
        <f t="shared" si="158"/>
        <v>0</v>
      </c>
      <c r="P235" s="99">
        <f t="shared" si="158"/>
        <v>0</v>
      </c>
      <c r="Q235" s="99">
        <f t="shared" si="158"/>
        <v>0</v>
      </c>
      <c r="R235" s="99">
        <f t="shared" si="158"/>
        <v>0</v>
      </c>
      <c r="S235" s="99">
        <f t="shared" si="158"/>
        <v>0</v>
      </c>
      <c r="T235" s="99">
        <f t="shared" si="158"/>
        <v>0</v>
      </c>
      <c r="U235" s="99">
        <f t="shared" si="158"/>
        <v>0</v>
      </c>
      <c r="V235" s="99">
        <f t="shared" si="158"/>
        <v>0</v>
      </c>
      <c r="W235" s="99">
        <f t="shared" si="158"/>
        <v>0</v>
      </c>
      <c r="X235" s="99">
        <f t="shared" si="158"/>
        <v>0</v>
      </c>
      <c r="Y235" s="99">
        <f t="shared" si="158"/>
        <v>0</v>
      </c>
      <c r="Z235" s="99">
        <f t="shared" si="158"/>
        <v>0</v>
      </c>
      <c r="AA235" s="99">
        <f t="shared" si="158"/>
        <v>0</v>
      </c>
      <c r="AB235" s="99">
        <f t="shared" si="158"/>
        <v>0</v>
      </c>
      <c r="AC235" s="99">
        <f t="shared" si="158"/>
        <v>0</v>
      </c>
      <c r="AD235" s="99">
        <f t="shared" si="158"/>
        <v>0</v>
      </c>
      <c r="AE235" s="99">
        <f t="shared" si="158"/>
        <v>0</v>
      </c>
      <c r="AF235" s="99">
        <f t="shared" si="158"/>
        <v>0</v>
      </c>
      <c r="AG235" s="99">
        <f t="shared" si="158"/>
        <v>0</v>
      </c>
      <c r="AH235" s="99">
        <f t="shared" si="158"/>
        <v>0</v>
      </c>
      <c r="AI235" s="99">
        <f t="shared" si="158"/>
        <v>0</v>
      </c>
      <c r="AJ235" s="99">
        <f t="shared" si="158"/>
        <v>0</v>
      </c>
      <c r="AK235" s="99">
        <f t="shared" si="158"/>
        <v>0</v>
      </c>
      <c r="AL235" s="99">
        <f t="shared" si="158"/>
        <v>0</v>
      </c>
      <c r="AM235" s="99">
        <f t="shared" si="158"/>
        <v>0</v>
      </c>
      <c r="AN235" s="99">
        <f t="shared" si="158"/>
        <v>0</v>
      </c>
      <c r="AO235" s="99">
        <f t="shared" si="158"/>
        <v>0</v>
      </c>
      <c r="AP235" s="99">
        <f t="shared" si="158"/>
        <v>0</v>
      </c>
      <c r="AQ235" s="99">
        <f t="shared" si="158"/>
        <v>0</v>
      </c>
      <c r="AR235" s="99">
        <f t="shared" si="158"/>
        <v>0</v>
      </c>
      <c r="AS235" s="99">
        <f t="shared" si="158"/>
        <v>0</v>
      </c>
      <c r="AT235" s="99">
        <f t="shared" si="158"/>
        <v>0</v>
      </c>
      <c r="AU235" s="99">
        <f t="shared" si="158"/>
        <v>0</v>
      </c>
      <c r="AV235" s="99">
        <f t="shared" si="158"/>
        <v>0</v>
      </c>
      <c r="AW235" s="67"/>
      <c r="AX235" s="90"/>
      <c r="AY235" s="90"/>
      <c r="AZ235" s="90"/>
      <c r="BA235" s="90"/>
      <c r="BB235" s="90"/>
      <c r="BC235" s="90"/>
      <c r="BD235" s="90"/>
      <c r="BE235" s="90"/>
      <c r="BF235" s="90"/>
      <c r="BG235" s="90"/>
    </row>
    <row r="236" ht="12.75" hidden="1" customHeight="1" outlineLevel="1">
      <c r="A236" s="316"/>
      <c r="B236" s="90"/>
      <c r="C236" s="90"/>
      <c r="D236" s="90"/>
      <c r="E236" s="90"/>
      <c r="F236" s="90"/>
      <c r="G236" s="90"/>
      <c r="H236" s="99"/>
      <c r="I236" s="99"/>
      <c r="J236" s="99"/>
      <c r="K236" s="99"/>
      <c r="L236" s="99"/>
      <c r="M236" s="99"/>
      <c r="N236" s="99"/>
      <c r="O236" s="99"/>
      <c r="P236" s="99"/>
      <c r="Q236" s="99"/>
      <c r="R236" s="99"/>
      <c r="S236" s="99"/>
      <c r="T236" s="99"/>
      <c r="U236" s="99"/>
      <c r="V236" s="99"/>
      <c r="W236" s="99"/>
      <c r="X236" s="99"/>
      <c r="Y236" s="99"/>
      <c r="Z236" s="99"/>
      <c r="AA236" s="99"/>
      <c r="AB236" s="99"/>
      <c r="AC236" s="99"/>
      <c r="AD236" s="99"/>
      <c r="AE236" s="99"/>
      <c r="AF236" s="99"/>
      <c r="AG236" s="99"/>
      <c r="AH236" s="99"/>
      <c r="AI236" s="99"/>
      <c r="AJ236" s="99"/>
      <c r="AK236" s="99"/>
      <c r="AL236" s="99"/>
      <c r="AM236" s="99"/>
      <c r="AN236" s="99"/>
      <c r="AO236" s="99"/>
      <c r="AP236" s="99"/>
      <c r="AQ236" s="99"/>
      <c r="AR236" s="99"/>
      <c r="AS236" s="99"/>
      <c r="AT236" s="99"/>
      <c r="AU236" s="99"/>
      <c r="AV236" s="99"/>
      <c r="AW236" s="90"/>
      <c r="AX236" s="90"/>
      <c r="AY236" s="90"/>
      <c r="AZ236" s="90"/>
      <c r="BA236" s="90"/>
      <c r="BB236" s="90"/>
      <c r="BC236" s="90"/>
      <c r="BD236" s="90"/>
      <c r="BE236" s="90"/>
      <c r="BF236" s="90"/>
      <c r="BG236" s="90"/>
    </row>
    <row r="237" ht="12.75" hidden="1" customHeight="1" outlineLevel="1">
      <c r="A237" s="316"/>
      <c r="B237" s="67" t="s">
        <v>775</v>
      </c>
      <c r="C237" s="90"/>
      <c r="D237" s="90"/>
      <c r="E237" s="90"/>
      <c r="F237" s="90"/>
      <c r="G237" s="254"/>
      <c r="H237" s="254"/>
      <c r="I237" s="254"/>
      <c r="J237" s="254">
        <v>0.0</v>
      </c>
      <c r="K237" s="254">
        <v>0.0</v>
      </c>
      <c r="L237" s="99">
        <f>'RS1'!L238</f>
        <v>0</v>
      </c>
      <c r="M237" s="254">
        <v>0.0</v>
      </c>
      <c r="N237" s="254">
        <v>0.0</v>
      </c>
      <c r="O237" s="254">
        <v>0.0</v>
      </c>
      <c r="P237" s="254">
        <v>0.0</v>
      </c>
      <c r="Q237" s="254">
        <v>0.0</v>
      </c>
      <c r="R237" s="254">
        <v>0.0</v>
      </c>
      <c r="S237" s="254">
        <v>0.0</v>
      </c>
      <c r="T237" s="254">
        <v>0.0</v>
      </c>
      <c r="U237" s="254">
        <v>0.0</v>
      </c>
      <c r="V237" s="254">
        <v>0.0</v>
      </c>
      <c r="W237" s="254">
        <v>0.0</v>
      </c>
      <c r="X237" s="254">
        <v>0.0</v>
      </c>
      <c r="Y237" s="254">
        <v>0.0</v>
      </c>
      <c r="Z237" s="254">
        <v>0.0</v>
      </c>
      <c r="AA237" s="254">
        <v>0.0</v>
      </c>
      <c r="AB237" s="254">
        <v>0.0</v>
      </c>
      <c r="AC237" s="254">
        <v>0.0</v>
      </c>
      <c r="AD237" s="254">
        <v>0.0</v>
      </c>
      <c r="AE237" s="254">
        <v>0.0</v>
      </c>
      <c r="AF237" s="254">
        <v>0.0</v>
      </c>
      <c r="AG237" s="254">
        <v>0.0</v>
      </c>
      <c r="AH237" s="254">
        <v>0.0</v>
      </c>
      <c r="AI237" s="254">
        <v>0.0</v>
      </c>
      <c r="AJ237" s="254">
        <v>0.0</v>
      </c>
      <c r="AK237" s="254">
        <v>0.0</v>
      </c>
      <c r="AL237" s="254">
        <v>0.0</v>
      </c>
      <c r="AM237" s="254">
        <v>0.0</v>
      </c>
      <c r="AN237" s="254">
        <v>0.0</v>
      </c>
      <c r="AO237" s="254">
        <v>0.0</v>
      </c>
      <c r="AP237" s="254">
        <v>0.0</v>
      </c>
      <c r="AQ237" s="254">
        <v>0.0</v>
      </c>
      <c r="AR237" s="254">
        <v>0.0</v>
      </c>
      <c r="AS237" s="254">
        <v>0.0</v>
      </c>
      <c r="AT237" s="254">
        <v>0.0</v>
      </c>
      <c r="AU237" s="254">
        <v>0.0</v>
      </c>
      <c r="AV237" s="254">
        <v>0.0</v>
      </c>
      <c r="AW237" s="90"/>
      <c r="AX237" s="90"/>
      <c r="AY237" s="90"/>
      <c r="AZ237" s="90"/>
      <c r="BA237" s="90"/>
      <c r="BB237" s="90"/>
      <c r="BC237" s="90"/>
      <c r="BD237" s="90"/>
      <c r="BE237" s="90"/>
      <c r="BF237" s="90"/>
      <c r="BG237" s="90"/>
    </row>
    <row r="238" ht="12.75" hidden="1" customHeight="1" outlineLevel="1">
      <c r="A238" s="316"/>
      <c r="B238" s="90"/>
      <c r="C238" s="90"/>
      <c r="D238" s="90"/>
      <c r="E238" s="90"/>
      <c r="F238" s="90"/>
      <c r="G238" s="90"/>
      <c r="H238" s="99"/>
      <c r="I238" s="99"/>
      <c r="J238" s="99"/>
      <c r="K238" s="99"/>
      <c r="L238" s="99"/>
      <c r="M238" s="99"/>
      <c r="N238" s="99"/>
      <c r="O238" s="99"/>
      <c r="P238" s="99"/>
      <c r="Q238" s="99"/>
      <c r="R238" s="99"/>
      <c r="S238" s="99"/>
      <c r="T238" s="99"/>
      <c r="U238" s="99"/>
      <c r="V238" s="99"/>
      <c r="W238" s="99"/>
      <c r="X238" s="99"/>
      <c r="Y238" s="99"/>
      <c r="Z238" s="99"/>
      <c r="AA238" s="99"/>
      <c r="AB238" s="99"/>
      <c r="AC238" s="99"/>
      <c r="AD238" s="99"/>
      <c r="AE238" s="99"/>
      <c r="AF238" s="99"/>
      <c r="AG238" s="99"/>
      <c r="AH238" s="99"/>
      <c r="AI238" s="99"/>
      <c r="AJ238" s="99"/>
      <c r="AK238" s="99"/>
      <c r="AL238" s="99"/>
      <c r="AM238" s="99"/>
      <c r="AN238" s="99"/>
      <c r="AO238" s="99"/>
      <c r="AP238" s="99"/>
      <c r="AQ238" s="99"/>
      <c r="AR238" s="99"/>
      <c r="AS238" s="99"/>
      <c r="AT238" s="99"/>
      <c r="AU238" s="99"/>
      <c r="AV238" s="99"/>
      <c r="AW238" s="90"/>
      <c r="AX238" s="90"/>
      <c r="AY238" s="90"/>
      <c r="AZ238" s="90"/>
      <c r="BA238" s="90"/>
      <c r="BB238" s="90"/>
      <c r="BC238" s="90"/>
      <c r="BD238" s="90"/>
      <c r="BE238" s="90"/>
      <c r="BF238" s="90"/>
      <c r="BG238" s="90"/>
    </row>
    <row r="239" ht="12.75" hidden="1" customHeight="1" outlineLevel="1">
      <c r="A239" s="316"/>
      <c r="B239" s="67" t="s">
        <v>555</v>
      </c>
      <c r="C239" s="90"/>
      <c r="D239" s="90"/>
      <c r="E239" s="90"/>
      <c r="F239" s="90"/>
      <c r="G239" s="90"/>
      <c r="H239" s="90"/>
      <c r="I239" s="90"/>
      <c r="J239" s="90"/>
      <c r="K239" s="90"/>
      <c r="L239" s="90"/>
      <c r="M239" s="90"/>
      <c r="N239" s="90"/>
      <c r="O239" s="90"/>
      <c r="P239" s="90"/>
      <c r="Q239" s="90"/>
      <c r="R239" s="90"/>
      <c r="S239" s="90"/>
      <c r="T239" s="90"/>
      <c r="U239" s="90"/>
      <c r="V239" s="90"/>
      <c r="W239" s="90"/>
      <c r="X239" s="90"/>
      <c r="Y239" s="90"/>
      <c r="Z239" s="90"/>
      <c r="AA239" s="90"/>
      <c r="AB239" s="90"/>
      <c r="AC239" s="90"/>
      <c r="AD239" s="90"/>
      <c r="AE239" s="90"/>
      <c r="AF239" s="90"/>
      <c r="AG239" s="90"/>
      <c r="AH239" s="90"/>
      <c r="AI239" s="90"/>
      <c r="AJ239" s="90"/>
      <c r="AK239" s="90"/>
      <c r="AL239" s="90"/>
      <c r="AM239" s="90"/>
      <c r="AN239" s="90"/>
      <c r="AO239" s="90"/>
      <c r="AP239" s="90"/>
      <c r="AQ239" s="90"/>
      <c r="AR239" s="90"/>
      <c r="AS239" s="90"/>
      <c r="AT239" s="90"/>
      <c r="AU239" s="90"/>
      <c r="AV239" s="90"/>
      <c r="AW239" s="90"/>
      <c r="AX239" s="90"/>
      <c r="AY239" s="90"/>
      <c r="AZ239" s="90"/>
      <c r="BA239" s="90"/>
      <c r="BB239" s="90"/>
      <c r="BC239" s="90"/>
      <c r="BD239" s="90"/>
      <c r="BE239" s="90"/>
      <c r="BF239" s="90"/>
      <c r="BG239" s="90"/>
    </row>
    <row r="240" ht="12.75" hidden="1" customHeight="1" outlineLevel="1">
      <c r="A240" s="316"/>
      <c r="B240" s="67"/>
      <c r="C240" s="90" t="s">
        <v>776</v>
      </c>
      <c r="D240" s="90"/>
      <c r="E240" s="90"/>
      <c r="F240" s="90"/>
      <c r="G240" s="90"/>
      <c r="H240" s="90"/>
      <c r="I240" s="90"/>
      <c r="J240" s="90"/>
      <c r="K240" s="90"/>
      <c r="L240" s="90"/>
      <c r="M240" s="90"/>
      <c r="N240" s="90"/>
      <c r="O240" s="90"/>
      <c r="P240" s="90"/>
      <c r="Q240" s="90"/>
      <c r="R240" s="90"/>
      <c r="S240" s="90"/>
      <c r="T240" s="90"/>
      <c r="U240" s="90"/>
      <c r="V240" s="90"/>
      <c r="W240" s="90"/>
      <c r="X240" s="90"/>
      <c r="Y240" s="90"/>
      <c r="Z240" s="90"/>
      <c r="AA240" s="90"/>
      <c r="AB240" s="90"/>
      <c r="AC240" s="90"/>
      <c r="AD240" s="90"/>
      <c r="AE240" s="90"/>
      <c r="AF240" s="90"/>
      <c r="AG240" s="90"/>
      <c r="AH240" s="90"/>
      <c r="AI240" s="90"/>
      <c r="AJ240" s="90"/>
      <c r="AK240" s="90"/>
      <c r="AL240" s="90"/>
      <c r="AM240" s="90"/>
      <c r="AN240" s="90"/>
      <c r="AO240" s="90"/>
      <c r="AP240" s="90"/>
      <c r="AQ240" s="90"/>
      <c r="AR240" s="90"/>
      <c r="AS240" s="90"/>
      <c r="AT240" s="90"/>
      <c r="AU240" s="90"/>
      <c r="AV240" s="90"/>
      <c r="AW240" s="90"/>
      <c r="AX240" s="90"/>
      <c r="AY240" s="90"/>
      <c r="AZ240" s="90"/>
      <c r="BA240" s="90"/>
      <c r="BB240" s="90"/>
      <c r="BC240" s="90"/>
      <c r="BD240" s="90"/>
      <c r="BE240" s="90"/>
      <c r="BF240" s="90"/>
      <c r="BG240" s="90"/>
    </row>
    <row r="241" ht="12.75" hidden="1" customHeight="1" outlineLevel="1">
      <c r="A241" s="316"/>
      <c r="B241" s="90"/>
      <c r="C241" s="90"/>
      <c r="D241" s="90" t="s">
        <v>182</v>
      </c>
      <c r="E241" s="90"/>
      <c r="F241" s="90"/>
      <c r="G241" s="157"/>
      <c r="H241" s="152"/>
      <c r="I241" s="157"/>
      <c r="J241" s="302">
        <v>0.12</v>
      </c>
      <c r="K241" s="302">
        <f>Assumptions!F63</f>
        <v>0.12</v>
      </c>
      <c r="L241" s="302">
        <f>Assumptions!G63</f>
        <v>0.12</v>
      </c>
      <c r="M241" s="302">
        <f>Assumptions!H63</f>
        <v>0.12</v>
      </c>
      <c r="N241" s="302">
        <f>Assumptions!I63</f>
        <v>0.12</v>
      </c>
      <c r="O241" s="302">
        <f>Assumptions!$J63</f>
        <v>0.12</v>
      </c>
      <c r="P241" s="302">
        <f>Assumptions!$J63</f>
        <v>0.12</v>
      </c>
      <c r="Q241" s="302">
        <f>Assumptions!$J63</f>
        <v>0.12</v>
      </c>
      <c r="R241" s="302">
        <f>Assumptions!$J63</f>
        <v>0.12</v>
      </c>
      <c r="S241" s="302">
        <f>Assumptions!$J63</f>
        <v>0.12</v>
      </c>
      <c r="T241" s="302">
        <f>Assumptions!$J63</f>
        <v>0.12</v>
      </c>
      <c r="U241" s="302">
        <f>Assumptions!$J63</f>
        <v>0.12</v>
      </c>
      <c r="V241" s="302">
        <f>Assumptions!$J63</f>
        <v>0.12</v>
      </c>
      <c r="W241" s="302">
        <f>Assumptions!$J63</f>
        <v>0.12</v>
      </c>
      <c r="X241" s="302">
        <f>Assumptions!$J63</f>
        <v>0.12</v>
      </c>
      <c r="Y241" s="302">
        <f>Assumptions!$J63</f>
        <v>0.12</v>
      </c>
      <c r="Z241" s="302">
        <f>Assumptions!$J63</f>
        <v>0.12</v>
      </c>
      <c r="AA241" s="302">
        <f>Assumptions!$J63</f>
        <v>0.12</v>
      </c>
      <c r="AB241" s="302">
        <f>Assumptions!$J63</f>
        <v>0.12</v>
      </c>
      <c r="AC241" s="302">
        <f>Assumptions!$J63</f>
        <v>0.12</v>
      </c>
      <c r="AD241" s="302">
        <f>Assumptions!$J63</f>
        <v>0.12</v>
      </c>
      <c r="AE241" s="302">
        <f>Assumptions!$J63</f>
        <v>0.12</v>
      </c>
      <c r="AF241" s="302">
        <f>Assumptions!$J63</f>
        <v>0.12</v>
      </c>
      <c r="AG241" s="302">
        <f>Assumptions!$J63</f>
        <v>0.12</v>
      </c>
      <c r="AH241" s="302">
        <f>Assumptions!$J63</f>
        <v>0.12</v>
      </c>
      <c r="AI241" s="302">
        <f>Assumptions!$J63</f>
        <v>0.12</v>
      </c>
      <c r="AJ241" s="302">
        <f>Assumptions!$J63</f>
        <v>0.12</v>
      </c>
      <c r="AK241" s="302">
        <f>Assumptions!$J63</f>
        <v>0.12</v>
      </c>
      <c r="AL241" s="302">
        <f>Assumptions!$J63</f>
        <v>0.12</v>
      </c>
      <c r="AM241" s="302">
        <f>Assumptions!$J63</f>
        <v>0.12</v>
      </c>
      <c r="AN241" s="302">
        <f>Assumptions!$J63</f>
        <v>0.12</v>
      </c>
      <c r="AO241" s="302">
        <f>Assumptions!$J63</f>
        <v>0.12</v>
      </c>
      <c r="AP241" s="302">
        <f>Assumptions!$J63</f>
        <v>0.12</v>
      </c>
      <c r="AQ241" s="302">
        <f>Assumptions!$J63</f>
        <v>0.12</v>
      </c>
      <c r="AR241" s="302">
        <f>Assumptions!$J63</f>
        <v>0.12</v>
      </c>
      <c r="AS241" s="302">
        <f>Assumptions!$J63</f>
        <v>0.12</v>
      </c>
      <c r="AT241" s="302">
        <f>Assumptions!$J63</f>
        <v>0.12</v>
      </c>
      <c r="AU241" s="302">
        <f>Assumptions!$J63</f>
        <v>0.12</v>
      </c>
      <c r="AV241" s="302">
        <f>Assumptions!$J63</f>
        <v>0.12</v>
      </c>
      <c r="AW241" s="90" t="s">
        <v>1205</v>
      </c>
      <c r="AX241" s="90"/>
      <c r="AY241" s="90"/>
      <c r="AZ241" s="90"/>
      <c r="BA241" s="90"/>
      <c r="BB241" s="90"/>
      <c r="BC241" s="90"/>
      <c r="BD241" s="90"/>
      <c r="BE241" s="90"/>
      <c r="BF241" s="90"/>
      <c r="BG241" s="90"/>
    </row>
    <row r="242" ht="12.75" hidden="1" customHeight="1" outlineLevel="1">
      <c r="A242" s="316"/>
      <c r="B242" s="90"/>
      <c r="C242" s="90"/>
      <c r="D242" s="90" t="s">
        <v>183</v>
      </c>
      <c r="E242" s="90"/>
      <c r="F242" s="90"/>
      <c r="G242" s="157"/>
      <c r="H242" s="152"/>
      <c r="I242" s="157"/>
      <c r="J242" s="302">
        <v>0.41</v>
      </c>
      <c r="K242" s="302">
        <f>Assumptions!F64</f>
        <v>0.2</v>
      </c>
      <c r="L242" s="302">
        <f>Assumptions!G64</f>
        <v>0.2</v>
      </c>
      <c r="M242" s="302">
        <f>Assumptions!H64</f>
        <v>0.2</v>
      </c>
      <c r="N242" s="302">
        <f>Assumptions!I64</f>
        <v>0.2</v>
      </c>
      <c r="O242" s="302">
        <f>Assumptions!$J64</f>
        <v>0.2</v>
      </c>
      <c r="P242" s="302">
        <f>Assumptions!$J64</f>
        <v>0.2</v>
      </c>
      <c r="Q242" s="302">
        <f>Assumptions!$J64</f>
        <v>0.2</v>
      </c>
      <c r="R242" s="302">
        <f>Assumptions!$J64</f>
        <v>0.2</v>
      </c>
      <c r="S242" s="302">
        <f>Assumptions!$J64</f>
        <v>0.2</v>
      </c>
      <c r="T242" s="302">
        <f>Assumptions!$J64</f>
        <v>0.2</v>
      </c>
      <c r="U242" s="302">
        <f>Assumptions!$J64</f>
        <v>0.2</v>
      </c>
      <c r="V242" s="302">
        <f>Assumptions!$J64</f>
        <v>0.2</v>
      </c>
      <c r="W242" s="302">
        <f>Assumptions!$J64</f>
        <v>0.2</v>
      </c>
      <c r="X242" s="302">
        <f>Assumptions!$J64</f>
        <v>0.2</v>
      </c>
      <c r="Y242" s="302">
        <f>Assumptions!$J64</f>
        <v>0.2</v>
      </c>
      <c r="Z242" s="302">
        <f>Assumptions!$J64</f>
        <v>0.2</v>
      </c>
      <c r="AA242" s="302">
        <f>Assumptions!$J64</f>
        <v>0.2</v>
      </c>
      <c r="AB242" s="302">
        <f>Assumptions!$J64</f>
        <v>0.2</v>
      </c>
      <c r="AC242" s="302">
        <f>Assumptions!$J64</f>
        <v>0.2</v>
      </c>
      <c r="AD242" s="302">
        <f>Assumptions!$J64</f>
        <v>0.2</v>
      </c>
      <c r="AE242" s="302">
        <f>Assumptions!$J64</f>
        <v>0.2</v>
      </c>
      <c r="AF242" s="302">
        <f>Assumptions!$J64</f>
        <v>0.2</v>
      </c>
      <c r="AG242" s="302">
        <f>Assumptions!$J64</f>
        <v>0.2</v>
      </c>
      <c r="AH242" s="302">
        <f>Assumptions!$J64</f>
        <v>0.2</v>
      </c>
      <c r="AI242" s="302">
        <f>Assumptions!$J64</f>
        <v>0.2</v>
      </c>
      <c r="AJ242" s="302">
        <f>Assumptions!$J64</f>
        <v>0.2</v>
      </c>
      <c r="AK242" s="302">
        <f>Assumptions!$J64</f>
        <v>0.2</v>
      </c>
      <c r="AL242" s="302">
        <f>Assumptions!$J64</f>
        <v>0.2</v>
      </c>
      <c r="AM242" s="302">
        <f>Assumptions!$J64</f>
        <v>0.2</v>
      </c>
      <c r="AN242" s="302">
        <f>Assumptions!$J64</f>
        <v>0.2</v>
      </c>
      <c r="AO242" s="302">
        <f>Assumptions!$J64</f>
        <v>0.2</v>
      </c>
      <c r="AP242" s="302">
        <f>Assumptions!$J64</f>
        <v>0.2</v>
      </c>
      <c r="AQ242" s="302">
        <f>Assumptions!$J64</f>
        <v>0.2</v>
      </c>
      <c r="AR242" s="302">
        <f>Assumptions!$J64</f>
        <v>0.2</v>
      </c>
      <c r="AS242" s="302">
        <f>Assumptions!$J64</f>
        <v>0.2</v>
      </c>
      <c r="AT242" s="302">
        <f>Assumptions!$J64</f>
        <v>0.2</v>
      </c>
      <c r="AU242" s="302">
        <f>Assumptions!$J64</f>
        <v>0.2</v>
      </c>
      <c r="AV242" s="302">
        <f>Assumptions!$J64</f>
        <v>0.2</v>
      </c>
      <c r="AW242" s="90" t="s">
        <v>1205</v>
      </c>
      <c r="AX242" s="90"/>
      <c r="AY242" s="90"/>
      <c r="AZ242" s="90"/>
      <c r="BA242" s="90"/>
      <c r="BB242" s="90"/>
      <c r="BC242" s="90"/>
      <c r="BD242" s="90"/>
      <c r="BE242" s="90"/>
      <c r="BF242" s="90"/>
      <c r="BG242" s="90"/>
    </row>
    <row r="243" ht="12.75" hidden="1" customHeight="1" outlineLevel="1">
      <c r="A243" s="316"/>
      <c r="B243" s="90"/>
      <c r="C243" s="90"/>
      <c r="D243" s="90" t="s">
        <v>184</v>
      </c>
      <c r="E243" s="90"/>
      <c r="F243" s="90"/>
      <c r="G243" s="157"/>
      <c r="H243" s="152"/>
      <c r="I243" s="157"/>
      <c r="J243" s="302">
        <v>0.0</v>
      </c>
      <c r="K243" s="302">
        <f>Assumptions!F65</f>
        <v>0.03</v>
      </c>
      <c r="L243" s="302">
        <f>Assumptions!G65</f>
        <v>0.03</v>
      </c>
      <c r="M243" s="302">
        <f>Assumptions!H65</f>
        <v>0.03</v>
      </c>
      <c r="N243" s="302">
        <f>Assumptions!I65</f>
        <v>0.03</v>
      </c>
      <c r="O243" s="302">
        <f>Assumptions!$J65</f>
        <v>0.03</v>
      </c>
      <c r="P243" s="302">
        <f>Assumptions!$J65</f>
        <v>0.03</v>
      </c>
      <c r="Q243" s="302">
        <f>Assumptions!$J65</f>
        <v>0.03</v>
      </c>
      <c r="R243" s="302">
        <f>Assumptions!$J65</f>
        <v>0.03</v>
      </c>
      <c r="S243" s="302">
        <f>Assumptions!$J65</f>
        <v>0.03</v>
      </c>
      <c r="T243" s="302">
        <f>Assumptions!$J65</f>
        <v>0.03</v>
      </c>
      <c r="U243" s="302">
        <f>Assumptions!$J65</f>
        <v>0.03</v>
      </c>
      <c r="V243" s="302">
        <f>Assumptions!$J65</f>
        <v>0.03</v>
      </c>
      <c r="W243" s="302">
        <f>Assumptions!$J65</f>
        <v>0.03</v>
      </c>
      <c r="X243" s="302">
        <f>Assumptions!$J65</f>
        <v>0.03</v>
      </c>
      <c r="Y243" s="302">
        <f>Assumptions!$J65</f>
        <v>0.03</v>
      </c>
      <c r="Z243" s="302">
        <f>Assumptions!$J65</f>
        <v>0.03</v>
      </c>
      <c r="AA243" s="302">
        <f>Assumptions!$J65</f>
        <v>0.03</v>
      </c>
      <c r="AB243" s="302">
        <f>Assumptions!$J65</f>
        <v>0.03</v>
      </c>
      <c r="AC243" s="302">
        <f>Assumptions!$J65</f>
        <v>0.03</v>
      </c>
      <c r="AD243" s="302">
        <f>Assumptions!$J65</f>
        <v>0.03</v>
      </c>
      <c r="AE243" s="302">
        <f>Assumptions!$J65</f>
        <v>0.03</v>
      </c>
      <c r="AF243" s="302">
        <f>Assumptions!$J65</f>
        <v>0.03</v>
      </c>
      <c r="AG243" s="302">
        <f>Assumptions!$J65</f>
        <v>0.03</v>
      </c>
      <c r="AH243" s="302">
        <f>Assumptions!$J65</f>
        <v>0.03</v>
      </c>
      <c r="AI243" s="302">
        <f>Assumptions!$J65</f>
        <v>0.03</v>
      </c>
      <c r="AJ243" s="302">
        <f>Assumptions!$J65</f>
        <v>0.03</v>
      </c>
      <c r="AK243" s="302">
        <f>Assumptions!$J65</f>
        <v>0.03</v>
      </c>
      <c r="AL243" s="302">
        <f>Assumptions!$J65</f>
        <v>0.03</v>
      </c>
      <c r="AM243" s="302">
        <f>Assumptions!$J65</f>
        <v>0.03</v>
      </c>
      <c r="AN243" s="302">
        <f>Assumptions!$J65</f>
        <v>0.03</v>
      </c>
      <c r="AO243" s="302">
        <f>Assumptions!$J65</f>
        <v>0.03</v>
      </c>
      <c r="AP243" s="302">
        <f>Assumptions!$J65</f>
        <v>0.03</v>
      </c>
      <c r="AQ243" s="302">
        <f>Assumptions!$J65</f>
        <v>0.03</v>
      </c>
      <c r="AR243" s="302">
        <f>Assumptions!$J65</f>
        <v>0.03</v>
      </c>
      <c r="AS243" s="302">
        <f>Assumptions!$J65</f>
        <v>0.03</v>
      </c>
      <c r="AT243" s="302">
        <f>Assumptions!$J65</f>
        <v>0.03</v>
      </c>
      <c r="AU243" s="302">
        <f>Assumptions!$J65</f>
        <v>0.03</v>
      </c>
      <c r="AV243" s="302">
        <f>Assumptions!$J65</f>
        <v>0.03</v>
      </c>
      <c r="AW243" s="90" t="s">
        <v>1205</v>
      </c>
      <c r="AX243" s="90"/>
      <c r="AY243" s="90"/>
      <c r="AZ243" s="90"/>
      <c r="BA243" s="90"/>
      <c r="BB243" s="90"/>
      <c r="BC243" s="90"/>
      <c r="BD243" s="90"/>
      <c r="BE243" s="90"/>
      <c r="BF243" s="90"/>
      <c r="BG243" s="90"/>
    </row>
    <row r="244" ht="12.75" hidden="1" customHeight="1" outlineLevel="1">
      <c r="A244" s="316"/>
      <c r="B244" s="90"/>
      <c r="C244" s="148" t="s">
        <v>777</v>
      </c>
      <c r="D244" s="148"/>
      <c r="E244" s="148"/>
      <c r="F244" s="148"/>
      <c r="G244" s="541"/>
      <c r="H244" s="375"/>
      <c r="I244" s="375"/>
      <c r="J244" s="375">
        <f t="shared" ref="J244:AV244" si="159">SUM(J241:J243)</f>
        <v>0.53</v>
      </c>
      <c r="K244" s="375">
        <f t="shared" si="159"/>
        <v>0.35</v>
      </c>
      <c r="L244" s="375">
        <f t="shared" si="159"/>
        <v>0.35</v>
      </c>
      <c r="M244" s="375">
        <f t="shared" si="159"/>
        <v>0.35</v>
      </c>
      <c r="N244" s="375">
        <f t="shared" si="159"/>
        <v>0.35</v>
      </c>
      <c r="O244" s="375">
        <f t="shared" si="159"/>
        <v>0.35</v>
      </c>
      <c r="P244" s="375">
        <f t="shared" si="159"/>
        <v>0.35</v>
      </c>
      <c r="Q244" s="375">
        <f t="shared" si="159"/>
        <v>0.35</v>
      </c>
      <c r="R244" s="375">
        <f t="shared" si="159"/>
        <v>0.35</v>
      </c>
      <c r="S244" s="375">
        <f t="shared" si="159"/>
        <v>0.35</v>
      </c>
      <c r="T244" s="375">
        <f t="shared" si="159"/>
        <v>0.35</v>
      </c>
      <c r="U244" s="375">
        <f t="shared" si="159"/>
        <v>0.35</v>
      </c>
      <c r="V244" s="375">
        <f t="shared" si="159"/>
        <v>0.35</v>
      </c>
      <c r="W244" s="375">
        <f t="shared" si="159"/>
        <v>0.35</v>
      </c>
      <c r="X244" s="375">
        <f t="shared" si="159"/>
        <v>0.35</v>
      </c>
      <c r="Y244" s="375">
        <f t="shared" si="159"/>
        <v>0.35</v>
      </c>
      <c r="Z244" s="375">
        <f t="shared" si="159"/>
        <v>0.35</v>
      </c>
      <c r="AA244" s="375">
        <f t="shared" si="159"/>
        <v>0.35</v>
      </c>
      <c r="AB244" s="375">
        <f t="shared" si="159"/>
        <v>0.35</v>
      </c>
      <c r="AC244" s="375">
        <f t="shared" si="159"/>
        <v>0.35</v>
      </c>
      <c r="AD244" s="375">
        <f t="shared" si="159"/>
        <v>0.35</v>
      </c>
      <c r="AE244" s="375">
        <f t="shared" si="159"/>
        <v>0.35</v>
      </c>
      <c r="AF244" s="375">
        <f t="shared" si="159"/>
        <v>0.35</v>
      </c>
      <c r="AG244" s="375">
        <f t="shared" si="159"/>
        <v>0.35</v>
      </c>
      <c r="AH244" s="375">
        <f t="shared" si="159"/>
        <v>0.35</v>
      </c>
      <c r="AI244" s="375">
        <f t="shared" si="159"/>
        <v>0.35</v>
      </c>
      <c r="AJ244" s="375">
        <f t="shared" si="159"/>
        <v>0.35</v>
      </c>
      <c r="AK244" s="375">
        <f t="shared" si="159"/>
        <v>0.35</v>
      </c>
      <c r="AL244" s="375">
        <f t="shared" si="159"/>
        <v>0.35</v>
      </c>
      <c r="AM244" s="375">
        <f t="shared" si="159"/>
        <v>0.35</v>
      </c>
      <c r="AN244" s="375">
        <f t="shared" si="159"/>
        <v>0.35</v>
      </c>
      <c r="AO244" s="375">
        <f t="shared" si="159"/>
        <v>0.35</v>
      </c>
      <c r="AP244" s="375">
        <f t="shared" si="159"/>
        <v>0.35</v>
      </c>
      <c r="AQ244" s="375">
        <f t="shared" si="159"/>
        <v>0.35</v>
      </c>
      <c r="AR244" s="375">
        <f t="shared" si="159"/>
        <v>0.35</v>
      </c>
      <c r="AS244" s="375">
        <f t="shared" si="159"/>
        <v>0.35</v>
      </c>
      <c r="AT244" s="375">
        <f t="shared" si="159"/>
        <v>0.35</v>
      </c>
      <c r="AU244" s="375">
        <f t="shared" si="159"/>
        <v>0.35</v>
      </c>
      <c r="AV244" s="375">
        <f t="shared" si="159"/>
        <v>0.35</v>
      </c>
      <c r="AW244" s="90"/>
      <c r="AX244" s="90"/>
      <c r="AY244" s="90"/>
      <c r="AZ244" s="90"/>
      <c r="BA244" s="90"/>
      <c r="BB244" s="90"/>
      <c r="BC244" s="90"/>
      <c r="BD244" s="90"/>
      <c r="BE244" s="90"/>
      <c r="BF244" s="90"/>
      <c r="BG244" s="90"/>
    </row>
    <row r="245" ht="12.75" hidden="1" customHeight="1" outlineLevel="1">
      <c r="A245" s="316"/>
      <c r="B245" s="90"/>
      <c r="C245" s="90" t="s">
        <v>1206</v>
      </c>
      <c r="D245" s="90"/>
      <c r="E245" s="90"/>
      <c r="F245" s="90"/>
      <c r="G245" s="157"/>
      <c r="H245" s="152"/>
      <c r="I245" s="157"/>
      <c r="J245" s="157">
        <v>0.1</v>
      </c>
      <c r="K245" s="152">
        <f t="shared" ref="K245:AV245" si="160">J245</f>
        <v>0.1</v>
      </c>
      <c r="L245" s="152">
        <f t="shared" si="160"/>
        <v>0.1</v>
      </c>
      <c r="M245" s="152">
        <f t="shared" si="160"/>
        <v>0.1</v>
      </c>
      <c r="N245" s="152">
        <f t="shared" si="160"/>
        <v>0.1</v>
      </c>
      <c r="O245" s="152">
        <f t="shared" si="160"/>
        <v>0.1</v>
      </c>
      <c r="P245" s="152">
        <f t="shared" si="160"/>
        <v>0.1</v>
      </c>
      <c r="Q245" s="152">
        <f t="shared" si="160"/>
        <v>0.1</v>
      </c>
      <c r="R245" s="152">
        <f t="shared" si="160"/>
        <v>0.1</v>
      </c>
      <c r="S245" s="152">
        <f t="shared" si="160"/>
        <v>0.1</v>
      </c>
      <c r="T245" s="152">
        <f t="shared" si="160"/>
        <v>0.1</v>
      </c>
      <c r="U245" s="152">
        <f t="shared" si="160"/>
        <v>0.1</v>
      </c>
      <c r="V245" s="152">
        <f t="shared" si="160"/>
        <v>0.1</v>
      </c>
      <c r="W245" s="152">
        <f t="shared" si="160"/>
        <v>0.1</v>
      </c>
      <c r="X245" s="152">
        <f t="shared" si="160"/>
        <v>0.1</v>
      </c>
      <c r="Y245" s="152">
        <f t="shared" si="160"/>
        <v>0.1</v>
      </c>
      <c r="Z245" s="152">
        <f t="shared" si="160"/>
        <v>0.1</v>
      </c>
      <c r="AA245" s="152">
        <f t="shared" si="160"/>
        <v>0.1</v>
      </c>
      <c r="AB245" s="152">
        <f t="shared" si="160"/>
        <v>0.1</v>
      </c>
      <c r="AC245" s="152">
        <f t="shared" si="160"/>
        <v>0.1</v>
      </c>
      <c r="AD245" s="152">
        <f t="shared" si="160"/>
        <v>0.1</v>
      </c>
      <c r="AE245" s="152">
        <f t="shared" si="160"/>
        <v>0.1</v>
      </c>
      <c r="AF245" s="152">
        <f t="shared" si="160"/>
        <v>0.1</v>
      </c>
      <c r="AG245" s="152">
        <f t="shared" si="160"/>
        <v>0.1</v>
      </c>
      <c r="AH245" s="152">
        <f t="shared" si="160"/>
        <v>0.1</v>
      </c>
      <c r="AI245" s="152">
        <f t="shared" si="160"/>
        <v>0.1</v>
      </c>
      <c r="AJ245" s="152">
        <f t="shared" si="160"/>
        <v>0.1</v>
      </c>
      <c r="AK245" s="152">
        <f t="shared" si="160"/>
        <v>0.1</v>
      </c>
      <c r="AL245" s="152">
        <f t="shared" si="160"/>
        <v>0.1</v>
      </c>
      <c r="AM245" s="152">
        <f t="shared" si="160"/>
        <v>0.1</v>
      </c>
      <c r="AN245" s="152">
        <f t="shared" si="160"/>
        <v>0.1</v>
      </c>
      <c r="AO245" s="152">
        <f t="shared" si="160"/>
        <v>0.1</v>
      </c>
      <c r="AP245" s="152">
        <f t="shared" si="160"/>
        <v>0.1</v>
      </c>
      <c r="AQ245" s="152">
        <f t="shared" si="160"/>
        <v>0.1</v>
      </c>
      <c r="AR245" s="152">
        <f t="shared" si="160"/>
        <v>0.1</v>
      </c>
      <c r="AS245" s="152">
        <f t="shared" si="160"/>
        <v>0.1</v>
      </c>
      <c r="AT245" s="152">
        <f t="shared" si="160"/>
        <v>0.1</v>
      </c>
      <c r="AU245" s="152">
        <f t="shared" si="160"/>
        <v>0.1</v>
      </c>
      <c r="AV245" s="152">
        <f t="shared" si="160"/>
        <v>0.1</v>
      </c>
      <c r="AW245" s="90"/>
      <c r="AX245" s="90"/>
      <c r="AY245" s="90"/>
      <c r="AZ245" s="90"/>
      <c r="BA245" s="90"/>
      <c r="BB245" s="90"/>
      <c r="BC245" s="90"/>
      <c r="BD245" s="90"/>
      <c r="BE245" s="90"/>
      <c r="BF245" s="90"/>
      <c r="BG245" s="90"/>
    </row>
    <row r="246" ht="12.75" hidden="1" customHeight="1" outlineLevel="1">
      <c r="A246" s="316"/>
      <c r="B246" s="90"/>
      <c r="C246" s="90" t="s">
        <v>778</v>
      </c>
      <c r="D246" s="90"/>
      <c r="E246" s="90"/>
      <c r="F246" s="90"/>
      <c r="G246" s="157"/>
      <c r="H246" s="152"/>
      <c r="I246" s="157"/>
      <c r="J246" s="157">
        <v>0.0</v>
      </c>
      <c r="K246" s="152">
        <f t="shared" ref="K246:AV246" si="161">J246</f>
        <v>0</v>
      </c>
      <c r="L246" s="152">
        <f t="shared" si="161"/>
        <v>0</v>
      </c>
      <c r="M246" s="152">
        <f t="shared" si="161"/>
        <v>0</v>
      </c>
      <c r="N246" s="152">
        <f t="shared" si="161"/>
        <v>0</v>
      </c>
      <c r="O246" s="152">
        <f t="shared" si="161"/>
        <v>0</v>
      </c>
      <c r="P246" s="152">
        <f t="shared" si="161"/>
        <v>0</v>
      </c>
      <c r="Q246" s="152">
        <f t="shared" si="161"/>
        <v>0</v>
      </c>
      <c r="R246" s="152">
        <f t="shared" si="161"/>
        <v>0</v>
      </c>
      <c r="S246" s="152">
        <f t="shared" si="161"/>
        <v>0</v>
      </c>
      <c r="T246" s="152">
        <f t="shared" si="161"/>
        <v>0</v>
      </c>
      <c r="U246" s="152">
        <f t="shared" si="161"/>
        <v>0</v>
      </c>
      <c r="V246" s="152">
        <f t="shared" si="161"/>
        <v>0</v>
      </c>
      <c r="W246" s="152">
        <f t="shared" si="161"/>
        <v>0</v>
      </c>
      <c r="X246" s="152">
        <f t="shared" si="161"/>
        <v>0</v>
      </c>
      <c r="Y246" s="152">
        <f t="shared" si="161"/>
        <v>0</v>
      </c>
      <c r="Z246" s="152">
        <f t="shared" si="161"/>
        <v>0</v>
      </c>
      <c r="AA246" s="152">
        <f t="shared" si="161"/>
        <v>0</v>
      </c>
      <c r="AB246" s="152">
        <f t="shared" si="161"/>
        <v>0</v>
      </c>
      <c r="AC246" s="152">
        <f t="shared" si="161"/>
        <v>0</v>
      </c>
      <c r="AD246" s="152">
        <f t="shared" si="161"/>
        <v>0</v>
      </c>
      <c r="AE246" s="152">
        <f t="shared" si="161"/>
        <v>0</v>
      </c>
      <c r="AF246" s="152">
        <f t="shared" si="161"/>
        <v>0</v>
      </c>
      <c r="AG246" s="152">
        <f t="shared" si="161"/>
        <v>0</v>
      </c>
      <c r="AH246" s="152">
        <f t="shared" si="161"/>
        <v>0</v>
      </c>
      <c r="AI246" s="152">
        <f t="shared" si="161"/>
        <v>0</v>
      </c>
      <c r="AJ246" s="152">
        <f t="shared" si="161"/>
        <v>0</v>
      </c>
      <c r="AK246" s="152">
        <f t="shared" si="161"/>
        <v>0</v>
      </c>
      <c r="AL246" s="152">
        <f t="shared" si="161"/>
        <v>0</v>
      </c>
      <c r="AM246" s="152">
        <f t="shared" si="161"/>
        <v>0</v>
      </c>
      <c r="AN246" s="152">
        <f t="shared" si="161"/>
        <v>0</v>
      </c>
      <c r="AO246" s="152">
        <f t="shared" si="161"/>
        <v>0</v>
      </c>
      <c r="AP246" s="152">
        <f t="shared" si="161"/>
        <v>0</v>
      </c>
      <c r="AQ246" s="152">
        <f t="shared" si="161"/>
        <v>0</v>
      </c>
      <c r="AR246" s="152">
        <f t="shared" si="161"/>
        <v>0</v>
      </c>
      <c r="AS246" s="152">
        <f t="shared" si="161"/>
        <v>0</v>
      </c>
      <c r="AT246" s="152">
        <f t="shared" si="161"/>
        <v>0</v>
      </c>
      <c r="AU246" s="152">
        <f t="shared" si="161"/>
        <v>0</v>
      </c>
      <c r="AV246" s="152">
        <f t="shared" si="161"/>
        <v>0</v>
      </c>
      <c r="AW246" s="90"/>
      <c r="AX246" s="90"/>
      <c r="AY246" s="90"/>
      <c r="AZ246" s="90"/>
      <c r="BA246" s="90"/>
      <c r="BB246" s="90"/>
      <c r="BC246" s="90"/>
      <c r="BD246" s="90"/>
      <c r="BE246" s="90"/>
      <c r="BF246" s="90"/>
      <c r="BG246" s="90"/>
    </row>
    <row r="247" ht="12.75" hidden="1" customHeight="1" outlineLevel="1">
      <c r="A247" s="316"/>
      <c r="B247" s="90"/>
      <c r="C247" s="90" t="s">
        <v>779</v>
      </c>
      <c r="D247" s="90"/>
      <c r="E247" s="90"/>
      <c r="F247" s="90"/>
      <c r="G247" s="157"/>
      <c r="H247" s="152"/>
      <c r="I247" s="157"/>
      <c r="J247" s="157">
        <v>0.01</v>
      </c>
      <c r="K247" s="152">
        <f t="shared" ref="K247:AV247" si="162">J247</f>
        <v>0.01</v>
      </c>
      <c r="L247" s="152">
        <f t="shared" si="162"/>
        <v>0.01</v>
      </c>
      <c r="M247" s="152">
        <f t="shared" si="162"/>
        <v>0.01</v>
      </c>
      <c r="N247" s="152">
        <f t="shared" si="162"/>
        <v>0.01</v>
      </c>
      <c r="O247" s="152">
        <f t="shared" si="162"/>
        <v>0.01</v>
      </c>
      <c r="P247" s="152">
        <f t="shared" si="162"/>
        <v>0.01</v>
      </c>
      <c r="Q247" s="152">
        <f t="shared" si="162"/>
        <v>0.01</v>
      </c>
      <c r="R247" s="152">
        <f t="shared" si="162"/>
        <v>0.01</v>
      </c>
      <c r="S247" s="152">
        <f t="shared" si="162"/>
        <v>0.01</v>
      </c>
      <c r="T247" s="152">
        <f t="shared" si="162"/>
        <v>0.01</v>
      </c>
      <c r="U247" s="152">
        <f t="shared" si="162"/>
        <v>0.01</v>
      </c>
      <c r="V247" s="152">
        <f t="shared" si="162"/>
        <v>0.01</v>
      </c>
      <c r="W247" s="152">
        <f t="shared" si="162"/>
        <v>0.01</v>
      </c>
      <c r="X247" s="152">
        <f t="shared" si="162"/>
        <v>0.01</v>
      </c>
      <c r="Y247" s="152">
        <f t="shared" si="162"/>
        <v>0.01</v>
      </c>
      <c r="Z247" s="152">
        <f t="shared" si="162"/>
        <v>0.01</v>
      </c>
      <c r="AA247" s="152">
        <f t="shared" si="162"/>
        <v>0.01</v>
      </c>
      <c r="AB247" s="152">
        <f t="shared" si="162"/>
        <v>0.01</v>
      </c>
      <c r="AC247" s="152">
        <f t="shared" si="162"/>
        <v>0.01</v>
      </c>
      <c r="AD247" s="152">
        <f t="shared" si="162"/>
        <v>0.01</v>
      </c>
      <c r="AE247" s="152">
        <f t="shared" si="162"/>
        <v>0.01</v>
      </c>
      <c r="AF247" s="152">
        <f t="shared" si="162"/>
        <v>0.01</v>
      </c>
      <c r="AG247" s="152">
        <f t="shared" si="162"/>
        <v>0.01</v>
      </c>
      <c r="AH247" s="152">
        <f t="shared" si="162"/>
        <v>0.01</v>
      </c>
      <c r="AI247" s="152">
        <f t="shared" si="162"/>
        <v>0.01</v>
      </c>
      <c r="AJ247" s="152">
        <f t="shared" si="162"/>
        <v>0.01</v>
      </c>
      <c r="AK247" s="152">
        <f t="shared" si="162"/>
        <v>0.01</v>
      </c>
      <c r="AL247" s="152">
        <f t="shared" si="162"/>
        <v>0.01</v>
      </c>
      <c r="AM247" s="152">
        <f t="shared" si="162"/>
        <v>0.01</v>
      </c>
      <c r="AN247" s="152">
        <f t="shared" si="162"/>
        <v>0.01</v>
      </c>
      <c r="AO247" s="152">
        <f t="shared" si="162"/>
        <v>0.01</v>
      </c>
      <c r="AP247" s="152">
        <f t="shared" si="162"/>
        <v>0.01</v>
      </c>
      <c r="AQ247" s="152">
        <f t="shared" si="162"/>
        <v>0.01</v>
      </c>
      <c r="AR247" s="152">
        <f t="shared" si="162"/>
        <v>0.01</v>
      </c>
      <c r="AS247" s="152">
        <f t="shared" si="162"/>
        <v>0.01</v>
      </c>
      <c r="AT247" s="152">
        <f t="shared" si="162"/>
        <v>0.01</v>
      </c>
      <c r="AU247" s="152">
        <f t="shared" si="162"/>
        <v>0.01</v>
      </c>
      <c r="AV247" s="152">
        <f t="shared" si="162"/>
        <v>0.01</v>
      </c>
      <c r="AW247" s="90"/>
      <c r="AX247" s="90"/>
      <c r="AY247" s="90"/>
      <c r="AZ247" s="90"/>
      <c r="BA247" s="90"/>
      <c r="BB247" s="90"/>
      <c r="BC247" s="90"/>
      <c r="BD247" s="90"/>
      <c r="BE247" s="90"/>
      <c r="BF247" s="90"/>
      <c r="BG247" s="90"/>
    </row>
    <row r="248" ht="12.75" hidden="1" customHeight="1" outlineLevel="1">
      <c r="A248" s="316"/>
      <c r="B248" s="90"/>
      <c r="C248" s="90" t="s">
        <v>780</v>
      </c>
      <c r="D248" s="90"/>
      <c r="E248" s="90"/>
      <c r="F248" s="90"/>
      <c r="G248" s="157"/>
      <c r="H248" s="152"/>
      <c r="I248" s="157"/>
      <c r="J248" s="157">
        <v>0.04</v>
      </c>
      <c r="K248" s="152">
        <f t="shared" ref="K248:AV248" si="163">J248</f>
        <v>0.04</v>
      </c>
      <c r="L248" s="157">
        <f t="shared" si="163"/>
        <v>0.04</v>
      </c>
      <c r="M248" s="157">
        <f t="shared" si="163"/>
        <v>0.04</v>
      </c>
      <c r="N248" s="157">
        <f t="shared" si="163"/>
        <v>0.04</v>
      </c>
      <c r="O248" s="157">
        <f t="shared" si="163"/>
        <v>0.04</v>
      </c>
      <c r="P248" s="157">
        <f t="shared" si="163"/>
        <v>0.04</v>
      </c>
      <c r="Q248" s="157">
        <f t="shared" si="163"/>
        <v>0.04</v>
      </c>
      <c r="R248" s="157">
        <f t="shared" si="163"/>
        <v>0.04</v>
      </c>
      <c r="S248" s="157">
        <f t="shared" si="163"/>
        <v>0.04</v>
      </c>
      <c r="T248" s="157">
        <f t="shared" si="163"/>
        <v>0.04</v>
      </c>
      <c r="U248" s="157">
        <f t="shared" si="163"/>
        <v>0.04</v>
      </c>
      <c r="V248" s="157">
        <f t="shared" si="163"/>
        <v>0.04</v>
      </c>
      <c r="W248" s="157">
        <f t="shared" si="163"/>
        <v>0.04</v>
      </c>
      <c r="X248" s="157">
        <f t="shared" si="163"/>
        <v>0.04</v>
      </c>
      <c r="Y248" s="157">
        <f t="shared" si="163"/>
        <v>0.04</v>
      </c>
      <c r="Z248" s="157">
        <f t="shared" si="163"/>
        <v>0.04</v>
      </c>
      <c r="AA248" s="157">
        <f t="shared" si="163"/>
        <v>0.04</v>
      </c>
      <c r="AB248" s="157">
        <f t="shared" si="163"/>
        <v>0.04</v>
      </c>
      <c r="AC248" s="157">
        <f t="shared" si="163"/>
        <v>0.04</v>
      </c>
      <c r="AD248" s="157">
        <f t="shared" si="163"/>
        <v>0.04</v>
      </c>
      <c r="AE248" s="157">
        <f t="shared" si="163"/>
        <v>0.04</v>
      </c>
      <c r="AF248" s="157">
        <f t="shared" si="163"/>
        <v>0.04</v>
      </c>
      <c r="AG248" s="157">
        <f t="shared" si="163"/>
        <v>0.04</v>
      </c>
      <c r="AH248" s="157">
        <f t="shared" si="163"/>
        <v>0.04</v>
      </c>
      <c r="AI248" s="157">
        <f t="shared" si="163"/>
        <v>0.04</v>
      </c>
      <c r="AJ248" s="157">
        <f t="shared" si="163"/>
        <v>0.04</v>
      </c>
      <c r="AK248" s="157">
        <f t="shared" si="163"/>
        <v>0.04</v>
      </c>
      <c r="AL248" s="157">
        <f t="shared" si="163"/>
        <v>0.04</v>
      </c>
      <c r="AM248" s="157">
        <f t="shared" si="163"/>
        <v>0.04</v>
      </c>
      <c r="AN248" s="157">
        <f t="shared" si="163"/>
        <v>0.04</v>
      </c>
      <c r="AO248" s="157">
        <f t="shared" si="163"/>
        <v>0.04</v>
      </c>
      <c r="AP248" s="157">
        <f t="shared" si="163"/>
        <v>0.04</v>
      </c>
      <c r="AQ248" s="157">
        <f t="shared" si="163"/>
        <v>0.04</v>
      </c>
      <c r="AR248" s="157">
        <f t="shared" si="163"/>
        <v>0.04</v>
      </c>
      <c r="AS248" s="157">
        <f t="shared" si="163"/>
        <v>0.04</v>
      </c>
      <c r="AT248" s="157">
        <f t="shared" si="163"/>
        <v>0.04</v>
      </c>
      <c r="AU248" s="157">
        <f t="shared" si="163"/>
        <v>0.04</v>
      </c>
      <c r="AV248" s="157">
        <f t="shared" si="163"/>
        <v>0.04</v>
      </c>
      <c r="AW248" s="90"/>
      <c r="AX248" s="90"/>
      <c r="AY248" s="90"/>
      <c r="AZ248" s="90"/>
      <c r="BA248" s="90"/>
      <c r="BB248" s="90"/>
      <c r="BC248" s="90"/>
      <c r="BD248" s="90"/>
      <c r="BE248" s="90"/>
      <c r="BF248" s="90"/>
      <c r="BG248" s="90"/>
    </row>
    <row r="249" ht="12.75" hidden="1" customHeight="1" outlineLevel="1">
      <c r="A249" s="316"/>
      <c r="B249" s="90"/>
      <c r="C249" s="90"/>
      <c r="D249" s="90" t="s">
        <v>781</v>
      </c>
      <c r="E249" s="90"/>
      <c r="F249" s="90"/>
      <c r="G249" s="254"/>
      <c r="H249" s="99"/>
      <c r="I249" s="254"/>
      <c r="J249" s="254">
        <v>250000.0</v>
      </c>
      <c r="K249" s="254">
        <v>0.0</v>
      </c>
      <c r="L249" s="254">
        <v>0.0</v>
      </c>
      <c r="M249" s="254">
        <v>0.0</v>
      </c>
      <c r="N249" s="254">
        <v>0.0</v>
      </c>
      <c r="O249" s="254">
        <v>0.0</v>
      </c>
      <c r="P249" s="254">
        <v>0.0</v>
      </c>
      <c r="Q249" s="254">
        <v>0.0</v>
      </c>
      <c r="R249" s="254">
        <v>0.0</v>
      </c>
      <c r="S249" s="254">
        <v>0.0</v>
      </c>
      <c r="T249" s="254">
        <v>0.0</v>
      </c>
      <c r="U249" s="254">
        <v>0.0</v>
      </c>
      <c r="V249" s="254">
        <v>0.0</v>
      </c>
      <c r="W249" s="254">
        <v>0.0</v>
      </c>
      <c r="X249" s="254">
        <v>0.0</v>
      </c>
      <c r="Y249" s="254">
        <v>0.0</v>
      </c>
      <c r="Z249" s="254">
        <v>0.0</v>
      </c>
      <c r="AA249" s="254">
        <v>0.0</v>
      </c>
      <c r="AB249" s="254">
        <v>0.0</v>
      </c>
      <c r="AC249" s="254">
        <v>0.0</v>
      </c>
      <c r="AD249" s="254">
        <v>0.0</v>
      </c>
      <c r="AE249" s="254">
        <v>0.0</v>
      </c>
      <c r="AF249" s="254">
        <v>0.0</v>
      </c>
      <c r="AG249" s="254">
        <v>0.0</v>
      </c>
      <c r="AH249" s="254">
        <v>0.0</v>
      </c>
      <c r="AI249" s="254">
        <v>0.0</v>
      </c>
      <c r="AJ249" s="254">
        <v>0.0</v>
      </c>
      <c r="AK249" s="254">
        <v>0.0</v>
      </c>
      <c r="AL249" s="254">
        <v>0.0</v>
      </c>
      <c r="AM249" s="254">
        <v>0.0</v>
      </c>
      <c r="AN249" s="254">
        <v>0.0</v>
      </c>
      <c r="AO249" s="254">
        <v>0.0</v>
      </c>
      <c r="AP249" s="254">
        <v>0.0</v>
      </c>
      <c r="AQ249" s="254">
        <v>0.0</v>
      </c>
      <c r="AR249" s="254">
        <v>0.0</v>
      </c>
      <c r="AS249" s="254">
        <v>0.0</v>
      </c>
      <c r="AT249" s="254">
        <v>0.0</v>
      </c>
      <c r="AU249" s="254">
        <v>0.0</v>
      </c>
      <c r="AV249" s="254">
        <v>0.0</v>
      </c>
      <c r="AW249" s="90" t="s">
        <v>1207</v>
      </c>
      <c r="AX249" s="90"/>
      <c r="AY249" s="90"/>
      <c r="AZ249" s="90"/>
      <c r="BA249" s="90"/>
      <c r="BB249" s="90"/>
      <c r="BC249" s="90"/>
      <c r="BD249" s="90"/>
      <c r="BE249" s="90"/>
      <c r="BF249" s="90"/>
      <c r="BG249" s="90"/>
    </row>
    <row r="250" ht="12.75" hidden="1" customHeight="1" outlineLevel="1">
      <c r="A250" s="316"/>
      <c r="B250" s="90"/>
      <c r="C250" s="90" t="s">
        <v>783</v>
      </c>
      <c r="D250" s="90"/>
      <c r="E250" s="90"/>
      <c r="F250" s="90"/>
      <c r="G250" s="157"/>
      <c r="H250" s="152"/>
      <c r="I250" s="157"/>
      <c r="J250" s="157">
        <f>'RS1'!L251</f>
        <v>0.04</v>
      </c>
      <c r="K250" s="152">
        <f t="shared" ref="K250:AV250" si="164">J250</f>
        <v>0.04</v>
      </c>
      <c r="L250" s="152">
        <f t="shared" si="164"/>
        <v>0.04</v>
      </c>
      <c r="M250" s="152">
        <f t="shared" si="164"/>
        <v>0.04</v>
      </c>
      <c r="N250" s="152">
        <f t="shared" si="164"/>
        <v>0.04</v>
      </c>
      <c r="O250" s="152">
        <f t="shared" si="164"/>
        <v>0.04</v>
      </c>
      <c r="P250" s="152">
        <f t="shared" si="164"/>
        <v>0.04</v>
      </c>
      <c r="Q250" s="152">
        <f t="shared" si="164"/>
        <v>0.04</v>
      </c>
      <c r="R250" s="152">
        <f t="shared" si="164"/>
        <v>0.04</v>
      </c>
      <c r="S250" s="152">
        <f t="shared" si="164"/>
        <v>0.04</v>
      </c>
      <c r="T250" s="152">
        <f t="shared" si="164"/>
        <v>0.04</v>
      </c>
      <c r="U250" s="152">
        <f t="shared" si="164"/>
        <v>0.04</v>
      </c>
      <c r="V250" s="152">
        <f t="shared" si="164"/>
        <v>0.04</v>
      </c>
      <c r="W250" s="152">
        <f t="shared" si="164"/>
        <v>0.04</v>
      </c>
      <c r="X250" s="152">
        <f t="shared" si="164"/>
        <v>0.04</v>
      </c>
      <c r="Y250" s="152">
        <f t="shared" si="164"/>
        <v>0.04</v>
      </c>
      <c r="Z250" s="152">
        <f t="shared" si="164"/>
        <v>0.04</v>
      </c>
      <c r="AA250" s="152">
        <f t="shared" si="164"/>
        <v>0.04</v>
      </c>
      <c r="AB250" s="152">
        <f t="shared" si="164"/>
        <v>0.04</v>
      </c>
      <c r="AC250" s="152">
        <f t="shared" si="164"/>
        <v>0.04</v>
      </c>
      <c r="AD250" s="152">
        <f t="shared" si="164"/>
        <v>0.04</v>
      </c>
      <c r="AE250" s="152">
        <f t="shared" si="164"/>
        <v>0.04</v>
      </c>
      <c r="AF250" s="152">
        <f t="shared" si="164"/>
        <v>0.04</v>
      </c>
      <c r="AG250" s="152">
        <f t="shared" si="164"/>
        <v>0.04</v>
      </c>
      <c r="AH250" s="152">
        <f t="shared" si="164"/>
        <v>0.04</v>
      </c>
      <c r="AI250" s="152">
        <f t="shared" si="164"/>
        <v>0.04</v>
      </c>
      <c r="AJ250" s="152">
        <f t="shared" si="164"/>
        <v>0.04</v>
      </c>
      <c r="AK250" s="152">
        <f t="shared" si="164"/>
        <v>0.04</v>
      </c>
      <c r="AL250" s="152">
        <f t="shared" si="164"/>
        <v>0.04</v>
      </c>
      <c r="AM250" s="152">
        <f t="shared" si="164"/>
        <v>0.04</v>
      </c>
      <c r="AN250" s="152">
        <f t="shared" si="164"/>
        <v>0.04</v>
      </c>
      <c r="AO250" s="152">
        <f t="shared" si="164"/>
        <v>0.04</v>
      </c>
      <c r="AP250" s="152">
        <f t="shared" si="164"/>
        <v>0.04</v>
      </c>
      <c r="AQ250" s="152">
        <f t="shared" si="164"/>
        <v>0.04</v>
      </c>
      <c r="AR250" s="152">
        <f t="shared" si="164"/>
        <v>0.04</v>
      </c>
      <c r="AS250" s="152">
        <f t="shared" si="164"/>
        <v>0.04</v>
      </c>
      <c r="AT250" s="152">
        <f t="shared" si="164"/>
        <v>0.04</v>
      </c>
      <c r="AU250" s="152">
        <f t="shared" si="164"/>
        <v>0.04</v>
      </c>
      <c r="AV250" s="152">
        <f t="shared" si="164"/>
        <v>0.04</v>
      </c>
      <c r="AW250" s="90"/>
      <c r="AX250" s="90"/>
      <c r="AY250" s="90"/>
      <c r="AZ250" s="90"/>
      <c r="BA250" s="90"/>
      <c r="BB250" s="90"/>
      <c r="BC250" s="90"/>
      <c r="BD250" s="90"/>
      <c r="BE250" s="90"/>
      <c r="BF250" s="90"/>
      <c r="BG250" s="90"/>
    </row>
    <row r="251" ht="12.75" hidden="1" customHeight="1" outlineLevel="1">
      <c r="A251" s="316"/>
      <c r="B251" s="90"/>
      <c r="C251" s="90" t="s">
        <v>1208</v>
      </c>
      <c r="D251" s="90"/>
      <c r="E251" s="90"/>
      <c r="F251" s="90"/>
      <c r="G251" s="157"/>
      <c r="H251" s="152"/>
      <c r="I251" s="157"/>
      <c r="J251" s="157">
        <v>0.04</v>
      </c>
      <c r="K251" s="152">
        <f t="shared" ref="K251:AV251" si="165">J251</f>
        <v>0.04</v>
      </c>
      <c r="L251" s="152">
        <f t="shared" si="165"/>
        <v>0.04</v>
      </c>
      <c r="M251" s="152">
        <f t="shared" si="165"/>
        <v>0.04</v>
      </c>
      <c r="N251" s="152">
        <f t="shared" si="165"/>
        <v>0.04</v>
      </c>
      <c r="O251" s="152">
        <f t="shared" si="165"/>
        <v>0.04</v>
      </c>
      <c r="P251" s="152">
        <f t="shared" si="165"/>
        <v>0.04</v>
      </c>
      <c r="Q251" s="152">
        <f t="shared" si="165"/>
        <v>0.04</v>
      </c>
      <c r="R251" s="152">
        <f t="shared" si="165"/>
        <v>0.04</v>
      </c>
      <c r="S251" s="152">
        <f t="shared" si="165"/>
        <v>0.04</v>
      </c>
      <c r="T251" s="152">
        <f t="shared" si="165"/>
        <v>0.04</v>
      </c>
      <c r="U251" s="152">
        <f t="shared" si="165"/>
        <v>0.04</v>
      </c>
      <c r="V251" s="152">
        <f t="shared" si="165"/>
        <v>0.04</v>
      </c>
      <c r="W251" s="152">
        <f t="shared" si="165"/>
        <v>0.04</v>
      </c>
      <c r="X251" s="152">
        <f t="shared" si="165"/>
        <v>0.04</v>
      </c>
      <c r="Y251" s="152">
        <f t="shared" si="165"/>
        <v>0.04</v>
      </c>
      <c r="Z251" s="152">
        <f t="shared" si="165"/>
        <v>0.04</v>
      </c>
      <c r="AA251" s="152">
        <f t="shared" si="165"/>
        <v>0.04</v>
      </c>
      <c r="AB251" s="152">
        <f t="shared" si="165"/>
        <v>0.04</v>
      </c>
      <c r="AC251" s="152">
        <f t="shared" si="165"/>
        <v>0.04</v>
      </c>
      <c r="AD251" s="152">
        <f t="shared" si="165"/>
        <v>0.04</v>
      </c>
      <c r="AE251" s="152">
        <f t="shared" si="165"/>
        <v>0.04</v>
      </c>
      <c r="AF251" s="152">
        <f t="shared" si="165"/>
        <v>0.04</v>
      </c>
      <c r="AG251" s="152">
        <f t="shared" si="165"/>
        <v>0.04</v>
      </c>
      <c r="AH251" s="152">
        <f t="shared" si="165"/>
        <v>0.04</v>
      </c>
      <c r="AI251" s="152">
        <f t="shared" si="165"/>
        <v>0.04</v>
      </c>
      <c r="AJ251" s="152">
        <f t="shared" si="165"/>
        <v>0.04</v>
      </c>
      <c r="AK251" s="152">
        <f t="shared" si="165"/>
        <v>0.04</v>
      </c>
      <c r="AL251" s="152">
        <f t="shared" si="165"/>
        <v>0.04</v>
      </c>
      <c r="AM251" s="152">
        <f t="shared" si="165"/>
        <v>0.04</v>
      </c>
      <c r="AN251" s="152">
        <f t="shared" si="165"/>
        <v>0.04</v>
      </c>
      <c r="AO251" s="152">
        <f t="shared" si="165"/>
        <v>0.04</v>
      </c>
      <c r="AP251" s="152">
        <f t="shared" si="165"/>
        <v>0.04</v>
      </c>
      <c r="AQ251" s="152">
        <f t="shared" si="165"/>
        <v>0.04</v>
      </c>
      <c r="AR251" s="152">
        <f t="shared" si="165"/>
        <v>0.04</v>
      </c>
      <c r="AS251" s="152">
        <f t="shared" si="165"/>
        <v>0.04</v>
      </c>
      <c r="AT251" s="152">
        <f t="shared" si="165"/>
        <v>0.04</v>
      </c>
      <c r="AU251" s="152">
        <f t="shared" si="165"/>
        <v>0.04</v>
      </c>
      <c r="AV251" s="152">
        <f t="shared" si="165"/>
        <v>0.04</v>
      </c>
      <c r="AW251" s="90"/>
      <c r="AX251" s="90"/>
      <c r="AY251" s="90"/>
      <c r="AZ251" s="90"/>
      <c r="BA251" s="90"/>
      <c r="BB251" s="90"/>
      <c r="BC251" s="90"/>
      <c r="BD251" s="90"/>
      <c r="BE251" s="90"/>
      <c r="BF251" s="90"/>
      <c r="BG251" s="90"/>
    </row>
    <row r="252" ht="12.75" hidden="1" customHeight="1" outlineLevel="1">
      <c r="A252" s="316"/>
      <c r="B252" s="90"/>
      <c r="C252" s="90" t="s">
        <v>784</v>
      </c>
      <c r="D252" s="90"/>
      <c r="E252" s="90"/>
      <c r="F252" s="90"/>
      <c r="G252" s="157"/>
      <c r="H252" s="152"/>
      <c r="I252" s="157"/>
      <c r="J252" s="157">
        <v>0.01</v>
      </c>
      <c r="K252" s="152">
        <f t="shared" ref="K252:AV252" si="166">J252</f>
        <v>0.01</v>
      </c>
      <c r="L252" s="152">
        <f t="shared" si="166"/>
        <v>0.01</v>
      </c>
      <c r="M252" s="152">
        <f t="shared" si="166"/>
        <v>0.01</v>
      </c>
      <c r="N252" s="152">
        <f t="shared" si="166"/>
        <v>0.01</v>
      </c>
      <c r="O252" s="152">
        <f t="shared" si="166"/>
        <v>0.01</v>
      </c>
      <c r="P252" s="152">
        <f t="shared" si="166"/>
        <v>0.01</v>
      </c>
      <c r="Q252" s="152">
        <f t="shared" si="166"/>
        <v>0.01</v>
      </c>
      <c r="R252" s="152">
        <f t="shared" si="166"/>
        <v>0.01</v>
      </c>
      <c r="S252" s="152">
        <f t="shared" si="166"/>
        <v>0.01</v>
      </c>
      <c r="T252" s="152">
        <f t="shared" si="166"/>
        <v>0.01</v>
      </c>
      <c r="U252" s="152">
        <f t="shared" si="166"/>
        <v>0.01</v>
      </c>
      <c r="V252" s="152">
        <f t="shared" si="166"/>
        <v>0.01</v>
      </c>
      <c r="W252" s="152">
        <f t="shared" si="166"/>
        <v>0.01</v>
      </c>
      <c r="X252" s="152">
        <f t="shared" si="166"/>
        <v>0.01</v>
      </c>
      <c r="Y252" s="152">
        <f t="shared" si="166"/>
        <v>0.01</v>
      </c>
      <c r="Z252" s="152">
        <f t="shared" si="166"/>
        <v>0.01</v>
      </c>
      <c r="AA252" s="152">
        <f t="shared" si="166"/>
        <v>0.01</v>
      </c>
      <c r="AB252" s="152">
        <f t="shared" si="166"/>
        <v>0.01</v>
      </c>
      <c r="AC252" s="152">
        <f t="shared" si="166"/>
        <v>0.01</v>
      </c>
      <c r="AD252" s="152">
        <f t="shared" si="166"/>
        <v>0.01</v>
      </c>
      <c r="AE252" s="152">
        <f t="shared" si="166"/>
        <v>0.01</v>
      </c>
      <c r="AF252" s="152">
        <f t="shared" si="166"/>
        <v>0.01</v>
      </c>
      <c r="AG252" s="152">
        <f t="shared" si="166"/>
        <v>0.01</v>
      </c>
      <c r="AH252" s="152">
        <f t="shared" si="166"/>
        <v>0.01</v>
      </c>
      <c r="AI252" s="152">
        <f t="shared" si="166"/>
        <v>0.01</v>
      </c>
      <c r="AJ252" s="152">
        <f t="shared" si="166"/>
        <v>0.01</v>
      </c>
      <c r="AK252" s="152">
        <f t="shared" si="166"/>
        <v>0.01</v>
      </c>
      <c r="AL252" s="152">
        <f t="shared" si="166"/>
        <v>0.01</v>
      </c>
      <c r="AM252" s="152">
        <f t="shared" si="166"/>
        <v>0.01</v>
      </c>
      <c r="AN252" s="152">
        <f t="shared" si="166"/>
        <v>0.01</v>
      </c>
      <c r="AO252" s="152">
        <f t="shared" si="166"/>
        <v>0.01</v>
      </c>
      <c r="AP252" s="152">
        <f t="shared" si="166"/>
        <v>0.01</v>
      </c>
      <c r="AQ252" s="152">
        <f t="shared" si="166"/>
        <v>0.01</v>
      </c>
      <c r="AR252" s="152">
        <f t="shared" si="166"/>
        <v>0.01</v>
      </c>
      <c r="AS252" s="152">
        <f t="shared" si="166"/>
        <v>0.01</v>
      </c>
      <c r="AT252" s="152">
        <f t="shared" si="166"/>
        <v>0.01</v>
      </c>
      <c r="AU252" s="152">
        <f t="shared" si="166"/>
        <v>0.01</v>
      </c>
      <c r="AV252" s="152">
        <f t="shared" si="166"/>
        <v>0.01</v>
      </c>
      <c r="AW252" s="90"/>
      <c r="AX252" s="90"/>
      <c r="AY252" s="90"/>
      <c r="AZ252" s="90"/>
      <c r="BA252" s="90"/>
      <c r="BB252" s="90"/>
      <c r="BC252" s="90"/>
      <c r="BD252" s="90"/>
      <c r="BE252" s="90"/>
      <c r="BF252" s="90"/>
      <c r="BG252" s="90"/>
    </row>
    <row r="253" ht="12.75" hidden="1" customHeight="1" outlineLevel="1">
      <c r="A253" s="316"/>
      <c r="B253" s="90"/>
      <c r="C253" s="90"/>
      <c r="D253" s="90"/>
      <c r="E253" s="90"/>
      <c r="F253" s="90"/>
      <c r="G253" s="157"/>
      <c r="H253" s="152"/>
      <c r="I253" s="157"/>
      <c r="J253" s="152"/>
      <c r="K253" s="152"/>
      <c r="L253" s="152"/>
      <c r="M253" s="152"/>
      <c r="N253" s="152"/>
      <c r="O253" s="152"/>
      <c r="P253" s="152"/>
      <c r="Q253" s="152"/>
      <c r="R253" s="152"/>
      <c r="S253" s="152"/>
      <c r="T253" s="152"/>
      <c r="U253" s="152"/>
      <c r="V253" s="152"/>
      <c r="W253" s="152"/>
      <c r="X253" s="152"/>
      <c r="Y253" s="152"/>
      <c r="Z253" s="152"/>
      <c r="AA253" s="152"/>
      <c r="AB253" s="152"/>
      <c r="AC253" s="152"/>
      <c r="AD253" s="152"/>
      <c r="AE253" s="152"/>
      <c r="AF253" s="152"/>
      <c r="AG253" s="152"/>
      <c r="AH253" s="152"/>
      <c r="AI253" s="152"/>
      <c r="AJ253" s="152"/>
      <c r="AK253" s="152"/>
      <c r="AL253" s="152"/>
      <c r="AM253" s="152"/>
      <c r="AN253" s="152"/>
      <c r="AO253" s="152"/>
      <c r="AP253" s="152"/>
      <c r="AQ253" s="152"/>
      <c r="AR253" s="152"/>
      <c r="AS253" s="152"/>
      <c r="AT253" s="152"/>
      <c r="AU253" s="152"/>
      <c r="AV253" s="152"/>
      <c r="AW253" s="90"/>
      <c r="AX253" s="90"/>
      <c r="AY253" s="90"/>
      <c r="AZ253" s="90"/>
      <c r="BA253" s="90"/>
      <c r="BB253" s="90"/>
      <c r="BC253" s="90"/>
      <c r="BD253" s="90"/>
      <c r="BE253" s="90"/>
      <c r="BF253" s="90"/>
      <c r="BG253" s="90"/>
    </row>
    <row r="254" ht="12.75" customHeight="1">
      <c r="A254" s="316"/>
      <c r="B254" s="90"/>
      <c r="C254" s="90"/>
      <c r="D254" s="90"/>
      <c r="E254" s="90"/>
      <c r="F254" s="90"/>
      <c r="G254" s="90"/>
      <c r="H254" s="90"/>
      <c r="I254" s="90"/>
      <c r="J254" s="90"/>
      <c r="K254" s="90"/>
      <c r="L254" s="90"/>
      <c r="M254" s="90"/>
      <c r="N254" s="90"/>
      <c r="O254" s="90"/>
      <c r="P254" s="90"/>
      <c r="Q254" s="90"/>
      <c r="R254" s="90"/>
      <c r="S254" s="90"/>
      <c r="T254" s="90"/>
      <c r="U254" s="90"/>
      <c r="V254" s="90"/>
      <c r="W254" s="90"/>
      <c r="X254" s="90"/>
      <c r="Y254" s="90"/>
      <c r="Z254" s="90"/>
      <c r="AA254" s="90"/>
      <c r="AB254" s="90"/>
      <c r="AC254" s="90"/>
      <c r="AD254" s="90"/>
      <c r="AE254" s="90"/>
      <c r="AF254" s="90"/>
      <c r="AG254" s="90"/>
      <c r="AH254" s="90"/>
      <c r="AI254" s="90"/>
      <c r="AJ254" s="90"/>
      <c r="AK254" s="90"/>
      <c r="AL254" s="90"/>
      <c r="AM254" s="90"/>
      <c r="AN254" s="90"/>
      <c r="AO254" s="90"/>
      <c r="AP254" s="90"/>
      <c r="AQ254" s="90"/>
      <c r="AR254" s="90"/>
      <c r="AS254" s="90"/>
      <c r="AT254" s="90"/>
      <c r="AU254" s="90"/>
      <c r="AV254" s="90"/>
      <c r="AW254" s="90"/>
      <c r="AX254" s="90"/>
      <c r="AY254" s="90"/>
      <c r="AZ254" s="90"/>
      <c r="BA254" s="90"/>
      <c r="BB254" s="90"/>
      <c r="BC254" s="90"/>
      <c r="BD254" s="90"/>
      <c r="BE254" s="90"/>
      <c r="BF254" s="90"/>
      <c r="BG254" s="90"/>
    </row>
    <row r="255" ht="12.75" customHeight="1">
      <c r="A255" s="105" t="s">
        <v>539</v>
      </c>
      <c r="B255" s="253"/>
      <c r="C255" s="253"/>
      <c r="D255" s="253"/>
      <c r="E255" s="253"/>
      <c r="F255" s="253"/>
      <c r="G255" s="253"/>
      <c r="H255" s="253"/>
      <c r="I255" s="253"/>
      <c r="J255" s="253"/>
      <c r="K255" s="253"/>
      <c r="L255" s="253"/>
      <c r="M255" s="253"/>
      <c r="N255" s="253"/>
      <c r="O255" s="253"/>
      <c r="P255" s="253"/>
      <c r="Q255" s="253"/>
      <c r="R255" s="253"/>
      <c r="S255" s="253"/>
      <c r="T255" s="253"/>
      <c r="U255" s="253"/>
      <c r="V255" s="253"/>
      <c r="W255" s="253"/>
      <c r="X255" s="253"/>
      <c r="Y255" s="253"/>
      <c r="Z255" s="253"/>
      <c r="AA255" s="253"/>
      <c r="AB255" s="253"/>
      <c r="AC255" s="253"/>
      <c r="AD255" s="253"/>
      <c r="AE255" s="253"/>
      <c r="AF255" s="253"/>
      <c r="AG255" s="253"/>
      <c r="AH255" s="253"/>
      <c r="AI255" s="253"/>
      <c r="AJ255" s="253"/>
      <c r="AK255" s="253"/>
      <c r="AL255" s="253"/>
      <c r="AM255" s="253"/>
      <c r="AN255" s="253"/>
      <c r="AO255" s="253"/>
      <c r="AP255" s="253"/>
      <c r="AQ255" s="253"/>
      <c r="AR255" s="253"/>
      <c r="AS255" s="253"/>
      <c r="AT255" s="253"/>
      <c r="AU255" s="253"/>
      <c r="AV255" s="253"/>
      <c r="AW255" s="253"/>
      <c r="AX255" s="90"/>
      <c r="AY255" s="90"/>
      <c r="AZ255" s="90"/>
      <c r="BA255" s="90"/>
      <c r="BB255" s="90"/>
      <c r="BC255" s="90"/>
      <c r="BD255" s="90"/>
      <c r="BE255" s="90"/>
      <c r="BF255" s="90"/>
      <c r="BG255" s="90"/>
    </row>
    <row r="256" ht="12.75" customHeight="1">
      <c r="A256" s="515"/>
      <c r="B256" s="90"/>
      <c r="C256" s="90"/>
      <c r="D256" s="90"/>
      <c r="E256" s="90"/>
      <c r="F256" s="90"/>
      <c r="G256" s="90"/>
      <c r="H256" s="90"/>
      <c r="I256" s="90"/>
      <c r="J256" s="89"/>
      <c r="K256" s="90"/>
      <c r="L256" s="90"/>
      <c r="M256" s="90"/>
      <c r="N256" s="90"/>
      <c r="O256" s="90"/>
      <c r="P256" s="90"/>
      <c r="Q256" s="90"/>
      <c r="R256" s="90"/>
      <c r="S256" s="90"/>
      <c r="T256" s="90"/>
      <c r="U256" s="90"/>
      <c r="V256" s="90"/>
      <c r="W256" s="90"/>
      <c r="X256" s="90"/>
      <c r="Y256" s="90"/>
      <c r="Z256" s="90"/>
      <c r="AA256" s="90"/>
      <c r="AB256" s="90"/>
      <c r="AC256" s="90"/>
      <c r="AD256" s="90"/>
      <c r="AE256" s="90"/>
      <c r="AF256" s="90"/>
      <c r="AG256" s="90"/>
      <c r="AH256" s="90"/>
      <c r="AI256" s="90"/>
      <c r="AJ256" s="90"/>
      <c r="AK256" s="90"/>
      <c r="AL256" s="90"/>
      <c r="AM256" s="90"/>
      <c r="AN256" s="90"/>
      <c r="AO256" s="90"/>
      <c r="AP256" s="90"/>
      <c r="AQ256" s="90"/>
      <c r="AR256" s="90"/>
      <c r="AS256" s="90"/>
      <c r="AT256" s="90"/>
      <c r="AU256" s="90"/>
      <c r="AV256" s="90"/>
      <c r="AW256" s="90"/>
      <c r="AX256" s="90"/>
      <c r="AY256" s="90"/>
      <c r="AZ256" s="90"/>
      <c r="BA256" s="90"/>
      <c r="BB256" s="90"/>
      <c r="BC256" s="90"/>
      <c r="BD256" s="90"/>
      <c r="BE256" s="90"/>
      <c r="BF256" s="90"/>
      <c r="BG256" s="90"/>
    </row>
    <row r="257" ht="12.75" customHeight="1">
      <c r="A257" s="515" t="s">
        <v>275</v>
      </c>
      <c r="B257" s="90"/>
      <c r="C257" s="90"/>
      <c r="D257" s="90"/>
      <c r="E257" s="90"/>
      <c r="F257" s="90"/>
      <c r="G257" s="90"/>
      <c r="H257" s="90"/>
      <c r="I257" s="90"/>
      <c r="J257" s="90"/>
      <c r="K257" s="90"/>
      <c r="L257" s="90"/>
      <c r="M257" s="90"/>
      <c r="N257" s="90"/>
      <c r="O257" s="90"/>
      <c r="P257" s="90"/>
      <c r="Q257" s="90"/>
      <c r="R257" s="90"/>
      <c r="S257" s="90"/>
      <c r="T257" s="90"/>
      <c r="U257" s="90"/>
      <c r="V257" s="90"/>
      <c r="W257" s="90"/>
      <c r="X257" s="90"/>
      <c r="Y257" s="90"/>
      <c r="Z257" s="90"/>
      <c r="AA257" s="90"/>
      <c r="AB257" s="90"/>
      <c r="AC257" s="90"/>
      <c r="AD257" s="90"/>
      <c r="AE257" s="90"/>
      <c r="AF257" s="90"/>
      <c r="AG257" s="90"/>
      <c r="AH257" s="90"/>
      <c r="AI257" s="90"/>
      <c r="AJ257" s="90"/>
      <c r="AK257" s="90"/>
      <c r="AL257" s="90"/>
      <c r="AM257" s="90"/>
      <c r="AN257" s="90"/>
      <c r="AO257" s="90"/>
      <c r="AP257" s="90"/>
      <c r="AQ257" s="90"/>
      <c r="AR257" s="90"/>
      <c r="AS257" s="90"/>
      <c r="AT257" s="90"/>
      <c r="AU257" s="90"/>
      <c r="AV257" s="90"/>
      <c r="AW257" s="90"/>
      <c r="AX257" s="90"/>
      <c r="AY257" s="90"/>
      <c r="AZ257" s="90"/>
      <c r="BA257" s="90"/>
      <c r="BB257" s="90"/>
      <c r="BC257" s="90"/>
      <c r="BD257" s="90"/>
      <c r="BE257" s="90"/>
      <c r="BF257" s="90"/>
      <c r="BG257" s="90"/>
    </row>
    <row r="258" ht="12.75" customHeight="1">
      <c r="A258" s="316"/>
      <c r="B258" s="67" t="s">
        <v>544</v>
      </c>
      <c r="C258" s="90"/>
      <c r="D258" s="90"/>
      <c r="E258" s="90"/>
      <c r="F258" s="90"/>
      <c r="G258" s="90"/>
      <c r="H258" s="301"/>
      <c r="I258" s="90"/>
      <c r="J258" s="152"/>
      <c r="K258" s="152"/>
      <c r="L258" s="152"/>
      <c r="M258" s="152"/>
      <c r="N258" s="90"/>
      <c r="O258" s="90"/>
      <c r="P258" s="90"/>
      <c r="Q258" s="90"/>
      <c r="R258" s="90"/>
      <c r="S258" s="90"/>
      <c r="T258" s="90"/>
      <c r="U258" s="90"/>
      <c r="V258" s="90"/>
      <c r="W258" s="90"/>
      <c r="X258" s="90"/>
      <c r="Y258" s="90"/>
      <c r="Z258" s="90"/>
      <c r="AA258" s="90"/>
      <c r="AB258" s="90"/>
      <c r="AC258" s="90"/>
      <c r="AD258" s="90"/>
      <c r="AE258" s="90"/>
      <c r="AF258" s="90"/>
      <c r="AG258" s="90"/>
      <c r="AH258" s="90"/>
      <c r="AI258" s="90"/>
      <c r="AJ258" s="90"/>
      <c r="AK258" s="90"/>
      <c r="AL258" s="90"/>
      <c r="AM258" s="90"/>
      <c r="AN258" s="90"/>
      <c r="AO258" s="90"/>
      <c r="AP258" s="90"/>
      <c r="AQ258" s="90"/>
      <c r="AR258" s="90"/>
      <c r="AS258" s="90"/>
      <c r="AT258" s="90"/>
      <c r="AU258" s="90"/>
      <c r="AV258" s="90"/>
      <c r="AW258" s="90"/>
      <c r="AX258" s="90"/>
      <c r="AY258" s="90"/>
      <c r="AZ258" s="90"/>
      <c r="BA258" s="90"/>
      <c r="BB258" s="90"/>
      <c r="BC258" s="90"/>
      <c r="BD258" s="90"/>
      <c r="BE258" s="90"/>
      <c r="BF258" s="90"/>
      <c r="BG258" s="90"/>
    </row>
    <row r="259" ht="12.75" customHeight="1">
      <c r="A259" s="316"/>
      <c r="B259" s="90"/>
      <c r="C259" s="90" t="s">
        <v>785</v>
      </c>
      <c r="D259" s="90"/>
      <c r="E259" s="90"/>
      <c r="F259" s="90"/>
      <c r="G259" s="99"/>
      <c r="H259" s="99"/>
      <c r="I259" s="99"/>
      <c r="J259" s="99">
        <v>0.0</v>
      </c>
      <c r="K259" s="99">
        <v>2039313.87</v>
      </c>
      <c r="L259" s="99">
        <f t="shared" ref="L259:AV259" si="167">L90*L53+L91*L54</f>
        <v>2207024.64</v>
      </c>
      <c r="M259" s="99">
        <f t="shared" si="167"/>
        <v>2326453.392</v>
      </c>
      <c r="N259" s="99">
        <f t="shared" si="167"/>
        <v>2372982.46</v>
      </c>
      <c r="O259" s="99">
        <f t="shared" si="167"/>
        <v>2420442.109</v>
      </c>
      <c r="P259" s="99">
        <f t="shared" si="167"/>
        <v>2468850.951</v>
      </c>
      <c r="Q259" s="99">
        <f t="shared" si="167"/>
        <v>2518227.97</v>
      </c>
      <c r="R259" s="99">
        <f t="shared" si="167"/>
        <v>2594110.703</v>
      </c>
      <c r="S259" s="99">
        <f t="shared" si="167"/>
        <v>2645992.917</v>
      </c>
      <c r="T259" s="99">
        <f t="shared" si="167"/>
        <v>2698912.775</v>
      </c>
      <c r="U259" s="99">
        <f t="shared" si="167"/>
        <v>2752891.031</v>
      </c>
      <c r="V259" s="99">
        <f t="shared" si="167"/>
        <v>2807948.852</v>
      </c>
      <c r="W259" s="99">
        <f t="shared" si="167"/>
        <v>2864107.829</v>
      </c>
      <c r="X259" s="99">
        <f t="shared" si="167"/>
        <v>2921389.985</v>
      </c>
      <c r="Y259" s="99">
        <f t="shared" si="167"/>
        <v>2979817.785</v>
      </c>
      <c r="Z259" s="99">
        <f t="shared" si="167"/>
        <v>3039414.141</v>
      </c>
      <c r="AA259" s="99">
        <f t="shared" si="167"/>
        <v>3100202.423</v>
      </c>
      <c r="AB259" s="99">
        <f t="shared" si="167"/>
        <v>3162206.472</v>
      </c>
      <c r="AC259" s="99">
        <f t="shared" si="167"/>
        <v>3225450.601</v>
      </c>
      <c r="AD259" s="99">
        <f t="shared" si="167"/>
        <v>3289959.613</v>
      </c>
      <c r="AE259" s="99">
        <f t="shared" si="167"/>
        <v>3355758.806</v>
      </c>
      <c r="AF259" s="99">
        <f t="shared" si="167"/>
        <v>3422873.982</v>
      </c>
      <c r="AG259" s="99">
        <f t="shared" si="167"/>
        <v>3491331.461</v>
      </c>
      <c r="AH259" s="99">
        <f t="shared" si="167"/>
        <v>3561158.091</v>
      </c>
      <c r="AI259" s="99">
        <f t="shared" si="167"/>
        <v>3632381.252</v>
      </c>
      <c r="AJ259" s="99">
        <f t="shared" si="167"/>
        <v>3705028.877</v>
      </c>
      <c r="AK259" s="99">
        <f t="shared" si="167"/>
        <v>3779129.455</v>
      </c>
      <c r="AL259" s="99">
        <f t="shared" si="167"/>
        <v>3854712.044</v>
      </c>
      <c r="AM259" s="99">
        <f t="shared" si="167"/>
        <v>3931806.285</v>
      </c>
      <c r="AN259" s="99">
        <f t="shared" si="167"/>
        <v>4010442.411</v>
      </c>
      <c r="AO259" s="99">
        <f t="shared" si="167"/>
        <v>4090651.259</v>
      </c>
      <c r="AP259" s="99">
        <f t="shared" si="167"/>
        <v>4172464.284</v>
      </c>
      <c r="AQ259" s="99">
        <f t="shared" si="167"/>
        <v>4255913.57</v>
      </c>
      <c r="AR259" s="99">
        <f t="shared" si="167"/>
        <v>4341031.841</v>
      </c>
      <c r="AS259" s="99">
        <f t="shared" si="167"/>
        <v>4427852.478</v>
      </c>
      <c r="AT259" s="99">
        <f t="shared" si="167"/>
        <v>4516409.527</v>
      </c>
      <c r="AU259" s="99">
        <f t="shared" si="167"/>
        <v>4606737.718</v>
      </c>
      <c r="AV259" s="99">
        <f t="shared" si="167"/>
        <v>4698872.472</v>
      </c>
      <c r="AW259" s="90"/>
      <c r="AX259" s="90"/>
      <c r="AY259" s="90"/>
      <c r="AZ259" s="90"/>
      <c r="BA259" s="90"/>
      <c r="BB259" s="90"/>
      <c r="BC259" s="90"/>
      <c r="BD259" s="90"/>
      <c r="BE259" s="90"/>
      <c r="BF259" s="90"/>
      <c r="BG259" s="90"/>
    </row>
    <row r="260" ht="12.75" customHeight="1">
      <c r="A260" s="316"/>
      <c r="B260" s="90"/>
      <c r="C260" s="90" t="s">
        <v>669</v>
      </c>
      <c r="D260" s="90"/>
      <c r="E260" s="90"/>
      <c r="F260" s="90"/>
      <c r="G260" s="99"/>
      <c r="H260" s="99"/>
      <c r="I260" s="99"/>
      <c r="J260" s="99">
        <v>0.0</v>
      </c>
      <c r="K260" s="99">
        <v>443121.0</v>
      </c>
      <c r="L260" s="99">
        <f t="shared" ref="L260:AV260" si="168">L92*L55</f>
        <v>184780.8</v>
      </c>
      <c r="M260" s="99">
        <f t="shared" si="168"/>
        <v>194404.8</v>
      </c>
      <c r="N260" s="99">
        <f t="shared" si="168"/>
        <v>198292.896</v>
      </c>
      <c r="O260" s="99">
        <f t="shared" si="168"/>
        <v>202258.7539</v>
      </c>
      <c r="P260" s="99">
        <f t="shared" si="168"/>
        <v>206303.929</v>
      </c>
      <c r="Q260" s="99">
        <f t="shared" si="168"/>
        <v>210430.0076</v>
      </c>
      <c r="R260" s="99">
        <f t="shared" si="168"/>
        <v>216770.976</v>
      </c>
      <c r="S260" s="99">
        <f t="shared" si="168"/>
        <v>221106.3955</v>
      </c>
      <c r="T260" s="99">
        <f t="shared" si="168"/>
        <v>225528.5234</v>
      </c>
      <c r="U260" s="99">
        <f t="shared" si="168"/>
        <v>230039.0939</v>
      </c>
      <c r="V260" s="99">
        <f t="shared" si="168"/>
        <v>234639.8758</v>
      </c>
      <c r="W260" s="99">
        <f t="shared" si="168"/>
        <v>239332.6733</v>
      </c>
      <c r="X260" s="99">
        <f t="shared" si="168"/>
        <v>244119.3268</v>
      </c>
      <c r="Y260" s="99">
        <f t="shared" si="168"/>
        <v>249001.7133</v>
      </c>
      <c r="Z260" s="99">
        <f t="shared" si="168"/>
        <v>253981.7476</v>
      </c>
      <c r="AA260" s="99">
        <f t="shared" si="168"/>
        <v>259061.3825</v>
      </c>
      <c r="AB260" s="99">
        <f t="shared" si="168"/>
        <v>264242.6102</v>
      </c>
      <c r="AC260" s="99">
        <f t="shared" si="168"/>
        <v>269527.4624</v>
      </c>
      <c r="AD260" s="99">
        <f t="shared" si="168"/>
        <v>274918.0116</v>
      </c>
      <c r="AE260" s="99">
        <f t="shared" si="168"/>
        <v>280416.3718</v>
      </c>
      <c r="AF260" s="99">
        <f t="shared" si="168"/>
        <v>286024.6993</v>
      </c>
      <c r="AG260" s="99">
        <f t="shared" si="168"/>
        <v>291745.1933</v>
      </c>
      <c r="AH260" s="99">
        <f t="shared" si="168"/>
        <v>297580.0971</v>
      </c>
      <c r="AI260" s="99">
        <f t="shared" si="168"/>
        <v>303531.6991</v>
      </c>
      <c r="AJ260" s="99">
        <f t="shared" si="168"/>
        <v>309602.3331</v>
      </c>
      <c r="AK260" s="99">
        <f t="shared" si="168"/>
        <v>315794.3797</v>
      </c>
      <c r="AL260" s="99">
        <f t="shared" si="168"/>
        <v>322110.2673</v>
      </c>
      <c r="AM260" s="99">
        <f t="shared" si="168"/>
        <v>328552.4727</v>
      </c>
      <c r="AN260" s="99">
        <f t="shared" si="168"/>
        <v>335123.5221</v>
      </c>
      <c r="AO260" s="99">
        <f t="shared" si="168"/>
        <v>341825.9926</v>
      </c>
      <c r="AP260" s="99">
        <f t="shared" si="168"/>
        <v>348662.5124</v>
      </c>
      <c r="AQ260" s="99">
        <f t="shared" si="168"/>
        <v>355635.7627</v>
      </c>
      <c r="AR260" s="99">
        <f t="shared" si="168"/>
        <v>362748.4779</v>
      </c>
      <c r="AS260" s="99">
        <f t="shared" si="168"/>
        <v>370003.4475</v>
      </c>
      <c r="AT260" s="99">
        <f t="shared" si="168"/>
        <v>377403.5164</v>
      </c>
      <c r="AU260" s="99">
        <f t="shared" si="168"/>
        <v>384951.5867</v>
      </c>
      <c r="AV260" s="99">
        <f t="shared" si="168"/>
        <v>392650.6185</v>
      </c>
      <c r="AW260" s="90"/>
      <c r="AX260" s="90"/>
      <c r="AY260" s="90"/>
      <c r="AZ260" s="90"/>
      <c r="BA260" s="90"/>
      <c r="BB260" s="90"/>
      <c r="BC260" s="90"/>
      <c r="BD260" s="90"/>
      <c r="BE260" s="90"/>
      <c r="BF260" s="90"/>
      <c r="BG260" s="90"/>
    </row>
    <row r="261" ht="12.75" customHeight="1">
      <c r="A261" s="316"/>
      <c r="B261" s="90"/>
      <c r="C261" s="90" t="s">
        <v>670</v>
      </c>
      <c r="D261" s="90"/>
      <c r="E261" s="90"/>
      <c r="F261" s="90"/>
      <c r="G261" s="99"/>
      <c r="H261" s="99"/>
      <c r="I261" s="99"/>
      <c r="J261" s="99">
        <v>0.0</v>
      </c>
      <c r="K261" s="99">
        <v>0.0</v>
      </c>
      <c r="L261" s="99">
        <f t="shared" ref="L261:AV261" si="169">L76*L93</f>
        <v>277932</v>
      </c>
      <c r="M261" s="99">
        <f t="shared" si="169"/>
        <v>285850.2</v>
      </c>
      <c r="N261" s="99">
        <f t="shared" si="169"/>
        <v>287963.5644</v>
      </c>
      <c r="O261" s="99">
        <f t="shared" si="169"/>
        <v>284700.6325</v>
      </c>
      <c r="P261" s="99">
        <f t="shared" si="169"/>
        <v>281191.998</v>
      </c>
      <c r="Q261" s="99">
        <f t="shared" si="169"/>
        <v>278472.1045</v>
      </c>
      <c r="R261" s="99">
        <f t="shared" si="169"/>
        <v>278268.2532</v>
      </c>
      <c r="S261" s="99">
        <f t="shared" si="169"/>
        <v>275431.8509</v>
      </c>
      <c r="T261" s="99">
        <f t="shared" si="169"/>
        <v>273115.8855</v>
      </c>
      <c r="U261" s="99">
        <f t="shared" si="169"/>
        <v>270597.1087</v>
      </c>
      <c r="V261" s="99">
        <f t="shared" si="169"/>
        <v>271357.2129</v>
      </c>
      <c r="W261" s="99">
        <f t="shared" si="169"/>
        <v>276784.3572</v>
      </c>
      <c r="X261" s="99">
        <f t="shared" si="169"/>
        <v>282320.0443</v>
      </c>
      <c r="Y261" s="99">
        <f t="shared" si="169"/>
        <v>287966.4452</v>
      </c>
      <c r="Z261" s="99">
        <f t="shared" si="169"/>
        <v>293725.7741</v>
      </c>
      <c r="AA261" s="99">
        <f t="shared" si="169"/>
        <v>299600.2896</v>
      </c>
      <c r="AB261" s="99">
        <f t="shared" si="169"/>
        <v>305592.2954</v>
      </c>
      <c r="AC261" s="99">
        <f t="shared" si="169"/>
        <v>311704.1413</v>
      </c>
      <c r="AD261" s="99">
        <f t="shared" si="169"/>
        <v>317938.2242</v>
      </c>
      <c r="AE261" s="99">
        <f t="shared" si="169"/>
        <v>324296.9886</v>
      </c>
      <c r="AF261" s="99">
        <f t="shared" si="169"/>
        <v>330782.9284</v>
      </c>
      <c r="AG261" s="99">
        <f t="shared" si="169"/>
        <v>337398.587</v>
      </c>
      <c r="AH261" s="99">
        <f t="shared" si="169"/>
        <v>344146.5587</v>
      </c>
      <c r="AI261" s="99">
        <f t="shared" si="169"/>
        <v>351029.4899</v>
      </c>
      <c r="AJ261" s="99">
        <f t="shared" si="169"/>
        <v>358050.0797</v>
      </c>
      <c r="AK261" s="99">
        <f t="shared" si="169"/>
        <v>365211.0813</v>
      </c>
      <c r="AL261" s="99">
        <f t="shared" si="169"/>
        <v>372515.3029</v>
      </c>
      <c r="AM261" s="99">
        <f t="shared" si="169"/>
        <v>379965.609</v>
      </c>
      <c r="AN261" s="99">
        <f t="shared" si="169"/>
        <v>387564.9211</v>
      </c>
      <c r="AO261" s="99">
        <f t="shared" si="169"/>
        <v>395316.2196</v>
      </c>
      <c r="AP261" s="99">
        <f t="shared" si="169"/>
        <v>403222.544</v>
      </c>
      <c r="AQ261" s="99">
        <f t="shared" si="169"/>
        <v>411286.9948</v>
      </c>
      <c r="AR261" s="99">
        <f t="shared" si="169"/>
        <v>419512.7347</v>
      </c>
      <c r="AS261" s="99">
        <f t="shared" si="169"/>
        <v>427902.9894</v>
      </c>
      <c r="AT261" s="99">
        <f t="shared" si="169"/>
        <v>436461.0492</v>
      </c>
      <c r="AU261" s="99">
        <f t="shared" si="169"/>
        <v>445190.2702</v>
      </c>
      <c r="AV261" s="99">
        <f t="shared" si="169"/>
        <v>454094.0756</v>
      </c>
      <c r="AW261" s="90" t="s">
        <v>1210</v>
      </c>
      <c r="AX261" s="90"/>
      <c r="AY261" s="90"/>
      <c r="AZ261" s="90"/>
      <c r="BA261" s="90"/>
      <c r="BB261" s="90"/>
      <c r="BC261" s="90"/>
      <c r="BD261" s="90"/>
      <c r="BE261" s="90"/>
      <c r="BF261" s="90"/>
      <c r="BG261" s="90"/>
    </row>
    <row r="262" ht="12.75" customHeight="1">
      <c r="A262" s="316"/>
      <c r="B262" s="90"/>
      <c r="C262" s="90" t="s">
        <v>671</v>
      </c>
      <c r="D262" s="90"/>
      <c r="E262" s="90"/>
      <c r="F262" s="90"/>
      <c r="G262" s="99"/>
      <c r="H262" s="99"/>
      <c r="I262" s="99"/>
      <c r="J262" s="99">
        <v>0.0</v>
      </c>
      <c r="K262" s="99">
        <v>0.0</v>
      </c>
      <c r="L262" s="99">
        <f t="shared" ref="L262:O262" si="170">MIN(L40,$AY$95)*L95+MIN(L41,$AY$96)*L96+MIN(L42,$AY$97)*L97+MIN(L43,$AY$98)*L98</f>
        <v>0</v>
      </c>
      <c r="M262" s="99">
        <f t="shared" si="170"/>
        <v>0</v>
      </c>
      <c r="N262" s="99">
        <f t="shared" si="170"/>
        <v>0</v>
      </c>
      <c r="O262" s="99">
        <f t="shared" si="170"/>
        <v>0</v>
      </c>
      <c r="P262" s="99">
        <f t="shared" ref="P262:AV262" si="171">P94*P53</f>
        <v>0</v>
      </c>
      <c r="Q262" s="99">
        <f t="shared" si="171"/>
        <v>0</v>
      </c>
      <c r="R262" s="99">
        <f t="shared" si="171"/>
        <v>0</v>
      </c>
      <c r="S262" s="99">
        <f t="shared" si="171"/>
        <v>0</v>
      </c>
      <c r="T262" s="99">
        <f t="shared" si="171"/>
        <v>0</v>
      </c>
      <c r="U262" s="99">
        <f t="shared" si="171"/>
        <v>0</v>
      </c>
      <c r="V262" s="99">
        <f t="shared" si="171"/>
        <v>0</v>
      </c>
      <c r="W262" s="99">
        <f t="shared" si="171"/>
        <v>0</v>
      </c>
      <c r="X262" s="99">
        <f t="shared" si="171"/>
        <v>0</v>
      </c>
      <c r="Y262" s="99">
        <f t="shared" si="171"/>
        <v>0</v>
      </c>
      <c r="Z262" s="99">
        <f t="shared" si="171"/>
        <v>0</v>
      </c>
      <c r="AA262" s="99">
        <f t="shared" si="171"/>
        <v>0</v>
      </c>
      <c r="AB262" s="99">
        <f t="shared" si="171"/>
        <v>0</v>
      </c>
      <c r="AC262" s="99">
        <f t="shared" si="171"/>
        <v>0</v>
      </c>
      <c r="AD262" s="99">
        <f t="shared" si="171"/>
        <v>0</v>
      </c>
      <c r="AE262" s="99">
        <f t="shared" si="171"/>
        <v>0</v>
      </c>
      <c r="AF262" s="99">
        <f t="shared" si="171"/>
        <v>0</v>
      </c>
      <c r="AG262" s="99">
        <f t="shared" si="171"/>
        <v>0</v>
      </c>
      <c r="AH262" s="99">
        <f t="shared" si="171"/>
        <v>0</v>
      </c>
      <c r="AI262" s="99">
        <f t="shared" si="171"/>
        <v>0</v>
      </c>
      <c r="AJ262" s="99">
        <f t="shared" si="171"/>
        <v>0</v>
      </c>
      <c r="AK262" s="99">
        <f t="shared" si="171"/>
        <v>0</v>
      </c>
      <c r="AL262" s="99">
        <f t="shared" si="171"/>
        <v>0</v>
      </c>
      <c r="AM262" s="99">
        <f t="shared" si="171"/>
        <v>0</v>
      </c>
      <c r="AN262" s="99">
        <f t="shared" si="171"/>
        <v>0</v>
      </c>
      <c r="AO262" s="99">
        <f t="shared" si="171"/>
        <v>0</v>
      </c>
      <c r="AP262" s="99">
        <f t="shared" si="171"/>
        <v>0</v>
      </c>
      <c r="AQ262" s="99">
        <f t="shared" si="171"/>
        <v>0</v>
      </c>
      <c r="AR262" s="99">
        <f t="shared" si="171"/>
        <v>0</v>
      </c>
      <c r="AS262" s="99">
        <f t="shared" si="171"/>
        <v>0</v>
      </c>
      <c r="AT262" s="99">
        <f t="shared" si="171"/>
        <v>0</v>
      </c>
      <c r="AU262" s="99">
        <f t="shared" si="171"/>
        <v>0</v>
      </c>
      <c r="AV262" s="99">
        <f t="shared" si="171"/>
        <v>0</v>
      </c>
      <c r="AW262" s="90"/>
      <c r="AX262" s="90"/>
      <c r="AY262" s="90"/>
      <c r="AZ262" s="90"/>
      <c r="BA262" s="90"/>
      <c r="BB262" s="90"/>
      <c r="BC262" s="90"/>
      <c r="BD262" s="90"/>
      <c r="BE262" s="90"/>
      <c r="BF262" s="90"/>
      <c r="BG262" s="90"/>
    </row>
    <row r="263" ht="12.75" customHeight="1">
      <c r="A263" s="316"/>
      <c r="B263" s="90"/>
      <c r="C263" s="90" t="s">
        <v>676</v>
      </c>
      <c r="D263" s="90"/>
      <c r="E263" s="90"/>
      <c r="F263" s="90"/>
      <c r="G263" s="99"/>
      <c r="H263" s="99"/>
      <c r="I263" s="99"/>
      <c r="J263" s="99">
        <v>0.0</v>
      </c>
      <c r="K263" s="99">
        <v>0.0</v>
      </c>
      <c r="L263" s="99">
        <f t="shared" ref="L263:AV263" si="172">L84*L99</f>
        <v>0</v>
      </c>
      <c r="M263" s="99">
        <f t="shared" si="172"/>
        <v>0</v>
      </c>
      <c r="N263" s="99">
        <f t="shared" si="172"/>
        <v>0</v>
      </c>
      <c r="O263" s="99">
        <f t="shared" si="172"/>
        <v>0</v>
      </c>
      <c r="P263" s="99">
        <f t="shared" si="172"/>
        <v>0</v>
      </c>
      <c r="Q263" s="99">
        <f t="shared" si="172"/>
        <v>0</v>
      </c>
      <c r="R263" s="99">
        <f t="shared" si="172"/>
        <v>0</v>
      </c>
      <c r="S263" s="99">
        <f t="shared" si="172"/>
        <v>0</v>
      </c>
      <c r="T263" s="99">
        <f t="shared" si="172"/>
        <v>0</v>
      </c>
      <c r="U263" s="99">
        <f t="shared" si="172"/>
        <v>0</v>
      </c>
      <c r="V263" s="99">
        <f t="shared" si="172"/>
        <v>0</v>
      </c>
      <c r="W263" s="99">
        <f t="shared" si="172"/>
        <v>0</v>
      </c>
      <c r="X263" s="99">
        <f t="shared" si="172"/>
        <v>0</v>
      </c>
      <c r="Y263" s="99">
        <f t="shared" si="172"/>
        <v>0</v>
      </c>
      <c r="Z263" s="99">
        <f t="shared" si="172"/>
        <v>0</v>
      </c>
      <c r="AA263" s="99">
        <f t="shared" si="172"/>
        <v>0</v>
      </c>
      <c r="AB263" s="99">
        <f t="shared" si="172"/>
        <v>0</v>
      </c>
      <c r="AC263" s="99">
        <f t="shared" si="172"/>
        <v>0</v>
      </c>
      <c r="AD263" s="99">
        <f t="shared" si="172"/>
        <v>0</v>
      </c>
      <c r="AE263" s="99">
        <f t="shared" si="172"/>
        <v>0</v>
      </c>
      <c r="AF263" s="99">
        <f t="shared" si="172"/>
        <v>0</v>
      </c>
      <c r="AG263" s="99">
        <f t="shared" si="172"/>
        <v>0</v>
      </c>
      <c r="AH263" s="99">
        <f t="shared" si="172"/>
        <v>0</v>
      </c>
      <c r="AI263" s="99">
        <f t="shared" si="172"/>
        <v>0</v>
      </c>
      <c r="AJ263" s="99">
        <f t="shared" si="172"/>
        <v>0</v>
      </c>
      <c r="AK263" s="99">
        <f t="shared" si="172"/>
        <v>0</v>
      </c>
      <c r="AL263" s="99">
        <f t="shared" si="172"/>
        <v>0</v>
      </c>
      <c r="AM263" s="99">
        <f t="shared" si="172"/>
        <v>0</v>
      </c>
      <c r="AN263" s="99">
        <f t="shared" si="172"/>
        <v>0</v>
      </c>
      <c r="AO263" s="99">
        <f t="shared" si="172"/>
        <v>0</v>
      </c>
      <c r="AP263" s="99">
        <f t="shared" si="172"/>
        <v>0</v>
      </c>
      <c r="AQ263" s="99">
        <f t="shared" si="172"/>
        <v>0</v>
      </c>
      <c r="AR263" s="99">
        <f t="shared" si="172"/>
        <v>0</v>
      </c>
      <c r="AS263" s="99">
        <f t="shared" si="172"/>
        <v>0</v>
      </c>
      <c r="AT263" s="99">
        <f t="shared" si="172"/>
        <v>0</v>
      </c>
      <c r="AU263" s="99">
        <f t="shared" si="172"/>
        <v>0</v>
      </c>
      <c r="AV263" s="99">
        <f t="shared" si="172"/>
        <v>0</v>
      </c>
      <c r="AW263" s="90"/>
      <c r="AX263" s="90"/>
      <c r="AY263" s="90"/>
      <c r="AZ263" s="90"/>
      <c r="BA263" s="90"/>
      <c r="BB263" s="90"/>
      <c r="BC263" s="90"/>
      <c r="BD263" s="90"/>
      <c r="BE263" s="90"/>
      <c r="BF263" s="90"/>
      <c r="BG263" s="90"/>
    </row>
    <row r="264" ht="12.75" customHeight="1">
      <c r="A264" s="316"/>
      <c r="B264" s="90"/>
      <c r="C264" s="90" t="s">
        <v>786</v>
      </c>
      <c r="D264" s="90"/>
      <c r="E264" s="90"/>
      <c r="F264" s="90"/>
      <c r="G264" s="99"/>
      <c r="H264" s="99"/>
      <c r="I264" s="99"/>
      <c r="J264" s="99">
        <v>0.0</v>
      </c>
      <c r="K264" s="99">
        <v>50184.0</v>
      </c>
      <c r="L264" s="99">
        <f t="shared" ref="L264:AV264" si="173">(L100+L101)*L55</f>
        <v>57277.44</v>
      </c>
      <c r="M264" s="99">
        <f t="shared" si="173"/>
        <v>60260.64</v>
      </c>
      <c r="N264" s="99">
        <f t="shared" si="173"/>
        <v>61465.8528</v>
      </c>
      <c r="O264" s="99">
        <f t="shared" si="173"/>
        <v>62695.16986</v>
      </c>
      <c r="P264" s="99">
        <f t="shared" si="173"/>
        <v>63949.07325</v>
      </c>
      <c r="Q264" s="99">
        <f t="shared" si="173"/>
        <v>65228.05472</v>
      </c>
      <c r="R264" s="99">
        <f t="shared" si="173"/>
        <v>67193.5968</v>
      </c>
      <c r="S264" s="99">
        <f t="shared" si="173"/>
        <v>68537.46874</v>
      </c>
      <c r="T264" s="99">
        <f t="shared" si="173"/>
        <v>69908.21811</v>
      </c>
      <c r="U264" s="99">
        <f t="shared" si="173"/>
        <v>71306.38247</v>
      </c>
      <c r="V264" s="99">
        <f t="shared" si="173"/>
        <v>72732.51012</v>
      </c>
      <c r="W264" s="99">
        <f t="shared" si="173"/>
        <v>74187.16032</v>
      </c>
      <c r="X264" s="99">
        <f t="shared" si="173"/>
        <v>75670.90353</v>
      </c>
      <c r="Y264" s="99">
        <f t="shared" si="173"/>
        <v>77184.3216</v>
      </c>
      <c r="Z264" s="99">
        <f t="shared" si="173"/>
        <v>78728.00803</v>
      </c>
      <c r="AA264" s="99">
        <f t="shared" si="173"/>
        <v>80302.56819</v>
      </c>
      <c r="AB264" s="99">
        <f t="shared" si="173"/>
        <v>81908.61956</v>
      </c>
      <c r="AC264" s="99">
        <f t="shared" si="173"/>
        <v>83546.79195</v>
      </c>
      <c r="AD264" s="99">
        <f t="shared" si="173"/>
        <v>85217.72779</v>
      </c>
      <c r="AE264" s="99">
        <f t="shared" si="173"/>
        <v>86922.08234</v>
      </c>
      <c r="AF264" s="99">
        <f t="shared" si="173"/>
        <v>88660.52399</v>
      </c>
      <c r="AG264" s="99">
        <f t="shared" si="173"/>
        <v>90433.73447</v>
      </c>
      <c r="AH264" s="99">
        <f t="shared" si="173"/>
        <v>92242.40916</v>
      </c>
      <c r="AI264" s="99">
        <f t="shared" si="173"/>
        <v>94087.25734</v>
      </c>
      <c r="AJ264" s="99">
        <f t="shared" si="173"/>
        <v>95969.00249</v>
      </c>
      <c r="AK264" s="99">
        <f t="shared" si="173"/>
        <v>97888.38254</v>
      </c>
      <c r="AL264" s="99">
        <f t="shared" si="173"/>
        <v>99846.15019</v>
      </c>
      <c r="AM264" s="99">
        <f t="shared" si="173"/>
        <v>101843.0732</v>
      </c>
      <c r="AN264" s="99">
        <f t="shared" si="173"/>
        <v>103879.9347</v>
      </c>
      <c r="AO264" s="99">
        <f t="shared" si="173"/>
        <v>105957.5334</v>
      </c>
      <c r="AP264" s="99">
        <f t="shared" si="173"/>
        <v>108076.684</v>
      </c>
      <c r="AQ264" s="99">
        <f t="shared" si="173"/>
        <v>110238.2177</v>
      </c>
      <c r="AR264" s="99">
        <f t="shared" si="173"/>
        <v>112442.9821</v>
      </c>
      <c r="AS264" s="99">
        <f t="shared" si="173"/>
        <v>114691.8417</v>
      </c>
      <c r="AT264" s="99">
        <f t="shared" si="173"/>
        <v>116985.6785</v>
      </c>
      <c r="AU264" s="99">
        <f t="shared" si="173"/>
        <v>119325.3921</v>
      </c>
      <c r="AV264" s="99">
        <f t="shared" si="173"/>
        <v>121711.8999</v>
      </c>
      <c r="AW264" s="90"/>
      <c r="AX264" s="90"/>
      <c r="AY264" s="90"/>
      <c r="AZ264" s="90"/>
      <c r="BA264" s="90"/>
      <c r="BB264" s="90"/>
      <c r="BC264" s="90"/>
      <c r="BD264" s="90"/>
      <c r="BE264" s="90"/>
      <c r="BF264" s="90"/>
      <c r="BG264" s="90"/>
    </row>
    <row r="265" ht="12.75" customHeight="1">
      <c r="A265" s="316"/>
      <c r="B265" s="90"/>
      <c r="C265" s="90" t="s">
        <v>787</v>
      </c>
      <c r="D265" s="90"/>
      <c r="E265" s="90"/>
      <c r="F265" s="90"/>
      <c r="G265" s="99"/>
      <c r="H265" s="99"/>
      <c r="I265" s="99"/>
      <c r="J265" s="99">
        <v>0.0</v>
      </c>
      <c r="K265" s="99">
        <v>0.0</v>
      </c>
      <c r="L265" s="99">
        <v>0.0</v>
      </c>
      <c r="M265" s="99">
        <v>0.0</v>
      </c>
      <c r="N265" s="99">
        <v>0.0</v>
      </c>
      <c r="O265" s="99">
        <v>0.0</v>
      </c>
      <c r="P265" s="99">
        <v>0.0</v>
      </c>
      <c r="Q265" s="99">
        <v>0.0</v>
      </c>
      <c r="R265" s="99">
        <v>0.0</v>
      </c>
      <c r="S265" s="99">
        <v>0.0</v>
      </c>
      <c r="T265" s="99">
        <v>0.0</v>
      </c>
      <c r="U265" s="99">
        <v>0.0</v>
      </c>
      <c r="V265" s="99">
        <v>0.0</v>
      </c>
      <c r="W265" s="99">
        <v>0.0</v>
      </c>
      <c r="X265" s="99">
        <v>0.0</v>
      </c>
      <c r="Y265" s="99">
        <v>0.0</v>
      </c>
      <c r="Z265" s="99">
        <v>0.0</v>
      </c>
      <c r="AA265" s="99">
        <v>0.0</v>
      </c>
      <c r="AB265" s="99">
        <v>0.0</v>
      </c>
      <c r="AC265" s="99">
        <v>0.0</v>
      </c>
      <c r="AD265" s="99">
        <v>0.0</v>
      </c>
      <c r="AE265" s="99">
        <v>0.0</v>
      </c>
      <c r="AF265" s="99">
        <v>0.0</v>
      </c>
      <c r="AG265" s="99">
        <v>0.0</v>
      </c>
      <c r="AH265" s="99">
        <v>0.0</v>
      </c>
      <c r="AI265" s="99">
        <v>0.0</v>
      </c>
      <c r="AJ265" s="99">
        <v>0.0</v>
      </c>
      <c r="AK265" s="99">
        <v>0.0</v>
      </c>
      <c r="AL265" s="99">
        <v>0.0</v>
      </c>
      <c r="AM265" s="99">
        <v>0.0</v>
      </c>
      <c r="AN265" s="99">
        <v>0.0</v>
      </c>
      <c r="AO265" s="99">
        <v>0.0</v>
      </c>
      <c r="AP265" s="99">
        <v>0.0</v>
      </c>
      <c r="AQ265" s="99">
        <v>0.0</v>
      </c>
      <c r="AR265" s="99">
        <v>0.0</v>
      </c>
      <c r="AS265" s="99">
        <v>0.0</v>
      </c>
      <c r="AT265" s="99">
        <v>0.0</v>
      </c>
      <c r="AU265" s="99">
        <v>0.0</v>
      </c>
      <c r="AV265" s="99">
        <v>0.0</v>
      </c>
      <c r="AW265" s="90"/>
      <c r="AX265" s="90"/>
      <c r="AY265" s="90"/>
      <c r="AZ265" s="90"/>
      <c r="BA265" s="90"/>
      <c r="BB265" s="90"/>
      <c r="BC265" s="90"/>
      <c r="BD265" s="90"/>
      <c r="BE265" s="90"/>
      <c r="BF265" s="90"/>
      <c r="BG265" s="90"/>
    </row>
    <row r="266" ht="12.75" customHeight="1">
      <c r="A266" s="316"/>
      <c r="B266" s="90"/>
      <c r="C266" s="90" t="s">
        <v>680</v>
      </c>
      <c r="D266" s="90"/>
      <c r="E266" s="90"/>
      <c r="F266" s="90"/>
      <c r="G266" s="99"/>
      <c r="H266" s="99"/>
      <c r="I266" s="99"/>
      <c r="J266" s="99">
        <v>0.0</v>
      </c>
      <c r="K266" s="99">
        <v>242334.0</v>
      </c>
      <c r="L266" s="99">
        <f t="shared" ref="L266:AV266" si="174">MIN(L103*L55,0.75*(K380))</f>
        <v>276480</v>
      </c>
      <c r="M266" s="99">
        <f t="shared" si="174"/>
        <v>290880</v>
      </c>
      <c r="N266" s="99">
        <f t="shared" si="174"/>
        <v>296697.6</v>
      </c>
      <c r="O266" s="99">
        <f t="shared" si="174"/>
        <v>302631.552</v>
      </c>
      <c r="P266" s="99">
        <f t="shared" si="174"/>
        <v>308684.183</v>
      </c>
      <c r="Q266" s="99">
        <f t="shared" si="174"/>
        <v>314857.8667</v>
      </c>
      <c r="R266" s="99">
        <f t="shared" si="174"/>
        <v>324345.6</v>
      </c>
      <c r="S266" s="99">
        <f t="shared" si="174"/>
        <v>330832.512</v>
      </c>
      <c r="T266" s="99">
        <f t="shared" si="174"/>
        <v>337449.1622</v>
      </c>
      <c r="U266" s="99">
        <f t="shared" si="174"/>
        <v>344198.1455</v>
      </c>
      <c r="V266" s="99">
        <f t="shared" si="174"/>
        <v>351082.1084</v>
      </c>
      <c r="W266" s="99">
        <f t="shared" si="174"/>
        <v>358103.7506</v>
      </c>
      <c r="X266" s="99">
        <f t="shared" si="174"/>
        <v>365265.8256</v>
      </c>
      <c r="Y266" s="99">
        <f t="shared" si="174"/>
        <v>372571.1421</v>
      </c>
      <c r="Z266" s="99">
        <f t="shared" si="174"/>
        <v>380022.5649</v>
      </c>
      <c r="AA266" s="99">
        <f t="shared" si="174"/>
        <v>387623.0162</v>
      </c>
      <c r="AB266" s="99">
        <f t="shared" si="174"/>
        <v>395375.4765</v>
      </c>
      <c r="AC266" s="99">
        <f t="shared" si="174"/>
        <v>403282.9861</v>
      </c>
      <c r="AD266" s="99">
        <f t="shared" si="174"/>
        <v>411348.6458</v>
      </c>
      <c r="AE266" s="99">
        <f t="shared" si="174"/>
        <v>419575.6187</v>
      </c>
      <c r="AF266" s="99">
        <f t="shared" si="174"/>
        <v>427967.1311</v>
      </c>
      <c r="AG266" s="99">
        <f t="shared" si="174"/>
        <v>436526.4737</v>
      </c>
      <c r="AH266" s="99">
        <f t="shared" si="174"/>
        <v>445257.0032</v>
      </c>
      <c r="AI266" s="99">
        <f t="shared" si="174"/>
        <v>454162.1433</v>
      </c>
      <c r="AJ266" s="99">
        <f t="shared" si="174"/>
        <v>463245.3861</v>
      </c>
      <c r="AK266" s="99">
        <f t="shared" si="174"/>
        <v>472510.2938</v>
      </c>
      <c r="AL266" s="99">
        <f t="shared" si="174"/>
        <v>481960.4997</v>
      </c>
      <c r="AM266" s="99">
        <f t="shared" si="174"/>
        <v>491599.7097</v>
      </c>
      <c r="AN266" s="99">
        <f t="shared" si="174"/>
        <v>501431.7039</v>
      </c>
      <c r="AO266" s="99">
        <f t="shared" si="174"/>
        <v>511460.338</v>
      </c>
      <c r="AP266" s="99">
        <f t="shared" si="174"/>
        <v>521689.5447</v>
      </c>
      <c r="AQ266" s="99">
        <f t="shared" si="174"/>
        <v>532123.3356</v>
      </c>
      <c r="AR266" s="99">
        <f t="shared" si="174"/>
        <v>542765.8024</v>
      </c>
      <c r="AS266" s="99">
        <f t="shared" si="174"/>
        <v>553621.1184</v>
      </c>
      <c r="AT266" s="99">
        <f t="shared" si="174"/>
        <v>564693.5408</v>
      </c>
      <c r="AU266" s="99">
        <f t="shared" si="174"/>
        <v>575987.4116</v>
      </c>
      <c r="AV266" s="99">
        <f t="shared" si="174"/>
        <v>587507.1598</v>
      </c>
      <c r="AW266" s="90" t="s">
        <v>1211</v>
      </c>
      <c r="AX266" s="90"/>
      <c r="AY266" s="90"/>
      <c r="AZ266" s="90"/>
      <c r="BA266" s="90"/>
      <c r="BB266" s="90"/>
      <c r="BC266" s="90"/>
      <c r="BD266" s="90"/>
      <c r="BE266" s="90"/>
      <c r="BF266" s="90"/>
      <c r="BG266" s="90"/>
    </row>
    <row r="267" ht="12.75" customHeight="1">
      <c r="A267" s="316"/>
      <c r="B267" s="90"/>
      <c r="C267" s="90" t="s">
        <v>681</v>
      </c>
      <c r="D267" s="90"/>
      <c r="E267" s="90"/>
      <c r="F267" s="90"/>
      <c r="G267" s="99"/>
      <c r="H267" s="99"/>
      <c r="I267" s="99"/>
      <c r="J267" s="99">
        <v>0.0</v>
      </c>
      <c r="K267" s="99">
        <v>11089.71</v>
      </c>
      <c r="L267" s="99">
        <f t="shared" ref="L267:AV267" si="175">L104*L$55</f>
        <v>0</v>
      </c>
      <c r="M267" s="99">
        <f t="shared" si="175"/>
        <v>0</v>
      </c>
      <c r="N267" s="99">
        <f t="shared" si="175"/>
        <v>0</v>
      </c>
      <c r="O267" s="99">
        <f t="shared" si="175"/>
        <v>0</v>
      </c>
      <c r="P267" s="99">
        <f t="shared" si="175"/>
        <v>0</v>
      </c>
      <c r="Q267" s="99">
        <f t="shared" si="175"/>
        <v>0</v>
      </c>
      <c r="R267" s="99">
        <f t="shared" si="175"/>
        <v>0</v>
      </c>
      <c r="S267" s="99">
        <f t="shared" si="175"/>
        <v>0</v>
      </c>
      <c r="T267" s="99">
        <f t="shared" si="175"/>
        <v>0</v>
      </c>
      <c r="U267" s="99">
        <f t="shared" si="175"/>
        <v>0</v>
      </c>
      <c r="V267" s="99">
        <f t="shared" si="175"/>
        <v>0</v>
      </c>
      <c r="W267" s="99">
        <f t="shared" si="175"/>
        <v>0</v>
      </c>
      <c r="X267" s="99">
        <f t="shared" si="175"/>
        <v>0</v>
      </c>
      <c r="Y267" s="99">
        <f t="shared" si="175"/>
        <v>0</v>
      </c>
      <c r="Z267" s="99">
        <f t="shared" si="175"/>
        <v>0</v>
      </c>
      <c r="AA267" s="99">
        <f t="shared" si="175"/>
        <v>0</v>
      </c>
      <c r="AB267" s="99">
        <f t="shared" si="175"/>
        <v>0</v>
      </c>
      <c r="AC267" s="99">
        <f t="shared" si="175"/>
        <v>0</v>
      </c>
      <c r="AD267" s="99">
        <f t="shared" si="175"/>
        <v>0</v>
      </c>
      <c r="AE267" s="99">
        <f t="shared" si="175"/>
        <v>0</v>
      </c>
      <c r="AF267" s="99">
        <f t="shared" si="175"/>
        <v>0</v>
      </c>
      <c r="AG267" s="99">
        <f t="shared" si="175"/>
        <v>0</v>
      </c>
      <c r="AH267" s="99">
        <f t="shared" si="175"/>
        <v>0</v>
      </c>
      <c r="AI267" s="99">
        <f t="shared" si="175"/>
        <v>0</v>
      </c>
      <c r="AJ267" s="99">
        <f t="shared" si="175"/>
        <v>0</v>
      </c>
      <c r="AK267" s="99">
        <f t="shared" si="175"/>
        <v>0</v>
      </c>
      <c r="AL267" s="99">
        <f t="shared" si="175"/>
        <v>0</v>
      </c>
      <c r="AM267" s="99">
        <f t="shared" si="175"/>
        <v>0</v>
      </c>
      <c r="AN267" s="99">
        <f t="shared" si="175"/>
        <v>0</v>
      </c>
      <c r="AO267" s="99">
        <f t="shared" si="175"/>
        <v>0</v>
      </c>
      <c r="AP267" s="99">
        <f t="shared" si="175"/>
        <v>0</v>
      </c>
      <c r="AQ267" s="99">
        <f t="shared" si="175"/>
        <v>0</v>
      </c>
      <c r="AR267" s="99">
        <f t="shared" si="175"/>
        <v>0</v>
      </c>
      <c r="AS267" s="99">
        <f t="shared" si="175"/>
        <v>0</v>
      </c>
      <c r="AT267" s="99">
        <f t="shared" si="175"/>
        <v>0</v>
      </c>
      <c r="AU267" s="99">
        <f t="shared" si="175"/>
        <v>0</v>
      </c>
      <c r="AV267" s="99">
        <f t="shared" si="175"/>
        <v>0</v>
      </c>
      <c r="AW267" s="90"/>
      <c r="AX267" s="90"/>
      <c r="AY267" s="90"/>
      <c r="AZ267" s="90"/>
      <c r="BA267" s="90"/>
      <c r="BB267" s="90"/>
      <c r="BC267" s="90"/>
      <c r="BD267" s="90"/>
      <c r="BE267" s="90"/>
      <c r="BF267" s="90"/>
      <c r="BG267" s="90"/>
    </row>
    <row r="268" ht="12.75" customHeight="1">
      <c r="A268" s="316"/>
      <c r="B268" s="90"/>
      <c r="C268" s="90" t="s">
        <v>682</v>
      </c>
      <c r="D268" s="90"/>
      <c r="E268" s="90"/>
      <c r="F268" s="90"/>
      <c r="G268" s="99"/>
      <c r="H268" s="99"/>
      <c r="I268" s="99"/>
      <c r="J268" s="99">
        <v>0.0</v>
      </c>
      <c r="K268" s="99">
        <v>0.0</v>
      </c>
      <c r="L268" s="99">
        <f t="shared" ref="L268:AV268" si="176">L105*L$55</f>
        <v>0</v>
      </c>
      <c r="M268" s="99">
        <f t="shared" si="176"/>
        <v>0</v>
      </c>
      <c r="N268" s="99">
        <f t="shared" si="176"/>
        <v>0</v>
      </c>
      <c r="O268" s="99">
        <f t="shared" si="176"/>
        <v>0</v>
      </c>
      <c r="P268" s="99">
        <f t="shared" si="176"/>
        <v>0</v>
      </c>
      <c r="Q268" s="99">
        <f t="shared" si="176"/>
        <v>0</v>
      </c>
      <c r="R268" s="99">
        <f t="shared" si="176"/>
        <v>0</v>
      </c>
      <c r="S268" s="99">
        <f t="shared" si="176"/>
        <v>0</v>
      </c>
      <c r="T268" s="99">
        <f t="shared" si="176"/>
        <v>0</v>
      </c>
      <c r="U268" s="99">
        <f t="shared" si="176"/>
        <v>0</v>
      </c>
      <c r="V268" s="99">
        <f t="shared" si="176"/>
        <v>0</v>
      </c>
      <c r="W268" s="99">
        <f t="shared" si="176"/>
        <v>0</v>
      </c>
      <c r="X268" s="99">
        <f t="shared" si="176"/>
        <v>0</v>
      </c>
      <c r="Y268" s="99">
        <f t="shared" si="176"/>
        <v>0</v>
      </c>
      <c r="Z268" s="99">
        <f t="shared" si="176"/>
        <v>0</v>
      </c>
      <c r="AA268" s="99">
        <f t="shared" si="176"/>
        <v>0</v>
      </c>
      <c r="AB268" s="99">
        <f t="shared" si="176"/>
        <v>0</v>
      </c>
      <c r="AC268" s="99">
        <f t="shared" si="176"/>
        <v>0</v>
      </c>
      <c r="AD268" s="99">
        <f t="shared" si="176"/>
        <v>0</v>
      </c>
      <c r="AE268" s="99">
        <f t="shared" si="176"/>
        <v>0</v>
      </c>
      <c r="AF268" s="99">
        <f t="shared" si="176"/>
        <v>0</v>
      </c>
      <c r="AG268" s="99">
        <f t="shared" si="176"/>
        <v>0</v>
      </c>
      <c r="AH268" s="99">
        <f t="shared" si="176"/>
        <v>0</v>
      </c>
      <c r="AI268" s="99">
        <f t="shared" si="176"/>
        <v>0</v>
      </c>
      <c r="AJ268" s="99">
        <f t="shared" si="176"/>
        <v>0</v>
      </c>
      <c r="AK268" s="99">
        <f t="shared" si="176"/>
        <v>0</v>
      </c>
      <c r="AL268" s="99">
        <f t="shared" si="176"/>
        <v>0</v>
      </c>
      <c r="AM268" s="99">
        <f t="shared" si="176"/>
        <v>0</v>
      </c>
      <c r="AN268" s="99">
        <f t="shared" si="176"/>
        <v>0</v>
      </c>
      <c r="AO268" s="99">
        <f t="shared" si="176"/>
        <v>0</v>
      </c>
      <c r="AP268" s="99">
        <f t="shared" si="176"/>
        <v>0</v>
      </c>
      <c r="AQ268" s="99">
        <f t="shared" si="176"/>
        <v>0</v>
      </c>
      <c r="AR268" s="99">
        <f t="shared" si="176"/>
        <v>0</v>
      </c>
      <c r="AS268" s="99">
        <f t="shared" si="176"/>
        <v>0</v>
      </c>
      <c r="AT268" s="99">
        <f t="shared" si="176"/>
        <v>0</v>
      </c>
      <c r="AU268" s="99">
        <f t="shared" si="176"/>
        <v>0</v>
      </c>
      <c r="AV268" s="99">
        <f t="shared" si="176"/>
        <v>0</v>
      </c>
      <c r="AW268" s="90"/>
      <c r="AX268" s="90"/>
      <c r="AY268" s="90"/>
      <c r="AZ268" s="90"/>
      <c r="BA268" s="90"/>
      <c r="BB268" s="90"/>
      <c r="BC268" s="90"/>
      <c r="BD268" s="90"/>
      <c r="BE268" s="90"/>
      <c r="BF268" s="90"/>
      <c r="BG268" s="90"/>
    </row>
    <row r="269" ht="12.75" customHeight="1">
      <c r="A269" s="316"/>
      <c r="B269" s="90"/>
      <c r="C269" s="90" t="s">
        <v>683</v>
      </c>
      <c r="D269" s="90"/>
      <c r="E269" s="90"/>
      <c r="F269" s="90"/>
      <c r="G269" s="99"/>
      <c r="H269" s="99"/>
      <c r="I269" s="99"/>
      <c r="J269" s="99">
        <v>0.0</v>
      </c>
      <c r="K269" s="99">
        <v>0.0</v>
      </c>
      <c r="L269" s="99">
        <f t="shared" ref="L269:AV269" si="177">L106*L$55</f>
        <v>0</v>
      </c>
      <c r="M269" s="99">
        <f t="shared" si="177"/>
        <v>0</v>
      </c>
      <c r="N269" s="99">
        <f t="shared" si="177"/>
        <v>0</v>
      </c>
      <c r="O269" s="99">
        <f t="shared" si="177"/>
        <v>0</v>
      </c>
      <c r="P269" s="99">
        <f t="shared" si="177"/>
        <v>0</v>
      </c>
      <c r="Q269" s="99">
        <f t="shared" si="177"/>
        <v>0</v>
      </c>
      <c r="R269" s="99">
        <f t="shared" si="177"/>
        <v>0</v>
      </c>
      <c r="S269" s="99">
        <f t="shared" si="177"/>
        <v>0</v>
      </c>
      <c r="T269" s="99">
        <f t="shared" si="177"/>
        <v>0</v>
      </c>
      <c r="U269" s="99">
        <f t="shared" si="177"/>
        <v>0</v>
      </c>
      <c r="V269" s="99">
        <f t="shared" si="177"/>
        <v>0</v>
      </c>
      <c r="W269" s="99">
        <f t="shared" si="177"/>
        <v>0</v>
      </c>
      <c r="X269" s="99">
        <f t="shared" si="177"/>
        <v>0</v>
      </c>
      <c r="Y269" s="99">
        <f t="shared" si="177"/>
        <v>0</v>
      </c>
      <c r="Z269" s="99">
        <f t="shared" si="177"/>
        <v>0</v>
      </c>
      <c r="AA269" s="99">
        <f t="shared" si="177"/>
        <v>0</v>
      </c>
      <c r="AB269" s="99">
        <f t="shared" si="177"/>
        <v>0</v>
      </c>
      <c r="AC269" s="99">
        <f t="shared" si="177"/>
        <v>0</v>
      </c>
      <c r="AD269" s="99">
        <f t="shared" si="177"/>
        <v>0</v>
      </c>
      <c r="AE269" s="99">
        <f t="shared" si="177"/>
        <v>0</v>
      </c>
      <c r="AF269" s="99">
        <f t="shared" si="177"/>
        <v>0</v>
      </c>
      <c r="AG269" s="99">
        <f t="shared" si="177"/>
        <v>0</v>
      </c>
      <c r="AH269" s="99">
        <f t="shared" si="177"/>
        <v>0</v>
      </c>
      <c r="AI269" s="99">
        <f t="shared" si="177"/>
        <v>0</v>
      </c>
      <c r="AJ269" s="99">
        <f t="shared" si="177"/>
        <v>0</v>
      </c>
      <c r="AK269" s="99">
        <f t="shared" si="177"/>
        <v>0</v>
      </c>
      <c r="AL269" s="99">
        <f t="shared" si="177"/>
        <v>0</v>
      </c>
      <c r="AM269" s="99">
        <f t="shared" si="177"/>
        <v>0</v>
      </c>
      <c r="AN269" s="99">
        <f t="shared" si="177"/>
        <v>0</v>
      </c>
      <c r="AO269" s="99">
        <f t="shared" si="177"/>
        <v>0</v>
      </c>
      <c r="AP269" s="99">
        <f t="shared" si="177"/>
        <v>0</v>
      </c>
      <c r="AQ269" s="99">
        <f t="shared" si="177"/>
        <v>0</v>
      </c>
      <c r="AR269" s="99">
        <f t="shared" si="177"/>
        <v>0</v>
      </c>
      <c r="AS269" s="99">
        <f t="shared" si="177"/>
        <v>0</v>
      </c>
      <c r="AT269" s="99">
        <f t="shared" si="177"/>
        <v>0</v>
      </c>
      <c r="AU269" s="99">
        <f t="shared" si="177"/>
        <v>0</v>
      </c>
      <c r="AV269" s="99">
        <f t="shared" si="177"/>
        <v>0</v>
      </c>
      <c r="AW269" s="90"/>
      <c r="AX269" s="90"/>
      <c r="AY269" s="90"/>
      <c r="AZ269" s="90"/>
      <c r="BA269" s="90"/>
      <c r="BB269" s="90"/>
      <c r="BC269" s="90"/>
      <c r="BD269" s="90"/>
      <c r="BE269" s="90"/>
      <c r="BF269" s="90"/>
      <c r="BG269" s="90"/>
    </row>
    <row r="270" ht="12.75" customHeight="1">
      <c r="A270" s="316"/>
      <c r="B270" s="87"/>
      <c r="C270" s="87" t="s">
        <v>684</v>
      </c>
      <c r="D270" s="87"/>
      <c r="E270" s="87"/>
      <c r="F270" s="87"/>
      <c r="G270" s="125"/>
      <c r="H270" s="125"/>
      <c r="I270" s="125"/>
      <c r="J270" s="99">
        <v>0.0</v>
      </c>
      <c r="K270" s="125">
        <v>0.0</v>
      </c>
      <c r="L270" s="125">
        <f t="shared" ref="L270:AV270" si="178">L107*L$55</f>
        <v>0</v>
      </c>
      <c r="M270" s="125">
        <f t="shared" si="178"/>
        <v>0</v>
      </c>
      <c r="N270" s="125">
        <f t="shared" si="178"/>
        <v>0</v>
      </c>
      <c r="O270" s="125">
        <f t="shared" si="178"/>
        <v>0</v>
      </c>
      <c r="P270" s="125">
        <f t="shared" si="178"/>
        <v>0</v>
      </c>
      <c r="Q270" s="125">
        <f t="shared" si="178"/>
        <v>0</v>
      </c>
      <c r="R270" s="125">
        <f t="shared" si="178"/>
        <v>0</v>
      </c>
      <c r="S270" s="125">
        <f t="shared" si="178"/>
        <v>0</v>
      </c>
      <c r="T270" s="125">
        <f t="shared" si="178"/>
        <v>0</v>
      </c>
      <c r="U270" s="125">
        <f t="shared" si="178"/>
        <v>0</v>
      </c>
      <c r="V270" s="125">
        <f t="shared" si="178"/>
        <v>0</v>
      </c>
      <c r="W270" s="125">
        <f t="shared" si="178"/>
        <v>0</v>
      </c>
      <c r="X270" s="125">
        <f t="shared" si="178"/>
        <v>0</v>
      </c>
      <c r="Y270" s="125">
        <f t="shared" si="178"/>
        <v>0</v>
      </c>
      <c r="Z270" s="125">
        <f t="shared" si="178"/>
        <v>0</v>
      </c>
      <c r="AA270" s="125">
        <f t="shared" si="178"/>
        <v>0</v>
      </c>
      <c r="AB270" s="125">
        <f t="shared" si="178"/>
        <v>0</v>
      </c>
      <c r="AC270" s="125">
        <f t="shared" si="178"/>
        <v>0</v>
      </c>
      <c r="AD270" s="125">
        <f t="shared" si="178"/>
        <v>0</v>
      </c>
      <c r="AE270" s="125">
        <f t="shared" si="178"/>
        <v>0</v>
      </c>
      <c r="AF270" s="125">
        <f t="shared" si="178"/>
        <v>0</v>
      </c>
      <c r="AG270" s="125">
        <f t="shared" si="178"/>
        <v>0</v>
      </c>
      <c r="AH270" s="125">
        <f t="shared" si="178"/>
        <v>0</v>
      </c>
      <c r="AI270" s="125">
        <f t="shared" si="178"/>
        <v>0</v>
      </c>
      <c r="AJ270" s="125">
        <f t="shared" si="178"/>
        <v>0</v>
      </c>
      <c r="AK270" s="125">
        <f t="shared" si="178"/>
        <v>0</v>
      </c>
      <c r="AL270" s="125">
        <f t="shared" si="178"/>
        <v>0</v>
      </c>
      <c r="AM270" s="125">
        <f t="shared" si="178"/>
        <v>0</v>
      </c>
      <c r="AN270" s="125">
        <f t="shared" si="178"/>
        <v>0</v>
      </c>
      <c r="AO270" s="125">
        <f t="shared" si="178"/>
        <v>0</v>
      </c>
      <c r="AP270" s="125">
        <f t="shared" si="178"/>
        <v>0</v>
      </c>
      <c r="AQ270" s="125">
        <f t="shared" si="178"/>
        <v>0</v>
      </c>
      <c r="AR270" s="125">
        <f t="shared" si="178"/>
        <v>0</v>
      </c>
      <c r="AS270" s="125">
        <f t="shared" si="178"/>
        <v>0</v>
      </c>
      <c r="AT270" s="125">
        <f t="shared" si="178"/>
        <v>0</v>
      </c>
      <c r="AU270" s="125">
        <f t="shared" si="178"/>
        <v>0</v>
      </c>
      <c r="AV270" s="125">
        <f t="shared" si="178"/>
        <v>0</v>
      </c>
      <c r="AW270" s="87"/>
      <c r="AX270" s="90"/>
      <c r="AY270" s="90"/>
      <c r="AZ270" s="90"/>
      <c r="BA270" s="90"/>
      <c r="BB270" s="90"/>
      <c r="BC270" s="90"/>
      <c r="BD270" s="90"/>
      <c r="BE270" s="90"/>
      <c r="BF270" s="90"/>
      <c r="BG270" s="90"/>
    </row>
    <row r="271" ht="12.75" customHeight="1">
      <c r="A271" s="316"/>
      <c r="B271" s="67" t="s">
        <v>590</v>
      </c>
      <c r="C271" s="90"/>
      <c r="D271" s="90"/>
      <c r="E271" s="90"/>
      <c r="F271" s="90"/>
      <c r="G271" s="79"/>
      <c r="H271" s="79"/>
      <c r="I271" s="79"/>
      <c r="J271" s="379">
        <f t="shared" ref="J271:AV271" si="179">SUM(J259:J270)</f>
        <v>0</v>
      </c>
      <c r="K271" s="79">
        <f t="shared" si="179"/>
        <v>2786042.58</v>
      </c>
      <c r="L271" s="79">
        <f t="shared" si="179"/>
        <v>3003494.88</v>
      </c>
      <c r="M271" s="79">
        <f t="shared" si="179"/>
        <v>3157849.032</v>
      </c>
      <c r="N271" s="79">
        <f t="shared" si="179"/>
        <v>3217402.373</v>
      </c>
      <c r="O271" s="79">
        <f t="shared" si="179"/>
        <v>3272728.217</v>
      </c>
      <c r="P271" s="79">
        <f t="shared" si="179"/>
        <v>3328980.134</v>
      </c>
      <c r="Q271" s="79">
        <f t="shared" si="179"/>
        <v>3387216.004</v>
      </c>
      <c r="R271" s="79">
        <f t="shared" si="179"/>
        <v>3480689.129</v>
      </c>
      <c r="S271" s="79">
        <f t="shared" si="179"/>
        <v>3541901.144</v>
      </c>
      <c r="T271" s="79">
        <f t="shared" si="179"/>
        <v>3604914.565</v>
      </c>
      <c r="U271" s="79">
        <f t="shared" si="179"/>
        <v>3669031.762</v>
      </c>
      <c r="V271" s="79">
        <f t="shared" si="179"/>
        <v>3737760.559</v>
      </c>
      <c r="W271" s="79">
        <f t="shared" si="179"/>
        <v>3812515.77</v>
      </c>
      <c r="X271" s="79">
        <f t="shared" si="179"/>
        <v>3888766.085</v>
      </c>
      <c r="Y271" s="79">
        <f t="shared" si="179"/>
        <v>3966541.407</v>
      </c>
      <c r="Z271" s="79">
        <f t="shared" si="179"/>
        <v>4045872.235</v>
      </c>
      <c r="AA271" s="79">
        <f t="shared" si="179"/>
        <v>4126789.68</v>
      </c>
      <c r="AB271" s="79">
        <f t="shared" si="179"/>
        <v>4209325.474</v>
      </c>
      <c r="AC271" s="79">
        <f t="shared" si="179"/>
        <v>4293511.983</v>
      </c>
      <c r="AD271" s="79">
        <f t="shared" si="179"/>
        <v>4379382.223</v>
      </c>
      <c r="AE271" s="79">
        <f t="shared" si="179"/>
        <v>4466969.867</v>
      </c>
      <c r="AF271" s="79">
        <f t="shared" si="179"/>
        <v>4556309.264</v>
      </c>
      <c r="AG271" s="79">
        <f t="shared" si="179"/>
        <v>4647435.45</v>
      </c>
      <c r="AH271" s="79">
        <f t="shared" si="179"/>
        <v>4740384.159</v>
      </c>
      <c r="AI271" s="79">
        <f t="shared" si="179"/>
        <v>4835191.842</v>
      </c>
      <c r="AJ271" s="79">
        <f t="shared" si="179"/>
        <v>4931895.679</v>
      </c>
      <c r="AK271" s="79">
        <f t="shared" si="179"/>
        <v>5030533.592</v>
      </c>
      <c r="AL271" s="79">
        <f t="shared" si="179"/>
        <v>5131144.264</v>
      </c>
      <c r="AM271" s="79">
        <f t="shared" si="179"/>
        <v>5233767.149</v>
      </c>
      <c r="AN271" s="79">
        <f t="shared" si="179"/>
        <v>5338442.492</v>
      </c>
      <c r="AO271" s="79">
        <f t="shared" si="179"/>
        <v>5445211.342</v>
      </c>
      <c r="AP271" s="79">
        <f t="shared" si="179"/>
        <v>5554115.569</v>
      </c>
      <c r="AQ271" s="79">
        <f t="shared" si="179"/>
        <v>5665197.881</v>
      </c>
      <c r="AR271" s="79">
        <f t="shared" si="179"/>
        <v>5778501.838</v>
      </c>
      <c r="AS271" s="79">
        <f t="shared" si="179"/>
        <v>5894071.875</v>
      </c>
      <c r="AT271" s="79">
        <f t="shared" si="179"/>
        <v>6011953.312</v>
      </c>
      <c r="AU271" s="79">
        <f t="shared" si="179"/>
        <v>6132192.379</v>
      </c>
      <c r="AV271" s="79">
        <f t="shared" si="179"/>
        <v>6254836.226</v>
      </c>
      <c r="AW271" s="90"/>
      <c r="AX271" s="90"/>
      <c r="AY271" s="90"/>
      <c r="AZ271" s="90"/>
      <c r="BA271" s="90"/>
      <c r="BB271" s="90"/>
      <c r="BC271" s="90"/>
      <c r="BD271" s="90"/>
      <c r="BE271" s="90"/>
      <c r="BF271" s="90"/>
      <c r="BG271" s="90"/>
    </row>
    <row r="272" ht="12.75" customHeight="1">
      <c r="A272" s="316"/>
      <c r="B272" s="67"/>
      <c r="C272" s="90"/>
      <c r="D272" s="90"/>
      <c r="E272" s="90"/>
      <c r="F272" s="90"/>
      <c r="G272" s="79"/>
      <c r="H272" s="79"/>
      <c r="I272" s="79"/>
      <c r="J272" s="79"/>
      <c r="K272" s="79"/>
      <c r="L272" s="79"/>
      <c r="M272" s="79"/>
      <c r="N272" s="79"/>
      <c r="O272" s="79"/>
      <c r="P272" s="79"/>
      <c r="Q272" s="79"/>
      <c r="R272" s="79"/>
      <c r="S272" s="79"/>
      <c r="T272" s="79"/>
      <c r="U272" s="79"/>
      <c r="V272" s="79"/>
      <c r="W272" s="79"/>
      <c r="X272" s="79"/>
      <c r="Y272" s="79"/>
      <c r="Z272" s="79"/>
      <c r="AA272" s="79"/>
      <c r="AB272" s="79"/>
      <c r="AC272" s="79"/>
      <c r="AD272" s="79"/>
      <c r="AE272" s="79"/>
      <c r="AF272" s="79"/>
      <c r="AG272" s="79"/>
      <c r="AH272" s="79"/>
      <c r="AI272" s="79"/>
      <c r="AJ272" s="79"/>
      <c r="AK272" s="79"/>
      <c r="AL272" s="79"/>
      <c r="AM272" s="79"/>
      <c r="AN272" s="79"/>
      <c r="AO272" s="79"/>
      <c r="AP272" s="79"/>
      <c r="AQ272" s="79"/>
      <c r="AR272" s="79"/>
      <c r="AS272" s="79"/>
      <c r="AT272" s="79"/>
      <c r="AU272" s="79"/>
      <c r="AV272" s="79"/>
      <c r="AW272" s="90"/>
      <c r="AX272" s="90"/>
      <c r="AY272" s="90"/>
      <c r="AZ272" s="90"/>
      <c r="BA272" s="90"/>
      <c r="BB272" s="90"/>
      <c r="BC272" s="90"/>
      <c r="BD272" s="90"/>
      <c r="BE272" s="90"/>
      <c r="BF272" s="90"/>
      <c r="BG272" s="90"/>
    </row>
    <row r="273" ht="12.75" customHeight="1">
      <c r="A273" s="316"/>
      <c r="B273" s="67" t="s">
        <v>545</v>
      </c>
      <c r="C273" s="90"/>
      <c r="D273" s="90"/>
      <c r="E273" s="90"/>
      <c r="F273" s="90"/>
      <c r="G273" s="90"/>
      <c r="H273" s="90"/>
      <c r="I273" s="90"/>
      <c r="J273" s="90"/>
      <c r="K273" s="90"/>
      <c r="L273" s="90"/>
      <c r="M273" s="90"/>
      <c r="N273" s="90"/>
      <c r="O273" s="90"/>
      <c r="P273" s="90"/>
      <c r="Q273" s="90"/>
      <c r="R273" s="90"/>
      <c r="S273" s="90"/>
      <c r="T273" s="90"/>
      <c r="U273" s="90"/>
      <c r="V273" s="90"/>
      <c r="W273" s="90"/>
      <c r="X273" s="90"/>
      <c r="Y273" s="90"/>
      <c r="Z273" s="90"/>
      <c r="AA273" s="90"/>
      <c r="AB273" s="90"/>
      <c r="AC273" s="90"/>
      <c r="AD273" s="90"/>
      <c r="AE273" s="90"/>
      <c r="AF273" s="90"/>
      <c r="AG273" s="90"/>
      <c r="AH273" s="90"/>
      <c r="AI273" s="90"/>
      <c r="AJ273" s="90"/>
      <c r="AK273" s="90"/>
      <c r="AL273" s="90"/>
      <c r="AM273" s="90"/>
      <c r="AN273" s="90"/>
      <c r="AO273" s="90"/>
      <c r="AP273" s="90"/>
      <c r="AQ273" s="90"/>
      <c r="AR273" s="90"/>
      <c r="AS273" s="90"/>
      <c r="AT273" s="90"/>
      <c r="AU273" s="90"/>
      <c r="AV273" s="90"/>
      <c r="AW273" s="90"/>
      <c r="AX273" s="90"/>
      <c r="AY273" s="90"/>
      <c r="AZ273" s="90"/>
      <c r="BA273" s="90"/>
      <c r="BB273" s="90"/>
      <c r="BC273" s="90"/>
      <c r="BD273" s="90"/>
      <c r="BE273" s="90"/>
      <c r="BF273" s="90"/>
      <c r="BG273" s="90"/>
    </row>
    <row r="274" ht="12.75" customHeight="1">
      <c r="A274" s="316"/>
      <c r="B274" s="90"/>
      <c r="C274" s="90" t="s">
        <v>788</v>
      </c>
      <c r="D274" s="90"/>
      <c r="E274" s="90"/>
      <c r="F274" s="90"/>
      <c r="G274" s="99"/>
      <c r="H274" s="99"/>
      <c r="I274" s="99"/>
      <c r="J274" s="99">
        <v>0.0</v>
      </c>
      <c r="K274" s="99">
        <v>117758.0</v>
      </c>
      <c r="L274" s="99">
        <f t="shared" ref="L274:AV274" si="180">L111*L63</f>
        <v>131604.48</v>
      </c>
      <c r="M274" s="99">
        <f t="shared" si="180"/>
        <v>139829.76</v>
      </c>
      <c r="N274" s="99">
        <f t="shared" si="180"/>
        <v>142626.3552</v>
      </c>
      <c r="O274" s="99">
        <f t="shared" si="180"/>
        <v>145478.8823</v>
      </c>
      <c r="P274" s="99">
        <f t="shared" si="180"/>
        <v>148388.46</v>
      </c>
      <c r="Q274" s="99">
        <f t="shared" si="180"/>
        <v>151356.2291</v>
      </c>
      <c r="R274" s="99">
        <f t="shared" si="180"/>
        <v>154383.3537</v>
      </c>
      <c r="S274" s="99">
        <f t="shared" si="180"/>
        <v>157471.0208</v>
      </c>
      <c r="T274" s="99">
        <f t="shared" si="180"/>
        <v>160620.4412</v>
      </c>
      <c r="U274" s="99">
        <f t="shared" si="180"/>
        <v>163832.85</v>
      </c>
      <c r="V274" s="99">
        <f t="shared" si="180"/>
        <v>167109.507</v>
      </c>
      <c r="W274" s="99">
        <f t="shared" si="180"/>
        <v>170451.6972</v>
      </c>
      <c r="X274" s="99">
        <f t="shared" si="180"/>
        <v>173860.7311</v>
      </c>
      <c r="Y274" s="99">
        <f t="shared" si="180"/>
        <v>177337.9458</v>
      </c>
      <c r="Z274" s="99">
        <f t="shared" si="180"/>
        <v>180884.7047</v>
      </c>
      <c r="AA274" s="99">
        <f t="shared" si="180"/>
        <v>184502.3988</v>
      </c>
      <c r="AB274" s="99">
        <f t="shared" si="180"/>
        <v>188192.4467</v>
      </c>
      <c r="AC274" s="99">
        <f t="shared" si="180"/>
        <v>191956.2957</v>
      </c>
      <c r="AD274" s="99">
        <f t="shared" si="180"/>
        <v>195795.4216</v>
      </c>
      <c r="AE274" s="99">
        <f t="shared" si="180"/>
        <v>199711.33</v>
      </c>
      <c r="AF274" s="99">
        <f t="shared" si="180"/>
        <v>203705.5566</v>
      </c>
      <c r="AG274" s="99">
        <f t="shared" si="180"/>
        <v>207779.6678</v>
      </c>
      <c r="AH274" s="99">
        <f t="shared" si="180"/>
        <v>211935.2611</v>
      </c>
      <c r="AI274" s="99">
        <f t="shared" si="180"/>
        <v>216173.9663</v>
      </c>
      <c r="AJ274" s="99">
        <f t="shared" si="180"/>
        <v>220497.4457</v>
      </c>
      <c r="AK274" s="99">
        <f t="shared" si="180"/>
        <v>224907.3946</v>
      </c>
      <c r="AL274" s="99">
        <f t="shared" si="180"/>
        <v>229405.5425</v>
      </c>
      <c r="AM274" s="99">
        <f t="shared" si="180"/>
        <v>233993.6533</v>
      </c>
      <c r="AN274" s="99">
        <f t="shared" si="180"/>
        <v>238673.5264</v>
      </c>
      <c r="AO274" s="99">
        <f t="shared" si="180"/>
        <v>243446.9969</v>
      </c>
      <c r="AP274" s="99">
        <f t="shared" si="180"/>
        <v>248315.9368</v>
      </c>
      <c r="AQ274" s="99">
        <f t="shared" si="180"/>
        <v>253282.2556</v>
      </c>
      <c r="AR274" s="99">
        <f t="shared" si="180"/>
        <v>258347.9007</v>
      </c>
      <c r="AS274" s="99">
        <f t="shared" si="180"/>
        <v>263514.8587</v>
      </c>
      <c r="AT274" s="99">
        <f t="shared" si="180"/>
        <v>268785.1559</v>
      </c>
      <c r="AU274" s="99">
        <f t="shared" si="180"/>
        <v>274160.859</v>
      </c>
      <c r="AV274" s="99">
        <f t="shared" si="180"/>
        <v>279644.0762</v>
      </c>
      <c r="AW274" s="90"/>
      <c r="AX274" s="90"/>
      <c r="AY274" s="90"/>
      <c r="AZ274" s="90"/>
      <c r="BA274" s="90"/>
      <c r="BB274" s="90"/>
      <c r="BC274" s="90"/>
      <c r="BD274" s="90"/>
      <c r="BE274" s="90"/>
      <c r="BF274" s="90"/>
      <c r="BG274" s="90"/>
    </row>
    <row r="275" ht="12.75" customHeight="1">
      <c r="A275" s="316"/>
      <c r="B275" s="90"/>
      <c r="C275" s="90" t="s">
        <v>789</v>
      </c>
      <c r="D275" s="90"/>
      <c r="E275" s="90"/>
      <c r="F275" s="90"/>
      <c r="G275" s="99"/>
      <c r="H275" s="99"/>
      <c r="I275" s="99"/>
      <c r="J275" s="99">
        <v>0.0</v>
      </c>
      <c r="K275" s="99">
        <v>141113.43</v>
      </c>
      <c r="L275" s="99">
        <f t="shared" ref="L275:AE275" si="181">L112*L338</f>
        <v>158400</v>
      </c>
      <c r="M275" s="99">
        <f t="shared" si="181"/>
        <v>168300</v>
      </c>
      <c r="N275" s="99">
        <f t="shared" si="181"/>
        <v>171666</v>
      </c>
      <c r="O275" s="99">
        <f t="shared" si="181"/>
        <v>175099.32</v>
      </c>
      <c r="P275" s="99">
        <f t="shared" si="181"/>
        <v>178601.3064</v>
      </c>
      <c r="Q275" s="99">
        <f t="shared" si="181"/>
        <v>182173.3325</v>
      </c>
      <c r="R275" s="99">
        <f t="shared" si="181"/>
        <v>185816.7992</v>
      </c>
      <c r="S275" s="99">
        <f t="shared" si="181"/>
        <v>189533.1352</v>
      </c>
      <c r="T275" s="99">
        <f t="shared" si="181"/>
        <v>193323.7979</v>
      </c>
      <c r="U275" s="99">
        <f t="shared" si="181"/>
        <v>197190.2738</v>
      </c>
      <c r="V275" s="99">
        <f t="shared" si="181"/>
        <v>201134.0793</v>
      </c>
      <c r="W275" s="99">
        <f t="shared" si="181"/>
        <v>205156.7609</v>
      </c>
      <c r="X275" s="99">
        <f t="shared" si="181"/>
        <v>209259.8961</v>
      </c>
      <c r="Y275" s="99">
        <f t="shared" si="181"/>
        <v>213445.094</v>
      </c>
      <c r="Z275" s="99">
        <f t="shared" si="181"/>
        <v>217713.9959</v>
      </c>
      <c r="AA275" s="99">
        <f t="shared" si="181"/>
        <v>222068.2758</v>
      </c>
      <c r="AB275" s="99">
        <f t="shared" si="181"/>
        <v>226509.6413</v>
      </c>
      <c r="AC275" s="99">
        <f t="shared" si="181"/>
        <v>231039.8342</v>
      </c>
      <c r="AD275" s="99">
        <f t="shared" si="181"/>
        <v>235660.6309</v>
      </c>
      <c r="AE275" s="99">
        <f t="shared" si="181"/>
        <v>240373.8435</v>
      </c>
      <c r="AF275" s="99">
        <f t="shared" ref="AF275:AV275" si="182">AF207*AF46</f>
        <v>326908.4271</v>
      </c>
      <c r="AG275" s="99">
        <f t="shared" si="182"/>
        <v>333446.5957</v>
      </c>
      <c r="AH275" s="99">
        <f t="shared" si="182"/>
        <v>340115.5276</v>
      </c>
      <c r="AI275" s="99">
        <f t="shared" si="182"/>
        <v>346917.8381</v>
      </c>
      <c r="AJ275" s="99">
        <f t="shared" si="182"/>
        <v>353856.1949</v>
      </c>
      <c r="AK275" s="99">
        <f t="shared" si="182"/>
        <v>360933.3188</v>
      </c>
      <c r="AL275" s="99">
        <f t="shared" si="182"/>
        <v>368151.9852</v>
      </c>
      <c r="AM275" s="99">
        <f t="shared" si="182"/>
        <v>375515.0249</v>
      </c>
      <c r="AN275" s="99">
        <f t="shared" si="182"/>
        <v>383025.3254</v>
      </c>
      <c r="AO275" s="99">
        <f t="shared" si="182"/>
        <v>390685.8319</v>
      </c>
      <c r="AP275" s="99">
        <f t="shared" si="182"/>
        <v>398499.5485</v>
      </c>
      <c r="AQ275" s="99">
        <f t="shared" si="182"/>
        <v>406469.5395</v>
      </c>
      <c r="AR275" s="99">
        <f t="shared" si="182"/>
        <v>414598.9303</v>
      </c>
      <c r="AS275" s="99">
        <f t="shared" si="182"/>
        <v>422890.9089</v>
      </c>
      <c r="AT275" s="99">
        <f t="shared" si="182"/>
        <v>431348.727</v>
      </c>
      <c r="AU275" s="99">
        <f t="shared" si="182"/>
        <v>439975.7016</v>
      </c>
      <c r="AV275" s="99">
        <f t="shared" si="182"/>
        <v>448775.2156</v>
      </c>
      <c r="AW275" s="90"/>
      <c r="AX275" s="90"/>
      <c r="AY275" s="90"/>
      <c r="AZ275" s="90"/>
      <c r="BA275" s="90"/>
      <c r="BB275" s="90"/>
      <c r="BC275" s="90"/>
      <c r="BD275" s="90"/>
      <c r="BE275" s="90"/>
      <c r="BF275" s="90"/>
      <c r="BG275" s="90"/>
    </row>
    <row r="276" ht="12.75" customHeight="1">
      <c r="A276" s="316"/>
      <c r="B276" s="90"/>
      <c r="C276" s="90" t="s">
        <v>790</v>
      </c>
      <c r="D276" s="90"/>
      <c r="E276" s="90"/>
      <c r="F276" s="90"/>
      <c r="G276" s="99"/>
      <c r="H276" s="99"/>
      <c r="I276" s="99"/>
      <c r="J276" s="99"/>
      <c r="K276" s="99">
        <v>8658.0</v>
      </c>
      <c r="L276" s="99">
        <f t="shared" ref="L276:AV276" si="183">K276*(1+L110)</f>
        <v>8831.16</v>
      </c>
      <c r="M276" s="99">
        <f t="shared" si="183"/>
        <v>9007.7832</v>
      </c>
      <c r="N276" s="99">
        <f t="shared" si="183"/>
        <v>9187.938864</v>
      </c>
      <c r="O276" s="99">
        <f t="shared" si="183"/>
        <v>9371.697641</v>
      </c>
      <c r="P276" s="99">
        <f t="shared" si="183"/>
        <v>9559.131594</v>
      </c>
      <c r="Q276" s="99">
        <f t="shared" si="183"/>
        <v>9750.314226</v>
      </c>
      <c r="R276" s="99">
        <f t="shared" si="183"/>
        <v>9945.320511</v>
      </c>
      <c r="S276" s="99">
        <f t="shared" si="183"/>
        <v>10144.22692</v>
      </c>
      <c r="T276" s="99">
        <f t="shared" si="183"/>
        <v>10347.11146</v>
      </c>
      <c r="U276" s="99">
        <f t="shared" si="183"/>
        <v>10554.05369</v>
      </c>
      <c r="V276" s="99">
        <f t="shared" si="183"/>
        <v>10765.13476</v>
      </c>
      <c r="W276" s="99">
        <f t="shared" si="183"/>
        <v>10980.43746</v>
      </c>
      <c r="X276" s="99">
        <f t="shared" si="183"/>
        <v>11200.04621</v>
      </c>
      <c r="Y276" s="99">
        <f t="shared" si="183"/>
        <v>11424.04713</v>
      </c>
      <c r="Z276" s="99">
        <f t="shared" si="183"/>
        <v>11652.52807</v>
      </c>
      <c r="AA276" s="99">
        <f t="shared" si="183"/>
        <v>11885.57863</v>
      </c>
      <c r="AB276" s="99">
        <f t="shared" si="183"/>
        <v>12123.29021</v>
      </c>
      <c r="AC276" s="99">
        <f t="shared" si="183"/>
        <v>12365.75601</v>
      </c>
      <c r="AD276" s="99">
        <f t="shared" si="183"/>
        <v>12613.07113</v>
      </c>
      <c r="AE276" s="99">
        <f t="shared" si="183"/>
        <v>12865.33255</v>
      </c>
      <c r="AF276" s="99">
        <f t="shared" si="183"/>
        <v>13122.63921</v>
      </c>
      <c r="AG276" s="99">
        <f t="shared" si="183"/>
        <v>13385.09199</v>
      </c>
      <c r="AH276" s="99">
        <f t="shared" si="183"/>
        <v>13652.79383</v>
      </c>
      <c r="AI276" s="99">
        <f t="shared" si="183"/>
        <v>13925.84971</v>
      </c>
      <c r="AJ276" s="99">
        <f t="shared" si="183"/>
        <v>14204.3667</v>
      </c>
      <c r="AK276" s="99">
        <f t="shared" si="183"/>
        <v>14488.45403</v>
      </c>
      <c r="AL276" s="99">
        <f t="shared" si="183"/>
        <v>14778.22311</v>
      </c>
      <c r="AM276" s="99">
        <f t="shared" si="183"/>
        <v>15073.78758</v>
      </c>
      <c r="AN276" s="99">
        <f t="shared" si="183"/>
        <v>15375.26333</v>
      </c>
      <c r="AO276" s="99">
        <f t="shared" si="183"/>
        <v>15682.7686</v>
      </c>
      <c r="AP276" s="99">
        <f t="shared" si="183"/>
        <v>15996.42397</v>
      </c>
      <c r="AQ276" s="99">
        <f t="shared" si="183"/>
        <v>16316.35245</v>
      </c>
      <c r="AR276" s="99">
        <f t="shared" si="183"/>
        <v>16642.6795</v>
      </c>
      <c r="AS276" s="99">
        <f t="shared" si="183"/>
        <v>16975.53309</v>
      </c>
      <c r="AT276" s="99">
        <f t="shared" si="183"/>
        <v>17315.04375</v>
      </c>
      <c r="AU276" s="99">
        <f t="shared" si="183"/>
        <v>17661.34462</v>
      </c>
      <c r="AV276" s="99">
        <f t="shared" si="183"/>
        <v>18014.57151</v>
      </c>
      <c r="AW276" s="90"/>
      <c r="AX276" s="90"/>
      <c r="AY276" s="90"/>
      <c r="AZ276" s="90"/>
      <c r="BA276" s="90"/>
      <c r="BB276" s="90"/>
      <c r="BC276" s="90"/>
      <c r="BD276" s="90"/>
      <c r="BE276" s="90"/>
      <c r="BF276" s="90"/>
      <c r="BG276" s="90"/>
    </row>
    <row r="277" ht="12.75" customHeight="1">
      <c r="A277" s="316"/>
      <c r="B277" s="90"/>
      <c r="C277" s="90" t="s">
        <v>688</v>
      </c>
      <c r="D277" s="90"/>
      <c r="E277" s="90"/>
      <c r="F277" s="90"/>
      <c r="G277" s="99"/>
      <c r="H277" s="99"/>
      <c r="I277" s="99"/>
      <c r="J277" s="99">
        <v>0.0</v>
      </c>
      <c r="K277" s="99">
        <v>0.0</v>
      </c>
      <c r="L277" s="99">
        <v>0.0</v>
      </c>
      <c r="M277" s="99">
        <v>0.0</v>
      </c>
      <c r="N277" s="99">
        <v>0.0</v>
      </c>
      <c r="O277" s="99">
        <v>0.0</v>
      </c>
      <c r="P277" s="99">
        <v>0.0</v>
      </c>
      <c r="Q277" s="99">
        <v>0.0</v>
      </c>
      <c r="R277" s="99">
        <v>0.0</v>
      </c>
      <c r="S277" s="99">
        <v>0.0</v>
      </c>
      <c r="T277" s="99">
        <v>0.0</v>
      </c>
      <c r="U277" s="99">
        <v>0.0</v>
      </c>
      <c r="V277" s="99">
        <v>0.0</v>
      </c>
      <c r="W277" s="99">
        <v>0.0</v>
      </c>
      <c r="X277" s="99">
        <v>0.0</v>
      </c>
      <c r="Y277" s="99">
        <v>0.0</v>
      </c>
      <c r="Z277" s="99">
        <v>0.0</v>
      </c>
      <c r="AA277" s="99">
        <v>0.0</v>
      </c>
      <c r="AB277" s="99">
        <v>0.0</v>
      </c>
      <c r="AC277" s="99">
        <v>0.0</v>
      </c>
      <c r="AD277" s="99">
        <v>0.0</v>
      </c>
      <c r="AE277" s="99">
        <v>0.0</v>
      </c>
      <c r="AF277" s="99">
        <v>0.0</v>
      </c>
      <c r="AG277" s="99">
        <v>0.0</v>
      </c>
      <c r="AH277" s="99">
        <v>0.0</v>
      </c>
      <c r="AI277" s="99">
        <v>0.0</v>
      </c>
      <c r="AJ277" s="99">
        <v>0.0</v>
      </c>
      <c r="AK277" s="99">
        <v>0.0</v>
      </c>
      <c r="AL277" s="99">
        <v>0.0</v>
      </c>
      <c r="AM277" s="99">
        <v>0.0</v>
      </c>
      <c r="AN277" s="99">
        <v>0.0</v>
      </c>
      <c r="AO277" s="99">
        <v>0.0</v>
      </c>
      <c r="AP277" s="99">
        <v>0.0</v>
      </c>
      <c r="AQ277" s="99">
        <v>0.0</v>
      </c>
      <c r="AR277" s="99">
        <v>0.0</v>
      </c>
      <c r="AS277" s="99">
        <v>0.0</v>
      </c>
      <c r="AT277" s="99">
        <v>0.0</v>
      </c>
      <c r="AU277" s="99">
        <v>0.0</v>
      </c>
      <c r="AV277" s="99">
        <v>0.0</v>
      </c>
      <c r="AW277" s="90"/>
      <c r="AX277" s="90"/>
      <c r="AY277" s="90"/>
      <c r="AZ277" s="90"/>
      <c r="BA277" s="90"/>
      <c r="BB277" s="90"/>
      <c r="BC277" s="90"/>
      <c r="BD277" s="90"/>
      <c r="BE277" s="90"/>
      <c r="BF277" s="90"/>
      <c r="BG277" s="90"/>
    </row>
    <row r="278" ht="12.75" customHeight="1">
      <c r="A278" s="316"/>
      <c r="B278" s="90"/>
      <c r="C278" s="90" t="s">
        <v>689</v>
      </c>
      <c r="D278" s="90"/>
      <c r="E278" s="90"/>
      <c r="F278" s="90"/>
      <c r="G278" s="99"/>
      <c r="H278" s="99"/>
      <c r="I278" s="99"/>
      <c r="J278" s="99">
        <v>0.0</v>
      </c>
      <c r="K278" s="99">
        <v>0.0</v>
      </c>
      <c r="L278" s="99">
        <f t="shared" ref="L278:AV278" si="184">L114*L$55</f>
        <v>0</v>
      </c>
      <c r="M278" s="99">
        <f t="shared" si="184"/>
        <v>12831.85841</v>
      </c>
      <c r="N278" s="99">
        <f t="shared" si="184"/>
        <v>13088.49558</v>
      </c>
      <c r="O278" s="99">
        <f t="shared" si="184"/>
        <v>13350.26549</v>
      </c>
      <c r="P278" s="99">
        <f t="shared" si="184"/>
        <v>13617.2708</v>
      </c>
      <c r="Q278" s="99">
        <f t="shared" si="184"/>
        <v>13889.61621</v>
      </c>
      <c r="R278" s="99">
        <f t="shared" si="184"/>
        <v>14167.40854</v>
      </c>
      <c r="S278" s="99">
        <f t="shared" si="184"/>
        <v>14450.75671</v>
      </c>
      <c r="T278" s="99">
        <f t="shared" si="184"/>
        <v>14739.77184</v>
      </c>
      <c r="U278" s="99">
        <f t="shared" si="184"/>
        <v>15034.56728</v>
      </c>
      <c r="V278" s="99">
        <f t="shared" si="184"/>
        <v>15335.25862</v>
      </c>
      <c r="W278" s="99">
        <f t="shared" si="184"/>
        <v>15641.9638</v>
      </c>
      <c r="X278" s="99">
        <f t="shared" si="184"/>
        <v>15954.80307</v>
      </c>
      <c r="Y278" s="99">
        <f t="shared" si="184"/>
        <v>16273.89913</v>
      </c>
      <c r="Z278" s="99">
        <f t="shared" si="184"/>
        <v>16599.37712</v>
      </c>
      <c r="AA278" s="99">
        <f t="shared" si="184"/>
        <v>16931.36466</v>
      </c>
      <c r="AB278" s="99">
        <f t="shared" si="184"/>
        <v>17269.99195</v>
      </c>
      <c r="AC278" s="99">
        <f t="shared" si="184"/>
        <v>17615.39179</v>
      </c>
      <c r="AD278" s="99">
        <f t="shared" si="184"/>
        <v>17967.69963</v>
      </c>
      <c r="AE278" s="99">
        <f t="shared" si="184"/>
        <v>18327.05362</v>
      </c>
      <c r="AF278" s="99">
        <f t="shared" si="184"/>
        <v>18693.59469</v>
      </c>
      <c r="AG278" s="99">
        <f t="shared" si="184"/>
        <v>19067.46659</v>
      </c>
      <c r="AH278" s="99">
        <f t="shared" si="184"/>
        <v>19448.81592</v>
      </c>
      <c r="AI278" s="99">
        <f t="shared" si="184"/>
        <v>19837.79224</v>
      </c>
      <c r="AJ278" s="99">
        <f t="shared" si="184"/>
        <v>20234.54808</v>
      </c>
      <c r="AK278" s="99">
        <f t="shared" si="184"/>
        <v>20639.23904</v>
      </c>
      <c r="AL278" s="99">
        <f t="shared" si="184"/>
        <v>21052.02382</v>
      </c>
      <c r="AM278" s="99">
        <f t="shared" si="184"/>
        <v>21473.0643</v>
      </c>
      <c r="AN278" s="99">
        <f t="shared" si="184"/>
        <v>21902.52559</v>
      </c>
      <c r="AO278" s="99">
        <f t="shared" si="184"/>
        <v>22340.5761</v>
      </c>
      <c r="AP278" s="99">
        <f t="shared" si="184"/>
        <v>22787.38762</v>
      </c>
      <c r="AQ278" s="99">
        <f t="shared" si="184"/>
        <v>23243.13537</v>
      </c>
      <c r="AR278" s="99">
        <f t="shared" si="184"/>
        <v>23707.99808</v>
      </c>
      <c r="AS278" s="99">
        <f t="shared" si="184"/>
        <v>24182.15804</v>
      </c>
      <c r="AT278" s="99">
        <f t="shared" si="184"/>
        <v>24665.8012</v>
      </c>
      <c r="AU278" s="99">
        <f t="shared" si="184"/>
        <v>25159.11723</v>
      </c>
      <c r="AV278" s="99">
        <f t="shared" si="184"/>
        <v>25662.29957</v>
      </c>
      <c r="AW278" s="90"/>
      <c r="AX278" s="90"/>
      <c r="AY278" s="90"/>
      <c r="AZ278" s="90"/>
      <c r="BA278" s="90"/>
      <c r="BB278" s="90"/>
      <c r="BC278" s="90"/>
      <c r="BD278" s="90"/>
      <c r="BE278" s="90"/>
      <c r="BF278" s="90"/>
      <c r="BG278" s="90"/>
    </row>
    <row r="279" ht="12.75" customHeight="1">
      <c r="A279" s="316"/>
      <c r="B279" s="90"/>
      <c r="C279" s="90" t="s">
        <v>690</v>
      </c>
      <c r="D279" s="90"/>
      <c r="E279" s="90"/>
      <c r="F279" s="90"/>
      <c r="G279" s="99"/>
      <c r="H279" s="99"/>
      <c r="I279" s="99"/>
      <c r="J279" s="99">
        <v>0.0</v>
      </c>
      <c r="K279" s="99">
        <v>707.0</v>
      </c>
      <c r="L279" s="99">
        <f t="shared" ref="L279:AV279" si="185">L115*L$55</f>
        <v>0</v>
      </c>
      <c r="M279" s="99">
        <f t="shared" si="185"/>
        <v>0</v>
      </c>
      <c r="N279" s="99">
        <f t="shared" si="185"/>
        <v>0</v>
      </c>
      <c r="O279" s="99">
        <f t="shared" si="185"/>
        <v>0</v>
      </c>
      <c r="P279" s="99">
        <f t="shared" si="185"/>
        <v>0</v>
      </c>
      <c r="Q279" s="99">
        <f t="shared" si="185"/>
        <v>0</v>
      </c>
      <c r="R279" s="99">
        <f t="shared" si="185"/>
        <v>0</v>
      </c>
      <c r="S279" s="99">
        <f t="shared" si="185"/>
        <v>0</v>
      </c>
      <c r="T279" s="99">
        <f t="shared" si="185"/>
        <v>0</v>
      </c>
      <c r="U279" s="99">
        <f t="shared" si="185"/>
        <v>0</v>
      </c>
      <c r="V279" s="99">
        <f t="shared" si="185"/>
        <v>0</v>
      </c>
      <c r="W279" s="99">
        <f t="shared" si="185"/>
        <v>0</v>
      </c>
      <c r="X279" s="99">
        <f t="shared" si="185"/>
        <v>0</v>
      </c>
      <c r="Y279" s="99">
        <f t="shared" si="185"/>
        <v>0</v>
      </c>
      <c r="Z279" s="99">
        <f t="shared" si="185"/>
        <v>0</v>
      </c>
      <c r="AA279" s="99">
        <f t="shared" si="185"/>
        <v>0</v>
      </c>
      <c r="AB279" s="99">
        <f t="shared" si="185"/>
        <v>0</v>
      </c>
      <c r="AC279" s="99">
        <f t="shared" si="185"/>
        <v>0</v>
      </c>
      <c r="AD279" s="99">
        <f t="shared" si="185"/>
        <v>0</v>
      </c>
      <c r="AE279" s="99">
        <f t="shared" si="185"/>
        <v>0</v>
      </c>
      <c r="AF279" s="99">
        <f t="shared" si="185"/>
        <v>0</v>
      </c>
      <c r="AG279" s="99">
        <f t="shared" si="185"/>
        <v>0</v>
      </c>
      <c r="AH279" s="99">
        <f t="shared" si="185"/>
        <v>0</v>
      </c>
      <c r="AI279" s="99">
        <f t="shared" si="185"/>
        <v>0</v>
      </c>
      <c r="AJ279" s="99">
        <f t="shared" si="185"/>
        <v>0</v>
      </c>
      <c r="AK279" s="99">
        <f t="shared" si="185"/>
        <v>0</v>
      </c>
      <c r="AL279" s="99">
        <f t="shared" si="185"/>
        <v>0</v>
      </c>
      <c r="AM279" s="99">
        <f t="shared" si="185"/>
        <v>0</v>
      </c>
      <c r="AN279" s="99">
        <f t="shared" si="185"/>
        <v>0</v>
      </c>
      <c r="AO279" s="99">
        <f t="shared" si="185"/>
        <v>0</v>
      </c>
      <c r="AP279" s="99">
        <f t="shared" si="185"/>
        <v>0</v>
      </c>
      <c r="AQ279" s="99">
        <f t="shared" si="185"/>
        <v>0</v>
      </c>
      <c r="AR279" s="99">
        <f t="shared" si="185"/>
        <v>0</v>
      </c>
      <c r="AS279" s="99">
        <f t="shared" si="185"/>
        <v>0</v>
      </c>
      <c r="AT279" s="99">
        <f t="shared" si="185"/>
        <v>0</v>
      </c>
      <c r="AU279" s="99">
        <f t="shared" si="185"/>
        <v>0</v>
      </c>
      <c r="AV279" s="99">
        <f t="shared" si="185"/>
        <v>0</v>
      </c>
      <c r="AW279" s="90"/>
      <c r="AX279" s="90"/>
      <c r="AY279" s="90"/>
      <c r="AZ279" s="90"/>
      <c r="BA279" s="90"/>
      <c r="BB279" s="90"/>
      <c r="BC279" s="90"/>
      <c r="BD279" s="90"/>
      <c r="BE279" s="90"/>
      <c r="BF279" s="90"/>
      <c r="BG279" s="90"/>
    </row>
    <row r="280" ht="12.75" customHeight="1">
      <c r="A280" s="316"/>
      <c r="B280" s="87"/>
      <c r="C280" s="87" t="s">
        <v>691</v>
      </c>
      <c r="D280" s="87"/>
      <c r="E280" s="87"/>
      <c r="F280" s="87"/>
      <c r="G280" s="125"/>
      <c r="H280" s="125"/>
      <c r="I280" s="125"/>
      <c r="J280" s="125">
        <v>0.0</v>
      </c>
      <c r="K280" s="125">
        <v>34046.0</v>
      </c>
      <c r="L280" s="125">
        <f t="shared" ref="L280:AV280" si="186">L116*L$55</f>
        <v>0</v>
      </c>
      <c r="M280" s="125">
        <f t="shared" si="186"/>
        <v>0</v>
      </c>
      <c r="N280" s="125">
        <f t="shared" si="186"/>
        <v>0</v>
      </c>
      <c r="O280" s="125">
        <f t="shared" si="186"/>
        <v>0</v>
      </c>
      <c r="P280" s="125">
        <f t="shared" si="186"/>
        <v>0</v>
      </c>
      <c r="Q280" s="125">
        <f t="shared" si="186"/>
        <v>0</v>
      </c>
      <c r="R280" s="125">
        <f t="shared" si="186"/>
        <v>0</v>
      </c>
      <c r="S280" s="125">
        <f t="shared" si="186"/>
        <v>0</v>
      </c>
      <c r="T280" s="125">
        <f t="shared" si="186"/>
        <v>0</v>
      </c>
      <c r="U280" s="125">
        <f t="shared" si="186"/>
        <v>0</v>
      </c>
      <c r="V280" s="125">
        <f t="shared" si="186"/>
        <v>0</v>
      </c>
      <c r="W280" s="125">
        <f t="shared" si="186"/>
        <v>0</v>
      </c>
      <c r="X280" s="125">
        <f t="shared" si="186"/>
        <v>0</v>
      </c>
      <c r="Y280" s="125">
        <f t="shared" si="186"/>
        <v>0</v>
      </c>
      <c r="Z280" s="125">
        <f t="shared" si="186"/>
        <v>0</v>
      </c>
      <c r="AA280" s="125">
        <f t="shared" si="186"/>
        <v>0</v>
      </c>
      <c r="AB280" s="125">
        <f t="shared" si="186"/>
        <v>0</v>
      </c>
      <c r="AC280" s="125">
        <f t="shared" si="186"/>
        <v>0</v>
      </c>
      <c r="AD280" s="125">
        <f t="shared" si="186"/>
        <v>0</v>
      </c>
      <c r="AE280" s="125">
        <f t="shared" si="186"/>
        <v>0</v>
      </c>
      <c r="AF280" s="125">
        <f t="shared" si="186"/>
        <v>0</v>
      </c>
      <c r="AG280" s="125">
        <f t="shared" si="186"/>
        <v>0</v>
      </c>
      <c r="AH280" s="125">
        <f t="shared" si="186"/>
        <v>0</v>
      </c>
      <c r="AI280" s="125">
        <f t="shared" si="186"/>
        <v>0</v>
      </c>
      <c r="AJ280" s="125">
        <f t="shared" si="186"/>
        <v>0</v>
      </c>
      <c r="AK280" s="125">
        <f t="shared" si="186"/>
        <v>0</v>
      </c>
      <c r="AL280" s="125">
        <f t="shared" si="186"/>
        <v>0</v>
      </c>
      <c r="AM280" s="125">
        <f t="shared" si="186"/>
        <v>0</v>
      </c>
      <c r="AN280" s="125">
        <f t="shared" si="186"/>
        <v>0</v>
      </c>
      <c r="AO280" s="125">
        <f t="shared" si="186"/>
        <v>0</v>
      </c>
      <c r="AP280" s="125">
        <f t="shared" si="186"/>
        <v>0</v>
      </c>
      <c r="AQ280" s="125">
        <f t="shared" si="186"/>
        <v>0</v>
      </c>
      <c r="AR280" s="125">
        <f t="shared" si="186"/>
        <v>0</v>
      </c>
      <c r="AS280" s="125">
        <f t="shared" si="186"/>
        <v>0</v>
      </c>
      <c r="AT280" s="125">
        <f t="shared" si="186"/>
        <v>0</v>
      </c>
      <c r="AU280" s="125">
        <f t="shared" si="186"/>
        <v>0</v>
      </c>
      <c r="AV280" s="125">
        <f t="shared" si="186"/>
        <v>0</v>
      </c>
      <c r="AW280" s="87"/>
      <c r="AX280" s="90"/>
      <c r="AY280" s="90"/>
      <c r="AZ280" s="90"/>
      <c r="BA280" s="90"/>
      <c r="BB280" s="90"/>
      <c r="BC280" s="90"/>
      <c r="BD280" s="90"/>
      <c r="BE280" s="90"/>
      <c r="BF280" s="90"/>
      <c r="BG280" s="90"/>
    </row>
    <row r="281" ht="12.75" customHeight="1">
      <c r="A281" s="316"/>
      <c r="B281" s="67" t="s">
        <v>792</v>
      </c>
      <c r="C281" s="90"/>
      <c r="D281" s="90"/>
      <c r="E281" s="90"/>
      <c r="F281" s="90"/>
      <c r="G281" s="79"/>
      <c r="H281" s="79"/>
      <c r="I281" s="79"/>
      <c r="J281" s="79">
        <f t="shared" ref="J281:AV281" si="187">SUM(J274:J280)</f>
        <v>0</v>
      </c>
      <c r="K281" s="79">
        <f t="shared" si="187"/>
        <v>302282.43</v>
      </c>
      <c r="L281" s="79">
        <f t="shared" si="187"/>
        <v>298835.64</v>
      </c>
      <c r="M281" s="79">
        <f t="shared" si="187"/>
        <v>329969.4016</v>
      </c>
      <c r="N281" s="79">
        <f t="shared" si="187"/>
        <v>336568.7896</v>
      </c>
      <c r="O281" s="79">
        <f t="shared" si="187"/>
        <v>343300.1654</v>
      </c>
      <c r="P281" s="79">
        <f t="shared" si="187"/>
        <v>350166.1687</v>
      </c>
      <c r="Q281" s="79">
        <f t="shared" si="187"/>
        <v>357169.4921</v>
      </c>
      <c r="R281" s="79">
        <f t="shared" si="187"/>
        <v>364312.882</v>
      </c>
      <c r="S281" s="79">
        <f t="shared" si="187"/>
        <v>371599.1396</v>
      </c>
      <c r="T281" s="79">
        <f t="shared" si="187"/>
        <v>379031.1224</v>
      </c>
      <c r="U281" s="79">
        <f t="shared" si="187"/>
        <v>386611.7448</v>
      </c>
      <c r="V281" s="79">
        <f t="shared" si="187"/>
        <v>394343.9797</v>
      </c>
      <c r="W281" s="79">
        <f t="shared" si="187"/>
        <v>402230.8593</v>
      </c>
      <c r="X281" s="79">
        <f t="shared" si="187"/>
        <v>410275.4765</v>
      </c>
      <c r="Y281" s="79">
        <f t="shared" si="187"/>
        <v>418480.986</v>
      </c>
      <c r="Z281" s="79">
        <f t="shared" si="187"/>
        <v>426850.6058</v>
      </c>
      <c r="AA281" s="79">
        <f t="shared" si="187"/>
        <v>435387.6179</v>
      </c>
      <c r="AB281" s="79">
        <f t="shared" si="187"/>
        <v>444095.3702</v>
      </c>
      <c r="AC281" s="79">
        <f t="shared" si="187"/>
        <v>452977.2776</v>
      </c>
      <c r="AD281" s="79">
        <f t="shared" si="187"/>
        <v>462036.8232</v>
      </c>
      <c r="AE281" s="79">
        <f t="shared" si="187"/>
        <v>471277.5597</v>
      </c>
      <c r="AF281" s="79">
        <f t="shared" si="187"/>
        <v>562430.2176</v>
      </c>
      <c r="AG281" s="79">
        <f t="shared" si="187"/>
        <v>573678.822</v>
      </c>
      <c r="AH281" s="79">
        <f t="shared" si="187"/>
        <v>585152.3984</v>
      </c>
      <c r="AI281" s="79">
        <f t="shared" si="187"/>
        <v>596855.4464</v>
      </c>
      <c r="AJ281" s="79">
        <f t="shared" si="187"/>
        <v>608792.5553</v>
      </c>
      <c r="AK281" s="79">
        <f t="shared" si="187"/>
        <v>620968.4064</v>
      </c>
      <c r="AL281" s="79">
        <f t="shared" si="187"/>
        <v>633387.7746</v>
      </c>
      <c r="AM281" s="79">
        <f t="shared" si="187"/>
        <v>646055.53</v>
      </c>
      <c r="AN281" s="79">
        <f t="shared" si="187"/>
        <v>658976.6406</v>
      </c>
      <c r="AO281" s="79">
        <f t="shared" si="187"/>
        <v>672156.1735</v>
      </c>
      <c r="AP281" s="79">
        <f t="shared" si="187"/>
        <v>685599.2969</v>
      </c>
      <c r="AQ281" s="79">
        <f t="shared" si="187"/>
        <v>699311.2829</v>
      </c>
      <c r="AR281" s="79">
        <f t="shared" si="187"/>
        <v>713297.5085</v>
      </c>
      <c r="AS281" s="79">
        <f t="shared" si="187"/>
        <v>727563.4587</v>
      </c>
      <c r="AT281" s="79">
        <f t="shared" si="187"/>
        <v>742114.7279</v>
      </c>
      <c r="AU281" s="79">
        <f t="shared" si="187"/>
        <v>756957.0224</v>
      </c>
      <c r="AV281" s="79">
        <f t="shared" si="187"/>
        <v>772096.1629</v>
      </c>
      <c r="AW281" s="90"/>
      <c r="AX281" s="90"/>
      <c r="AY281" s="90"/>
      <c r="AZ281" s="90"/>
      <c r="BA281" s="90"/>
      <c r="BB281" s="90"/>
      <c r="BC281" s="90"/>
      <c r="BD281" s="90"/>
      <c r="BE281" s="90"/>
      <c r="BF281" s="90"/>
      <c r="BG281" s="90"/>
    </row>
    <row r="282" ht="12.75" customHeight="1">
      <c r="A282" s="316"/>
      <c r="B282" s="67"/>
      <c r="C282" s="90"/>
      <c r="D282" s="90"/>
      <c r="E282" s="90"/>
      <c r="F282" s="90"/>
      <c r="G282" s="79"/>
      <c r="H282" s="79"/>
      <c r="I282" s="79"/>
      <c r="J282" s="79"/>
      <c r="K282" s="79"/>
      <c r="L282" s="79"/>
      <c r="M282" s="79"/>
      <c r="N282" s="79"/>
      <c r="O282" s="79"/>
      <c r="P282" s="79"/>
      <c r="Q282" s="79"/>
      <c r="R282" s="79"/>
      <c r="S282" s="79"/>
      <c r="T282" s="79"/>
      <c r="U282" s="79"/>
      <c r="V282" s="79"/>
      <c r="W282" s="79"/>
      <c r="X282" s="79"/>
      <c r="Y282" s="79"/>
      <c r="Z282" s="79"/>
      <c r="AA282" s="79"/>
      <c r="AB282" s="79"/>
      <c r="AC282" s="79"/>
      <c r="AD282" s="79"/>
      <c r="AE282" s="79"/>
      <c r="AF282" s="79"/>
      <c r="AG282" s="79"/>
      <c r="AH282" s="79"/>
      <c r="AI282" s="79"/>
      <c r="AJ282" s="79"/>
      <c r="AK282" s="79"/>
      <c r="AL282" s="79"/>
      <c r="AM282" s="79"/>
      <c r="AN282" s="79"/>
      <c r="AO282" s="79"/>
      <c r="AP282" s="79"/>
      <c r="AQ282" s="79"/>
      <c r="AR282" s="79"/>
      <c r="AS282" s="79"/>
      <c r="AT282" s="79"/>
      <c r="AU282" s="79"/>
      <c r="AV282" s="79"/>
      <c r="AW282" s="90"/>
      <c r="AX282" s="90"/>
      <c r="AY282" s="90"/>
      <c r="AZ282" s="90"/>
      <c r="BA282" s="90"/>
      <c r="BB282" s="90"/>
      <c r="BC282" s="90"/>
      <c r="BD282" s="90"/>
      <c r="BE282" s="90"/>
      <c r="BF282" s="90"/>
      <c r="BG282" s="90"/>
    </row>
    <row r="283" ht="12.75" customHeight="1">
      <c r="A283" s="316"/>
      <c r="B283" s="67" t="s">
        <v>1166</v>
      </c>
      <c r="C283" s="90"/>
      <c r="D283" s="90"/>
      <c r="E283" s="90"/>
      <c r="F283" s="90"/>
      <c r="G283" s="90"/>
      <c r="H283" s="99"/>
      <c r="I283" s="90"/>
      <c r="J283" s="90"/>
      <c r="K283" s="90"/>
      <c r="L283" s="90"/>
      <c r="M283" s="90"/>
      <c r="N283" s="90"/>
      <c r="O283" s="90"/>
      <c r="P283" s="90"/>
      <c r="Q283" s="90"/>
      <c r="R283" s="90"/>
      <c r="S283" s="90"/>
      <c r="T283" s="90"/>
      <c r="U283" s="90"/>
      <c r="V283" s="90"/>
      <c r="W283" s="90"/>
      <c r="X283" s="90"/>
      <c r="Y283" s="90"/>
      <c r="Z283" s="90"/>
      <c r="AA283" s="90"/>
      <c r="AB283" s="90"/>
      <c r="AC283" s="90"/>
      <c r="AD283" s="90"/>
      <c r="AE283" s="90"/>
      <c r="AF283" s="90"/>
      <c r="AG283" s="90"/>
      <c r="AH283" s="90"/>
      <c r="AI283" s="90"/>
      <c r="AJ283" s="90"/>
      <c r="AK283" s="90"/>
      <c r="AL283" s="90"/>
      <c r="AM283" s="90"/>
      <c r="AN283" s="90"/>
      <c r="AO283" s="90"/>
      <c r="AP283" s="90"/>
      <c r="AQ283" s="90"/>
      <c r="AR283" s="90"/>
      <c r="AS283" s="90"/>
      <c r="AT283" s="90"/>
      <c r="AU283" s="90"/>
      <c r="AV283" s="90"/>
      <c r="AW283" s="90"/>
      <c r="AX283" s="90"/>
      <c r="AY283" s="90"/>
      <c r="AZ283" s="90"/>
      <c r="BA283" s="90"/>
      <c r="BB283" s="90"/>
      <c r="BC283" s="90"/>
      <c r="BD283" s="90"/>
      <c r="BE283" s="90"/>
      <c r="BF283" s="90"/>
      <c r="BG283" s="90"/>
    </row>
    <row r="284" ht="12.75" customHeight="1">
      <c r="A284" s="316"/>
      <c r="B284" s="90"/>
      <c r="C284" s="90" t="s">
        <v>791</v>
      </c>
      <c r="D284" s="90"/>
      <c r="E284" s="90"/>
      <c r="F284" s="90"/>
      <c r="G284" s="99"/>
      <c r="H284" s="99"/>
      <c r="I284" s="99">
        <v>0.0</v>
      </c>
      <c r="J284" s="99">
        <v>62500.0</v>
      </c>
      <c r="K284" s="99">
        <v>537500.0</v>
      </c>
      <c r="L284" s="99">
        <v>0.0</v>
      </c>
      <c r="M284" s="99">
        <v>0.0</v>
      </c>
      <c r="N284" s="99">
        <v>0.0</v>
      </c>
      <c r="O284" s="99">
        <v>0.0</v>
      </c>
      <c r="P284" s="99">
        <v>0.0</v>
      </c>
      <c r="Q284" s="99">
        <v>0.0</v>
      </c>
      <c r="R284" s="99">
        <v>0.0</v>
      </c>
      <c r="S284" s="99">
        <v>0.0</v>
      </c>
      <c r="T284" s="99">
        <v>0.0</v>
      </c>
      <c r="U284" s="99">
        <v>0.0</v>
      </c>
      <c r="V284" s="99">
        <v>0.0</v>
      </c>
      <c r="W284" s="99">
        <v>0.0</v>
      </c>
      <c r="X284" s="99">
        <v>0.0</v>
      </c>
      <c r="Y284" s="99">
        <v>0.0</v>
      </c>
      <c r="Z284" s="99">
        <v>0.0</v>
      </c>
      <c r="AA284" s="99">
        <v>0.0</v>
      </c>
      <c r="AB284" s="99">
        <v>0.0</v>
      </c>
      <c r="AC284" s="99">
        <v>0.0</v>
      </c>
      <c r="AD284" s="99">
        <v>0.0</v>
      </c>
      <c r="AE284" s="99">
        <v>0.0</v>
      </c>
      <c r="AF284" s="99">
        <v>0.0</v>
      </c>
      <c r="AG284" s="99">
        <v>0.0</v>
      </c>
      <c r="AH284" s="99">
        <v>0.0</v>
      </c>
      <c r="AI284" s="99">
        <v>0.0</v>
      </c>
      <c r="AJ284" s="99">
        <v>0.0</v>
      </c>
      <c r="AK284" s="99">
        <v>0.0</v>
      </c>
      <c r="AL284" s="99">
        <v>0.0</v>
      </c>
      <c r="AM284" s="99">
        <v>0.0</v>
      </c>
      <c r="AN284" s="99">
        <v>0.0</v>
      </c>
      <c r="AO284" s="99">
        <v>0.0</v>
      </c>
      <c r="AP284" s="99">
        <v>0.0</v>
      </c>
      <c r="AQ284" s="99">
        <v>0.0</v>
      </c>
      <c r="AR284" s="99">
        <v>0.0</v>
      </c>
      <c r="AS284" s="99">
        <v>0.0</v>
      </c>
      <c r="AT284" s="99">
        <v>0.0</v>
      </c>
      <c r="AU284" s="99">
        <v>0.0</v>
      </c>
      <c r="AV284" s="99">
        <v>0.0</v>
      </c>
      <c r="AW284" s="90" t="s">
        <v>1237</v>
      </c>
      <c r="AX284" s="90"/>
      <c r="AY284" s="90"/>
      <c r="AZ284" s="90"/>
      <c r="BA284" s="90"/>
      <c r="BB284" s="90"/>
      <c r="BC284" s="90"/>
      <c r="BD284" s="90"/>
      <c r="BE284" s="90"/>
      <c r="BF284" s="90"/>
      <c r="BG284" s="90"/>
    </row>
    <row r="285" ht="12.75" customHeight="1">
      <c r="A285" s="90"/>
      <c r="B285" s="90"/>
      <c r="C285" s="90" t="s">
        <v>794</v>
      </c>
      <c r="D285" s="90"/>
      <c r="E285" s="90"/>
      <c r="F285" s="90"/>
      <c r="G285" s="99"/>
      <c r="H285" s="99"/>
      <c r="I285" s="99">
        <v>0.0</v>
      </c>
      <c r="J285" s="99">
        <v>0.0</v>
      </c>
      <c r="K285" s="99">
        <v>259143.84</v>
      </c>
      <c r="L285" s="99">
        <v>0.0</v>
      </c>
      <c r="M285" s="99">
        <v>0.0</v>
      </c>
      <c r="N285" s="99">
        <v>0.0</v>
      </c>
      <c r="O285" s="99">
        <v>0.0</v>
      </c>
      <c r="P285" s="99">
        <v>0.0</v>
      </c>
      <c r="Q285" s="99">
        <v>0.0</v>
      </c>
      <c r="R285" s="99">
        <v>0.0</v>
      </c>
      <c r="S285" s="99">
        <v>0.0</v>
      </c>
      <c r="T285" s="99">
        <v>0.0</v>
      </c>
      <c r="U285" s="99">
        <v>0.0</v>
      </c>
      <c r="V285" s="99">
        <v>0.0</v>
      </c>
      <c r="W285" s="99">
        <v>0.0</v>
      </c>
      <c r="X285" s="99">
        <v>0.0</v>
      </c>
      <c r="Y285" s="99">
        <v>0.0</v>
      </c>
      <c r="Z285" s="99">
        <v>0.0</v>
      </c>
      <c r="AA285" s="99">
        <v>0.0</v>
      </c>
      <c r="AB285" s="99">
        <v>0.0</v>
      </c>
      <c r="AC285" s="99">
        <v>0.0</v>
      </c>
      <c r="AD285" s="99">
        <v>0.0</v>
      </c>
      <c r="AE285" s="99">
        <v>0.0</v>
      </c>
      <c r="AF285" s="99">
        <v>0.0</v>
      </c>
      <c r="AG285" s="99">
        <v>0.0</v>
      </c>
      <c r="AH285" s="99">
        <v>0.0</v>
      </c>
      <c r="AI285" s="99">
        <v>0.0</v>
      </c>
      <c r="AJ285" s="99">
        <v>0.0</v>
      </c>
      <c r="AK285" s="99">
        <v>0.0</v>
      </c>
      <c r="AL285" s="99">
        <v>0.0</v>
      </c>
      <c r="AM285" s="99">
        <v>0.0</v>
      </c>
      <c r="AN285" s="99">
        <v>0.0</v>
      </c>
      <c r="AO285" s="99">
        <v>0.0</v>
      </c>
      <c r="AP285" s="99">
        <v>0.0</v>
      </c>
      <c r="AQ285" s="99">
        <v>0.0</v>
      </c>
      <c r="AR285" s="99">
        <v>0.0</v>
      </c>
      <c r="AS285" s="99">
        <v>0.0</v>
      </c>
      <c r="AT285" s="99">
        <v>0.0</v>
      </c>
      <c r="AU285" s="99">
        <v>0.0</v>
      </c>
      <c r="AV285" s="99">
        <v>0.0</v>
      </c>
      <c r="AW285" s="90"/>
      <c r="AX285" s="90"/>
      <c r="AY285" s="90"/>
      <c r="AZ285" s="90"/>
      <c r="BA285" s="90"/>
      <c r="BB285" s="90"/>
      <c r="BC285" s="90"/>
      <c r="BD285" s="90"/>
      <c r="BE285" s="90"/>
      <c r="BF285" s="90"/>
      <c r="BG285" s="90"/>
    </row>
    <row r="286" ht="12.75" customHeight="1">
      <c r="A286" s="90"/>
      <c r="B286" s="90"/>
      <c r="C286" s="90" t="s">
        <v>795</v>
      </c>
      <c r="D286" s="90"/>
      <c r="E286" s="90"/>
      <c r="F286" s="90"/>
      <c r="G286" s="99"/>
      <c r="H286" s="99"/>
      <c r="I286" s="99">
        <v>0.0</v>
      </c>
      <c r="J286" s="99">
        <v>250000.0</v>
      </c>
      <c r="K286" s="99">
        <v>0.0</v>
      </c>
      <c r="L286" s="99">
        <v>0.0</v>
      </c>
      <c r="M286" s="99">
        <v>0.0</v>
      </c>
      <c r="N286" s="99">
        <v>0.0</v>
      </c>
      <c r="O286" s="99">
        <v>0.0</v>
      </c>
      <c r="P286" s="99">
        <v>0.0</v>
      </c>
      <c r="Q286" s="99">
        <v>0.0</v>
      </c>
      <c r="R286" s="99">
        <v>0.0</v>
      </c>
      <c r="S286" s="99">
        <v>0.0</v>
      </c>
      <c r="T286" s="99">
        <v>0.0</v>
      </c>
      <c r="U286" s="99">
        <v>0.0</v>
      </c>
      <c r="V286" s="99">
        <v>0.0</v>
      </c>
      <c r="W286" s="99">
        <v>0.0</v>
      </c>
      <c r="X286" s="99">
        <v>0.0</v>
      </c>
      <c r="Y286" s="99">
        <v>0.0</v>
      </c>
      <c r="Z286" s="99">
        <v>0.0</v>
      </c>
      <c r="AA286" s="99">
        <v>0.0</v>
      </c>
      <c r="AB286" s="99">
        <v>0.0</v>
      </c>
      <c r="AC286" s="99">
        <v>0.0</v>
      </c>
      <c r="AD286" s="99">
        <v>0.0</v>
      </c>
      <c r="AE286" s="99">
        <v>0.0</v>
      </c>
      <c r="AF286" s="99">
        <v>0.0</v>
      </c>
      <c r="AG286" s="99">
        <v>0.0</v>
      </c>
      <c r="AH286" s="99">
        <v>0.0</v>
      </c>
      <c r="AI286" s="99">
        <v>0.0</v>
      </c>
      <c r="AJ286" s="99">
        <v>0.0</v>
      </c>
      <c r="AK286" s="99">
        <v>0.0</v>
      </c>
      <c r="AL286" s="99">
        <v>0.0</v>
      </c>
      <c r="AM286" s="99">
        <v>0.0</v>
      </c>
      <c r="AN286" s="99">
        <v>0.0</v>
      </c>
      <c r="AO286" s="99">
        <v>0.0</v>
      </c>
      <c r="AP286" s="99">
        <v>0.0</v>
      </c>
      <c r="AQ286" s="99">
        <v>0.0</v>
      </c>
      <c r="AR286" s="99">
        <v>0.0</v>
      </c>
      <c r="AS286" s="99">
        <v>0.0</v>
      </c>
      <c r="AT286" s="99">
        <v>0.0</v>
      </c>
      <c r="AU286" s="99">
        <v>0.0</v>
      </c>
      <c r="AV286" s="99">
        <v>0.0</v>
      </c>
      <c r="AW286" s="90" t="s">
        <v>1215</v>
      </c>
      <c r="AX286" s="90"/>
      <c r="AY286" s="90"/>
      <c r="AZ286" s="90"/>
      <c r="BA286" s="90"/>
      <c r="BB286" s="90"/>
      <c r="BC286" s="90"/>
      <c r="BD286" s="90"/>
      <c r="BE286" s="90"/>
      <c r="BF286" s="90"/>
      <c r="BG286" s="90"/>
    </row>
    <row r="287" ht="12.75" customHeight="1">
      <c r="A287" s="316"/>
      <c r="B287" s="87"/>
      <c r="C287" s="87" t="s">
        <v>796</v>
      </c>
      <c r="D287" s="87"/>
      <c r="E287" s="87"/>
      <c r="F287" s="87"/>
      <c r="G287" s="125"/>
      <c r="H287" s="125"/>
      <c r="I287" s="125">
        <v>0.0</v>
      </c>
      <c r="J287" s="125">
        <v>0.0</v>
      </c>
      <c r="K287" s="125">
        <v>3965.0</v>
      </c>
      <c r="L287" s="125">
        <v>0.0</v>
      </c>
      <c r="M287" s="125">
        <v>0.0</v>
      </c>
      <c r="N287" s="125">
        <v>0.0</v>
      </c>
      <c r="O287" s="125">
        <v>0.0</v>
      </c>
      <c r="P287" s="125">
        <v>0.0</v>
      </c>
      <c r="Q287" s="125">
        <v>0.0</v>
      </c>
      <c r="R287" s="125">
        <v>0.0</v>
      </c>
      <c r="S287" s="125">
        <v>0.0</v>
      </c>
      <c r="T287" s="125">
        <v>0.0</v>
      </c>
      <c r="U287" s="125">
        <v>0.0</v>
      </c>
      <c r="V287" s="125">
        <v>0.0</v>
      </c>
      <c r="W287" s="125">
        <v>0.0</v>
      </c>
      <c r="X287" s="125">
        <v>0.0</v>
      </c>
      <c r="Y287" s="125">
        <v>0.0</v>
      </c>
      <c r="Z287" s="125">
        <v>0.0</v>
      </c>
      <c r="AA287" s="125">
        <v>0.0</v>
      </c>
      <c r="AB287" s="125">
        <v>0.0</v>
      </c>
      <c r="AC287" s="125">
        <v>0.0</v>
      </c>
      <c r="AD287" s="125">
        <v>0.0</v>
      </c>
      <c r="AE287" s="125">
        <v>0.0</v>
      </c>
      <c r="AF287" s="125">
        <v>0.0</v>
      </c>
      <c r="AG287" s="125">
        <v>0.0</v>
      </c>
      <c r="AH287" s="125">
        <v>0.0</v>
      </c>
      <c r="AI287" s="125">
        <v>0.0</v>
      </c>
      <c r="AJ287" s="125">
        <v>0.0</v>
      </c>
      <c r="AK287" s="125">
        <v>0.0</v>
      </c>
      <c r="AL287" s="125">
        <v>0.0</v>
      </c>
      <c r="AM287" s="125">
        <v>0.0</v>
      </c>
      <c r="AN287" s="125">
        <v>0.0</v>
      </c>
      <c r="AO287" s="125">
        <v>0.0</v>
      </c>
      <c r="AP287" s="125">
        <v>0.0</v>
      </c>
      <c r="AQ287" s="125">
        <v>0.0</v>
      </c>
      <c r="AR287" s="125">
        <v>0.0</v>
      </c>
      <c r="AS287" s="125">
        <v>0.0</v>
      </c>
      <c r="AT287" s="125">
        <v>0.0</v>
      </c>
      <c r="AU287" s="125">
        <v>0.0</v>
      </c>
      <c r="AV287" s="125">
        <v>0.0</v>
      </c>
      <c r="AW287" s="87"/>
      <c r="AX287" s="90"/>
      <c r="AY287" s="90"/>
      <c r="AZ287" s="90"/>
      <c r="BA287" s="90"/>
      <c r="BB287" s="90"/>
      <c r="BC287" s="90"/>
      <c r="BD287" s="90"/>
      <c r="BE287" s="90"/>
      <c r="BF287" s="90"/>
      <c r="BG287" s="90"/>
    </row>
    <row r="288" ht="12.75" customHeight="1">
      <c r="A288" s="316"/>
      <c r="B288" s="67" t="s">
        <v>797</v>
      </c>
      <c r="C288" s="90"/>
      <c r="D288" s="90"/>
      <c r="E288" s="90"/>
      <c r="F288" s="90"/>
      <c r="G288" s="79"/>
      <c r="H288" s="79"/>
      <c r="I288" s="79">
        <f t="shared" ref="I288:AV288" si="188">SUM(I284:I287)</f>
        <v>0</v>
      </c>
      <c r="J288" s="79">
        <f t="shared" si="188"/>
        <v>312500</v>
      </c>
      <c r="K288" s="79">
        <f t="shared" si="188"/>
        <v>800608.84</v>
      </c>
      <c r="L288" s="79">
        <f t="shared" si="188"/>
        <v>0</v>
      </c>
      <c r="M288" s="79">
        <f t="shared" si="188"/>
        <v>0</v>
      </c>
      <c r="N288" s="79">
        <f t="shared" si="188"/>
        <v>0</v>
      </c>
      <c r="O288" s="79">
        <f t="shared" si="188"/>
        <v>0</v>
      </c>
      <c r="P288" s="79">
        <f t="shared" si="188"/>
        <v>0</v>
      </c>
      <c r="Q288" s="79">
        <f t="shared" si="188"/>
        <v>0</v>
      </c>
      <c r="R288" s="79">
        <f t="shared" si="188"/>
        <v>0</v>
      </c>
      <c r="S288" s="79">
        <f t="shared" si="188"/>
        <v>0</v>
      </c>
      <c r="T288" s="79">
        <f t="shared" si="188"/>
        <v>0</v>
      </c>
      <c r="U288" s="79">
        <f t="shared" si="188"/>
        <v>0</v>
      </c>
      <c r="V288" s="79">
        <f t="shared" si="188"/>
        <v>0</v>
      </c>
      <c r="W288" s="79">
        <f t="shared" si="188"/>
        <v>0</v>
      </c>
      <c r="X288" s="79">
        <f t="shared" si="188"/>
        <v>0</v>
      </c>
      <c r="Y288" s="79">
        <f t="shared" si="188"/>
        <v>0</v>
      </c>
      <c r="Z288" s="79">
        <f t="shared" si="188"/>
        <v>0</v>
      </c>
      <c r="AA288" s="79">
        <f t="shared" si="188"/>
        <v>0</v>
      </c>
      <c r="AB288" s="79">
        <f t="shared" si="188"/>
        <v>0</v>
      </c>
      <c r="AC288" s="79">
        <f t="shared" si="188"/>
        <v>0</v>
      </c>
      <c r="AD288" s="79">
        <f t="shared" si="188"/>
        <v>0</v>
      </c>
      <c r="AE288" s="79">
        <f t="shared" si="188"/>
        <v>0</v>
      </c>
      <c r="AF288" s="79">
        <f t="shared" si="188"/>
        <v>0</v>
      </c>
      <c r="AG288" s="79">
        <f t="shared" si="188"/>
        <v>0</v>
      </c>
      <c r="AH288" s="79">
        <f t="shared" si="188"/>
        <v>0</v>
      </c>
      <c r="AI288" s="79">
        <f t="shared" si="188"/>
        <v>0</v>
      </c>
      <c r="AJ288" s="79">
        <f t="shared" si="188"/>
        <v>0</v>
      </c>
      <c r="AK288" s="79">
        <f t="shared" si="188"/>
        <v>0</v>
      </c>
      <c r="AL288" s="79">
        <f t="shared" si="188"/>
        <v>0</v>
      </c>
      <c r="AM288" s="79">
        <f t="shared" si="188"/>
        <v>0</v>
      </c>
      <c r="AN288" s="79">
        <f t="shared" si="188"/>
        <v>0</v>
      </c>
      <c r="AO288" s="79">
        <f t="shared" si="188"/>
        <v>0</v>
      </c>
      <c r="AP288" s="79">
        <f t="shared" si="188"/>
        <v>0</v>
      </c>
      <c r="AQ288" s="79">
        <f t="shared" si="188"/>
        <v>0</v>
      </c>
      <c r="AR288" s="79">
        <f t="shared" si="188"/>
        <v>0</v>
      </c>
      <c r="AS288" s="79">
        <f t="shared" si="188"/>
        <v>0</v>
      </c>
      <c r="AT288" s="79">
        <f t="shared" si="188"/>
        <v>0</v>
      </c>
      <c r="AU288" s="79">
        <f t="shared" si="188"/>
        <v>0</v>
      </c>
      <c r="AV288" s="79">
        <f t="shared" si="188"/>
        <v>0</v>
      </c>
      <c r="AW288" s="90"/>
      <c r="AX288" s="90"/>
      <c r="AY288" s="90"/>
      <c r="AZ288" s="90"/>
      <c r="BA288" s="90"/>
      <c r="BB288" s="90"/>
      <c r="BC288" s="90"/>
      <c r="BD288" s="90"/>
      <c r="BE288" s="90"/>
      <c r="BF288" s="90"/>
      <c r="BG288" s="90"/>
    </row>
    <row r="289" ht="12.75" customHeight="1">
      <c r="A289" s="316"/>
      <c r="B289" s="67"/>
      <c r="C289" s="90"/>
      <c r="D289" s="90"/>
      <c r="E289" s="90"/>
      <c r="F289" s="90"/>
      <c r="G289" s="79"/>
      <c r="H289" s="79"/>
      <c r="I289" s="79"/>
      <c r="J289" s="79"/>
      <c r="K289" s="79"/>
      <c r="L289" s="79"/>
      <c r="M289" s="79"/>
      <c r="N289" s="79"/>
      <c r="O289" s="79"/>
      <c r="P289" s="79"/>
      <c r="Q289" s="79"/>
      <c r="R289" s="79"/>
      <c r="S289" s="79"/>
      <c r="T289" s="79"/>
      <c r="U289" s="79"/>
      <c r="V289" s="79"/>
      <c r="W289" s="79"/>
      <c r="X289" s="79"/>
      <c r="Y289" s="79"/>
      <c r="Z289" s="79"/>
      <c r="AA289" s="79"/>
      <c r="AB289" s="79"/>
      <c r="AC289" s="79"/>
      <c r="AD289" s="79"/>
      <c r="AE289" s="79"/>
      <c r="AF289" s="79"/>
      <c r="AG289" s="79"/>
      <c r="AH289" s="79"/>
      <c r="AI289" s="79"/>
      <c r="AJ289" s="79"/>
      <c r="AK289" s="79"/>
      <c r="AL289" s="79"/>
      <c r="AM289" s="79"/>
      <c r="AN289" s="79"/>
      <c r="AO289" s="79"/>
      <c r="AP289" s="79"/>
      <c r="AQ289" s="79"/>
      <c r="AR289" s="79"/>
      <c r="AS289" s="79"/>
      <c r="AT289" s="79"/>
      <c r="AU289" s="79"/>
      <c r="AV289" s="79"/>
      <c r="AW289" s="90"/>
      <c r="AX289" s="90"/>
      <c r="AY289" s="90"/>
      <c r="AZ289" s="90"/>
      <c r="BA289" s="90"/>
      <c r="BB289" s="90"/>
      <c r="BC289" s="90"/>
      <c r="BD289" s="90"/>
      <c r="BE289" s="90"/>
      <c r="BF289" s="90"/>
      <c r="BG289" s="90"/>
    </row>
    <row r="290" ht="12.75" customHeight="1">
      <c r="A290" s="316"/>
      <c r="B290" s="67" t="s">
        <v>509</v>
      </c>
      <c r="C290" s="90"/>
      <c r="D290" s="90"/>
      <c r="E290" s="90"/>
      <c r="F290" s="90"/>
      <c r="G290" s="79"/>
      <c r="H290" s="79"/>
      <c r="I290" s="79"/>
      <c r="J290" s="304"/>
      <c r="K290" s="304"/>
      <c r="L290" s="304"/>
      <c r="M290" s="304"/>
      <c r="N290" s="304"/>
      <c r="O290" s="304"/>
      <c r="P290" s="304"/>
      <c r="Q290" s="304"/>
      <c r="R290" s="79"/>
      <c r="S290" s="79"/>
      <c r="T290" s="79"/>
      <c r="U290" s="79"/>
      <c r="V290" s="79"/>
      <c r="W290" s="79"/>
      <c r="X290" s="79"/>
      <c r="Y290" s="79"/>
      <c r="Z290" s="79"/>
      <c r="AA290" s="79"/>
      <c r="AB290" s="79"/>
      <c r="AC290" s="79"/>
      <c r="AD290" s="79"/>
      <c r="AE290" s="79"/>
      <c r="AF290" s="79"/>
      <c r="AG290" s="79"/>
      <c r="AH290" s="79"/>
      <c r="AI290" s="79"/>
      <c r="AJ290" s="79"/>
      <c r="AK290" s="79"/>
      <c r="AL290" s="79"/>
      <c r="AM290" s="79"/>
      <c r="AN290" s="79"/>
      <c r="AO290" s="79"/>
      <c r="AP290" s="79"/>
      <c r="AQ290" s="79"/>
      <c r="AR290" s="79"/>
      <c r="AS290" s="79"/>
      <c r="AT290" s="79"/>
      <c r="AU290" s="79"/>
      <c r="AV290" s="79"/>
      <c r="AW290" s="90"/>
      <c r="AX290" s="90"/>
      <c r="AY290" s="90"/>
      <c r="AZ290" s="90"/>
      <c r="BA290" s="90"/>
      <c r="BB290" s="90"/>
      <c r="BC290" s="90"/>
      <c r="BD290" s="90"/>
      <c r="BE290" s="90"/>
      <c r="BF290" s="90"/>
      <c r="BG290" s="90"/>
    </row>
    <row r="291" ht="12.75" customHeight="1">
      <c r="A291" s="316"/>
      <c r="B291" s="67"/>
      <c r="C291" s="90" t="s">
        <v>695</v>
      </c>
      <c r="D291" s="90"/>
      <c r="E291" s="90"/>
      <c r="F291" s="90"/>
      <c r="G291" s="99"/>
      <c r="H291" s="99"/>
      <c r="I291" s="99"/>
      <c r="J291" s="99">
        <v>0.0</v>
      </c>
      <c r="K291" s="99">
        <v>0.0</v>
      </c>
      <c r="L291" s="99">
        <f t="shared" ref="L291:AV291" si="189">L121*L46</f>
        <v>33600</v>
      </c>
      <c r="M291" s="99">
        <f t="shared" si="189"/>
        <v>35000</v>
      </c>
      <c r="N291" s="99">
        <f t="shared" si="189"/>
        <v>35000</v>
      </c>
      <c r="O291" s="99">
        <f t="shared" si="189"/>
        <v>35000</v>
      </c>
      <c r="P291" s="99">
        <f t="shared" si="189"/>
        <v>35000</v>
      </c>
      <c r="Q291" s="99">
        <f t="shared" si="189"/>
        <v>35000</v>
      </c>
      <c r="R291" s="99">
        <f t="shared" si="189"/>
        <v>35000</v>
      </c>
      <c r="S291" s="99">
        <f t="shared" si="189"/>
        <v>35000</v>
      </c>
      <c r="T291" s="99">
        <f t="shared" si="189"/>
        <v>35000</v>
      </c>
      <c r="U291" s="99">
        <f t="shared" si="189"/>
        <v>35000</v>
      </c>
      <c r="V291" s="99">
        <f t="shared" si="189"/>
        <v>35000</v>
      </c>
      <c r="W291" s="99">
        <f t="shared" si="189"/>
        <v>35000</v>
      </c>
      <c r="X291" s="99">
        <f t="shared" si="189"/>
        <v>35000</v>
      </c>
      <c r="Y291" s="99">
        <f t="shared" si="189"/>
        <v>35000</v>
      </c>
      <c r="Z291" s="99">
        <f t="shared" si="189"/>
        <v>35000</v>
      </c>
      <c r="AA291" s="99">
        <f t="shared" si="189"/>
        <v>35000</v>
      </c>
      <c r="AB291" s="99">
        <f t="shared" si="189"/>
        <v>35000</v>
      </c>
      <c r="AC291" s="99">
        <f t="shared" si="189"/>
        <v>35000</v>
      </c>
      <c r="AD291" s="99">
        <f t="shared" si="189"/>
        <v>35000</v>
      </c>
      <c r="AE291" s="99">
        <f t="shared" si="189"/>
        <v>35000</v>
      </c>
      <c r="AF291" s="99">
        <f t="shared" si="189"/>
        <v>35000</v>
      </c>
      <c r="AG291" s="99">
        <f t="shared" si="189"/>
        <v>35000</v>
      </c>
      <c r="AH291" s="99">
        <f t="shared" si="189"/>
        <v>35000</v>
      </c>
      <c r="AI291" s="99">
        <f t="shared" si="189"/>
        <v>35000</v>
      </c>
      <c r="AJ291" s="99">
        <f t="shared" si="189"/>
        <v>35000</v>
      </c>
      <c r="AK291" s="99">
        <f t="shared" si="189"/>
        <v>35000</v>
      </c>
      <c r="AL291" s="99">
        <f t="shared" si="189"/>
        <v>35000</v>
      </c>
      <c r="AM291" s="99">
        <f t="shared" si="189"/>
        <v>35000</v>
      </c>
      <c r="AN291" s="99">
        <f t="shared" si="189"/>
        <v>35000</v>
      </c>
      <c r="AO291" s="99">
        <f t="shared" si="189"/>
        <v>35000</v>
      </c>
      <c r="AP291" s="99">
        <f t="shared" si="189"/>
        <v>35000</v>
      </c>
      <c r="AQ291" s="99">
        <f t="shared" si="189"/>
        <v>35000</v>
      </c>
      <c r="AR291" s="99">
        <f t="shared" si="189"/>
        <v>35000</v>
      </c>
      <c r="AS291" s="99">
        <f t="shared" si="189"/>
        <v>35000</v>
      </c>
      <c r="AT291" s="99">
        <f t="shared" si="189"/>
        <v>35000</v>
      </c>
      <c r="AU291" s="99">
        <f t="shared" si="189"/>
        <v>35000</v>
      </c>
      <c r="AV291" s="99">
        <f t="shared" si="189"/>
        <v>35000</v>
      </c>
      <c r="AW291" s="90"/>
      <c r="AX291" s="90"/>
      <c r="AY291" s="90"/>
      <c r="AZ291" s="90"/>
      <c r="BA291" s="90"/>
      <c r="BB291" s="90"/>
      <c r="BC291" s="90"/>
      <c r="BD291" s="90"/>
      <c r="BE291" s="90"/>
      <c r="BF291" s="90"/>
      <c r="BG291" s="90"/>
    </row>
    <row r="292" ht="12.75" customHeight="1">
      <c r="A292" s="90"/>
      <c r="B292" s="67"/>
      <c r="C292" s="90" t="s">
        <v>1238</v>
      </c>
      <c r="D292" s="90"/>
      <c r="E292" s="90"/>
      <c r="F292" s="90"/>
      <c r="G292" s="99"/>
      <c r="H292" s="99"/>
      <c r="I292" s="99"/>
      <c r="J292" s="99"/>
      <c r="K292" s="99">
        <f>'FY10 Projection'!E65</f>
        <v>5000</v>
      </c>
      <c r="L292" s="99">
        <v>0.0</v>
      </c>
      <c r="M292" s="99">
        <v>0.0</v>
      </c>
      <c r="N292" s="99">
        <v>0.0</v>
      </c>
      <c r="O292" s="99">
        <v>0.0</v>
      </c>
      <c r="P292" s="99">
        <v>0.0</v>
      </c>
      <c r="Q292" s="99">
        <v>0.0</v>
      </c>
      <c r="R292" s="99">
        <v>0.0</v>
      </c>
      <c r="S292" s="99">
        <v>0.0</v>
      </c>
      <c r="T292" s="99">
        <v>0.0</v>
      </c>
      <c r="U292" s="99">
        <v>0.0</v>
      </c>
      <c r="V292" s="99">
        <v>0.0</v>
      </c>
      <c r="W292" s="99">
        <v>0.0</v>
      </c>
      <c r="X292" s="99">
        <v>0.0</v>
      </c>
      <c r="Y292" s="99">
        <v>0.0</v>
      </c>
      <c r="Z292" s="99">
        <v>0.0</v>
      </c>
      <c r="AA292" s="99">
        <v>0.0</v>
      </c>
      <c r="AB292" s="99">
        <v>0.0</v>
      </c>
      <c r="AC292" s="99">
        <v>0.0</v>
      </c>
      <c r="AD292" s="99">
        <v>0.0</v>
      </c>
      <c r="AE292" s="99">
        <v>0.0</v>
      </c>
      <c r="AF292" s="99">
        <v>0.0</v>
      </c>
      <c r="AG292" s="99">
        <v>0.0</v>
      </c>
      <c r="AH292" s="99">
        <v>0.0</v>
      </c>
      <c r="AI292" s="99">
        <v>0.0</v>
      </c>
      <c r="AJ292" s="99">
        <v>0.0</v>
      </c>
      <c r="AK292" s="99">
        <v>0.0</v>
      </c>
      <c r="AL292" s="99">
        <v>0.0</v>
      </c>
      <c r="AM292" s="99">
        <v>0.0</v>
      </c>
      <c r="AN292" s="99">
        <v>0.0</v>
      </c>
      <c r="AO292" s="99">
        <v>0.0</v>
      </c>
      <c r="AP292" s="99">
        <v>0.0</v>
      </c>
      <c r="AQ292" s="99">
        <v>0.0</v>
      </c>
      <c r="AR292" s="99">
        <v>0.0</v>
      </c>
      <c r="AS292" s="99">
        <v>0.0</v>
      </c>
      <c r="AT292" s="99">
        <v>0.0</v>
      </c>
      <c r="AU292" s="99">
        <v>0.0</v>
      </c>
      <c r="AV292" s="99">
        <v>0.0</v>
      </c>
      <c r="AW292" s="90"/>
      <c r="AX292" s="90"/>
      <c r="AY292" s="90"/>
      <c r="AZ292" s="90"/>
      <c r="BA292" s="90"/>
      <c r="BB292" s="90"/>
      <c r="BC292" s="90"/>
      <c r="BD292" s="90"/>
      <c r="BE292" s="90"/>
      <c r="BF292" s="90"/>
      <c r="BG292" s="90"/>
    </row>
    <row r="293" ht="12.75" customHeight="1">
      <c r="A293" s="90"/>
      <c r="B293" s="67"/>
      <c r="C293" s="90" t="s">
        <v>1239</v>
      </c>
      <c r="D293" s="90"/>
      <c r="E293" s="90"/>
      <c r="F293" s="90"/>
      <c r="G293" s="99"/>
      <c r="H293" s="99"/>
      <c r="I293" s="99"/>
      <c r="J293" s="99">
        <v>0.0</v>
      </c>
      <c r="K293" s="99">
        <v>34247.0</v>
      </c>
      <c r="L293" s="99">
        <f t="shared" ref="L293:AE293" si="190">L338-L275-L120</f>
        <v>42800</v>
      </c>
      <c r="M293" s="99">
        <f t="shared" si="190"/>
        <v>51100</v>
      </c>
      <c r="N293" s="99">
        <f t="shared" si="190"/>
        <v>52222</v>
      </c>
      <c r="O293" s="99">
        <f t="shared" si="190"/>
        <v>53366.44</v>
      </c>
      <c r="P293" s="99">
        <f t="shared" si="190"/>
        <v>54533.7688</v>
      </c>
      <c r="Q293" s="99">
        <f t="shared" si="190"/>
        <v>55724.44418</v>
      </c>
      <c r="R293" s="99">
        <f t="shared" si="190"/>
        <v>56938.93306</v>
      </c>
      <c r="S293" s="99">
        <f t="shared" si="190"/>
        <v>58177.71172</v>
      </c>
      <c r="T293" s="99">
        <f t="shared" si="190"/>
        <v>59441.26596</v>
      </c>
      <c r="U293" s="99">
        <f t="shared" si="190"/>
        <v>60730.09127</v>
      </c>
      <c r="V293" s="99">
        <f t="shared" si="190"/>
        <v>62044.6931</v>
      </c>
      <c r="W293" s="99">
        <f t="shared" si="190"/>
        <v>63385.58696</v>
      </c>
      <c r="X293" s="99">
        <f t="shared" si="190"/>
        <v>64753.2987</v>
      </c>
      <c r="Y293" s="99">
        <f t="shared" si="190"/>
        <v>66148.36467</v>
      </c>
      <c r="Z293" s="99">
        <f t="shared" si="190"/>
        <v>67571.33197</v>
      </c>
      <c r="AA293" s="99">
        <f t="shared" si="190"/>
        <v>69022.75861</v>
      </c>
      <c r="AB293" s="99">
        <f t="shared" si="190"/>
        <v>70503.21378</v>
      </c>
      <c r="AC293" s="99">
        <f t="shared" si="190"/>
        <v>72013.27806</v>
      </c>
      <c r="AD293" s="99">
        <f t="shared" si="190"/>
        <v>73553.54362</v>
      </c>
      <c r="AE293" s="99">
        <f t="shared" si="190"/>
        <v>75124.61449</v>
      </c>
      <c r="AF293" s="99">
        <f t="shared" ref="AF293:AV293" si="191">AE293*AF$55/AE$55</f>
        <v>75124.61449</v>
      </c>
      <c r="AG293" s="99">
        <f t="shared" si="191"/>
        <v>75124.61449</v>
      </c>
      <c r="AH293" s="99">
        <f t="shared" si="191"/>
        <v>75124.61449</v>
      </c>
      <c r="AI293" s="99">
        <f t="shared" si="191"/>
        <v>75124.61449</v>
      </c>
      <c r="AJ293" s="99">
        <f t="shared" si="191"/>
        <v>75124.61449</v>
      </c>
      <c r="AK293" s="99">
        <f t="shared" si="191"/>
        <v>75124.61449</v>
      </c>
      <c r="AL293" s="99">
        <f t="shared" si="191"/>
        <v>75124.61449</v>
      </c>
      <c r="AM293" s="99">
        <f t="shared" si="191"/>
        <v>75124.61449</v>
      </c>
      <c r="AN293" s="99">
        <f t="shared" si="191"/>
        <v>75124.61449</v>
      </c>
      <c r="AO293" s="99">
        <f t="shared" si="191"/>
        <v>75124.61449</v>
      </c>
      <c r="AP293" s="99">
        <f t="shared" si="191"/>
        <v>75124.61449</v>
      </c>
      <c r="AQ293" s="99">
        <f t="shared" si="191"/>
        <v>75124.61449</v>
      </c>
      <c r="AR293" s="99">
        <f t="shared" si="191"/>
        <v>75124.61449</v>
      </c>
      <c r="AS293" s="99">
        <f t="shared" si="191"/>
        <v>75124.61449</v>
      </c>
      <c r="AT293" s="99">
        <f t="shared" si="191"/>
        <v>75124.61449</v>
      </c>
      <c r="AU293" s="99">
        <f t="shared" si="191"/>
        <v>75124.61449</v>
      </c>
      <c r="AV293" s="99">
        <f t="shared" si="191"/>
        <v>75124.61449</v>
      </c>
      <c r="AW293" s="90"/>
      <c r="AX293" s="90"/>
      <c r="AY293" s="90"/>
      <c r="AZ293" s="90"/>
      <c r="BA293" s="90"/>
      <c r="BB293" s="90"/>
      <c r="BC293" s="90"/>
      <c r="BD293" s="90"/>
      <c r="BE293" s="90"/>
      <c r="BF293" s="90"/>
      <c r="BG293" s="90"/>
    </row>
    <row r="294" ht="12.75" customHeight="1">
      <c r="A294" s="316"/>
      <c r="B294" s="134" t="s">
        <v>799</v>
      </c>
      <c r="C294" s="148"/>
      <c r="D294" s="148"/>
      <c r="E294" s="148"/>
      <c r="F294" s="148"/>
      <c r="G294" s="379"/>
      <c r="H294" s="379"/>
      <c r="I294" s="379"/>
      <c r="J294" s="379">
        <f t="shared" ref="J294:AV294" si="192">SUM(J291:J293)</f>
        <v>0</v>
      </c>
      <c r="K294" s="379">
        <f t="shared" si="192"/>
        <v>39247</v>
      </c>
      <c r="L294" s="379">
        <f t="shared" si="192"/>
        <v>76400</v>
      </c>
      <c r="M294" s="379">
        <f t="shared" si="192"/>
        <v>86100</v>
      </c>
      <c r="N294" s="379">
        <f t="shared" si="192"/>
        <v>87222</v>
      </c>
      <c r="O294" s="379">
        <f t="shared" si="192"/>
        <v>88366.44</v>
      </c>
      <c r="P294" s="379">
        <f t="shared" si="192"/>
        <v>89533.7688</v>
      </c>
      <c r="Q294" s="379">
        <f t="shared" si="192"/>
        <v>90724.44418</v>
      </c>
      <c r="R294" s="379">
        <f t="shared" si="192"/>
        <v>91938.93306</v>
      </c>
      <c r="S294" s="379">
        <f t="shared" si="192"/>
        <v>93177.71172</v>
      </c>
      <c r="T294" s="379">
        <f t="shared" si="192"/>
        <v>94441.26596</v>
      </c>
      <c r="U294" s="379">
        <f t="shared" si="192"/>
        <v>95730.09127</v>
      </c>
      <c r="V294" s="379">
        <f t="shared" si="192"/>
        <v>97044.6931</v>
      </c>
      <c r="W294" s="379">
        <f t="shared" si="192"/>
        <v>98385.58696</v>
      </c>
      <c r="X294" s="379">
        <f t="shared" si="192"/>
        <v>99753.2987</v>
      </c>
      <c r="Y294" s="379">
        <f t="shared" si="192"/>
        <v>101148.3647</v>
      </c>
      <c r="Z294" s="379">
        <f t="shared" si="192"/>
        <v>102571.332</v>
      </c>
      <c r="AA294" s="379">
        <f t="shared" si="192"/>
        <v>104022.7586</v>
      </c>
      <c r="AB294" s="379">
        <f t="shared" si="192"/>
        <v>105503.2138</v>
      </c>
      <c r="AC294" s="379">
        <f t="shared" si="192"/>
        <v>107013.2781</v>
      </c>
      <c r="AD294" s="379">
        <f t="shared" si="192"/>
        <v>108553.5436</v>
      </c>
      <c r="AE294" s="379">
        <f t="shared" si="192"/>
        <v>110124.6145</v>
      </c>
      <c r="AF294" s="379">
        <f t="shared" si="192"/>
        <v>110124.6145</v>
      </c>
      <c r="AG294" s="379">
        <f t="shared" si="192"/>
        <v>110124.6145</v>
      </c>
      <c r="AH294" s="379">
        <f t="shared" si="192"/>
        <v>110124.6145</v>
      </c>
      <c r="AI294" s="379">
        <f t="shared" si="192"/>
        <v>110124.6145</v>
      </c>
      <c r="AJ294" s="379">
        <f t="shared" si="192"/>
        <v>110124.6145</v>
      </c>
      <c r="AK294" s="379">
        <f t="shared" si="192"/>
        <v>110124.6145</v>
      </c>
      <c r="AL294" s="379">
        <f t="shared" si="192"/>
        <v>110124.6145</v>
      </c>
      <c r="AM294" s="379">
        <f t="shared" si="192"/>
        <v>110124.6145</v>
      </c>
      <c r="AN294" s="379">
        <f t="shared" si="192"/>
        <v>110124.6145</v>
      </c>
      <c r="AO294" s="379">
        <f t="shared" si="192"/>
        <v>110124.6145</v>
      </c>
      <c r="AP294" s="379">
        <f t="shared" si="192"/>
        <v>110124.6145</v>
      </c>
      <c r="AQ294" s="379">
        <f t="shared" si="192"/>
        <v>110124.6145</v>
      </c>
      <c r="AR294" s="379">
        <f t="shared" si="192"/>
        <v>110124.6145</v>
      </c>
      <c r="AS294" s="379">
        <f t="shared" si="192"/>
        <v>110124.6145</v>
      </c>
      <c r="AT294" s="379">
        <f t="shared" si="192"/>
        <v>110124.6145</v>
      </c>
      <c r="AU294" s="379">
        <f t="shared" si="192"/>
        <v>110124.6145</v>
      </c>
      <c r="AV294" s="379">
        <f t="shared" si="192"/>
        <v>110124.6145</v>
      </c>
      <c r="AW294" s="148"/>
      <c r="AX294" s="90"/>
      <c r="AY294" s="90"/>
      <c r="AZ294" s="90"/>
      <c r="BA294" s="90"/>
      <c r="BB294" s="90"/>
      <c r="BC294" s="90"/>
      <c r="BD294" s="90"/>
      <c r="BE294" s="90"/>
      <c r="BF294" s="90"/>
      <c r="BG294" s="90"/>
    </row>
    <row r="295" ht="12.75" customHeight="1">
      <c r="A295" s="316"/>
      <c r="B295" s="90"/>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c r="AA295" s="90"/>
      <c r="AB295" s="90"/>
      <c r="AC295" s="90"/>
      <c r="AD295" s="90"/>
      <c r="AE295" s="90"/>
      <c r="AF295" s="90"/>
      <c r="AG295" s="90"/>
      <c r="AH295" s="90"/>
      <c r="AI295" s="90"/>
      <c r="AJ295" s="90"/>
      <c r="AK295" s="90"/>
      <c r="AL295" s="90"/>
      <c r="AM295" s="90"/>
      <c r="AN295" s="90"/>
      <c r="AO295" s="90"/>
      <c r="AP295" s="90"/>
      <c r="AQ295" s="90"/>
      <c r="AR295" s="90"/>
      <c r="AS295" s="90"/>
      <c r="AT295" s="90"/>
      <c r="AU295" s="90"/>
      <c r="AV295" s="90"/>
      <c r="AW295" s="87"/>
      <c r="AX295" s="90"/>
      <c r="AY295" s="90"/>
      <c r="AZ295" s="90"/>
      <c r="BA295" s="90"/>
      <c r="BB295" s="90"/>
      <c r="BC295" s="90"/>
      <c r="BD295" s="90"/>
      <c r="BE295" s="90"/>
      <c r="BF295" s="90"/>
      <c r="BG295" s="90"/>
    </row>
    <row r="296" ht="12.75" customHeight="1">
      <c r="A296" s="108" t="s">
        <v>800</v>
      </c>
      <c r="B296" s="109"/>
      <c r="C296" s="109"/>
      <c r="D296" s="143"/>
      <c r="E296" s="143"/>
      <c r="F296" s="143"/>
      <c r="G296" s="293"/>
      <c r="H296" s="293"/>
      <c r="I296" s="293">
        <f t="shared" ref="I296:AV296" si="193">I288+I281+I271+I294</f>
        <v>0</v>
      </c>
      <c r="J296" s="293">
        <f t="shared" si="193"/>
        <v>312500</v>
      </c>
      <c r="K296" s="293">
        <f t="shared" si="193"/>
        <v>3928180.85</v>
      </c>
      <c r="L296" s="293">
        <f t="shared" si="193"/>
        <v>3378730.52</v>
      </c>
      <c r="M296" s="293">
        <f t="shared" si="193"/>
        <v>3573918.434</v>
      </c>
      <c r="N296" s="293">
        <f t="shared" si="193"/>
        <v>3641193.163</v>
      </c>
      <c r="O296" s="293">
        <f t="shared" si="193"/>
        <v>3704394.823</v>
      </c>
      <c r="P296" s="293">
        <f t="shared" si="193"/>
        <v>3768680.072</v>
      </c>
      <c r="Q296" s="293">
        <f t="shared" si="193"/>
        <v>3835109.94</v>
      </c>
      <c r="R296" s="293">
        <f t="shared" si="193"/>
        <v>3936940.944</v>
      </c>
      <c r="S296" s="293">
        <f t="shared" si="193"/>
        <v>4006677.996</v>
      </c>
      <c r="T296" s="293">
        <f t="shared" si="193"/>
        <v>4078386.953</v>
      </c>
      <c r="U296" s="293">
        <f t="shared" si="193"/>
        <v>4151373.598</v>
      </c>
      <c r="V296" s="293">
        <f t="shared" si="193"/>
        <v>4229149.232</v>
      </c>
      <c r="W296" s="293">
        <f t="shared" si="193"/>
        <v>4313132.216</v>
      </c>
      <c r="X296" s="293">
        <f t="shared" si="193"/>
        <v>4398794.861</v>
      </c>
      <c r="Y296" s="293">
        <f t="shared" si="193"/>
        <v>4486170.758</v>
      </c>
      <c r="Z296" s="293">
        <f t="shared" si="193"/>
        <v>4575294.173</v>
      </c>
      <c r="AA296" s="293">
        <f t="shared" si="193"/>
        <v>4666200.056</v>
      </c>
      <c r="AB296" s="293">
        <f t="shared" si="193"/>
        <v>4758924.058</v>
      </c>
      <c r="AC296" s="293">
        <f t="shared" si="193"/>
        <v>4853502.539</v>
      </c>
      <c r="AD296" s="293">
        <f t="shared" si="193"/>
        <v>4949972.589</v>
      </c>
      <c r="AE296" s="293">
        <f t="shared" si="193"/>
        <v>5048372.041</v>
      </c>
      <c r="AF296" s="293">
        <f t="shared" si="193"/>
        <v>5228864.097</v>
      </c>
      <c r="AG296" s="293">
        <f t="shared" si="193"/>
        <v>5331238.886</v>
      </c>
      <c r="AH296" s="293">
        <f t="shared" si="193"/>
        <v>5435661.172</v>
      </c>
      <c r="AI296" s="293">
        <f t="shared" si="193"/>
        <v>5542171.903</v>
      </c>
      <c r="AJ296" s="293">
        <f t="shared" si="193"/>
        <v>5650812.849</v>
      </c>
      <c r="AK296" s="293">
        <f t="shared" si="193"/>
        <v>5761626.613</v>
      </c>
      <c r="AL296" s="293">
        <f t="shared" si="193"/>
        <v>5874656.653</v>
      </c>
      <c r="AM296" s="293">
        <f t="shared" si="193"/>
        <v>5989947.294</v>
      </c>
      <c r="AN296" s="293">
        <f t="shared" si="193"/>
        <v>6107543.748</v>
      </c>
      <c r="AO296" s="293">
        <f t="shared" si="193"/>
        <v>6227492.13</v>
      </c>
      <c r="AP296" s="293">
        <f t="shared" si="193"/>
        <v>6349839.481</v>
      </c>
      <c r="AQ296" s="293">
        <f t="shared" si="193"/>
        <v>6474633.778</v>
      </c>
      <c r="AR296" s="293">
        <f t="shared" si="193"/>
        <v>6601923.961</v>
      </c>
      <c r="AS296" s="293">
        <f t="shared" si="193"/>
        <v>6731759.948</v>
      </c>
      <c r="AT296" s="293">
        <f t="shared" si="193"/>
        <v>6864192.655</v>
      </c>
      <c r="AU296" s="293">
        <f t="shared" si="193"/>
        <v>6999274.016</v>
      </c>
      <c r="AV296" s="293">
        <f t="shared" si="193"/>
        <v>7137057.004</v>
      </c>
      <c r="AW296" s="87"/>
      <c r="AX296" s="90"/>
      <c r="AY296" s="90"/>
      <c r="AZ296" s="90"/>
      <c r="BA296" s="90"/>
      <c r="BB296" s="90"/>
      <c r="BC296" s="90"/>
      <c r="BD296" s="90"/>
      <c r="BE296" s="90"/>
      <c r="BF296" s="90"/>
      <c r="BG296" s="90"/>
    </row>
    <row r="297" ht="12.75" customHeight="1">
      <c r="A297" s="515"/>
      <c r="B297" s="67"/>
      <c r="C297" s="67"/>
      <c r="D297" s="90"/>
      <c r="E297" s="90"/>
      <c r="F297" s="90"/>
      <c r="G297" s="79"/>
      <c r="H297" s="79"/>
      <c r="I297" s="79"/>
      <c r="J297" s="79"/>
      <c r="K297" s="79"/>
      <c r="L297" s="79"/>
      <c r="M297" s="79"/>
      <c r="N297" s="79"/>
      <c r="O297" s="79"/>
      <c r="P297" s="79"/>
      <c r="Q297" s="79"/>
      <c r="R297" s="79"/>
      <c r="S297" s="79"/>
      <c r="T297" s="79"/>
      <c r="U297" s="79"/>
      <c r="V297" s="79"/>
      <c r="W297" s="79"/>
      <c r="X297" s="79"/>
      <c r="Y297" s="79"/>
      <c r="Z297" s="79"/>
      <c r="AA297" s="79"/>
      <c r="AB297" s="79"/>
      <c r="AC297" s="79"/>
      <c r="AD297" s="79"/>
      <c r="AE297" s="79"/>
      <c r="AF297" s="79"/>
      <c r="AG297" s="79"/>
      <c r="AH297" s="79"/>
      <c r="AI297" s="79"/>
      <c r="AJ297" s="79"/>
      <c r="AK297" s="79"/>
      <c r="AL297" s="79"/>
      <c r="AM297" s="79"/>
      <c r="AN297" s="79"/>
      <c r="AO297" s="79"/>
      <c r="AP297" s="79"/>
      <c r="AQ297" s="79"/>
      <c r="AR297" s="79"/>
      <c r="AS297" s="79"/>
      <c r="AT297" s="79"/>
      <c r="AU297" s="79"/>
      <c r="AV297" s="79"/>
      <c r="AW297" s="90"/>
      <c r="AX297" s="99"/>
      <c r="AY297" s="90"/>
      <c r="AZ297" s="90"/>
      <c r="BA297" s="90"/>
      <c r="BB297" s="90"/>
      <c r="BC297" s="90"/>
      <c r="BD297" s="90"/>
      <c r="BE297" s="90"/>
      <c r="BF297" s="90"/>
      <c r="BG297" s="90"/>
    </row>
    <row r="298" ht="12.75" customHeight="1">
      <c r="A298" s="515" t="s">
        <v>304</v>
      </c>
      <c r="B298" s="90"/>
      <c r="C298" s="90"/>
      <c r="D298" s="90"/>
      <c r="E298" s="90"/>
      <c r="F298" s="90"/>
      <c r="G298" s="90"/>
      <c r="H298" s="90"/>
      <c r="I298" s="90"/>
      <c r="J298" s="90"/>
      <c r="K298" s="90"/>
      <c r="L298" s="90"/>
      <c r="M298" s="90"/>
      <c r="N298" s="152"/>
      <c r="O298" s="90"/>
      <c r="P298" s="90"/>
      <c r="Q298" s="90"/>
      <c r="R298" s="90"/>
      <c r="S298" s="90"/>
      <c r="T298" s="90"/>
      <c r="U298" s="90"/>
      <c r="V298" s="90"/>
      <c r="W298" s="90"/>
      <c r="X298" s="90"/>
      <c r="Y298" s="90"/>
      <c r="Z298" s="90"/>
      <c r="AA298" s="90"/>
      <c r="AB298" s="90"/>
      <c r="AC298" s="90"/>
      <c r="AD298" s="90"/>
      <c r="AE298" s="90"/>
      <c r="AF298" s="90"/>
      <c r="AG298" s="90"/>
      <c r="AH298" s="90"/>
      <c r="AI298" s="90"/>
      <c r="AJ298" s="90"/>
      <c r="AK298" s="90"/>
      <c r="AL298" s="90"/>
      <c r="AM298" s="90"/>
      <c r="AN298" s="90"/>
      <c r="AO298" s="90"/>
      <c r="AP298" s="90"/>
      <c r="AQ298" s="90"/>
      <c r="AR298" s="90"/>
      <c r="AS298" s="90"/>
      <c r="AT298" s="90"/>
      <c r="AU298" s="90"/>
      <c r="AV298" s="90"/>
      <c r="AW298" s="90"/>
      <c r="AX298" s="90"/>
      <c r="AY298" s="90"/>
      <c r="AZ298" s="90"/>
      <c r="BA298" s="90"/>
      <c r="BB298" s="90"/>
      <c r="BC298" s="90"/>
      <c r="BD298" s="90"/>
      <c r="BE298" s="90"/>
      <c r="BF298" s="90"/>
      <c r="BG298" s="90"/>
    </row>
    <row r="299" ht="12.75" customHeight="1">
      <c r="A299" s="316"/>
      <c r="B299" s="67" t="s">
        <v>278</v>
      </c>
      <c r="C299" s="90"/>
      <c r="D299" s="90"/>
      <c r="E299" s="90"/>
      <c r="F299" s="90"/>
      <c r="G299" s="90"/>
      <c r="H299" s="90"/>
      <c r="I299" s="90"/>
      <c r="J299" s="90"/>
      <c r="K299" s="90"/>
      <c r="L299" s="90"/>
      <c r="M299" s="90"/>
      <c r="N299" s="90"/>
      <c r="O299" s="90"/>
      <c r="P299" s="90"/>
      <c r="Q299" s="90"/>
      <c r="R299" s="90"/>
      <c r="S299" s="90"/>
      <c r="T299" s="90"/>
      <c r="U299" s="90"/>
      <c r="V299" s="90"/>
      <c r="W299" s="90"/>
      <c r="X299" s="90"/>
      <c r="Y299" s="90"/>
      <c r="Z299" s="90"/>
      <c r="AA299" s="90"/>
      <c r="AB299" s="90"/>
      <c r="AC299" s="90"/>
      <c r="AD299" s="90"/>
      <c r="AE299" s="90"/>
      <c r="AF299" s="90"/>
      <c r="AG299" s="90"/>
      <c r="AH299" s="90"/>
      <c r="AI299" s="90"/>
      <c r="AJ299" s="90"/>
      <c r="AK299" s="90"/>
      <c r="AL299" s="90"/>
      <c r="AM299" s="90"/>
      <c r="AN299" s="90"/>
      <c r="AO299" s="90"/>
      <c r="AP299" s="90"/>
      <c r="AQ299" s="90"/>
      <c r="AR299" s="90"/>
      <c r="AS299" s="90"/>
      <c r="AT299" s="90"/>
      <c r="AU299" s="90"/>
      <c r="AV299" s="90"/>
      <c r="AW299" s="90"/>
      <c r="AX299" s="90"/>
      <c r="AY299" s="90"/>
      <c r="AZ299" s="90"/>
      <c r="BA299" s="90"/>
      <c r="BB299" s="90"/>
      <c r="BC299" s="90"/>
      <c r="BD299" s="90"/>
      <c r="BE299" s="90"/>
      <c r="BF299" s="90"/>
      <c r="BG299" s="90"/>
    </row>
    <row r="300" ht="12.75" customHeight="1">
      <c r="A300" s="316"/>
      <c r="B300" s="67"/>
      <c r="C300" s="90" t="s">
        <v>801</v>
      </c>
      <c r="D300" s="90"/>
      <c r="E300" s="90"/>
      <c r="F300" s="90"/>
      <c r="G300" s="90"/>
      <c r="H300" s="90"/>
      <c r="I300" s="90"/>
      <c r="J300" s="90"/>
      <c r="K300" s="90"/>
      <c r="L300" s="90"/>
      <c r="M300" s="90"/>
      <c r="N300" s="90"/>
      <c r="O300" s="90"/>
      <c r="P300" s="90"/>
      <c r="Q300" s="90"/>
      <c r="R300" s="90"/>
      <c r="S300" s="90"/>
      <c r="T300" s="90"/>
      <c r="U300" s="90"/>
      <c r="V300" s="90"/>
      <c r="W300" s="90"/>
      <c r="X300" s="90"/>
      <c r="Y300" s="90"/>
      <c r="Z300" s="90"/>
      <c r="AA300" s="90"/>
      <c r="AB300" s="90"/>
      <c r="AC300" s="90"/>
      <c r="AD300" s="90"/>
      <c r="AE300" s="90"/>
      <c r="AF300" s="90"/>
      <c r="AG300" s="90"/>
      <c r="AH300" s="90"/>
      <c r="AI300" s="90"/>
      <c r="AJ300" s="90"/>
      <c r="AK300" s="90"/>
      <c r="AL300" s="90"/>
      <c r="AM300" s="90"/>
      <c r="AN300" s="90"/>
      <c r="AO300" s="90"/>
      <c r="AP300" s="90"/>
      <c r="AQ300" s="90"/>
      <c r="AR300" s="90"/>
      <c r="AS300" s="90"/>
      <c r="AT300" s="90"/>
      <c r="AU300" s="90"/>
      <c r="AV300" s="90"/>
      <c r="AW300" s="90"/>
      <c r="AX300" s="90"/>
      <c r="AY300" s="90"/>
      <c r="AZ300" s="90"/>
      <c r="BA300" s="90"/>
      <c r="BB300" s="90"/>
      <c r="BC300" s="90"/>
      <c r="BD300" s="90"/>
      <c r="BE300" s="90"/>
      <c r="BF300" s="90"/>
      <c r="BG300" s="90"/>
    </row>
    <row r="301" ht="12.75" customHeight="1">
      <c r="A301" s="316"/>
      <c r="B301" s="67"/>
      <c r="C301" s="90"/>
      <c r="D301" s="90" t="s">
        <v>701</v>
      </c>
      <c r="E301" s="90"/>
      <c r="F301" s="90"/>
      <c r="G301" s="99"/>
      <c r="H301" s="99"/>
      <c r="I301" s="99"/>
      <c r="J301" s="99">
        <f>'FY09 P&amp;L'!C89</f>
        <v>62863.73</v>
      </c>
      <c r="K301" s="99">
        <v>83333.3333333333</v>
      </c>
      <c r="L301" s="99">
        <f t="shared" ref="L301:AV301" si="194">L137*L163</f>
        <v>100000</v>
      </c>
      <c r="M301" s="99">
        <f t="shared" si="194"/>
        <v>102000</v>
      </c>
      <c r="N301" s="99">
        <f t="shared" si="194"/>
        <v>104040</v>
      </c>
      <c r="O301" s="99">
        <f t="shared" si="194"/>
        <v>106120.8</v>
      </c>
      <c r="P301" s="99">
        <f t="shared" si="194"/>
        <v>108243.216</v>
      </c>
      <c r="Q301" s="99">
        <f t="shared" si="194"/>
        <v>110408.0803</v>
      </c>
      <c r="R301" s="99">
        <f t="shared" si="194"/>
        <v>112616.2419</v>
      </c>
      <c r="S301" s="99">
        <f t="shared" si="194"/>
        <v>114868.5668</v>
      </c>
      <c r="T301" s="99">
        <f t="shared" si="194"/>
        <v>117165.9381</v>
      </c>
      <c r="U301" s="99">
        <f t="shared" si="194"/>
        <v>119509.2569</v>
      </c>
      <c r="V301" s="99">
        <f t="shared" si="194"/>
        <v>121899.442</v>
      </c>
      <c r="W301" s="99">
        <f t="shared" si="194"/>
        <v>124337.4308</v>
      </c>
      <c r="X301" s="99">
        <f t="shared" si="194"/>
        <v>126824.1795</v>
      </c>
      <c r="Y301" s="99">
        <f t="shared" si="194"/>
        <v>129360.663</v>
      </c>
      <c r="Z301" s="99">
        <f t="shared" si="194"/>
        <v>131947.8763</v>
      </c>
      <c r="AA301" s="99">
        <f t="shared" si="194"/>
        <v>134586.8338</v>
      </c>
      <c r="AB301" s="99">
        <f t="shared" si="194"/>
        <v>137278.5705</v>
      </c>
      <c r="AC301" s="99">
        <f t="shared" si="194"/>
        <v>140024.1419</v>
      </c>
      <c r="AD301" s="99">
        <f t="shared" si="194"/>
        <v>142824.6248</v>
      </c>
      <c r="AE301" s="99">
        <f t="shared" si="194"/>
        <v>145681.1173</v>
      </c>
      <c r="AF301" s="99">
        <f t="shared" si="194"/>
        <v>148594.7396</v>
      </c>
      <c r="AG301" s="99">
        <f t="shared" si="194"/>
        <v>151566.6344</v>
      </c>
      <c r="AH301" s="99">
        <f t="shared" si="194"/>
        <v>154597.9671</v>
      </c>
      <c r="AI301" s="99">
        <f t="shared" si="194"/>
        <v>157689.9264</v>
      </c>
      <c r="AJ301" s="99">
        <f t="shared" si="194"/>
        <v>160843.7249</v>
      </c>
      <c r="AK301" s="99">
        <f t="shared" si="194"/>
        <v>164060.5994</v>
      </c>
      <c r="AL301" s="99">
        <f t="shared" si="194"/>
        <v>167341.8114</v>
      </c>
      <c r="AM301" s="99">
        <f t="shared" si="194"/>
        <v>170688.6477</v>
      </c>
      <c r="AN301" s="99">
        <f t="shared" si="194"/>
        <v>174102.4206</v>
      </c>
      <c r="AO301" s="99">
        <f t="shared" si="194"/>
        <v>177584.469</v>
      </c>
      <c r="AP301" s="99">
        <f t="shared" si="194"/>
        <v>181136.1584</v>
      </c>
      <c r="AQ301" s="99">
        <f t="shared" si="194"/>
        <v>184758.8816</v>
      </c>
      <c r="AR301" s="99">
        <f t="shared" si="194"/>
        <v>188454.0592</v>
      </c>
      <c r="AS301" s="99">
        <f t="shared" si="194"/>
        <v>192223.1404</v>
      </c>
      <c r="AT301" s="99">
        <f t="shared" si="194"/>
        <v>196067.6032</v>
      </c>
      <c r="AU301" s="99">
        <f t="shared" si="194"/>
        <v>199988.9553</v>
      </c>
      <c r="AV301" s="99">
        <f t="shared" si="194"/>
        <v>203988.7344</v>
      </c>
      <c r="AW301" s="90"/>
      <c r="AX301" s="90"/>
      <c r="AY301" s="90"/>
      <c r="AZ301" s="90"/>
      <c r="BA301" s="90"/>
      <c r="BB301" s="90"/>
      <c r="BC301" s="90"/>
      <c r="BD301" s="90"/>
      <c r="BE301" s="90"/>
      <c r="BF301" s="90"/>
      <c r="BG301" s="90"/>
    </row>
    <row r="302" ht="12.75" customHeight="1">
      <c r="A302" s="316"/>
      <c r="B302" s="67"/>
      <c r="C302" s="90"/>
      <c r="D302" s="90" t="s">
        <v>721</v>
      </c>
      <c r="E302" s="90"/>
      <c r="F302" s="90"/>
      <c r="G302" s="99"/>
      <c r="H302" s="99"/>
      <c r="I302" s="99"/>
      <c r="J302" s="99">
        <f t="shared" ref="J302:J303" si="196">J138*J164</f>
        <v>0</v>
      </c>
      <c r="K302" s="99">
        <v>0.0</v>
      </c>
      <c r="L302" s="99">
        <f t="shared" ref="L302:AV302" si="195">L138*L164</f>
        <v>0</v>
      </c>
      <c r="M302" s="99">
        <f t="shared" si="195"/>
        <v>0</v>
      </c>
      <c r="N302" s="99">
        <f t="shared" si="195"/>
        <v>0</v>
      </c>
      <c r="O302" s="99">
        <f t="shared" si="195"/>
        <v>0</v>
      </c>
      <c r="P302" s="99">
        <f t="shared" si="195"/>
        <v>0</v>
      </c>
      <c r="Q302" s="99">
        <f t="shared" si="195"/>
        <v>0</v>
      </c>
      <c r="R302" s="99">
        <f t="shared" si="195"/>
        <v>0</v>
      </c>
      <c r="S302" s="99">
        <f t="shared" si="195"/>
        <v>0</v>
      </c>
      <c r="T302" s="99">
        <f t="shared" si="195"/>
        <v>0</v>
      </c>
      <c r="U302" s="99">
        <f t="shared" si="195"/>
        <v>0</v>
      </c>
      <c r="V302" s="99">
        <f t="shared" si="195"/>
        <v>0</v>
      </c>
      <c r="W302" s="99">
        <f t="shared" si="195"/>
        <v>0</v>
      </c>
      <c r="X302" s="99">
        <f t="shared" si="195"/>
        <v>0</v>
      </c>
      <c r="Y302" s="99">
        <f t="shared" si="195"/>
        <v>0</v>
      </c>
      <c r="Z302" s="99">
        <f t="shared" si="195"/>
        <v>0</v>
      </c>
      <c r="AA302" s="99">
        <f t="shared" si="195"/>
        <v>0</v>
      </c>
      <c r="AB302" s="99">
        <f t="shared" si="195"/>
        <v>0</v>
      </c>
      <c r="AC302" s="99">
        <f t="shared" si="195"/>
        <v>0</v>
      </c>
      <c r="AD302" s="99">
        <f t="shared" si="195"/>
        <v>0</v>
      </c>
      <c r="AE302" s="99">
        <f t="shared" si="195"/>
        <v>0</v>
      </c>
      <c r="AF302" s="99">
        <f t="shared" si="195"/>
        <v>0</v>
      </c>
      <c r="AG302" s="99">
        <f t="shared" si="195"/>
        <v>0</v>
      </c>
      <c r="AH302" s="99">
        <f t="shared" si="195"/>
        <v>0</v>
      </c>
      <c r="AI302" s="99">
        <f t="shared" si="195"/>
        <v>0</v>
      </c>
      <c r="AJ302" s="99">
        <f t="shared" si="195"/>
        <v>0</v>
      </c>
      <c r="AK302" s="99">
        <f t="shared" si="195"/>
        <v>0</v>
      </c>
      <c r="AL302" s="99">
        <f t="shared" si="195"/>
        <v>0</v>
      </c>
      <c r="AM302" s="99">
        <f t="shared" si="195"/>
        <v>0</v>
      </c>
      <c r="AN302" s="99">
        <f t="shared" si="195"/>
        <v>0</v>
      </c>
      <c r="AO302" s="99">
        <f t="shared" si="195"/>
        <v>0</v>
      </c>
      <c r="AP302" s="99">
        <f t="shared" si="195"/>
        <v>0</v>
      </c>
      <c r="AQ302" s="99">
        <f t="shared" si="195"/>
        <v>0</v>
      </c>
      <c r="AR302" s="99">
        <f t="shared" si="195"/>
        <v>0</v>
      </c>
      <c r="AS302" s="99">
        <f t="shared" si="195"/>
        <v>0</v>
      </c>
      <c r="AT302" s="99">
        <f t="shared" si="195"/>
        <v>0</v>
      </c>
      <c r="AU302" s="99">
        <f t="shared" si="195"/>
        <v>0</v>
      </c>
      <c r="AV302" s="99">
        <f t="shared" si="195"/>
        <v>0</v>
      </c>
      <c r="AW302" s="90"/>
      <c r="AX302" s="90"/>
      <c r="AY302" s="90"/>
      <c r="AZ302" s="90"/>
      <c r="BA302" s="90"/>
      <c r="BB302" s="90"/>
      <c r="BC302" s="90"/>
      <c r="BD302" s="90"/>
      <c r="BE302" s="90"/>
      <c r="BF302" s="90"/>
      <c r="BG302" s="90"/>
    </row>
    <row r="303" ht="12.75" customHeight="1">
      <c r="A303" s="316"/>
      <c r="B303" s="67"/>
      <c r="C303" s="90"/>
      <c r="D303" s="90" t="s">
        <v>802</v>
      </c>
      <c r="E303" s="90"/>
      <c r="F303" s="90"/>
      <c r="G303" s="99"/>
      <c r="H303" s="99"/>
      <c r="I303" s="99"/>
      <c r="J303" s="99">
        <f t="shared" si="196"/>
        <v>0</v>
      </c>
      <c r="K303" s="99">
        <v>0.0</v>
      </c>
      <c r="L303" s="99">
        <f t="shared" ref="L303:AV303" si="197">L139*L165</f>
        <v>0</v>
      </c>
      <c r="M303" s="99">
        <f t="shared" si="197"/>
        <v>0</v>
      </c>
      <c r="N303" s="99">
        <f t="shared" si="197"/>
        <v>0</v>
      </c>
      <c r="O303" s="99">
        <f t="shared" si="197"/>
        <v>0</v>
      </c>
      <c r="P303" s="99">
        <f t="shared" si="197"/>
        <v>0</v>
      </c>
      <c r="Q303" s="99">
        <f t="shared" si="197"/>
        <v>0</v>
      </c>
      <c r="R303" s="99">
        <f t="shared" si="197"/>
        <v>0</v>
      </c>
      <c r="S303" s="99">
        <f t="shared" si="197"/>
        <v>0</v>
      </c>
      <c r="T303" s="99">
        <f t="shared" si="197"/>
        <v>0</v>
      </c>
      <c r="U303" s="99">
        <f t="shared" si="197"/>
        <v>0</v>
      </c>
      <c r="V303" s="99">
        <f t="shared" si="197"/>
        <v>0</v>
      </c>
      <c r="W303" s="99">
        <f t="shared" si="197"/>
        <v>0</v>
      </c>
      <c r="X303" s="99">
        <f t="shared" si="197"/>
        <v>0</v>
      </c>
      <c r="Y303" s="99">
        <f t="shared" si="197"/>
        <v>0</v>
      </c>
      <c r="Z303" s="99">
        <f t="shared" si="197"/>
        <v>0</v>
      </c>
      <c r="AA303" s="99">
        <f t="shared" si="197"/>
        <v>0</v>
      </c>
      <c r="AB303" s="99">
        <f t="shared" si="197"/>
        <v>0</v>
      </c>
      <c r="AC303" s="99">
        <f t="shared" si="197"/>
        <v>0</v>
      </c>
      <c r="AD303" s="99">
        <f t="shared" si="197"/>
        <v>0</v>
      </c>
      <c r="AE303" s="99">
        <f t="shared" si="197"/>
        <v>0</v>
      </c>
      <c r="AF303" s="99">
        <f t="shared" si="197"/>
        <v>0</v>
      </c>
      <c r="AG303" s="99">
        <f t="shared" si="197"/>
        <v>0</v>
      </c>
      <c r="AH303" s="99">
        <f t="shared" si="197"/>
        <v>0</v>
      </c>
      <c r="AI303" s="99">
        <f t="shared" si="197"/>
        <v>0</v>
      </c>
      <c r="AJ303" s="99">
        <f t="shared" si="197"/>
        <v>0</v>
      </c>
      <c r="AK303" s="99">
        <f t="shared" si="197"/>
        <v>0</v>
      </c>
      <c r="AL303" s="99">
        <f t="shared" si="197"/>
        <v>0</v>
      </c>
      <c r="AM303" s="99">
        <f t="shared" si="197"/>
        <v>0</v>
      </c>
      <c r="AN303" s="99">
        <f t="shared" si="197"/>
        <v>0</v>
      </c>
      <c r="AO303" s="99">
        <f t="shared" si="197"/>
        <v>0</v>
      </c>
      <c r="AP303" s="99">
        <f t="shared" si="197"/>
        <v>0</v>
      </c>
      <c r="AQ303" s="99">
        <f t="shared" si="197"/>
        <v>0</v>
      </c>
      <c r="AR303" s="99">
        <f t="shared" si="197"/>
        <v>0</v>
      </c>
      <c r="AS303" s="99">
        <f t="shared" si="197"/>
        <v>0</v>
      </c>
      <c r="AT303" s="99">
        <f t="shared" si="197"/>
        <v>0</v>
      </c>
      <c r="AU303" s="99">
        <f t="shared" si="197"/>
        <v>0</v>
      </c>
      <c r="AV303" s="99">
        <f t="shared" si="197"/>
        <v>0</v>
      </c>
      <c r="AW303" s="90"/>
      <c r="AX303" s="90"/>
      <c r="AY303" s="90"/>
      <c r="AZ303" s="90"/>
      <c r="BA303" s="90"/>
      <c r="BB303" s="90"/>
      <c r="BC303" s="90"/>
      <c r="BD303" s="90"/>
      <c r="BE303" s="90"/>
      <c r="BF303" s="90"/>
      <c r="BG303" s="90"/>
    </row>
    <row r="304" ht="12.75" customHeight="1">
      <c r="A304" s="316"/>
      <c r="B304" s="67"/>
      <c r="C304" s="90"/>
      <c r="D304" s="90" t="s">
        <v>722</v>
      </c>
      <c r="E304" s="90"/>
      <c r="F304" s="90"/>
      <c r="G304" s="99"/>
      <c r="H304" s="90"/>
      <c r="I304" s="99"/>
      <c r="J304" s="99">
        <f t="shared" ref="J304:J305" si="199">J143*J166</f>
        <v>0</v>
      </c>
      <c r="K304" s="99">
        <v>0.0</v>
      </c>
      <c r="L304" s="99">
        <f t="shared" ref="L304:AV304" si="198">L143*L166</f>
        <v>386000</v>
      </c>
      <c r="M304" s="99">
        <f t="shared" si="198"/>
        <v>393720</v>
      </c>
      <c r="N304" s="99">
        <f t="shared" si="198"/>
        <v>401594.4</v>
      </c>
      <c r="O304" s="99">
        <f t="shared" si="198"/>
        <v>358423.002</v>
      </c>
      <c r="P304" s="99">
        <f t="shared" si="198"/>
        <v>365591.462</v>
      </c>
      <c r="Q304" s="99">
        <f t="shared" si="198"/>
        <v>266359.4938</v>
      </c>
      <c r="R304" s="99">
        <f t="shared" si="198"/>
        <v>271686.6836</v>
      </c>
      <c r="S304" s="99">
        <f t="shared" si="198"/>
        <v>277120.4173</v>
      </c>
      <c r="T304" s="99">
        <f t="shared" si="198"/>
        <v>282662.8257</v>
      </c>
      <c r="U304" s="99">
        <f t="shared" si="198"/>
        <v>288316.0822</v>
      </c>
      <c r="V304" s="99">
        <f t="shared" si="198"/>
        <v>294082.4038</v>
      </c>
      <c r="W304" s="99">
        <f t="shared" si="198"/>
        <v>299964.0519</v>
      </c>
      <c r="X304" s="99">
        <f t="shared" si="198"/>
        <v>305963.3329</v>
      </c>
      <c r="Y304" s="99">
        <f t="shared" si="198"/>
        <v>312082.5996</v>
      </c>
      <c r="Z304" s="99">
        <f t="shared" si="198"/>
        <v>318324.2516</v>
      </c>
      <c r="AA304" s="99">
        <f t="shared" si="198"/>
        <v>324690.7366</v>
      </c>
      <c r="AB304" s="99">
        <f t="shared" si="198"/>
        <v>331184.5514</v>
      </c>
      <c r="AC304" s="99">
        <f t="shared" si="198"/>
        <v>337808.2424</v>
      </c>
      <c r="AD304" s="99">
        <f t="shared" si="198"/>
        <v>344564.4072</v>
      </c>
      <c r="AE304" s="99">
        <f t="shared" si="198"/>
        <v>351455.6954</v>
      </c>
      <c r="AF304" s="99">
        <f t="shared" si="198"/>
        <v>358484.8093</v>
      </c>
      <c r="AG304" s="99">
        <f t="shared" si="198"/>
        <v>365654.5055</v>
      </c>
      <c r="AH304" s="99">
        <f t="shared" si="198"/>
        <v>372967.5956</v>
      </c>
      <c r="AI304" s="99">
        <f t="shared" si="198"/>
        <v>380426.9475</v>
      </c>
      <c r="AJ304" s="99">
        <f t="shared" si="198"/>
        <v>388035.4864</v>
      </c>
      <c r="AK304" s="99">
        <f t="shared" si="198"/>
        <v>395796.1962</v>
      </c>
      <c r="AL304" s="99">
        <f t="shared" si="198"/>
        <v>403712.1201</v>
      </c>
      <c r="AM304" s="99">
        <f t="shared" si="198"/>
        <v>411786.3625</v>
      </c>
      <c r="AN304" s="99">
        <f t="shared" si="198"/>
        <v>420022.0897</v>
      </c>
      <c r="AO304" s="99">
        <f t="shared" si="198"/>
        <v>428422.5315</v>
      </c>
      <c r="AP304" s="99">
        <f t="shared" si="198"/>
        <v>436990.9822</v>
      </c>
      <c r="AQ304" s="99">
        <f t="shared" si="198"/>
        <v>445730.8018</v>
      </c>
      <c r="AR304" s="99">
        <f t="shared" si="198"/>
        <v>454645.4178</v>
      </c>
      <c r="AS304" s="99">
        <f t="shared" si="198"/>
        <v>463738.3262</v>
      </c>
      <c r="AT304" s="99">
        <f t="shared" si="198"/>
        <v>473013.0927</v>
      </c>
      <c r="AU304" s="99">
        <f t="shared" si="198"/>
        <v>482473.3546</v>
      </c>
      <c r="AV304" s="99">
        <f t="shared" si="198"/>
        <v>492122.8217</v>
      </c>
      <c r="AW304" s="90" t="s">
        <v>1218</v>
      </c>
      <c r="AX304" s="90"/>
      <c r="AY304" s="90"/>
      <c r="AZ304" s="90"/>
      <c r="BA304" s="90"/>
      <c r="BB304" s="90"/>
      <c r="BC304" s="90"/>
      <c r="BD304" s="90"/>
      <c r="BE304" s="90"/>
      <c r="BF304" s="90"/>
      <c r="BG304" s="90"/>
    </row>
    <row r="305" ht="12.75" customHeight="1">
      <c r="A305" s="316"/>
      <c r="B305" s="67"/>
      <c r="C305" s="90"/>
      <c r="D305" s="90" t="s">
        <v>707</v>
      </c>
      <c r="E305" s="90"/>
      <c r="F305" s="90"/>
      <c r="G305" s="99"/>
      <c r="H305" s="90"/>
      <c r="I305" s="99"/>
      <c r="J305" s="99">
        <f t="shared" si="199"/>
        <v>0</v>
      </c>
      <c r="K305" s="99">
        <v>640676.61</v>
      </c>
      <c r="L305" s="99">
        <f t="shared" ref="L305:AV305" si="200">L144*L167</f>
        <v>406000</v>
      </c>
      <c r="M305" s="99">
        <f t="shared" si="200"/>
        <v>473280</v>
      </c>
      <c r="N305" s="99">
        <f t="shared" si="200"/>
        <v>482745.6</v>
      </c>
      <c r="O305" s="99">
        <f t="shared" si="200"/>
        <v>430850.448</v>
      </c>
      <c r="P305" s="99">
        <f t="shared" si="200"/>
        <v>439467.457</v>
      </c>
      <c r="Q305" s="99">
        <f t="shared" si="200"/>
        <v>320183.4329</v>
      </c>
      <c r="R305" s="99">
        <f t="shared" si="200"/>
        <v>326587.1016</v>
      </c>
      <c r="S305" s="99">
        <f t="shared" si="200"/>
        <v>333118.8436</v>
      </c>
      <c r="T305" s="99">
        <f t="shared" si="200"/>
        <v>339781.2205</v>
      </c>
      <c r="U305" s="99">
        <f t="shared" si="200"/>
        <v>346576.8449</v>
      </c>
      <c r="V305" s="99">
        <f t="shared" si="200"/>
        <v>353508.3818</v>
      </c>
      <c r="W305" s="99">
        <f t="shared" si="200"/>
        <v>360578.5494</v>
      </c>
      <c r="X305" s="99">
        <f t="shared" si="200"/>
        <v>367790.1204</v>
      </c>
      <c r="Y305" s="99">
        <f t="shared" si="200"/>
        <v>375145.9228</v>
      </c>
      <c r="Z305" s="99">
        <f t="shared" si="200"/>
        <v>382648.8413</v>
      </c>
      <c r="AA305" s="99">
        <f t="shared" si="200"/>
        <v>390301.8181</v>
      </c>
      <c r="AB305" s="99">
        <f t="shared" si="200"/>
        <v>398107.8545</v>
      </c>
      <c r="AC305" s="99">
        <f t="shared" si="200"/>
        <v>406070.0116</v>
      </c>
      <c r="AD305" s="99">
        <f t="shared" si="200"/>
        <v>414191.4118</v>
      </c>
      <c r="AE305" s="99">
        <f t="shared" si="200"/>
        <v>422475.24</v>
      </c>
      <c r="AF305" s="99">
        <f t="shared" si="200"/>
        <v>430924.7448</v>
      </c>
      <c r="AG305" s="99">
        <f t="shared" si="200"/>
        <v>439543.2397</v>
      </c>
      <c r="AH305" s="99">
        <f t="shared" si="200"/>
        <v>448334.1045</v>
      </c>
      <c r="AI305" s="99">
        <f t="shared" si="200"/>
        <v>457300.7866</v>
      </c>
      <c r="AJ305" s="99">
        <f t="shared" si="200"/>
        <v>466446.8023</v>
      </c>
      <c r="AK305" s="99">
        <f t="shared" si="200"/>
        <v>475775.7384</v>
      </c>
      <c r="AL305" s="99">
        <f t="shared" si="200"/>
        <v>485291.2532</v>
      </c>
      <c r="AM305" s="99">
        <f t="shared" si="200"/>
        <v>494997.0782</v>
      </c>
      <c r="AN305" s="99">
        <f t="shared" si="200"/>
        <v>504897.0198</v>
      </c>
      <c r="AO305" s="99">
        <f t="shared" si="200"/>
        <v>514994.9602</v>
      </c>
      <c r="AP305" s="99">
        <f t="shared" si="200"/>
        <v>525294.8594</v>
      </c>
      <c r="AQ305" s="99">
        <f t="shared" si="200"/>
        <v>535800.7566</v>
      </c>
      <c r="AR305" s="99">
        <f t="shared" si="200"/>
        <v>546516.7717</v>
      </c>
      <c r="AS305" s="99">
        <f t="shared" si="200"/>
        <v>557447.1071</v>
      </c>
      <c r="AT305" s="99">
        <f t="shared" si="200"/>
        <v>568596.0493</v>
      </c>
      <c r="AU305" s="99">
        <f t="shared" si="200"/>
        <v>579967.9703</v>
      </c>
      <c r="AV305" s="99">
        <f t="shared" si="200"/>
        <v>591567.3297</v>
      </c>
      <c r="AW305" s="90"/>
      <c r="AX305" s="90"/>
      <c r="AY305" s="90"/>
      <c r="AZ305" s="90"/>
      <c r="BA305" s="90"/>
      <c r="BB305" s="90"/>
      <c r="BC305" s="90"/>
      <c r="BD305" s="90"/>
      <c r="BE305" s="90"/>
      <c r="BF305" s="90"/>
      <c r="BG305" s="90"/>
    </row>
    <row r="306" ht="12.75" customHeight="1">
      <c r="A306" s="316"/>
      <c r="B306" s="67"/>
      <c r="C306" s="90"/>
      <c r="D306" s="90" t="s">
        <v>702</v>
      </c>
      <c r="E306" s="90"/>
      <c r="F306" s="90"/>
      <c r="G306" s="99"/>
      <c r="H306" s="99"/>
      <c r="I306" s="99"/>
      <c r="J306" s="99">
        <f>J138*J168</f>
        <v>0</v>
      </c>
      <c r="K306" s="99">
        <v>67000.0</v>
      </c>
      <c r="L306" s="99">
        <f t="shared" ref="L306:AV306" si="201">L138*L168</f>
        <v>83333.33333</v>
      </c>
      <c r="M306" s="99">
        <f t="shared" si="201"/>
        <v>85000</v>
      </c>
      <c r="N306" s="99">
        <f t="shared" si="201"/>
        <v>86700</v>
      </c>
      <c r="O306" s="99">
        <f t="shared" si="201"/>
        <v>88434</v>
      </c>
      <c r="P306" s="99">
        <f t="shared" si="201"/>
        <v>90202.68</v>
      </c>
      <c r="Q306" s="99">
        <f t="shared" si="201"/>
        <v>92006.7336</v>
      </c>
      <c r="R306" s="99">
        <f t="shared" si="201"/>
        <v>93846.86827</v>
      </c>
      <c r="S306" s="99">
        <f t="shared" si="201"/>
        <v>95723.80564</v>
      </c>
      <c r="T306" s="99">
        <f t="shared" si="201"/>
        <v>97638.28175</v>
      </c>
      <c r="U306" s="99">
        <f t="shared" si="201"/>
        <v>99591.04739</v>
      </c>
      <c r="V306" s="99">
        <f t="shared" si="201"/>
        <v>101582.8683</v>
      </c>
      <c r="W306" s="99">
        <f t="shared" si="201"/>
        <v>103614.5257</v>
      </c>
      <c r="X306" s="99">
        <f t="shared" si="201"/>
        <v>105686.8162</v>
      </c>
      <c r="Y306" s="99">
        <f t="shared" si="201"/>
        <v>107800.5525</v>
      </c>
      <c r="Z306" s="99">
        <f t="shared" si="201"/>
        <v>109956.5636</v>
      </c>
      <c r="AA306" s="99">
        <f t="shared" si="201"/>
        <v>112155.6949</v>
      </c>
      <c r="AB306" s="99">
        <f t="shared" si="201"/>
        <v>114398.8088</v>
      </c>
      <c r="AC306" s="99">
        <f t="shared" si="201"/>
        <v>116686.7849</v>
      </c>
      <c r="AD306" s="99">
        <f t="shared" si="201"/>
        <v>119020.5206</v>
      </c>
      <c r="AE306" s="99">
        <f t="shared" si="201"/>
        <v>121400.931</v>
      </c>
      <c r="AF306" s="99">
        <f t="shared" si="201"/>
        <v>123828.9497</v>
      </c>
      <c r="AG306" s="99">
        <f t="shared" si="201"/>
        <v>126305.5287</v>
      </c>
      <c r="AH306" s="99">
        <f t="shared" si="201"/>
        <v>128831.6392</v>
      </c>
      <c r="AI306" s="99">
        <f t="shared" si="201"/>
        <v>131408.272</v>
      </c>
      <c r="AJ306" s="99">
        <f t="shared" si="201"/>
        <v>134036.4375</v>
      </c>
      <c r="AK306" s="99">
        <f t="shared" si="201"/>
        <v>136717.1662</v>
      </c>
      <c r="AL306" s="99">
        <f t="shared" si="201"/>
        <v>139451.5095</v>
      </c>
      <c r="AM306" s="99">
        <f t="shared" si="201"/>
        <v>142240.5397</v>
      </c>
      <c r="AN306" s="99">
        <f t="shared" si="201"/>
        <v>145085.3505</v>
      </c>
      <c r="AO306" s="99">
        <f t="shared" si="201"/>
        <v>147987.0575</v>
      </c>
      <c r="AP306" s="99">
        <f t="shared" si="201"/>
        <v>150946.7987</v>
      </c>
      <c r="AQ306" s="99">
        <f t="shared" si="201"/>
        <v>153965.7346</v>
      </c>
      <c r="AR306" s="99">
        <f t="shared" si="201"/>
        <v>157045.0493</v>
      </c>
      <c r="AS306" s="99">
        <f t="shared" si="201"/>
        <v>160185.9503</v>
      </c>
      <c r="AT306" s="99">
        <f t="shared" si="201"/>
        <v>163389.6693</v>
      </c>
      <c r="AU306" s="99">
        <f t="shared" si="201"/>
        <v>166657.4627</v>
      </c>
      <c r="AV306" s="99">
        <f t="shared" si="201"/>
        <v>169990.612</v>
      </c>
      <c r="AW306" s="90"/>
      <c r="AX306" s="90"/>
      <c r="AY306" s="90"/>
      <c r="AZ306" s="90"/>
      <c r="BA306" s="90"/>
      <c r="BB306" s="90"/>
      <c r="BC306" s="90"/>
      <c r="BD306" s="90"/>
      <c r="BE306" s="90"/>
      <c r="BF306" s="90"/>
      <c r="BG306" s="90"/>
    </row>
    <row r="307" ht="12.75" customHeight="1">
      <c r="A307" s="316"/>
      <c r="B307" s="67"/>
      <c r="C307" s="87"/>
      <c r="D307" s="87" t="s">
        <v>803</v>
      </c>
      <c r="E307" s="87"/>
      <c r="F307" s="87"/>
      <c r="G307" s="125"/>
      <c r="H307" s="125"/>
      <c r="I307" s="125"/>
      <c r="J307" s="125">
        <v>0.0</v>
      </c>
      <c r="K307" s="125">
        <v>0.0</v>
      </c>
      <c r="L307" s="125">
        <f t="shared" ref="L307:AV307" si="202">10*L169*L146</f>
        <v>0</v>
      </c>
      <c r="M307" s="125">
        <f t="shared" si="202"/>
        <v>0</v>
      </c>
      <c r="N307" s="125">
        <f t="shared" si="202"/>
        <v>0</v>
      </c>
      <c r="O307" s="125">
        <f t="shared" si="202"/>
        <v>0</v>
      </c>
      <c r="P307" s="125">
        <f t="shared" si="202"/>
        <v>0</v>
      </c>
      <c r="Q307" s="125">
        <f t="shared" si="202"/>
        <v>0</v>
      </c>
      <c r="R307" s="125">
        <f t="shared" si="202"/>
        <v>0</v>
      </c>
      <c r="S307" s="125">
        <f t="shared" si="202"/>
        <v>0</v>
      </c>
      <c r="T307" s="125">
        <f t="shared" si="202"/>
        <v>0</v>
      </c>
      <c r="U307" s="125">
        <f t="shared" si="202"/>
        <v>0</v>
      </c>
      <c r="V307" s="125">
        <f t="shared" si="202"/>
        <v>0</v>
      </c>
      <c r="W307" s="125">
        <f t="shared" si="202"/>
        <v>0</v>
      </c>
      <c r="X307" s="125">
        <f t="shared" si="202"/>
        <v>0</v>
      </c>
      <c r="Y307" s="125">
        <f t="shared" si="202"/>
        <v>0</v>
      </c>
      <c r="Z307" s="125">
        <f t="shared" si="202"/>
        <v>0</v>
      </c>
      <c r="AA307" s="125">
        <f t="shared" si="202"/>
        <v>0</v>
      </c>
      <c r="AB307" s="125">
        <f t="shared" si="202"/>
        <v>0</v>
      </c>
      <c r="AC307" s="125">
        <f t="shared" si="202"/>
        <v>0</v>
      </c>
      <c r="AD307" s="125">
        <f t="shared" si="202"/>
        <v>0</v>
      </c>
      <c r="AE307" s="125">
        <f t="shared" si="202"/>
        <v>0</v>
      </c>
      <c r="AF307" s="125">
        <f t="shared" si="202"/>
        <v>0</v>
      </c>
      <c r="AG307" s="125">
        <f t="shared" si="202"/>
        <v>0</v>
      </c>
      <c r="AH307" s="125">
        <f t="shared" si="202"/>
        <v>0</v>
      </c>
      <c r="AI307" s="125">
        <f t="shared" si="202"/>
        <v>0</v>
      </c>
      <c r="AJ307" s="125">
        <f t="shared" si="202"/>
        <v>0</v>
      </c>
      <c r="AK307" s="125">
        <f t="shared" si="202"/>
        <v>0</v>
      </c>
      <c r="AL307" s="125">
        <f t="shared" si="202"/>
        <v>0</v>
      </c>
      <c r="AM307" s="125">
        <f t="shared" si="202"/>
        <v>0</v>
      </c>
      <c r="AN307" s="125">
        <f t="shared" si="202"/>
        <v>0</v>
      </c>
      <c r="AO307" s="125">
        <f t="shared" si="202"/>
        <v>0</v>
      </c>
      <c r="AP307" s="125">
        <f t="shared" si="202"/>
        <v>0</v>
      </c>
      <c r="AQ307" s="125">
        <f t="shared" si="202"/>
        <v>0</v>
      </c>
      <c r="AR307" s="125">
        <f t="shared" si="202"/>
        <v>0</v>
      </c>
      <c r="AS307" s="125">
        <f t="shared" si="202"/>
        <v>0</v>
      </c>
      <c r="AT307" s="125">
        <f t="shared" si="202"/>
        <v>0</v>
      </c>
      <c r="AU307" s="125">
        <f t="shared" si="202"/>
        <v>0</v>
      </c>
      <c r="AV307" s="125">
        <f t="shared" si="202"/>
        <v>0</v>
      </c>
      <c r="AW307" s="87" t="s">
        <v>1219</v>
      </c>
      <c r="AX307" s="90"/>
      <c r="AY307" s="90"/>
      <c r="AZ307" s="90"/>
      <c r="BA307" s="90"/>
      <c r="BB307" s="90"/>
      <c r="BC307" s="90"/>
      <c r="BD307" s="90"/>
      <c r="BE307" s="90"/>
      <c r="BF307" s="90"/>
      <c r="BG307" s="90"/>
    </row>
    <row r="308" ht="12.75" customHeight="1">
      <c r="A308" s="316"/>
      <c r="B308" s="67"/>
      <c r="C308" s="90" t="s">
        <v>804</v>
      </c>
      <c r="D308" s="90"/>
      <c r="E308" s="90"/>
      <c r="F308" s="90"/>
      <c r="G308" s="99"/>
      <c r="H308" s="99"/>
      <c r="I308" s="99">
        <f t="shared" ref="I308:AV308" si="203">SUM(I301:I307)</f>
        <v>0</v>
      </c>
      <c r="J308" s="99">
        <f t="shared" si="203"/>
        <v>62863.73</v>
      </c>
      <c r="K308" s="99">
        <f t="shared" si="203"/>
        <v>791009.9433</v>
      </c>
      <c r="L308" s="99">
        <f t="shared" si="203"/>
        <v>975333.3333</v>
      </c>
      <c r="M308" s="99">
        <f t="shared" si="203"/>
        <v>1054000</v>
      </c>
      <c r="N308" s="99">
        <f t="shared" si="203"/>
        <v>1075080</v>
      </c>
      <c r="O308" s="99">
        <f t="shared" si="203"/>
        <v>983828.25</v>
      </c>
      <c r="P308" s="99">
        <f t="shared" si="203"/>
        <v>1003504.815</v>
      </c>
      <c r="Q308" s="99">
        <f t="shared" si="203"/>
        <v>788957.7406</v>
      </c>
      <c r="R308" s="99">
        <f t="shared" si="203"/>
        <v>804736.8954</v>
      </c>
      <c r="S308" s="99">
        <f t="shared" si="203"/>
        <v>820831.6333</v>
      </c>
      <c r="T308" s="99">
        <f t="shared" si="203"/>
        <v>837248.266</v>
      </c>
      <c r="U308" s="99">
        <f t="shared" si="203"/>
        <v>853993.2313</v>
      </c>
      <c r="V308" s="99">
        <f t="shared" si="203"/>
        <v>871073.096</v>
      </c>
      <c r="W308" s="99">
        <f t="shared" si="203"/>
        <v>888494.5579</v>
      </c>
      <c r="X308" s="99">
        <f t="shared" si="203"/>
        <v>906264.449</v>
      </c>
      <c r="Y308" s="99">
        <f t="shared" si="203"/>
        <v>924389.738</v>
      </c>
      <c r="Z308" s="99">
        <f t="shared" si="203"/>
        <v>942877.5328</v>
      </c>
      <c r="AA308" s="99">
        <f t="shared" si="203"/>
        <v>961735.0834</v>
      </c>
      <c r="AB308" s="99">
        <f t="shared" si="203"/>
        <v>980969.7851</v>
      </c>
      <c r="AC308" s="99">
        <f t="shared" si="203"/>
        <v>1000589.181</v>
      </c>
      <c r="AD308" s="99">
        <f t="shared" si="203"/>
        <v>1020600.964</v>
      </c>
      <c r="AE308" s="99">
        <f t="shared" si="203"/>
        <v>1041012.984</v>
      </c>
      <c r="AF308" s="99">
        <f t="shared" si="203"/>
        <v>1061833.243</v>
      </c>
      <c r="AG308" s="99">
        <f t="shared" si="203"/>
        <v>1083069.908</v>
      </c>
      <c r="AH308" s="99">
        <f t="shared" si="203"/>
        <v>1104731.306</v>
      </c>
      <c r="AI308" s="99">
        <f t="shared" si="203"/>
        <v>1126825.933</v>
      </c>
      <c r="AJ308" s="99">
        <f t="shared" si="203"/>
        <v>1149362.451</v>
      </c>
      <c r="AK308" s="99">
        <f t="shared" si="203"/>
        <v>1172349.7</v>
      </c>
      <c r="AL308" s="99">
        <f t="shared" si="203"/>
        <v>1195796.694</v>
      </c>
      <c r="AM308" s="99">
        <f t="shared" si="203"/>
        <v>1219712.628</v>
      </c>
      <c r="AN308" s="99">
        <f t="shared" si="203"/>
        <v>1244106.881</v>
      </c>
      <c r="AO308" s="99">
        <f t="shared" si="203"/>
        <v>1268989.018</v>
      </c>
      <c r="AP308" s="99">
        <f t="shared" si="203"/>
        <v>1294368.799</v>
      </c>
      <c r="AQ308" s="99">
        <f t="shared" si="203"/>
        <v>1320256.175</v>
      </c>
      <c r="AR308" s="99">
        <f t="shared" si="203"/>
        <v>1346661.298</v>
      </c>
      <c r="AS308" s="99">
        <f t="shared" si="203"/>
        <v>1373594.524</v>
      </c>
      <c r="AT308" s="99">
        <f t="shared" si="203"/>
        <v>1401066.415</v>
      </c>
      <c r="AU308" s="99">
        <f t="shared" si="203"/>
        <v>1429087.743</v>
      </c>
      <c r="AV308" s="99">
        <f t="shared" si="203"/>
        <v>1457669.498</v>
      </c>
      <c r="AW308" s="90"/>
      <c r="AX308" s="90"/>
      <c r="AY308" s="90"/>
      <c r="AZ308" s="90"/>
      <c r="BA308" s="90"/>
      <c r="BB308" s="90"/>
      <c r="BC308" s="90"/>
      <c r="BD308" s="90"/>
      <c r="BE308" s="90"/>
      <c r="BF308" s="90"/>
      <c r="BG308" s="90"/>
    </row>
    <row r="309" ht="12.75" customHeight="1">
      <c r="A309" s="316"/>
      <c r="B309" s="67"/>
      <c r="C309" s="90"/>
      <c r="D309" s="90"/>
      <c r="E309" s="90"/>
      <c r="F309" s="90"/>
      <c r="G309" s="99"/>
      <c r="H309" s="99"/>
      <c r="I309" s="99"/>
      <c r="J309" s="99"/>
      <c r="K309" s="99"/>
      <c r="L309" s="99"/>
      <c r="M309" s="99"/>
      <c r="N309" s="99"/>
      <c r="O309" s="99"/>
      <c r="P309" s="99"/>
      <c r="Q309" s="99"/>
      <c r="R309" s="99"/>
      <c r="S309" s="99"/>
      <c r="T309" s="99"/>
      <c r="U309" s="99"/>
      <c r="V309" s="99"/>
      <c r="W309" s="99"/>
      <c r="X309" s="99"/>
      <c r="Y309" s="99"/>
      <c r="Z309" s="99"/>
      <c r="AA309" s="99"/>
      <c r="AB309" s="99"/>
      <c r="AC309" s="99"/>
      <c r="AD309" s="99"/>
      <c r="AE309" s="99"/>
      <c r="AF309" s="99"/>
      <c r="AG309" s="99"/>
      <c r="AH309" s="99"/>
      <c r="AI309" s="99"/>
      <c r="AJ309" s="99"/>
      <c r="AK309" s="99"/>
      <c r="AL309" s="99"/>
      <c r="AM309" s="99"/>
      <c r="AN309" s="99"/>
      <c r="AO309" s="99"/>
      <c r="AP309" s="99"/>
      <c r="AQ309" s="99"/>
      <c r="AR309" s="99"/>
      <c r="AS309" s="99"/>
      <c r="AT309" s="99"/>
      <c r="AU309" s="99"/>
      <c r="AV309" s="99"/>
      <c r="AW309" s="90"/>
      <c r="AX309" s="90"/>
      <c r="AY309" s="90"/>
      <c r="AZ309" s="90"/>
      <c r="BA309" s="90"/>
      <c r="BB309" s="90"/>
      <c r="BC309" s="90"/>
      <c r="BD309" s="90"/>
      <c r="BE309" s="90"/>
      <c r="BF309" s="90"/>
      <c r="BG309" s="90"/>
    </row>
    <row r="310" ht="12.75" customHeight="1">
      <c r="A310" s="316"/>
      <c r="B310" s="67"/>
      <c r="C310" s="90" t="s">
        <v>805</v>
      </c>
      <c r="D310" s="90"/>
      <c r="E310" s="90"/>
      <c r="F310" s="90"/>
      <c r="G310" s="99"/>
      <c r="H310" s="99"/>
      <c r="I310" s="99"/>
      <c r="J310" s="99"/>
      <c r="K310" s="99"/>
      <c r="L310" s="99"/>
      <c r="M310" s="99"/>
      <c r="N310" s="99"/>
      <c r="O310" s="99"/>
      <c r="P310" s="99"/>
      <c r="Q310" s="99"/>
      <c r="R310" s="99"/>
      <c r="S310" s="99"/>
      <c r="T310" s="99"/>
      <c r="U310" s="99"/>
      <c r="V310" s="99"/>
      <c r="W310" s="99"/>
      <c r="X310" s="99"/>
      <c r="Y310" s="99"/>
      <c r="Z310" s="99"/>
      <c r="AA310" s="99"/>
      <c r="AB310" s="99"/>
      <c r="AC310" s="99"/>
      <c r="AD310" s="99"/>
      <c r="AE310" s="99"/>
      <c r="AF310" s="99"/>
      <c r="AG310" s="99"/>
      <c r="AH310" s="99"/>
      <c r="AI310" s="99"/>
      <c r="AJ310" s="99"/>
      <c r="AK310" s="99"/>
      <c r="AL310" s="99"/>
      <c r="AM310" s="99"/>
      <c r="AN310" s="99"/>
      <c r="AO310" s="99"/>
      <c r="AP310" s="99"/>
      <c r="AQ310" s="99"/>
      <c r="AR310" s="99"/>
      <c r="AS310" s="99"/>
      <c r="AT310" s="99"/>
      <c r="AU310" s="99"/>
      <c r="AV310" s="99"/>
      <c r="AW310" s="90"/>
      <c r="AX310" s="90"/>
      <c r="AY310" s="90"/>
      <c r="AZ310" s="90"/>
      <c r="BA310" s="90"/>
      <c r="BB310" s="90"/>
      <c r="BC310" s="90"/>
      <c r="BD310" s="90"/>
      <c r="BE310" s="90"/>
      <c r="BF310" s="90"/>
      <c r="BG310" s="90"/>
    </row>
    <row r="311" ht="12.75" customHeight="1">
      <c r="A311" s="316"/>
      <c r="B311" s="90"/>
      <c r="C311" s="90"/>
      <c r="D311" s="90" t="s">
        <v>711</v>
      </c>
      <c r="E311" s="90"/>
      <c r="F311" s="90"/>
      <c r="G311" s="99"/>
      <c r="H311" s="99"/>
      <c r="I311" s="99"/>
      <c r="J311" s="99">
        <f>'FY09 P&amp;L'!C108</f>
        <v>8936.36</v>
      </c>
      <c r="K311" s="99">
        <v>46176.99</v>
      </c>
      <c r="L311" s="99">
        <f t="shared" ref="L311:AV311" si="204">L149*L170</f>
        <v>48000</v>
      </c>
      <c r="M311" s="99">
        <f t="shared" si="204"/>
        <v>48960</v>
      </c>
      <c r="N311" s="99">
        <f t="shared" si="204"/>
        <v>49939.2</v>
      </c>
      <c r="O311" s="99">
        <f t="shared" si="204"/>
        <v>50937.984</v>
      </c>
      <c r="P311" s="99">
        <f t="shared" si="204"/>
        <v>51956.74368</v>
      </c>
      <c r="Q311" s="99">
        <f t="shared" si="204"/>
        <v>52995.87855</v>
      </c>
      <c r="R311" s="99">
        <f t="shared" si="204"/>
        <v>54055.79612</v>
      </c>
      <c r="S311" s="99">
        <f t="shared" si="204"/>
        <v>55136.91205</v>
      </c>
      <c r="T311" s="99">
        <f t="shared" si="204"/>
        <v>56239.65029</v>
      </c>
      <c r="U311" s="99">
        <f t="shared" si="204"/>
        <v>57364.44329</v>
      </c>
      <c r="V311" s="99">
        <f t="shared" si="204"/>
        <v>58511.73216</v>
      </c>
      <c r="W311" s="99">
        <f t="shared" si="204"/>
        <v>59681.9668</v>
      </c>
      <c r="X311" s="99">
        <f t="shared" si="204"/>
        <v>60875.60614</v>
      </c>
      <c r="Y311" s="99">
        <f t="shared" si="204"/>
        <v>62093.11826</v>
      </c>
      <c r="Z311" s="99">
        <f t="shared" si="204"/>
        <v>63334.98063</v>
      </c>
      <c r="AA311" s="99">
        <f t="shared" si="204"/>
        <v>64601.68024</v>
      </c>
      <c r="AB311" s="99">
        <f t="shared" si="204"/>
        <v>65893.71384</v>
      </c>
      <c r="AC311" s="99">
        <f t="shared" si="204"/>
        <v>67211.58812</v>
      </c>
      <c r="AD311" s="99">
        <f t="shared" si="204"/>
        <v>68555.81988</v>
      </c>
      <c r="AE311" s="99">
        <f t="shared" si="204"/>
        <v>69926.93628</v>
      </c>
      <c r="AF311" s="99">
        <f t="shared" si="204"/>
        <v>71325.47501</v>
      </c>
      <c r="AG311" s="99">
        <f t="shared" si="204"/>
        <v>72751.98451</v>
      </c>
      <c r="AH311" s="99">
        <f t="shared" si="204"/>
        <v>74207.0242</v>
      </c>
      <c r="AI311" s="99">
        <f t="shared" si="204"/>
        <v>75691.16468</v>
      </c>
      <c r="AJ311" s="99">
        <f t="shared" si="204"/>
        <v>77204.98797</v>
      </c>
      <c r="AK311" s="99">
        <f t="shared" si="204"/>
        <v>78749.08773</v>
      </c>
      <c r="AL311" s="99">
        <f t="shared" si="204"/>
        <v>80324.06949</v>
      </c>
      <c r="AM311" s="99">
        <f t="shared" si="204"/>
        <v>81930.55088</v>
      </c>
      <c r="AN311" s="99">
        <f t="shared" si="204"/>
        <v>83569.1619</v>
      </c>
      <c r="AO311" s="99">
        <f t="shared" si="204"/>
        <v>85240.54513</v>
      </c>
      <c r="AP311" s="99">
        <f t="shared" si="204"/>
        <v>86945.35604</v>
      </c>
      <c r="AQ311" s="99">
        <f t="shared" si="204"/>
        <v>88684.26316</v>
      </c>
      <c r="AR311" s="99">
        <f t="shared" si="204"/>
        <v>90457.94842</v>
      </c>
      <c r="AS311" s="99">
        <f t="shared" si="204"/>
        <v>92267.10739</v>
      </c>
      <c r="AT311" s="99">
        <f t="shared" si="204"/>
        <v>94112.44954</v>
      </c>
      <c r="AU311" s="99">
        <f t="shared" si="204"/>
        <v>95994.69853</v>
      </c>
      <c r="AV311" s="99">
        <f t="shared" si="204"/>
        <v>97914.5925</v>
      </c>
      <c r="AW311" s="90"/>
      <c r="AX311" s="90"/>
      <c r="AY311" s="90"/>
      <c r="AZ311" s="90"/>
      <c r="BA311" s="90"/>
      <c r="BB311" s="90"/>
      <c r="BC311" s="90"/>
      <c r="BD311" s="90"/>
      <c r="BE311" s="90"/>
      <c r="BF311" s="90"/>
      <c r="BG311" s="90"/>
    </row>
    <row r="312" ht="12.75" customHeight="1">
      <c r="A312" s="316"/>
      <c r="B312" s="90"/>
      <c r="C312" s="90"/>
      <c r="D312" s="90" t="s">
        <v>712</v>
      </c>
      <c r="E312" s="90"/>
      <c r="F312" s="90"/>
      <c r="G312" s="99"/>
      <c r="H312" s="99"/>
      <c r="I312" s="99"/>
      <c r="J312" s="99">
        <f>J150*J171</f>
        <v>0</v>
      </c>
      <c r="K312" s="99">
        <v>52654.25</v>
      </c>
      <c r="L312" s="99">
        <f t="shared" ref="L312:AV312" si="205">L150*L171</f>
        <v>50000</v>
      </c>
      <c r="M312" s="99">
        <f t="shared" si="205"/>
        <v>51000</v>
      </c>
      <c r="N312" s="99">
        <f t="shared" si="205"/>
        <v>52020</v>
      </c>
      <c r="O312" s="99">
        <f t="shared" si="205"/>
        <v>53060.4</v>
      </c>
      <c r="P312" s="99">
        <f t="shared" si="205"/>
        <v>54121.608</v>
      </c>
      <c r="Q312" s="99">
        <f t="shared" si="205"/>
        <v>55204.04016</v>
      </c>
      <c r="R312" s="99">
        <f t="shared" si="205"/>
        <v>56308.12096</v>
      </c>
      <c r="S312" s="99">
        <f t="shared" si="205"/>
        <v>57434.28338</v>
      </c>
      <c r="T312" s="99">
        <f t="shared" si="205"/>
        <v>58582.96905</v>
      </c>
      <c r="U312" s="99">
        <f t="shared" si="205"/>
        <v>59754.62843</v>
      </c>
      <c r="V312" s="99">
        <f t="shared" si="205"/>
        <v>60949.721</v>
      </c>
      <c r="W312" s="99">
        <f t="shared" si="205"/>
        <v>62168.71542</v>
      </c>
      <c r="X312" s="99">
        <f t="shared" si="205"/>
        <v>63412.08973</v>
      </c>
      <c r="Y312" s="99">
        <f t="shared" si="205"/>
        <v>64680.33152</v>
      </c>
      <c r="Z312" s="99">
        <f t="shared" si="205"/>
        <v>65973.93815</v>
      </c>
      <c r="AA312" s="99">
        <f t="shared" si="205"/>
        <v>67293.41692</v>
      </c>
      <c r="AB312" s="99">
        <f t="shared" si="205"/>
        <v>68639.28525</v>
      </c>
      <c r="AC312" s="99">
        <f t="shared" si="205"/>
        <v>70012.07096</v>
      </c>
      <c r="AD312" s="99">
        <f t="shared" si="205"/>
        <v>71412.31238</v>
      </c>
      <c r="AE312" s="99">
        <f t="shared" si="205"/>
        <v>72840.55863</v>
      </c>
      <c r="AF312" s="99">
        <f t="shared" si="205"/>
        <v>74297.3698</v>
      </c>
      <c r="AG312" s="99">
        <f t="shared" si="205"/>
        <v>75783.31719</v>
      </c>
      <c r="AH312" s="99">
        <f t="shared" si="205"/>
        <v>77298.98354</v>
      </c>
      <c r="AI312" s="99">
        <f t="shared" si="205"/>
        <v>78844.96321</v>
      </c>
      <c r="AJ312" s="99">
        <f t="shared" si="205"/>
        <v>80421.86247</v>
      </c>
      <c r="AK312" s="99">
        <f t="shared" si="205"/>
        <v>82030.29972</v>
      </c>
      <c r="AL312" s="99">
        <f t="shared" si="205"/>
        <v>83670.90572</v>
      </c>
      <c r="AM312" s="99">
        <f t="shared" si="205"/>
        <v>85344.32383</v>
      </c>
      <c r="AN312" s="99">
        <f t="shared" si="205"/>
        <v>87051.21031</v>
      </c>
      <c r="AO312" s="99">
        <f t="shared" si="205"/>
        <v>88792.23451</v>
      </c>
      <c r="AP312" s="99">
        <f t="shared" si="205"/>
        <v>90568.07921</v>
      </c>
      <c r="AQ312" s="99">
        <f t="shared" si="205"/>
        <v>92379.44079</v>
      </c>
      <c r="AR312" s="99">
        <f t="shared" si="205"/>
        <v>94227.02961</v>
      </c>
      <c r="AS312" s="99">
        <f t="shared" si="205"/>
        <v>96111.5702</v>
      </c>
      <c r="AT312" s="99">
        <f t="shared" si="205"/>
        <v>98033.8016</v>
      </c>
      <c r="AU312" s="99">
        <f t="shared" si="205"/>
        <v>99994.47763</v>
      </c>
      <c r="AV312" s="99">
        <f t="shared" si="205"/>
        <v>101994.3672</v>
      </c>
      <c r="AW312" s="90"/>
      <c r="AX312" s="90"/>
      <c r="AY312" s="90"/>
      <c r="AZ312" s="90"/>
      <c r="BA312" s="90"/>
      <c r="BB312" s="90"/>
      <c r="BC312" s="90"/>
      <c r="BD312" s="90"/>
      <c r="BE312" s="90"/>
      <c r="BF312" s="90"/>
      <c r="BG312" s="90"/>
    </row>
    <row r="313" ht="12.75" customHeight="1">
      <c r="A313" s="316"/>
      <c r="B313" s="67"/>
      <c r="C313" s="90"/>
      <c r="D313" s="90" t="s">
        <v>713</v>
      </c>
      <c r="E313" s="90"/>
      <c r="F313" s="90"/>
      <c r="G313" s="99"/>
      <c r="H313" s="99"/>
      <c r="I313" s="99"/>
      <c r="J313" s="99">
        <v>0.0</v>
      </c>
      <c r="K313" s="99">
        <v>19972.5</v>
      </c>
      <c r="L313" s="99">
        <f t="shared" ref="L313:AV313" si="206">L151*L172</f>
        <v>21600</v>
      </c>
      <c r="M313" s="99">
        <f t="shared" si="206"/>
        <v>22032</v>
      </c>
      <c r="N313" s="99">
        <f t="shared" si="206"/>
        <v>22472.64</v>
      </c>
      <c r="O313" s="99">
        <f t="shared" si="206"/>
        <v>22922.0928</v>
      </c>
      <c r="P313" s="99">
        <f t="shared" si="206"/>
        <v>23380.53466</v>
      </c>
      <c r="Q313" s="99">
        <f t="shared" si="206"/>
        <v>23848.14535</v>
      </c>
      <c r="R313" s="99">
        <f t="shared" si="206"/>
        <v>24325.10826</v>
      </c>
      <c r="S313" s="99">
        <f t="shared" si="206"/>
        <v>24811.61042</v>
      </c>
      <c r="T313" s="99">
        <f t="shared" si="206"/>
        <v>25307.84263</v>
      </c>
      <c r="U313" s="99">
        <f t="shared" si="206"/>
        <v>25813.99948</v>
      </c>
      <c r="V313" s="99">
        <f t="shared" si="206"/>
        <v>26330.27947</v>
      </c>
      <c r="W313" s="99">
        <f t="shared" si="206"/>
        <v>26856.88506</v>
      </c>
      <c r="X313" s="99">
        <f t="shared" si="206"/>
        <v>27394.02276</v>
      </c>
      <c r="Y313" s="99">
        <f t="shared" si="206"/>
        <v>27941.90322</v>
      </c>
      <c r="Z313" s="99">
        <f t="shared" si="206"/>
        <v>28500.74128</v>
      </c>
      <c r="AA313" s="99">
        <f t="shared" si="206"/>
        <v>29070.75611</v>
      </c>
      <c r="AB313" s="99">
        <f t="shared" si="206"/>
        <v>29652.17123</v>
      </c>
      <c r="AC313" s="99">
        <f t="shared" si="206"/>
        <v>30245.21465</v>
      </c>
      <c r="AD313" s="99">
        <f t="shared" si="206"/>
        <v>30850.11895</v>
      </c>
      <c r="AE313" s="99">
        <f t="shared" si="206"/>
        <v>31467.12133</v>
      </c>
      <c r="AF313" s="99">
        <f t="shared" si="206"/>
        <v>32096.46375</v>
      </c>
      <c r="AG313" s="99">
        <f t="shared" si="206"/>
        <v>32738.39303</v>
      </c>
      <c r="AH313" s="99">
        <f t="shared" si="206"/>
        <v>33393.16089</v>
      </c>
      <c r="AI313" s="99">
        <f t="shared" si="206"/>
        <v>34061.02411</v>
      </c>
      <c r="AJ313" s="99">
        <f t="shared" si="206"/>
        <v>34742.24459</v>
      </c>
      <c r="AK313" s="99">
        <f t="shared" si="206"/>
        <v>35437.08948</v>
      </c>
      <c r="AL313" s="99">
        <f t="shared" si="206"/>
        <v>36145.83127</v>
      </c>
      <c r="AM313" s="99">
        <f t="shared" si="206"/>
        <v>36868.7479</v>
      </c>
      <c r="AN313" s="99">
        <f t="shared" si="206"/>
        <v>37606.12285</v>
      </c>
      <c r="AO313" s="99">
        <f t="shared" si="206"/>
        <v>38358.24531</v>
      </c>
      <c r="AP313" s="99">
        <f t="shared" si="206"/>
        <v>39125.41022</v>
      </c>
      <c r="AQ313" s="99">
        <f t="shared" si="206"/>
        <v>39907.91842</v>
      </c>
      <c r="AR313" s="99">
        <f t="shared" si="206"/>
        <v>40706.07679</v>
      </c>
      <c r="AS313" s="99">
        <f t="shared" si="206"/>
        <v>41520.19833</v>
      </c>
      <c r="AT313" s="99">
        <f t="shared" si="206"/>
        <v>42350.60229</v>
      </c>
      <c r="AU313" s="99">
        <f t="shared" si="206"/>
        <v>43197.61434</v>
      </c>
      <c r="AV313" s="99">
        <f t="shared" si="206"/>
        <v>44061.56662</v>
      </c>
      <c r="AW313" s="90"/>
      <c r="AX313" s="90"/>
      <c r="AY313" s="90"/>
      <c r="AZ313" s="90"/>
      <c r="BA313" s="90"/>
      <c r="BB313" s="90"/>
      <c r="BC313" s="90"/>
      <c r="BD313" s="90"/>
      <c r="BE313" s="90"/>
      <c r="BF313" s="90"/>
      <c r="BG313" s="90"/>
    </row>
    <row r="314" ht="12.75" customHeight="1">
      <c r="A314" s="316"/>
      <c r="B314" s="67"/>
      <c r="C314" s="87"/>
      <c r="D314" s="87" t="s">
        <v>714</v>
      </c>
      <c r="E314" s="87"/>
      <c r="F314" s="87"/>
      <c r="G314" s="125"/>
      <c r="H314" s="125"/>
      <c r="I314" s="125"/>
      <c r="J314" s="125">
        <f t="shared" ref="J314:AV314" si="207">J152*J173</f>
        <v>0</v>
      </c>
      <c r="K314" s="125">
        <f t="shared" si="207"/>
        <v>0</v>
      </c>
      <c r="L314" s="125">
        <f t="shared" si="207"/>
        <v>39600</v>
      </c>
      <c r="M314" s="125">
        <f t="shared" si="207"/>
        <v>40392</v>
      </c>
      <c r="N314" s="125">
        <f t="shared" si="207"/>
        <v>41199.84</v>
      </c>
      <c r="O314" s="125">
        <f t="shared" si="207"/>
        <v>42023.8368</v>
      </c>
      <c r="P314" s="125">
        <f t="shared" si="207"/>
        <v>42864.31354</v>
      </c>
      <c r="Q314" s="125">
        <f t="shared" si="207"/>
        <v>43721.59981</v>
      </c>
      <c r="R314" s="125">
        <f t="shared" si="207"/>
        <v>44596.0318</v>
      </c>
      <c r="S314" s="125">
        <f t="shared" si="207"/>
        <v>45487.95244</v>
      </c>
      <c r="T314" s="125">
        <f t="shared" si="207"/>
        <v>46397.71149</v>
      </c>
      <c r="U314" s="125">
        <f t="shared" si="207"/>
        <v>47325.66572</v>
      </c>
      <c r="V314" s="125">
        <f t="shared" si="207"/>
        <v>48272.17903</v>
      </c>
      <c r="W314" s="125">
        <f t="shared" si="207"/>
        <v>49237.62261</v>
      </c>
      <c r="X314" s="125">
        <f t="shared" si="207"/>
        <v>50222.37506</v>
      </c>
      <c r="Y314" s="125">
        <f t="shared" si="207"/>
        <v>51226.82257</v>
      </c>
      <c r="Z314" s="125">
        <f t="shared" si="207"/>
        <v>52251.35902</v>
      </c>
      <c r="AA314" s="125">
        <f t="shared" si="207"/>
        <v>53296.3862</v>
      </c>
      <c r="AB314" s="125">
        <f t="shared" si="207"/>
        <v>54362.31392</v>
      </c>
      <c r="AC314" s="125">
        <f t="shared" si="207"/>
        <v>55449.5602</v>
      </c>
      <c r="AD314" s="125">
        <f t="shared" si="207"/>
        <v>56558.5514</v>
      </c>
      <c r="AE314" s="125">
        <f t="shared" si="207"/>
        <v>57689.72243</v>
      </c>
      <c r="AF314" s="125">
        <f t="shared" si="207"/>
        <v>58843.51688</v>
      </c>
      <c r="AG314" s="125">
        <f t="shared" si="207"/>
        <v>60020.38722</v>
      </c>
      <c r="AH314" s="125">
        <f t="shared" si="207"/>
        <v>61220.79496</v>
      </c>
      <c r="AI314" s="125">
        <f t="shared" si="207"/>
        <v>62445.21086</v>
      </c>
      <c r="AJ314" s="125">
        <f t="shared" si="207"/>
        <v>63694.11508</v>
      </c>
      <c r="AK314" s="125">
        <f t="shared" si="207"/>
        <v>64967.99738</v>
      </c>
      <c r="AL314" s="125">
        <f t="shared" si="207"/>
        <v>66267.35733</v>
      </c>
      <c r="AM314" s="125">
        <f t="shared" si="207"/>
        <v>67592.70447</v>
      </c>
      <c r="AN314" s="125">
        <f t="shared" si="207"/>
        <v>68944.55856</v>
      </c>
      <c r="AO314" s="125">
        <f t="shared" si="207"/>
        <v>70323.44974</v>
      </c>
      <c r="AP314" s="125">
        <f t="shared" si="207"/>
        <v>71729.91873</v>
      </c>
      <c r="AQ314" s="125">
        <f t="shared" si="207"/>
        <v>73164.51711</v>
      </c>
      <c r="AR314" s="125">
        <f t="shared" si="207"/>
        <v>74627.80745</v>
      </c>
      <c r="AS314" s="125">
        <f t="shared" si="207"/>
        <v>76120.3636</v>
      </c>
      <c r="AT314" s="125">
        <f t="shared" si="207"/>
        <v>77642.77087</v>
      </c>
      <c r="AU314" s="125">
        <f t="shared" si="207"/>
        <v>79195.62629</v>
      </c>
      <c r="AV314" s="125">
        <f t="shared" si="207"/>
        <v>80779.53881</v>
      </c>
      <c r="AW314" s="87"/>
      <c r="AX314" s="90"/>
      <c r="AY314" s="90"/>
      <c r="AZ314" s="90"/>
      <c r="BA314" s="90"/>
      <c r="BB314" s="90"/>
      <c r="BC314" s="90"/>
      <c r="BD314" s="90"/>
      <c r="BE314" s="90"/>
      <c r="BF314" s="90"/>
      <c r="BG314" s="90"/>
    </row>
    <row r="315" ht="12.75" customHeight="1">
      <c r="A315" s="316"/>
      <c r="B315" s="67"/>
      <c r="C315" s="90" t="s">
        <v>806</v>
      </c>
      <c r="D315" s="90"/>
      <c r="E315" s="90"/>
      <c r="F315" s="90"/>
      <c r="G315" s="99"/>
      <c r="H315" s="99"/>
      <c r="I315" s="99">
        <f t="shared" ref="I315:AV315" si="208">SUM(I311:I314)</f>
        <v>0</v>
      </c>
      <c r="J315" s="99">
        <f t="shared" si="208"/>
        <v>8936.36</v>
      </c>
      <c r="K315" s="99">
        <f t="shared" si="208"/>
        <v>118803.74</v>
      </c>
      <c r="L315" s="99">
        <f t="shared" si="208"/>
        <v>159200</v>
      </c>
      <c r="M315" s="99">
        <f t="shared" si="208"/>
        <v>162384</v>
      </c>
      <c r="N315" s="99">
        <f t="shared" si="208"/>
        <v>165631.68</v>
      </c>
      <c r="O315" s="99">
        <f t="shared" si="208"/>
        <v>168944.3136</v>
      </c>
      <c r="P315" s="99">
        <f t="shared" si="208"/>
        <v>172323.1999</v>
      </c>
      <c r="Q315" s="99">
        <f t="shared" si="208"/>
        <v>175769.6639</v>
      </c>
      <c r="R315" s="99">
        <f t="shared" si="208"/>
        <v>179285.0571</v>
      </c>
      <c r="S315" s="99">
        <f t="shared" si="208"/>
        <v>182870.7583</v>
      </c>
      <c r="T315" s="99">
        <f t="shared" si="208"/>
        <v>186528.1735</v>
      </c>
      <c r="U315" s="99">
        <f t="shared" si="208"/>
        <v>190258.7369</v>
      </c>
      <c r="V315" s="99">
        <f t="shared" si="208"/>
        <v>194063.9117</v>
      </c>
      <c r="W315" s="99">
        <f t="shared" si="208"/>
        <v>197945.1899</v>
      </c>
      <c r="X315" s="99">
        <f t="shared" si="208"/>
        <v>201904.0937</v>
      </c>
      <c r="Y315" s="99">
        <f t="shared" si="208"/>
        <v>205942.1756</v>
      </c>
      <c r="Z315" s="99">
        <f t="shared" si="208"/>
        <v>210061.0191</v>
      </c>
      <c r="AA315" s="99">
        <f t="shared" si="208"/>
        <v>214262.2395</v>
      </c>
      <c r="AB315" s="99">
        <f t="shared" si="208"/>
        <v>218547.4843</v>
      </c>
      <c r="AC315" s="99">
        <f t="shared" si="208"/>
        <v>222918.4339</v>
      </c>
      <c r="AD315" s="99">
        <f t="shared" si="208"/>
        <v>227376.8026</v>
      </c>
      <c r="AE315" s="99">
        <f t="shared" si="208"/>
        <v>231924.3387</v>
      </c>
      <c r="AF315" s="99">
        <f t="shared" si="208"/>
        <v>236562.8254</v>
      </c>
      <c r="AG315" s="99">
        <f t="shared" si="208"/>
        <v>241294.0819</v>
      </c>
      <c r="AH315" s="99">
        <f t="shared" si="208"/>
        <v>246119.9636</v>
      </c>
      <c r="AI315" s="99">
        <f t="shared" si="208"/>
        <v>251042.3629</v>
      </c>
      <c r="AJ315" s="99">
        <f t="shared" si="208"/>
        <v>256063.2101</v>
      </c>
      <c r="AK315" s="99">
        <f t="shared" si="208"/>
        <v>261184.4743</v>
      </c>
      <c r="AL315" s="99">
        <f t="shared" si="208"/>
        <v>266408.1638</v>
      </c>
      <c r="AM315" s="99">
        <f t="shared" si="208"/>
        <v>271736.3271</v>
      </c>
      <c r="AN315" s="99">
        <f t="shared" si="208"/>
        <v>277171.0536</v>
      </c>
      <c r="AO315" s="99">
        <f t="shared" si="208"/>
        <v>282714.4747</v>
      </c>
      <c r="AP315" s="99">
        <f t="shared" si="208"/>
        <v>288368.7642</v>
      </c>
      <c r="AQ315" s="99">
        <f t="shared" si="208"/>
        <v>294136.1395</v>
      </c>
      <c r="AR315" s="99">
        <f t="shared" si="208"/>
        <v>300018.8623</v>
      </c>
      <c r="AS315" s="99">
        <f t="shared" si="208"/>
        <v>306019.2395</v>
      </c>
      <c r="AT315" s="99">
        <f t="shared" si="208"/>
        <v>312139.6243</v>
      </c>
      <c r="AU315" s="99">
        <f t="shared" si="208"/>
        <v>318382.4168</v>
      </c>
      <c r="AV315" s="99">
        <f t="shared" si="208"/>
        <v>324750.0651</v>
      </c>
      <c r="AW315" s="90"/>
      <c r="AX315" s="90"/>
      <c r="AY315" s="90"/>
      <c r="AZ315" s="90"/>
      <c r="BA315" s="90"/>
      <c r="BB315" s="90"/>
      <c r="BC315" s="90"/>
      <c r="BD315" s="90"/>
      <c r="BE315" s="90"/>
      <c r="BF315" s="90"/>
      <c r="BG315" s="90"/>
    </row>
    <row r="316" ht="12.75" customHeight="1">
      <c r="A316" s="316"/>
      <c r="B316" s="67"/>
      <c r="C316" s="90"/>
      <c r="D316" s="90"/>
      <c r="E316" s="90"/>
      <c r="F316" s="90"/>
      <c r="G316" s="99"/>
      <c r="H316" s="99"/>
      <c r="I316" s="99"/>
      <c r="J316" s="99"/>
      <c r="K316" s="99"/>
      <c r="L316" s="99"/>
      <c r="M316" s="99"/>
      <c r="N316" s="99"/>
      <c r="O316" s="99"/>
      <c r="P316" s="99"/>
      <c r="Q316" s="99"/>
      <c r="R316" s="99"/>
      <c r="S316" s="99"/>
      <c r="T316" s="99"/>
      <c r="U316" s="99"/>
      <c r="V316" s="99"/>
      <c r="W316" s="99"/>
      <c r="X316" s="99"/>
      <c r="Y316" s="99"/>
      <c r="Z316" s="99"/>
      <c r="AA316" s="99"/>
      <c r="AB316" s="99"/>
      <c r="AC316" s="99"/>
      <c r="AD316" s="99"/>
      <c r="AE316" s="99"/>
      <c r="AF316" s="99"/>
      <c r="AG316" s="99"/>
      <c r="AH316" s="99"/>
      <c r="AI316" s="99"/>
      <c r="AJ316" s="99"/>
      <c r="AK316" s="99"/>
      <c r="AL316" s="99"/>
      <c r="AM316" s="99"/>
      <c r="AN316" s="99"/>
      <c r="AO316" s="99"/>
      <c r="AP316" s="99"/>
      <c r="AQ316" s="99"/>
      <c r="AR316" s="99"/>
      <c r="AS316" s="99"/>
      <c r="AT316" s="99"/>
      <c r="AU316" s="99"/>
      <c r="AV316" s="99"/>
      <c r="AW316" s="90"/>
      <c r="AX316" s="90"/>
      <c r="AY316" s="90"/>
      <c r="AZ316" s="90"/>
      <c r="BA316" s="90"/>
      <c r="BB316" s="90"/>
      <c r="BC316" s="90"/>
      <c r="BD316" s="90"/>
      <c r="BE316" s="90"/>
      <c r="BF316" s="90"/>
      <c r="BG316" s="90"/>
    </row>
    <row r="317" ht="12.75" customHeight="1">
      <c r="A317" s="316"/>
      <c r="B317" s="67"/>
      <c r="C317" s="90" t="s">
        <v>807</v>
      </c>
      <c r="D317" s="90"/>
      <c r="E317" s="90"/>
      <c r="F317" s="90"/>
      <c r="G317" s="99"/>
      <c r="H317" s="99"/>
      <c r="I317" s="99"/>
      <c r="J317" s="99">
        <v>0.0</v>
      </c>
      <c r="K317" s="99">
        <v>103001.356666667</v>
      </c>
      <c r="L317" s="99">
        <f t="shared" ref="L317:AV317" si="209">SUM(L308+L315)*L176*L177+L178</f>
        <v>131786.6667</v>
      </c>
      <c r="M317" s="99">
        <f t="shared" si="209"/>
        <v>140338.4</v>
      </c>
      <c r="N317" s="99">
        <f t="shared" si="209"/>
        <v>143145.168</v>
      </c>
      <c r="O317" s="99">
        <f t="shared" si="209"/>
        <v>134732.7364</v>
      </c>
      <c r="P317" s="99">
        <f t="shared" si="209"/>
        <v>137427.3911</v>
      </c>
      <c r="Q317" s="99">
        <f t="shared" si="209"/>
        <v>116714.2218</v>
      </c>
      <c r="R317" s="99">
        <f t="shared" si="209"/>
        <v>119048.5063</v>
      </c>
      <c r="S317" s="99">
        <f t="shared" si="209"/>
        <v>121429.4764</v>
      </c>
      <c r="T317" s="99">
        <f t="shared" si="209"/>
        <v>123858.0659</v>
      </c>
      <c r="U317" s="99">
        <f t="shared" si="209"/>
        <v>126335.2273</v>
      </c>
      <c r="V317" s="99">
        <f t="shared" si="209"/>
        <v>128861.9318</v>
      </c>
      <c r="W317" s="99">
        <f t="shared" si="209"/>
        <v>131439.1704</v>
      </c>
      <c r="X317" s="99">
        <f t="shared" si="209"/>
        <v>134067.9538</v>
      </c>
      <c r="Y317" s="99">
        <f t="shared" si="209"/>
        <v>136749.3129</v>
      </c>
      <c r="Z317" s="99">
        <f t="shared" si="209"/>
        <v>139484.2992</v>
      </c>
      <c r="AA317" s="99">
        <f t="shared" si="209"/>
        <v>142273.9852</v>
      </c>
      <c r="AB317" s="99">
        <f t="shared" si="209"/>
        <v>145119.4649</v>
      </c>
      <c r="AC317" s="99">
        <f t="shared" si="209"/>
        <v>148021.8542</v>
      </c>
      <c r="AD317" s="99">
        <f t="shared" si="209"/>
        <v>150982.2912</v>
      </c>
      <c r="AE317" s="99">
        <f t="shared" si="209"/>
        <v>154001.9371</v>
      </c>
      <c r="AF317" s="99">
        <f t="shared" si="209"/>
        <v>157081.9758</v>
      </c>
      <c r="AG317" s="99">
        <f t="shared" si="209"/>
        <v>160223.6153</v>
      </c>
      <c r="AH317" s="99">
        <f t="shared" si="209"/>
        <v>163428.0876</v>
      </c>
      <c r="AI317" s="99">
        <f t="shared" si="209"/>
        <v>166696.6494</v>
      </c>
      <c r="AJ317" s="99">
        <f t="shared" si="209"/>
        <v>170030.5824</v>
      </c>
      <c r="AK317" s="99">
        <f t="shared" si="209"/>
        <v>173431.194</v>
      </c>
      <c r="AL317" s="99">
        <f t="shared" si="209"/>
        <v>176899.8179</v>
      </c>
      <c r="AM317" s="99">
        <f t="shared" si="209"/>
        <v>180437.8143</v>
      </c>
      <c r="AN317" s="99">
        <f t="shared" si="209"/>
        <v>184046.5705</v>
      </c>
      <c r="AO317" s="99">
        <f t="shared" si="209"/>
        <v>187727.502</v>
      </c>
      <c r="AP317" s="99">
        <f t="shared" si="209"/>
        <v>191482.052</v>
      </c>
      <c r="AQ317" s="99">
        <f t="shared" si="209"/>
        <v>195311.693</v>
      </c>
      <c r="AR317" s="99">
        <f t="shared" si="209"/>
        <v>199217.9269</v>
      </c>
      <c r="AS317" s="99">
        <f t="shared" si="209"/>
        <v>203202.2854</v>
      </c>
      <c r="AT317" s="99">
        <f t="shared" si="209"/>
        <v>207266.3311</v>
      </c>
      <c r="AU317" s="99">
        <f t="shared" si="209"/>
        <v>211411.6578</v>
      </c>
      <c r="AV317" s="99">
        <f t="shared" si="209"/>
        <v>215639.8909</v>
      </c>
      <c r="AW317" s="90"/>
      <c r="AX317" s="90"/>
      <c r="AY317" s="90"/>
      <c r="AZ317" s="90"/>
      <c r="BA317" s="90"/>
      <c r="BB317" s="90"/>
      <c r="BC317" s="90"/>
      <c r="BD317" s="90"/>
      <c r="BE317" s="90"/>
      <c r="BF317" s="90"/>
      <c r="BG317" s="90"/>
    </row>
    <row r="318" ht="12.75" customHeight="1">
      <c r="A318" s="316"/>
      <c r="B318" s="87"/>
      <c r="C318" s="87"/>
      <c r="D318" s="87"/>
      <c r="E318" s="87"/>
      <c r="F318" s="87"/>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c r="AT318" s="125"/>
      <c r="AU318" s="125"/>
      <c r="AV318" s="125"/>
      <c r="AW318" s="87"/>
      <c r="AX318" s="90"/>
      <c r="AY318" s="90"/>
      <c r="AZ318" s="90"/>
      <c r="BA318" s="90"/>
      <c r="BB318" s="90"/>
      <c r="BC318" s="99"/>
      <c r="BD318" s="90"/>
      <c r="BE318" s="90"/>
      <c r="BF318" s="90"/>
      <c r="BG318" s="90"/>
    </row>
    <row r="319" ht="12.75" customHeight="1">
      <c r="A319" s="316"/>
      <c r="B319" s="67" t="s">
        <v>312</v>
      </c>
      <c r="C319" s="90"/>
      <c r="D319" s="90"/>
      <c r="E319" s="90"/>
      <c r="F319" s="90"/>
      <c r="G319" s="79"/>
      <c r="H319" s="79"/>
      <c r="I319" s="79">
        <f t="shared" ref="I319:AV319" si="210">I315+I308+I317</f>
        <v>0</v>
      </c>
      <c r="J319" s="79">
        <f t="shared" si="210"/>
        <v>71800.09</v>
      </c>
      <c r="K319" s="79">
        <f t="shared" si="210"/>
        <v>1012815.04</v>
      </c>
      <c r="L319" s="79">
        <f t="shared" si="210"/>
        <v>1266320</v>
      </c>
      <c r="M319" s="79">
        <f t="shared" si="210"/>
        <v>1356722.4</v>
      </c>
      <c r="N319" s="79">
        <f t="shared" si="210"/>
        <v>1383856.848</v>
      </c>
      <c r="O319" s="79">
        <f t="shared" si="210"/>
        <v>1287505.3</v>
      </c>
      <c r="P319" s="79">
        <f t="shared" si="210"/>
        <v>1313255.406</v>
      </c>
      <c r="Q319" s="79">
        <f t="shared" si="210"/>
        <v>1081441.626</v>
      </c>
      <c r="R319" s="79">
        <f t="shared" si="210"/>
        <v>1103070.459</v>
      </c>
      <c r="S319" s="79">
        <f t="shared" si="210"/>
        <v>1125131.868</v>
      </c>
      <c r="T319" s="79">
        <f t="shared" si="210"/>
        <v>1147634.505</v>
      </c>
      <c r="U319" s="79">
        <f t="shared" si="210"/>
        <v>1170587.196</v>
      </c>
      <c r="V319" s="79">
        <f t="shared" si="210"/>
        <v>1193998.939</v>
      </c>
      <c r="W319" s="79">
        <f t="shared" si="210"/>
        <v>1217878.918</v>
      </c>
      <c r="X319" s="79">
        <f t="shared" si="210"/>
        <v>1242236.497</v>
      </c>
      <c r="Y319" s="79">
        <f t="shared" si="210"/>
        <v>1267081.226</v>
      </c>
      <c r="Z319" s="79">
        <f t="shared" si="210"/>
        <v>1292422.851</v>
      </c>
      <c r="AA319" s="79">
        <f t="shared" si="210"/>
        <v>1318271.308</v>
      </c>
      <c r="AB319" s="79">
        <f t="shared" si="210"/>
        <v>1344636.734</v>
      </c>
      <c r="AC319" s="79">
        <f t="shared" si="210"/>
        <v>1371529.469</v>
      </c>
      <c r="AD319" s="79">
        <f t="shared" si="210"/>
        <v>1398960.058</v>
      </c>
      <c r="AE319" s="79">
        <f t="shared" si="210"/>
        <v>1426939.259</v>
      </c>
      <c r="AF319" s="79">
        <f t="shared" si="210"/>
        <v>1455478.045</v>
      </c>
      <c r="AG319" s="79">
        <f t="shared" si="210"/>
        <v>1484587.606</v>
      </c>
      <c r="AH319" s="79">
        <f t="shared" si="210"/>
        <v>1514279.358</v>
      </c>
      <c r="AI319" s="79">
        <f t="shared" si="210"/>
        <v>1544564.945</v>
      </c>
      <c r="AJ319" s="79">
        <f t="shared" si="210"/>
        <v>1575456.244</v>
      </c>
      <c r="AK319" s="79">
        <f t="shared" si="210"/>
        <v>1606965.369</v>
      </c>
      <c r="AL319" s="79">
        <f t="shared" si="210"/>
        <v>1639104.676</v>
      </c>
      <c r="AM319" s="79">
        <f t="shared" si="210"/>
        <v>1671886.769</v>
      </c>
      <c r="AN319" s="79">
        <f t="shared" si="210"/>
        <v>1705324.505</v>
      </c>
      <c r="AO319" s="79">
        <f t="shared" si="210"/>
        <v>1739430.995</v>
      </c>
      <c r="AP319" s="79">
        <f t="shared" si="210"/>
        <v>1774219.615</v>
      </c>
      <c r="AQ319" s="79">
        <f t="shared" si="210"/>
        <v>1809704.007</v>
      </c>
      <c r="AR319" s="79">
        <f t="shared" si="210"/>
        <v>1845898.087</v>
      </c>
      <c r="AS319" s="79">
        <f t="shared" si="210"/>
        <v>1882816.049</v>
      </c>
      <c r="AT319" s="79">
        <f t="shared" si="210"/>
        <v>1920472.37</v>
      </c>
      <c r="AU319" s="79">
        <f t="shared" si="210"/>
        <v>1958881.817</v>
      </c>
      <c r="AV319" s="79">
        <f t="shared" si="210"/>
        <v>1998059.454</v>
      </c>
      <c r="AW319" s="90"/>
      <c r="AX319" s="90"/>
      <c r="AY319" s="90"/>
      <c r="AZ319" s="90"/>
      <c r="BA319" s="90"/>
      <c r="BB319" s="90"/>
      <c r="BC319" s="90"/>
      <c r="BD319" s="90"/>
      <c r="BE319" s="90"/>
      <c r="BF319" s="90"/>
      <c r="BG319" s="90"/>
    </row>
    <row r="320" ht="12.75" customHeight="1">
      <c r="A320" s="316"/>
      <c r="B320" s="90"/>
      <c r="C320" s="90"/>
      <c r="D320" s="90"/>
      <c r="E320" s="90"/>
      <c r="F320" s="90"/>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c r="AH320" s="91"/>
      <c r="AI320" s="91"/>
      <c r="AJ320" s="91"/>
      <c r="AK320" s="91"/>
      <c r="AL320" s="91"/>
      <c r="AM320" s="91"/>
      <c r="AN320" s="91"/>
      <c r="AO320" s="91"/>
      <c r="AP320" s="91"/>
      <c r="AQ320" s="91"/>
      <c r="AR320" s="91"/>
      <c r="AS320" s="91"/>
      <c r="AT320" s="91"/>
      <c r="AU320" s="91"/>
      <c r="AV320" s="91"/>
      <c r="AW320" s="90"/>
      <c r="AX320" s="90"/>
      <c r="AY320" s="90"/>
      <c r="AZ320" s="90"/>
      <c r="BA320" s="90"/>
      <c r="BB320" s="90"/>
      <c r="BC320" s="90"/>
      <c r="BD320" s="90"/>
      <c r="BE320" s="90"/>
      <c r="BF320" s="90"/>
      <c r="BG320" s="90"/>
    </row>
    <row r="321" ht="12.75" customHeight="1">
      <c r="A321" s="316"/>
      <c r="B321" s="67" t="s">
        <v>808</v>
      </c>
      <c r="C321" s="90"/>
      <c r="D321" s="90"/>
      <c r="E321" s="90"/>
      <c r="F321" s="90"/>
      <c r="G321" s="90"/>
      <c r="H321" s="90"/>
      <c r="I321" s="90"/>
      <c r="J321" s="90"/>
      <c r="K321" s="90"/>
      <c r="L321" s="90"/>
      <c r="M321" s="383"/>
      <c r="N321" s="90"/>
      <c r="O321" s="90"/>
      <c r="P321" s="90"/>
      <c r="Q321" s="90"/>
      <c r="R321" s="90"/>
      <c r="S321" s="90"/>
      <c r="T321" s="90"/>
      <c r="U321" s="90"/>
      <c r="V321" s="90"/>
      <c r="W321" s="90"/>
      <c r="X321" s="90"/>
      <c r="Y321" s="90"/>
      <c r="Z321" s="90"/>
      <c r="AA321" s="90"/>
      <c r="AB321" s="90"/>
      <c r="AC321" s="90"/>
      <c r="AD321" s="90"/>
      <c r="AE321" s="90"/>
      <c r="AF321" s="90"/>
      <c r="AG321" s="90"/>
      <c r="AH321" s="90"/>
      <c r="AI321" s="90"/>
      <c r="AJ321" s="90"/>
      <c r="AK321" s="90"/>
      <c r="AL321" s="90"/>
      <c r="AM321" s="90"/>
      <c r="AN321" s="90"/>
      <c r="AO321" s="90"/>
      <c r="AP321" s="90"/>
      <c r="AQ321" s="90"/>
      <c r="AR321" s="90"/>
      <c r="AS321" s="90"/>
      <c r="AT321" s="90"/>
      <c r="AU321" s="90"/>
      <c r="AV321" s="90"/>
      <c r="AW321" s="90"/>
      <c r="AX321" s="90"/>
      <c r="AY321" s="90"/>
      <c r="AZ321" s="90"/>
      <c r="BA321" s="90"/>
      <c r="BB321" s="90"/>
      <c r="BC321" s="90"/>
      <c r="BD321" s="90"/>
      <c r="BE321" s="90"/>
      <c r="BF321" s="90"/>
      <c r="BG321" s="90"/>
    </row>
    <row r="322" ht="12.75" customHeight="1">
      <c r="A322" s="316"/>
      <c r="B322" s="90"/>
      <c r="C322" s="90" t="s">
        <v>809</v>
      </c>
      <c r="D322" s="90"/>
      <c r="E322" s="90"/>
      <c r="F322" s="90"/>
      <c r="G322" s="99"/>
      <c r="H322" s="99"/>
      <c r="I322" s="99"/>
      <c r="J322" s="99">
        <f>'FY09 P&amp;L'!C120</f>
        <v>6990.61</v>
      </c>
      <c r="K322" s="99">
        <v>91510.25</v>
      </c>
      <c r="L322" s="99">
        <f t="shared" ref="L322:AV322" si="211">L182*L183</f>
        <v>144000</v>
      </c>
      <c r="M322" s="99">
        <f t="shared" si="211"/>
        <v>151200</v>
      </c>
      <c r="N322" s="99">
        <f t="shared" si="211"/>
        <v>151200</v>
      </c>
      <c r="O322" s="99">
        <f t="shared" si="211"/>
        <v>138168</v>
      </c>
      <c r="P322" s="99">
        <f t="shared" si="211"/>
        <v>139549.68</v>
      </c>
      <c r="Q322" s="99">
        <f t="shared" si="211"/>
        <v>111272.508</v>
      </c>
      <c r="R322" s="99">
        <f t="shared" si="211"/>
        <v>112385.2331</v>
      </c>
      <c r="S322" s="99">
        <f t="shared" si="211"/>
        <v>113509.0854</v>
      </c>
      <c r="T322" s="99">
        <f t="shared" si="211"/>
        <v>114644.1763</v>
      </c>
      <c r="U322" s="99">
        <f t="shared" si="211"/>
        <v>115790.618</v>
      </c>
      <c r="V322" s="99">
        <f t="shared" si="211"/>
        <v>116948.5242</v>
      </c>
      <c r="W322" s="99">
        <f t="shared" si="211"/>
        <v>118118.0094</v>
      </c>
      <c r="X322" s="99">
        <f t="shared" si="211"/>
        <v>119299.1895</v>
      </c>
      <c r="Y322" s="99">
        <f t="shared" si="211"/>
        <v>120492.1814</v>
      </c>
      <c r="Z322" s="99">
        <f t="shared" si="211"/>
        <v>121697.1033</v>
      </c>
      <c r="AA322" s="99">
        <f t="shared" si="211"/>
        <v>122914.0743</v>
      </c>
      <c r="AB322" s="99">
        <f t="shared" si="211"/>
        <v>124143.215</v>
      </c>
      <c r="AC322" s="99">
        <f t="shared" si="211"/>
        <v>125384.6472</v>
      </c>
      <c r="AD322" s="99">
        <f t="shared" si="211"/>
        <v>126638.4937</v>
      </c>
      <c r="AE322" s="99">
        <f t="shared" si="211"/>
        <v>127904.8786</v>
      </c>
      <c r="AF322" s="99">
        <f t="shared" si="211"/>
        <v>129183.9274</v>
      </c>
      <c r="AG322" s="99">
        <f t="shared" si="211"/>
        <v>130475.7666</v>
      </c>
      <c r="AH322" s="99">
        <f t="shared" si="211"/>
        <v>131780.5243</v>
      </c>
      <c r="AI322" s="99">
        <f t="shared" si="211"/>
        <v>133098.3296</v>
      </c>
      <c r="AJ322" s="99">
        <f t="shared" si="211"/>
        <v>134429.3129</v>
      </c>
      <c r="AK322" s="99">
        <f t="shared" si="211"/>
        <v>135773.606</v>
      </c>
      <c r="AL322" s="99">
        <f t="shared" si="211"/>
        <v>137131.342</v>
      </c>
      <c r="AM322" s="99">
        <f t="shared" si="211"/>
        <v>138502.6555</v>
      </c>
      <c r="AN322" s="99">
        <f t="shared" si="211"/>
        <v>139887.682</v>
      </c>
      <c r="AO322" s="99">
        <f t="shared" si="211"/>
        <v>141286.5588</v>
      </c>
      <c r="AP322" s="99">
        <f t="shared" si="211"/>
        <v>142699.4244</v>
      </c>
      <c r="AQ322" s="99">
        <f t="shared" si="211"/>
        <v>144126.4187</v>
      </c>
      <c r="AR322" s="99">
        <f t="shared" si="211"/>
        <v>145567.6829</v>
      </c>
      <c r="AS322" s="99">
        <f t="shared" si="211"/>
        <v>147023.3597</v>
      </c>
      <c r="AT322" s="99">
        <f t="shared" si="211"/>
        <v>148493.5933</v>
      </c>
      <c r="AU322" s="99">
        <f t="shared" si="211"/>
        <v>149978.5292</v>
      </c>
      <c r="AV322" s="99">
        <f t="shared" si="211"/>
        <v>151478.3145</v>
      </c>
      <c r="AW322" s="90"/>
      <c r="AX322" s="90"/>
      <c r="AY322" s="90"/>
      <c r="AZ322" s="90"/>
      <c r="BA322" s="90"/>
      <c r="BB322" s="90"/>
      <c r="BC322" s="90"/>
      <c r="BD322" s="90"/>
      <c r="BE322" s="90"/>
      <c r="BF322" s="90"/>
      <c r="BG322" s="90"/>
    </row>
    <row r="323" ht="12.75" customHeight="1">
      <c r="A323" s="316"/>
      <c r="B323" s="90"/>
      <c r="C323" s="90" t="s">
        <v>731</v>
      </c>
      <c r="D323" s="90"/>
      <c r="E323" s="90"/>
      <c r="F323" s="90"/>
      <c r="G323" s="99"/>
      <c r="H323" s="99"/>
      <c r="I323" s="99"/>
      <c r="J323" s="99">
        <f>'FY09 P&amp;L'!C128</f>
        <v>1258.31</v>
      </c>
      <c r="K323" s="99">
        <v>17949.54</v>
      </c>
      <c r="L323" s="99">
        <f t="shared" ref="L323:AV323" si="212">L184*L$319</f>
        <v>20261.12</v>
      </c>
      <c r="M323" s="99">
        <f t="shared" si="212"/>
        <v>21707.5584</v>
      </c>
      <c r="N323" s="99">
        <f t="shared" si="212"/>
        <v>22141.70957</v>
      </c>
      <c r="O323" s="99">
        <f t="shared" si="212"/>
        <v>20600.0848</v>
      </c>
      <c r="P323" s="99">
        <f t="shared" si="212"/>
        <v>21012.0865</v>
      </c>
      <c r="Q323" s="99">
        <f t="shared" si="212"/>
        <v>17303.06602</v>
      </c>
      <c r="R323" s="99">
        <f t="shared" si="212"/>
        <v>17649.12734</v>
      </c>
      <c r="S323" s="99">
        <f t="shared" si="212"/>
        <v>18002.10989</v>
      </c>
      <c r="T323" s="99">
        <f t="shared" si="212"/>
        <v>18362.15209</v>
      </c>
      <c r="U323" s="99">
        <f t="shared" si="212"/>
        <v>18729.39513</v>
      </c>
      <c r="V323" s="99">
        <f t="shared" si="212"/>
        <v>19103.98303</v>
      </c>
      <c r="W323" s="99">
        <f t="shared" si="212"/>
        <v>19486.06269</v>
      </c>
      <c r="X323" s="99">
        <f t="shared" si="212"/>
        <v>19875.78395</v>
      </c>
      <c r="Y323" s="99">
        <f t="shared" si="212"/>
        <v>20273.29962</v>
      </c>
      <c r="Z323" s="99">
        <f t="shared" si="212"/>
        <v>20678.76562</v>
      </c>
      <c r="AA323" s="99">
        <f t="shared" si="212"/>
        <v>21092.34093</v>
      </c>
      <c r="AB323" s="99">
        <f t="shared" si="212"/>
        <v>21514.18775</v>
      </c>
      <c r="AC323" s="99">
        <f t="shared" si="212"/>
        <v>21944.4715</v>
      </c>
      <c r="AD323" s="99">
        <f t="shared" si="212"/>
        <v>22383.36093</v>
      </c>
      <c r="AE323" s="99">
        <f t="shared" si="212"/>
        <v>22831.02815</v>
      </c>
      <c r="AF323" s="99">
        <f t="shared" si="212"/>
        <v>23287.64871</v>
      </c>
      <c r="AG323" s="99">
        <f t="shared" si="212"/>
        <v>23753.40169</v>
      </c>
      <c r="AH323" s="99">
        <f t="shared" si="212"/>
        <v>24228.46972</v>
      </c>
      <c r="AI323" s="99">
        <f t="shared" si="212"/>
        <v>24713.03912</v>
      </c>
      <c r="AJ323" s="99">
        <f t="shared" si="212"/>
        <v>25207.2999</v>
      </c>
      <c r="AK323" s="99">
        <f t="shared" si="212"/>
        <v>25711.4459</v>
      </c>
      <c r="AL323" s="99">
        <f t="shared" si="212"/>
        <v>26225.67481</v>
      </c>
      <c r="AM323" s="99">
        <f t="shared" si="212"/>
        <v>26750.18831</v>
      </c>
      <c r="AN323" s="99">
        <f t="shared" si="212"/>
        <v>27285.19208</v>
      </c>
      <c r="AO323" s="99">
        <f t="shared" si="212"/>
        <v>27830.89592</v>
      </c>
      <c r="AP323" s="99">
        <f t="shared" si="212"/>
        <v>28387.51384</v>
      </c>
      <c r="AQ323" s="99">
        <f t="shared" si="212"/>
        <v>28955.26411</v>
      </c>
      <c r="AR323" s="99">
        <f t="shared" si="212"/>
        <v>29534.3694</v>
      </c>
      <c r="AS323" s="99">
        <f t="shared" si="212"/>
        <v>30125.05678</v>
      </c>
      <c r="AT323" s="99">
        <f t="shared" si="212"/>
        <v>30727.55792</v>
      </c>
      <c r="AU323" s="99">
        <f t="shared" si="212"/>
        <v>31342.10908</v>
      </c>
      <c r="AV323" s="99">
        <f t="shared" si="212"/>
        <v>0</v>
      </c>
      <c r="AW323" s="90"/>
      <c r="AX323" s="90"/>
      <c r="AY323" s="90"/>
      <c r="AZ323" s="90"/>
      <c r="BA323" s="90"/>
      <c r="BB323" s="90"/>
      <c r="BC323" s="90"/>
      <c r="BD323" s="90"/>
      <c r="BE323" s="90"/>
      <c r="BF323" s="90"/>
      <c r="BG323" s="90"/>
    </row>
    <row r="324" ht="12.75" customHeight="1">
      <c r="A324" s="316"/>
      <c r="B324" s="90"/>
      <c r="C324" s="90" t="s">
        <v>810</v>
      </c>
      <c r="D324" s="90"/>
      <c r="E324" s="90"/>
      <c r="F324" s="90"/>
      <c r="G324" s="99"/>
      <c r="H324" s="99"/>
      <c r="I324" s="99"/>
      <c r="J324" s="99">
        <f>'FY09 P&amp;L'!C124</f>
        <v>209.72</v>
      </c>
      <c r="K324" s="99">
        <v>2990.2</v>
      </c>
      <c r="L324" s="99">
        <f t="shared" ref="L324:AV324" si="213">L185*L$319</f>
        <v>13929.52</v>
      </c>
      <c r="M324" s="99">
        <f t="shared" si="213"/>
        <v>14923.9464</v>
      </c>
      <c r="N324" s="99">
        <f t="shared" si="213"/>
        <v>15222.42533</v>
      </c>
      <c r="O324" s="99">
        <f t="shared" si="213"/>
        <v>14162.5583</v>
      </c>
      <c r="P324" s="99">
        <f t="shared" si="213"/>
        <v>14445.80947</v>
      </c>
      <c r="Q324" s="99">
        <f t="shared" si="213"/>
        <v>11895.85789</v>
      </c>
      <c r="R324" s="99">
        <f t="shared" si="213"/>
        <v>12133.77505</v>
      </c>
      <c r="S324" s="99">
        <f t="shared" si="213"/>
        <v>12376.45055</v>
      </c>
      <c r="T324" s="99">
        <f t="shared" si="213"/>
        <v>12623.97956</v>
      </c>
      <c r="U324" s="99">
        <f t="shared" si="213"/>
        <v>12876.45915</v>
      </c>
      <c r="V324" s="99">
        <f t="shared" si="213"/>
        <v>13133.98833</v>
      </c>
      <c r="W324" s="99">
        <f t="shared" si="213"/>
        <v>13396.6681</v>
      </c>
      <c r="X324" s="99">
        <f t="shared" si="213"/>
        <v>13664.60146</v>
      </c>
      <c r="Y324" s="99">
        <f t="shared" si="213"/>
        <v>13937.89349</v>
      </c>
      <c r="Z324" s="99">
        <f t="shared" si="213"/>
        <v>14216.65136</v>
      </c>
      <c r="AA324" s="99">
        <f t="shared" si="213"/>
        <v>14500.98439</v>
      </c>
      <c r="AB324" s="99">
        <f t="shared" si="213"/>
        <v>14791.00408</v>
      </c>
      <c r="AC324" s="99">
        <f t="shared" si="213"/>
        <v>15086.82416</v>
      </c>
      <c r="AD324" s="99">
        <f t="shared" si="213"/>
        <v>15388.56064</v>
      </c>
      <c r="AE324" s="99">
        <f t="shared" si="213"/>
        <v>15696.33185</v>
      </c>
      <c r="AF324" s="99">
        <f t="shared" si="213"/>
        <v>16010.25849</v>
      </c>
      <c r="AG324" s="99">
        <f t="shared" si="213"/>
        <v>16330.46366</v>
      </c>
      <c r="AH324" s="99">
        <f t="shared" si="213"/>
        <v>16657.07293</v>
      </c>
      <c r="AI324" s="99">
        <f t="shared" si="213"/>
        <v>16990.21439</v>
      </c>
      <c r="AJ324" s="99">
        <f t="shared" si="213"/>
        <v>17330.01868</v>
      </c>
      <c r="AK324" s="99">
        <f t="shared" si="213"/>
        <v>17676.61905</v>
      </c>
      <c r="AL324" s="99">
        <f t="shared" si="213"/>
        <v>18030.15144</v>
      </c>
      <c r="AM324" s="99">
        <f t="shared" si="213"/>
        <v>18390.75446</v>
      </c>
      <c r="AN324" s="99">
        <f t="shared" si="213"/>
        <v>18758.56955</v>
      </c>
      <c r="AO324" s="99">
        <f t="shared" si="213"/>
        <v>19133.74094</v>
      </c>
      <c r="AP324" s="99">
        <f t="shared" si="213"/>
        <v>19516.41576</v>
      </c>
      <c r="AQ324" s="99">
        <f t="shared" si="213"/>
        <v>19906.74408</v>
      </c>
      <c r="AR324" s="99">
        <f t="shared" si="213"/>
        <v>20304.87896</v>
      </c>
      <c r="AS324" s="99">
        <f t="shared" si="213"/>
        <v>20710.97654</v>
      </c>
      <c r="AT324" s="99">
        <f t="shared" si="213"/>
        <v>21125.19607</v>
      </c>
      <c r="AU324" s="99">
        <f t="shared" si="213"/>
        <v>21547.69999</v>
      </c>
      <c r="AV324" s="99">
        <f t="shared" si="213"/>
        <v>0</v>
      </c>
      <c r="AW324" s="90"/>
      <c r="AX324" s="90"/>
      <c r="AY324" s="90"/>
      <c r="AZ324" s="90"/>
      <c r="BA324" s="90"/>
      <c r="BB324" s="90"/>
      <c r="BC324" s="90"/>
      <c r="BD324" s="90"/>
      <c r="BE324" s="90"/>
      <c r="BF324" s="90"/>
      <c r="BG324" s="90"/>
    </row>
    <row r="325" ht="12.75" customHeight="1">
      <c r="A325" s="316"/>
      <c r="B325" s="90"/>
      <c r="C325" s="90" t="s">
        <v>733</v>
      </c>
      <c r="D325" s="90"/>
      <c r="E325" s="90"/>
      <c r="F325" s="90"/>
      <c r="G325" s="99"/>
      <c r="H325" s="99"/>
      <c r="I325" s="99"/>
      <c r="J325" s="99">
        <f>'FY09 P&amp;L'!C116</f>
        <v>1513.63</v>
      </c>
      <c r="K325" s="99">
        <v>27888.17</v>
      </c>
      <c r="L325" s="99">
        <f t="shared" ref="L325:AV325" si="214">L186*L$319</f>
        <v>18361.64</v>
      </c>
      <c r="M325" s="99">
        <f t="shared" si="214"/>
        <v>19672.4748</v>
      </c>
      <c r="N325" s="99">
        <f t="shared" si="214"/>
        <v>20065.9243</v>
      </c>
      <c r="O325" s="99">
        <f t="shared" si="214"/>
        <v>18668.82685</v>
      </c>
      <c r="P325" s="99">
        <f t="shared" si="214"/>
        <v>19042.20339</v>
      </c>
      <c r="Q325" s="99">
        <f t="shared" si="214"/>
        <v>15680.90358</v>
      </c>
      <c r="R325" s="99">
        <f t="shared" si="214"/>
        <v>15994.52165</v>
      </c>
      <c r="S325" s="99">
        <f t="shared" si="214"/>
        <v>16314.41209</v>
      </c>
      <c r="T325" s="99">
        <f t="shared" si="214"/>
        <v>16640.70033</v>
      </c>
      <c r="U325" s="99">
        <f t="shared" si="214"/>
        <v>16973.51433</v>
      </c>
      <c r="V325" s="99">
        <f t="shared" si="214"/>
        <v>17312.98462</v>
      </c>
      <c r="W325" s="99">
        <f t="shared" si="214"/>
        <v>17659.24431</v>
      </c>
      <c r="X325" s="99">
        <f t="shared" si="214"/>
        <v>18012.4292</v>
      </c>
      <c r="Y325" s="99">
        <f t="shared" si="214"/>
        <v>18372.67778</v>
      </c>
      <c r="Z325" s="99">
        <f t="shared" si="214"/>
        <v>18740.13134</v>
      </c>
      <c r="AA325" s="99">
        <f t="shared" si="214"/>
        <v>19114.93397</v>
      </c>
      <c r="AB325" s="99">
        <f t="shared" si="214"/>
        <v>19497.23265</v>
      </c>
      <c r="AC325" s="99">
        <f t="shared" si="214"/>
        <v>19887.1773</v>
      </c>
      <c r="AD325" s="99">
        <f t="shared" si="214"/>
        <v>20284.92084</v>
      </c>
      <c r="AE325" s="99">
        <f t="shared" si="214"/>
        <v>20690.61926</v>
      </c>
      <c r="AF325" s="99">
        <f t="shared" si="214"/>
        <v>21104.43165</v>
      </c>
      <c r="AG325" s="99">
        <f t="shared" si="214"/>
        <v>21526.52028</v>
      </c>
      <c r="AH325" s="99">
        <f t="shared" si="214"/>
        <v>21957.05069</v>
      </c>
      <c r="AI325" s="99">
        <f t="shared" si="214"/>
        <v>22396.1917</v>
      </c>
      <c r="AJ325" s="99">
        <f t="shared" si="214"/>
        <v>22844.11553</v>
      </c>
      <c r="AK325" s="99">
        <f t="shared" si="214"/>
        <v>23300.99784</v>
      </c>
      <c r="AL325" s="99">
        <f t="shared" si="214"/>
        <v>23767.0178</v>
      </c>
      <c r="AM325" s="99">
        <f t="shared" si="214"/>
        <v>24242.35816</v>
      </c>
      <c r="AN325" s="99">
        <f t="shared" si="214"/>
        <v>24727.20532</v>
      </c>
      <c r="AO325" s="99">
        <f t="shared" si="214"/>
        <v>25221.74943</v>
      </c>
      <c r="AP325" s="99">
        <f t="shared" si="214"/>
        <v>25726.18441</v>
      </c>
      <c r="AQ325" s="99">
        <f t="shared" si="214"/>
        <v>26240.7081</v>
      </c>
      <c r="AR325" s="99">
        <f t="shared" si="214"/>
        <v>26765.52227</v>
      </c>
      <c r="AS325" s="99">
        <f t="shared" si="214"/>
        <v>27300.83271</v>
      </c>
      <c r="AT325" s="99">
        <f t="shared" si="214"/>
        <v>27846.84936</v>
      </c>
      <c r="AU325" s="99">
        <f t="shared" si="214"/>
        <v>28403.78635</v>
      </c>
      <c r="AV325" s="99">
        <f t="shared" si="214"/>
        <v>0</v>
      </c>
      <c r="AW325" s="90"/>
      <c r="AX325" s="90"/>
      <c r="AY325" s="90"/>
      <c r="AZ325" s="90"/>
      <c r="BA325" s="90"/>
      <c r="BB325" s="90"/>
      <c r="BC325" s="90"/>
      <c r="BD325" s="90"/>
      <c r="BE325" s="90"/>
      <c r="BF325" s="90"/>
      <c r="BG325" s="90"/>
    </row>
    <row r="326" ht="12.75" customHeight="1">
      <c r="A326" s="316"/>
      <c r="B326" s="90"/>
      <c r="C326" s="90" t="s">
        <v>734</v>
      </c>
      <c r="D326" s="90"/>
      <c r="E326" s="90"/>
      <c r="F326" s="90"/>
      <c r="G326" s="99"/>
      <c r="H326" s="99"/>
      <c r="I326" s="99"/>
      <c r="J326" s="99">
        <f>'FY09 P&amp;L'!C112</f>
        <v>4276.08</v>
      </c>
      <c r="K326" s="99">
        <v>64407.89</v>
      </c>
      <c r="L326" s="99">
        <f t="shared" ref="L326:AV326" si="215">L187*(L308*1.1+L178)</f>
        <v>90024</v>
      </c>
      <c r="M326" s="99">
        <f t="shared" si="215"/>
        <v>97193.25</v>
      </c>
      <c r="N326" s="99">
        <f t="shared" si="215"/>
        <v>99137.115</v>
      </c>
      <c r="O326" s="99">
        <f t="shared" si="215"/>
        <v>90887.49079</v>
      </c>
      <c r="P326" s="99">
        <f t="shared" si="215"/>
        <v>92705.2406</v>
      </c>
      <c r="Q326" s="99">
        <f t="shared" si="215"/>
        <v>73267.83718</v>
      </c>
      <c r="R326" s="99">
        <f t="shared" si="215"/>
        <v>74733.19392</v>
      </c>
      <c r="S326" s="99">
        <f t="shared" si="215"/>
        <v>76227.8578</v>
      </c>
      <c r="T326" s="99">
        <f t="shared" si="215"/>
        <v>77752.41495</v>
      </c>
      <c r="U326" s="99">
        <f t="shared" si="215"/>
        <v>79307.46325</v>
      </c>
      <c r="V326" s="99">
        <f t="shared" si="215"/>
        <v>80893.61252</v>
      </c>
      <c r="W326" s="99">
        <f t="shared" si="215"/>
        <v>82511.48477</v>
      </c>
      <c r="X326" s="99">
        <f t="shared" si="215"/>
        <v>84161.71446</v>
      </c>
      <c r="Y326" s="99">
        <f t="shared" si="215"/>
        <v>85844.94875</v>
      </c>
      <c r="Z326" s="99">
        <f t="shared" si="215"/>
        <v>87561.84773</v>
      </c>
      <c r="AA326" s="99">
        <f t="shared" si="215"/>
        <v>89313.08468</v>
      </c>
      <c r="AB326" s="99">
        <f t="shared" si="215"/>
        <v>91099.34638</v>
      </c>
      <c r="AC326" s="99">
        <f t="shared" si="215"/>
        <v>92921.3333</v>
      </c>
      <c r="AD326" s="99">
        <f t="shared" si="215"/>
        <v>94779.75997</v>
      </c>
      <c r="AE326" s="99">
        <f t="shared" si="215"/>
        <v>96675.35517</v>
      </c>
      <c r="AF326" s="99">
        <f t="shared" si="215"/>
        <v>98608.86227</v>
      </c>
      <c r="AG326" s="99">
        <f t="shared" si="215"/>
        <v>100581.0395</v>
      </c>
      <c r="AH326" s="99">
        <f t="shared" si="215"/>
        <v>102592.6603</v>
      </c>
      <c r="AI326" s="99">
        <f t="shared" si="215"/>
        <v>104644.5135</v>
      </c>
      <c r="AJ326" s="99">
        <f t="shared" si="215"/>
        <v>106737.4038</v>
      </c>
      <c r="AK326" s="99">
        <f t="shared" si="215"/>
        <v>108872.1519</v>
      </c>
      <c r="AL326" s="99">
        <f t="shared" si="215"/>
        <v>111049.5949</v>
      </c>
      <c r="AM326" s="99">
        <f t="shared" si="215"/>
        <v>113270.5868</v>
      </c>
      <c r="AN326" s="99">
        <f t="shared" si="215"/>
        <v>115535.9985</v>
      </c>
      <c r="AO326" s="99">
        <f t="shared" si="215"/>
        <v>117846.7185</v>
      </c>
      <c r="AP326" s="99">
        <f t="shared" si="215"/>
        <v>120203.6529</v>
      </c>
      <c r="AQ326" s="99">
        <f t="shared" si="215"/>
        <v>122607.7259</v>
      </c>
      <c r="AR326" s="99">
        <f t="shared" si="215"/>
        <v>125059.8804</v>
      </c>
      <c r="AS326" s="99">
        <f t="shared" si="215"/>
        <v>127561.0781</v>
      </c>
      <c r="AT326" s="99">
        <f t="shared" si="215"/>
        <v>130112.2996</v>
      </c>
      <c r="AU326" s="99">
        <f t="shared" si="215"/>
        <v>132714.5456</v>
      </c>
      <c r="AV326" s="99">
        <f t="shared" si="215"/>
        <v>0</v>
      </c>
      <c r="AW326" s="90"/>
      <c r="AX326" s="90"/>
      <c r="AY326" s="90"/>
      <c r="AZ326" s="90"/>
      <c r="BA326" s="90"/>
      <c r="BB326" s="90"/>
      <c r="BC326" s="90"/>
      <c r="BD326" s="90"/>
      <c r="BE326" s="90"/>
      <c r="BF326" s="90"/>
      <c r="BG326" s="90"/>
    </row>
    <row r="327" ht="12.75" customHeight="1">
      <c r="A327" s="316"/>
      <c r="B327" s="90"/>
      <c r="C327" s="90" t="s">
        <v>735</v>
      </c>
      <c r="D327" s="90"/>
      <c r="E327" s="90"/>
      <c r="F327" s="90"/>
      <c r="G327" s="99"/>
      <c r="H327" s="99"/>
      <c r="I327" s="99"/>
      <c r="J327" s="99">
        <v>0.0</v>
      </c>
      <c r="K327" s="99">
        <v>400.0</v>
      </c>
      <c r="L327" s="99">
        <f t="shared" ref="L327:AV327" si="216">(L188*(L315+L311*0.1))</f>
        <v>16728</v>
      </c>
      <c r="M327" s="99">
        <f t="shared" si="216"/>
        <v>17062.56</v>
      </c>
      <c r="N327" s="99">
        <f t="shared" si="216"/>
        <v>17403.8112</v>
      </c>
      <c r="O327" s="99">
        <f t="shared" si="216"/>
        <v>17751.88742</v>
      </c>
      <c r="P327" s="99">
        <f t="shared" si="216"/>
        <v>18106.92517</v>
      </c>
      <c r="Q327" s="99">
        <f t="shared" si="216"/>
        <v>18469.06368</v>
      </c>
      <c r="R327" s="99">
        <f t="shared" si="216"/>
        <v>18838.44495</v>
      </c>
      <c r="S327" s="99">
        <f t="shared" si="216"/>
        <v>19215.21385</v>
      </c>
      <c r="T327" s="99">
        <f t="shared" si="216"/>
        <v>19599.51813</v>
      </c>
      <c r="U327" s="99">
        <f t="shared" si="216"/>
        <v>19991.50849</v>
      </c>
      <c r="V327" s="99">
        <f t="shared" si="216"/>
        <v>20391.33866</v>
      </c>
      <c r="W327" s="99">
        <f t="shared" si="216"/>
        <v>20799.16543</v>
      </c>
      <c r="X327" s="99">
        <f t="shared" si="216"/>
        <v>21215.14874</v>
      </c>
      <c r="Y327" s="99">
        <f t="shared" si="216"/>
        <v>21639.45171</v>
      </c>
      <c r="Z327" s="99">
        <f t="shared" si="216"/>
        <v>22072.24075</v>
      </c>
      <c r="AA327" s="99">
        <f t="shared" si="216"/>
        <v>22513.68556</v>
      </c>
      <c r="AB327" s="99">
        <f t="shared" si="216"/>
        <v>22963.95927</v>
      </c>
      <c r="AC327" s="99">
        <f t="shared" si="216"/>
        <v>23423.23846</v>
      </c>
      <c r="AD327" s="99">
        <f t="shared" si="216"/>
        <v>23891.70323</v>
      </c>
      <c r="AE327" s="99">
        <f t="shared" si="216"/>
        <v>24369.53729</v>
      </c>
      <c r="AF327" s="99">
        <f t="shared" si="216"/>
        <v>24856.92804</v>
      </c>
      <c r="AG327" s="99">
        <f t="shared" si="216"/>
        <v>25354.0666</v>
      </c>
      <c r="AH327" s="99">
        <f t="shared" si="216"/>
        <v>25861.14793</v>
      </c>
      <c r="AI327" s="99">
        <f t="shared" si="216"/>
        <v>26378.37089</v>
      </c>
      <c r="AJ327" s="99">
        <f t="shared" si="216"/>
        <v>26905.93831</v>
      </c>
      <c r="AK327" s="99">
        <f t="shared" si="216"/>
        <v>27444.05708</v>
      </c>
      <c r="AL327" s="99">
        <f t="shared" si="216"/>
        <v>27992.93822</v>
      </c>
      <c r="AM327" s="99">
        <f t="shared" si="216"/>
        <v>28552.79698</v>
      </c>
      <c r="AN327" s="99">
        <f t="shared" si="216"/>
        <v>29123.85292</v>
      </c>
      <c r="AO327" s="99">
        <f t="shared" si="216"/>
        <v>29706.32998</v>
      </c>
      <c r="AP327" s="99">
        <f t="shared" si="216"/>
        <v>30300.45658</v>
      </c>
      <c r="AQ327" s="99">
        <f t="shared" si="216"/>
        <v>30906.46571</v>
      </c>
      <c r="AR327" s="99">
        <f t="shared" si="216"/>
        <v>31524.59502</v>
      </c>
      <c r="AS327" s="99">
        <f t="shared" si="216"/>
        <v>32155.08693</v>
      </c>
      <c r="AT327" s="99">
        <f t="shared" si="216"/>
        <v>32798.18866</v>
      </c>
      <c r="AU327" s="99">
        <f t="shared" si="216"/>
        <v>33454.15244</v>
      </c>
      <c r="AV327" s="99" t="str">
        <f t="shared" si="216"/>
        <v>#VALUE!</v>
      </c>
      <c r="AW327" s="90"/>
      <c r="AX327" s="90"/>
      <c r="AY327" s="90"/>
      <c r="AZ327" s="90"/>
      <c r="BA327" s="90"/>
      <c r="BB327" s="90"/>
      <c r="BC327" s="90"/>
      <c r="BD327" s="90"/>
      <c r="BE327" s="90"/>
      <c r="BF327" s="90"/>
      <c r="BG327" s="90"/>
    </row>
    <row r="328" ht="12.75" customHeight="1">
      <c r="A328" s="316"/>
      <c r="B328" s="90"/>
      <c r="C328" s="90" t="s">
        <v>736</v>
      </c>
      <c r="D328" s="90"/>
      <c r="E328" s="90"/>
      <c r="F328" s="90"/>
      <c r="G328" s="99"/>
      <c r="H328" s="99"/>
      <c r="I328" s="99"/>
      <c r="J328" s="99">
        <f>'FY09 P&amp;L'!C130</f>
        <v>768.97</v>
      </c>
      <c r="K328" s="99"/>
      <c r="L328" s="99"/>
      <c r="M328" s="99"/>
      <c r="N328" s="99"/>
      <c r="O328" s="99"/>
      <c r="P328" s="99"/>
      <c r="Q328" s="99"/>
      <c r="R328" s="99"/>
      <c r="S328" s="99"/>
      <c r="T328" s="99"/>
      <c r="U328" s="99"/>
      <c r="V328" s="99"/>
      <c r="W328" s="99"/>
      <c r="X328" s="99"/>
      <c r="Y328" s="99"/>
      <c r="Z328" s="99"/>
      <c r="AA328" s="99"/>
      <c r="AB328" s="99"/>
      <c r="AC328" s="99"/>
      <c r="AD328" s="99"/>
      <c r="AE328" s="99"/>
      <c r="AF328" s="99"/>
      <c r="AG328" s="99"/>
      <c r="AH328" s="99"/>
      <c r="AI328" s="99"/>
      <c r="AJ328" s="99"/>
      <c r="AK328" s="99"/>
      <c r="AL328" s="99"/>
      <c r="AM328" s="99"/>
      <c r="AN328" s="99"/>
      <c r="AO328" s="99"/>
      <c r="AP328" s="99"/>
      <c r="AQ328" s="99"/>
      <c r="AR328" s="99"/>
      <c r="AS328" s="99"/>
      <c r="AT328" s="99"/>
      <c r="AU328" s="99"/>
      <c r="AV328" s="99"/>
      <c r="AW328" s="90"/>
      <c r="AX328" s="90"/>
      <c r="AY328" s="90"/>
      <c r="AZ328" s="90"/>
      <c r="BA328" s="90"/>
      <c r="BB328" s="90"/>
      <c r="BC328" s="90"/>
      <c r="BD328" s="90"/>
      <c r="BE328" s="90"/>
      <c r="BF328" s="90"/>
      <c r="BG328" s="90"/>
    </row>
    <row r="329" ht="12.75" customHeight="1">
      <c r="A329" s="316"/>
      <c r="B329" s="87"/>
      <c r="C329" s="87" t="s">
        <v>737</v>
      </c>
      <c r="D329" s="87"/>
      <c r="E329" s="87"/>
      <c r="F329" s="87"/>
      <c r="G329" s="125"/>
      <c r="H329" s="125"/>
      <c r="I329" s="125"/>
      <c r="J329" s="99">
        <v>0.0</v>
      </c>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c r="AT329" s="125"/>
      <c r="AU329" s="125"/>
      <c r="AV329" s="125"/>
      <c r="AW329" s="87"/>
      <c r="AX329" s="90"/>
      <c r="AY329" s="90"/>
      <c r="AZ329" s="90"/>
      <c r="BA329" s="90"/>
      <c r="BB329" s="90"/>
      <c r="BC329" s="90"/>
      <c r="BD329" s="90"/>
      <c r="BE329" s="90"/>
      <c r="BF329" s="90"/>
      <c r="BG329" s="90"/>
    </row>
    <row r="330" ht="12.75" customHeight="1">
      <c r="A330" s="316"/>
      <c r="B330" s="67" t="s">
        <v>313</v>
      </c>
      <c r="C330" s="90"/>
      <c r="D330" s="90"/>
      <c r="E330" s="90"/>
      <c r="F330" s="90"/>
      <c r="G330" s="79"/>
      <c r="H330" s="79"/>
      <c r="I330" s="379">
        <f t="shared" ref="I330:AV330" si="217">SUM(I322:I329)</f>
        <v>0</v>
      </c>
      <c r="J330" s="379">
        <f t="shared" si="217"/>
        <v>15017.32</v>
      </c>
      <c r="K330" s="79">
        <f t="shared" si="217"/>
        <v>205146.05</v>
      </c>
      <c r="L330" s="79">
        <f t="shared" si="217"/>
        <v>303304.28</v>
      </c>
      <c r="M330" s="79">
        <f t="shared" si="217"/>
        <v>321759.7896</v>
      </c>
      <c r="N330" s="79">
        <f t="shared" si="217"/>
        <v>325170.9854</v>
      </c>
      <c r="O330" s="79">
        <f t="shared" si="217"/>
        <v>300238.8482</v>
      </c>
      <c r="P330" s="79">
        <f t="shared" si="217"/>
        <v>304861.9451</v>
      </c>
      <c r="Q330" s="79">
        <f t="shared" si="217"/>
        <v>247889.2363</v>
      </c>
      <c r="R330" s="79">
        <f t="shared" si="217"/>
        <v>251734.296</v>
      </c>
      <c r="S330" s="79">
        <f t="shared" si="217"/>
        <v>255645.1296</v>
      </c>
      <c r="T330" s="79">
        <f t="shared" si="217"/>
        <v>259622.9413</v>
      </c>
      <c r="U330" s="79">
        <f t="shared" si="217"/>
        <v>263668.9584</v>
      </c>
      <c r="V330" s="79">
        <f t="shared" si="217"/>
        <v>267784.4314</v>
      </c>
      <c r="W330" s="79">
        <f t="shared" si="217"/>
        <v>271970.6348</v>
      </c>
      <c r="X330" s="79">
        <f t="shared" si="217"/>
        <v>276228.8674</v>
      </c>
      <c r="Y330" s="79">
        <f t="shared" si="217"/>
        <v>280560.4528</v>
      </c>
      <c r="Z330" s="79">
        <f t="shared" si="217"/>
        <v>284966.74</v>
      </c>
      <c r="AA330" s="79">
        <f t="shared" si="217"/>
        <v>289449.1038</v>
      </c>
      <c r="AB330" s="79">
        <f t="shared" si="217"/>
        <v>294008.9452</v>
      </c>
      <c r="AC330" s="79">
        <f t="shared" si="217"/>
        <v>298647.6919</v>
      </c>
      <c r="AD330" s="79">
        <f t="shared" si="217"/>
        <v>303366.7993</v>
      </c>
      <c r="AE330" s="79">
        <f t="shared" si="217"/>
        <v>308167.7503</v>
      </c>
      <c r="AF330" s="79">
        <f t="shared" si="217"/>
        <v>313052.0565</v>
      </c>
      <c r="AG330" s="79">
        <f t="shared" si="217"/>
        <v>318021.2584</v>
      </c>
      <c r="AH330" s="79">
        <f t="shared" si="217"/>
        <v>323076.9259</v>
      </c>
      <c r="AI330" s="79">
        <f t="shared" si="217"/>
        <v>328220.6592</v>
      </c>
      <c r="AJ330" s="79">
        <f t="shared" si="217"/>
        <v>333454.0891</v>
      </c>
      <c r="AK330" s="79">
        <f t="shared" si="217"/>
        <v>338778.8777</v>
      </c>
      <c r="AL330" s="79">
        <f t="shared" si="217"/>
        <v>344196.7192</v>
      </c>
      <c r="AM330" s="79">
        <f t="shared" si="217"/>
        <v>349709.3402</v>
      </c>
      <c r="AN330" s="79">
        <f t="shared" si="217"/>
        <v>355318.5004</v>
      </c>
      <c r="AO330" s="79">
        <f t="shared" si="217"/>
        <v>361025.9936</v>
      </c>
      <c r="AP330" s="79">
        <f t="shared" si="217"/>
        <v>366833.6479</v>
      </c>
      <c r="AQ330" s="79">
        <f t="shared" si="217"/>
        <v>372743.3266</v>
      </c>
      <c r="AR330" s="79">
        <f t="shared" si="217"/>
        <v>378756.929</v>
      </c>
      <c r="AS330" s="79">
        <f t="shared" si="217"/>
        <v>384876.3907</v>
      </c>
      <c r="AT330" s="79">
        <f t="shared" si="217"/>
        <v>391103.6849</v>
      </c>
      <c r="AU330" s="79">
        <f t="shared" si="217"/>
        <v>397440.8227</v>
      </c>
      <c r="AV330" s="79" t="str">
        <f t="shared" si="217"/>
        <v>#VALUE!</v>
      </c>
      <c r="AW330" s="90"/>
      <c r="AX330" s="90"/>
      <c r="AY330" s="90"/>
      <c r="AZ330" s="90"/>
      <c r="BA330" s="90"/>
      <c r="BB330" s="90"/>
      <c r="BC330" s="90"/>
      <c r="BD330" s="90"/>
      <c r="BE330" s="90"/>
      <c r="BF330" s="90"/>
      <c r="BG330" s="90"/>
    </row>
    <row r="331" ht="12.75" customHeight="1">
      <c r="A331" s="316"/>
      <c r="B331" s="90"/>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c r="AF331" s="90"/>
      <c r="AG331" s="90"/>
      <c r="AH331" s="90"/>
      <c r="AI331" s="90"/>
      <c r="AJ331" s="90"/>
      <c r="AK331" s="90"/>
      <c r="AL331" s="90"/>
      <c r="AM331" s="90"/>
      <c r="AN331" s="90"/>
      <c r="AO331" s="90"/>
      <c r="AP331" s="90"/>
      <c r="AQ331" s="90"/>
      <c r="AR331" s="90"/>
      <c r="AS331" s="90"/>
      <c r="AT331" s="90"/>
      <c r="AU331" s="90"/>
      <c r="AV331" s="90"/>
      <c r="AW331" s="90"/>
      <c r="AX331" s="90"/>
      <c r="AY331" s="90"/>
      <c r="AZ331" s="90"/>
      <c r="BA331" s="90"/>
      <c r="BB331" s="90"/>
      <c r="BC331" s="90"/>
      <c r="BD331" s="90"/>
      <c r="BE331" s="90"/>
      <c r="BF331" s="90"/>
      <c r="BG331" s="90"/>
    </row>
    <row r="332" ht="12.75" customHeight="1">
      <c r="A332" s="316"/>
      <c r="B332" s="67" t="s">
        <v>811</v>
      </c>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c r="AA332" s="90"/>
      <c r="AB332" s="90"/>
      <c r="AC332" s="90"/>
      <c r="AD332" s="90"/>
      <c r="AE332" s="90"/>
      <c r="AF332" s="90"/>
      <c r="AG332" s="90"/>
      <c r="AH332" s="90"/>
      <c r="AI332" s="90"/>
      <c r="AJ332" s="90"/>
      <c r="AK332" s="90"/>
      <c r="AL332" s="90"/>
      <c r="AM332" s="90"/>
      <c r="AN332" s="90"/>
      <c r="AO332" s="90"/>
      <c r="AP332" s="90"/>
      <c r="AQ332" s="90"/>
      <c r="AR332" s="90"/>
      <c r="AS332" s="90"/>
      <c r="AT332" s="90"/>
      <c r="AU332" s="90"/>
      <c r="AV332" s="90"/>
      <c r="AW332" s="90"/>
      <c r="AX332" s="90"/>
      <c r="AY332" s="90"/>
      <c r="AZ332" s="90"/>
      <c r="BA332" s="90"/>
      <c r="BB332" s="90"/>
      <c r="BC332" s="90"/>
      <c r="BD332" s="90"/>
      <c r="BE332" s="90"/>
      <c r="BF332" s="90"/>
      <c r="BG332" s="90"/>
    </row>
    <row r="333" ht="12.75" customHeight="1">
      <c r="A333" s="316"/>
      <c r="B333" s="90"/>
      <c r="C333" s="90" t="s">
        <v>1240</v>
      </c>
      <c r="D333" s="90"/>
      <c r="E333" s="90"/>
      <c r="F333" s="90"/>
      <c r="G333" s="99"/>
      <c r="H333" s="99"/>
      <c r="I333" s="99"/>
      <c r="J333" s="99">
        <f>'FY09 P&amp;L'!C145</f>
        <v>221.46</v>
      </c>
      <c r="K333" s="99">
        <v>77019.86</v>
      </c>
      <c r="L333" s="99">
        <f t="shared" ref="L333:AV333" si="218">L197*L46+L48*L198</f>
        <v>32650</v>
      </c>
      <c r="M333" s="99">
        <f t="shared" si="218"/>
        <v>33660</v>
      </c>
      <c r="N333" s="99">
        <f t="shared" si="218"/>
        <v>33813</v>
      </c>
      <c r="O333" s="99">
        <f t="shared" si="218"/>
        <v>34489.26</v>
      </c>
      <c r="P333" s="99">
        <f t="shared" si="218"/>
        <v>35179.0452</v>
      </c>
      <c r="Q333" s="99">
        <f t="shared" si="218"/>
        <v>35882.6261</v>
      </c>
      <c r="R333" s="99">
        <f t="shared" si="218"/>
        <v>36600.27863</v>
      </c>
      <c r="S333" s="99">
        <f t="shared" si="218"/>
        <v>37332.2842</v>
      </c>
      <c r="T333" s="99">
        <f t="shared" si="218"/>
        <v>38078.92988</v>
      </c>
      <c r="U333" s="99">
        <f t="shared" si="218"/>
        <v>38840.50848</v>
      </c>
      <c r="V333" s="99">
        <f t="shared" si="218"/>
        <v>39617.31865</v>
      </c>
      <c r="W333" s="99">
        <f t="shared" si="218"/>
        <v>40409.66502</v>
      </c>
      <c r="X333" s="99">
        <f t="shared" si="218"/>
        <v>41217.85832</v>
      </c>
      <c r="Y333" s="99">
        <f t="shared" si="218"/>
        <v>42042.21549</v>
      </c>
      <c r="Z333" s="99">
        <f t="shared" si="218"/>
        <v>42883.0598</v>
      </c>
      <c r="AA333" s="99">
        <f t="shared" si="218"/>
        <v>43740.721</v>
      </c>
      <c r="AB333" s="99">
        <f t="shared" si="218"/>
        <v>44615.53542</v>
      </c>
      <c r="AC333" s="99">
        <f t="shared" si="218"/>
        <v>45507.84612</v>
      </c>
      <c r="AD333" s="99">
        <f t="shared" si="218"/>
        <v>46418.00305</v>
      </c>
      <c r="AE333" s="99">
        <f t="shared" si="218"/>
        <v>47346.36311</v>
      </c>
      <c r="AF333" s="99">
        <f t="shared" si="218"/>
        <v>48293.29037</v>
      </c>
      <c r="AG333" s="99">
        <f t="shared" si="218"/>
        <v>49259.15618</v>
      </c>
      <c r="AH333" s="99">
        <f t="shared" si="218"/>
        <v>50244.3393</v>
      </c>
      <c r="AI333" s="99">
        <f t="shared" si="218"/>
        <v>51249.22609</v>
      </c>
      <c r="AJ333" s="99">
        <f t="shared" si="218"/>
        <v>52274.21061</v>
      </c>
      <c r="AK333" s="99">
        <f t="shared" si="218"/>
        <v>53319.69482</v>
      </c>
      <c r="AL333" s="99">
        <f t="shared" si="218"/>
        <v>54386.08872</v>
      </c>
      <c r="AM333" s="99">
        <f t="shared" si="218"/>
        <v>55473.81049</v>
      </c>
      <c r="AN333" s="99">
        <f t="shared" si="218"/>
        <v>56583.2867</v>
      </c>
      <c r="AO333" s="99">
        <f t="shared" si="218"/>
        <v>57714.95243</v>
      </c>
      <c r="AP333" s="99">
        <f t="shared" si="218"/>
        <v>58869.25148</v>
      </c>
      <c r="AQ333" s="99">
        <f t="shared" si="218"/>
        <v>60046.63651</v>
      </c>
      <c r="AR333" s="99">
        <f t="shared" si="218"/>
        <v>61247.56924</v>
      </c>
      <c r="AS333" s="99">
        <f t="shared" si="218"/>
        <v>62472.52063</v>
      </c>
      <c r="AT333" s="99">
        <f t="shared" si="218"/>
        <v>63721.97104</v>
      </c>
      <c r="AU333" s="99">
        <f t="shared" si="218"/>
        <v>64996.41046</v>
      </c>
      <c r="AV333" s="99">
        <f t="shared" si="218"/>
        <v>66296.33867</v>
      </c>
      <c r="AW333" s="90" t="s">
        <v>1241</v>
      </c>
      <c r="AX333" s="90"/>
      <c r="AY333" s="90"/>
      <c r="AZ333" s="90"/>
      <c r="BA333" s="90"/>
      <c r="BB333" s="90"/>
      <c r="BC333" s="90"/>
      <c r="BD333" s="90"/>
      <c r="BE333" s="90"/>
      <c r="BF333" s="90"/>
      <c r="BG333" s="90"/>
    </row>
    <row r="334" ht="12.75" customHeight="1">
      <c r="A334" s="316"/>
      <c r="B334" s="90"/>
      <c r="C334" s="90" t="s">
        <v>813</v>
      </c>
      <c r="D334" s="90"/>
      <c r="E334" s="90"/>
      <c r="F334" s="90"/>
      <c r="G334" s="99"/>
      <c r="H334" s="99"/>
      <c r="I334" s="99"/>
      <c r="J334" s="99"/>
      <c r="K334" s="99">
        <v>12943.36</v>
      </c>
      <c r="L334" s="99">
        <f t="shared" ref="L334:AV334" si="219">L199*L146</f>
        <v>15000</v>
      </c>
      <c r="M334" s="99">
        <f t="shared" si="219"/>
        <v>16000</v>
      </c>
      <c r="N334" s="99">
        <f t="shared" si="219"/>
        <v>16000</v>
      </c>
      <c r="O334" s="99">
        <f t="shared" si="219"/>
        <v>14000</v>
      </c>
      <c r="P334" s="99">
        <f t="shared" si="219"/>
        <v>14000</v>
      </c>
      <c r="Q334" s="99">
        <f t="shared" si="219"/>
        <v>10000</v>
      </c>
      <c r="R334" s="99">
        <f t="shared" si="219"/>
        <v>10000</v>
      </c>
      <c r="S334" s="99">
        <f t="shared" si="219"/>
        <v>10000</v>
      </c>
      <c r="T334" s="99">
        <f t="shared" si="219"/>
        <v>10000</v>
      </c>
      <c r="U334" s="99">
        <f t="shared" si="219"/>
        <v>10000</v>
      </c>
      <c r="V334" s="99">
        <f t="shared" si="219"/>
        <v>10000</v>
      </c>
      <c r="W334" s="99">
        <f t="shared" si="219"/>
        <v>10000</v>
      </c>
      <c r="X334" s="99">
        <f t="shared" si="219"/>
        <v>10000</v>
      </c>
      <c r="Y334" s="99">
        <f t="shared" si="219"/>
        <v>10000</v>
      </c>
      <c r="Z334" s="99">
        <f t="shared" si="219"/>
        <v>10000</v>
      </c>
      <c r="AA334" s="99">
        <f t="shared" si="219"/>
        <v>10000</v>
      </c>
      <c r="AB334" s="99">
        <f t="shared" si="219"/>
        <v>10000</v>
      </c>
      <c r="AC334" s="99">
        <f t="shared" si="219"/>
        <v>10000</v>
      </c>
      <c r="AD334" s="99">
        <f t="shared" si="219"/>
        <v>10000</v>
      </c>
      <c r="AE334" s="99">
        <f t="shared" si="219"/>
        <v>10000</v>
      </c>
      <c r="AF334" s="99">
        <f t="shared" si="219"/>
        <v>10000</v>
      </c>
      <c r="AG334" s="99">
        <f t="shared" si="219"/>
        <v>10000</v>
      </c>
      <c r="AH334" s="99">
        <f t="shared" si="219"/>
        <v>10000</v>
      </c>
      <c r="AI334" s="99">
        <f t="shared" si="219"/>
        <v>10000</v>
      </c>
      <c r="AJ334" s="99">
        <f t="shared" si="219"/>
        <v>10000</v>
      </c>
      <c r="AK334" s="99">
        <f t="shared" si="219"/>
        <v>10000</v>
      </c>
      <c r="AL334" s="99">
        <f t="shared" si="219"/>
        <v>10000</v>
      </c>
      <c r="AM334" s="99">
        <f t="shared" si="219"/>
        <v>10000</v>
      </c>
      <c r="AN334" s="99">
        <f t="shared" si="219"/>
        <v>10000</v>
      </c>
      <c r="AO334" s="99">
        <f t="shared" si="219"/>
        <v>10000</v>
      </c>
      <c r="AP334" s="99">
        <f t="shared" si="219"/>
        <v>10000</v>
      </c>
      <c r="AQ334" s="99">
        <f t="shared" si="219"/>
        <v>10000</v>
      </c>
      <c r="AR334" s="99">
        <f t="shared" si="219"/>
        <v>10000</v>
      </c>
      <c r="AS334" s="99">
        <f t="shared" si="219"/>
        <v>10000</v>
      </c>
      <c r="AT334" s="99">
        <f t="shared" si="219"/>
        <v>10000</v>
      </c>
      <c r="AU334" s="99">
        <f t="shared" si="219"/>
        <v>10000</v>
      </c>
      <c r="AV334" s="99">
        <f t="shared" si="219"/>
        <v>10000</v>
      </c>
      <c r="AW334" s="90"/>
      <c r="AX334" s="90"/>
      <c r="AY334" s="90"/>
      <c r="AZ334" s="90"/>
      <c r="BA334" s="90"/>
      <c r="BB334" s="90"/>
      <c r="BC334" s="90"/>
      <c r="BD334" s="90"/>
      <c r="BE334" s="90"/>
      <c r="BF334" s="90"/>
      <c r="BG334" s="90"/>
    </row>
    <row r="335" ht="12.75" customHeight="1">
      <c r="A335" s="316"/>
      <c r="B335" s="90"/>
      <c r="C335" s="90" t="s">
        <v>1242</v>
      </c>
      <c r="D335" s="90"/>
      <c r="E335" s="90"/>
      <c r="F335" s="90"/>
      <c r="G335" s="99"/>
      <c r="H335" s="99"/>
      <c r="I335" s="99"/>
      <c r="J335" s="99">
        <f>'FY09 P&amp;L'!C139+'FY09 P&amp;L'!C136</f>
        <v>623.82</v>
      </c>
      <c r="K335" s="99">
        <v>110370.46</v>
      </c>
      <c r="L335" s="99">
        <f t="shared" ref="L335:AV335" si="220">L202+L201*L48+L203</f>
        <v>33700</v>
      </c>
      <c r="M335" s="99">
        <f t="shared" si="220"/>
        <v>18360</v>
      </c>
      <c r="N335" s="99">
        <f t="shared" si="220"/>
        <v>15606</v>
      </c>
      <c r="O335" s="99">
        <f t="shared" si="220"/>
        <v>15918.12</v>
      </c>
      <c r="P335" s="99">
        <f t="shared" si="220"/>
        <v>16236.4824</v>
      </c>
      <c r="Q335" s="99">
        <f t="shared" si="220"/>
        <v>16561.21205</v>
      </c>
      <c r="R335" s="99">
        <f t="shared" si="220"/>
        <v>16892.43629</v>
      </c>
      <c r="S335" s="99">
        <f t="shared" si="220"/>
        <v>17230.28501</v>
      </c>
      <c r="T335" s="99">
        <f t="shared" si="220"/>
        <v>17574.89072</v>
      </c>
      <c r="U335" s="99">
        <f t="shared" si="220"/>
        <v>17926.38853</v>
      </c>
      <c r="V335" s="99">
        <f t="shared" si="220"/>
        <v>18284.9163</v>
      </c>
      <c r="W335" s="99">
        <f t="shared" si="220"/>
        <v>18650.61463</v>
      </c>
      <c r="X335" s="99">
        <f t="shared" si="220"/>
        <v>19023.62692</v>
      </c>
      <c r="Y335" s="99">
        <f t="shared" si="220"/>
        <v>19404.09946</v>
      </c>
      <c r="Z335" s="99">
        <f t="shared" si="220"/>
        <v>19792.18145</v>
      </c>
      <c r="AA335" s="99">
        <f t="shared" si="220"/>
        <v>20188.02507</v>
      </c>
      <c r="AB335" s="99">
        <f t="shared" si="220"/>
        <v>20591.78558</v>
      </c>
      <c r="AC335" s="99">
        <f t="shared" si="220"/>
        <v>21003.62129</v>
      </c>
      <c r="AD335" s="99">
        <f t="shared" si="220"/>
        <v>21423.69371</v>
      </c>
      <c r="AE335" s="99">
        <f t="shared" si="220"/>
        <v>21852.16759</v>
      </c>
      <c r="AF335" s="99">
        <f t="shared" si="220"/>
        <v>22289.21094</v>
      </c>
      <c r="AG335" s="99">
        <f t="shared" si="220"/>
        <v>22734.99516</v>
      </c>
      <c r="AH335" s="99">
        <f t="shared" si="220"/>
        <v>23189.69506</v>
      </c>
      <c r="AI335" s="99">
        <f t="shared" si="220"/>
        <v>23653.48896</v>
      </c>
      <c r="AJ335" s="99">
        <f t="shared" si="220"/>
        <v>24126.55874</v>
      </c>
      <c r="AK335" s="99">
        <f t="shared" si="220"/>
        <v>24609.08992</v>
      </c>
      <c r="AL335" s="99">
        <f t="shared" si="220"/>
        <v>25101.27172</v>
      </c>
      <c r="AM335" s="99">
        <f t="shared" si="220"/>
        <v>25603.29715</v>
      </c>
      <c r="AN335" s="99">
        <f t="shared" si="220"/>
        <v>26115.36309</v>
      </c>
      <c r="AO335" s="99">
        <f t="shared" si="220"/>
        <v>26637.67035</v>
      </c>
      <c r="AP335" s="99">
        <f t="shared" si="220"/>
        <v>27170.42376</v>
      </c>
      <c r="AQ335" s="99">
        <f t="shared" si="220"/>
        <v>27713.83224</v>
      </c>
      <c r="AR335" s="99">
        <f t="shared" si="220"/>
        <v>28268.10888</v>
      </c>
      <c r="AS335" s="99">
        <f t="shared" si="220"/>
        <v>28833.47106</v>
      </c>
      <c r="AT335" s="99">
        <f t="shared" si="220"/>
        <v>29410.14048</v>
      </c>
      <c r="AU335" s="99">
        <f t="shared" si="220"/>
        <v>29998.34329</v>
      </c>
      <c r="AV335" s="99">
        <f t="shared" si="220"/>
        <v>30598.31016</v>
      </c>
      <c r="AW335" s="90"/>
      <c r="AX335" s="90"/>
      <c r="AY335" s="90"/>
      <c r="AZ335" s="90"/>
      <c r="BA335" s="90"/>
      <c r="BB335" s="90"/>
      <c r="BC335" s="90"/>
      <c r="BD335" s="90"/>
      <c r="BE335" s="90"/>
      <c r="BF335" s="90"/>
      <c r="BG335" s="90"/>
    </row>
    <row r="336" ht="12.75" customHeight="1">
      <c r="A336" s="316"/>
      <c r="B336" s="90"/>
      <c r="C336" s="90" t="s">
        <v>816</v>
      </c>
      <c r="D336" s="90"/>
      <c r="E336" s="90"/>
      <c r="F336" s="90"/>
      <c r="G336" s="99"/>
      <c r="H336" s="99"/>
      <c r="I336" s="99"/>
      <c r="J336" s="99">
        <f>'FY09 P&amp;L'!C157</f>
        <v>1192.15</v>
      </c>
      <c r="K336" s="99">
        <v>43294.79</v>
      </c>
      <c r="L336" s="99">
        <f t="shared" ref="L336:AV336" si="221">L205+L206+L158</f>
        <v>10752</v>
      </c>
      <c r="M336" s="99">
        <f t="shared" si="221"/>
        <v>10751</v>
      </c>
      <c r="N336" s="99">
        <f t="shared" si="221"/>
        <v>10750</v>
      </c>
      <c r="O336" s="99">
        <f t="shared" si="221"/>
        <v>10748</v>
      </c>
      <c r="P336" s="99">
        <f t="shared" si="221"/>
        <v>10750</v>
      </c>
      <c r="Q336" s="99">
        <f t="shared" si="221"/>
        <v>10746</v>
      </c>
      <c r="R336" s="99">
        <f t="shared" si="221"/>
        <v>10750</v>
      </c>
      <c r="S336" s="99">
        <f t="shared" si="221"/>
        <v>10750</v>
      </c>
      <c r="T336" s="99">
        <f t="shared" si="221"/>
        <v>10750</v>
      </c>
      <c r="U336" s="99">
        <f t="shared" si="221"/>
        <v>10750</v>
      </c>
      <c r="V336" s="99">
        <f t="shared" si="221"/>
        <v>10750</v>
      </c>
      <c r="W336" s="99">
        <f t="shared" si="221"/>
        <v>10750</v>
      </c>
      <c r="X336" s="99">
        <f t="shared" si="221"/>
        <v>10750</v>
      </c>
      <c r="Y336" s="99">
        <f t="shared" si="221"/>
        <v>10750</v>
      </c>
      <c r="Z336" s="99">
        <f t="shared" si="221"/>
        <v>10750</v>
      </c>
      <c r="AA336" s="99">
        <f t="shared" si="221"/>
        <v>10750</v>
      </c>
      <c r="AB336" s="99">
        <f t="shared" si="221"/>
        <v>10750</v>
      </c>
      <c r="AC336" s="99">
        <f t="shared" si="221"/>
        <v>10750</v>
      </c>
      <c r="AD336" s="99">
        <f t="shared" si="221"/>
        <v>10750</v>
      </c>
      <c r="AE336" s="99">
        <f t="shared" si="221"/>
        <v>10750</v>
      </c>
      <c r="AF336" s="99">
        <f t="shared" si="221"/>
        <v>10750</v>
      </c>
      <c r="AG336" s="99">
        <f t="shared" si="221"/>
        <v>10750</v>
      </c>
      <c r="AH336" s="99">
        <f t="shared" si="221"/>
        <v>10750</v>
      </c>
      <c r="AI336" s="99">
        <f t="shared" si="221"/>
        <v>10750</v>
      </c>
      <c r="AJ336" s="99">
        <f t="shared" si="221"/>
        <v>10750</v>
      </c>
      <c r="AK336" s="99">
        <f t="shared" si="221"/>
        <v>10750</v>
      </c>
      <c r="AL336" s="99">
        <f t="shared" si="221"/>
        <v>10750</v>
      </c>
      <c r="AM336" s="99">
        <f t="shared" si="221"/>
        <v>10750</v>
      </c>
      <c r="AN336" s="99">
        <f t="shared" si="221"/>
        <v>10750</v>
      </c>
      <c r="AO336" s="99">
        <f t="shared" si="221"/>
        <v>10750</v>
      </c>
      <c r="AP336" s="99">
        <f t="shared" si="221"/>
        <v>10750</v>
      </c>
      <c r="AQ336" s="99">
        <f t="shared" si="221"/>
        <v>10750</v>
      </c>
      <c r="AR336" s="99">
        <f t="shared" si="221"/>
        <v>10750</v>
      </c>
      <c r="AS336" s="99">
        <f t="shared" si="221"/>
        <v>10750</v>
      </c>
      <c r="AT336" s="99">
        <f t="shared" si="221"/>
        <v>10750</v>
      </c>
      <c r="AU336" s="99">
        <f t="shared" si="221"/>
        <v>10750</v>
      </c>
      <c r="AV336" s="99">
        <f t="shared" si="221"/>
        <v>10750</v>
      </c>
      <c r="AW336" s="90"/>
      <c r="AX336" s="90"/>
      <c r="AY336" s="90"/>
      <c r="AZ336" s="90"/>
      <c r="BA336" s="90"/>
      <c r="BB336" s="90"/>
      <c r="BC336" s="90"/>
      <c r="BD336" s="90"/>
      <c r="BE336" s="90"/>
      <c r="BF336" s="90"/>
      <c r="BG336" s="90"/>
    </row>
    <row r="337" ht="12.75" customHeight="1">
      <c r="A337" s="316"/>
      <c r="B337" s="90"/>
      <c r="C337" s="90" t="s">
        <v>1243</v>
      </c>
      <c r="D337" s="90"/>
      <c r="E337" s="90"/>
      <c r="F337" s="90"/>
      <c r="G337" s="99"/>
      <c r="H337" s="99"/>
      <c r="I337" s="99"/>
      <c r="J337" s="99">
        <v>0.0</v>
      </c>
      <c r="K337" s="99">
        <v>25111.01</v>
      </c>
      <c r="L337" s="99">
        <f t="shared" ref="L337:AV337" si="222">10000+L46*L204</f>
        <v>58000</v>
      </c>
      <c r="M337" s="99">
        <f t="shared" si="222"/>
        <v>61000</v>
      </c>
      <c r="N337" s="99">
        <f t="shared" si="222"/>
        <v>62020</v>
      </c>
      <c r="O337" s="99">
        <f t="shared" si="222"/>
        <v>63060.4</v>
      </c>
      <c r="P337" s="99">
        <f t="shared" si="222"/>
        <v>64121.608</v>
      </c>
      <c r="Q337" s="99">
        <f t="shared" si="222"/>
        <v>65204.04016</v>
      </c>
      <c r="R337" s="99">
        <f t="shared" si="222"/>
        <v>66308.12096</v>
      </c>
      <c r="S337" s="99">
        <f t="shared" si="222"/>
        <v>67434.28338</v>
      </c>
      <c r="T337" s="99">
        <f t="shared" si="222"/>
        <v>68582.96905</v>
      </c>
      <c r="U337" s="99">
        <f t="shared" si="222"/>
        <v>69754.62843</v>
      </c>
      <c r="V337" s="99">
        <f t="shared" si="222"/>
        <v>70949.721</v>
      </c>
      <c r="W337" s="99">
        <f t="shared" si="222"/>
        <v>72168.71542</v>
      </c>
      <c r="X337" s="99">
        <f t="shared" si="222"/>
        <v>73412.08973</v>
      </c>
      <c r="Y337" s="99">
        <f t="shared" si="222"/>
        <v>74680.33152</v>
      </c>
      <c r="Z337" s="99">
        <f t="shared" si="222"/>
        <v>75973.93815</v>
      </c>
      <c r="AA337" s="99">
        <f t="shared" si="222"/>
        <v>77293.41692</v>
      </c>
      <c r="AB337" s="99">
        <f t="shared" si="222"/>
        <v>78639.28525</v>
      </c>
      <c r="AC337" s="99">
        <f t="shared" si="222"/>
        <v>80012.07096</v>
      </c>
      <c r="AD337" s="99">
        <f t="shared" si="222"/>
        <v>81412.31238</v>
      </c>
      <c r="AE337" s="99">
        <f t="shared" si="222"/>
        <v>82840.55863</v>
      </c>
      <c r="AF337" s="99">
        <f t="shared" si="222"/>
        <v>84297.3698</v>
      </c>
      <c r="AG337" s="99">
        <f t="shared" si="222"/>
        <v>85783.31719</v>
      </c>
      <c r="AH337" s="99">
        <f t="shared" si="222"/>
        <v>87298.98354</v>
      </c>
      <c r="AI337" s="99">
        <f t="shared" si="222"/>
        <v>88844.96321</v>
      </c>
      <c r="AJ337" s="99">
        <f t="shared" si="222"/>
        <v>90421.86247</v>
      </c>
      <c r="AK337" s="99">
        <f t="shared" si="222"/>
        <v>92030.29972</v>
      </c>
      <c r="AL337" s="99">
        <f t="shared" si="222"/>
        <v>93670.90572</v>
      </c>
      <c r="AM337" s="99">
        <f t="shared" si="222"/>
        <v>95344.32383</v>
      </c>
      <c r="AN337" s="99">
        <f t="shared" si="222"/>
        <v>97051.21031</v>
      </c>
      <c r="AO337" s="99">
        <f t="shared" si="222"/>
        <v>98792.23451</v>
      </c>
      <c r="AP337" s="99">
        <f t="shared" si="222"/>
        <v>100568.0792</v>
      </c>
      <c r="AQ337" s="99">
        <f t="shared" si="222"/>
        <v>102379.4408</v>
      </c>
      <c r="AR337" s="99">
        <f t="shared" si="222"/>
        <v>104227.0296</v>
      </c>
      <c r="AS337" s="99">
        <f t="shared" si="222"/>
        <v>106111.5702</v>
      </c>
      <c r="AT337" s="99">
        <f t="shared" si="222"/>
        <v>108033.8016</v>
      </c>
      <c r="AU337" s="99">
        <f t="shared" si="222"/>
        <v>109994.4776</v>
      </c>
      <c r="AV337" s="99">
        <f t="shared" si="222"/>
        <v>111994.3672</v>
      </c>
      <c r="AW337" s="90" t="s">
        <v>1220</v>
      </c>
      <c r="AX337" s="90"/>
      <c r="AY337" s="90"/>
      <c r="AZ337" s="90"/>
      <c r="BA337" s="90"/>
      <c r="BB337" s="90"/>
      <c r="BC337" s="90"/>
      <c r="BD337" s="90"/>
      <c r="BE337" s="90"/>
      <c r="BF337" s="90"/>
      <c r="BG337" s="90"/>
    </row>
    <row r="338" ht="12.75" customHeight="1">
      <c r="A338" s="316"/>
      <c r="B338" s="87"/>
      <c r="C338" s="87" t="s">
        <v>817</v>
      </c>
      <c r="D338" s="87"/>
      <c r="E338" s="87"/>
      <c r="F338" s="87"/>
      <c r="G338" s="125"/>
      <c r="H338" s="125"/>
      <c r="I338" s="125"/>
      <c r="J338" s="125">
        <f>'FY09 P&amp;L'!C161</f>
        <v>126</v>
      </c>
      <c r="K338" s="125">
        <v>185502.72</v>
      </c>
      <c r="L338" s="125">
        <f t="shared" ref="L338:AV338" si="223">L207*L46</f>
        <v>211200</v>
      </c>
      <c r="M338" s="125">
        <f t="shared" si="223"/>
        <v>224400</v>
      </c>
      <c r="N338" s="125">
        <f t="shared" si="223"/>
        <v>228888</v>
      </c>
      <c r="O338" s="125">
        <f t="shared" si="223"/>
        <v>233465.76</v>
      </c>
      <c r="P338" s="125">
        <f t="shared" si="223"/>
        <v>238135.0752</v>
      </c>
      <c r="Q338" s="125">
        <f t="shared" si="223"/>
        <v>242897.7767</v>
      </c>
      <c r="R338" s="125">
        <f t="shared" si="223"/>
        <v>247755.7322</v>
      </c>
      <c r="S338" s="125">
        <f t="shared" si="223"/>
        <v>252710.8469</v>
      </c>
      <c r="T338" s="125">
        <f t="shared" si="223"/>
        <v>257765.0638</v>
      </c>
      <c r="U338" s="125">
        <f t="shared" si="223"/>
        <v>262920.3651</v>
      </c>
      <c r="V338" s="125">
        <f t="shared" si="223"/>
        <v>268178.7724</v>
      </c>
      <c r="W338" s="125">
        <f t="shared" si="223"/>
        <v>273542.3478</v>
      </c>
      <c r="X338" s="125">
        <f t="shared" si="223"/>
        <v>279013.1948</v>
      </c>
      <c r="Y338" s="125">
        <f t="shared" si="223"/>
        <v>284593.4587</v>
      </c>
      <c r="Z338" s="125">
        <f t="shared" si="223"/>
        <v>290285.3279</v>
      </c>
      <c r="AA338" s="125">
        <f t="shared" si="223"/>
        <v>296091.0344</v>
      </c>
      <c r="AB338" s="125">
        <f t="shared" si="223"/>
        <v>302012.8551</v>
      </c>
      <c r="AC338" s="125">
        <f t="shared" si="223"/>
        <v>308053.1122</v>
      </c>
      <c r="AD338" s="125">
        <f t="shared" si="223"/>
        <v>314214.1745</v>
      </c>
      <c r="AE338" s="125">
        <f t="shared" si="223"/>
        <v>320498.458</v>
      </c>
      <c r="AF338" s="125">
        <f t="shared" si="223"/>
        <v>326908.4271</v>
      </c>
      <c r="AG338" s="125">
        <f t="shared" si="223"/>
        <v>333446.5957</v>
      </c>
      <c r="AH338" s="125">
        <f t="shared" si="223"/>
        <v>340115.5276</v>
      </c>
      <c r="AI338" s="125">
        <f t="shared" si="223"/>
        <v>346917.8381</v>
      </c>
      <c r="AJ338" s="125">
        <f t="shared" si="223"/>
        <v>353856.1949</v>
      </c>
      <c r="AK338" s="125">
        <f t="shared" si="223"/>
        <v>360933.3188</v>
      </c>
      <c r="AL338" s="125">
        <f t="shared" si="223"/>
        <v>368151.9852</v>
      </c>
      <c r="AM338" s="125">
        <f t="shared" si="223"/>
        <v>375515.0249</v>
      </c>
      <c r="AN338" s="125">
        <f t="shared" si="223"/>
        <v>383025.3254</v>
      </c>
      <c r="AO338" s="125">
        <f t="shared" si="223"/>
        <v>390685.8319</v>
      </c>
      <c r="AP338" s="125">
        <f t="shared" si="223"/>
        <v>398499.5485</v>
      </c>
      <c r="AQ338" s="125">
        <f t="shared" si="223"/>
        <v>406469.5395</v>
      </c>
      <c r="AR338" s="125">
        <f t="shared" si="223"/>
        <v>414598.9303</v>
      </c>
      <c r="AS338" s="125">
        <f t="shared" si="223"/>
        <v>422890.9089</v>
      </c>
      <c r="AT338" s="125">
        <f t="shared" si="223"/>
        <v>431348.727</v>
      </c>
      <c r="AU338" s="125">
        <f t="shared" si="223"/>
        <v>439975.7016</v>
      </c>
      <c r="AV338" s="125">
        <f t="shared" si="223"/>
        <v>448775.2156</v>
      </c>
      <c r="AW338" s="87" t="s">
        <v>1221</v>
      </c>
      <c r="AX338" s="90"/>
      <c r="AY338" s="90"/>
      <c r="AZ338" s="90"/>
      <c r="BA338" s="90"/>
      <c r="BB338" s="90"/>
      <c r="BC338" s="90"/>
      <c r="BD338" s="90"/>
      <c r="BE338" s="90"/>
      <c r="BF338" s="90"/>
      <c r="BG338" s="90"/>
    </row>
    <row r="339" ht="12.75" customHeight="1">
      <c r="A339" s="316"/>
      <c r="B339" s="67" t="s">
        <v>818</v>
      </c>
      <c r="C339" s="90"/>
      <c r="D339" s="90"/>
      <c r="E339" s="90"/>
      <c r="F339" s="90"/>
      <c r="G339" s="79"/>
      <c r="H339" s="79"/>
      <c r="I339" s="79">
        <f t="shared" ref="I339:AV339" si="224">SUM(I333:I338)</f>
        <v>0</v>
      </c>
      <c r="J339" s="79">
        <f t="shared" si="224"/>
        <v>2163.43</v>
      </c>
      <c r="K339" s="79">
        <f t="shared" si="224"/>
        <v>454242.2</v>
      </c>
      <c r="L339" s="79">
        <f t="shared" si="224"/>
        <v>361302</v>
      </c>
      <c r="M339" s="79">
        <f t="shared" si="224"/>
        <v>364171</v>
      </c>
      <c r="N339" s="79">
        <f t="shared" si="224"/>
        <v>367077</v>
      </c>
      <c r="O339" s="79">
        <f t="shared" si="224"/>
        <v>371681.54</v>
      </c>
      <c r="P339" s="79">
        <f t="shared" si="224"/>
        <v>378422.2108</v>
      </c>
      <c r="Q339" s="79">
        <f t="shared" si="224"/>
        <v>381291.655</v>
      </c>
      <c r="R339" s="79">
        <f t="shared" si="224"/>
        <v>388306.5681</v>
      </c>
      <c r="S339" s="79">
        <f t="shared" si="224"/>
        <v>395457.6995</v>
      </c>
      <c r="T339" s="79">
        <f t="shared" si="224"/>
        <v>402751.8535</v>
      </c>
      <c r="U339" s="79">
        <f t="shared" si="224"/>
        <v>410191.8905</v>
      </c>
      <c r="V339" s="79">
        <f t="shared" si="224"/>
        <v>417780.7283</v>
      </c>
      <c r="W339" s="79">
        <f t="shared" si="224"/>
        <v>425521.3429</v>
      </c>
      <c r="X339" s="79">
        <f t="shared" si="224"/>
        <v>433416.7698</v>
      </c>
      <c r="Y339" s="79">
        <f t="shared" si="224"/>
        <v>441470.1052</v>
      </c>
      <c r="Z339" s="79">
        <f t="shared" si="224"/>
        <v>449684.5073</v>
      </c>
      <c r="AA339" s="79">
        <f t="shared" si="224"/>
        <v>458063.1974</v>
      </c>
      <c r="AB339" s="79">
        <f t="shared" si="224"/>
        <v>466609.4614</v>
      </c>
      <c r="AC339" s="79">
        <f t="shared" si="224"/>
        <v>475326.6506</v>
      </c>
      <c r="AD339" s="79">
        <f t="shared" si="224"/>
        <v>484218.1836</v>
      </c>
      <c r="AE339" s="79">
        <f t="shared" si="224"/>
        <v>493287.5473</v>
      </c>
      <c r="AF339" s="79">
        <f t="shared" si="224"/>
        <v>502538.2982</v>
      </c>
      <c r="AG339" s="79">
        <f t="shared" si="224"/>
        <v>511974.0642</v>
      </c>
      <c r="AH339" s="79">
        <f t="shared" si="224"/>
        <v>521598.5455</v>
      </c>
      <c r="AI339" s="79">
        <f t="shared" si="224"/>
        <v>531415.5164</v>
      </c>
      <c r="AJ339" s="79">
        <f t="shared" si="224"/>
        <v>541428.8267</v>
      </c>
      <c r="AK339" s="79">
        <f t="shared" si="224"/>
        <v>551642.4032</v>
      </c>
      <c r="AL339" s="79">
        <f t="shared" si="224"/>
        <v>562060.2513</v>
      </c>
      <c r="AM339" s="79">
        <f t="shared" si="224"/>
        <v>572686.4563</v>
      </c>
      <c r="AN339" s="79">
        <f t="shared" si="224"/>
        <v>583525.1855</v>
      </c>
      <c r="AO339" s="79">
        <f t="shared" si="224"/>
        <v>594580.6892</v>
      </c>
      <c r="AP339" s="79">
        <f t="shared" si="224"/>
        <v>605857.303</v>
      </c>
      <c r="AQ339" s="79">
        <f t="shared" si="224"/>
        <v>617359.449</v>
      </c>
      <c r="AR339" s="79">
        <f t="shared" si="224"/>
        <v>629091.638</v>
      </c>
      <c r="AS339" s="79">
        <f t="shared" si="224"/>
        <v>641058.4708</v>
      </c>
      <c r="AT339" s="79">
        <f t="shared" si="224"/>
        <v>653264.6402</v>
      </c>
      <c r="AU339" s="79">
        <f t="shared" si="224"/>
        <v>665714.933</v>
      </c>
      <c r="AV339" s="79">
        <f t="shared" si="224"/>
        <v>678414.2316</v>
      </c>
      <c r="AW339" s="90"/>
      <c r="AX339" s="90"/>
      <c r="AY339" s="90"/>
      <c r="AZ339" s="90"/>
      <c r="BA339" s="90"/>
      <c r="BB339" s="90"/>
      <c r="BC339" s="90"/>
      <c r="BD339" s="90"/>
      <c r="BE339" s="90"/>
      <c r="BF339" s="90"/>
      <c r="BG339" s="90"/>
    </row>
    <row r="340" ht="12.75" customHeight="1">
      <c r="A340" s="316"/>
      <c r="B340" s="90"/>
      <c r="C340" s="90"/>
      <c r="D340" s="90"/>
      <c r="E340" s="90"/>
      <c r="F340" s="90"/>
      <c r="G340" s="152"/>
      <c r="H340" s="152"/>
      <c r="I340" s="152"/>
      <c r="J340" s="99"/>
      <c r="K340" s="99"/>
      <c r="L340" s="99"/>
      <c r="M340" s="99"/>
      <c r="N340" s="99"/>
      <c r="O340" s="99"/>
      <c r="P340" s="99"/>
      <c r="Q340" s="99"/>
      <c r="R340" s="152"/>
      <c r="S340" s="152"/>
      <c r="T340" s="152"/>
      <c r="U340" s="152"/>
      <c r="V340" s="152"/>
      <c r="W340" s="152"/>
      <c r="X340" s="152"/>
      <c r="Y340" s="152"/>
      <c r="Z340" s="152"/>
      <c r="AA340" s="152"/>
      <c r="AB340" s="152"/>
      <c r="AC340" s="152"/>
      <c r="AD340" s="152"/>
      <c r="AE340" s="152"/>
      <c r="AF340" s="152"/>
      <c r="AG340" s="152"/>
      <c r="AH340" s="152"/>
      <c r="AI340" s="152"/>
      <c r="AJ340" s="152"/>
      <c r="AK340" s="152"/>
      <c r="AL340" s="152"/>
      <c r="AM340" s="152"/>
      <c r="AN340" s="152"/>
      <c r="AO340" s="152"/>
      <c r="AP340" s="152"/>
      <c r="AQ340" s="152"/>
      <c r="AR340" s="152"/>
      <c r="AS340" s="152"/>
      <c r="AT340" s="152"/>
      <c r="AU340" s="152"/>
      <c r="AV340" s="152"/>
      <c r="AW340" s="90"/>
      <c r="AX340" s="90"/>
      <c r="AY340" s="90"/>
      <c r="AZ340" s="90"/>
      <c r="BA340" s="90"/>
      <c r="BB340" s="90"/>
      <c r="BC340" s="90"/>
      <c r="BD340" s="90"/>
      <c r="BE340" s="90"/>
      <c r="BF340" s="90"/>
      <c r="BG340" s="90"/>
    </row>
    <row r="341" ht="12.75" customHeight="1">
      <c r="A341" s="316"/>
      <c r="B341" s="67" t="s">
        <v>626</v>
      </c>
      <c r="C341" s="90"/>
      <c r="D341" s="90"/>
      <c r="E341" s="90"/>
      <c r="F341" s="90"/>
      <c r="G341" s="90"/>
      <c r="H341" s="90"/>
      <c r="I341" s="99"/>
      <c r="J341" s="99"/>
      <c r="K341" s="99"/>
      <c r="L341" s="99"/>
      <c r="M341" s="99"/>
      <c r="N341" s="99"/>
      <c r="O341" s="99"/>
      <c r="P341" s="99"/>
      <c r="Q341" s="99"/>
      <c r="R341" s="99"/>
      <c r="S341" s="99"/>
      <c r="T341" s="99"/>
      <c r="U341" s="99"/>
      <c r="V341" s="99"/>
      <c r="W341" s="99"/>
      <c r="X341" s="99"/>
      <c r="Y341" s="99"/>
      <c r="Z341" s="99"/>
      <c r="AA341" s="99"/>
      <c r="AB341" s="99"/>
      <c r="AC341" s="99"/>
      <c r="AD341" s="99"/>
      <c r="AE341" s="99"/>
      <c r="AF341" s="99"/>
      <c r="AG341" s="99"/>
      <c r="AH341" s="99"/>
      <c r="AI341" s="99"/>
      <c r="AJ341" s="99"/>
      <c r="AK341" s="99"/>
      <c r="AL341" s="99"/>
      <c r="AM341" s="99"/>
      <c r="AN341" s="99"/>
      <c r="AO341" s="99"/>
      <c r="AP341" s="99"/>
      <c r="AQ341" s="99"/>
      <c r="AR341" s="99"/>
      <c r="AS341" s="99"/>
      <c r="AT341" s="99"/>
      <c r="AU341" s="99"/>
      <c r="AV341" s="99"/>
      <c r="AW341" s="90"/>
      <c r="AX341" s="90"/>
      <c r="AY341" s="90"/>
      <c r="AZ341" s="90"/>
      <c r="BA341" s="90"/>
      <c r="BB341" s="90"/>
      <c r="BC341" s="90"/>
      <c r="BD341" s="90"/>
      <c r="BE341" s="90"/>
      <c r="BF341" s="90"/>
      <c r="BG341" s="90"/>
    </row>
    <row r="342" ht="12.75" customHeight="1">
      <c r="A342" s="316"/>
      <c r="B342" s="67"/>
      <c r="C342" s="90" t="s">
        <v>1244</v>
      </c>
      <c r="D342" s="90"/>
      <c r="E342" s="90"/>
      <c r="F342" s="90"/>
      <c r="G342" s="99"/>
      <c r="H342" s="99"/>
      <c r="I342" s="99"/>
      <c r="J342" s="99">
        <v>0.0</v>
      </c>
      <c r="K342" s="99">
        <f>8694.52+6119+9280</f>
        <v>24093.52</v>
      </c>
      <c r="L342" s="99">
        <f t="shared" ref="L342:AV342" si="225">L210*L143</f>
        <v>28000</v>
      </c>
      <c r="M342" s="99">
        <f t="shared" si="225"/>
        <v>28560</v>
      </c>
      <c r="N342" s="99">
        <f t="shared" si="225"/>
        <v>29131.2</v>
      </c>
      <c r="O342" s="99">
        <f t="shared" si="225"/>
        <v>25999.596</v>
      </c>
      <c r="P342" s="99">
        <f t="shared" si="225"/>
        <v>26519.58792</v>
      </c>
      <c r="Q342" s="99">
        <f t="shared" si="225"/>
        <v>19321.41406</v>
      </c>
      <c r="R342" s="99">
        <f t="shared" si="225"/>
        <v>19707.84234</v>
      </c>
      <c r="S342" s="99">
        <f t="shared" si="225"/>
        <v>20101.99918</v>
      </c>
      <c r="T342" s="99">
        <f t="shared" si="225"/>
        <v>20504.03917</v>
      </c>
      <c r="U342" s="99">
        <f t="shared" si="225"/>
        <v>20914.11995</v>
      </c>
      <c r="V342" s="99">
        <f t="shared" si="225"/>
        <v>21332.40235</v>
      </c>
      <c r="W342" s="99">
        <f t="shared" si="225"/>
        <v>21759.0504</v>
      </c>
      <c r="X342" s="99">
        <f t="shared" si="225"/>
        <v>22194.2314</v>
      </c>
      <c r="Y342" s="99">
        <f t="shared" si="225"/>
        <v>22638.11603</v>
      </c>
      <c r="Z342" s="99">
        <f t="shared" si="225"/>
        <v>23090.87835</v>
      </c>
      <c r="AA342" s="99">
        <f t="shared" si="225"/>
        <v>23552.69592</v>
      </c>
      <c r="AB342" s="99">
        <f t="shared" si="225"/>
        <v>24023.74984</v>
      </c>
      <c r="AC342" s="99">
        <f t="shared" si="225"/>
        <v>24504.22484</v>
      </c>
      <c r="AD342" s="99">
        <f t="shared" si="225"/>
        <v>24994.30933</v>
      </c>
      <c r="AE342" s="99">
        <f t="shared" si="225"/>
        <v>25494.19552</v>
      </c>
      <c r="AF342" s="99">
        <f t="shared" si="225"/>
        <v>26004.07943</v>
      </c>
      <c r="AG342" s="99">
        <f t="shared" si="225"/>
        <v>26524.16102</v>
      </c>
      <c r="AH342" s="99">
        <f t="shared" si="225"/>
        <v>27054.64424</v>
      </c>
      <c r="AI342" s="99">
        <f t="shared" si="225"/>
        <v>27595.73712</v>
      </c>
      <c r="AJ342" s="99">
        <f t="shared" si="225"/>
        <v>28147.65187</v>
      </c>
      <c r="AK342" s="99">
        <f t="shared" si="225"/>
        <v>28710.6049</v>
      </c>
      <c r="AL342" s="99">
        <f t="shared" si="225"/>
        <v>29284.817</v>
      </c>
      <c r="AM342" s="99">
        <f t="shared" si="225"/>
        <v>29870.51334</v>
      </c>
      <c r="AN342" s="99">
        <f t="shared" si="225"/>
        <v>30467.92361</v>
      </c>
      <c r="AO342" s="99">
        <f t="shared" si="225"/>
        <v>31077.28208</v>
      </c>
      <c r="AP342" s="99">
        <f t="shared" si="225"/>
        <v>31698.82772</v>
      </c>
      <c r="AQ342" s="99">
        <f t="shared" si="225"/>
        <v>32332.80428</v>
      </c>
      <c r="AR342" s="99">
        <f t="shared" si="225"/>
        <v>32979.46036</v>
      </c>
      <c r="AS342" s="99">
        <f t="shared" si="225"/>
        <v>33639.04957</v>
      </c>
      <c r="AT342" s="99">
        <f t="shared" si="225"/>
        <v>34311.83056</v>
      </c>
      <c r="AU342" s="99">
        <f t="shared" si="225"/>
        <v>34998.06717</v>
      </c>
      <c r="AV342" s="99">
        <f t="shared" si="225"/>
        <v>35698.02852</v>
      </c>
      <c r="AW342" s="90"/>
      <c r="AX342" s="90"/>
      <c r="AY342" s="90"/>
      <c r="AZ342" s="90"/>
      <c r="BA342" s="90"/>
      <c r="BB342" s="90"/>
      <c r="BC342" s="90"/>
      <c r="BD342" s="90"/>
      <c r="BE342" s="90"/>
      <c r="BF342" s="90"/>
      <c r="BG342" s="90"/>
    </row>
    <row r="343" ht="12.75" customHeight="1">
      <c r="A343" s="316"/>
      <c r="B343" s="90"/>
      <c r="C343" s="90" t="s">
        <v>820</v>
      </c>
      <c r="D343" s="90"/>
      <c r="E343" s="90"/>
      <c r="F343" s="90"/>
      <c r="G343" s="99"/>
      <c r="H343" s="99"/>
      <c r="I343" s="99"/>
      <c r="J343" s="99">
        <v>0.0</v>
      </c>
      <c r="K343" s="99"/>
      <c r="L343" s="99">
        <f t="shared" ref="L343:AV343" si="226">L211*L146</f>
        <v>10500</v>
      </c>
      <c r="M343" s="99">
        <f t="shared" si="226"/>
        <v>11424</v>
      </c>
      <c r="N343" s="99">
        <f t="shared" si="226"/>
        <v>11652.48</v>
      </c>
      <c r="O343" s="99">
        <f t="shared" si="226"/>
        <v>10399.8384</v>
      </c>
      <c r="P343" s="99">
        <f t="shared" si="226"/>
        <v>10607.83517</v>
      </c>
      <c r="Q343" s="99">
        <f t="shared" si="226"/>
        <v>7728.565622</v>
      </c>
      <c r="R343" s="99">
        <f t="shared" si="226"/>
        <v>7883.136935</v>
      </c>
      <c r="S343" s="99">
        <f t="shared" si="226"/>
        <v>8040.799674</v>
      </c>
      <c r="T343" s="99">
        <f t="shared" si="226"/>
        <v>8201.615667</v>
      </c>
      <c r="U343" s="99">
        <f t="shared" si="226"/>
        <v>8365.64798</v>
      </c>
      <c r="V343" s="99">
        <f t="shared" si="226"/>
        <v>8532.96094</v>
      </c>
      <c r="W343" s="99">
        <f t="shared" si="226"/>
        <v>8703.620159</v>
      </c>
      <c r="X343" s="99">
        <f t="shared" si="226"/>
        <v>8877.692562</v>
      </c>
      <c r="Y343" s="99">
        <f t="shared" si="226"/>
        <v>9055.246413</v>
      </c>
      <c r="Z343" s="99">
        <f t="shared" si="226"/>
        <v>9236.351341</v>
      </c>
      <c r="AA343" s="99">
        <f t="shared" si="226"/>
        <v>9421.078368</v>
      </c>
      <c r="AB343" s="99">
        <f t="shared" si="226"/>
        <v>9609.499936</v>
      </c>
      <c r="AC343" s="99">
        <f t="shared" si="226"/>
        <v>9801.689934</v>
      </c>
      <c r="AD343" s="99">
        <f t="shared" si="226"/>
        <v>9997.723733</v>
      </c>
      <c r="AE343" s="99">
        <f t="shared" si="226"/>
        <v>10197.67821</v>
      </c>
      <c r="AF343" s="99">
        <f t="shared" si="226"/>
        <v>10401.63177</v>
      </c>
      <c r="AG343" s="99">
        <f t="shared" si="226"/>
        <v>10609.66441</v>
      </c>
      <c r="AH343" s="99">
        <f t="shared" si="226"/>
        <v>10821.8577</v>
      </c>
      <c r="AI343" s="99">
        <f t="shared" si="226"/>
        <v>11038.29485</v>
      </c>
      <c r="AJ343" s="99">
        <f t="shared" si="226"/>
        <v>11259.06075</v>
      </c>
      <c r="AK343" s="99">
        <f t="shared" si="226"/>
        <v>11484.24196</v>
      </c>
      <c r="AL343" s="99">
        <f t="shared" si="226"/>
        <v>11713.9268</v>
      </c>
      <c r="AM343" s="99">
        <f t="shared" si="226"/>
        <v>11948.20534</v>
      </c>
      <c r="AN343" s="99">
        <f t="shared" si="226"/>
        <v>12187.16944</v>
      </c>
      <c r="AO343" s="99">
        <f t="shared" si="226"/>
        <v>12430.91283</v>
      </c>
      <c r="AP343" s="99">
        <f t="shared" si="226"/>
        <v>12679.53109</v>
      </c>
      <c r="AQ343" s="99">
        <f t="shared" si="226"/>
        <v>12933.12171</v>
      </c>
      <c r="AR343" s="99">
        <f t="shared" si="226"/>
        <v>13191.78414</v>
      </c>
      <c r="AS343" s="99">
        <f t="shared" si="226"/>
        <v>13455.61983</v>
      </c>
      <c r="AT343" s="99">
        <f t="shared" si="226"/>
        <v>13724.73222</v>
      </c>
      <c r="AU343" s="99">
        <f t="shared" si="226"/>
        <v>13999.22687</v>
      </c>
      <c r="AV343" s="99">
        <f t="shared" si="226"/>
        <v>14279.21141</v>
      </c>
      <c r="AW343" s="90"/>
      <c r="AX343" s="90"/>
      <c r="AY343" s="90"/>
      <c r="AZ343" s="90"/>
      <c r="BA343" s="90"/>
      <c r="BB343" s="90"/>
      <c r="BC343" s="90"/>
      <c r="BD343" s="90"/>
      <c r="BE343" s="90"/>
      <c r="BF343" s="90"/>
      <c r="BG343" s="90"/>
    </row>
    <row r="344" ht="12.75" customHeight="1">
      <c r="A344" s="316"/>
      <c r="B344" s="90"/>
      <c r="C344" s="90" t="s">
        <v>821</v>
      </c>
      <c r="D344" s="90"/>
      <c r="E344" s="90"/>
      <c r="F344" s="90"/>
      <c r="G344" s="99"/>
      <c r="H344" s="99"/>
      <c r="I344" s="99"/>
      <c r="J344" s="99">
        <f>J212*J46</f>
        <v>0</v>
      </c>
      <c r="K344" s="99"/>
      <c r="L344" s="99">
        <f t="shared" ref="L344:AV344" si="227">L212*L46</f>
        <v>0</v>
      </c>
      <c r="M344" s="99">
        <f t="shared" si="227"/>
        <v>0</v>
      </c>
      <c r="N344" s="99">
        <f t="shared" si="227"/>
        <v>0</v>
      </c>
      <c r="O344" s="99">
        <f t="shared" si="227"/>
        <v>0</v>
      </c>
      <c r="P344" s="99">
        <f t="shared" si="227"/>
        <v>0</v>
      </c>
      <c r="Q344" s="99">
        <f t="shared" si="227"/>
        <v>0</v>
      </c>
      <c r="R344" s="99">
        <f t="shared" si="227"/>
        <v>0</v>
      </c>
      <c r="S344" s="99">
        <f t="shared" si="227"/>
        <v>0</v>
      </c>
      <c r="T344" s="99">
        <f t="shared" si="227"/>
        <v>0</v>
      </c>
      <c r="U344" s="99">
        <f t="shared" si="227"/>
        <v>0</v>
      </c>
      <c r="V344" s="99">
        <f t="shared" si="227"/>
        <v>0</v>
      </c>
      <c r="W344" s="99">
        <f t="shared" si="227"/>
        <v>0</v>
      </c>
      <c r="X344" s="99">
        <f t="shared" si="227"/>
        <v>0</v>
      </c>
      <c r="Y344" s="99">
        <f t="shared" si="227"/>
        <v>0</v>
      </c>
      <c r="Z344" s="99">
        <f t="shared" si="227"/>
        <v>0</v>
      </c>
      <c r="AA344" s="99">
        <f t="shared" si="227"/>
        <v>0</v>
      </c>
      <c r="AB344" s="99">
        <f t="shared" si="227"/>
        <v>0</v>
      </c>
      <c r="AC344" s="99">
        <f t="shared" si="227"/>
        <v>0</v>
      </c>
      <c r="AD344" s="99">
        <f t="shared" si="227"/>
        <v>0</v>
      </c>
      <c r="AE344" s="99">
        <f t="shared" si="227"/>
        <v>0</v>
      </c>
      <c r="AF344" s="99">
        <f t="shared" si="227"/>
        <v>0</v>
      </c>
      <c r="AG344" s="99">
        <f t="shared" si="227"/>
        <v>0</v>
      </c>
      <c r="AH344" s="99">
        <f t="shared" si="227"/>
        <v>0</v>
      </c>
      <c r="AI344" s="99">
        <f t="shared" si="227"/>
        <v>0</v>
      </c>
      <c r="AJ344" s="99">
        <f t="shared" si="227"/>
        <v>0</v>
      </c>
      <c r="AK344" s="99">
        <f t="shared" si="227"/>
        <v>0</v>
      </c>
      <c r="AL344" s="99">
        <f t="shared" si="227"/>
        <v>0</v>
      </c>
      <c r="AM344" s="99">
        <f t="shared" si="227"/>
        <v>0</v>
      </c>
      <c r="AN344" s="99">
        <f t="shared" si="227"/>
        <v>0</v>
      </c>
      <c r="AO344" s="99">
        <f t="shared" si="227"/>
        <v>0</v>
      </c>
      <c r="AP344" s="99">
        <f t="shared" si="227"/>
        <v>0</v>
      </c>
      <c r="AQ344" s="99">
        <f t="shared" si="227"/>
        <v>0</v>
      </c>
      <c r="AR344" s="99">
        <f t="shared" si="227"/>
        <v>0</v>
      </c>
      <c r="AS344" s="99">
        <f t="shared" si="227"/>
        <v>0</v>
      </c>
      <c r="AT344" s="99">
        <f t="shared" si="227"/>
        <v>0</v>
      </c>
      <c r="AU344" s="99">
        <f t="shared" si="227"/>
        <v>0</v>
      </c>
      <c r="AV344" s="99">
        <f t="shared" si="227"/>
        <v>0</v>
      </c>
      <c r="AW344" s="90"/>
      <c r="AX344" s="90"/>
      <c r="AY344" s="90"/>
      <c r="AZ344" s="90"/>
      <c r="BA344" s="90"/>
      <c r="BB344" s="90"/>
      <c r="BC344" s="90"/>
      <c r="BD344" s="90"/>
      <c r="BE344" s="90"/>
      <c r="BF344" s="90"/>
      <c r="BG344" s="90"/>
    </row>
    <row r="345" ht="12.75" customHeight="1">
      <c r="A345" s="316"/>
      <c r="B345" s="90"/>
      <c r="C345" s="90" t="s">
        <v>1245</v>
      </c>
      <c r="D345" s="90"/>
      <c r="E345" s="90"/>
      <c r="F345" s="90"/>
      <c r="G345" s="99"/>
      <c r="H345" s="99"/>
      <c r="I345" s="99"/>
      <c r="J345" s="99">
        <v>0.0</v>
      </c>
      <c r="K345" s="99">
        <v>123160.0</v>
      </c>
      <c r="L345" s="99">
        <f t="shared" ref="L345:AV345" si="228">L213</f>
        <v>25000</v>
      </c>
      <c r="M345" s="99">
        <f t="shared" si="228"/>
        <v>25500</v>
      </c>
      <c r="N345" s="99">
        <f t="shared" si="228"/>
        <v>26010</v>
      </c>
      <c r="O345" s="99">
        <f t="shared" si="228"/>
        <v>26530.2</v>
      </c>
      <c r="P345" s="99">
        <f t="shared" si="228"/>
        <v>27060.804</v>
      </c>
      <c r="Q345" s="99">
        <f t="shared" si="228"/>
        <v>27602.02008</v>
      </c>
      <c r="R345" s="99">
        <f t="shared" si="228"/>
        <v>28154.06048</v>
      </c>
      <c r="S345" s="99">
        <f t="shared" si="228"/>
        <v>28717.14169</v>
      </c>
      <c r="T345" s="99">
        <f t="shared" si="228"/>
        <v>29291.48453</v>
      </c>
      <c r="U345" s="99">
        <f t="shared" si="228"/>
        <v>29877.31422</v>
      </c>
      <c r="V345" s="99">
        <f t="shared" si="228"/>
        <v>30474.8605</v>
      </c>
      <c r="W345" s="99">
        <f t="shared" si="228"/>
        <v>31084.35771</v>
      </c>
      <c r="X345" s="99">
        <f t="shared" si="228"/>
        <v>31706.04486</v>
      </c>
      <c r="Y345" s="99">
        <f t="shared" si="228"/>
        <v>32340.16576</v>
      </c>
      <c r="Z345" s="99">
        <f t="shared" si="228"/>
        <v>32986.96908</v>
      </c>
      <c r="AA345" s="99">
        <f t="shared" si="228"/>
        <v>33646.70846</v>
      </c>
      <c r="AB345" s="99">
        <f t="shared" si="228"/>
        <v>34319.64263</v>
      </c>
      <c r="AC345" s="99">
        <f t="shared" si="228"/>
        <v>35006.03548</v>
      </c>
      <c r="AD345" s="99">
        <f t="shared" si="228"/>
        <v>35706.15619</v>
      </c>
      <c r="AE345" s="99">
        <f t="shared" si="228"/>
        <v>36420.27931</v>
      </c>
      <c r="AF345" s="99">
        <f t="shared" si="228"/>
        <v>37148.6849</v>
      </c>
      <c r="AG345" s="99">
        <f t="shared" si="228"/>
        <v>37891.6586</v>
      </c>
      <c r="AH345" s="99">
        <f t="shared" si="228"/>
        <v>38649.49177</v>
      </c>
      <c r="AI345" s="99">
        <f t="shared" si="228"/>
        <v>39422.4816</v>
      </c>
      <c r="AJ345" s="99">
        <f t="shared" si="228"/>
        <v>40210.93124</v>
      </c>
      <c r="AK345" s="99">
        <f t="shared" si="228"/>
        <v>41015.14986</v>
      </c>
      <c r="AL345" s="99">
        <f t="shared" si="228"/>
        <v>41835.45286</v>
      </c>
      <c r="AM345" s="99">
        <f t="shared" si="228"/>
        <v>42672.16192</v>
      </c>
      <c r="AN345" s="99">
        <f t="shared" si="228"/>
        <v>43525.60515</v>
      </c>
      <c r="AO345" s="99">
        <f t="shared" si="228"/>
        <v>44396.11726</v>
      </c>
      <c r="AP345" s="99">
        <f t="shared" si="228"/>
        <v>45284.0396</v>
      </c>
      <c r="AQ345" s="99">
        <f t="shared" si="228"/>
        <v>46189.72039</v>
      </c>
      <c r="AR345" s="99">
        <f t="shared" si="228"/>
        <v>47113.5148</v>
      </c>
      <c r="AS345" s="99">
        <f t="shared" si="228"/>
        <v>48055.7851</v>
      </c>
      <c r="AT345" s="99">
        <f t="shared" si="228"/>
        <v>49016.9008</v>
      </c>
      <c r="AU345" s="99">
        <f t="shared" si="228"/>
        <v>49997.23882</v>
      </c>
      <c r="AV345" s="99">
        <f t="shared" si="228"/>
        <v>50997.18359</v>
      </c>
      <c r="AW345" s="90"/>
      <c r="AX345" s="90"/>
      <c r="AY345" s="90"/>
      <c r="AZ345" s="90"/>
      <c r="BA345" s="90"/>
      <c r="BB345" s="90"/>
      <c r="BC345" s="90"/>
      <c r="BD345" s="90"/>
      <c r="BE345" s="90"/>
      <c r="BF345" s="90"/>
      <c r="BG345" s="90"/>
    </row>
    <row r="346" ht="12.75" customHeight="1">
      <c r="A346" s="316"/>
      <c r="B346" s="90"/>
      <c r="C346" s="90" t="s">
        <v>1246</v>
      </c>
      <c r="D346" s="90"/>
      <c r="E346" s="90"/>
      <c r="F346" s="90"/>
      <c r="G346" s="99"/>
      <c r="H346" s="89"/>
      <c r="I346" s="99"/>
      <c r="J346" s="99">
        <v>0.0</v>
      </c>
      <c r="K346" s="99">
        <f>45151.7+3265+32259</f>
        <v>80675.7</v>
      </c>
      <c r="L346" s="99">
        <f>L214</f>
        <v>65000</v>
      </c>
      <c r="M346" s="99">
        <f t="shared" ref="M346:AV346" si="229">L346</f>
        <v>65000</v>
      </c>
      <c r="N346" s="99">
        <f t="shared" si="229"/>
        <v>65000</v>
      </c>
      <c r="O346" s="99">
        <f t="shared" si="229"/>
        <v>65000</v>
      </c>
      <c r="P346" s="99">
        <f t="shared" si="229"/>
        <v>65000</v>
      </c>
      <c r="Q346" s="99">
        <f t="shared" si="229"/>
        <v>65000</v>
      </c>
      <c r="R346" s="99">
        <f t="shared" si="229"/>
        <v>65000</v>
      </c>
      <c r="S346" s="99">
        <f t="shared" si="229"/>
        <v>65000</v>
      </c>
      <c r="T346" s="99">
        <f t="shared" si="229"/>
        <v>65000</v>
      </c>
      <c r="U346" s="99">
        <f t="shared" si="229"/>
        <v>65000</v>
      </c>
      <c r="V346" s="99">
        <f t="shared" si="229"/>
        <v>65000</v>
      </c>
      <c r="W346" s="99">
        <f t="shared" si="229"/>
        <v>65000</v>
      </c>
      <c r="X346" s="99">
        <f t="shared" si="229"/>
        <v>65000</v>
      </c>
      <c r="Y346" s="99">
        <f t="shared" si="229"/>
        <v>65000</v>
      </c>
      <c r="Z346" s="99">
        <f t="shared" si="229"/>
        <v>65000</v>
      </c>
      <c r="AA346" s="99">
        <f t="shared" si="229"/>
        <v>65000</v>
      </c>
      <c r="AB346" s="99">
        <f t="shared" si="229"/>
        <v>65000</v>
      </c>
      <c r="AC346" s="99">
        <f t="shared" si="229"/>
        <v>65000</v>
      </c>
      <c r="AD346" s="99">
        <f t="shared" si="229"/>
        <v>65000</v>
      </c>
      <c r="AE346" s="99">
        <f t="shared" si="229"/>
        <v>65000</v>
      </c>
      <c r="AF346" s="99">
        <f t="shared" si="229"/>
        <v>65000</v>
      </c>
      <c r="AG346" s="99">
        <f t="shared" si="229"/>
        <v>65000</v>
      </c>
      <c r="AH346" s="99">
        <f t="shared" si="229"/>
        <v>65000</v>
      </c>
      <c r="AI346" s="99">
        <f t="shared" si="229"/>
        <v>65000</v>
      </c>
      <c r="AJ346" s="99">
        <f t="shared" si="229"/>
        <v>65000</v>
      </c>
      <c r="AK346" s="99">
        <f t="shared" si="229"/>
        <v>65000</v>
      </c>
      <c r="AL346" s="99">
        <f t="shared" si="229"/>
        <v>65000</v>
      </c>
      <c r="AM346" s="99">
        <f t="shared" si="229"/>
        <v>65000</v>
      </c>
      <c r="AN346" s="99">
        <f t="shared" si="229"/>
        <v>65000</v>
      </c>
      <c r="AO346" s="99">
        <f t="shared" si="229"/>
        <v>65000</v>
      </c>
      <c r="AP346" s="99">
        <f t="shared" si="229"/>
        <v>65000</v>
      </c>
      <c r="AQ346" s="99">
        <f t="shared" si="229"/>
        <v>65000</v>
      </c>
      <c r="AR346" s="99">
        <f t="shared" si="229"/>
        <v>65000</v>
      </c>
      <c r="AS346" s="99">
        <f t="shared" si="229"/>
        <v>65000</v>
      </c>
      <c r="AT346" s="99">
        <f t="shared" si="229"/>
        <v>65000</v>
      </c>
      <c r="AU346" s="99">
        <f t="shared" si="229"/>
        <v>65000</v>
      </c>
      <c r="AV346" s="99">
        <f t="shared" si="229"/>
        <v>65000</v>
      </c>
      <c r="AW346" s="90"/>
      <c r="AX346" s="90"/>
      <c r="AY346" s="90"/>
      <c r="AZ346" s="90"/>
      <c r="BA346" s="90"/>
      <c r="BB346" s="90"/>
      <c r="BC346" s="90"/>
      <c r="BD346" s="90"/>
      <c r="BE346" s="90"/>
      <c r="BF346" s="90"/>
      <c r="BG346" s="90"/>
    </row>
    <row r="347" ht="12.75" customHeight="1">
      <c r="A347" s="316"/>
      <c r="B347" s="90"/>
      <c r="C347" s="90" t="s">
        <v>822</v>
      </c>
      <c r="D347" s="90"/>
      <c r="E347" s="90"/>
      <c r="F347" s="90"/>
      <c r="G347" s="99"/>
      <c r="H347" s="89"/>
      <c r="I347" s="99"/>
      <c r="J347" s="99">
        <v>0.0</v>
      </c>
      <c r="K347" s="99">
        <v>33540.21</v>
      </c>
      <c r="L347" s="99">
        <f t="shared" ref="L347:AV347" si="230">L215*L146</f>
        <v>30000</v>
      </c>
      <c r="M347" s="99">
        <f t="shared" si="230"/>
        <v>32640</v>
      </c>
      <c r="N347" s="99">
        <f t="shared" si="230"/>
        <v>33292.8</v>
      </c>
      <c r="O347" s="99">
        <f t="shared" si="230"/>
        <v>29713.824</v>
      </c>
      <c r="P347" s="99">
        <f t="shared" si="230"/>
        <v>30308.10048</v>
      </c>
      <c r="Q347" s="99">
        <f t="shared" si="230"/>
        <v>22081.61606</v>
      </c>
      <c r="R347" s="99">
        <f t="shared" si="230"/>
        <v>22523.24839</v>
      </c>
      <c r="S347" s="99">
        <f t="shared" si="230"/>
        <v>22973.71335</v>
      </c>
      <c r="T347" s="99">
        <f t="shared" si="230"/>
        <v>23433.18762</v>
      </c>
      <c r="U347" s="99">
        <f t="shared" si="230"/>
        <v>23901.85137</v>
      </c>
      <c r="V347" s="99">
        <f t="shared" si="230"/>
        <v>24379.8884</v>
      </c>
      <c r="W347" s="99">
        <f t="shared" si="230"/>
        <v>24867.48617</v>
      </c>
      <c r="X347" s="99">
        <f t="shared" si="230"/>
        <v>25364.83589</v>
      </c>
      <c r="Y347" s="99">
        <f t="shared" si="230"/>
        <v>25872.13261</v>
      </c>
      <c r="Z347" s="99">
        <f t="shared" si="230"/>
        <v>26389.57526</v>
      </c>
      <c r="AA347" s="99">
        <f t="shared" si="230"/>
        <v>26917.36677</v>
      </c>
      <c r="AB347" s="99">
        <f t="shared" si="230"/>
        <v>27455.7141</v>
      </c>
      <c r="AC347" s="99">
        <f t="shared" si="230"/>
        <v>28004.82838</v>
      </c>
      <c r="AD347" s="99">
        <f t="shared" si="230"/>
        <v>28564.92495</v>
      </c>
      <c r="AE347" s="99">
        <f t="shared" si="230"/>
        <v>29136.22345</v>
      </c>
      <c r="AF347" s="99">
        <f t="shared" si="230"/>
        <v>29718.94792</v>
      </c>
      <c r="AG347" s="99">
        <f t="shared" si="230"/>
        <v>30313.32688</v>
      </c>
      <c r="AH347" s="99">
        <f t="shared" si="230"/>
        <v>30919.59342</v>
      </c>
      <c r="AI347" s="99">
        <f t="shared" si="230"/>
        <v>31537.98528</v>
      </c>
      <c r="AJ347" s="99">
        <f t="shared" si="230"/>
        <v>32168.74499</v>
      </c>
      <c r="AK347" s="99">
        <f t="shared" si="230"/>
        <v>32812.11989</v>
      </c>
      <c r="AL347" s="99">
        <f t="shared" si="230"/>
        <v>33468.36229</v>
      </c>
      <c r="AM347" s="99">
        <f t="shared" si="230"/>
        <v>34137.72953</v>
      </c>
      <c r="AN347" s="99">
        <f t="shared" si="230"/>
        <v>34820.48412</v>
      </c>
      <c r="AO347" s="99">
        <f t="shared" si="230"/>
        <v>35516.89381</v>
      </c>
      <c r="AP347" s="99">
        <f t="shared" si="230"/>
        <v>36227.23168</v>
      </c>
      <c r="AQ347" s="99">
        <f t="shared" si="230"/>
        <v>36951.77632</v>
      </c>
      <c r="AR347" s="99">
        <f t="shared" si="230"/>
        <v>37690.81184</v>
      </c>
      <c r="AS347" s="99">
        <f t="shared" si="230"/>
        <v>38444.62808</v>
      </c>
      <c r="AT347" s="99">
        <f t="shared" si="230"/>
        <v>39213.52064</v>
      </c>
      <c r="AU347" s="99">
        <f t="shared" si="230"/>
        <v>39997.79105</v>
      </c>
      <c r="AV347" s="99">
        <f t="shared" si="230"/>
        <v>40797.74687</v>
      </c>
      <c r="AW347" s="90"/>
      <c r="AX347" s="90"/>
      <c r="AY347" s="90"/>
      <c r="AZ347" s="90"/>
      <c r="BA347" s="90"/>
      <c r="BB347" s="90"/>
      <c r="BC347" s="90"/>
      <c r="BD347" s="90"/>
      <c r="BE347" s="90"/>
      <c r="BF347" s="90"/>
      <c r="BG347" s="90"/>
    </row>
    <row r="348" ht="12.75" customHeight="1">
      <c r="A348" s="316"/>
      <c r="B348" s="90"/>
      <c r="C348" s="90" t="s">
        <v>332</v>
      </c>
      <c r="D348" s="90"/>
      <c r="E348" s="90"/>
      <c r="F348" s="90"/>
      <c r="G348" s="99"/>
      <c r="H348" s="89"/>
      <c r="I348" s="99"/>
      <c r="J348" s="99">
        <v>0.0</v>
      </c>
      <c r="K348" s="99"/>
      <c r="L348" s="99">
        <f>'RSGen 1-7'!I348</f>
        <v>20000</v>
      </c>
      <c r="M348" s="99">
        <f t="shared" ref="M348:AV348" si="231">L348*(1+M194)</f>
        <v>20400</v>
      </c>
      <c r="N348" s="99">
        <f t="shared" si="231"/>
        <v>20808</v>
      </c>
      <c r="O348" s="99">
        <f t="shared" si="231"/>
        <v>21224.16</v>
      </c>
      <c r="P348" s="99">
        <f t="shared" si="231"/>
        <v>21648.6432</v>
      </c>
      <c r="Q348" s="99">
        <f t="shared" si="231"/>
        <v>22081.61606</v>
      </c>
      <c r="R348" s="99">
        <f t="shared" si="231"/>
        <v>22523.24839</v>
      </c>
      <c r="S348" s="99">
        <f t="shared" si="231"/>
        <v>22973.71335</v>
      </c>
      <c r="T348" s="99">
        <f t="shared" si="231"/>
        <v>23433.18762</v>
      </c>
      <c r="U348" s="99">
        <f t="shared" si="231"/>
        <v>23901.85137</v>
      </c>
      <c r="V348" s="99">
        <f t="shared" si="231"/>
        <v>24379.8884</v>
      </c>
      <c r="W348" s="99">
        <f t="shared" si="231"/>
        <v>24867.48617</v>
      </c>
      <c r="X348" s="99">
        <f t="shared" si="231"/>
        <v>25364.83589</v>
      </c>
      <c r="Y348" s="99">
        <f t="shared" si="231"/>
        <v>25872.13261</v>
      </c>
      <c r="Z348" s="99">
        <f t="shared" si="231"/>
        <v>26389.57526</v>
      </c>
      <c r="AA348" s="99">
        <f t="shared" si="231"/>
        <v>26917.36677</v>
      </c>
      <c r="AB348" s="99">
        <f t="shared" si="231"/>
        <v>27455.7141</v>
      </c>
      <c r="AC348" s="99">
        <f t="shared" si="231"/>
        <v>28004.82838</v>
      </c>
      <c r="AD348" s="99">
        <f t="shared" si="231"/>
        <v>28564.92495</v>
      </c>
      <c r="AE348" s="99">
        <f t="shared" si="231"/>
        <v>29136.22345</v>
      </c>
      <c r="AF348" s="99">
        <f t="shared" si="231"/>
        <v>29718.94792</v>
      </c>
      <c r="AG348" s="99">
        <f t="shared" si="231"/>
        <v>30313.32688</v>
      </c>
      <c r="AH348" s="99">
        <f t="shared" si="231"/>
        <v>30919.59342</v>
      </c>
      <c r="AI348" s="99">
        <f t="shared" si="231"/>
        <v>31537.98528</v>
      </c>
      <c r="AJ348" s="99">
        <f t="shared" si="231"/>
        <v>32168.74499</v>
      </c>
      <c r="AK348" s="99">
        <f t="shared" si="231"/>
        <v>32812.11989</v>
      </c>
      <c r="AL348" s="99">
        <f t="shared" si="231"/>
        <v>33468.36229</v>
      </c>
      <c r="AM348" s="99">
        <f t="shared" si="231"/>
        <v>34137.72953</v>
      </c>
      <c r="AN348" s="99">
        <f t="shared" si="231"/>
        <v>34820.48412</v>
      </c>
      <c r="AO348" s="99">
        <f t="shared" si="231"/>
        <v>35516.89381</v>
      </c>
      <c r="AP348" s="99">
        <f t="shared" si="231"/>
        <v>36227.23168</v>
      </c>
      <c r="AQ348" s="99">
        <f t="shared" si="231"/>
        <v>36951.77632</v>
      </c>
      <c r="AR348" s="99">
        <f t="shared" si="231"/>
        <v>37690.81184</v>
      </c>
      <c r="AS348" s="99">
        <f t="shared" si="231"/>
        <v>38444.62808</v>
      </c>
      <c r="AT348" s="99">
        <f t="shared" si="231"/>
        <v>39213.52064</v>
      </c>
      <c r="AU348" s="99">
        <f t="shared" si="231"/>
        <v>39997.79105</v>
      </c>
      <c r="AV348" s="99">
        <f t="shared" si="231"/>
        <v>40797.74687</v>
      </c>
      <c r="AW348" s="90"/>
      <c r="AX348" s="90"/>
      <c r="AY348" s="90"/>
      <c r="AZ348" s="90"/>
      <c r="BA348" s="90"/>
      <c r="BB348" s="90"/>
      <c r="BC348" s="90"/>
      <c r="BD348" s="90"/>
      <c r="BE348" s="90"/>
      <c r="BF348" s="90"/>
      <c r="BG348" s="90"/>
    </row>
    <row r="349" ht="12.75" customHeight="1">
      <c r="A349" s="316"/>
      <c r="B349" s="90"/>
      <c r="C349" s="90" t="s">
        <v>823</v>
      </c>
      <c r="D349" s="90"/>
      <c r="E349" s="90"/>
      <c r="F349" s="90"/>
      <c r="G349" s="99"/>
      <c r="H349" s="99"/>
      <c r="I349" s="99"/>
      <c r="J349" s="99"/>
      <c r="K349" s="99"/>
      <c r="L349" s="99"/>
      <c r="M349" s="99"/>
      <c r="N349" s="99"/>
      <c r="O349" s="99"/>
      <c r="P349" s="99"/>
      <c r="Q349" s="99"/>
      <c r="R349" s="99"/>
      <c r="S349" s="99"/>
      <c r="T349" s="99"/>
      <c r="U349" s="99"/>
      <c r="V349" s="99"/>
      <c r="W349" s="99"/>
      <c r="X349" s="99"/>
      <c r="Y349" s="99"/>
      <c r="Z349" s="99"/>
      <c r="AA349" s="99"/>
      <c r="AB349" s="99"/>
      <c r="AC349" s="99"/>
      <c r="AD349" s="99"/>
      <c r="AE349" s="99"/>
      <c r="AF349" s="99"/>
      <c r="AG349" s="99"/>
      <c r="AH349" s="99"/>
      <c r="AI349" s="99"/>
      <c r="AJ349" s="99"/>
      <c r="AK349" s="99"/>
      <c r="AL349" s="99"/>
      <c r="AM349" s="99"/>
      <c r="AN349" s="99"/>
      <c r="AO349" s="99"/>
      <c r="AP349" s="99"/>
      <c r="AQ349" s="99"/>
      <c r="AR349" s="99"/>
      <c r="AS349" s="99"/>
      <c r="AT349" s="99"/>
      <c r="AU349" s="99"/>
      <c r="AV349" s="99"/>
      <c r="AW349" s="90"/>
      <c r="AX349" s="90"/>
      <c r="AY349" s="90"/>
      <c r="AZ349" s="90"/>
      <c r="BA349" s="90"/>
      <c r="BB349" s="90"/>
      <c r="BC349" s="90"/>
      <c r="BD349" s="90"/>
      <c r="BE349" s="90"/>
      <c r="BF349" s="90"/>
      <c r="BG349" s="90"/>
    </row>
    <row r="350" ht="12.75" customHeight="1">
      <c r="A350" s="316"/>
      <c r="B350" s="90"/>
      <c r="C350" s="90"/>
      <c r="D350" s="90" t="s">
        <v>339</v>
      </c>
      <c r="E350" s="90"/>
      <c r="F350" s="90"/>
      <c r="G350" s="99"/>
      <c r="H350" s="99"/>
      <c r="I350" s="99"/>
      <c r="J350" s="99">
        <f>'FY09 P&amp;L'!C170</f>
        <v>2754.17</v>
      </c>
      <c r="K350" s="99">
        <v>1497.2</v>
      </c>
      <c r="L350" s="99">
        <f t="shared" ref="L350:AV350" si="232">L217</f>
        <v>600</v>
      </c>
      <c r="M350" s="99">
        <f t="shared" si="232"/>
        <v>612</v>
      </c>
      <c r="N350" s="99">
        <f t="shared" si="232"/>
        <v>624.24</v>
      </c>
      <c r="O350" s="99">
        <f t="shared" si="232"/>
        <v>636.7248</v>
      </c>
      <c r="P350" s="99">
        <f t="shared" si="232"/>
        <v>649.459296</v>
      </c>
      <c r="Q350" s="99">
        <f t="shared" si="232"/>
        <v>662.4484819</v>
      </c>
      <c r="R350" s="99">
        <f t="shared" si="232"/>
        <v>675.6974516</v>
      </c>
      <c r="S350" s="99">
        <f t="shared" si="232"/>
        <v>689.2114006</v>
      </c>
      <c r="T350" s="99">
        <f t="shared" si="232"/>
        <v>702.9956286</v>
      </c>
      <c r="U350" s="99">
        <f t="shared" si="232"/>
        <v>717.0555412</v>
      </c>
      <c r="V350" s="99">
        <f t="shared" si="232"/>
        <v>731.396652</v>
      </c>
      <c r="W350" s="99">
        <f t="shared" si="232"/>
        <v>746.024585</v>
      </c>
      <c r="X350" s="99">
        <f t="shared" si="232"/>
        <v>760.9450767</v>
      </c>
      <c r="Y350" s="99">
        <f t="shared" si="232"/>
        <v>776.1639783</v>
      </c>
      <c r="Z350" s="99">
        <f t="shared" si="232"/>
        <v>791.6872578</v>
      </c>
      <c r="AA350" s="99">
        <f t="shared" si="232"/>
        <v>807.521003</v>
      </c>
      <c r="AB350" s="99">
        <f t="shared" si="232"/>
        <v>823.6714231</v>
      </c>
      <c r="AC350" s="99">
        <f t="shared" si="232"/>
        <v>840.1448515</v>
      </c>
      <c r="AD350" s="99">
        <f t="shared" si="232"/>
        <v>856.9477485</v>
      </c>
      <c r="AE350" s="99">
        <f t="shared" si="232"/>
        <v>874.0867035</v>
      </c>
      <c r="AF350" s="99">
        <f t="shared" si="232"/>
        <v>891.5684376</v>
      </c>
      <c r="AG350" s="99">
        <f t="shared" si="232"/>
        <v>909.3998063</v>
      </c>
      <c r="AH350" s="99">
        <f t="shared" si="232"/>
        <v>927.5878025</v>
      </c>
      <c r="AI350" s="99">
        <f t="shared" si="232"/>
        <v>946.1395585</v>
      </c>
      <c r="AJ350" s="99">
        <f t="shared" si="232"/>
        <v>965.0623497</v>
      </c>
      <c r="AK350" s="99">
        <f t="shared" si="232"/>
        <v>984.3635967</v>
      </c>
      <c r="AL350" s="99">
        <f t="shared" si="232"/>
        <v>1004.050869</v>
      </c>
      <c r="AM350" s="99">
        <f t="shared" si="232"/>
        <v>1024.131886</v>
      </c>
      <c r="AN350" s="99">
        <f t="shared" si="232"/>
        <v>1044.614524</v>
      </c>
      <c r="AO350" s="99">
        <f t="shared" si="232"/>
        <v>1065.506814</v>
      </c>
      <c r="AP350" s="99">
        <f t="shared" si="232"/>
        <v>1086.81695</v>
      </c>
      <c r="AQ350" s="99">
        <f t="shared" si="232"/>
        <v>1108.553289</v>
      </c>
      <c r="AR350" s="99">
        <f t="shared" si="232"/>
        <v>1130.724355</v>
      </c>
      <c r="AS350" s="99">
        <f t="shared" si="232"/>
        <v>1153.338842</v>
      </c>
      <c r="AT350" s="99">
        <f t="shared" si="232"/>
        <v>1176.405619</v>
      </c>
      <c r="AU350" s="99">
        <f t="shared" si="232"/>
        <v>1199.933732</v>
      </c>
      <c r="AV350" s="99">
        <f t="shared" si="232"/>
        <v>1223.932406</v>
      </c>
      <c r="AW350" s="90"/>
      <c r="AX350" s="90"/>
      <c r="AY350" s="90"/>
      <c r="AZ350" s="90"/>
      <c r="BA350" s="90"/>
      <c r="BB350" s="90"/>
      <c r="BC350" s="90"/>
      <c r="BD350" s="90"/>
      <c r="BE350" s="90"/>
      <c r="BF350" s="90"/>
      <c r="BG350" s="90"/>
    </row>
    <row r="351" ht="12.75" customHeight="1">
      <c r="A351" s="316"/>
      <c r="B351" s="90"/>
      <c r="C351" s="90"/>
      <c r="D351" s="90" t="s">
        <v>824</v>
      </c>
      <c r="E351" s="90"/>
      <c r="F351" s="90"/>
      <c r="G351" s="99"/>
      <c r="H351" s="99"/>
      <c r="I351" s="99"/>
      <c r="J351" s="99">
        <v>0.0</v>
      </c>
      <c r="K351" s="99">
        <v>19726.91</v>
      </c>
      <c r="L351" s="99">
        <f t="shared" ref="L351:AV351" si="233">L218</f>
        <v>30000</v>
      </c>
      <c r="M351" s="99">
        <f t="shared" si="233"/>
        <v>30600</v>
      </c>
      <c r="N351" s="99">
        <f t="shared" si="233"/>
        <v>31212</v>
      </c>
      <c r="O351" s="99">
        <f t="shared" si="233"/>
        <v>31836.24</v>
      </c>
      <c r="P351" s="99">
        <f t="shared" si="233"/>
        <v>32472.9648</v>
      </c>
      <c r="Q351" s="99">
        <f t="shared" si="233"/>
        <v>33122.4241</v>
      </c>
      <c r="R351" s="99">
        <f t="shared" si="233"/>
        <v>33784.87258</v>
      </c>
      <c r="S351" s="99">
        <f t="shared" si="233"/>
        <v>34460.57003</v>
      </c>
      <c r="T351" s="99">
        <f t="shared" si="233"/>
        <v>35149.78143</v>
      </c>
      <c r="U351" s="99">
        <f t="shared" si="233"/>
        <v>35852.77706</v>
      </c>
      <c r="V351" s="99">
        <f t="shared" si="233"/>
        <v>36569.8326</v>
      </c>
      <c r="W351" s="99">
        <f t="shared" si="233"/>
        <v>37301.22925</v>
      </c>
      <c r="X351" s="99">
        <f t="shared" si="233"/>
        <v>38047.25384</v>
      </c>
      <c r="Y351" s="99">
        <f t="shared" si="233"/>
        <v>38808.19891</v>
      </c>
      <c r="Z351" s="99">
        <f t="shared" si="233"/>
        <v>39584.36289</v>
      </c>
      <c r="AA351" s="99">
        <f t="shared" si="233"/>
        <v>40376.05015</v>
      </c>
      <c r="AB351" s="99">
        <f t="shared" si="233"/>
        <v>41183.57115</v>
      </c>
      <c r="AC351" s="99">
        <f t="shared" si="233"/>
        <v>42007.24258</v>
      </c>
      <c r="AD351" s="99">
        <f t="shared" si="233"/>
        <v>42847.38743</v>
      </c>
      <c r="AE351" s="99">
        <f t="shared" si="233"/>
        <v>43704.33518</v>
      </c>
      <c r="AF351" s="99">
        <f t="shared" si="233"/>
        <v>44578.42188</v>
      </c>
      <c r="AG351" s="99">
        <f t="shared" si="233"/>
        <v>45469.99032</v>
      </c>
      <c r="AH351" s="99">
        <f t="shared" si="233"/>
        <v>46379.39012</v>
      </c>
      <c r="AI351" s="99">
        <f t="shared" si="233"/>
        <v>47306.97793</v>
      </c>
      <c r="AJ351" s="99">
        <f t="shared" si="233"/>
        <v>48253.11748</v>
      </c>
      <c r="AK351" s="99">
        <f t="shared" si="233"/>
        <v>49218.17983</v>
      </c>
      <c r="AL351" s="99">
        <f t="shared" si="233"/>
        <v>50202.54343</v>
      </c>
      <c r="AM351" s="99">
        <f t="shared" si="233"/>
        <v>51206.5943</v>
      </c>
      <c r="AN351" s="99">
        <f t="shared" si="233"/>
        <v>52230.72619</v>
      </c>
      <c r="AO351" s="99">
        <f t="shared" si="233"/>
        <v>53275.34071</v>
      </c>
      <c r="AP351" s="99">
        <f t="shared" si="233"/>
        <v>54340.84752</v>
      </c>
      <c r="AQ351" s="99">
        <f t="shared" si="233"/>
        <v>55427.66447</v>
      </c>
      <c r="AR351" s="99">
        <f t="shared" si="233"/>
        <v>56536.21776</v>
      </c>
      <c r="AS351" s="99">
        <f t="shared" si="233"/>
        <v>57666.94212</v>
      </c>
      <c r="AT351" s="99">
        <f t="shared" si="233"/>
        <v>58820.28096</v>
      </c>
      <c r="AU351" s="99">
        <f t="shared" si="233"/>
        <v>59996.68658</v>
      </c>
      <c r="AV351" s="99">
        <f t="shared" si="233"/>
        <v>61196.62031</v>
      </c>
      <c r="AW351" s="90"/>
      <c r="AX351" s="90"/>
      <c r="AY351" s="90"/>
      <c r="AZ351" s="90"/>
      <c r="BA351" s="90"/>
      <c r="BB351" s="90"/>
      <c r="BC351" s="90"/>
      <c r="BD351" s="90"/>
      <c r="BE351" s="90"/>
      <c r="BF351" s="90"/>
      <c r="BG351" s="90"/>
    </row>
    <row r="352" ht="12.75" customHeight="1">
      <c r="A352" s="316"/>
      <c r="B352" s="90"/>
      <c r="C352" s="90"/>
      <c r="D352" s="90" t="s">
        <v>376</v>
      </c>
      <c r="E352" s="90"/>
      <c r="F352" s="90"/>
      <c r="G352" s="99"/>
      <c r="H352" s="99"/>
      <c r="I352" s="99"/>
      <c r="J352" s="99">
        <v>0.0</v>
      </c>
      <c r="K352" s="99"/>
      <c r="L352" s="99">
        <f t="shared" ref="L352:AV352" si="234">L219</f>
        <v>8000</v>
      </c>
      <c r="M352" s="99">
        <f t="shared" si="234"/>
        <v>8160</v>
      </c>
      <c r="N352" s="99">
        <f t="shared" si="234"/>
        <v>8323.2</v>
      </c>
      <c r="O352" s="99">
        <f t="shared" si="234"/>
        <v>8489.664</v>
      </c>
      <c r="P352" s="99">
        <f t="shared" si="234"/>
        <v>8659.45728</v>
      </c>
      <c r="Q352" s="99">
        <f t="shared" si="234"/>
        <v>8832.646426</v>
      </c>
      <c r="R352" s="99">
        <f t="shared" si="234"/>
        <v>9009.299354</v>
      </c>
      <c r="S352" s="99">
        <f t="shared" si="234"/>
        <v>9189.485341</v>
      </c>
      <c r="T352" s="99">
        <f t="shared" si="234"/>
        <v>9373.275048</v>
      </c>
      <c r="U352" s="99">
        <f t="shared" si="234"/>
        <v>9560.740549</v>
      </c>
      <c r="V352" s="99">
        <f t="shared" si="234"/>
        <v>9751.95536</v>
      </c>
      <c r="W352" s="99">
        <f t="shared" si="234"/>
        <v>9946.994467</v>
      </c>
      <c r="X352" s="99">
        <f t="shared" si="234"/>
        <v>10145.93436</v>
      </c>
      <c r="Y352" s="99">
        <f t="shared" si="234"/>
        <v>10348.85304</v>
      </c>
      <c r="Z352" s="99">
        <f t="shared" si="234"/>
        <v>10555.8301</v>
      </c>
      <c r="AA352" s="99">
        <f t="shared" si="234"/>
        <v>10766.94671</v>
      </c>
      <c r="AB352" s="99">
        <f t="shared" si="234"/>
        <v>10982.28564</v>
      </c>
      <c r="AC352" s="99">
        <f t="shared" si="234"/>
        <v>11201.93135</v>
      </c>
      <c r="AD352" s="99">
        <f t="shared" si="234"/>
        <v>11425.96998</v>
      </c>
      <c r="AE352" s="99">
        <f t="shared" si="234"/>
        <v>11654.48938</v>
      </c>
      <c r="AF352" s="99">
        <f t="shared" si="234"/>
        <v>11887.57917</v>
      </c>
      <c r="AG352" s="99">
        <f t="shared" si="234"/>
        <v>12125.33075</v>
      </c>
      <c r="AH352" s="99">
        <f t="shared" si="234"/>
        <v>12367.83737</v>
      </c>
      <c r="AI352" s="99">
        <f t="shared" si="234"/>
        <v>12615.19411</v>
      </c>
      <c r="AJ352" s="99">
        <f t="shared" si="234"/>
        <v>12867.498</v>
      </c>
      <c r="AK352" s="99">
        <f t="shared" si="234"/>
        <v>13124.84796</v>
      </c>
      <c r="AL352" s="99">
        <f t="shared" si="234"/>
        <v>13387.34491</v>
      </c>
      <c r="AM352" s="99">
        <f t="shared" si="234"/>
        <v>13655.09181</v>
      </c>
      <c r="AN352" s="99">
        <f t="shared" si="234"/>
        <v>13928.19365</v>
      </c>
      <c r="AO352" s="99">
        <f t="shared" si="234"/>
        <v>14206.75752</v>
      </c>
      <c r="AP352" s="99">
        <f t="shared" si="234"/>
        <v>14490.89267</v>
      </c>
      <c r="AQ352" s="99">
        <f t="shared" si="234"/>
        <v>14780.71053</v>
      </c>
      <c r="AR352" s="99">
        <f t="shared" si="234"/>
        <v>15076.32474</v>
      </c>
      <c r="AS352" s="99">
        <f t="shared" si="234"/>
        <v>15377.85123</v>
      </c>
      <c r="AT352" s="99">
        <f t="shared" si="234"/>
        <v>15685.40826</v>
      </c>
      <c r="AU352" s="99">
        <f t="shared" si="234"/>
        <v>15999.11642</v>
      </c>
      <c r="AV352" s="99">
        <f t="shared" si="234"/>
        <v>16319.09875</v>
      </c>
      <c r="AW352" s="90"/>
      <c r="AX352" s="90"/>
      <c r="AY352" s="90"/>
      <c r="AZ352" s="90"/>
      <c r="BA352" s="90"/>
      <c r="BB352" s="90"/>
      <c r="BC352" s="90"/>
      <c r="BD352" s="90"/>
      <c r="BE352" s="90"/>
      <c r="BF352" s="90"/>
      <c r="BG352" s="90"/>
    </row>
    <row r="353" ht="12.75" customHeight="1">
      <c r="A353" s="316"/>
      <c r="B353" s="90"/>
      <c r="C353" s="90"/>
      <c r="D353" s="90" t="s">
        <v>759</v>
      </c>
      <c r="E353" s="90"/>
      <c r="F353" s="90"/>
      <c r="G353" s="99"/>
      <c r="H353" s="99"/>
      <c r="I353" s="99"/>
      <c r="J353" s="99">
        <f>'FY09 P&amp;L'!C197</f>
        <v>17785.37</v>
      </c>
      <c r="K353" s="99">
        <v>203.5</v>
      </c>
      <c r="L353" s="99">
        <f t="shared" ref="L353:AV353" si="235">L220</f>
        <v>1000</v>
      </c>
      <c r="M353" s="99">
        <f t="shared" si="235"/>
        <v>1020</v>
      </c>
      <c r="N353" s="99">
        <f t="shared" si="235"/>
        <v>1040.4</v>
      </c>
      <c r="O353" s="99">
        <f t="shared" si="235"/>
        <v>1061.208</v>
      </c>
      <c r="P353" s="99">
        <f t="shared" si="235"/>
        <v>1082.43216</v>
      </c>
      <c r="Q353" s="99">
        <f t="shared" si="235"/>
        <v>1104.080803</v>
      </c>
      <c r="R353" s="99">
        <f t="shared" si="235"/>
        <v>1126.162419</v>
      </c>
      <c r="S353" s="99">
        <f t="shared" si="235"/>
        <v>1148.685668</v>
      </c>
      <c r="T353" s="99">
        <f t="shared" si="235"/>
        <v>1171.659381</v>
      </c>
      <c r="U353" s="99">
        <f t="shared" si="235"/>
        <v>1195.092569</v>
      </c>
      <c r="V353" s="99">
        <f t="shared" si="235"/>
        <v>1218.99442</v>
      </c>
      <c r="W353" s="99">
        <f t="shared" si="235"/>
        <v>1243.374308</v>
      </c>
      <c r="X353" s="99">
        <f t="shared" si="235"/>
        <v>1268.241795</v>
      </c>
      <c r="Y353" s="99">
        <f t="shared" si="235"/>
        <v>1293.60663</v>
      </c>
      <c r="Z353" s="99">
        <f t="shared" si="235"/>
        <v>1319.478763</v>
      </c>
      <c r="AA353" s="99">
        <f t="shared" si="235"/>
        <v>1345.868338</v>
      </c>
      <c r="AB353" s="99">
        <f t="shared" si="235"/>
        <v>1372.785705</v>
      </c>
      <c r="AC353" s="99">
        <f t="shared" si="235"/>
        <v>1400.241419</v>
      </c>
      <c r="AD353" s="99">
        <f t="shared" si="235"/>
        <v>1428.246248</v>
      </c>
      <c r="AE353" s="99">
        <f t="shared" si="235"/>
        <v>1456.811173</v>
      </c>
      <c r="AF353" s="99">
        <f t="shared" si="235"/>
        <v>1485.947396</v>
      </c>
      <c r="AG353" s="99">
        <f t="shared" si="235"/>
        <v>1515.666344</v>
      </c>
      <c r="AH353" s="99">
        <f t="shared" si="235"/>
        <v>1545.979671</v>
      </c>
      <c r="AI353" s="99">
        <f t="shared" si="235"/>
        <v>1576.899264</v>
      </c>
      <c r="AJ353" s="99">
        <f t="shared" si="235"/>
        <v>1608.437249</v>
      </c>
      <c r="AK353" s="99">
        <f t="shared" si="235"/>
        <v>1640.605994</v>
      </c>
      <c r="AL353" s="99">
        <f t="shared" si="235"/>
        <v>1673.418114</v>
      </c>
      <c r="AM353" s="99">
        <f t="shared" si="235"/>
        <v>1706.886477</v>
      </c>
      <c r="AN353" s="99">
        <f t="shared" si="235"/>
        <v>1741.024206</v>
      </c>
      <c r="AO353" s="99">
        <f t="shared" si="235"/>
        <v>1775.84469</v>
      </c>
      <c r="AP353" s="99">
        <f t="shared" si="235"/>
        <v>1811.361584</v>
      </c>
      <c r="AQ353" s="99">
        <f t="shared" si="235"/>
        <v>1847.588816</v>
      </c>
      <c r="AR353" s="99">
        <f t="shared" si="235"/>
        <v>1884.540592</v>
      </c>
      <c r="AS353" s="99">
        <f t="shared" si="235"/>
        <v>1922.231404</v>
      </c>
      <c r="AT353" s="99">
        <f t="shared" si="235"/>
        <v>1960.676032</v>
      </c>
      <c r="AU353" s="99">
        <f t="shared" si="235"/>
        <v>1999.889553</v>
      </c>
      <c r="AV353" s="99">
        <f t="shared" si="235"/>
        <v>2039.887344</v>
      </c>
      <c r="AW353" s="90"/>
      <c r="AX353" s="90"/>
      <c r="AY353" s="90"/>
      <c r="AZ353" s="90"/>
      <c r="BA353" s="90"/>
      <c r="BB353" s="90"/>
      <c r="BC353" s="90"/>
      <c r="BD353" s="90"/>
      <c r="BE353" s="90"/>
      <c r="BF353" s="90"/>
      <c r="BG353" s="90"/>
    </row>
    <row r="354" ht="12.75" customHeight="1">
      <c r="A354" s="316"/>
      <c r="B354" s="90"/>
      <c r="C354" s="90"/>
      <c r="D354" s="90" t="s">
        <v>760</v>
      </c>
      <c r="E354" s="90"/>
      <c r="F354" s="90"/>
      <c r="G354" s="99"/>
      <c r="H354" s="99"/>
      <c r="I354" s="99"/>
      <c r="J354" s="99">
        <f>'FY09 P&amp;L'!C199</f>
        <v>750</v>
      </c>
      <c r="K354" s="99">
        <v>12137.5</v>
      </c>
      <c r="L354" s="99">
        <f t="shared" ref="L354:AV354" si="236">L221</f>
        <v>5000</v>
      </c>
      <c r="M354" s="99">
        <f t="shared" si="236"/>
        <v>5100</v>
      </c>
      <c r="N354" s="99">
        <f t="shared" si="236"/>
        <v>5202</v>
      </c>
      <c r="O354" s="99">
        <f t="shared" si="236"/>
        <v>5306.04</v>
      </c>
      <c r="P354" s="99">
        <f t="shared" si="236"/>
        <v>5412.1608</v>
      </c>
      <c r="Q354" s="99">
        <f t="shared" si="236"/>
        <v>5520.404016</v>
      </c>
      <c r="R354" s="99">
        <f t="shared" si="236"/>
        <v>5630.812096</v>
      </c>
      <c r="S354" s="99">
        <f t="shared" si="236"/>
        <v>5743.428338</v>
      </c>
      <c r="T354" s="99">
        <f t="shared" si="236"/>
        <v>5858.296905</v>
      </c>
      <c r="U354" s="99">
        <f t="shared" si="236"/>
        <v>5975.462843</v>
      </c>
      <c r="V354" s="99">
        <f t="shared" si="236"/>
        <v>6094.9721</v>
      </c>
      <c r="W354" s="99">
        <f t="shared" si="236"/>
        <v>6216.871542</v>
      </c>
      <c r="X354" s="99">
        <f t="shared" si="236"/>
        <v>6341.208973</v>
      </c>
      <c r="Y354" s="99">
        <f t="shared" si="236"/>
        <v>6468.033152</v>
      </c>
      <c r="Z354" s="99">
        <f t="shared" si="236"/>
        <v>6597.393815</v>
      </c>
      <c r="AA354" s="99">
        <f t="shared" si="236"/>
        <v>6729.341692</v>
      </c>
      <c r="AB354" s="99">
        <f t="shared" si="236"/>
        <v>6863.928525</v>
      </c>
      <c r="AC354" s="99">
        <f t="shared" si="236"/>
        <v>7001.207096</v>
      </c>
      <c r="AD354" s="99">
        <f t="shared" si="236"/>
        <v>7141.231238</v>
      </c>
      <c r="AE354" s="99">
        <f t="shared" si="236"/>
        <v>7284.055863</v>
      </c>
      <c r="AF354" s="99">
        <f t="shared" si="236"/>
        <v>7429.73698</v>
      </c>
      <c r="AG354" s="99">
        <f t="shared" si="236"/>
        <v>7578.331719</v>
      </c>
      <c r="AH354" s="99">
        <f t="shared" si="236"/>
        <v>7729.898354</v>
      </c>
      <c r="AI354" s="99">
        <f t="shared" si="236"/>
        <v>7884.496321</v>
      </c>
      <c r="AJ354" s="99">
        <f t="shared" si="236"/>
        <v>8042.186247</v>
      </c>
      <c r="AK354" s="99">
        <f t="shared" si="236"/>
        <v>8203.029972</v>
      </c>
      <c r="AL354" s="99">
        <f t="shared" si="236"/>
        <v>8367.090572</v>
      </c>
      <c r="AM354" s="99">
        <f t="shared" si="236"/>
        <v>8534.432383</v>
      </c>
      <c r="AN354" s="99">
        <f t="shared" si="236"/>
        <v>8705.121031</v>
      </c>
      <c r="AO354" s="99">
        <f t="shared" si="236"/>
        <v>8879.223451</v>
      </c>
      <c r="AP354" s="99">
        <f t="shared" si="236"/>
        <v>9056.807921</v>
      </c>
      <c r="AQ354" s="99">
        <f t="shared" si="236"/>
        <v>9237.944079</v>
      </c>
      <c r="AR354" s="99">
        <f t="shared" si="236"/>
        <v>9422.702961</v>
      </c>
      <c r="AS354" s="99">
        <f t="shared" si="236"/>
        <v>9611.15702</v>
      </c>
      <c r="AT354" s="99">
        <f t="shared" si="236"/>
        <v>9803.38016</v>
      </c>
      <c r="AU354" s="99">
        <f t="shared" si="236"/>
        <v>9999.447763</v>
      </c>
      <c r="AV354" s="99">
        <f t="shared" si="236"/>
        <v>10199.43672</v>
      </c>
      <c r="AW354" s="90"/>
      <c r="AX354" s="90"/>
      <c r="AY354" s="90"/>
      <c r="AZ354" s="90"/>
      <c r="BA354" s="90"/>
      <c r="BB354" s="90"/>
      <c r="BC354" s="90"/>
      <c r="BD354" s="90"/>
      <c r="BE354" s="90"/>
      <c r="BF354" s="90"/>
      <c r="BG354" s="90"/>
    </row>
    <row r="355" ht="12.75" customHeight="1">
      <c r="A355" s="316"/>
      <c r="B355" s="90"/>
      <c r="C355" s="90"/>
      <c r="D355" s="90" t="s">
        <v>761</v>
      </c>
      <c r="E355" s="90"/>
      <c r="F355" s="90"/>
      <c r="G355" s="99"/>
      <c r="H355" s="99"/>
      <c r="I355" s="99"/>
      <c r="J355" s="99">
        <f>'FY09 P&amp;L'!C202</f>
        <v>389.7</v>
      </c>
      <c r="K355" s="99"/>
      <c r="L355" s="99" t="str">
        <f t="shared" ref="L355:AV355" si="237">L222</f>
        <v/>
      </c>
      <c r="M355" s="99" t="str">
        <f t="shared" si="237"/>
        <v/>
      </c>
      <c r="N355" s="99" t="str">
        <f t="shared" si="237"/>
        <v/>
      </c>
      <c r="O355" s="99" t="str">
        <f t="shared" si="237"/>
        <v/>
      </c>
      <c r="P355" s="99" t="str">
        <f t="shared" si="237"/>
        <v/>
      </c>
      <c r="Q355" s="99" t="str">
        <f t="shared" si="237"/>
        <v/>
      </c>
      <c r="R355" s="99" t="str">
        <f t="shared" si="237"/>
        <v/>
      </c>
      <c r="S355" s="99" t="str">
        <f t="shared" si="237"/>
        <v/>
      </c>
      <c r="T355" s="99" t="str">
        <f t="shared" si="237"/>
        <v/>
      </c>
      <c r="U355" s="99" t="str">
        <f t="shared" si="237"/>
        <v/>
      </c>
      <c r="V355" s="99" t="str">
        <f t="shared" si="237"/>
        <v/>
      </c>
      <c r="W355" s="99" t="str">
        <f t="shared" si="237"/>
        <v/>
      </c>
      <c r="X355" s="99" t="str">
        <f t="shared" si="237"/>
        <v/>
      </c>
      <c r="Y355" s="99" t="str">
        <f t="shared" si="237"/>
        <v/>
      </c>
      <c r="Z355" s="99" t="str">
        <f t="shared" si="237"/>
        <v/>
      </c>
      <c r="AA355" s="99" t="str">
        <f t="shared" si="237"/>
        <v/>
      </c>
      <c r="AB355" s="99" t="str">
        <f t="shared" si="237"/>
        <v/>
      </c>
      <c r="AC355" s="99" t="str">
        <f t="shared" si="237"/>
        <v/>
      </c>
      <c r="AD355" s="99" t="str">
        <f t="shared" si="237"/>
        <v/>
      </c>
      <c r="AE355" s="99" t="str">
        <f t="shared" si="237"/>
        <v/>
      </c>
      <c r="AF355" s="99" t="str">
        <f t="shared" si="237"/>
        <v/>
      </c>
      <c r="AG355" s="99" t="str">
        <f t="shared" si="237"/>
        <v/>
      </c>
      <c r="AH355" s="99" t="str">
        <f t="shared" si="237"/>
        <v/>
      </c>
      <c r="AI355" s="99" t="str">
        <f t="shared" si="237"/>
        <v/>
      </c>
      <c r="AJ355" s="99" t="str">
        <f t="shared" si="237"/>
        <v/>
      </c>
      <c r="AK355" s="99" t="str">
        <f t="shared" si="237"/>
        <v/>
      </c>
      <c r="AL355" s="99" t="str">
        <f t="shared" si="237"/>
        <v/>
      </c>
      <c r="AM355" s="99" t="str">
        <f t="shared" si="237"/>
        <v/>
      </c>
      <c r="AN355" s="99" t="str">
        <f t="shared" si="237"/>
        <v/>
      </c>
      <c r="AO355" s="99" t="str">
        <f t="shared" si="237"/>
        <v/>
      </c>
      <c r="AP355" s="99" t="str">
        <f t="shared" si="237"/>
        <v/>
      </c>
      <c r="AQ355" s="99" t="str">
        <f t="shared" si="237"/>
        <v/>
      </c>
      <c r="AR355" s="99" t="str">
        <f t="shared" si="237"/>
        <v/>
      </c>
      <c r="AS355" s="99" t="str">
        <f t="shared" si="237"/>
        <v/>
      </c>
      <c r="AT355" s="99" t="str">
        <f t="shared" si="237"/>
        <v/>
      </c>
      <c r="AU355" s="99" t="str">
        <f t="shared" si="237"/>
        <v/>
      </c>
      <c r="AV355" s="99" t="str">
        <f t="shared" si="237"/>
        <v/>
      </c>
      <c r="AW355" s="90"/>
      <c r="AX355" s="90"/>
      <c r="AY355" s="90"/>
      <c r="AZ355" s="90"/>
      <c r="BA355" s="90"/>
      <c r="BB355" s="90"/>
      <c r="BC355" s="90"/>
      <c r="BD355" s="90"/>
      <c r="BE355" s="90"/>
      <c r="BF355" s="90"/>
      <c r="BG355" s="90"/>
    </row>
    <row r="356" ht="12.75" customHeight="1">
      <c r="A356" s="316"/>
      <c r="B356" s="90"/>
      <c r="C356" s="90"/>
      <c r="D356" s="90" t="s">
        <v>825</v>
      </c>
      <c r="E356" s="90"/>
      <c r="F356" s="90"/>
      <c r="G356" s="99"/>
      <c r="H356" s="99"/>
      <c r="I356" s="99"/>
      <c r="J356" s="99">
        <v>0.0</v>
      </c>
      <c r="K356" s="99">
        <v>5937.28</v>
      </c>
      <c r="L356" s="99">
        <f t="shared" ref="L356:AV356" si="238">L223</f>
        <v>6000</v>
      </c>
      <c r="M356" s="99">
        <f t="shared" si="238"/>
        <v>6120</v>
      </c>
      <c r="N356" s="99">
        <f t="shared" si="238"/>
        <v>6242.4</v>
      </c>
      <c r="O356" s="99">
        <f t="shared" si="238"/>
        <v>6367.248</v>
      </c>
      <c r="P356" s="99">
        <f t="shared" si="238"/>
        <v>6494.59296</v>
      </c>
      <c r="Q356" s="99">
        <f t="shared" si="238"/>
        <v>6624.484819</v>
      </c>
      <c r="R356" s="99">
        <f t="shared" si="238"/>
        <v>6756.974516</v>
      </c>
      <c r="S356" s="99">
        <f t="shared" si="238"/>
        <v>6892.114006</v>
      </c>
      <c r="T356" s="99">
        <f t="shared" si="238"/>
        <v>7029.956286</v>
      </c>
      <c r="U356" s="99">
        <f t="shared" si="238"/>
        <v>7170.555412</v>
      </c>
      <c r="V356" s="99">
        <f t="shared" si="238"/>
        <v>7313.96652</v>
      </c>
      <c r="W356" s="99">
        <f t="shared" si="238"/>
        <v>7460.24585</v>
      </c>
      <c r="X356" s="99">
        <f t="shared" si="238"/>
        <v>7609.450767</v>
      </c>
      <c r="Y356" s="99">
        <f t="shared" si="238"/>
        <v>7761.639783</v>
      </c>
      <c r="Z356" s="99">
        <f t="shared" si="238"/>
        <v>7916.872578</v>
      </c>
      <c r="AA356" s="99">
        <f t="shared" si="238"/>
        <v>8075.21003</v>
      </c>
      <c r="AB356" s="99">
        <f t="shared" si="238"/>
        <v>8236.714231</v>
      </c>
      <c r="AC356" s="99">
        <f t="shared" si="238"/>
        <v>8401.448515</v>
      </c>
      <c r="AD356" s="99">
        <f t="shared" si="238"/>
        <v>8569.477485</v>
      </c>
      <c r="AE356" s="99">
        <f t="shared" si="238"/>
        <v>8740.867035</v>
      </c>
      <c r="AF356" s="99">
        <f t="shared" si="238"/>
        <v>8915.684376</v>
      </c>
      <c r="AG356" s="99">
        <f t="shared" si="238"/>
        <v>9093.998063</v>
      </c>
      <c r="AH356" s="99">
        <f t="shared" si="238"/>
        <v>9275.878025</v>
      </c>
      <c r="AI356" s="99">
        <f t="shared" si="238"/>
        <v>9461.395585</v>
      </c>
      <c r="AJ356" s="99">
        <f t="shared" si="238"/>
        <v>9650.623497</v>
      </c>
      <c r="AK356" s="99">
        <f t="shared" si="238"/>
        <v>9843.635967</v>
      </c>
      <c r="AL356" s="99">
        <f t="shared" si="238"/>
        <v>10040.50869</v>
      </c>
      <c r="AM356" s="99">
        <f t="shared" si="238"/>
        <v>10241.31886</v>
      </c>
      <c r="AN356" s="99">
        <f t="shared" si="238"/>
        <v>10446.14524</v>
      </c>
      <c r="AO356" s="99">
        <f t="shared" si="238"/>
        <v>10655.06814</v>
      </c>
      <c r="AP356" s="99">
        <f t="shared" si="238"/>
        <v>10868.1695</v>
      </c>
      <c r="AQ356" s="99">
        <f t="shared" si="238"/>
        <v>11085.53289</v>
      </c>
      <c r="AR356" s="99">
        <f t="shared" si="238"/>
        <v>11307.24355</v>
      </c>
      <c r="AS356" s="99">
        <f t="shared" si="238"/>
        <v>11533.38842</v>
      </c>
      <c r="AT356" s="99">
        <f t="shared" si="238"/>
        <v>11764.05619</v>
      </c>
      <c r="AU356" s="99">
        <f t="shared" si="238"/>
        <v>11999.33732</v>
      </c>
      <c r="AV356" s="99">
        <f t="shared" si="238"/>
        <v>12239.32406</v>
      </c>
      <c r="AW356" s="90"/>
      <c r="AX356" s="90"/>
      <c r="AY356" s="90"/>
      <c r="AZ356" s="90"/>
      <c r="BA356" s="90"/>
      <c r="BB356" s="90"/>
      <c r="BC356" s="90"/>
      <c r="BD356" s="90"/>
      <c r="BE356" s="90"/>
      <c r="BF356" s="90"/>
      <c r="BG356" s="90"/>
    </row>
    <row r="357" ht="12.75" customHeight="1">
      <c r="A357" s="316"/>
      <c r="B357" s="90"/>
      <c r="C357" s="90"/>
      <c r="D357" s="90" t="s">
        <v>763</v>
      </c>
      <c r="E357" s="90"/>
      <c r="F357" s="90"/>
      <c r="G357" s="99"/>
      <c r="H357" s="99"/>
      <c r="I357" s="99"/>
      <c r="J357" s="99">
        <f>'FY09 P&amp;L'!C230</f>
        <v>10</v>
      </c>
      <c r="K357" s="99">
        <v>7.0</v>
      </c>
      <c r="L357" s="99" t="str">
        <f t="shared" ref="L357:AV357" si="239">L224</f>
        <v/>
      </c>
      <c r="M357" s="99">
        <f t="shared" si="239"/>
        <v>0</v>
      </c>
      <c r="N357" s="99">
        <f t="shared" si="239"/>
        <v>0</v>
      </c>
      <c r="O357" s="99">
        <f t="shared" si="239"/>
        <v>0</v>
      </c>
      <c r="P357" s="99">
        <f t="shared" si="239"/>
        <v>0</v>
      </c>
      <c r="Q357" s="99">
        <f t="shared" si="239"/>
        <v>0</v>
      </c>
      <c r="R357" s="99">
        <f t="shared" si="239"/>
        <v>0</v>
      </c>
      <c r="S357" s="99">
        <f t="shared" si="239"/>
        <v>0</v>
      </c>
      <c r="T357" s="99">
        <f t="shared" si="239"/>
        <v>0</v>
      </c>
      <c r="U357" s="99">
        <f t="shared" si="239"/>
        <v>0</v>
      </c>
      <c r="V357" s="99">
        <f t="shared" si="239"/>
        <v>0</v>
      </c>
      <c r="W357" s="99">
        <f t="shared" si="239"/>
        <v>0</v>
      </c>
      <c r="X357" s="99">
        <f t="shared" si="239"/>
        <v>0</v>
      </c>
      <c r="Y357" s="99">
        <f t="shared" si="239"/>
        <v>0</v>
      </c>
      <c r="Z357" s="99">
        <f t="shared" si="239"/>
        <v>0</v>
      </c>
      <c r="AA357" s="99">
        <f t="shared" si="239"/>
        <v>0</v>
      </c>
      <c r="AB357" s="99">
        <f t="shared" si="239"/>
        <v>0</v>
      </c>
      <c r="AC357" s="99">
        <f t="shared" si="239"/>
        <v>0</v>
      </c>
      <c r="AD357" s="99">
        <f t="shared" si="239"/>
        <v>0</v>
      </c>
      <c r="AE357" s="99">
        <f t="shared" si="239"/>
        <v>0</v>
      </c>
      <c r="AF357" s="99">
        <f t="shared" si="239"/>
        <v>0</v>
      </c>
      <c r="AG357" s="99">
        <f t="shared" si="239"/>
        <v>0</v>
      </c>
      <c r="AH357" s="99">
        <f t="shared" si="239"/>
        <v>0</v>
      </c>
      <c r="AI357" s="99">
        <f t="shared" si="239"/>
        <v>0</v>
      </c>
      <c r="AJ357" s="99">
        <f t="shared" si="239"/>
        <v>0</v>
      </c>
      <c r="AK357" s="99">
        <f t="shared" si="239"/>
        <v>0</v>
      </c>
      <c r="AL357" s="99">
        <f t="shared" si="239"/>
        <v>0</v>
      </c>
      <c r="AM357" s="99">
        <f t="shared" si="239"/>
        <v>0</v>
      </c>
      <c r="AN357" s="99">
        <f t="shared" si="239"/>
        <v>0</v>
      </c>
      <c r="AO357" s="99">
        <f t="shared" si="239"/>
        <v>0</v>
      </c>
      <c r="AP357" s="99">
        <f t="shared" si="239"/>
        <v>0</v>
      </c>
      <c r="AQ357" s="99">
        <f t="shared" si="239"/>
        <v>0</v>
      </c>
      <c r="AR357" s="99">
        <f t="shared" si="239"/>
        <v>0</v>
      </c>
      <c r="AS357" s="99">
        <f t="shared" si="239"/>
        <v>0</v>
      </c>
      <c r="AT357" s="99">
        <f t="shared" si="239"/>
        <v>0</v>
      </c>
      <c r="AU357" s="99">
        <f t="shared" si="239"/>
        <v>0</v>
      </c>
      <c r="AV357" s="99">
        <f t="shared" si="239"/>
        <v>0</v>
      </c>
      <c r="AW357" s="90"/>
      <c r="AX357" s="90"/>
      <c r="AY357" s="90"/>
      <c r="AZ357" s="90"/>
      <c r="BA357" s="90"/>
      <c r="BB357" s="90"/>
      <c r="BC357" s="90"/>
      <c r="BD357" s="90"/>
      <c r="BE357" s="90"/>
      <c r="BF357" s="90"/>
      <c r="BG357" s="90"/>
    </row>
    <row r="358" ht="12.75" customHeight="1">
      <c r="A358" s="316"/>
      <c r="B358" s="90"/>
      <c r="C358" s="90"/>
      <c r="D358" s="90" t="s">
        <v>826</v>
      </c>
      <c r="E358" s="90"/>
      <c r="F358" s="90"/>
      <c r="G358" s="99"/>
      <c r="H358" s="99"/>
      <c r="I358" s="99"/>
      <c r="J358" s="99">
        <f>'FY09 P&amp;L'!C232</f>
        <v>60.47</v>
      </c>
      <c r="K358" s="99">
        <v>5910.0</v>
      </c>
      <c r="L358" s="99">
        <v>4612.8</v>
      </c>
      <c r="M358" s="99">
        <f t="shared" ref="M358:AV358" si="240">L358</f>
        <v>4612.8</v>
      </c>
      <c r="N358" s="99">
        <f t="shared" si="240"/>
        <v>4612.8</v>
      </c>
      <c r="O358" s="99">
        <f t="shared" si="240"/>
        <v>4612.8</v>
      </c>
      <c r="P358" s="99">
        <f t="shared" si="240"/>
        <v>4612.8</v>
      </c>
      <c r="Q358" s="99">
        <f t="shared" si="240"/>
        <v>4612.8</v>
      </c>
      <c r="R358" s="99">
        <f t="shared" si="240"/>
        <v>4612.8</v>
      </c>
      <c r="S358" s="99">
        <f t="shared" si="240"/>
        <v>4612.8</v>
      </c>
      <c r="T358" s="99">
        <f t="shared" si="240"/>
        <v>4612.8</v>
      </c>
      <c r="U358" s="99">
        <f t="shared" si="240"/>
        <v>4612.8</v>
      </c>
      <c r="V358" s="99">
        <f t="shared" si="240"/>
        <v>4612.8</v>
      </c>
      <c r="W358" s="99">
        <f t="shared" si="240"/>
        <v>4612.8</v>
      </c>
      <c r="X358" s="99">
        <f t="shared" si="240"/>
        <v>4612.8</v>
      </c>
      <c r="Y358" s="99">
        <f t="shared" si="240"/>
        <v>4612.8</v>
      </c>
      <c r="Z358" s="99">
        <f t="shared" si="240"/>
        <v>4612.8</v>
      </c>
      <c r="AA358" s="99">
        <f t="shared" si="240"/>
        <v>4612.8</v>
      </c>
      <c r="AB358" s="99">
        <f t="shared" si="240"/>
        <v>4612.8</v>
      </c>
      <c r="AC358" s="99">
        <f t="shared" si="240"/>
        <v>4612.8</v>
      </c>
      <c r="AD358" s="99">
        <f t="shared" si="240"/>
        <v>4612.8</v>
      </c>
      <c r="AE358" s="99">
        <f t="shared" si="240"/>
        <v>4612.8</v>
      </c>
      <c r="AF358" s="99">
        <f t="shared" si="240"/>
        <v>4612.8</v>
      </c>
      <c r="AG358" s="99">
        <f t="shared" si="240"/>
        <v>4612.8</v>
      </c>
      <c r="AH358" s="99">
        <f t="shared" si="240"/>
        <v>4612.8</v>
      </c>
      <c r="AI358" s="99">
        <f t="shared" si="240"/>
        <v>4612.8</v>
      </c>
      <c r="AJ358" s="99">
        <f t="shared" si="240"/>
        <v>4612.8</v>
      </c>
      <c r="AK358" s="99">
        <f t="shared" si="240"/>
        <v>4612.8</v>
      </c>
      <c r="AL358" s="99">
        <f t="shared" si="240"/>
        <v>4612.8</v>
      </c>
      <c r="AM358" s="99">
        <f t="shared" si="240"/>
        <v>4612.8</v>
      </c>
      <c r="AN358" s="99">
        <f t="shared" si="240"/>
        <v>4612.8</v>
      </c>
      <c r="AO358" s="99">
        <f t="shared" si="240"/>
        <v>4612.8</v>
      </c>
      <c r="AP358" s="99">
        <f t="shared" si="240"/>
        <v>4612.8</v>
      </c>
      <c r="AQ358" s="99">
        <f t="shared" si="240"/>
        <v>4612.8</v>
      </c>
      <c r="AR358" s="99">
        <f t="shared" si="240"/>
        <v>4612.8</v>
      </c>
      <c r="AS358" s="99">
        <f t="shared" si="240"/>
        <v>4612.8</v>
      </c>
      <c r="AT358" s="99">
        <f t="shared" si="240"/>
        <v>4612.8</v>
      </c>
      <c r="AU358" s="99">
        <f t="shared" si="240"/>
        <v>4612.8</v>
      </c>
      <c r="AV358" s="99">
        <f t="shared" si="240"/>
        <v>4612.8</v>
      </c>
      <c r="AW358" s="90"/>
      <c r="AX358" s="90"/>
      <c r="AY358" s="90"/>
      <c r="AZ358" s="90"/>
      <c r="BA358" s="90"/>
      <c r="BB358" s="90"/>
      <c r="BC358" s="90"/>
      <c r="BD358" s="90"/>
      <c r="BE358" s="90"/>
      <c r="BF358" s="90"/>
      <c r="BG358" s="90"/>
    </row>
    <row r="359" ht="12.75" customHeight="1">
      <c r="A359" s="316"/>
      <c r="B359" s="90"/>
      <c r="C359" s="90"/>
      <c r="D359" s="90" t="s">
        <v>355</v>
      </c>
      <c r="E359" s="90"/>
      <c r="F359" s="90"/>
      <c r="G359" s="99"/>
      <c r="H359" s="99"/>
      <c r="I359" s="99"/>
      <c r="J359" s="99">
        <v>0.0</v>
      </c>
      <c r="K359" s="99"/>
      <c r="L359" s="99">
        <f t="shared" ref="L359:AV359" si="241">L225</f>
        <v>300</v>
      </c>
      <c r="M359" s="99">
        <f t="shared" si="241"/>
        <v>300</v>
      </c>
      <c r="N359" s="99">
        <f t="shared" si="241"/>
        <v>300</v>
      </c>
      <c r="O359" s="99">
        <f t="shared" si="241"/>
        <v>300</v>
      </c>
      <c r="P359" s="99">
        <f t="shared" si="241"/>
        <v>300</v>
      </c>
      <c r="Q359" s="99">
        <f t="shared" si="241"/>
        <v>300</v>
      </c>
      <c r="R359" s="99">
        <f t="shared" si="241"/>
        <v>300</v>
      </c>
      <c r="S359" s="99">
        <f t="shared" si="241"/>
        <v>300</v>
      </c>
      <c r="T359" s="99">
        <f t="shared" si="241"/>
        <v>300</v>
      </c>
      <c r="U359" s="99">
        <f t="shared" si="241"/>
        <v>300</v>
      </c>
      <c r="V359" s="99">
        <f t="shared" si="241"/>
        <v>300</v>
      </c>
      <c r="W359" s="99">
        <f t="shared" si="241"/>
        <v>300</v>
      </c>
      <c r="X359" s="99">
        <f t="shared" si="241"/>
        <v>300</v>
      </c>
      <c r="Y359" s="99">
        <f t="shared" si="241"/>
        <v>300</v>
      </c>
      <c r="Z359" s="99">
        <f t="shared" si="241"/>
        <v>300</v>
      </c>
      <c r="AA359" s="99">
        <f t="shared" si="241"/>
        <v>300</v>
      </c>
      <c r="AB359" s="99">
        <f t="shared" si="241"/>
        <v>300</v>
      </c>
      <c r="AC359" s="99">
        <f t="shared" si="241"/>
        <v>300</v>
      </c>
      <c r="AD359" s="99">
        <f t="shared" si="241"/>
        <v>300</v>
      </c>
      <c r="AE359" s="99">
        <f t="shared" si="241"/>
        <v>300</v>
      </c>
      <c r="AF359" s="99">
        <f t="shared" si="241"/>
        <v>300</v>
      </c>
      <c r="AG359" s="99">
        <f t="shared" si="241"/>
        <v>300</v>
      </c>
      <c r="AH359" s="99">
        <f t="shared" si="241"/>
        <v>300</v>
      </c>
      <c r="AI359" s="99">
        <f t="shared" si="241"/>
        <v>300</v>
      </c>
      <c r="AJ359" s="99">
        <f t="shared" si="241"/>
        <v>300</v>
      </c>
      <c r="AK359" s="99">
        <f t="shared" si="241"/>
        <v>300</v>
      </c>
      <c r="AL359" s="99">
        <f t="shared" si="241"/>
        <v>300</v>
      </c>
      <c r="AM359" s="99">
        <f t="shared" si="241"/>
        <v>300</v>
      </c>
      <c r="AN359" s="99">
        <f t="shared" si="241"/>
        <v>300</v>
      </c>
      <c r="AO359" s="99">
        <f t="shared" si="241"/>
        <v>300</v>
      </c>
      <c r="AP359" s="99">
        <f t="shared" si="241"/>
        <v>300</v>
      </c>
      <c r="AQ359" s="99">
        <f t="shared" si="241"/>
        <v>300</v>
      </c>
      <c r="AR359" s="99">
        <f t="shared" si="241"/>
        <v>300</v>
      </c>
      <c r="AS359" s="99">
        <f t="shared" si="241"/>
        <v>300</v>
      </c>
      <c r="AT359" s="99">
        <f t="shared" si="241"/>
        <v>300</v>
      </c>
      <c r="AU359" s="99">
        <f t="shared" si="241"/>
        <v>300</v>
      </c>
      <c r="AV359" s="99">
        <f t="shared" si="241"/>
        <v>300</v>
      </c>
      <c r="AW359" s="90"/>
      <c r="AX359" s="90"/>
      <c r="AY359" s="90"/>
      <c r="AZ359" s="90"/>
      <c r="BA359" s="90"/>
      <c r="BB359" s="90"/>
      <c r="BC359" s="90"/>
      <c r="BD359" s="90"/>
      <c r="BE359" s="90"/>
      <c r="BF359" s="90"/>
      <c r="BG359" s="90"/>
    </row>
    <row r="360" ht="12.75" customHeight="1">
      <c r="A360" s="316"/>
      <c r="B360" s="90"/>
      <c r="C360" s="90"/>
      <c r="D360" s="90" t="s">
        <v>765</v>
      </c>
      <c r="E360" s="90"/>
      <c r="F360" s="90"/>
      <c r="G360" s="99"/>
      <c r="H360" s="99"/>
      <c r="I360" s="99"/>
      <c r="J360" s="99">
        <v>0.0</v>
      </c>
      <c r="K360" s="99">
        <v>1172.5</v>
      </c>
      <c r="L360" s="99">
        <f t="shared" ref="L360:AV360" si="242">L226</f>
        <v>1500</v>
      </c>
      <c r="M360" s="99">
        <f t="shared" si="242"/>
        <v>1530</v>
      </c>
      <c r="N360" s="99">
        <f t="shared" si="242"/>
        <v>1560.6</v>
      </c>
      <c r="O360" s="99">
        <f t="shared" si="242"/>
        <v>1591.812</v>
      </c>
      <c r="P360" s="99">
        <f t="shared" si="242"/>
        <v>1623.64824</v>
      </c>
      <c r="Q360" s="99">
        <f t="shared" si="242"/>
        <v>1656.121205</v>
      </c>
      <c r="R360" s="99">
        <f t="shared" si="242"/>
        <v>1689.243629</v>
      </c>
      <c r="S360" s="99">
        <f t="shared" si="242"/>
        <v>1723.028501</v>
      </c>
      <c r="T360" s="99">
        <f t="shared" si="242"/>
        <v>1757.489072</v>
      </c>
      <c r="U360" s="99">
        <f t="shared" si="242"/>
        <v>1792.638853</v>
      </c>
      <c r="V360" s="99">
        <f t="shared" si="242"/>
        <v>1828.49163</v>
      </c>
      <c r="W360" s="99">
        <f t="shared" si="242"/>
        <v>1865.061463</v>
      </c>
      <c r="X360" s="99">
        <f t="shared" si="242"/>
        <v>1902.362692</v>
      </c>
      <c r="Y360" s="99">
        <f t="shared" si="242"/>
        <v>1940.409946</v>
      </c>
      <c r="Z360" s="99">
        <f t="shared" si="242"/>
        <v>1979.218145</v>
      </c>
      <c r="AA360" s="99">
        <f t="shared" si="242"/>
        <v>2018.802507</v>
      </c>
      <c r="AB360" s="99">
        <f t="shared" si="242"/>
        <v>2059.178558</v>
      </c>
      <c r="AC360" s="99">
        <f t="shared" si="242"/>
        <v>2100.362129</v>
      </c>
      <c r="AD360" s="99">
        <f t="shared" si="242"/>
        <v>2142.369371</v>
      </c>
      <c r="AE360" s="99">
        <f t="shared" si="242"/>
        <v>2185.216759</v>
      </c>
      <c r="AF360" s="99">
        <f t="shared" si="242"/>
        <v>2228.921094</v>
      </c>
      <c r="AG360" s="99">
        <f t="shared" si="242"/>
        <v>2273.499516</v>
      </c>
      <c r="AH360" s="99">
        <f t="shared" si="242"/>
        <v>2318.969506</v>
      </c>
      <c r="AI360" s="99">
        <f t="shared" si="242"/>
        <v>2365.348896</v>
      </c>
      <c r="AJ360" s="99">
        <f t="shared" si="242"/>
        <v>2412.655874</v>
      </c>
      <c r="AK360" s="99">
        <f t="shared" si="242"/>
        <v>2460.908992</v>
      </c>
      <c r="AL360" s="99">
        <f t="shared" si="242"/>
        <v>2510.127172</v>
      </c>
      <c r="AM360" s="99">
        <f t="shared" si="242"/>
        <v>2560.329715</v>
      </c>
      <c r="AN360" s="99">
        <f t="shared" si="242"/>
        <v>2611.536309</v>
      </c>
      <c r="AO360" s="99">
        <f t="shared" si="242"/>
        <v>2663.767035</v>
      </c>
      <c r="AP360" s="99">
        <f t="shared" si="242"/>
        <v>2717.042376</v>
      </c>
      <c r="AQ360" s="99">
        <f t="shared" si="242"/>
        <v>2771.383224</v>
      </c>
      <c r="AR360" s="99">
        <f t="shared" si="242"/>
        <v>2826.810888</v>
      </c>
      <c r="AS360" s="99">
        <f t="shared" si="242"/>
        <v>2883.347106</v>
      </c>
      <c r="AT360" s="99">
        <f t="shared" si="242"/>
        <v>2941.014048</v>
      </c>
      <c r="AU360" s="99">
        <f t="shared" si="242"/>
        <v>2999.834329</v>
      </c>
      <c r="AV360" s="99">
        <f t="shared" si="242"/>
        <v>3059.831016</v>
      </c>
      <c r="AW360" s="90"/>
      <c r="AX360" s="90"/>
      <c r="AY360" s="90"/>
      <c r="AZ360" s="90"/>
      <c r="BA360" s="90"/>
      <c r="BB360" s="90"/>
      <c r="BC360" s="90"/>
      <c r="BD360" s="90"/>
      <c r="BE360" s="90"/>
      <c r="BF360" s="90"/>
      <c r="BG360" s="90"/>
    </row>
    <row r="361" ht="12.75" customHeight="1">
      <c r="A361" s="316"/>
      <c r="B361" s="90"/>
      <c r="C361" s="90"/>
      <c r="D361" s="90" t="s">
        <v>465</v>
      </c>
      <c r="E361" s="90"/>
      <c r="F361" s="90"/>
      <c r="G361" s="99"/>
      <c r="H361" s="99"/>
      <c r="I361" s="99"/>
      <c r="J361" s="99">
        <v>0.0</v>
      </c>
      <c r="K361" s="99"/>
      <c r="L361" s="99">
        <v>0.0</v>
      </c>
      <c r="M361" s="99">
        <v>0.0</v>
      </c>
      <c r="N361" s="99">
        <v>0.0</v>
      </c>
      <c r="O361" s="99">
        <v>0.0</v>
      </c>
      <c r="P361" s="99">
        <v>0.0</v>
      </c>
      <c r="Q361" s="99">
        <v>0.0</v>
      </c>
      <c r="R361" s="99">
        <v>0.0</v>
      </c>
      <c r="S361" s="99">
        <v>0.0</v>
      </c>
      <c r="T361" s="99">
        <v>0.0</v>
      </c>
      <c r="U361" s="99">
        <v>0.0</v>
      </c>
      <c r="V361" s="99">
        <v>0.0</v>
      </c>
      <c r="W361" s="99">
        <v>0.0</v>
      </c>
      <c r="X361" s="99">
        <v>0.0</v>
      </c>
      <c r="Y361" s="99">
        <v>0.0</v>
      </c>
      <c r="Z361" s="99">
        <v>0.0</v>
      </c>
      <c r="AA361" s="99">
        <v>0.0</v>
      </c>
      <c r="AB361" s="99">
        <v>0.0</v>
      </c>
      <c r="AC361" s="99">
        <v>0.0</v>
      </c>
      <c r="AD361" s="99">
        <v>0.0</v>
      </c>
      <c r="AE361" s="99">
        <v>0.0</v>
      </c>
      <c r="AF361" s="99">
        <v>0.0</v>
      </c>
      <c r="AG361" s="99">
        <v>0.0</v>
      </c>
      <c r="AH361" s="99">
        <v>0.0</v>
      </c>
      <c r="AI361" s="99">
        <v>0.0</v>
      </c>
      <c r="AJ361" s="99">
        <v>0.0</v>
      </c>
      <c r="AK361" s="99">
        <v>0.0</v>
      </c>
      <c r="AL361" s="99">
        <v>0.0</v>
      </c>
      <c r="AM361" s="99">
        <v>0.0</v>
      </c>
      <c r="AN361" s="99">
        <v>0.0</v>
      </c>
      <c r="AO361" s="99">
        <v>0.0</v>
      </c>
      <c r="AP361" s="99">
        <v>0.0</v>
      </c>
      <c r="AQ361" s="99">
        <v>0.0</v>
      </c>
      <c r="AR361" s="99">
        <v>0.0</v>
      </c>
      <c r="AS361" s="99">
        <v>0.0</v>
      </c>
      <c r="AT361" s="99">
        <v>0.0</v>
      </c>
      <c r="AU361" s="99">
        <v>0.0</v>
      </c>
      <c r="AV361" s="99">
        <v>0.0</v>
      </c>
      <c r="AW361" s="90"/>
      <c r="AX361" s="90"/>
      <c r="AY361" s="90"/>
      <c r="AZ361" s="90"/>
      <c r="BA361" s="90"/>
      <c r="BB361" s="90"/>
      <c r="BC361" s="90"/>
      <c r="BD361" s="90"/>
      <c r="BE361" s="90"/>
      <c r="BF361" s="90"/>
      <c r="BG361" s="90"/>
    </row>
    <row r="362" ht="12.75" customHeight="1">
      <c r="A362" s="316"/>
      <c r="B362" s="90"/>
      <c r="C362" s="90" t="s">
        <v>827</v>
      </c>
      <c r="D362" s="90"/>
      <c r="E362" s="90"/>
      <c r="F362" s="90"/>
      <c r="G362" s="99"/>
      <c r="H362" s="99"/>
      <c r="I362" s="99"/>
      <c r="J362" s="99"/>
      <c r="K362" s="99"/>
      <c r="L362" s="99"/>
      <c r="M362" s="99"/>
      <c r="N362" s="99"/>
      <c r="O362" s="99"/>
      <c r="P362" s="99"/>
      <c r="Q362" s="99"/>
      <c r="R362" s="99"/>
      <c r="S362" s="99"/>
      <c r="T362" s="99"/>
      <c r="U362" s="99"/>
      <c r="V362" s="99"/>
      <c r="W362" s="99"/>
      <c r="X362" s="99"/>
      <c r="Y362" s="99"/>
      <c r="Z362" s="99"/>
      <c r="AA362" s="99"/>
      <c r="AB362" s="99"/>
      <c r="AC362" s="99"/>
      <c r="AD362" s="99"/>
      <c r="AE362" s="99"/>
      <c r="AF362" s="99"/>
      <c r="AG362" s="99"/>
      <c r="AH362" s="99"/>
      <c r="AI362" s="99"/>
      <c r="AJ362" s="99"/>
      <c r="AK362" s="99"/>
      <c r="AL362" s="99"/>
      <c r="AM362" s="99"/>
      <c r="AN362" s="99"/>
      <c r="AO362" s="99"/>
      <c r="AP362" s="99"/>
      <c r="AQ362" s="99"/>
      <c r="AR362" s="99"/>
      <c r="AS362" s="99"/>
      <c r="AT362" s="99"/>
      <c r="AU362" s="99"/>
      <c r="AV362" s="99"/>
      <c r="AW362" s="90"/>
      <c r="AX362" s="90"/>
      <c r="AY362" s="90"/>
      <c r="AZ362" s="90"/>
      <c r="BA362" s="90"/>
      <c r="BB362" s="90"/>
      <c r="BC362" s="90"/>
      <c r="BD362" s="90"/>
      <c r="BE362" s="90"/>
      <c r="BF362" s="90"/>
      <c r="BG362" s="90"/>
    </row>
    <row r="363" ht="12.75" customHeight="1">
      <c r="A363" s="316"/>
      <c r="B363" s="90"/>
      <c r="C363" s="90"/>
      <c r="D363" s="90" t="s">
        <v>768</v>
      </c>
      <c r="E363" s="90"/>
      <c r="F363" s="90"/>
      <c r="G363" s="99"/>
      <c r="H363" s="99"/>
      <c r="I363" s="99"/>
      <c r="J363" s="99">
        <v>0.0</v>
      </c>
      <c r="K363" s="99">
        <v>2860.0</v>
      </c>
      <c r="L363" s="99">
        <f t="shared" ref="L363:AV363" si="243">L229*L$46</f>
        <v>1836</v>
      </c>
      <c r="M363" s="99">
        <f t="shared" si="243"/>
        <v>1950.75</v>
      </c>
      <c r="N363" s="99">
        <f t="shared" si="243"/>
        <v>1989.765</v>
      </c>
      <c r="O363" s="99">
        <f t="shared" si="243"/>
        <v>2029.5603</v>
      </c>
      <c r="P363" s="99">
        <f t="shared" si="243"/>
        <v>2070.151506</v>
      </c>
      <c r="Q363" s="99">
        <f t="shared" si="243"/>
        <v>2111.554536</v>
      </c>
      <c r="R363" s="99">
        <f t="shared" si="243"/>
        <v>2153.785627</v>
      </c>
      <c r="S363" s="99">
        <f t="shared" si="243"/>
        <v>2196.861339</v>
      </c>
      <c r="T363" s="99">
        <f t="shared" si="243"/>
        <v>2240.798566</v>
      </c>
      <c r="U363" s="99">
        <f t="shared" si="243"/>
        <v>2285.614537</v>
      </c>
      <c r="V363" s="99">
        <f t="shared" si="243"/>
        <v>2331.326828</v>
      </c>
      <c r="W363" s="99">
        <f t="shared" si="243"/>
        <v>2377.953365</v>
      </c>
      <c r="X363" s="99">
        <f t="shared" si="243"/>
        <v>2425.512432</v>
      </c>
      <c r="Y363" s="99">
        <f t="shared" si="243"/>
        <v>2474.022681</v>
      </c>
      <c r="Z363" s="99">
        <f t="shared" si="243"/>
        <v>2523.503134</v>
      </c>
      <c r="AA363" s="99">
        <f t="shared" si="243"/>
        <v>2573.973197</v>
      </c>
      <c r="AB363" s="99">
        <f t="shared" si="243"/>
        <v>2625.452661</v>
      </c>
      <c r="AC363" s="99">
        <f t="shared" si="243"/>
        <v>2677.961714</v>
      </c>
      <c r="AD363" s="99">
        <f t="shared" si="243"/>
        <v>2731.520948</v>
      </c>
      <c r="AE363" s="99">
        <f t="shared" si="243"/>
        <v>2786.151367</v>
      </c>
      <c r="AF363" s="99">
        <f t="shared" si="243"/>
        <v>2841.874395</v>
      </c>
      <c r="AG363" s="99">
        <f t="shared" si="243"/>
        <v>2898.711883</v>
      </c>
      <c r="AH363" s="99">
        <f t="shared" si="243"/>
        <v>2956.68612</v>
      </c>
      <c r="AI363" s="99">
        <f t="shared" si="243"/>
        <v>3015.819843</v>
      </c>
      <c r="AJ363" s="99">
        <f t="shared" si="243"/>
        <v>3076.13624</v>
      </c>
      <c r="AK363" s="99">
        <f t="shared" si="243"/>
        <v>3137.658964</v>
      </c>
      <c r="AL363" s="99">
        <f t="shared" si="243"/>
        <v>3200.412144</v>
      </c>
      <c r="AM363" s="99">
        <f t="shared" si="243"/>
        <v>3264.420387</v>
      </c>
      <c r="AN363" s="99">
        <f t="shared" si="243"/>
        <v>3329.708794</v>
      </c>
      <c r="AO363" s="99">
        <f t="shared" si="243"/>
        <v>3396.30297</v>
      </c>
      <c r="AP363" s="99">
        <f t="shared" si="243"/>
        <v>3464.22903</v>
      </c>
      <c r="AQ363" s="99">
        <f t="shared" si="243"/>
        <v>3533.51361</v>
      </c>
      <c r="AR363" s="99">
        <f t="shared" si="243"/>
        <v>3604.183882</v>
      </c>
      <c r="AS363" s="99">
        <f t="shared" si="243"/>
        <v>3676.26756</v>
      </c>
      <c r="AT363" s="99">
        <f t="shared" si="243"/>
        <v>3749.792911</v>
      </c>
      <c r="AU363" s="99">
        <f t="shared" si="243"/>
        <v>3824.788769</v>
      </c>
      <c r="AV363" s="99">
        <f t="shared" si="243"/>
        <v>3901.284545</v>
      </c>
      <c r="AW363" s="90"/>
      <c r="AX363" s="90"/>
      <c r="AY363" s="90"/>
      <c r="AZ363" s="90"/>
      <c r="BA363" s="90"/>
      <c r="BB363" s="90"/>
      <c r="BC363" s="90"/>
      <c r="BD363" s="90"/>
      <c r="BE363" s="90"/>
      <c r="BF363" s="90"/>
      <c r="BG363" s="90"/>
    </row>
    <row r="364" ht="12.75" customHeight="1">
      <c r="A364" s="316"/>
      <c r="B364" s="90"/>
      <c r="C364" s="90"/>
      <c r="D364" s="90" t="s">
        <v>769</v>
      </c>
      <c r="E364" s="90"/>
      <c r="F364" s="90"/>
      <c r="G364" s="99"/>
      <c r="H364" s="99"/>
      <c r="I364" s="99"/>
      <c r="J364" s="99">
        <v>0.0</v>
      </c>
      <c r="K364" s="99">
        <v>20943.0</v>
      </c>
      <c r="L364" s="99">
        <f t="shared" ref="L364:AV364" si="244">L230*L$46</f>
        <v>24960</v>
      </c>
      <c r="M364" s="99">
        <f t="shared" si="244"/>
        <v>26520</v>
      </c>
      <c r="N364" s="99">
        <f t="shared" si="244"/>
        <v>27050.4</v>
      </c>
      <c r="O364" s="99">
        <f t="shared" si="244"/>
        <v>27591.408</v>
      </c>
      <c r="P364" s="99">
        <f t="shared" si="244"/>
        <v>28143.23616</v>
      </c>
      <c r="Q364" s="99">
        <f t="shared" si="244"/>
        <v>28706.10088</v>
      </c>
      <c r="R364" s="99">
        <f t="shared" si="244"/>
        <v>29280.2229</v>
      </c>
      <c r="S364" s="99">
        <f t="shared" si="244"/>
        <v>29865.82736</v>
      </c>
      <c r="T364" s="99">
        <f t="shared" si="244"/>
        <v>30463.14391</v>
      </c>
      <c r="U364" s="99">
        <f t="shared" si="244"/>
        <v>31072.40678</v>
      </c>
      <c r="V364" s="99">
        <f t="shared" si="244"/>
        <v>31693.85492</v>
      </c>
      <c r="W364" s="99">
        <f t="shared" si="244"/>
        <v>32327.73202</v>
      </c>
      <c r="X364" s="99">
        <f t="shared" si="244"/>
        <v>32974.28666</v>
      </c>
      <c r="Y364" s="99">
        <f t="shared" si="244"/>
        <v>33633.77239</v>
      </c>
      <c r="Z364" s="99">
        <f t="shared" si="244"/>
        <v>34306.44784</v>
      </c>
      <c r="AA364" s="99">
        <f t="shared" si="244"/>
        <v>34992.5768</v>
      </c>
      <c r="AB364" s="99">
        <f t="shared" si="244"/>
        <v>35692.42833</v>
      </c>
      <c r="AC364" s="99">
        <f t="shared" si="244"/>
        <v>36406.2769</v>
      </c>
      <c r="AD364" s="99">
        <f t="shared" si="244"/>
        <v>37134.40244</v>
      </c>
      <c r="AE364" s="99">
        <f t="shared" si="244"/>
        <v>37877.09049</v>
      </c>
      <c r="AF364" s="99">
        <f t="shared" si="244"/>
        <v>38634.6323</v>
      </c>
      <c r="AG364" s="99">
        <f t="shared" si="244"/>
        <v>39407.32494</v>
      </c>
      <c r="AH364" s="99">
        <f t="shared" si="244"/>
        <v>40195.47144</v>
      </c>
      <c r="AI364" s="99">
        <f t="shared" si="244"/>
        <v>40999.38087</v>
      </c>
      <c r="AJ364" s="99">
        <f t="shared" si="244"/>
        <v>41819.36849</v>
      </c>
      <c r="AK364" s="99">
        <f t="shared" si="244"/>
        <v>42655.75586</v>
      </c>
      <c r="AL364" s="99">
        <f t="shared" si="244"/>
        <v>43508.87097</v>
      </c>
      <c r="AM364" s="99">
        <f t="shared" si="244"/>
        <v>44379.04839</v>
      </c>
      <c r="AN364" s="99">
        <f t="shared" si="244"/>
        <v>45266.62936</v>
      </c>
      <c r="AO364" s="99">
        <f t="shared" si="244"/>
        <v>46171.96195</v>
      </c>
      <c r="AP364" s="99">
        <f t="shared" si="244"/>
        <v>47095.40119</v>
      </c>
      <c r="AQ364" s="99">
        <f t="shared" si="244"/>
        <v>48037.30921</v>
      </c>
      <c r="AR364" s="99">
        <f t="shared" si="244"/>
        <v>48998.05539</v>
      </c>
      <c r="AS364" s="99">
        <f t="shared" si="244"/>
        <v>49978.0165</v>
      </c>
      <c r="AT364" s="99">
        <f t="shared" si="244"/>
        <v>50977.57683</v>
      </c>
      <c r="AU364" s="99">
        <f t="shared" si="244"/>
        <v>51997.12837</v>
      </c>
      <c r="AV364" s="99">
        <f t="shared" si="244"/>
        <v>53037.07094</v>
      </c>
      <c r="AW364" s="90"/>
      <c r="AX364" s="90"/>
      <c r="AY364" s="90"/>
      <c r="AZ364" s="90"/>
      <c r="BA364" s="90"/>
      <c r="BB364" s="90"/>
      <c r="BC364" s="90"/>
      <c r="BD364" s="90"/>
      <c r="BE364" s="90"/>
      <c r="BF364" s="90"/>
      <c r="BG364" s="90"/>
    </row>
    <row r="365" ht="12.75" customHeight="1">
      <c r="A365" s="316"/>
      <c r="B365" s="90"/>
      <c r="C365" s="90"/>
      <c r="D365" s="90" t="s">
        <v>770</v>
      </c>
      <c r="E365" s="90"/>
      <c r="F365" s="90"/>
      <c r="G365" s="99"/>
      <c r="H365" s="99"/>
      <c r="I365" s="99"/>
      <c r="J365" s="99">
        <v>0.0</v>
      </c>
      <c r="K365" s="99">
        <v>4035.42</v>
      </c>
      <c r="L365" s="99">
        <f t="shared" ref="L365:AV365" si="245">L231*L$46</f>
        <v>4590</v>
      </c>
      <c r="M365" s="99">
        <f t="shared" si="245"/>
        <v>4876.875</v>
      </c>
      <c r="N365" s="99">
        <f t="shared" si="245"/>
        <v>4974.4125</v>
      </c>
      <c r="O365" s="99">
        <f t="shared" si="245"/>
        <v>5073.90075</v>
      </c>
      <c r="P365" s="99">
        <f t="shared" si="245"/>
        <v>5175.378765</v>
      </c>
      <c r="Q365" s="99">
        <f t="shared" si="245"/>
        <v>5278.88634</v>
      </c>
      <c r="R365" s="99">
        <f t="shared" si="245"/>
        <v>5384.464067</v>
      </c>
      <c r="S365" s="99">
        <f t="shared" si="245"/>
        <v>5492.153348</v>
      </c>
      <c r="T365" s="99">
        <f t="shared" si="245"/>
        <v>5601.996415</v>
      </c>
      <c r="U365" s="99">
        <f t="shared" si="245"/>
        <v>5714.036344</v>
      </c>
      <c r="V365" s="99">
        <f t="shared" si="245"/>
        <v>5828.317071</v>
      </c>
      <c r="W365" s="99">
        <f t="shared" si="245"/>
        <v>5944.883412</v>
      </c>
      <c r="X365" s="99">
        <f t="shared" si="245"/>
        <v>6063.78108</v>
      </c>
      <c r="Y365" s="99">
        <f t="shared" si="245"/>
        <v>6185.056702</v>
      </c>
      <c r="Z365" s="99">
        <f t="shared" si="245"/>
        <v>6308.757836</v>
      </c>
      <c r="AA365" s="99">
        <f t="shared" si="245"/>
        <v>6434.932993</v>
      </c>
      <c r="AB365" s="99">
        <f t="shared" si="245"/>
        <v>6563.631652</v>
      </c>
      <c r="AC365" s="99">
        <f t="shared" si="245"/>
        <v>6694.904286</v>
      </c>
      <c r="AD365" s="99">
        <f t="shared" si="245"/>
        <v>6828.802371</v>
      </c>
      <c r="AE365" s="99">
        <f t="shared" si="245"/>
        <v>6965.378419</v>
      </c>
      <c r="AF365" s="99">
        <f t="shared" si="245"/>
        <v>7104.685987</v>
      </c>
      <c r="AG365" s="99">
        <f t="shared" si="245"/>
        <v>7246.779707</v>
      </c>
      <c r="AH365" s="99">
        <f t="shared" si="245"/>
        <v>7391.715301</v>
      </c>
      <c r="AI365" s="99">
        <f t="shared" si="245"/>
        <v>7539.549607</v>
      </c>
      <c r="AJ365" s="99">
        <f t="shared" si="245"/>
        <v>7690.340599</v>
      </c>
      <c r="AK365" s="99">
        <f t="shared" si="245"/>
        <v>7844.147411</v>
      </c>
      <c r="AL365" s="99">
        <f t="shared" si="245"/>
        <v>8001.030359</v>
      </c>
      <c r="AM365" s="99">
        <f t="shared" si="245"/>
        <v>8161.050966</v>
      </c>
      <c r="AN365" s="99">
        <f t="shared" si="245"/>
        <v>8324.271986</v>
      </c>
      <c r="AO365" s="99">
        <f t="shared" si="245"/>
        <v>8490.757425</v>
      </c>
      <c r="AP365" s="99">
        <f t="shared" si="245"/>
        <v>8660.572574</v>
      </c>
      <c r="AQ365" s="99">
        <f t="shared" si="245"/>
        <v>8833.784025</v>
      </c>
      <c r="AR365" s="99">
        <f t="shared" si="245"/>
        <v>9010.459706</v>
      </c>
      <c r="AS365" s="99">
        <f t="shared" si="245"/>
        <v>9190.6689</v>
      </c>
      <c r="AT365" s="99">
        <f t="shared" si="245"/>
        <v>9374.482278</v>
      </c>
      <c r="AU365" s="99">
        <f t="shared" si="245"/>
        <v>9561.971924</v>
      </c>
      <c r="AV365" s="99">
        <f t="shared" si="245"/>
        <v>9753.211362</v>
      </c>
      <c r="AW365" s="90"/>
      <c r="AX365" s="90"/>
      <c r="AY365" s="90"/>
      <c r="AZ365" s="90"/>
      <c r="BA365" s="90"/>
      <c r="BB365" s="90"/>
      <c r="BC365" s="90"/>
      <c r="BD365" s="90"/>
      <c r="BE365" s="90"/>
      <c r="BF365" s="90"/>
      <c r="BG365" s="90"/>
    </row>
    <row r="366" ht="12.75" customHeight="1">
      <c r="A366" s="316"/>
      <c r="B366" s="90"/>
      <c r="C366" s="90"/>
      <c r="D366" s="90" t="s">
        <v>771</v>
      </c>
      <c r="E366" s="90"/>
      <c r="F366" s="90"/>
      <c r="G366" s="99"/>
      <c r="H366" s="99"/>
      <c r="I366" s="99"/>
      <c r="J366" s="99">
        <f>'FY09 P&amp;L'!C234</f>
        <v>919.31</v>
      </c>
      <c r="K366" s="99">
        <v>392.0</v>
      </c>
      <c r="L366" s="99">
        <f t="shared" ref="L366:AV366" si="246">L232*L$46</f>
        <v>1530</v>
      </c>
      <c r="M366" s="99">
        <f t="shared" si="246"/>
        <v>1625.625</v>
      </c>
      <c r="N366" s="99">
        <f t="shared" si="246"/>
        <v>1658.1375</v>
      </c>
      <c r="O366" s="99">
        <f t="shared" si="246"/>
        <v>1691.30025</v>
      </c>
      <c r="P366" s="99">
        <f t="shared" si="246"/>
        <v>1725.126255</v>
      </c>
      <c r="Q366" s="99">
        <f t="shared" si="246"/>
        <v>1759.62878</v>
      </c>
      <c r="R366" s="99">
        <f t="shared" si="246"/>
        <v>1794.821356</v>
      </c>
      <c r="S366" s="99">
        <f t="shared" si="246"/>
        <v>1830.717783</v>
      </c>
      <c r="T366" s="99">
        <f t="shared" si="246"/>
        <v>1867.332138</v>
      </c>
      <c r="U366" s="99">
        <f t="shared" si="246"/>
        <v>1904.678781</v>
      </c>
      <c r="V366" s="99">
        <f t="shared" si="246"/>
        <v>1942.772357</v>
      </c>
      <c r="W366" s="99">
        <f t="shared" si="246"/>
        <v>1981.627804</v>
      </c>
      <c r="X366" s="99">
        <f t="shared" si="246"/>
        <v>2021.26036</v>
      </c>
      <c r="Y366" s="99">
        <f t="shared" si="246"/>
        <v>2061.685567</v>
      </c>
      <c r="Z366" s="99">
        <f t="shared" si="246"/>
        <v>2102.919279</v>
      </c>
      <c r="AA366" s="99">
        <f t="shared" si="246"/>
        <v>2144.977664</v>
      </c>
      <c r="AB366" s="99">
        <f t="shared" si="246"/>
        <v>2187.877217</v>
      </c>
      <c r="AC366" s="99">
        <f t="shared" si="246"/>
        <v>2231.634762</v>
      </c>
      <c r="AD366" s="99">
        <f t="shared" si="246"/>
        <v>2276.267457</v>
      </c>
      <c r="AE366" s="99">
        <f t="shared" si="246"/>
        <v>2321.792806</v>
      </c>
      <c r="AF366" s="99">
        <f t="shared" si="246"/>
        <v>2368.228662</v>
      </c>
      <c r="AG366" s="99">
        <f t="shared" si="246"/>
        <v>2415.593236</v>
      </c>
      <c r="AH366" s="99">
        <f t="shared" si="246"/>
        <v>2463.9051</v>
      </c>
      <c r="AI366" s="99">
        <f t="shared" si="246"/>
        <v>2513.183202</v>
      </c>
      <c r="AJ366" s="99">
        <f t="shared" si="246"/>
        <v>2563.446866</v>
      </c>
      <c r="AK366" s="99">
        <f t="shared" si="246"/>
        <v>2614.715804</v>
      </c>
      <c r="AL366" s="99">
        <f t="shared" si="246"/>
        <v>2667.01012</v>
      </c>
      <c r="AM366" s="99">
        <f t="shared" si="246"/>
        <v>2720.350322</v>
      </c>
      <c r="AN366" s="99">
        <f t="shared" si="246"/>
        <v>2774.757329</v>
      </c>
      <c r="AO366" s="99">
        <f t="shared" si="246"/>
        <v>2830.252475</v>
      </c>
      <c r="AP366" s="99">
        <f t="shared" si="246"/>
        <v>2886.857525</v>
      </c>
      <c r="AQ366" s="99">
        <f t="shared" si="246"/>
        <v>2944.594675</v>
      </c>
      <c r="AR366" s="99">
        <f t="shared" si="246"/>
        <v>3003.486569</v>
      </c>
      <c r="AS366" s="99">
        <f t="shared" si="246"/>
        <v>3063.5563</v>
      </c>
      <c r="AT366" s="99">
        <f t="shared" si="246"/>
        <v>3124.827426</v>
      </c>
      <c r="AU366" s="99">
        <f t="shared" si="246"/>
        <v>3187.323975</v>
      </c>
      <c r="AV366" s="99">
        <f t="shared" si="246"/>
        <v>3251.070454</v>
      </c>
      <c r="AW366" s="90"/>
      <c r="AX366" s="90"/>
      <c r="AY366" s="90"/>
      <c r="AZ366" s="90"/>
      <c r="BA366" s="90"/>
      <c r="BB366" s="90"/>
      <c r="BC366" s="90"/>
      <c r="BD366" s="90"/>
      <c r="BE366" s="90"/>
      <c r="BF366" s="90"/>
      <c r="BG366" s="90"/>
    </row>
    <row r="367" ht="12.75" customHeight="1">
      <c r="A367" s="316"/>
      <c r="B367" s="90"/>
      <c r="C367" s="90"/>
      <c r="D367" s="90" t="s">
        <v>772</v>
      </c>
      <c r="E367" s="90"/>
      <c r="F367" s="90"/>
      <c r="G367" s="99"/>
      <c r="H367" s="99"/>
      <c r="I367" s="99"/>
      <c r="J367" s="99">
        <v>0.0</v>
      </c>
      <c r="K367" s="99"/>
      <c r="L367" s="99"/>
      <c r="M367" s="99"/>
      <c r="N367" s="99"/>
      <c r="O367" s="99"/>
      <c r="P367" s="99"/>
      <c r="Q367" s="99"/>
      <c r="R367" s="99"/>
      <c r="S367" s="99"/>
      <c r="T367" s="99"/>
      <c r="U367" s="99"/>
      <c r="V367" s="99"/>
      <c r="W367" s="99"/>
      <c r="X367" s="99"/>
      <c r="Y367" s="99"/>
      <c r="Z367" s="99"/>
      <c r="AA367" s="99"/>
      <c r="AB367" s="99"/>
      <c r="AC367" s="99"/>
      <c r="AD367" s="99"/>
      <c r="AE367" s="99"/>
      <c r="AF367" s="99"/>
      <c r="AG367" s="99"/>
      <c r="AH367" s="99"/>
      <c r="AI367" s="99"/>
      <c r="AJ367" s="99"/>
      <c r="AK367" s="99"/>
      <c r="AL367" s="99"/>
      <c r="AM367" s="99"/>
      <c r="AN367" s="99"/>
      <c r="AO367" s="99"/>
      <c r="AP367" s="99"/>
      <c r="AQ367" s="99"/>
      <c r="AR367" s="99"/>
      <c r="AS367" s="99"/>
      <c r="AT367" s="99"/>
      <c r="AU367" s="99"/>
      <c r="AV367" s="99"/>
      <c r="AW367" s="90"/>
      <c r="AX367" s="90"/>
      <c r="AY367" s="90"/>
      <c r="AZ367" s="90"/>
      <c r="BA367" s="90"/>
      <c r="BB367" s="90"/>
      <c r="BC367" s="90"/>
      <c r="BD367" s="90"/>
      <c r="BE367" s="90"/>
      <c r="BF367" s="90"/>
      <c r="BG367" s="90"/>
    </row>
    <row r="368" ht="12.75" customHeight="1">
      <c r="A368" s="316"/>
      <c r="B368" s="90"/>
      <c r="C368" s="90"/>
      <c r="D368" s="90" t="s">
        <v>773</v>
      </c>
      <c r="E368" s="90"/>
      <c r="F368" s="90"/>
      <c r="G368" s="99"/>
      <c r="H368" s="99"/>
      <c r="I368" s="99"/>
      <c r="J368" s="99">
        <v>0.0</v>
      </c>
      <c r="K368" s="99">
        <v>4269.0</v>
      </c>
      <c r="L368" s="99">
        <f t="shared" ref="L368:AV368" si="247">L234*L$46</f>
        <v>2400</v>
      </c>
      <c r="M368" s="99">
        <f t="shared" si="247"/>
        <v>2550</v>
      </c>
      <c r="N368" s="99">
        <f t="shared" si="247"/>
        <v>2601</v>
      </c>
      <c r="O368" s="99">
        <f t="shared" si="247"/>
        <v>2653.02</v>
      </c>
      <c r="P368" s="99">
        <f t="shared" si="247"/>
        <v>2706.0804</v>
      </c>
      <c r="Q368" s="99">
        <f t="shared" si="247"/>
        <v>2760.202008</v>
      </c>
      <c r="R368" s="99">
        <f t="shared" si="247"/>
        <v>2815.406048</v>
      </c>
      <c r="S368" s="99">
        <f t="shared" si="247"/>
        <v>2871.714169</v>
      </c>
      <c r="T368" s="99">
        <f t="shared" si="247"/>
        <v>2929.148453</v>
      </c>
      <c r="U368" s="99">
        <f t="shared" si="247"/>
        <v>2987.731422</v>
      </c>
      <c r="V368" s="99">
        <f t="shared" si="247"/>
        <v>3047.48605</v>
      </c>
      <c r="W368" s="99">
        <f t="shared" si="247"/>
        <v>3108.435771</v>
      </c>
      <c r="X368" s="99">
        <f t="shared" si="247"/>
        <v>3170.604486</v>
      </c>
      <c r="Y368" s="99">
        <f t="shared" si="247"/>
        <v>3234.016576</v>
      </c>
      <c r="Z368" s="99">
        <f t="shared" si="247"/>
        <v>3298.696908</v>
      </c>
      <c r="AA368" s="99">
        <f t="shared" si="247"/>
        <v>3364.670846</v>
      </c>
      <c r="AB368" s="99">
        <f t="shared" si="247"/>
        <v>3431.964263</v>
      </c>
      <c r="AC368" s="99">
        <f t="shared" si="247"/>
        <v>3500.603548</v>
      </c>
      <c r="AD368" s="99">
        <f t="shared" si="247"/>
        <v>3570.615619</v>
      </c>
      <c r="AE368" s="99">
        <f t="shared" si="247"/>
        <v>3642.027931</v>
      </c>
      <c r="AF368" s="99">
        <f t="shared" si="247"/>
        <v>3714.86849</v>
      </c>
      <c r="AG368" s="99">
        <f t="shared" si="247"/>
        <v>3789.16586</v>
      </c>
      <c r="AH368" s="99">
        <f t="shared" si="247"/>
        <v>3864.949177</v>
      </c>
      <c r="AI368" s="99">
        <f t="shared" si="247"/>
        <v>3942.24816</v>
      </c>
      <c r="AJ368" s="99">
        <f t="shared" si="247"/>
        <v>4021.093124</v>
      </c>
      <c r="AK368" s="99">
        <f t="shared" si="247"/>
        <v>4101.514986</v>
      </c>
      <c r="AL368" s="99">
        <f t="shared" si="247"/>
        <v>4183.545286</v>
      </c>
      <c r="AM368" s="99">
        <f t="shared" si="247"/>
        <v>4267.216192</v>
      </c>
      <c r="AN368" s="99">
        <f t="shared" si="247"/>
        <v>4352.560515</v>
      </c>
      <c r="AO368" s="99">
        <f t="shared" si="247"/>
        <v>4439.611726</v>
      </c>
      <c r="AP368" s="99">
        <f t="shared" si="247"/>
        <v>4528.40396</v>
      </c>
      <c r="AQ368" s="99">
        <f t="shared" si="247"/>
        <v>4618.972039</v>
      </c>
      <c r="AR368" s="99">
        <f t="shared" si="247"/>
        <v>4711.35148</v>
      </c>
      <c r="AS368" s="99">
        <f t="shared" si="247"/>
        <v>4805.57851</v>
      </c>
      <c r="AT368" s="99">
        <f t="shared" si="247"/>
        <v>4901.69008</v>
      </c>
      <c r="AU368" s="99">
        <f t="shared" si="247"/>
        <v>4999.723882</v>
      </c>
      <c r="AV368" s="99">
        <f t="shared" si="247"/>
        <v>5099.718359</v>
      </c>
      <c r="AW368" s="90"/>
      <c r="AX368" s="90"/>
      <c r="AY368" s="90"/>
      <c r="AZ368" s="90"/>
      <c r="BA368" s="90"/>
      <c r="BB368" s="90"/>
      <c r="BC368" s="90"/>
      <c r="BD368" s="90"/>
      <c r="BE368" s="90"/>
      <c r="BF368" s="90"/>
      <c r="BG368" s="90"/>
    </row>
    <row r="369" ht="12.75" customHeight="1">
      <c r="A369" s="316"/>
      <c r="B369" s="90"/>
      <c r="C369" s="90"/>
      <c r="D369" s="90" t="s">
        <v>828</v>
      </c>
      <c r="E369" s="90"/>
      <c r="F369" s="90"/>
      <c r="G369" s="99"/>
      <c r="H369" s="99"/>
      <c r="I369" s="99"/>
      <c r="J369" s="99">
        <v>0.0</v>
      </c>
      <c r="K369" s="99">
        <f>211.95+73+115</f>
        <v>399.95</v>
      </c>
      <c r="L369" s="99">
        <v>0.0</v>
      </c>
      <c r="M369" s="99">
        <v>0.0</v>
      </c>
      <c r="N369" s="99">
        <v>0.0</v>
      </c>
      <c r="O369" s="99">
        <v>158063.69106655</v>
      </c>
      <c r="P369" s="99">
        <v>158846.798644741</v>
      </c>
      <c r="Q369" s="99">
        <v>510749.873596996</v>
      </c>
      <c r="R369" s="99">
        <v>540226.656979225</v>
      </c>
      <c r="S369" s="99">
        <v>548559.987227827</v>
      </c>
      <c r="T369" s="99">
        <v>557562.786889295</v>
      </c>
      <c r="U369" s="99">
        <v>566655.462707781</v>
      </c>
      <c r="V369" s="99">
        <v>578060.925301966</v>
      </c>
      <c r="W369" s="99">
        <v>592654.563265619</v>
      </c>
      <c r="X369" s="99">
        <v>607535.018953956</v>
      </c>
      <c r="Y369" s="99">
        <v>622725.061394692</v>
      </c>
      <c r="Z369" s="99">
        <v>638231.002099259</v>
      </c>
      <c r="AA369" s="99">
        <v>654059.280007082</v>
      </c>
      <c r="AB369" s="99">
        <v>669667.366702513</v>
      </c>
      <c r="AC369" s="99">
        <v>686065.522830491</v>
      </c>
      <c r="AD369" s="99">
        <v>702801.653104088</v>
      </c>
      <c r="AE369" s="99">
        <v>719882.744521153</v>
      </c>
      <c r="AF369" s="99">
        <v>818362.740157577</v>
      </c>
      <c r="AG369" s="99">
        <v>835983.845676546</v>
      </c>
      <c r="AH369" s="99">
        <v>854267.711118572</v>
      </c>
      <c r="AI369" s="99">
        <v>872930.563702398</v>
      </c>
      <c r="AJ369" s="99">
        <v>890300.916959316</v>
      </c>
      <c r="AK369" s="99">
        <v>909475.883042629</v>
      </c>
      <c r="AL369" s="99">
        <v>929092.487427116</v>
      </c>
      <c r="AM369" s="99">
        <v>949113.024017227</v>
      </c>
      <c r="AN369" s="99">
        <v>969545.693746926</v>
      </c>
      <c r="AO369" s="99">
        <v>990398.853820605</v>
      </c>
      <c r="AP369" s="99">
        <v>1011822.75691858</v>
      </c>
      <c r="AQ369" s="99">
        <v>1033714.147589</v>
      </c>
      <c r="AR369" s="99">
        <v>1056057.63025007</v>
      </c>
      <c r="AS369" s="99">
        <v>1078862.38938338</v>
      </c>
      <c r="AT369" s="99">
        <v>1102137.79458655</v>
      </c>
      <c r="AU369" s="99">
        <v>1125893.40428987</v>
      </c>
      <c r="AV369" s="99"/>
      <c r="AW369" s="90"/>
      <c r="AX369" s="90"/>
      <c r="AY369" s="90"/>
      <c r="AZ369" s="90"/>
      <c r="BA369" s="90"/>
      <c r="BB369" s="90"/>
      <c r="BC369" s="90"/>
      <c r="BD369" s="90"/>
      <c r="BE369" s="90"/>
      <c r="BF369" s="90"/>
      <c r="BG369" s="90"/>
    </row>
    <row r="370" ht="12.75" customHeight="1">
      <c r="A370" s="316"/>
      <c r="B370" s="90"/>
      <c r="C370" s="90"/>
      <c r="D370" s="90" t="s">
        <v>829</v>
      </c>
      <c r="E370" s="90"/>
      <c r="F370" s="90"/>
      <c r="G370" s="99"/>
      <c r="H370" s="99"/>
      <c r="I370" s="99"/>
      <c r="J370" s="99"/>
      <c r="K370" s="99"/>
      <c r="L370" s="99"/>
      <c r="M370" s="99"/>
      <c r="N370" s="99"/>
      <c r="O370" s="99"/>
      <c r="P370" s="99"/>
      <c r="Q370" s="99"/>
      <c r="R370" s="99"/>
      <c r="S370" s="99"/>
      <c r="T370" s="99"/>
      <c r="U370" s="99"/>
      <c r="V370" s="99"/>
      <c r="W370" s="99"/>
      <c r="X370" s="99"/>
      <c r="Y370" s="99"/>
      <c r="Z370" s="99"/>
      <c r="AA370" s="99"/>
      <c r="AB370" s="99"/>
      <c r="AC370" s="99"/>
      <c r="AD370" s="99"/>
      <c r="AE370" s="99"/>
      <c r="AF370" s="99"/>
      <c r="AG370" s="99"/>
      <c r="AH370" s="99"/>
      <c r="AI370" s="99"/>
      <c r="AJ370" s="99"/>
      <c r="AK370" s="99"/>
      <c r="AL370" s="99"/>
      <c r="AM370" s="99"/>
      <c r="AN370" s="99"/>
      <c r="AO370" s="99"/>
      <c r="AP370" s="99"/>
      <c r="AQ370" s="99"/>
      <c r="AR370" s="99"/>
      <c r="AS370" s="99"/>
      <c r="AT370" s="99"/>
      <c r="AU370" s="99"/>
      <c r="AV370" s="99"/>
      <c r="AW370" s="90"/>
      <c r="AX370" s="90"/>
      <c r="AY370" s="90"/>
      <c r="AZ370" s="90"/>
      <c r="BA370" s="90"/>
      <c r="BB370" s="90"/>
      <c r="BC370" s="90"/>
      <c r="BD370" s="90"/>
      <c r="BE370" s="90"/>
      <c r="BF370" s="90"/>
      <c r="BG370" s="90"/>
    </row>
    <row r="371" ht="12.75" customHeight="1">
      <c r="A371" s="316"/>
      <c r="B371" s="90"/>
      <c r="C371" s="90"/>
      <c r="D371" s="64" t="s">
        <v>830</v>
      </c>
      <c r="E371" s="90"/>
      <c r="F371" s="90"/>
      <c r="G371" s="99"/>
      <c r="H371" s="99"/>
      <c r="I371" s="99"/>
      <c r="J371" s="99">
        <f>'FY09 P&amp;L'!C214+'FY09 P&amp;L'!C200</f>
        <v>3742</v>
      </c>
      <c r="K371" s="99"/>
      <c r="L371" s="99">
        <v>0.0</v>
      </c>
      <c r="M371" s="99">
        <v>0.0</v>
      </c>
      <c r="N371" s="99">
        <v>0.0</v>
      </c>
      <c r="O371" s="99">
        <v>0.0</v>
      </c>
      <c r="P371" s="99">
        <v>0.0</v>
      </c>
      <c r="Q371" s="99">
        <v>0.0</v>
      </c>
      <c r="R371" s="99">
        <v>0.0</v>
      </c>
      <c r="S371" s="99">
        <v>0.0</v>
      </c>
      <c r="T371" s="99">
        <v>0.0</v>
      </c>
      <c r="U371" s="99">
        <v>0.0</v>
      </c>
      <c r="V371" s="99">
        <v>0.0</v>
      </c>
      <c r="W371" s="99">
        <v>0.0</v>
      </c>
      <c r="X371" s="99">
        <v>0.0</v>
      </c>
      <c r="Y371" s="99">
        <v>0.0</v>
      </c>
      <c r="Z371" s="99">
        <v>0.0</v>
      </c>
      <c r="AA371" s="99">
        <v>0.0</v>
      </c>
      <c r="AB371" s="99">
        <v>0.0</v>
      </c>
      <c r="AC371" s="99">
        <v>0.0</v>
      </c>
      <c r="AD371" s="99">
        <v>0.0</v>
      </c>
      <c r="AE371" s="99">
        <v>0.0</v>
      </c>
      <c r="AF371" s="99">
        <v>0.0</v>
      </c>
      <c r="AG371" s="99">
        <v>0.0</v>
      </c>
      <c r="AH371" s="99">
        <v>0.0</v>
      </c>
      <c r="AI371" s="99">
        <v>0.0</v>
      </c>
      <c r="AJ371" s="99">
        <v>0.0</v>
      </c>
      <c r="AK371" s="99">
        <v>0.0</v>
      </c>
      <c r="AL371" s="99">
        <v>0.0</v>
      </c>
      <c r="AM371" s="99">
        <v>0.0</v>
      </c>
      <c r="AN371" s="99">
        <v>0.0</v>
      </c>
      <c r="AO371" s="99">
        <v>0.0</v>
      </c>
      <c r="AP371" s="99">
        <v>0.0</v>
      </c>
      <c r="AQ371" s="99">
        <v>0.0</v>
      </c>
      <c r="AR371" s="99">
        <v>0.0</v>
      </c>
      <c r="AS371" s="99">
        <v>0.0</v>
      </c>
      <c r="AT371" s="99">
        <v>0.0</v>
      </c>
      <c r="AU371" s="99">
        <v>0.0</v>
      </c>
      <c r="AV371" s="99">
        <v>0.0</v>
      </c>
      <c r="AW371" s="90"/>
      <c r="AX371" s="90"/>
      <c r="AY371" s="90"/>
      <c r="AZ371" s="90"/>
      <c r="BA371" s="90"/>
      <c r="BB371" s="90"/>
      <c r="BC371" s="90"/>
      <c r="BD371" s="90"/>
      <c r="BE371" s="90"/>
      <c r="BF371" s="90"/>
      <c r="BG371" s="90"/>
    </row>
    <row r="372" ht="12.75" customHeight="1">
      <c r="A372" s="316"/>
      <c r="B372" s="90"/>
      <c r="C372" s="90"/>
      <c r="D372" s="90" t="s">
        <v>831</v>
      </c>
      <c r="E372" s="90"/>
      <c r="F372" s="90"/>
      <c r="G372" s="99"/>
      <c r="H372" s="99"/>
      <c r="I372" s="99"/>
      <c r="J372" s="99">
        <f>'FY09 P&amp;L'!C196+'FY09 P&amp;L'!C195+'FY09 P&amp;L'!C222</f>
        <v>1399.97</v>
      </c>
      <c r="K372" s="99"/>
      <c r="L372" s="99">
        <v>0.0</v>
      </c>
      <c r="M372" s="99">
        <v>0.0</v>
      </c>
      <c r="N372" s="99">
        <v>0.0</v>
      </c>
      <c r="O372" s="99">
        <v>0.0</v>
      </c>
      <c r="P372" s="99">
        <v>0.0</v>
      </c>
      <c r="Q372" s="99">
        <v>0.0</v>
      </c>
      <c r="R372" s="99">
        <v>0.0</v>
      </c>
      <c r="S372" s="99">
        <v>0.0</v>
      </c>
      <c r="T372" s="99">
        <v>0.0</v>
      </c>
      <c r="U372" s="99">
        <v>0.0</v>
      </c>
      <c r="V372" s="99">
        <v>0.0</v>
      </c>
      <c r="W372" s="99">
        <v>0.0</v>
      </c>
      <c r="X372" s="99">
        <v>0.0</v>
      </c>
      <c r="Y372" s="99">
        <v>0.0</v>
      </c>
      <c r="Z372" s="99">
        <v>0.0</v>
      </c>
      <c r="AA372" s="99">
        <v>0.0</v>
      </c>
      <c r="AB372" s="99">
        <v>0.0</v>
      </c>
      <c r="AC372" s="99">
        <v>0.0</v>
      </c>
      <c r="AD372" s="99">
        <v>0.0</v>
      </c>
      <c r="AE372" s="99">
        <v>0.0</v>
      </c>
      <c r="AF372" s="99">
        <v>0.0</v>
      </c>
      <c r="AG372" s="99">
        <v>0.0</v>
      </c>
      <c r="AH372" s="99">
        <v>0.0</v>
      </c>
      <c r="AI372" s="99">
        <v>0.0</v>
      </c>
      <c r="AJ372" s="99">
        <v>0.0</v>
      </c>
      <c r="AK372" s="99">
        <v>0.0</v>
      </c>
      <c r="AL372" s="99">
        <v>0.0</v>
      </c>
      <c r="AM372" s="99">
        <v>0.0</v>
      </c>
      <c r="AN372" s="99">
        <v>0.0</v>
      </c>
      <c r="AO372" s="99">
        <v>0.0</v>
      </c>
      <c r="AP372" s="99">
        <v>0.0</v>
      </c>
      <c r="AQ372" s="99">
        <v>0.0</v>
      </c>
      <c r="AR372" s="99">
        <v>0.0</v>
      </c>
      <c r="AS372" s="99">
        <v>0.0</v>
      </c>
      <c r="AT372" s="99">
        <v>0.0</v>
      </c>
      <c r="AU372" s="99">
        <v>0.0</v>
      </c>
      <c r="AV372" s="99">
        <v>0.0</v>
      </c>
      <c r="AW372" s="90"/>
      <c r="AX372" s="90"/>
      <c r="AY372" s="90"/>
      <c r="AZ372" s="90"/>
      <c r="BA372" s="90"/>
      <c r="BB372" s="90"/>
      <c r="BC372" s="90"/>
      <c r="BD372" s="90"/>
      <c r="BE372" s="90"/>
      <c r="BF372" s="90"/>
      <c r="BG372" s="90"/>
    </row>
    <row r="373" ht="12.75" customHeight="1">
      <c r="A373" s="316"/>
      <c r="B373" s="90"/>
      <c r="C373" s="90"/>
      <c r="D373" s="90" t="s">
        <v>832</v>
      </c>
      <c r="E373" s="90"/>
      <c r="F373" s="90"/>
      <c r="G373" s="99"/>
      <c r="H373" s="99"/>
      <c r="I373" s="99"/>
      <c r="J373" s="99">
        <v>0.0</v>
      </c>
      <c r="K373" s="99"/>
      <c r="L373" s="99">
        <v>0.0</v>
      </c>
      <c r="M373" s="99">
        <v>0.0</v>
      </c>
      <c r="N373" s="99">
        <v>0.0</v>
      </c>
      <c r="O373" s="99">
        <v>0.0</v>
      </c>
      <c r="P373" s="99">
        <v>0.0</v>
      </c>
      <c r="Q373" s="99">
        <v>0.0</v>
      </c>
      <c r="R373" s="99">
        <v>0.0</v>
      </c>
      <c r="S373" s="99">
        <v>0.0</v>
      </c>
      <c r="T373" s="99">
        <v>0.0</v>
      </c>
      <c r="U373" s="99">
        <v>0.0</v>
      </c>
      <c r="V373" s="99">
        <v>0.0</v>
      </c>
      <c r="W373" s="99">
        <v>0.0</v>
      </c>
      <c r="X373" s="99">
        <v>0.0</v>
      </c>
      <c r="Y373" s="99">
        <v>0.0</v>
      </c>
      <c r="Z373" s="99">
        <v>0.0</v>
      </c>
      <c r="AA373" s="99">
        <v>0.0</v>
      </c>
      <c r="AB373" s="99">
        <v>0.0</v>
      </c>
      <c r="AC373" s="99">
        <v>0.0</v>
      </c>
      <c r="AD373" s="99">
        <v>0.0</v>
      </c>
      <c r="AE373" s="99">
        <v>0.0</v>
      </c>
      <c r="AF373" s="99">
        <v>0.0</v>
      </c>
      <c r="AG373" s="99">
        <v>0.0</v>
      </c>
      <c r="AH373" s="99">
        <v>0.0</v>
      </c>
      <c r="AI373" s="99">
        <v>0.0</v>
      </c>
      <c r="AJ373" s="99">
        <v>0.0</v>
      </c>
      <c r="AK373" s="99">
        <v>0.0</v>
      </c>
      <c r="AL373" s="99">
        <v>0.0</v>
      </c>
      <c r="AM373" s="99">
        <v>0.0</v>
      </c>
      <c r="AN373" s="99">
        <v>0.0</v>
      </c>
      <c r="AO373" s="99">
        <v>0.0</v>
      </c>
      <c r="AP373" s="99">
        <v>0.0</v>
      </c>
      <c r="AQ373" s="99">
        <v>0.0</v>
      </c>
      <c r="AR373" s="99">
        <v>0.0</v>
      </c>
      <c r="AS373" s="99">
        <v>0.0</v>
      </c>
      <c r="AT373" s="99">
        <v>0.0</v>
      </c>
      <c r="AU373" s="99">
        <v>0.0</v>
      </c>
      <c r="AV373" s="99">
        <v>0.0</v>
      </c>
      <c r="AW373" s="90"/>
      <c r="AX373" s="90"/>
      <c r="AY373" s="90"/>
      <c r="AZ373" s="90"/>
      <c r="BA373" s="90"/>
      <c r="BB373" s="90"/>
      <c r="BC373" s="90"/>
      <c r="BD373" s="90"/>
      <c r="BE373" s="90"/>
      <c r="BF373" s="90"/>
      <c r="BG373" s="90"/>
    </row>
    <row r="374" ht="12.75" customHeight="1">
      <c r="A374" s="316"/>
      <c r="B374" s="90"/>
      <c r="C374" s="90"/>
      <c r="D374" s="90" t="s">
        <v>833</v>
      </c>
      <c r="E374" s="90"/>
      <c r="F374" s="90"/>
      <c r="G374" s="99"/>
      <c r="H374" s="99"/>
      <c r="I374" s="99"/>
      <c r="J374" s="99">
        <v>0.0</v>
      </c>
      <c r="K374" s="99"/>
      <c r="L374" s="99">
        <v>0.0</v>
      </c>
      <c r="M374" s="99">
        <v>0.0</v>
      </c>
      <c r="N374" s="99">
        <v>0.0</v>
      </c>
      <c r="O374" s="99">
        <v>0.0</v>
      </c>
      <c r="P374" s="99">
        <v>0.0</v>
      </c>
      <c r="Q374" s="99">
        <v>0.0</v>
      </c>
      <c r="R374" s="99">
        <v>0.0</v>
      </c>
      <c r="S374" s="99">
        <v>0.0</v>
      </c>
      <c r="T374" s="99">
        <v>0.0</v>
      </c>
      <c r="U374" s="99">
        <v>0.0</v>
      </c>
      <c r="V374" s="99">
        <v>0.0</v>
      </c>
      <c r="W374" s="99">
        <v>0.0</v>
      </c>
      <c r="X374" s="99">
        <v>0.0</v>
      </c>
      <c r="Y374" s="99">
        <v>0.0</v>
      </c>
      <c r="Z374" s="99">
        <v>0.0</v>
      </c>
      <c r="AA374" s="99">
        <v>0.0</v>
      </c>
      <c r="AB374" s="99">
        <v>0.0</v>
      </c>
      <c r="AC374" s="99">
        <v>0.0</v>
      </c>
      <c r="AD374" s="99">
        <v>0.0</v>
      </c>
      <c r="AE374" s="99">
        <v>0.0</v>
      </c>
      <c r="AF374" s="99">
        <v>0.0</v>
      </c>
      <c r="AG374" s="99">
        <v>0.0</v>
      </c>
      <c r="AH374" s="99">
        <v>0.0</v>
      </c>
      <c r="AI374" s="99">
        <v>0.0</v>
      </c>
      <c r="AJ374" s="99">
        <v>0.0</v>
      </c>
      <c r="AK374" s="99">
        <v>0.0</v>
      </c>
      <c r="AL374" s="99">
        <v>0.0</v>
      </c>
      <c r="AM374" s="99">
        <v>0.0</v>
      </c>
      <c r="AN374" s="99">
        <v>0.0</v>
      </c>
      <c r="AO374" s="99">
        <v>0.0</v>
      </c>
      <c r="AP374" s="99">
        <v>0.0</v>
      </c>
      <c r="AQ374" s="99">
        <v>0.0</v>
      </c>
      <c r="AR374" s="99">
        <v>0.0</v>
      </c>
      <c r="AS374" s="99">
        <v>0.0</v>
      </c>
      <c r="AT374" s="99">
        <v>0.0</v>
      </c>
      <c r="AU374" s="99">
        <v>0.0</v>
      </c>
      <c r="AV374" s="99">
        <v>0.0</v>
      </c>
      <c r="AW374" s="90"/>
      <c r="AX374" s="90"/>
      <c r="AY374" s="90"/>
      <c r="AZ374" s="90"/>
      <c r="BA374" s="90"/>
      <c r="BB374" s="90"/>
      <c r="BC374" s="90"/>
      <c r="BD374" s="90"/>
      <c r="BE374" s="90"/>
      <c r="BF374" s="90"/>
      <c r="BG374" s="90"/>
    </row>
    <row r="375" ht="12.75" customHeight="1">
      <c r="A375" s="316"/>
      <c r="B375" s="90"/>
      <c r="C375" s="90"/>
      <c r="D375" s="90" t="s">
        <v>834</v>
      </c>
      <c r="E375" s="90"/>
      <c r="F375" s="90"/>
      <c r="G375" s="99"/>
      <c r="H375" s="99"/>
      <c r="I375" s="99"/>
      <c r="J375" s="99">
        <v>0.0</v>
      </c>
      <c r="K375" s="99"/>
      <c r="L375" s="99">
        <v>0.0</v>
      </c>
      <c r="M375" s="99">
        <v>0.0</v>
      </c>
      <c r="N375" s="99">
        <v>0.0</v>
      </c>
      <c r="O375" s="99">
        <v>0.0</v>
      </c>
      <c r="P375" s="99">
        <v>0.0</v>
      </c>
      <c r="Q375" s="99">
        <v>0.0</v>
      </c>
      <c r="R375" s="99">
        <v>0.0</v>
      </c>
      <c r="S375" s="99">
        <v>0.0</v>
      </c>
      <c r="T375" s="99">
        <v>0.0</v>
      </c>
      <c r="U375" s="99">
        <v>0.0</v>
      </c>
      <c r="V375" s="99">
        <v>0.0</v>
      </c>
      <c r="W375" s="99">
        <v>0.0</v>
      </c>
      <c r="X375" s="99">
        <v>0.0</v>
      </c>
      <c r="Y375" s="99">
        <v>0.0</v>
      </c>
      <c r="Z375" s="99">
        <v>0.0</v>
      </c>
      <c r="AA375" s="99">
        <v>0.0</v>
      </c>
      <c r="AB375" s="99">
        <v>0.0</v>
      </c>
      <c r="AC375" s="99">
        <v>0.0</v>
      </c>
      <c r="AD375" s="99">
        <v>0.0</v>
      </c>
      <c r="AE375" s="99">
        <v>0.0</v>
      </c>
      <c r="AF375" s="99">
        <v>0.0</v>
      </c>
      <c r="AG375" s="99">
        <v>0.0</v>
      </c>
      <c r="AH375" s="99">
        <v>0.0</v>
      </c>
      <c r="AI375" s="99">
        <v>0.0</v>
      </c>
      <c r="AJ375" s="99">
        <v>0.0</v>
      </c>
      <c r="AK375" s="99">
        <v>0.0</v>
      </c>
      <c r="AL375" s="99">
        <v>0.0</v>
      </c>
      <c r="AM375" s="99">
        <v>0.0</v>
      </c>
      <c r="AN375" s="99">
        <v>0.0</v>
      </c>
      <c r="AO375" s="99">
        <v>0.0</v>
      </c>
      <c r="AP375" s="99">
        <v>0.0</v>
      </c>
      <c r="AQ375" s="99">
        <v>0.0</v>
      </c>
      <c r="AR375" s="99">
        <v>0.0</v>
      </c>
      <c r="AS375" s="99">
        <v>0.0</v>
      </c>
      <c r="AT375" s="99">
        <v>0.0</v>
      </c>
      <c r="AU375" s="99">
        <v>0.0</v>
      </c>
      <c r="AV375" s="99">
        <v>0.0</v>
      </c>
      <c r="AW375" s="90"/>
      <c r="AX375" s="90"/>
      <c r="AY375" s="90"/>
      <c r="AZ375" s="90"/>
      <c r="BA375" s="90"/>
      <c r="BB375" s="90"/>
      <c r="BC375" s="90"/>
      <c r="BD375" s="90"/>
      <c r="BE375" s="90"/>
      <c r="BF375" s="90"/>
      <c r="BG375" s="90"/>
    </row>
    <row r="376" ht="12.75" customHeight="1">
      <c r="A376" s="316"/>
      <c r="B376" s="90"/>
      <c r="C376" s="90"/>
      <c r="D376" s="90" t="s">
        <v>835</v>
      </c>
      <c r="E376" s="90"/>
      <c r="F376" s="90"/>
      <c r="G376" s="99"/>
      <c r="H376" s="99"/>
      <c r="I376" s="99"/>
      <c r="J376" s="99">
        <v>0.0</v>
      </c>
      <c r="K376" s="99"/>
      <c r="L376" s="99">
        <v>0.0</v>
      </c>
      <c r="M376" s="99">
        <v>0.0</v>
      </c>
      <c r="N376" s="99">
        <v>0.0</v>
      </c>
      <c r="O376" s="99">
        <v>0.0</v>
      </c>
      <c r="P376" s="99">
        <v>0.0</v>
      </c>
      <c r="Q376" s="99">
        <v>0.0</v>
      </c>
      <c r="R376" s="99">
        <v>0.0</v>
      </c>
      <c r="S376" s="99">
        <v>0.0</v>
      </c>
      <c r="T376" s="99">
        <v>0.0</v>
      </c>
      <c r="U376" s="99">
        <v>0.0</v>
      </c>
      <c r="V376" s="99">
        <v>0.0</v>
      </c>
      <c r="W376" s="99">
        <v>0.0</v>
      </c>
      <c r="X376" s="99">
        <v>0.0</v>
      </c>
      <c r="Y376" s="99">
        <v>0.0</v>
      </c>
      <c r="Z376" s="99">
        <v>0.0</v>
      </c>
      <c r="AA376" s="99">
        <v>0.0</v>
      </c>
      <c r="AB376" s="99">
        <v>0.0</v>
      </c>
      <c r="AC376" s="99">
        <v>0.0</v>
      </c>
      <c r="AD376" s="99">
        <v>0.0</v>
      </c>
      <c r="AE376" s="99">
        <v>0.0</v>
      </c>
      <c r="AF376" s="99">
        <v>0.0</v>
      </c>
      <c r="AG376" s="99">
        <v>0.0</v>
      </c>
      <c r="AH376" s="99">
        <v>0.0</v>
      </c>
      <c r="AI376" s="99">
        <v>0.0</v>
      </c>
      <c r="AJ376" s="99">
        <v>0.0</v>
      </c>
      <c r="AK376" s="99">
        <v>0.0</v>
      </c>
      <c r="AL376" s="99">
        <v>0.0</v>
      </c>
      <c r="AM376" s="99">
        <v>0.0</v>
      </c>
      <c r="AN376" s="99">
        <v>0.0</v>
      </c>
      <c r="AO376" s="99">
        <v>0.0</v>
      </c>
      <c r="AP376" s="99">
        <v>0.0</v>
      </c>
      <c r="AQ376" s="99">
        <v>0.0</v>
      </c>
      <c r="AR376" s="99">
        <v>0.0</v>
      </c>
      <c r="AS376" s="99">
        <v>0.0</v>
      </c>
      <c r="AT376" s="99">
        <v>0.0</v>
      </c>
      <c r="AU376" s="99">
        <v>0.0</v>
      </c>
      <c r="AV376" s="99">
        <v>0.0</v>
      </c>
      <c r="AW376" s="90" t="s">
        <v>1224</v>
      </c>
      <c r="AX376" s="90"/>
      <c r="AY376" s="90"/>
      <c r="AZ376" s="90"/>
      <c r="BA376" s="90"/>
      <c r="BB376" s="90"/>
      <c r="BC376" s="90"/>
      <c r="BD376" s="90"/>
      <c r="BE376" s="90"/>
      <c r="BF376" s="90"/>
      <c r="BG376" s="90"/>
    </row>
    <row r="377" ht="12.75" customHeight="1">
      <c r="A377" s="90"/>
      <c r="B377" s="90"/>
      <c r="C377" s="90"/>
      <c r="D377" s="90" t="s">
        <v>774</v>
      </c>
      <c r="E377" s="90"/>
      <c r="F377" s="90"/>
      <c r="G377" s="99"/>
      <c r="H377" s="99"/>
      <c r="I377" s="99"/>
      <c r="J377" s="99">
        <v>0.0</v>
      </c>
      <c r="K377" s="99"/>
      <c r="L377" s="99">
        <v>0.0</v>
      </c>
      <c r="M377" s="99">
        <v>0.0</v>
      </c>
      <c r="N377" s="99">
        <v>0.0</v>
      </c>
      <c r="O377" s="99">
        <v>0.0</v>
      </c>
      <c r="P377" s="99">
        <v>0.0</v>
      </c>
      <c r="Q377" s="99">
        <v>0.0</v>
      </c>
      <c r="R377" s="99">
        <v>0.0</v>
      </c>
      <c r="S377" s="99">
        <v>0.0</v>
      </c>
      <c r="T377" s="99">
        <v>0.0</v>
      </c>
      <c r="U377" s="99">
        <v>0.0</v>
      </c>
      <c r="V377" s="99">
        <v>0.0</v>
      </c>
      <c r="W377" s="99">
        <v>0.0</v>
      </c>
      <c r="X377" s="99">
        <v>0.0</v>
      </c>
      <c r="Y377" s="99">
        <v>0.0</v>
      </c>
      <c r="Z377" s="99">
        <v>0.0</v>
      </c>
      <c r="AA377" s="99">
        <v>0.0</v>
      </c>
      <c r="AB377" s="99">
        <v>0.0</v>
      </c>
      <c r="AC377" s="99">
        <v>0.0</v>
      </c>
      <c r="AD377" s="99">
        <v>0.0</v>
      </c>
      <c r="AE377" s="99">
        <v>0.0</v>
      </c>
      <c r="AF377" s="99">
        <v>0.0</v>
      </c>
      <c r="AG377" s="99">
        <v>0.0</v>
      </c>
      <c r="AH377" s="99">
        <v>0.0</v>
      </c>
      <c r="AI377" s="99">
        <v>0.0</v>
      </c>
      <c r="AJ377" s="99">
        <v>0.0</v>
      </c>
      <c r="AK377" s="99">
        <v>0.0</v>
      </c>
      <c r="AL377" s="99">
        <v>0.0</v>
      </c>
      <c r="AM377" s="99">
        <v>0.0</v>
      </c>
      <c r="AN377" s="99">
        <v>0.0</v>
      </c>
      <c r="AO377" s="99">
        <v>0.0</v>
      </c>
      <c r="AP377" s="99">
        <v>0.0</v>
      </c>
      <c r="AQ377" s="99">
        <v>0.0</v>
      </c>
      <c r="AR377" s="99">
        <v>0.0</v>
      </c>
      <c r="AS377" s="99">
        <v>0.0</v>
      </c>
      <c r="AT377" s="99">
        <v>0.0</v>
      </c>
      <c r="AU377" s="99">
        <v>0.0</v>
      </c>
      <c r="AV377" s="99">
        <v>0.0</v>
      </c>
      <c r="AW377" s="90"/>
      <c r="AX377" s="90"/>
      <c r="AY377" s="90"/>
      <c r="AZ377" s="90"/>
      <c r="BA377" s="90"/>
      <c r="BB377" s="90"/>
      <c r="BC377" s="90"/>
      <c r="BD377" s="90"/>
      <c r="BE377" s="90"/>
      <c r="BF377" s="90"/>
      <c r="BG377" s="90"/>
    </row>
    <row r="378" ht="12.75" customHeight="1">
      <c r="A378" s="90"/>
      <c r="B378" s="90"/>
      <c r="C378" s="90" t="s">
        <v>836</v>
      </c>
      <c r="D378" s="90"/>
      <c r="E378" s="90"/>
      <c r="F378" s="90"/>
      <c r="G378" s="99"/>
      <c r="H378" s="99"/>
      <c r="I378" s="152"/>
      <c r="J378" s="152"/>
      <c r="K378" s="152"/>
      <c r="L378" s="152"/>
      <c r="M378" s="152"/>
      <c r="N378" s="152"/>
      <c r="O378" s="152"/>
      <c r="P378" s="152"/>
      <c r="Q378" s="152"/>
      <c r="R378" s="152"/>
      <c r="S378" s="152"/>
      <c r="T378" s="152"/>
      <c r="U378" s="152"/>
      <c r="V378" s="152"/>
      <c r="W378" s="152"/>
      <c r="X378" s="152"/>
      <c r="Y378" s="152"/>
      <c r="Z378" s="152"/>
      <c r="AA378" s="152"/>
      <c r="AB378" s="152"/>
      <c r="AC378" s="152"/>
      <c r="AD378" s="152"/>
      <c r="AE378" s="152"/>
      <c r="AF378" s="152"/>
      <c r="AG378" s="152"/>
      <c r="AH378" s="152"/>
      <c r="AI378" s="152"/>
      <c r="AJ378" s="152"/>
      <c r="AK378" s="152"/>
      <c r="AL378" s="152"/>
      <c r="AM378" s="152"/>
      <c r="AN378" s="152"/>
      <c r="AO378" s="152"/>
      <c r="AP378" s="152"/>
      <c r="AQ378" s="152"/>
      <c r="AR378" s="152"/>
      <c r="AS378" s="152"/>
      <c r="AT378" s="152"/>
      <c r="AU378" s="152"/>
      <c r="AV378" s="152"/>
      <c r="AW378" s="90"/>
      <c r="AX378" s="90"/>
      <c r="AY378" s="90"/>
      <c r="AZ378" s="90"/>
      <c r="BA378" s="90"/>
      <c r="BB378" s="90"/>
      <c r="BC378" s="90"/>
      <c r="BD378" s="90"/>
      <c r="BE378" s="90"/>
      <c r="BF378" s="90"/>
      <c r="BG378" s="90"/>
    </row>
    <row r="379" ht="12.75" customHeight="1">
      <c r="A379" s="316"/>
      <c r="B379" s="90"/>
      <c r="C379" s="90"/>
      <c r="D379" s="90" t="s">
        <v>276</v>
      </c>
      <c r="E379" s="90"/>
      <c r="F379" s="90"/>
      <c r="G379" s="99"/>
      <c r="H379" s="89"/>
      <c r="I379" s="99"/>
      <c r="J379" s="99">
        <f>'FY09 P&amp;L'!C224</f>
        <v>78125</v>
      </c>
      <c r="K379" s="99">
        <v>552423.86</v>
      </c>
      <c r="L379" s="99">
        <f>((('RS2'!L271+'RS2'!L281+SUM('RS2'!L284:L286)-L275-L277))*L241)</f>
        <v>377271.6624</v>
      </c>
      <c r="M379" s="99">
        <f>((('RS2'!M271+'RS2'!M281+SUM('RS2'!M284:M286)-M275-M277))*M241)</f>
        <v>398342.212</v>
      </c>
      <c r="N379" s="99">
        <f>((('RS2'!N271+'RS2'!N281+SUM('RS2'!N284:N286)-N275-N277))*N241)</f>
        <v>405876.6195</v>
      </c>
      <c r="O379" s="99">
        <f>((('RS2'!O271+'RS2'!O281+SUM('RS2'!O284:O286)-O275-O277))*O241)</f>
        <v>412911.4875</v>
      </c>
      <c r="P379" s="99">
        <f>((('RS2'!P271+'RS2'!P281+SUM('RS2'!P284:P286)-P275-P277))*P241)</f>
        <v>420065.3996</v>
      </c>
      <c r="Q379" s="99">
        <f>((('RS2'!Q271+'RS2'!Q281+SUM('RS2'!Q284:Q286)-Q275-Q277))*Q241)</f>
        <v>427465.4596</v>
      </c>
      <c r="R379" s="99">
        <f>((('RS2'!R271+'RS2'!R281+SUM('RS2'!R284:R286)-R275-R277))*R241)</f>
        <v>439102.2254</v>
      </c>
      <c r="S379" s="99">
        <f>((('RS2'!S271+'RS2'!S281+SUM('RS2'!S284:S286)-S275-S277))*S241)</f>
        <v>446876.0578</v>
      </c>
      <c r="T379" s="99">
        <f>((('RS2'!T271+'RS2'!T281+SUM('RS2'!T284:T286)-T275-T277))*T241)</f>
        <v>454874.6267</v>
      </c>
      <c r="U379" s="99">
        <f>((('RS2'!U271+'RS2'!U281+SUM('RS2'!U284:U286)-U275-U277))*U241)</f>
        <v>463014.3879</v>
      </c>
      <c r="V379" s="99">
        <f>((('RS2'!V271+'RS2'!V281+SUM('RS2'!V284:V286)-V275-V277))*V241)</f>
        <v>471716.4551</v>
      </c>
      <c r="W379" s="99">
        <f>((('RS2'!W271+'RS2'!W281+SUM('RS2'!W284:W286)-W275-W277))*W241)</f>
        <v>481150.7842</v>
      </c>
      <c r="X379" s="99">
        <f>((('RS2'!X271+'RS2'!X281+SUM('RS2'!X284:X286)-X275-X277))*X241)</f>
        <v>490773.7999</v>
      </c>
      <c r="Y379" s="99">
        <f>((('RS2'!Y271+'RS2'!Y281+SUM('RS2'!Y284:Y286)-Y275-Y277))*Y241)</f>
        <v>500589.2759</v>
      </c>
      <c r="Z379" s="99">
        <f>((('RS2'!Z271+'RS2'!Z281+SUM('RS2'!Z284:Z286)-Z275-Z277))*Z241)</f>
        <v>510601.0614</v>
      </c>
      <c r="AA379" s="99">
        <f>((('RS2'!AA271+'RS2'!AA281+SUM('RS2'!AA284:AA286)-AA275-AA277))*AA241)</f>
        <v>520813.0826</v>
      </c>
      <c r="AB379" s="99">
        <f>((('RS2'!AB271+'RS2'!AB281+SUM('RS2'!AB284:AB286)-AB275-AB277))*AB241)</f>
        <v>531229.3443</v>
      </c>
      <c r="AC379" s="99">
        <f>((('RS2'!AC271+'RS2'!AC281+SUM('RS2'!AC284:AC286)-AC275-AC277))*AC241)</f>
        <v>541853.9312</v>
      </c>
      <c r="AD379" s="99">
        <f>((('RS2'!AD271+'RS2'!AD281+SUM('RS2'!AD284:AD286)-AD275-AD277))*AD241)</f>
        <v>552691.0098</v>
      </c>
      <c r="AE379" s="99">
        <f>((('RS2'!AE271+'RS2'!AE281+SUM('RS2'!AE284:AE286)-AE275-AE277))*AE241)</f>
        <v>563744.83</v>
      </c>
      <c r="AF379" s="99">
        <f>((('RS2'!AF271+'RS2'!AF281+SUM('RS2'!AF284:AF286)-AF275-AF277))*AF241)</f>
        <v>575019.7266</v>
      </c>
      <c r="AG379" s="99">
        <f>((('RS2'!AG271+'RS2'!AG281+SUM('RS2'!AG284:AG286)-AG275-AG277))*AG241)</f>
        <v>586520.1211</v>
      </c>
      <c r="AH379" s="99">
        <f>((('RS2'!AH271+'RS2'!AH281+SUM('RS2'!AH284:AH286)-AH275-AH277))*AH241)</f>
        <v>598250.5236</v>
      </c>
      <c r="AI379" s="99">
        <f>((('RS2'!AI271+'RS2'!AI281+SUM('RS2'!AI284:AI286)-AI275-AI277))*AI241)</f>
        <v>610215.534</v>
      </c>
      <c r="AJ379" s="99">
        <f>((('RS2'!AJ271+'RS2'!AJ281+SUM('RS2'!AJ284:AJ286)-AJ275-AJ277))*AJ241)</f>
        <v>622419.8447</v>
      </c>
      <c r="AK379" s="99">
        <f>((('RS2'!AK271+'RS2'!AK281+SUM('RS2'!AK284:AK286)-AK275-AK277))*AK241)</f>
        <v>634868.2416</v>
      </c>
      <c r="AL379" s="99">
        <f>((('RS2'!AL271+'RS2'!AL281+SUM('RS2'!AL284:AL286)-AL275-AL277))*AL241)</f>
        <v>647565.6064</v>
      </c>
      <c r="AM379" s="99">
        <f>((('RS2'!AM271+'RS2'!AM281+SUM('RS2'!AM284:AM286)-AM275-AM277))*AM241)</f>
        <v>660516.9186</v>
      </c>
      <c r="AN379" s="99">
        <f>((('RS2'!AN271+'RS2'!AN281+SUM('RS2'!AN284:AN286)-AN275-AN277))*AN241)</f>
        <v>673727.2569</v>
      </c>
      <c r="AO379" s="99">
        <f>((('RS2'!AO271+'RS2'!AO281+SUM('RS2'!AO284:AO286)-AO275-AO277))*AO241)</f>
        <v>687201.8021</v>
      </c>
      <c r="AP379" s="99">
        <f>((('RS2'!AP271+'RS2'!AP281+SUM('RS2'!AP284:AP286)-AP275-AP277))*AP241)</f>
        <v>700945.8381</v>
      </c>
      <c r="AQ379" s="99">
        <f>((('RS2'!AQ271+'RS2'!AQ281+SUM('RS2'!AQ284:AQ286)-AQ275-AQ277))*AQ241)</f>
        <v>714964.7549</v>
      </c>
      <c r="AR379" s="99">
        <f>((('RS2'!AR271+'RS2'!AR281+SUM('RS2'!AR284:AR286)-AR275-AR277))*AR241)</f>
        <v>729264.05</v>
      </c>
      <c r="AS379" s="99">
        <f>((('RS2'!AS271+'RS2'!AS281+SUM('RS2'!AS284:AS286)-AS275-AS277))*AS241)</f>
        <v>743849.331</v>
      </c>
      <c r="AT379" s="99">
        <f>((('RS2'!AT271+'RS2'!AT281+SUM('RS2'!AT284:AT286)-AT275-AT277))*AT241)</f>
        <v>758726.3176</v>
      </c>
      <c r="AU379" s="99">
        <f>((('RS2'!AU271+'RS2'!AU281+SUM('RS2'!AU284:AU286)-AU275-AU277))*AU241)</f>
        <v>773900.8439</v>
      </c>
      <c r="AV379" s="99">
        <f>((('RS2'!AV271+'RS2'!AV281+SUM('RS2'!AV284:AV286)-AV275-AV277))*AV241)</f>
        <v>789378.8608</v>
      </c>
      <c r="AW379" s="90" t="s">
        <v>1225</v>
      </c>
      <c r="AX379" s="90"/>
      <c r="AY379" s="90"/>
      <c r="AZ379" s="90"/>
      <c r="BA379" s="90"/>
      <c r="BB379" s="90"/>
      <c r="BC379" s="90"/>
      <c r="BD379" s="90"/>
      <c r="BE379" s="90"/>
      <c r="BF379" s="90"/>
      <c r="BG379" s="90"/>
    </row>
    <row r="380" ht="12.75" customHeight="1">
      <c r="A380" s="316"/>
      <c r="B380" s="90"/>
      <c r="C380" s="90"/>
      <c r="D380" s="90" t="s">
        <v>837</v>
      </c>
      <c r="E380" s="90"/>
      <c r="F380" s="90"/>
      <c r="G380" s="99"/>
      <c r="H380" s="89"/>
      <c r="I380" s="99"/>
      <c r="J380" s="99">
        <f>'FY09 P&amp;L'!C182</f>
        <v>232000</v>
      </c>
      <c r="K380" s="99">
        <v>743001.54</v>
      </c>
      <c r="L380" s="99">
        <f>(('RS2'!L271+'RS2'!L281+SUM('RS2'!L284:L286)-L275-L277))*L242</f>
        <v>628786.104</v>
      </c>
      <c r="M380" s="99">
        <f>(('RS2'!M271+'RS2'!M281+SUM('RS2'!M284:M286)-M275-M277))*M242</f>
        <v>663903.6867</v>
      </c>
      <c r="N380" s="99">
        <f>(('RS2'!N271+'RS2'!N281+SUM('RS2'!N284:N286)-N275-N277))*N242</f>
        <v>676461.0325</v>
      </c>
      <c r="O380" s="99">
        <f>(('RS2'!O271+'RS2'!O281+SUM('RS2'!O284:O286)-O275-O277))*O242</f>
        <v>688185.8126</v>
      </c>
      <c r="P380" s="99">
        <f>(('RS2'!P271+'RS2'!P281+SUM('RS2'!P284:P286)-P275-P277))*P242</f>
        <v>700108.9994</v>
      </c>
      <c r="Q380" s="99">
        <f>(('RS2'!Q271+'RS2'!Q281+SUM('RS2'!Q284:Q286)-Q275-Q277))*Q242</f>
        <v>712442.4327</v>
      </c>
      <c r="R380" s="99">
        <f>(('RS2'!R271+'RS2'!R281+SUM('RS2'!R284:R286)-R275-R277))*R242</f>
        <v>731837.0424</v>
      </c>
      <c r="S380" s="99">
        <f>(('RS2'!S271+'RS2'!S281+SUM('RS2'!S284:S286)-S275-S277))*S242</f>
        <v>744793.4297</v>
      </c>
      <c r="T380" s="99">
        <f>(('RS2'!T271+'RS2'!T281+SUM('RS2'!T284:T286)-T275-T277))*T242</f>
        <v>758124.3778</v>
      </c>
      <c r="U380" s="99">
        <f>(('RS2'!U271+'RS2'!U281+SUM('RS2'!U284:U286)-U275-U277))*U242</f>
        <v>771690.6465</v>
      </c>
      <c r="V380" s="99">
        <f>(('RS2'!V271+'RS2'!V281+SUM('RS2'!V284:V286)-V275-V277))*V242</f>
        <v>786194.0918</v>
      </c>
      <c r="W380" s="99">
        <f>(('RS2'!W271+'RS2'!W281+SUM('RS2'!W284:W286)-W275-W277))*W242</f>
        <v>801917.9737</v>
      </c>
      <c r="X380" s="99">
        <f>(('RS2'!X271+'RS2'!X281+SUM('RS2'!X284:X286)-X275-X277))*X242</f>
        <v>817956.3332</v>
      </c>
      <c r="Y380" s="99">
        <f>(('RS2'!Y271+'RS2'!Y281+SUM('RS2'!Y284:Y286)-Y275-Y277))*Y242</f>
        <v>834315.4598</v>
      </c>
      <c r="Z380" s="99">
        <f>(('RS2'!Z271+'RS2'!Z281+SUM('RS2'!Z284:Z286)-Z275-Z277))*Z242</f>
        <v>851001.769</v>
      </c>
      <c r="AA380" s="99">
        <f>(('RS2'!AA271+'RS2'!AA281+SUM('RS2'!AA284:AA286)-AA275-AA277))*AA242</f>
        <v>868021.8044</v>
      </c>
      <c r="AB380" s="99">
        <f>(('RS2'!AB271+'RS2'!AB281+SUM('RS2'!AB284:AB286)-AB275-AB277))*AB242</f>
        <v>885382.2405</v>
      </c>
      <c r="AC380" s="99">
        <f>(('RS2'!AC271+'RS2'!AC281+SUM('RS2'!AC284:AC286)-AC275-AC277))*AC242</f>
        <v>903089.8853</v>
      </c>
      <c r="AD380" s="99">
        <f>(('RS2'!AD271+'RS2'!AD281+SUM('RS2'!AD284:AD286)-AD275-AD277))*AD242</f>
        <v>921151.683</v>
      </c>
      <c r="AE380" s="99">
        <f>(('RS2'!AE271+'RS2'!AE281+SUM('RS2'!AE284:AE286)-AE275-AE277))*AE242</f>
        <v>939574.7167</v>
      </c>
      <c r="AF380" s="99">
        <f>(('RS2'!AF271+'RS2'!AF281+SUM('RS2'!AF284:AF286)-AF275-AF277))*AF242</f>
        <v>958366.211</v>
      </c>
      <c r="AG380" s="99">
        <f>(('RS2'!AG271+'RS2'!AG281+SUM('RS2'!AG284:AG286)-AG275-AG277))*AG242</f>
        <v>977533.5352</v>
      </c>
      <c r="AH380" s="99">
        <f>(('RS2'!AH271+'RS2'!AH281+SUM('RS2'!AH284:AH286)-AH275-AH277))*AH242</f>
        <v>997084.2059</v>
      </c>
      <c r="AI380" s="99">
        <f>(('RS2'!AI271+'RS2'!AI281+SUM('RS2'!AI284:AI286)-AI275-AI277))*AI242</f>
        <v>1017025.89</v>
      </c>
      <c r="AJ380" s="99">
        <f>(('RS2'!AJ271+'RS2'!AJ281+SUM('RS2'!AJ284:AJ286)-AJ275-AJ277))*AJ242</f>
        <v>1037366.408</v>
      </c>
      <c r="AK380" s="99">
        <f>(('RS2'!AK271+'RS2'!AK281+SUM('RS2'!AK284:AK286)-AK275-AK277))*AK242</f>
        <v>1058113.736</v>
      </c>
      <c r="AL380" s="99">
        <f>(('RS2'!AL271+'RS2'!AL281+SUM('RS2'!AL284:AL286)-AL275-AL277))*AL242</f>
        <v>1079276.011</v>
      </c>
      <c r="AM380" s="99">
        <f>(('RS2'!AM271+'RS2'!AM281+SUM('RS2'!AM284:AM286)-AM275-AM277))*AM242</f>
        <v>1100861.531</v>
      </c>
      <c r="AN380" s="99">
        <f>(('RS2'!AN271+'RS2'!AN281+SUM('RS2'!AN284:AN286)-AN275-AN277))*AN242</f>
        <v>1122878.762</v>
      </c>
      <c r="AO380" s="99">
        <f>(('RS2'!AO271+'RS2'!AO281+SUM('RS2'!AO284:AO286)-AO275-AO277))*AO242</f>
        <v>1145336.337</v>
      </c>
      <c r="AP380" s="99">
        <f>(('RS2'!AP271+'RS2'!AP281+SUM('RS2'!AP284:AP286)-AP275-AP277))*AP242</f>
        <v>1168243.064</v>
      </c>
      <c r="AQ380" s="99">
        <f>(('RS2'!AQ271+'RS2'!AQ281+SUM('RS2'!AQ284:AQ286)-AQ275-AQ277))*AQ242</f>
        <v>1191607.925</v>
      </c>
      <c r="AR380" s="99">
        <f>(('RS2'!AR271+'RS2'!AR281+SUM('RS2'!AR284:AR286)-AR275-AR277))*AR242</f>
        <v>1215440.083</v>
      </c>
      <c r="AS380" s="99">
        <f>(('RS2'!AS271+'RS2'!AS281+SUM('RS2'!AS284:AS286)-AS275-AS277))*AS242</f>
        <v>1239748.885</v>
      </c>
      <c r="AT380" s="99">
        <f>(('RS2'!AT271+'RS2'!AT281+SUM('RS2'!AT284:AT286)-AT275-AT277))*AT242</f>
        <v>1264543.863</v>
      </c>
      <c r="AU380" s="99">
        <f>(('RS2'!AU271+'RS2'!AU281+SUM('RS2'!AU284:AU286)-AU275-AU277))*AU242</f>
        <v>1289834.74</v>
      </c>
      <c r="AV380" s="99">
        <f>(('RS2'!AV271+'RS2'!AV281+SUM('RS2'!AV284:AV286)-AV275-AV277))*AV242</f>
        <v>1315631.435</v>
      </c>
      <c r="AW380" s="90" t="s">
        <v>1225</v>
      </c>
      <c r="AX380" s="90"/>
      <c r="AY380" s="90"/>
      <c r="AZ380" s="90"/>
      <c r="BA380" s="90"/>
      <c r="BB380" s="90"/>
      <c r="BC380" s="90"/>
      <c r="BD380" s="90"/>
      <c r="BE380" s="90"/>
      <c r="BF380" s="90"/>
      <c r="BG380" s="90"/>
    </row>
    <row r="381" ht="12.75" customHeight="1">
      <c r="A381" s="90"/>
      <c r="B381" s="152"/>
      <c r="C381" s="152"/>
      <c r="D381" s="90" t="s">
        <v>601</v>
      </c>
      <c r="E381" s="90"/>
      <c r="F381" s="90"/>
      <c r="G381" s="99"/>
      <c r="H381" s="89"/>
      <c r="I381" s="99"/>
      <c r="J381" s="99">
        <v>0.0</v>
      </c>
      <c r="K381" s="99"/>
      <c r="L381" s="99">
        <f>(('RS2'!L271+'RS2'!L281+SUM('RS2'!L284:L286)-L275-L277))*L243</f>
        <v>94317.9156</v>
      </c>
      <c r="M381" s="99">
        <f>(('RS2'!M271+'RS2'!M281+SUM('RS2'!M284:M286)-M275-M277))*M243</f>
        <v>99585.55301</v>
      </c>
      <c r="N381" s="99">
        <f>(('RS2'!N271+'RS2'!N281+SUM('RS2'!N284:N286)-N275-N277))*N243</f>
        <v>101469.1549</v>
      </c>
      <c r="O381" s="99">
        <f>(('RS2'!O271+'RS2'!O281+SUM('RS2'!O284:O286)-O275-O277))*O243</f>
        <v>103227.8719</v>
      </c>
      <c r="P381" s="99">
        <f>(('RS2'!P271+'RS2'!P281+SUM('RS2'!P284:P286)-P275-P277))*P243</f>
        <v>105016.3499</v>
      </c>
      <c r="Q381" s="99">
        <f>(('RS2'!Q271+'RS2'!Q281+SUM('RS2'!Q284:Q286)-Q275-Q277))*Q243</f>
        <v>106866.3649</v>
      </c>
      <c r="R381" s="99">
        <f>(('RS2'!R271+'RS2'!R281+SUM('RS2'!R284:R286)-R275-R277))*R243</f>
        <v>109775.5564</v>
      </c>
      <c r="S381" s="99">
        <f>(('RS2'!S271+'RS2'!S281+SUM('RS2'!S284:S286)-S275-S277))*S243</f>
        <v>111719.0145</v>
      </c>
      <c r="T381" s="99">
        <f>(('RS2'!T271+'RS2'!T281+SUM('RS2'!T284:T286)-T275-T277))*T243</f>
        <v>113718.6567</v>
      </c>
      <c r="U381" s="99">
        <f>(('RS2'!U271+'RS2'!U281+SUM('RS2'!U284:U286)-U275-U277))*U243</f>
        <v>115753.597</v>
      </c>
      <c r="V381" s="99">
        <f>(('RS2'!V271+'RS2'!V281+SUM('RS2'!V284:V286)-V275-V277))*V243</f>
        <v>117929.1138</v>
      </c>
      <c r="W381" s="99">
        <f>(('RS2'!W271+'RS2'!W281+SUM('RS2'!W284:W286)-W275-W277))*W243</f>
        <v>120287.6961</v>
      </c>
      <c r="X381" s="99">
        <f>(('RS2'!X271+'RS2'!X281+SUM('RS2'!X284:X286)-X275-X277))*X243</f>
        <v>122693.45</v>
      </c>
      <c r="Y381" s="99">
        <f>(('RS2'!Y271+'RS2'!Y281+SUM('RS2'!Y284:Y286)-Y275-Y277))*Y243</f>
        <v>125147.319</v>
      </c>
      <c r="Z381" s="99">
        <f>(('RS2'!Z271+'RS2'!Z281+SUM('RS2'!Z284:Z286)-Z275-Z277))*Z243</f>
        <v>127650.2654</v>
      </c>
      <c r="AA381" s="99">
        <f>(('RS2'!AA271+'RS2'!AA281+SUM('RS2'!AA284:AA286)-AA275-AA277))*AA243</f>
        <v>130203.2707</v>
      </c>
      <c r="AB381" s="99">
        <f>(('RS2'!AB271+'RS2'!AB281+SUM('RS2'!AB284:AB286)-AB275-AB277))*AB243</f>
        <v>132807.3361</v>
      </c>
      <c r="AC381" s="99">
        <f>(('RS2'!AC271+'RS2'!AC281+SUM('RS2'!AC284:AC286)-AC275-AC277))*AC243</f>
        <v>135463.4828</v>
      </c>
      <c r="AD381" s="99">
        <f>(('RS2'!AD271+'RS2'!AD281+SUM('RS2'!AD284:AD286)-AD275-AD277))*AD243</f>
        <v>138172.7525</v>
      </c>
      <c r="AE381" s="99">
        <f>(('RS2'!AE271+'RS2'!AE281+SUM('RS2'!AE284:AE286)-AE275-AE277))*AE243</f>
        <v>140936.2075</v>
      </c>
      <c r="AF381" s="99">
        <f>(('RS2'!AF271+'RS2'!AF281+SUM('RS2'!AF284:AF286)-AF275-AF277))*AF243</f>
        <v>143754.9316</v>
      </c>
      <c r="AG381" s="99">
        <f>(('RS2'!AG271+'RS2'!AG281+SUM('RS2'!AG284:AG286)-AG275-AG277))*AG243</f>
        <v>146630.0303</v>
      </c>
      <c r="AH381" s="99">
        <f>(('RS2'!AH271+'RS2'!AH281+SUM('RS2'!AH284:AH286)-AH275-AH277))*AH243</f>
        <v>149562.6309</v>
      </c>
      <c r="AI381" s="99">
        <f>(('RS2'!AI271+'RS2'!AI281+SUM('RS2'!AI284:AI286)-AI275-AI277))*AI243</f>
        <v>152553.8835</v>
      </c>
      <c r="AJ381" s="99">
        <f>(('RS2'!AJ271+'RS2'!AJ281+SUM('RS2'!AJ284:AJ286)-AJ275-AJ277))*AJ243</f>
        <v>155604.9612</v>
      </c>
      <c r="AK381" s="99">
        <f>(('RS2'!AK271+'RS2'!AK281+SUM('RS2'!AK284:AK286)-AK275-AK277))*AK243</f>
        <v>158717.0604</v>
      </c>
      <c r="AL381" s="99">
        <f>(('RS2'!AL271+'RS2'!AL281+SUM('RS2'!AL284:AL286)-AL275-AL277))*AL243</f>
        <v>161891.4016</v>
      </c>
      <c r="AM381" s="99">
        <f>(('RS2'!AM271+'RS2'!AM281+SUM('RS2'!AM284:AM286)-AM275-AM277))*AM243</f>
        <v>165129.2296</v>
      </c>
      <c r="AN381" s="99">
        <f>(('RS2'!AN271+'RS2'!AN281+SUM('RS2'!AN284:AN286)-AN275-AN277))*AN243</f>
        <v>168431.8142</v>
      </c>
      <c r="AO381" s="99">
        <f>(('RS2'!AO271+'RS2'!AO281+SUM('RS2'!AO284:AO286)-AO275-AO277))*AO243</f>
        <v>171800.4505</v>
      </c>
      <c r="AP381" s="99">
        <f>(('RS2'!AP271+'RS2'!AP281+SUM('RS2'!AP284:AP286)-AP275-AP277))*AP243</f>
        <v>175236.4595</v>
      </c>
      <c r="AQ381" s="99">
        <f>(('RS2'!AQ271+'RS2'!AQ281+SUM('RS2'!AQ284:AQ286)-AQ275-AQ277))*AQ243</f>
        <v>178741.1887</v>
      </c>
      <c r="AR381" s="99">
        <f>(('RS2'!AR271+'RS2'!AR281+SUM('RS2'!AR284:AR286)-AR275-AR277))*AR243</f>
        <v>182316.0125</v>
      </c>
      <c r="AS381" s="99">
        <f>(('RS2'!AS271+'RS2'!AS281+SUM('RS2'!AS284:AS286)-AS275-AS277))*AS243</f>
        <v>185962.3327</v>
      </c>
      <c r="AT381" s="99">
        <f>(('RS2'!AT271+'RS2'!AT281+SUM('RS2'!AT284:AT286)-AT275-AT277))*AT243</f>
        <v>189681.5794</v>
      </c>
      <c r="AU381" s="99">
        <f>(('RS2'!AU271+'RS2'!AU281+SUM('RS2'!AU284:AU286)-AU275-AU277))*AU243</f>
        <v>193475.211</v>
      </c>
      <c r="AV381" s="99">
        <f>(('RS2'!AV271+'RS2'!AV281+SUM('RS2'!AV284:AV286)-AV275-AV277))*AV243</f>
        <v>197344.7152</v>
      </c>
      <c r="AW381" s="90"/>
      <c r="AX381" s="90"/>
      <c r="AY381" s="90"/>
      <c r="AZ381" s="90"/>
      <c r="BA381" s="90"/>
      <c r="BB381" s="90"/>
      <c r="BC381" s="90"/>
      <c r="BD381" s="90"/>
      <c r="BE381" s="90"/>
      <c r="BF381" s="90"/>
      <c r="BG381" s="90"/>
    </row>
    <row r="382" ht="12.75" customHeight="1">
      <c r="A382" s="90"/>
      <c r="B382" s="152"/>
      <c r="C382" s="152"/>
      <c r="D382" s="90" t="s">
        <v>1247</v>
      </c>
      <c r="E382" s="90"/>
      <c r="F382" s="90"/>
      <c r="G382" s="99"/>
      <c r="H382" s="89"/>
      <c r="I382" s="99"/>
      <c r="J382" s="99">
        <v>0.0</v>
      </c>
      <c r="K382" s="99">
        <v>0.0</v>
      </c>
      <c r="L382" s="99">
        <v>0.0</v>
      </c>
      <c r="M382" s="99">
        <v>0.0</v>
      </c>
      <c r="N382" s="99">
        <v>0.0</v>
      </c>
      <c r="O382" s="99">
        <v>0.0</v>
      </c>
      <c r="P382" s="99">
        <v>0.0</v>
      </c>
      <c r="Q382" s="99">
        <v>0.0</v>
      </c>
      <c r="R382" s="99">
        <v>0.0</v>
      </c>
      <c r="S382" s="99">
        <v>0.0</v>
      </c>
      <c r="T382" s="99">
        <v>0.0</v>
      </c>
      <c r="U382" s="99">
        <v>0.0</v>
      </c>
      <c r="V382" s="99">
        <v>0.0</v>
      </c>
      <c r="W382" s="99">
        <v>0.0</v>
      </c>
      <c r="X382" s="99">
        <v>0.0</v>
      </c>
      <c r="Y382" s="99">
        <v>0.0</v>
      </c>
      <c r="Z382" s="99">
        <v>0.0</v>
      </c>
      <c r="AA382" s="99">
        <v>0.0</v>
      </c>
      <c r="AB382" s="99">
        <v>0.0</v>
      </c>
      <c r="AC382" s="99">
        <v>0.0</v>
      </c>
      <c r="AD382" s="99">
        <v>0.0</v>
      </c>
      <c r="AE382" s="99">
        <v>0.0</v>
      </c>
      <c r="AF382" s="99">
        <v>0.0</v>
      </c>
      <c r="AG382" s="99">
        <v>0.0</v>
      </c>
      <c r="AH382" s="99">
        <v>0.0</v>
      </c>
      <c r="AI382" s="99">
        <v>0.0</v>
      </c>
      <c r="AJ382" s="99">
        <v>0.0</v>
      </c>
      <c r="AK382" s="99">
        <v>0.0</v>
      </c>
      <c r="AL382" s="99">
        <v>0.0</v>
      </c>
      <c r="AM382" s="99">
        <v>0.0</v>
      </c>
      <c r="AN382" s="99">
        <v>0.0</v>
      </c>
      <c r="AO382" s="99">
        <v>0.0</v>
      </c>
      <c r="AP382" s="99">
        <v>0.0</v>
      </c>
      <c r="AQ382" s="99">
        <v>0.0</v>
      </c>
      <c r="AR382" s="99">
        <v>0.0</v>
      </c>
      <c r="AS382" s="99">
        <v>0.0</v>
      </c>
      <c r="AT382" s="99">
        <v>0.0</v>
      </c>
      <c r="AU382" s="99">
        <v>0.0</v>
      </c>
      <c r="AV382" s="99">
        <v>0.0</v>
      </c>
      <c r="AW382" s="90"/>
      <c r="AX382" s="90"/>
      <c r="AY382" s="90"/>
      <c r="AZ382" s="90"/>
      <c r="BA382" s="90"/>
      <c r="BB382" s="90"/>
      <c r="BC382" s="90"/>
      <c r="BD382" s="90"/>
      <c r="BE382" s="90"/>
      <c r="BF382" s="90"/>
      <c r="BG382" s="90"/>
    </row>
    <row r="383" ht="12.75" customHeight="1">
      <c r="A383" s="548"/>
      <c r="B383" s="90"/>
      <c r="C383" s="148" t="s">
        <v>838</v>
      </c>
      <c r="D383" s="148"/>
      <c r="E383" s="148"/>
      <c r="F383" s="148"/>
      <c r="G383" s="150"/>
      <c r="H383" s="150"/>
      <c r="I383" s="150">
        <f t="shared" ref="I383:AV383" si="248">SUM(I379:I382)</f>
        <v>0</v>
      </c>
      <c r="J383" s="150">
        <f t="shared" si="248"/>
        <v>310125</v>
      </c>
      <c r="K383" s="150">
        <f t="shared" si="248"/>
        <v>1295425.4</v>
      </c>
      <c r="L383" s="150">
        <f t="shared" si="248"/>
        <v>1100375.682</v>
      </c>
      <c r="M383" s="150">
        <f t="shared" si="248"/>
        <v>1161831.452</v>
      </c>
      <c r="N383" s="150">
        <f t="shared" si="248"/>
        <v>1183806.807</v>
      </c>
      <c r="O383" s="150">
        <f t="shared" si="248"/>
        <v>1204325.172</v>
      </c>
      <c r="P383" s="150">
        <f t="shared" si="248"/>
        <v>1225190.749</v>
      </c>
      <c r="Q383" s="150">
        <f t="shared" si="248"/>
        <v>1246774.257</v>
      </c>
      <c r="R383" s="150">
        <f t="shared" si="248"/>
        <v>1280714.824</v>
      </c>
      <c r="S383" s="150">
        <f t="shared" si="248"/>
        <v>1303388.502</v>
      </c>
      <c r="T383" s="150">
        <f t="shared" si="248"/>
        <v>1326717.661</v>
      </c>
      <c r="U383" s="150">
        <f t="shared" si="248"/>
        <v>1350458.631</v>
      </c>
      <c r="V383" s="150">
        <f t="shared" si="248"/>
        <v>1375839.661</v>
      </c>
      <c r="W383" s="150">
        <f t="shared" si="248"/>
        <v>1403356.454</v>
      </c>
      <c r="X383" s="150">
        <f t="shared" si="248"/>
        <v>1431423.583</v>
      </c>
      <c r="Y383" s="150">
        <f t="shared" si="248"/>
        <v>1460052.055</v>
      </c>
      <c r="Z383" s="150">
        <f t="shared" si="248"/>
        <v>1489253.096</v>
      </c>
      <c r="AA383" s="150">
        <f t="shared" si="248"/>
        <v>1519038.158</v>
      </c>
      <c r="AB383" s="150">
        <f t="shared" si="248"/>
        <v>1549418.921</v>
      </c>
      <c r="AC383" s="150">
        <f t="shared" si="248"/>
        <v>1580407.299</v>
      </c>
      <c r="AD383" s="150">
        <f t="shared" si="248"/>
        <v>1612015.445</v>
      </c>
      <c r="AE383" s="150">
        <f t="shared" si="248"/>
        <v>1644255.754</v>
      </c>
      <c r="AF383" s="150">
        <f t="shared" si="248"/>
        <v>1677140.869</v>
      </c>
      <c r="AG383" s="150">
        <f t="shared" si="248"/>
        <v>1710683.687</v>
      </c>
      <c r="AH383" s="150">
        <f t="shared" si="248"/>
        <v>1744897.36</v>
      </c>
      <c r="AI383" s="150">
        <f t="shared" si="248"/>
        <v>1779795.308</v>
      </c>
      <c r="AJ383" s="150">
        <f t="shared" si="248"/>
        <v>1815391.214</v>
      </c>
      <c r="AK383" s="150">
        <f t="shared" si="248"/>
        <v>1851699.038</v>
      </c>
      <c r="AL383" s="150">
        <f t="shared" si="248"/>
        <v>1888733.019</v>
      </c>
      <c r="AM383" s="150">
        <f t="shared" si="248"/>
        <v>1926507.679</v>
      </c>
      <c r="AN383" s="150">
        <f t="shared" si="248"/>
        <v>1965037.833</v>
      </c>
      <c r="AO383" s="150">
        <f t="shared" si="248"/>
        <v>2004338.589</v>
      </c>
      <c r="AP383" s="150">
        <f t="shared" si="248"/>
        <v>2044425.361</v>
      </c>
      <c r="AQ383" s="150">
        <f t="shared" si="248"/>
        <v>2085313.868</v>
      </c>
      <c r="AR383" s="150">
        <f t="shared" si="248"/>
        <v>2127020.146</v>
      </c>
      <c r="AS383" s="150">
        <f t="shared" si="248"/>
        <v>2169560.549</v>
      </c>
      <c r="AT383" s="150">
        <f t="shared" si="248"/>
        <v>2212951.76</v>
      </c>
      <c r="AU383" s="150">
        <f t="shared" si="248"/>
        <v>2257210.795</v>
      </c>
      <c r="AV383" s="150">
        <f t="shared" si="248"/>
        <v>2302355.011</v>
      </c>
      <c r="AW383" s="90"/>
      <c r="AX383" s="90"/>
      <c r="AY383" s="90"/>
      <c r="AZ383" s="90"/>
      <c r="BA383" s="90"/>
      <c r="BB383" s="90"/>
      <c r="BC383" s="90"/>
      <c r="BD383" s="90"/>
      <c r="BE383" s="90"/>
      <c r="BF383" s="90"/>
      <c r="BG383" s="90"/>
    </row>
    <row r="384" ht="12.75" customHeight="1">
      <c r="A384" s="316"/>
      <c r="B384" s="67" t="s">
        <v>839</v>
      </c>
      <c r="C384" s="90"/>
      <c r="D384" s="90"/>
      <c r="E384" s="90"/>
      <c r="F384" s="90"/>
      <c r="G384" s="79"/>
      <c r="H384" s="79"/>
      <c r="I384" s="79">
        <f t="shared" ref="I384:AV384" si="249">SUM(I342:I377)+I383</f>
        <v>0</v>
      </c>
      <c r="J384" s="79">
        <f t="shared" si="249"/>
        <v>337935.99</v>
      </c>
      <c r="K384" s="79">
        <f t="shared" si="249"/>
        <v>1636386.09</v>
      </c>
      <c r="L384" s="79">
        <f t="shared" si="249"/>
        <v>1371204.482</v>
      </c>
      <c r="M384" s="79">
        <f t="shared" si="249"/>
        <v>1440933.502</v>
      </c>
      <c r="N384" s="79">
        <f t="shared" si="249"/>
        <v>1467092.642</v>
      </c>
      <c r="O384" s="79">
        <f t="shared" si="249"/>
        <v>1640497.408</v>
      </c>
      <c r="P384" s="79">
        <f t="shared" si="249"/>
        <v>1666310.007</v>
      </c>
      <c r="Q384" s="79">
        <f t="shared" si="249"/>
        <v>2024391.145</v>
      </c>
      <c r="R384" s="79">
        <f t="shared" si="249"/>
        <v>2091747.58</v>
      </c>
      <c r="S384" s="79">
        <f t="shared" si="249"/>
        <v>2126772.454</v>
      </c>
      <c r="T384" s="79">
        <f t="shared" si="249"/>
        <v>2163202.636</v>
      </c>
      <c r="U384" s="79">
        <f t="shared" si="249"/>
        <v>2200216.47</v>
      </c>
      <c r="V384" s="79">
        <f t="shared" si="249"/>
        <v>2241266.753</v>
      </c>
      <c r="W384" s="79">
        <f t="shared" si="249"/>
        <v>2287726.252</v>
      </c>
      <c r="X384" s="79">
        <f t="shared" si="249"/>
        <v>2335109.885</v>
      </c>
      <c r="Y384" s="79">
        <f t="shared" si="249"/>
        <v>2383453.169</v>
      </c>
      <c r="Z384" s="79">
        <f t="shared" si="249"/>
        <v>2432775.416</v>
      </c>
      <c r="AA384" s="79">
        <f t="shared" si="249"/>
        <v>2483096.326</v>
      </c>
      <c r="AB384" s="79">
        <f t="shared" si="249"/>
        <v>2533886.898</v>
      </c>
      <c r="AC384" s="79">
        <f t="shared" si="249"/>
        <v>2586171.188</v>
      </c>
      <c r="AD384" s="79">
        <f t="shared" si="249"/>
        <v>2639511.176</v>
      </c>
      <c r="AE384" s="79">
        <f t="shared" si="249"/>
        <v>2693928.202</v>
      </c>
      <c r="AF384" s="79">
        <f t="shared" si="249"/>
        <v>2830490.851</v>
      </c>
      <c r="AG384" s="79">
        <f t="shared" si="249"/>
        <v>2886956.262</v>
      </c>
      <c r="AH384" s="79">
        <f t="shared" si="249"/>
        <v>2944861.32</v>
      </c>
      <c r="AI384" s="79">
        <f t="shared" si="249"/>
        <v>3003937.789</v>
      </c>
      <c r="AJ384" s="79">
        <f t="shared" si="249"/>
        <v>3062530.031</v>
      </c>
      <c r="AK384" s="79">
        <f t="shared" si="249"/>
        <v>3123751.323</v>
      </c>
      <c r="AL384" s="79">
        <f t="shared" si="249"/>
        <v>3186255.18</v>
      </c>
      <c r="AM384" s="79">
        <f t="shared" si="249"/>
        <v>3250020.714</v>
      </c>
      <c r="AN384" s="79">
        <f t="shared" si="249"/>
        <v>3315073.282</v>
      </c>
      <c r="AO384" s="79">
        <f t="shared" si="249"/>
        <v>3381438.738</v>
      </c>
      <c r="AP384" s="79">
        <f t="shared" si="249"/>
        <v>3449285.183</v>
      </c>
      <c r="AQ384" s="79">
        <f t="shared" si="249"/>
        <v>3518527.566</v>
      </c>
      <c r="AR384" s="79">
        <f t="shared" si="249"/>
        <v>3589169.061</v>
      </c>
      <c r="AS384" s="79">
        <f t="shared" si="249"/>
        <v>3661237.793</v>
      </c>
      <c r="AT384" s="79">
        <f t="shared" si="249"/>
        <v>3734762.45</v>
      </c>
      <c r="AU384" s="79">
        <f t="shared" si="249"/>
        <v>3809772.297</v>
      </c>
      <c r="AV384" s="79">
        <f t="shared" si="249"/>
        <v>2736158.214</v>
      </c>
      <c r="AW384" s="90"/>
      <c r="AX384" s="90"/>
      <c r="AY384" s="90"/>
      <c r="AZ384" s="90"/>
      <c r="BA384" s="90"/>
      <c r="BB384" s="90"/>
      <c r="BC384" s="90"/>
      <c r="BD384" s="90"/>
      <c r="BE384" s="90"/>
      <c r="BF384" s="90"/>
      <c r="BG384" s="90"/>
    </row>
    <row r="385" ht="12.75" customHeight="1">
      <c r="A385" s="316"/>
      <c r="B385" s="90"/>
      <c r="C385" s="90"/>
      <c r="D385" s="90"/>
      <c r="E385" s="90"/>
      <c r="F385" s="90"/>
      <c r="G385" s="152"/>
      <c r="H385" s="152"/>
      <c r="I385" s="152"/>
      <c r="J385" s="152"/>
      <c r="K385" s="152"/>
      <c r="L385" s="152"/>
      <c r="M385" s="152"/>
      <c r="N385" s="152"/>
      <c r="O385" s="152"/>
      <c r="P385" s="152"/>
      <c r="Q385" s="152"/>
      <c r="R385" s="152"/>
      <c r="S385" s="152"/>
      <c r="T385" s="152"/>
      <c r="U385" s="152"/>
      <c r="V385" s="152"/>
      <c r="W385" s="152"/>
      <c r="X385" s="152"/>
      <c r="Y385" s="152"/>
      <c r="Z385" s="152"/>
      <c r="AA385" s="152"/>
      <c r="AB385" s="152"/>
      <c r="AC385" s="152"/>
      <c r="AD385" s="152"/>
      <c r="AE385" s="152"/>
      <c r="AF385" s="152"/>
      <c r="AG385" s="152"/>
      <c r="AH385" s="152"/>
      <c r="AI385" s="152"/>
      <c r="AJ385" s="152"/>
      <c r="AK385" s="152"/>
      <c r="AL385" s="152"/>
      <c r="AM385" s="152"/>
      <c r="AN385" s="152"/>
      <c r="AO385" s="152"/>
      <c r="AP385" s="152"/>
      <c r="AQ385" s="152"/>
      <c r="AR385" s="152"/>
      <c r="AS385" s="152"/>
      <c r="AT385" s="152"/>
      <c r="AU385" s="152"/>
      <c r="AV385" s="152"/>
      <c r="AW385" s="90"/>
      <c r="AX385" s="90"/>
      <c r="AY385" s="90"/>
      <c r="AZ385" s="90"/>
      <c r="BA385" s="90"/>
      <c r="BB385" s="90"/>
      <c r="BC385" s="90"/>
      <c r="BD385" s="90"/>
      <c r="BE385" s="90"/>
      <c r="BF385" s="90"/>
      <c r="BG385" s="90"/>
    </row>
    <row r="386" ht="12.75" customHeight="1">
      <c r="A386" s="316"/>
      <c r="B386" s="67" t="s">
        <v>555</v>
      </c>
      <c r="C386" s="90"/>
      <c r="D386" s="90"/>
      <c r="E386" s="90"/>
      <c r="F386" s="90"/>
      <c r="G386" s="90"/>
      <c r="H386" s="90"/>
      <c r="I386" s="90"/>
      <c r="J386" s="90"/>
      <c r="K386" s="90"/>
      <c r="L386" s="90"/>
      <c r="M386" s="387"/>
      <c r="N386" s="90"/>
      <c r="O386" s="90"/>
      <c r="P386" s="90"/>
      <c r="Q386" s="90"/>
      <c r="R386" s="90"/>
      <c r="S386" s="90"/>
      <c r="T386" s="90"/>
      <c r="U386" s="90"/>
      <c r="V386" s="90"/>
      <c r="W386" s="90"/>
      <c r="X386" s="90"/>
      <c r="Y386" s="90"/>
      <c r="Z386" s="90"/>
      <c r="AA386" s="90"/>
      <c r="AB386" s="90"/>
      <c r="AC386" s="90"/>
      <c r="AD386" s="90"/>
      <c r="AE386" s="90"/>
      <c r="AF386" s="90"/>
      <c r="AG386" s="90"/>
      <c r="AH386" s="90"/>
      <c r="AI386" s="90"/>
      <c r="AJ386" s="90"/>
      <c r="AK386" s="90"/>
      <c r="AL386" s="90"/>
      <c r="AM386" s="90"/>
      <c r="AN386" s="90"/>
      <c r="AO386" s="90"/>
      <c r="AP386" s="90"/>
      <c r="AQ386" s="90"/>
      <c r="AR386" s="90"/>
      <c r="AS386" s="90"/>
      <c r="AT386" s="90"/>
      <c r="AU386" s="90"/>
      <c r="AV386" s="90"/>
      <c r="AW386" s="90"/>
      <c r="AX386" s="90"/>
      <c r="AY386" s="90"/>
      <c r="AZ386" s="90"/>
      <c r="BA386" s="90"/>
      <c r="BB386" s="90"/>
      <c r="BC386" s="90"/>
      <c r="BD386" s="90"/>
      <c r="BE386" s="90"/>
      <c r="BF386" s="90"/>
      <c r="BG386" s="90"/>
    </row>
    <row r="387" ht="12.75" customHeight="1">
      <c r="A387" s="316"/>
      <c r="B387" s="90"/>
      <c r="C387" s="90" t="s">
        <v>840</v>
      </c>
      <c r="D387" s="90"/>
      <c r="E387" s="90"/>
      <c r="F387" s="90"/>
      <c r="G387" s="99"/>
      <c r="H387" s="99"/>
      <c r="I387" s="99"/>
      <c r="J387" s="99">
        <v>0.0</v>
      </c>
      <c r="K387" s="99">
        <v>24824.35</v>
      </c>
      <c r="L387" s="99">
        <f t="shared" ref="L387:AV387" si="250">L247*(L259+L260+L261)</f>
        <v>26697.3744</v>
      </c>
      <c r="M387" s="99">
        <f t="shared" si="250"/>
        <v>28067.08392</v>
      </c>
      <c r="N387" s="99">
        <f t="shared" si="250"/>
        <v>28592.3892</v>
      </c>
      <c r="O387" s="99">
        <f t="shared" si="250"/>
        <v>29074.01496</v>
      </c>
      <c r="P387" s="99">
        <f t="shared" si="250"/>
        <v>29563.46878</v>
      </c>
      <c r="Q387" s="99">
        <f t="shared" si="250"/>
        <v>30071.30082</v>
      </c>
      <c r="R387" s="99">
        <f t="shared" si="250"/>
        <v>30891.49932</v>
      </c>
      <c r="S387" s="99">
        <f t="shared" si="250"/>
        <v>31425.31164</v>
      </c>
      <c r="T387" s="99">
        <f t="shared" si="250"/>
        <v>31975.57184</v>
      </c>
      <c r="U387" s="99">
        <f t="shared" si="250"/>
        <v>32535.27234</v>
      </c>
      <c r="V387" s="99">
        <f t="shared" si="250"/>
        <v>33139.4594</v>
      </c>
      <c r="W387" s="99">
        <f t="shared" si="250"/>
        <v>33802.24859</v>
      </c>
      <c r="X387" s="99">
        <f t="shared" si="250"/>
        <v>34478.29356</v>
      </c>
      <c r="Y387" s="99">
        <f t="shared" si="250"/>
        <v>35167.85943</v>
      </c>
      <c r="Z387" s="99">
        <f t="shared" si="250"/>
        <v>35871.21662</v>
      </c>
      <c r="AA387" s="99">
        <f t="shared" si="250"/>
        <v>36588.64096</v>
      </c>
      <c r="AB387" s="99">
        <f t="shared" si="250"/>
        <v>37320.41377</v>
      </c>
      <c r="AC387" s="99">
        <f t="shared" si="250"/>
        <v>38066.82205</v>
      </c>
      <c r="AD387" s="99">
        <f t="shared" si="250"/>
        <v>38828.15849</v>
      </c>
      <c r="AE387" s="99">
        <f t="shared" si="250"/>
        <v>39604.72166</v>
      </c>
      <c r="AF387" s="99">
        <f t="shared" si="250"/>
        <v>40396.81609</v>
      </c>
      <c r="AG387" s="99">
        <f t="shared" si="250"/>
        <v>41204.75242</v>
      </c>
      <c r="AH387" s="99">
        <f t="shared" si="250"/>
        <v>42028.84746</v>
      </c>
      <c r="AI387" s="99">
        <f t="shared" si="250"/>
        <v>42869.42441</v>
      </c>
      <c r="AJ387" s="99">
        <f t="shared" si="250"/>
        <v>43726.8129</v>
      </c>
      <c r="AK387" s="99">
        <f t="shared" si="250"/>
        <v>44601.34916</v>
      </c>
      <c r="AL387" s="99">
        <f t="shared" si="250"/>
        <v>45493.37614</v>
      </c>
      <c r="AM387" s="99">
        <f t="shared" si="250"/>
        <v>46403.24367</v>
      </c>
      <c r="AN387" s="99">
        <f t="shared" si="250"/>
        <v>47331.30854</v>
      </c>
      <c r="AO387" s="99">
        <f t="shared" si="250"/>
        <v>48277.93471</v>
      </c>
      <c r="AP387" s="99">
        <f t="shared" si="250"/>
        <v>49243.4934</v>
      </c>
      <c r="AQ387" s="99">
        <f t="shared" si="250"/>
        <v>50228.36327</v>
      </c>
      <c r="AR387" s="99">
        <f t="shared" si="250"/>
        <v>51232.93054</v>
      </c>
      <c r="AS387" s="99">
        <f t="shared" si="250"/>
        <v>52257.58915</v>
      </c>
      <c r="AT387" s="99">
        <f t="shared" si="250"/>
        <v>53302.74093</v>
      </c>
      <c r="AU387" s="99">
        <f t="shared" si="250"/>
        <v>54368.79575</v>
      </c>
      <c r="AV387" s="99">
        <f t="shared" si="250"/>
        <v>55456.17166</v>
      </c>
      <c r="AW387" s="90"/>
      <c r="AX387" s="90"/>
      <c r="AY387" s="90"/>
      <c r="AZ387" s="90"/>
      <c r="BA387" s="90"/>
      <c r="BB387" s="90"/>
      <c r="BC387" s="90"/>
      <c r="BD387" s="90"/>
      <c r="BE387" s="90"/>
      <c r="BF387" s="90"/>
      <c r="BG387" s="90"/>
    </row>
    <row r="388" ht="12.75" customHeight="1">
      <c r="A388" s="316"/>
      <c r="B388" s="90"/>
      <c r="C388" s="90" t="s">
        <v>841</v>
      </c>
      <c r="D388" s="90"/>
      <c r="E388" s="90"/>
      <c r="F388" s="90"/>
      <c r="G388" s="99"/>
      <c r="H388" s="99"/>
      <c r="I388" s="99"/>
      <c r="J388" s="99">
        <v>0.0</v>
      </c>
      <c r="K388" s="99">
        <f t="shared" ref="K388:AV388" si="251">K245*K265</f>
        <v>0</v>
      </c>
      <c r="L388" s="99">
        <f t="shared" si="251"/>
        <v>0</v>
      </c>
      <c r="M388" s="99">
        <f t="shared" si="251"/>
        <v>0</v>
      </c>
      <c r="N388" s="99">
        <f t="shared" si="251"/>
        <v>0</v>
      </c>
      <c r="O388" s="99">
        <f t="shared" si="251"/>
        <v>0</v>
      </c>
      <c r="P388" s="99">
        <f t="shared" si="251"/>
        <v>0</v>
      </c>
      <c r="Q388" s="99">
        <f t="shared" si="251"/>
        <v>0</v>
      </c>
      <c r="R388" s="99">
        <f t="shared" si="251"/>
        <v>0</v>
      </c>
      <c r="S388" s="99">
        <f t="shared" si="251"/>
        <v>0</v>
      </c>
      <c r="T388" s="99">
        <f t="shared" si="251"/>
        <v>0</v>
      </c>
      <c r="U388" s="99">
        <f t="shared" si="251"/>
        <v>0</v>
      </c>
      <c r="V388" s="99">
        <f t="shared" si="251"/>
        <v>0</v>
      </c>
      <c r="W388" s="99">
        <f t="shared" si="251"/>
        <v>0</v>
      </c>
      <c r="X388" s="99">
        <f t="shared" si="251"/>
        <v>0</v>
      </c>
      <c r="Y388" s="99">
        <f t="shared" si="251"/>
        <v>0</v>
      </c>
      <c r="Z388" s="99">
        <f t="shared" si="251"/>
        <v>0</v>
      </c>
      <c r="AA388" s="99">
        <f t="shared" si="251"/>
        <v>0</v>
      </c>
      <c r="AB388" s="99">
        <f t="shared" si="251"/>
        <v>0</v>
      </c>
      <c r="AC388" s="99">
        <f t="shared" si="251"/>
        <v>0</v>
      </c>
      <c r="AD388" s="99">
        <f t="shared" si="251"/>
        <v>0</v>
      </c>
      <c r="AE388" s="99">
        <f t="shared" si="251"/>
        <v>0</v>
      </c>
      <c r="AF388" s="99">
        <f t="shared" si="251"/>
        <v>0</v>
      </c>
      <c r="AG388" s="99">
        <f t="shared" si="251"/>
        <v>0</v>
      </c>
      <c r="AH388" s="99">
        <f t="shared" si="251"/>
        <v>0</v>
      </c>
      <c r="AI388" s="99">
        <f t="shared" si="251"/>
        <v>0</v>
      </c>
      <c r="AJ388" s="99">
        <f t="shared" si="251"/>
        <v>0</v>
      </c>
      <c r="AK388" s="99">
        <f t="shared" si="251"/>
        <v>0</v>
      </c>
      <c r="AL388" s="99">
        <f t="shared" si="251"/>
        <v>0</v>
      </c>
      <c r="AM388" s="99">
        <f t="shared" si="251"/>
        <v>0</v>
      </c>
      <c r="AN388" s="99">
        <f t="shared" si="251"/>
        <v>0</v>
      </c>
      <c r="AO388" s="99">
        <f t="shared" si="251"/>
        <v>0</v>
      </c>
      <c r="AP388" s="99">
        <f t="shared" si="251"/>
        <v>0</v>
      </c>
      <c r="AQ388" s="99">
        <f t="shared" si="251"/>
        <v>0</v>
      </c>
      <c r="AR388" s="99">
        <f t="shared" si="251"/>
        <v>0</v>
      </c>
      <c r="AS388" s="99">
        <f t="shared" si="251"/>
        <v>0</v>
      </c>
      <c r="AT388" s="99">
        <f t="shared" si="251"/>
        <v>0</v>
      </c>
      <c r="AU388" s="99">
        <f t="shared" si="251"/>
        <v>0</v>
      </c>
      <c r="AV388" s="99">
        <f t="shared" si="251"/>
        <v>0</v>
      </c>
      <c r="AW388" s="90"/>
      <c r="AX388" s="90"/>
      <c r="AY388" s="90"/>
      <c r="AZ388" s="90"/>
      <c r="BA388" s="90"/>
      <c r="BB388" s="90"/>
      <c r="BC388" s="90"/>
      <c r="BD388" s="90"/>
      <c r="BE388" s="90"/>
      <c r="BF388" s="90"/>
      <c r="BG388" s="90"/>
    </row>
    <row r="389" ht="12.75" customHeight="1">
      <c r="A389" s="316"/>
      <c r="B389" s="90"/>
      <c r="C389" s="90" t="s">
        <v>556</v>
      </c>
      <c r="D389" s="90"/>
      <c r="E389" s="90"/>
      <c r="F389" s="90"/>
      <c r="G389" s="99"/>
      <c r="H389" s="99"/>
      <c r="I389" s="99"/>
      <c r="J389" s="99"/>
      <c r="K389" s="99"/>
      <c r="L389" s="99"/>
      <c r="M389" s="99"/>
      <c r="N389" s="99"/>
      <c r="O389" s="99"/>
      <c r="P389" s="99"/>
      <c r="Q389" s="99"/>
      <c r="R389" s="99"/>
      <c r="S389" s="99"/>
      <c r="T389" s="99"/>
      <c r="U389" s="99"/>
      <c r="V389" s="99"/>
      <c r="W389" s="99"/>
      <c r="X389" s="99"/>
      <c r="Y389" s="99"/>
      <c r="Z389" s="99"/>
      <c r="AA389" s="99"/>
      <c r="AB389" s="99"/>
      <c r="AC389" s="99"/>
      <c r="AD389" s="99"/>
      <c r="AE389" s="99"/>
      <c r="AF389" s="99"/>
      <c r="AG389" s="99"/>
      <c r="AH389" s="99"/>
      <c r="AI389" s="99"/>
      <c r="AJ389" s="99"/>
      <c r="AK389" s="99"/>
      <c r="AL389" s="99"/>
      <c r="AM389" s="99"/>
      <c r="AN389" s="99"/>
      <c r="AO389" s="99"/>
      <c r="AP389" s="99"/>
      <c r="AQ389" s="99"/>
      <c r="AR389" s="99"/>
      <c r="AS389" s="99"/>
      <c r="AT389" s="99"/>
      <c r="AU389" s="99"/>
      <c r="AV389" s="99"/>
      <c r="AW389" s="90"/>
      <c r="AX389" s="90"/>
      <c r="AY389" s="90"/>
      <c r="AZ389" s="90"/>
      <c r="BA389" s="90"/>
      <c r="BB389" s="90"/>
      <c r="BC389" s="90"/>
      <c r="BD389" s="90"/>
      <c r="BE389" s="90"/>
      <c r="BF389" s="90"/>
      <c r="BG389" s="90"/>
    </row>
    <row r="390" ht="12.75" customHeight="1">
      <c r="A390" s="316"/>
      <c r="B390" s="90"/>
      <c r="C390" s="90"/>
      <c r="D390" s="90" t="s">
        <v>557</v>
      </c>
      <c r="E390" s="90"/>
      <c r="F390" s="90"/>
      <c r="G390" s="99"/>
      <c r="H390" s="99"/>
      <c r="I390" s="99"/>
      <c r="J390" s="99">
        <f>-J441</f>
        <v>0</v>
      </c>
      <c r="K390" s="99">
        <v>4889.92</v>
      </c>
      <c r="L390" s="99">
        <v>7000.0</v>
      </c>
      <c r="M390" s="99">
        <v>7000.0</v>
      </c>
      <c r="N390" s="99">
        <v>7000.0</v>
      </c>
      <c r="O390" s="99">
        <v>7000.0</v>
      </c>
      <c r="P390" s="99">
        <v>7000.0</v>
      </c>
      <c r="Q390" s="99">
        <f t="shared" ref="Q390:AV390" si="252">-Q441</f>
        <v>0</v>
      </c>
      <c r="R390" s="99">
        <f t="shared" si="252"/>
        <v>0</v>
      </c>
      <c r="S390" s="99">
        <f t="shared" si="252"/>
        <v>0</v>
      </c>
      <c r="T390" s="99">
        <f t="shared" si="252"/>
        <v>0</v>
      </c>
      <c r="U390" s="99">
        <f t="shared" si="252"/>
        <v>0</v>
      </c>
      <c r="V390" s="99">
        <f t="shared" si="252"/>
        <v>0</v>
      </c>
      <c r="W390" s="99">
        <f t="shared" si="252"/>
        <v>0</v>
      </c>
      <c r="X390" s="99">
        <f t="shared" si="252"/>
        <v>0</v>
      </c>
      <c r="Y390" s="99">
        <f t="shared" si="252"/>
        <v>0</v>
      </c>
      <c r="Z390" s="99">
        <f t="shared" si="252"/>
        <v>0</v>
      </c>
      <c r="AA390" s="99">
        <f t="shared" si="252"/>
        <v>0</v>
      </c>
      <c r="AB390" s="99">
        <f t="shared" si="252"/>
        <v>0</v>
      </c>
      <c r="AC390" s="99">
        <f t="shared" si="252"/>
        <v>0</v>
      </c>
      <c r="AD390" s="99">
        <f t="shared" si="252"/>
        <v>0</v>
      </c>
      <c r="AE390" s="99">
        <f t="shared" si="252"/>
        <v>0</v>
      </c>
      <c r="AF390" s="99">
        <f t="shared" si="252"/>
        <v>0</v>
      </c>
      <c r="AG390" s="99">
        <f t="shared" si="252"/>
        <v>0</v>
      </c>
      <c r="AH390" s="99">
        <f t="shared" si="252"/>
        <v>0</v>
      </c>
      <c r="AI390" s="99">
        <f t="shared" si="252"/>
        <v>0</v>
      </c>
      <c r="AJ390" s="99">
        <f t="shared" si="252"/>
        <v>0</v>
      </c>
      <c r="AK390" s="99">
        <f t="shared" si="252"/>
        <v>0</v>
      </c>
      <c r="AL390" s="99">
        <f t="shared" si="252"/>
        <v>0</v>
      </c>
      <c r="AM390" s="99">
        <f t="shared" si="252"/>
        <v>0</v>
      </c>
      <c r="AN390" s="99">
        <f t="shared" si="252"/>
        <v>0</v>
      </c>
      <c r="AO390" s="99">
        <f t="shared" si="252"/>
        <v>0</v>
      </c>
      <c r="AP390" s="99">
        <f t="shared" si="252"/>
        <v>0</v>
      </c>
      <c r="AQ390" s="99">
        <f t="shared" si="252"/>
        <v>0</v>
      </c>
      <c r="AR390" s="99">
        <f t="shared" si="252"/>
        <v>0</v>
      </c>
      <c r="AS390" s="99">
        <f t="shared" si="252"/>
        <v>0</v>
      </c>
      <c r="AT390" s="99">
        <f t="shared" si="252"/>
        <v>0</v>
      </c>
      <c r="AU390" s="99">
        <f t="shared" si="252"/>
        <v>0</v>
      </c>
      <c r="AV390" s="99">
        <f t="shared" si="252"/>
        <v>0</v>
      </c>
      <c r="AW390" s="90"/>
      <c r="AX390" s="90"/>
      <c r="AY390" s="90"/>
      <c r="AZ390" s="90"/>
      <c r="BA390" s="90"/>
      <c r="BB390" s="90"/>
      <c r="BC390" s="90"/>
      <c r="BD390" s="90"/>
      <c r="BE390" s="90"/>
      <c r="BF390" s="90"/>
      <c r="BG390" s="90"/>
    </row>
    <row r="391" ht="12.75" customHeight="1">
      <c r="A391" s="316"/>
      <c r="B391" s="90"/>
      <c r="C391" s="90"/>
      <c r="D391" s="90" t="s">
        <v>148</v>
      </c>
      <c r="E391" s="90"/>
      <c r="F391" s="90"/>
      <c r="G391" s="99"/>
      <c r="H391" s="99"/>
      <c r="I391" s="99"/>
      <c r="J391" s="99">
        <v>0.0</v>
      </c>
      <c r="K391" s="99">
        <v>0.0</v>
      </c>
      <c r="L391" s="99">
        <f t="shared" ref="L391:AV391" si="253">L250*K454</f>
        <v>0</v>
      </c>
      <c r="M391" s="99" t="str">
        <f t="shared" si="253"/>
        <v>#REF!</v>
      </c>
      <c r="N391" s="99" t="str">
        <f t="shared" si="253"/>
        <v>#REF!</v>
      </c>
      <c r="O391" s="99" t="str">
        <f t="shared" si="253"/>
        <v>#REF!</v>
      </c>
      <c r="P391" s="99" t="str">
        <f t="shared" si="253"/>
        <v>#REF!</v>
      </c>
      <c r="Q391" s="99" t="str">
        <f t="shared" si="253"/>
        <v>#REF!</v>
      </c>
      <c r="R391" s="99" t="str">
        <f t="shared" si="253"/>
        <v>#REF!</v>
      </c>
      <c r="S391" s="99" t="str">
        <f t="shared" si="253"/>
        <v>#REF!</v>
      </c>
      <c r="T391" s="99" t="str">
        <f t="shared" si="253"/>
        <v>#REF!</v>
      </c>
      <c r="U391" s="99" t="str">
        <f t="shared" si="253"/>
        <v>#REF!</v>
      </c>
      <c r="V391" s="99" t="str">
        <f t="shared" si="253"/>
        <v>#REF!</v>
      </c>
      <c r="W391" s="99" t="str">
        <f t="shared" si="253"/>
        <v>#REF!</v>
      </c>
      <c r="X391" s="99" t="str">
        <f t="shared" si="253"/>
        <v>#REF!</v>
      </c>
      <c r="Y391" s="99" t="str">
        <f t="shared" si="253"/>
        <v>#REF!</v>
      </c>
      <c r="Z391" s="99" t="str">
        <f t="shared" si="253"/>
        <v>#REF!</v>
      </c>
      <c r="AA391" s="99" t="str">
        <f t="shared" si="253"/>
        <v>#REF!</v>
      </c>
      <c r="AB391" s="99" t="str">
        <f t="shared" si="253"/>
        <v>#REF!</v>
      </c>
      <c r="AC391" s="99" t="str">
        <f t="shared" si="253"/>
        <v>#REF!</v>
      </c>
      <c r="AD391" s="99" t="str">
        <f t="shared" si="253"/>
        <v>#REF!</v>
      </c>
      <c r="AE391" s="99" t="str">
        <f t="shared" si="253"/>
        <v>#REF!</v>
      </c>
      <c r="AF391" s="99" t="str">
        <f t="shared" si="253"/>
        <v>#REF!</v>
      </c>
      <c r="AG391" s="99" t="str">
        <f t="shared" si="253"/>
        <v>#REF!</v>
      </c>
      <c r="AH391" s="99" t="str">
        <f t="shared" si="253"/>
        <v>#REF!</v>
      </c>
      <c r="AI391" s="99" t="str">
        <f t="shared" si="253"/>
        <v>#REF!</v>
      </c>
      <c r="AJ391" s="99" t="str">
        <f t="shared" si="253"/>
        <v>#REF!</v>
      </c>
      <c r="AK391" s="99" t="str">
        <f t="shared" si="253"/>
        <v>#REF!</v>
      </c>
      <c r="AL391" s="99" t="str">
        <f t="shared" si="253"/>
        <v>#REF!</v>
      </c>
      <c r="AM391" s="99" t="str">
        <f t="shared" si="253"/>
        <v>#REF!</v>
      </c>
      <c r="AN391" s="99" t="str">
        <f t="shared" si="253"/>
        <v>#REF!</v>
      </c>
      <c r="AO391" s="99" t="str">
        <f t="shared" si="253"/>
        <v>#REF!</v>
      </c>
      <c r="AP391" s="99" t="str">
        <f t="shared" si="253"/>
        <v>#REF!</v>
      </c>
      <c r="AQ391" s="99" t="str">
        <f t="shared" si="253"/>
        <v>#REF!</v>
      </c>
      <c r="AR391" s="99" t="str">
        <f t="shared" si="253"/>
        <v>#REF!</v>
      </c>
      <c r="AS391" s="99" t="str">
        <f t="shared" si="253"/>
        <v>#REF!</v>
      </c>
      <c r="AT391" s="99" t="str">
        <f t="shared" si="253"/>
        <v>#REF!</v>
      </c>
      <c r="AU391" s="99" t="str">
        <f t="shared" si="253"/>
        <v>#REF!</v>
      </c>
      <c r="AV391" s="99" t="str">
        <f t="shared" si="253"/>
        <v>#REF!</v>
      </c>
      <c r="AW391" s="90" t="s">
        <v>1226</v>
      </c>
      <c r="AX391" s="90"/>
      <c r="AY391" s="90"/>
      <c r="AZ391" s="90"/>
      <c r="BA391" s="90"/>
      <c r="BB391" s="90"/>
      <c r="BC391" s="90"/>
      <c r="BD391" s="90"/>
      <c r="BE391" s="90"/>
      <c r="BF391" s="90"/>
      <c r="BG391" s="90"/>
    </row>
    <row r="392" ht="12.75" customHeight="1">
      <c r="A392" s="316"/>
      <c r="B392" s="90"/>
      <c r="C392" s="90"/>
      <c r="D392" s="90"/>
      <c r="E392" s="90"/>
      <c r="F392" s="90"/>
      <c r="G392" s="99"/>
      <c r="H392" s="99"/>
      <c r="I392" s="99"/>
      <c r="J392" s="99"/>
      <c r="K392" s="99"/>
      <c r="L392" s="99"/>
      <c r="M392" s="99"/>
      <c r="N392" s="99"/>
      <c r="O392" s="99"/>
      <c r="P392" s="99"/>
      <c r="Q392" s="99"/>
      <c r="R392" s="99"/>
      <c r="S392" s="99"/>
      <c r="T392" s="99"/>
      <c r="U392" s="99"/>
      <c r="V392" s="99"/>
      <c r="W392" s="99"/>
      <c r="X392" s="99"/>
      <c r="Y392" s="99"/>
      <c r="Z392" s="99"/>
      <c r="AA392" s="99"/>
      <c r="AB392" s="99"/>
      <c r="AC392" s="99"/>
      <c r="AD392" s="99"/>
      <c r="AE392" s="99"/>
      <c r="AF392" s="99"/>
      <c r="AG392" s="99"/>
      <c r="AH392" s="99"/>
      <c r="AI392" s="99"/>
      <c r="AJ392" s="99"/>
      <c r="AK392" s="99"/>
      <c r="AL392" s="99"/>
      <c r="AM392" s="99"/>
      <c r="AN392" s="99"/>
      <c r="AO392" s="99"/>
      <c r="AP392" s="99"/>
      <c r="AQ392" s="99"/>
      <c r="AR392" s="99"/>
      <c r="AS392" s="99"/>
      <c r="AT392" s="99"/>
      <c r="AU392" s="99"/>
      <c r="AV392" s="99"/>
      <c r="AW392" s="90"/>
      <c r="AX392" s="90"/>
      <c r="AY392" s="90"/>
      <c r="AZ392" s="90"/>
      <c r="BA392" s="90"/>
      <c r="BB392" s="90"/>
      <c r="BC392" s="90"/>
      <c r="BD392" s="90"/>
      <c r="BE392" s="90"/>
      <c r="BF392" s="90"/>
      <c r="BG392" s="90"/>
    </row>
    <row r="393" ht="12.75" customHeight="1">
      <c r="A393" s="316"/>
      <c r="B393" s="90"/>
      <c r="C393" s="90"/>
      <c r="D393" s="90" t="s">
        <v>479</v>
      </c>
      <c r="E393" s="90"/>
      <c r="F393" s="90"/>
      <c r="G393" s="99"/>
      <c r="H393" s="99"/>
      <c r="I393" s="99"/>
      <c r="J393" s="99">
        <v>0.0</v>
      </c>
      <c r="K393" s="99">
        <v>0.0</v>
      </c>
      <c r="L393" s="99">
        <v>0.0</v>
      </c>
      <c r="M393" s="99">
        <v>0.0</v>
      </c>
      <c r="N393" s="99">
        <f t="shared" ref="N393:AV393" si="254">N461*N251</f>
        <v>0</v>
      </c>
      <c r="O393" s="99">
        <f t="shared" si="254"/>
        <v>0</v>
      </c>
      <c r="P393" s="99">
        <f t="shared" si="254"/>
        <v>0</v>
      </c>
      <c r="Q393" s="99">
        <f t="shared" si="254"/>
        <v>0</v>
      </c>
      <c r="R393" s="99">
        <f t="shared" si="254"/>
        <v>0</v>
      </c>
      <c r="S393" s="99">
        <f t="shared" si="254"/>
        <v>0</v>
      </c>
      <c r="T393" s="99">
        <f t="shared" si="254"/>
        <v>0</v>
      </c>
      <c r="U393" s="99">
        <f t="shared" si="254"/>
        <v>0</v>
      </c>
      <c r="V393" s="99">
        <f t="shared" si="254"/>
        <v>0</v>
      </c>
      <c r="W393" s="99">
        <f t="shared" si="254"/>
        <v>0</v>
      </c>
      <c r="X393" s="99">
        <f t="shared" si="254"/>
        <v>0</v>
      </c>
      <c r="Y393" s="99">
        <f t="shared" si="254"/>
        <v>0</v>
      </c>
      <c r="Z393" s="99">
        <f t="shared" si="254"/>
        <v>0</v>
      </c>
      <c r="AA393" s="99">
        <f t="shared" si="254"/>
        <v>0</v>
      </c>
      <c r="AB393" s="99">
        <f t="shared" si="254"/>
        <v>0</v>
      </c>
      <c r="AC393" s="99">
        <f t="shared" si="254"/>
        <v>0</v>
      </c>
      <c r="AD393" s="99">
        <f t="shared" si="254"/>
        <v>0</v>
      </c>
      <c r="AE393" s="99">
        <f t="shared" si="254"/>
        <v>0</v>
      </c>
      <c r="AF393" s="99">
        <f t="shared" si="254"/>
        <v>0</v>
      </c>
      <c r="AG393" s="99">
        <f t="shared" si="254"/>
        <v>0</v>
      </c>
      <c r="AH393" s="99">
        <f t="shared" si="254"/>
        <v>0</v>
      </c>
      <c r="AI393" s="99">
        <f t="shared" si="254"/>
        <v>0</v>
      </c>
      <c r="AJ393" s="99">
        <f t="shared" si="254"/>
        <v>0</v>
      </c>
      <c r="AK393" s="99">
        <f t="shared" si="254"/>
        <v>0</v>
      </c>
      <c r="AL393" s="99">
        <f t="shared" si="254"/>
        <v>0</v>
      </c>
      <c r="AM393" s="99">
        <f t="shared" si="254"/>
        <v>0</v>
      </c>
      <c r="AN393" s="99">
        <f t="shared" si="254"/>
        <v>0</v>
      </c>
      <c r="AO393" s="99">
        <f t="shared" si="254"/>
        <v>0</v>
      </c>
      <c r="AP393" s="99">
        <f t="shared" si="254"/>
        <v>0</v>
      </c>
      <c r="AQ393" s="99">
        <f t="shared" si="254"/>
        <v>0</v>
      </c>
      <c r="AR393" s="99">
        <f t="shared" si="254"/>
        <v>0</v>
      </c>
      <c r="AS393" s="99">
        <f t="shared" si="254"/>
        <v>0</v>
      </c>
      <c r="AT393" s="99">
        <f t="shared" si="254"/>
        <v>0</v>
      </c>
      <c r="AU393" s="99">
        <f t="shared" si="254"/>
        <v>0</v>
      </c>
      <c r="AV393" s="99">
        <f t="shared" si="254"/>
        <v>0</v>
      </c>
      <c r="AW393" s="90"/>
      <c r="AX393" s="90"/>
      <c r="AY393" s="90"/>
      <c r="AZ393" s="90"/>
      <c r="BA393" s="90"/>
      <c r="BB393" s="90"/>
      <c r="BC393" s="90"/>
      <c r="BD393" s="90"/>
      <c r="BE393" s="90"/>
      <c r="BF393" s="90"/>
      <c r="BG393" s="90"/>
    </row>
    <row r="394" ht="12.75" customHeight="1">
      <c r="A394" s="316"/>
      <c r="B394" s="90"/>
      <c r="C394" s="90" t="s">
        <v>465</v>
      </c>
      <c r="D394" s="90"/>
      <c r="E394" s="90"/>
      <c r="F394" s="90"/>
      <c r="G394" s="99"/>
      <c r="H394" s="99"/>
      <c r="I394" s="99"/>
      <c r="J394" s="99"/>
      <c r="K394" s="99">
        <v>1497.16</v>
      </c>
      <c r="L394" s="99">
        <f t="shared" ref="L394:M394" si="255">K394</f>
        <v>1497.16</v>
      </c>
      <c r="M394" s="99">
        <f t="shared" si="255"/>
        <v>1497.16</v>
      </c>
      <c r="N394" s="99">
        <f>M478/2</f>
        <v>3997.165</v>
      </c>
      <c r="O394" s="99">
        <f>N394</f>
        <v>3997.165</v>
      </c>
      <c r="P394" s="99"/>
      <c r="Q394" s="99"/>
      <c r="R394" s="99"/>
      <c r="S394" s="99"/>
      <c r="T394" s="99"/>
      <c r="U394" s="99"/>
      <c r="V394" s="99"/>
      <c r="W394" s="99"/>
      <c r="X394" s="99"/>
      <c r="Y394" s="99"/>
      <c r="Z394" s="99"/>
      <c r="AA394" s="99"/>
      <c r="AB394" s="99"/>
      <c r="AC394" s="99"/>
      <c r="AD394" s="99"/>
      <c r="AE394" s="99"/>
      <c r="AF394" s="99"/>
      <c r="AG394" s="99"/>
      <c r="AH394" s="99"/>
      <c r="AI394" s="99"/>
      <c r="AJ394" s="99"/>
      <c r="AK394" s="99"/>
      <c r="AL394" s="99"/>
      <c r="AM394" s="99"/>
      <c r="AN394" s="99"/>
      <c r="AO394" s="99"/>
      <c r="AP394" s="99"/>
      <c r="AQ394" s="99"/>
      <c r="AR394" s="99"/>
      <c r="AS394" s="99"/>
      <c r="AT394" s="99"/>
      <c r="AU394" s="99"/>
      <c r="AV394" s="99"/>
      <c r="AW394" s="90"/>
      <c r="AX394" s="90"/>
      <c r="AY394" s="90"/>
      <c r="AZ394" s="90"/>
      <c r="BA394" s="90"/>
      <c r="BB394" s="90"/>
      <c r="BC394" s="90"/>
      <c r="BD394" s="90"/>
      <c r="BE394" s="90"/>
      <c r="BF394" s="90"/>
      <c r="BG394" s="90"/>
    </row>
    <row r="395" ht="12.75" customHeight="1">
      <c r="A395" s="316"/>
      <c r="B395" s="549">
        <f>Assumptions!H34</f>
        <v>0.01</v>
      </c>
      <c r="C395" s="87" t="s">
        <v>559</v>
      </c>
      <c r="D395" s="87"/>
      <c r="E395" s="87"/>
      <c r="F395" s="87"/>
      <c r="G395" s="125"/>
      <c r="H395" s="125"/>
      <c r="I395" s="125"/>
      <c r="J395" s="125">
        <v>0.0</v>
      </c>
      <c r="K395" s="125">
        <v>0.0</v>
      </c>
      <c r="L395" s="125">
        <v>41405.2236000003</v>
      </c>
      <c r="M395" s="125">
        <f t="shared" ref="M395:AV395" si="256">$B$395*(M390+M387+M384+M339+M330+M319)</f>
        <v>35186.53775</v>
      </c>
      <c r="N395" s="125">
        <f t="shared" si="256"/>
        <v>35787.89865</v>
      </c>
      <c r="O395" s="125">
        <f t="shared" si="256"/>
        <v>36359.97111</v>
      </c>
      <c r="P395" s="125">
        <f t="shared" si="256"/>
        <v>36994.13038</v>
      </c>
      <c r="Q395" s="125">
        <f t="shared" si="256"/>
        <v>37650.84964</v>
      </c>
      <c r="R395" s="125">
        <f t="shared" si="256"/>
        <v>38657.50402</v>
      </c>
      <c r="S395" s="125">
        <f t="shared" si="256"/>
        <v>39344.32463</v>
      </c>
      <c r="T395" s="125">
        <f t="shared" si="256"/>
        <v>40051.87508</v>
      </c>
      <c r="U395" s="125">
        <f t="shared" si="256"/>
        <v>40771.99786</v>
      </c>
      <c r="V395" s="125">
        <f t="shared" si="256"/>
        <v>41539.70312</v>
      </c>
      <c r="W395" s="125">
        <f t="shared" si="256"/>
        <v>42368.99396</v>
      </c>
      <c r="X395" s="125">
        <f t="shared" si="256"/>
        <v>43214.70312</v>
      </c>
      <c r="Y395" s="125">
        <f t="shared" si="256"/>
        <v>44077.32813</v>
      </c>
      <c r="Z395" s="125">
        <f t="shared" si="256"/>
        <v>44957.20731</v>
      </c>
      <c r="AA395" s="125">
        <f t="shared" si="256"/>
        <v>45854.68576</v>
      </c>
      <c r="AB395" s="125">
        <f t="shared" si="256"/>
        <v>46764.62452</v>
      </c>
      <c r="AC395" s="125">
        <f t="shared" si="256"/>
        <v>47697.41822</v>
      </c>
      <c r="AD395" s="125">
        <f t="shared" si="256"/>
        <v>48648.84375</v>
      </c>
      <c r="AE395" s="125">
        <f t="shared" si="256"/>
        <v>49619.2748</v>
      </c>
      <c r="AF395" s="125">
        <f t="shared" si="256"/>
        <v>51419.56066</v>
      </c>
      <c r="AG395" s="125">
        <f t="shared" si="256"/>
        <v>52427.43943</v>
      </c>
      <c r="AH395" s="125">
        <f t="shared" si="256"/>
        <v>53458.44996</v>
      </c>
      <c r="AI395" s="125">
        <f t="shared" si="256"/>
        <v>54510.08334</v>
      </c>
      <c r="AJ395" s="125">
        <f t="shared" si="256"/>
        <v>55565.96003</v>
      </c>
      <c r="AK395" s="125">
        <f t="shared" si="256"/>
        <v>56657.39322</v>
      </c>
      <c r="AL395" s="125">
        <f t="shared" si="256"/>
        <v>57771.10203</v>
      </c>
      <c r="AM395" s="125">
        <f t="shared" si="256"/>
        <v>58907.06524</v>
      </c>
      <c r="AN395" s="125">
        <f t="shared" si="256"/>
        <v>60065.72781</v>
      </c>
      <c r="AO395" s="125">
        <f t="shared" si="256"/>
        <v>61247.5435</v>
      </c>
      <c r="AP395" s="125">
        <f t="shared" si="256"/>
        <v>62454.39242</v>
      </c>
      <c r="AQ395" s="125">
        <f t="shared" si="256"/>
        <v>63685.62712</v>
      </c>
      <c r="AR395" s="125">
        <f t="shared" si="256"/>
        <v>64941.48646</v>
      </c>
      <c r="AS395" s="125">
        <f t="shared" si="256"/>
        <v>66222.46292</v>
      </c>
      <c r="AT395" s="125">
        <f t="shared" si="256"/>
        <v>67529.05886</v>
      </c>
      <c r="AU395" s="125">
        <f t="shared" si="256"/>
        <v>68861.78665</v>
      </c>
      <c r="AV395" s="125" t="str">
        <f t="shared" si="256"/>
        <v>#VALUE!</v>
      </c>
      <c r="AW395" s="87"/>
      <c r="AX395" s="90"/>
      <c r="AY395" s="90"/>
      <c r="AZ395" s="90"/>
      <c r="BA395" s="90"/>
      <c r="BB395" s="90"/>
      <c r="BC395" s="90"/>
      <c r="BD395" s="90"/>
      <c r="BE395" s="90"/>
      <c r="BF395" s="90"/>
      <c r="BG395" s="90"/>
    </row>
    <row r="396" ht="12.75" customHeight="1">
      <c r="A396" s="316"/>
      <c r="B396" s="67" t="s">
        <v>842</v>
      </c>
      <c r="C396" s="90"/>
      <c r="D396" s="90"/>
      <c r="E396" s="90"/>
      <c r="F396" s="90"/>
      <c r="G396" s="79"/>
      <c r="H396" s="79"/>
      <c r="I396" s="79">
        <f t="shared" ref="I396:AV396" si="257">SUM(I387:I395)</f>
        <v>0</v>
      </c>
      <c r="J396" s="79">
        <f t="shared" si="257"/>
        <v>0</v>
      </c>
      <c r="K396" s="79">
        <f t="shared" si="257"/>
        <v>31211.43</v>
      </c>
      <c r="L396" s="79">
        <f t="shared" si="257"/>
        <v>76599.758</v>
      </c>
      <c r="M396" s="79" t="str">
        <f t="shared" si="257"/>
        <v>#REF!</v>
      </c>
      <c r="N396" s="79" t="str">
        <f t="shared" si="257"/>
        <v>#REF!</v>
      </c>
      <c r="O396" s="79" t="str">
        <f t="shared" si="257"/>
        <v>#REF!</v>
      </c>
      <c r="P396" s="79" t="str">
        <f t="shared" si="257"/>
        <v>#REF!</v>
      </c>
      <c r="Q396" s="79" t="str">
        <f t="shared" si="257"/>
        <v>#REF!</v>
      </c>
      <c r="R396" s="79" t="str">
        <f t="shared" si="257"/>
        <v>#REF!</v>
      </c>
      <c r="S396" s="79" t="str">
        <f t="shared" si="257"/>
        <v>#REF!</v>
      </c>
      <c r="T396" s="79" t="str">
        <f t="shared" si="257"/>
        <v>#REF!</v>
      </c>
      <c r="U396" s="79" t="str">
        <f t="shared" si="257"/>
        <v>#REF!</v>
      </c>
      <c r="V396" s="79" t="str">
        <f t="shared" si="257"/>
        <v>#REF!</v>
      </c>
      <c r="W396" s="79" t="str">
        <f t="shared" si="257"/>
        <v>#REF!</v>
      </c>
      <c r="X396" s="79" t="str">
        <f t="shared" si="257"/>
        <v>#REF!</v>
      </c>
      <c r="Y396" s="79" t="str">
        <f t="shared" si="257"/>
        <v>#REF!</v>
      </c>
      <c r="Z396" s="79" t="str">
        <f t="shared" si="257"/>
        <v>#REF!</v>
      </c>
      <c r="AA396" s="79" t="str">
        <f t="shared" si="257"/>
        <v>#REF!</v>
      </c>
      <c r="AB396" s="79" t="str">
        <f t="shared" si="257"/>
        <v>#REF!</v>
      </c>
      <c r="AC396" s="79" t="str">
        <f t="shared" si="257"/>
        <v>#REF!</v>
      </c>
      <c r="AD396" s="79" t="str">
        <f t="shared" si="257"/>
        <v>#REF!</v>
      </c>
      <c r="AE396" s="79" t="str">
        <f t="shared" si="257"/>
        <v>#REF!</v>
      </c>
      <c r="AF396" s="79" t="str">
        <f t="shared" si="257"/>
        <v>#REF!</v>
      </c>
      <c r="AG396" s="79" t="str">
        <f t="shared" si="257"/>
        <v>#REF!</v>
      </c>
      <c r="AH396" s="79" t="str">
        <f t="shared" si="257"/>
        <v>#REF!</v>
      </c>
      <c r="AI396" s="79" t="str">
        <f t="shared" si="257"/>
        <v>#REF!</v>
      </c>
      <c r="AJ396" s="79" t="str">
        <f t="shared" si="257"/>
        <v>#REF!</v>
      </c>
      <c r="AK396" s="79" t="str">
        <f t="shared" si="257"/>
        <v>#REF!</v>
      </c>
      <c r="AL396" s="79" t="str">
        <f t="shared" si="257"/>
        <v>#REF!</v>
      </c>
      <c r="AM396" s="79" t="str">
        <f t="shared" si="257"/>
        <v>#REF!</v>
      </c>
      <c r="AN396" s="79" t="str">
        <f t="shared" si="257"/>
        <v>#REF!</v>
      </c>
      <c r="AO396" s="79" t="str">
        <f t="shared" si="257"/>
        <v>#REF!</v>
      </c>
      <c r="AP396" s="79" t="str">
        <f t="shared" si="257"/>
        <v>#REF!</v>
      </c>
      <c r="AQ396" s="79" t="str">
        <f t="shared" si="257"/>
        <v>#REF!</v>
      </c>
      <c r="AR396" s="79" t="str">
        <f t="shared" si="257"/>
        <v>#REF!</v>
      </c>
      <c r="AS396" s="79" t="str">
        <f t="shared" si="257"/>
        <v>#REF!</v>
      </c>
      <c r="AT396" s="79" t="str">
        <f t="shared" si="257"/>
        <v>#REF!</v>
      </c>
      <c r="AU396" s="79" t="str">
        <f t="shared" si="257"/>
        <v>#REF!</v>
      </c>
      <c r="AV396" s="79" t="str">
        <f t="shared" si="257"/>
        <v>#REF!</v>
      </c>
      <c r="AW396" s="90"/>
      <c r="AX396" s="90"/>
      <c r="AY396" s="90"/>
      <c r="AZ396" s="90"/>
      <c r="BA396" s="90"/>
      <c r="BB396" s="90"/>
      <c r="BC396" s="90"/>
      <c r="BD396" s="90"/>
      <c r="BE396" s="90"/>
      <c r="BF396" s="90"/>
      <c r="BG396" s="90"/>
    </row>
    <row r="397" ht="12.75" customHeight="1">
      <c r="A397" s="316"/>
      <c r="B397" s="90"/>
      <c r="C397" s="90"/>
      <c r="D397" s="90"/>
      <c r="E397" s="90"/>
      <c r="F397" s="90"/>
      <c r="G397" s="91"/>
      <c r="H397" s="91"/>
      <c r="I397" s="147"/>
      <c r="J397" s="147"/>
      <c r="K397" s="147"/>
      <c r="L397" s="147"/>
      <c r="M397" s="147"/>
      <c r="N397" s="147"/>
      <c r="O397" s="147"/>
      <c r="P397" s="147"/>
      <c r="Q397" s="147"/>
      <c r="R397" s="147"/>
      <c r="S397" s="147"/>
      <c r="T397" s="91"/>
      <c r="U397" s="91"/>
      <c r="V397" s="91"/>
      <c r="W397" s="91"/>
      <c r="X397" s="91"/>
      <c r="Y397" s="91"/>
      <c r="Z397" s="91"/>
      <c r="AA397" s="91"/>
      <c r="AB397" s="91"/>
      <c r="AC397" s="91"/>
      <c r="AD397" s="91"/>
      <c r="AE397" s="91"/>
      <c r="AF397" s="91"/>
      <c r="AG397" s="91"/>
      <c r="AH397" s="91"/>
      <c r="AI397" s="91"/>
      <c r="AJ397" s="91"/>
      <c r="AK397" s="91"/>
      <c r="AL397" s="91"/>
      <c r="AM397" s="91"/>
      <c r="AN397" s="91"/>
      <c r="AO397" s="91"/>
      <c r="AP397" s="91"/>
      <c r="AQ397" s="91"/>
      <c r="AR397" s="91"/>
      <c r="AS397" s="91"/>
      <c r="AT397" s="91"/>
      <c r="AU397" s="91"/>
      <c r="AV397" s="91"/>
      <c r="AW397" s="90"/>
      <c r="AX397" s="90"/>
      <c r="AY397" s="90"/>
      <c r="AZ397" s="90"/>
      <c r="BA397" s="90"/>
      <c r="BB397" s="90"/>
      <c r="BC397" s="90"/>
      <c r="BD397" s="90"/>
      <c r="BE397" s="90"/>
      <c r="BF397" s="90"/>
      <c r="BG397" s="90"/>
    </row>
    <row r="398" ht="12.75" customHeight="1">
      <c r="A398" s="108" t="s">
        <v>843</v>
      </c>
      <c r="B398" s="143"/>
      <c r="C398" s="143"/>
      <c r="D398" s="143"/>
      <c r="E398" s="143"/>
      <c r="F398" s="143"/>
      <c r="G398" s="293"/>
      <c r="H398" s="293"/>
      <c r="I398" s="293">
        <f t="shared" ref="I398:AV398" si="258">I396+I384+I339+I330+I319</f>
        <v>0</v>
      </c>
      <c r="J398" s="293">
        <f t="shared" si="258"/>
        <v>426916.83</v>
      </c>
      <c r="K398" s="293">
        <f t="shared" si="258"/>
        <v>3339800.81</v>
      </c>
      <c r="L398" s="293">
        <f t="shared" si="258"/>
        <v>3378730.52</v>
      </c>
      <c r="M398" s="293" t="str">
        <f t="shared" si="258"/>
        <v>#REF!</v>
      </c>
      <c r="N398" s="293" t="str">
        <f t="shared" si="258"/>
        <v>#REF!</v>
      </c>
      <c r="O398" s="293" t="str">
        <f t="shared" si="258"/>
        <v>#REF!</v>
      </c>
      <c r="P398" s="293" t="str">
        <f t="shared" si="258"/>
        <v>#REF!</v>
      </c>
      <c r="Q398" s="293" t="str">
        <f t="shared" si="258"/>
        <v>#REF!</v>
      </c>
      <c r="R398" s="293" t="str">
        <f t="shared" si="258"/>
        <v>#REF!</v>
      </c>
      <c r="S398" s="293" t="str">
        <f t="shared" si="258"/>
        <v>#REF!</v>
      </c>
      <c r="T398" s="293" t="str">
        <f t="shared" si="258"/>
        <v>#REF!</v>
      </c>
      <c r="U398" s="293" t="str">
        <f t="shared" si="258"/>
        <v>#REF!</v>
      </c>
      <c r="V398" s="293" t="str">
        <f t="shared" si="258"/>
        <v>#REF!</v>
      </c>
      <c r="W398" s="293" t="str">
        <f t="shared" si="258"/>
        <v>#REF!</v>
      </c>
      <c r="X398" s="293" t="str">
        <f t="shared" si="258"/>
        <v>#REF!</v>
      </c>
      <c r="Y398" s="293" t="str">
        <f t="shared" si="258"/>
        <v>#REF!</v>
      </c>
      <c r="Z398" s="293" t="str">
        <f t="shared" si="258"/>
        <v>#REF!</v>
      </c>
      <c r="AA398" s="293" t="str">
        <f t="shared" si="258"/>
        <v>#REF!</v>
      </c>
      <c r="AB398" s="293" t="str">
        <f t="shared" si="258"/>
        <v>#REF!</v>
      </c>
      <c r="AC398" s="293" t="str">
        <f t="shared" si="258"/>
        <v>#REF!</v>
      </c>
      <c r="AD398" s="293" t="str">
        <f t="shared" si="258"/>
        <v>#REF!</v>
      </c>
      <c r="AE398" s="293" t="str">
        <f t="shared" si="258"/>
        <v>#REF!</v>
      </c>
      <c r="AF398" s="293" t="str">
        <f t="shared" si="258"/>
        <v>#REF!</v>
      </c>
      <c r="AG398" s="293" t="str">
        <f t="shared" si="258"/>
        <v>#REF!</v>
      </c>
      <c r="AH398" s="293" t="str">
        <f t="shared" si="258"/>
        <v>#REF!</v>
      </c>
      <c r="AI398" s="293" t="str">
        <f t="shared" si="258"/>
        <v>#REF!</v>
      </c>
      <c r="AJ398" s="293" t="str">
        <f t="shared" si="258"/>
        <v>#REF!</v>
      </c>
      <c r="AK398" s="293" t="str">
        <f t="shared" si="258"/>
        <v>#REF!</v>
      </c>
      <c r="AL398" s="293" t="str">
        <f t="shared" si="258"/>
        <v>#REF!</v>
      </c>
      <c r="AM398" s="293" t="str">
        <f t="shared" si="258"/>
        <v>#REF!</v>
      </c>
      <c r="AN398" s="293" t="str">
        <f t="shared" si="258"/>
        <v>#REF!</v>
      </c>
      <c r="AO398" s="293" t="str">
        <f t="shared" si="258"/>
        <v>#REF!</v>
      </c>
      <c r="AP398" s="293" t="str">
        <f t="shared" si="258"/>
        <v>#REF!</v>
      </c>
      <c r="AQ398" s="293" t="str">
        <f t="shared" si="258"/>
        <v>#REF!</v>
      </c>
      <c r="AR398" s="293" t="str">
        <f t="shared" si="258"/>
        <v>#REF!</v>
      </c>
      <c r="AS398" s="293" t="str">
        <f t="shared" si="258"/>
        <v>#REF!</v>
      </c>
      <c r="AT398" s="293" t="str">
        <f t="shared" si="258"/>
        <v>#REF!</v>
      </c>
      <c r="AU398" s="293" t="str">
        <f t="shared" si="258"/>
        <v>#REF!</v>
      </c>
      <c r="AV398" s="293" t="str">
        <f t="shared" si="258"/>
        <v>#REF!</v>
      </c>
      <c r="AW398" s="293"/>
      <c r="AX398" s="90"/>
      <c r="AY398" s="90"/>
      <c r="AZ398" s="90"/>
      <c r="BA398" s="90"/>
      <c r="BB398" s="90"/>
      <c r="BC398" s="90"/>
      <c r="BD398" s="90"/>
      <c r="BE398" s="90"/>
      <c r="BF398" s="90"/>
      <c r="BG398" s="90"/>
    </row>
    <row r="399" ht="12.75" customHeight="1">
      <c r="A399" s="515"/>
      <c r="B399" s="90"/>
      <c r="C399" s="90"/>
      <c r="D399" s="90"/>
      <c r="E399" s="90"/>
      <c r="F399" s="90"/>
      <c r="G399" s="79"/>
      <c r="H399" s="79"/>
      <c r="I399" s="79"/>
      <c r="J399" s="79"/>
      <c r="K399" s="79"/>
      <c r="L399" s="79"/>
      <c r="M399" s="79"/>
      <c r="N399" s="79"/>
      <c r="O399" s="79"/>
      <c r="P399" s="79"/>
      <c r="Q399" s="79"/>
      <c r="R399" s="79"/>
      <c r="S399" s="79"/>
      <c r="T399" s="79"/>
      <c r="U399" s="79"/>
      <c r="V399" s="79"/>
      <c r="W399" s="79"/>
      <c r="X399" s="79"/>
      <c r="Y399" s="79"/>
      <c r="Z399" s="79"/>
      <c r="AA399" s="79"/>
      <c r="AB399" s="79"/>
      <c r="AC399" s="79"/>
      <c r="AD399" s="79"/>
      <c r="AE399" s="79"/>
      <c r="AF399" s="79"/>
      <c r="AG399" s="79"/>
      <c r="AH399" s="79"/>
      <c r="AI399" s="79"/>
      <c r="AJ399" s="79"/>
      <c r="AK399" s="79"/>
      <c r="AL399" s="79"/>
      <c r="AM399" s="79"/>
      <c r="AN399" s="79"/>
      <c r="AO399" s="79"/>
      <c r="AP399" s="79"/>
      <c r="AQ399" s="79"/>
      <c r="AR399" s="79"/>
      <c r="AS399" s="79"/>
      <c r="AT399" s="79"/>
      <c r="AU399" s="79"/>
      <c r="AV399" s="79"/>
      <c r="AW399" s="79"/>
      <c r="AX399" s="90"/>
      <c r="AY399" s="90"/>
      <c r="AZ399" s="90"/>
      <c r="BA399" s="90"/>
      <c r="BB399" s="90"/>
      <c r="BC399" s="90"/>
      <c r="BD399" s="90"/>
      <c r="BE399" s="90"/>
      <c r="BF399" s="90"/>
      <c r="BG399" s="90"/>
    </row>
    <row r="400" ht="12.75" customHeight="1">
      <c r="A400" s="550" t="s">
        <v>844</v>
      </c>
      <c r="B400" s="298"/>
      <c r="C400" s="298"/>
      <c r="D400" s="298"/>
      <c r="E400" s="298"/>
      <c r="F400" s="298"/>
      <c r="G400" s="128"/>
      <c r="H400" s="128"/>
      <c r="I400" s="128">
        <f t="shared" ref="I400:AV400" si="259">I296-I398</f>
        <v>0</v>
      </c>
      <c r="J400" s="128">
        <f t="shared" si="259"/>
        <v>-114416.83</v>
      </c>
      <c r="K400" s="128">
        <f t="shared" si="259"/>
        <v>588380.04</v>
      </c>
      <c r="L400" s="128">
        <f t="shared" si="259"/>
        <v>-0.0000000004656612873</v>
      </c>
      <c r="M400" s="128" t="str">
        <f t="shared" si="259"/>
        <v>#REF!</v>
      </c>
      <c r="N400" s="128" t="str">
        <f t="shared" si="259"/>
        <v>#REF!</v>
      </c>
      <c r="O400" s="128" t="str">
        <f t="shared" si="259"/>
        <v>#REF!</v>
      </c>
      <c r="P400" s="128" t="str">
        <f t="shared" si="259"/>
        <v>#REF!</v>
      </c>
      <c r="Q400" s="128" t="str">
        <f t="shared" si="259"/>
        <v>#REF!</v>
      </c>
      <c r="R400" s="128" t="str">
        <f t="shared" si="259"/>
        <v>#REF!</v>
      </c>
      <c r="S400" s="128" t="str">
        <f t="shared" si="259"/>
        <v>#REF!</v>
      </c>
      <c r="T400" s="128" t="str">
        <f t="shared" si="259"/>
        <v>#REF!</v>
      </c>
      <c r="U400" s="128" t="str">
        <f t="shared" si="259"/>
        <v>#REF!</v>
      </c>
      <c r="V400" s="128" t="str">
        <f t="shared" si="259"/>
        <v>#REF!</v>
      </c>
      <c r="W400" s="128" t="str">
        <f t="shared" si="259"/>
        <v>#REF!</v>
      </c>
      <c r="X400" s="128" t="str">
        <f t="shared" si="259"/>
        <v>#REF!</v>
      </c>
      <c r="Y400" s="128" t="str">
        <f t="shared" si="259"/>
        <v>#REF!</v>
      </c>
      <c r="Z400" s="128" t="str">
        <f t="shared" si="259"/>
        <v>#REF!</v>
      </c>
      <c r="AA400" s="128" t="str">
        <f t="shared" si="259"/>
        <v>#REF!</v>
      </c>
      <c r="AB400" s="128" t="str">
        <f t="shared" si="259"/>
        <v>#REF!</v>
      </c>
      <c r="AC400" s="128" t="str">
        <f t="shared" si="259"/>
        <v>#REF!</v>
      </c>
      <c r="AD400" s="128" t="str">
        <f t="shared" si="259"/>
        <v>#REF!</v>
      </c>
      <c r="AE400" s="128" t="str">
        <f t="shared" si="259"/>
        <v>#REF!</v>
      </c>
      <c r="AF400" s="128" t="str">
        <f t="shared" si="259"/>
        <v>#REF!</v>
      </c>
      <c r="AG400" s="128" t="str">
        <f t="shared" si="259"/>
        <v>#REF!</v>
      </c>
      <c r="AH400" s="128" t="str">
        <f t="shared" si="259"/>
        <v>#REF!</v>
      </c>
      <c r="AI400" s="128" t="str">
        <f t="shared" si="259"/>
        <v>#REF!</v>
      </c>
      <c r="AJ400" s="128" t="str">
        <f t="shared" si="259"/>
        <v>#REF!</v>
      </c>
      <c r="AK400" s="128" t="str">
        <f t="shared" si="259"/>
        <v>#REF!</v>
      </c>
      <c r="AL400" s="128" t="str">
        <f t="shared" si="259"/>
        <v>#REF!</v>
      </c>
      <c r="AM400" s="128" t="str">
        <f t="shared" si="259"/>
        <v>#REF!</v>
      </c>
      <c r="AN400" s="128" t="str">
        <f t="shared" si="259"/>
        <v>#REF!</v>
      </c>
      <c r="AO400" s="128" t="str">
        <f t="shared" si="259"/>
        <v>#REF!</v>
      </c>
      <c r="AP400" s="128" t="str">
        <f t="shared" si="259"/>
        <v>#REF!</v>
      </c>
      <c r="AQ400" s="128" t="str">
        <f t="shared" si="259"/>
        <v>#REF!</v>
      </c>
      <c r="AR400" s="128" t="str">
        <f t="shared" si="259"/>
        <v>#REF!</v>
      </c>
      <c r="AS400" s="128" t="str">
        <f t="shared" si="259"/>
        <v>#REF!</v>
      </c>
      <c r="AT400" s="128" t="str">
        <f t="shared" si="259"/>
        <v>#REF!</v>
      </c>
      <c r="AU400" s="128" t="str">
        <f t="shared" si="259"/>
        <v>#REF!</v>
      </c>
      <c r="AV400" s="128" t="str">
        <f t="shared" si="259"/>
        <v>#REF!</v>
      </c>
      <c r="AW400" s="128"/>
      <c r="AX400" s="90"/>
      <c r="AY400" s="90"/>
      <c r="AZ400" s="90"/>
      <c r="BA400" s="90"/>
      <c r="BB400" s="90"/>
      <c r="BC400" s="90"/>
      <c r="BD400" s="90"/>
      <c r="BE400" s="90"/>
      <c r="BF400" s="90"/>
      <c r="BG400" s="90"/>
    </row>
    <row r="401" ht="12.75" customHeight="1">
      <c r="A401" s="515"/>
      <c r="B401" s="90"/>
      <c r="C401" s="90"/>
      <c r="D401" s="90"/>
      <c r="E401" s="90"/>
      <c r="F401" s="90"/>
      <c r="G401" s="179"/>
      <c r="H401" s="179"/>
      <c r="I401" s="114"/>
      <c r="J401" s="114"/>
      <c r="K401" s="187"/>
      <c r="L401" s="114"/>
      <c r="M401" s="114"/>
      <c r="N401" s="114"/>
      <c r="O401" s="114"/>
      <c r="P401" s="114"/>
      <c r="Q401" s="114"/>
      <c r="R401" s="114"/>
      <c r="S401" s="114"/>
      <c r="T401" s="91"/>
      <c r="U401" s="91"/>
      <c r="V401" s="91"/>
      <c r="W401" s="91"/>
      <c r="X401" s="91"/>
      <c r="Y401" s="91"/>
      <c r="Z401" s="91"/>
      <c r="AA401" s="91"/>
      <c r="AB401" s="91"/>
      <c r="AC401" s="91"/>
      <c r="AD401" s="91"/>
      <c r="AE401" s="91"/>
      <c r="AF401" s="91"/>
      <c r="AG401" s="91"/>
      <c r="AH401" s="91"/>
      <c r="AI401" s="91"/>
      <c r="AJ401" s="91"/>
      <c r="AK401" s="91"/>
      <c r="AL401" s="91"/>
      <c r="AM401" s="91"/>
      <c r="AN401" s="91"/>
      <c r="AO401" s="91"/>
      <c r="AP401" s="91"/>
      <c r="AQ401" s="91"/>
      <c r="AR401" s="91"/>
      <c r="AS401" s="91"/>
      <c r="AT401" s="91"/>
      <c r="AU401" s="91"/>
      <c r="AV401" s="91"/>
      <c r="AW401" s="90"/>
      <c r="AX401" s="90"/>
      <c r="AY401" s="90"/>
      <c r="AZ401" s="90"/>
      <c r="BA401" s="90"/>
      <c r="BB401" s="90"/>
      <c r="BC401" s="90"/>
      <c r="BD401" s="90"/>
      <c r="BE401" s="90"/>
      <c r="BF401" s="90"/>
      <c r="BG401" s="90"/>
    </row>
    <row r="402" ht="12.75" customHeight="1">
      <c r="A402" s="105" t="s">
        <v>845</v>
      </c>
      <c r="B402" s="253"/>
      <c r="C402" s="253"/>
      <c r="D402" s="253"/>
      <c r="E402" s="253"/>
      <c r="F402" s="253"/>
      <c r="G402" s="253"/>
      <c r="H402" s="253"/>
      <c r="I402" s="253"/>
      <c r="J402" s="253"/>
      <c r="K402" s="253"/>
      <c r="L402" s="253"/>
      <c r="M402" s="253"/>
      <c r="N402" s="253"/>
      <c r="O402" s="253"/>
      <c r="P402" s="253"/>
      <c r="Q402" s="253"/>
      <c r="R402" s="253"/>
      <c r="S402" s="253"/>
      <c r="T402" s="253"/>
      <c r="U402" s="253"/>
      <c r="V402" s="253"/>
      <c r="W402" s="253"/>
      <c r="X402" s="253"/>
      <c r="Y402" s="253"/>
      <c r="Z402" s="253"/>
      <c r="AA402" s="253"/>
      <c r="AB402" s="253"/>
      <c r="AC402" s="253"/>
      <c r="AD402" s="253"/>
      <c r="AE402" s="253"/>
      <c r="AF402" s="253"/>
      <c r="AG402" s="253"/>
      <c r="AH402" s="253"/>
      <c r="AI402" s="253"/>
      <c r="AJ402" s="253"/>
      <c r="AK402" s="253"/>
      <c r="AL402" s="253"/>
      <c r="AM402" s="253"/>
      <c r="AN402" s="253"/>
      <c r="AO402" s="253"/>
      <c r="AP402" s="253"/>
      <c r="AQ402" s="253"/>
      <c r="AR402" s="253"/>
      <c r="AS402" s="253"/>
      <c r="AT402" s="253"/>
      <c r="AU402" s="253"/>
      <c r="AV402" s="253"/>
      <c r="AW402" s="253"/>
      <c r="AX402" s="90"/>
      <c r="AY402" s="90"/>
      <c r="AZ402" s="90"/>
      <c r="BA402" s="90"/>
      <c r="BB402" s="90"/>
      <c r="BC402" s="90"/>
      <c r="BD402" s="90"/>
      <c r="BE402" s="90"/>
      <c r="BF402" s="90"/>
      <c r="BG402" s="90"/>
    </row>
    <row r="403" ht="12.75" hidden="1" customHeight="1" outlineLevel="1">
      <c r="A403" s="551"/>
      <c r="B403" s="201" t="s">
        <v>464</v>
      </c>
      <c r="C403" s="201"/>
      <c r="D403" s="201"/>
      <c r="E403" s="201"/>
      <c r="F403" s="201"/>
      <c r="G403" s="179"/>
      <c r="H403" s="179"/>
      <c r="I403" s="114"/>
      <c r="J403" s="114"/>
      <c r="K403" s="114"/>
      <c r="L403" s="114"/>
      <c r="M403" s="114"/>
      <c r="N403" s="114"/>
      <c r="O403" s="114"/>
      <c r="P403" s="114"/>
      <c r="Q403" s="114"/>
      <c r="R403" s="114"/>
      <c r="S403" s="114"/>
      <c r="T403" s="91"/>
      <c r="U403" s="91"/>
      <c r="V403" s="91"/>
      <c r="W403" s="91"/>
      <c r="X403" s="91"/>
      <c r="Y403" s="91"/>
      <c r="Z403" s="91"/>
      <c r="AA403" s="91"/>
      <c r="AB403" s="91"/>
      <c r="AC403" s="91"/>
      <c r="AD403" s="91"/>
      <c r="AE403" s="91"/>
      <c r="AF403" s="91"/>
      <c r="AG403" s="91"/>
      <c r="AH403" s="91"/>
      <c r="AI403" s="91"/>
      <c r="AJ403" s="91"/>
      <c r="AK403" s="91"/>
      <c r="AL403" s="91"/>
      <c r="AM403" s="91"/>
      <c r="AN403" s="91"/>
      <c r="AO403" s="91"/>
      <c r="AP403" s="91"/>
      <c r="AQ403" s="91"/>
      <c r="AR403" s="91"/>
      <c r="AS403" s="91"/>
      <c r="AT403" s="91"/>
      <c r="AU403" s="91"/>
      <c r="AV403" s="91"/>
      <c r="AW403" s="90"/>
      <c r="AX403" s="90"/>
      <c r="AY403" s="90"/>
      <c r="AZ403" s="90"/>
      <c r="BA403" s="90"/>
      <c r="BB403" s="90"/>
      <c r="BC403" s="90"/>
      <c r="BD403" s="90"/>
      <c r="BE403" s="90"/>
      <c r="BF403" s="90"/>
      <c r="BG403" s="90"/>
    </row>
    <row r="404" ht="12.75" hidden="1" customHeight="1" outlineLevel="1">
      <c r="A404" s="316"/>
      <c r="B404" s="90"/>
      <c r="C404" s="90" t="s">
        <v>194</v>
      </c>
      <c r="D404" s="90"/>
      <c r="E404" s="90"/>
      <c r="F404" s="90"/>
      <c r="G404" s="179"/>
      <c r="H404" s="179"/>
      <c r="I404" s="147">
        <f t="shared" ref="I404:AV404" si="260">I400</f>
        <v>0</v>
      </c>
      <c r="J404" s="147">
        <f t="shared" si="260"/>
        <v>-114416.83</v>
      </c>
      <c r="K404" s="147">
        <f t="shared" si="260"/>
        <v>588380.04</v>
      </c>
      <c r="L404" s="147">
        <f t="shared" si="260"/>
        <v>-0.0000000004656612873</v>
      </c>
      <c r="M404" s="147" t="str">
        <f t="shared" si="260"/>
        <v>#REF!</v>
      </c>
      <c r="N404" s="147" t="str">
        <f t="shared" si="260"/>
        <v>#REF!</v>
      </c>
      <c r="O404" s="147" t="str">
        <f t="shared" si="260"/>
        <v>#REF!</v>
      </c>
      <c r="P404" s="147" t="str">
        <f t="shared" si="260"/>
        <v>#REF!</v>
      </c>
      <c r="Q404" s="147" t="str">
        <f t="shared" si="260"/>
        <v>#REF!</v>
      </c>
      <c r="R404" s="147" t="str">
        <f t="shared" si="260"/>
        <v>#REF!</v>
      </c>
      <c r="S404" s="147" t="str">
        <f t="shared" si="260"/>
        <v>#REF!</v>
      </c>
      <c r="T404" s="147" t="str">
        <f t="shared" si="260"/>
        <v>#REF!</v>
      </c>
      <c r="U404" s="147" t="str">
        <f t="shared" si="260"/>
        <v>#REF!</v>
      </c>
      <c r="V404" s="147" t="str">
        <f t="shared" si="260"/>
        <v>#REF!</v>
      </c>
      <c r="W404" s="147" t="str">
        <f t="shared" si="260"/>
        <v>#REF!</v>
      </c>
      <c r="X404" s="147" t="str">
        <f t="shared" si="260"/>
        <v>#REF!</v>
      </c>
      <c r="Y404" s="147" t="str">
        <f t="shared" si="260"/>
        <v>#REF!</v>
      </c>
      <c r="Z404" s="147" t="str">
        <f t="shared" si="260"/>
        <v>#REF!</v>
      </c>
      <c r="AA404" s="147" t="str">
        <f t="shared" si="260"/>
        <v>#REF!</v>
      </c>
      <c r="AB404" s="147" t="str">
        <f t="shared" si="260"/>
        <v>#REF!</v>
      </c>
      <c r="AC404" s="147" t="str">
        <f t="shared" si="260"/>
        <v>#REF!</v>
      </c>
      <c r="AD404" s="147" t="str">
        <f t="shared" si="260"/>
        <v>#REF!</v>
      </c>
      <c r="AE404" s="147" t="str">
        <f t="shared" si="260"/>
        <v>#REF!</v>
      </c>
      <c r="AF404" s="147" t="str">
        <f t="shared" si="260"/>
        <v>#REF!</v>
      </c>
      <c r="AG404" s="147" t="str">
        <f t="shared" si="260"/>
        <v>#REF!</v>
      </c>
      <c r="AH404" s="147" t="str">
        <f t="shared" si="260"/>
        <v>#REF!</v>
      </c>
      <c r="AI404" s="147" t="str">
        <f t="shared" si="260"/>
        <v>#REF!</v>
      </c>
      <c r="AJ404" s="147" t="str">
        <f t="shared" si="260"/>
        <v>#REF!</v>
      </c>
      <c r="AK404" s="147" t="str">
        <f t="shared" si="260"/>
        <v>#REF!</v>
      </c>
      <c r="AL404" s="147" t="str">
        <f t="shared" si="260"/>
        <v>#REF!</v>
      </c>
      <c r="AM404" s="147" t="str">
        <f t="shared" si="260"/>
        <v>#REF!</v>
      </c>
      <c r="AN404" s="147" t="str">
        <f t="shared" si="260"/>
        <v>#REF!</v>
      </c>
      <c r="AO404" s="147" t="str">
        <f t="shared" si="260"/>
        <v>#REF!</v>
      </c>
      <c r="AP404" s="147" t="str">
        <f t="shared" si="260"/>
        <v>#REF!</v>
      </c>
      <c r="AQ404" s="147" t="str">
        <f t="shared" si="260"/>
        <v>#REF!</v>
      </c>
      <c r="AR404" s="147" t="str">
        <f t="shared" si="260"/>
        <v>#REF!</v>
      </c>
      <c r="AS404" s="147" t="str">
        <f t="shared" si="260"/>
        <v>#REF!</v>
      </c>
      <c r="AT404" s="147" t="str">
        <f t="shared" si="260"/>
        <v>#REF!</v>
      </c>
      <c r="AU404" s="147" t="str">
        <f t="shared" si="260"/>
        <v>#REF!</v>
      </c>
      <c r="AV404" s="147" t="str">
        <f t="shared" si="260"/>
        <v>#REF!</v>
      </c>
      <c r="AW404" s="90"/>
      <c r="AX404" s="90"/>
      <c r="AY404" s="90"/>
      <c r="AZ404" s="90"/>
      <c r="BA404" s="90"/>
      <c r="BB404" s="90"/>
      <c r="BC404" s="90"/>
      <c r="BD404" s="90"/>
      <c r="BE404" s="90"/>
      <c r="BF404" s="90"/>
      <c r="BG404" s="90"/>
    </row>
    <row r="405" ht="12.75" hidden="1" customHeight="1" outlineLevel="1">
      <c r="A405" s="316"/>
      <c r="B405" s="90"/>
      <c r="C405" s="90" t="s">
        <v>465</v>
      </c>
      <c r="D405" s="90"/>
      <c r="E405" s="90"/>
      <c r="F405" s="90"/>
      <c r="G405" s="179"/>
      <c r="H405" s="179"/>
      <c r="I405" s="147" t="str">
        <f t="shared" ref="I405:J405" si="261">I361</f>
        <v/>
      </c>
      <c r="J405" s="147">
        <f t="shared" si="261"/>
        <v>0</v>
      </c>
      <c r="K405" s="147">
        <f t="shared" ref="K405:AV405" si="262">K394</f>
        <v>1497.16</v>
      </c>
      <c r="L405" s="147">
        <f t="shared" si="262"/>
        <v>1497.16</v>
      </c>
      <c r="M405" s="147">
        <f t="shared" si="262"/>
        <v>1497.16</v>
      </c>
      <c r="N405" s="147">
        <f t="shared" si="262"/>
        <v>3997.165</v>
      </c>
      <c r="O405" s="147">
        <f t="shared" si="262"/>
        <v>3997.165</v>
      </c>
      <c r="P405" s="147" t="str">
        <f t="shared" si="262"/>
        <v/>
      </c>
      <c r="Q405" s="147" t="str">
        <f t="shared" si="262"/>
        <v/>
      </c>
      <c r="R405" s="147" t="str">
        <f t="shared" si="262"/>
        <v/>
      </c>
      <c r="S405" s="147" t="str">
        <f t="shared" si="262"/>
        <v/>
      </c>
      <c r="T405" s="147" t="str">
        <f t="shared" si="262"/>
        <v/>
      </c>
      <c r="U405" s="147" t="str">
        <f t="shared" si="262"/>
        <v/>
      </c>
      <c r="V405" s="147" t="str">
        <f t="shared" si="262"/>
        <v/>
      </c>
      <c r="W405" s="147" t="str">
        <f t="shared" si="262"/>
        <v/>
      </c>
      <c r="X405" s="147" t="str">
        <f t="shared" si="262"/>
        <v/>
      </c>
      <c r="Y405" s="147" t="str">
        <f t="shared" si="262"/>
        <v/>
      </c>
      <c r="Z405" s="147" t="str">
        <f t="shared" si="262"/>
        <v/>
      </c>
      <c r="AA405" s="147" t="str">
        <f t="shared" si="262"/>
        <v/>
      </c>
      <c r="AB405" s="147" t="str">
        <f t="shared" si="262"/>
        <v/>
      </c>
      <c r="AC405" s="147" t="str">
        <f t="shared" si="262"/>
        <v/>
      </c>
      <c r="AD405" s="147" t="str">
        <f t="shared" si="262"/>
        <v/>
      </c>
      <c r="AE405" s="147" t="str">
        <f t="shared" si="262"/>
        <v/>
      </c>
      <c r="AF405" s="147" t="str">
        <f t="shared" si="262"/>
        <v/>
      </c>
      <c r="AG405" s="147" t="str">
        <f t="shared" si="262"/>
        <v/>
      </c>
      <c r="AH405" s="147" t="str">
        <f t="shared" si="262"/>
        <v/>
      </c>
      <c r="AI405" s="147" t="str">
        <f t="shared" si="262"/>
        <v/>
      </c>
      <c r="AJ405" s="147" t="str">
        <f t="shared" si="262"/>
        <v/>
      </c>
      <c r="AK405" s="147" t="str">
        <f t="shared" si="262"/>
        <v/>
      </c>
      <c r="AL405" s="147" t="str">
        <f t="shared" si="262"/>
        <v/>
      </c>
      <c r="AM405" s="147" t="str">
        <f t="shared" si="262"/>
        <v/>
      </c>
      <c r="AN405" s="147" t="str">
        <f t="shared" si="262"/>
        <v/>
      </c>
      <c r="AO405" s="147" t="str">
        <f t="shared" si="262"/>
        <v/>
      </c>
      <c r="AP405" s="147" t="str">
        <f t="shared" si="262"/>
        <v/>
      </c>
      <c r="AQ405" s="147" t="str">
        <f t="shared" si="262"/>
        <v/>
      </c>
      <c r="AR405" s="147" t="str">
        <f t="shared" si="262"/>
        <v/>
      </c>
      <c r="AS405" s="147" t="str">
        <f t="shared" si="262"/>
        <v/>
      </c>
      <c r="AT405" s="147" t="str">
        <f t="shared" si="262"/>
        <v/>
      </c>
      <c r="AU405" s="147" t="str">
        <f t="shared" si="262"/>
        <v/>
      </c>
      <c r="AV405" s="147" t="str">
        <f t="shared" si="262"/>
        <v/>
      </c>
      <c r="AW405" s="90"/>
      <c r="AX405" s="90"/>
      <c r="AY405" s="90"/>
      <c r="AZ405" s="90"/>
      <c r="BA405" s="90"/>
      <c r="BB405" s="90"/>
      <c r="BC405" s="90"/>
      <c r="BD405" s="90"/>
      <c r="BE405" s="90"/>
      <c r="BF405" s="90"/>
      <c r="BG405" s="90"/>
    </row>
    <row r="406" ht="12.75" hidden="1" customHeight="1" outlineLevel="1">
      <c r="A406" s="316"/>
      <c r="B406" s="90"/>
      <c r="C406" s="90" t="s">
        <v>466</v>
      </c>
      <c r="D406" s="90"/>
      <c r="E406" s="90"/>
      <c r="F406" s="90"/>
      <c r="G406" s="179"/>
      <c r="H406" s="179"/>
      <c r="I406" s="147">
        <v>0.0</v>
      </c>
      <c r="J406" s="147">
        <v>0.0</v>
      </c>
      <c r="K406" s="147">
        <v>0.0</v>
      </c>
      <c r="L406" s="147">
        <v>0.0</v>
      </c>
      <c r="M406" s="147">
        <v>0.0</v>
      </c>
      <c r="N406" s="147">
        <v>0.0</v>
      </c>
      <c r="O406" s="147">
        <v>0.0</v>
      </c>
      <c r="P406" s="147">
        <v>0.0</v>
      </c>
      <c r="Q406" s="147">
        <v>0.0</v>
      </c>
      <c r="R406" s="147">
        <v>0.0</v>
      </c>
      <c r="S406" s="147">
        <v>0.0</v>
      </c>
      <c r="T406" s="147">
        <v>0.0</v>
      </c>
      <c r="U406" s="147">
        <v>0.0</v>
      </c>
      <c r="V406" s="147">
        <v>0.0</v>
      </c>
      <c r="W406" s="147">
        <v>0.0</v>
      </c>
      <c r="X406" s="147">
        <v>0.0</v>
      </c>
      <c r="Y406" s="147">
        <v>0.0</v>
      </c>
      <c r="Z406" s="147">
        <v>0.0</v>
      </c>
      <c r="AA406" s="147">
        <v>0.0</v>
      </c>
      <c r="AB406" s="147">
        <v>0.0</v>
      </c>
      <c r="AC406" s="147">
        <v>0.0</v>
      </c>
      <c r="AD406" s="147">
        <v>0.0</v>
      </c>
      <c r="AE406" s="147">
        <v>0.0</v>
      </c>
      <c r="AF406" s="147">
        <v>0.0</v>
      </c>
      <c r="AG406" s="147">
        <v>0.0</v>
      </c>
      <c r="AH406" s="147">
        <v>0.0</v>
      </c>
      <c r="AI406" s="147">
        <v>0.0</v>
      </c>
      <c r="AJ406" s="147">
        <v>0.0</v>
      </c>
      <c r="AK406" s="147">
        <v>0.0</v>
      </c>
      <c r="AL406" s="147">
        <v>0.0</v>
      </c>
      <c r="AM406" s="147">
        <v>0.0</v>
      </c>
      <c r="AN406" s="147">
        <v>0.0</v>
      </c>
      <c r="AO406" s="147">
        <v>0.0</v>
      </c>
      <c r="AP406" s="147">
        <v>0.0</v>
      </c>
      <c r="AQ406" s="147">
        <v>0.0</v>
      </c>
      <c r="AR406" s="147">
        <v>0.0</v>
      </c>
      <c r="AS406" s="147">
        <v>0.0</v>
      </c>
      <c r="AT406" s="147">
        <v>0.0</v>
      </c>
      <c r="AU406" s="147">
        <v>0.0</v>
      </c>
      <c r="AV406" s="147">
        <v>0.0</v>
      </c>
      <c r="AW406" s="90"/>
      <c r="AX406" s="90"/>
      <c r="AY406" s="90"/>
      <c r="AZ406" s="90"/>
      <c r="BA406" s="90"/>
      <c r="BB406" s="90"/>
      <c r="BC406" s="90"/>
      <c r="BD406" s="90"/>
      <c r="BE406" s="90"/>
      <c r="BF406" s="90"/>
      <c r="BG406" s="90"/>
    </row>
    <row r="407" ht="12.75" hidden="1" customHeight="1" outlineLevel="1">
      <c r="A407" s="316"/>
      <c r="B407" s="90"/>
      <c r="C407" s="90" t="s">
        <v>467</v>
      </c>
      <c r="D407" s="90"/>
      <c r="E407" s="90"/>
      <c r="F407" s="90"/>
      <c r="G407" s="179"/>
      <c r="H407" s="179"/>
      <c r="I407" s="99">
        <v>0.0</v>
      </c>
      <c r="J407" s="99">
        <f>J483-J477</f>
        <v>-33544.91</v>
      </c>
      <c r="K407" s="99">
        <f t="shared" ref="K407:AU407" si="263">-1*(K$477-J$477)+(K$483-J$483)-(K479-J479)</f>
        <v>-604245.77</v>
      </c>
      <c r="L407" s="99">
        <f t="shared" si="263"/>
        <v>311377.628</v>
      </c>
      <c r="M407" s="99" t="str">
        <f t="shared" si="263"/>
        <v>#REF!</v>
      </c>
      <c r="N407" s="99" t="str">
        <f t="shared" si="263"/>
        <v>#REF!</v>
      </c>
      <c r="O407" s="99" t="str">
        <f t="shared" si="263"/>
        <v>#REF!</v>
      </c>
      <c r="P407" s="99" t="str">
        <f t="shared" si="263"/>
        <v>#REF!</v>
      </c>
      <c r="Q407" s="99" t="str">
        <f t="shared" si="263"/>
        <v>#REF!</v>
      </c>
      <c r="R407" s="99" t="str">
        <f t="shared" si="263"/>
        <v>#REF!</v>
      </c>
      <c r="S407" s="99" t="str">
        <f t="shared" si="263"/>
        <v>#REF!</v>
      </c>
      <c r="T407" s="99" t="str">
        <f t="shared" si="263"/>
        <v>#REF!</v>
      </c>
      <c r="U407" s="99" t="str">
        <f t="shared" si="263"/>
        <v>#REF!</v>
      </c>
      <c r="V407" s="99" t="str">
        <f t="shared" si="263"/>
        <v>#REF!</v>
      </c>
      <c r="W407" s="99" t="str">
        <f t="shared" si="263"/>
        <v>#REF!</v>
      </c>
      <c r="X407" s="99" t="str">
        <f t="shared" si="263"/>
        <v>#REF!</v>
      </c>
      <c r="Y407" s="99" t="str">
        <f t="shared" si="263"/>
        <v>#REF!</v>
      </c>
      <c r="Z407" s="99" t="str">
        <f t="shared" si="263"/>
        <v>#REF!</v>
      </c>
      <c r="AA407" s="99" t="str">
        <f t="shared" si="263"/>
        <v>#REF!</v>
      </c>
      <c r="AB407" s="99" t="str">
        <f t="shared" si="263"/>
        <v>#REF!</v>
      </c>
      <c r="AC407" s="99" t="str">
        <f t="shared" si="263"/>
        <v>#REF!</v>
      </c>
      <c r="AD407" s="99" t="str">
        <f t="shared" si="263"/>
        <v>#REF!</v>
      </c>
      <c r="AE407" s="99" t="str">
        <f t="shared" si="263"/>
        <v>#REF!</v>
      </c>
      <c r="AF407" s="99" t="str">
        <f t="shared" si="263"/>
        <v>#REF!</v>
      </c>
      <c r="AG407" s="99" t="str">
        <f t="shared" si="263"/>
        <v>#REF!</v>
      </c>
      <c r="AH407" s="99" t="str">
        <f t="shared" si="263"/>
        <v>#REF!</v>
      </c>
      <c r="AI407" s="99" t="str">
        <f t="shared" si="263"/>
        <v>#REF!</v>
      </c>
      <c r="AJ407" s="99" t="str">
        <f t="shared" si="263"/>
        <v>#REF!</v>
      </c>
      <c r="AK407" s="99" t="str">
        <f t="shared" si="263"/>
        <v>#REF!</v>
      </c>
      <c r="AL407" s="99" t="str">
        <f t="shared" si="263"/>
        <v>#REF!</v>
      </c>
      <c r="AM407" s="99" t="str">
        <f t="shared" si="263"/>
        <v>#REF!</v>
      </c>
      <c r="AN407" s="99" t="str">
        <f t="shared" si="263"/>
        <v>#REF!</v>
      </c>
      <c r="AO407" s="99" t="str">
        <f t="shared" si="263"/>
        <v>#REF!</v>
      </c>
      <c r="AP407" s="99" t="str">
        <f t="shared" si="263"/>
        <v>#REF!</v>
      </c>
      <c r="AQ407" s="99" t="str">
        <f t="shared" si="263"/>
        <v>#REF!</v>
      </c>
      <c r="AR407" s="99" t="str">
        <f t="shared" si="263"/>
        <v>#REF!</v>
      </c>
      <c r="AS407" s="99" t="str">
        <f t="shared" si="263"/>
        <v>#REF!</v>
      </c>
      <c r="AT407" s="99" t="str">
        <f t="shared" si="263"/>
        <v>#REF!</v>
      </c>
      <c r="AU407" s="99" t="str">
        <f t="shared" si="263"/>
        <v>#REF!</v>
      </c>
      <c r="AV407" s="99" t="str">
        <f>-1*(AV$477-AU$477)+(AV$483-AU$483)</f>
        <v>#REF!</v>
      </c>
      <c r="AW407" s="90"/>
      <c r="AX407" s="90"/>
      <c r="AY407" s="90"/>
      <c r="AZ407" s="90"/>
      <c r="BA407" s="90"/>
      <c r="BB407" s="90"/>
      <c r="BC407" s="90"/>
      <c r="BD407" s="90"/>
      <c r="BE407" s="90"/>
      <c r="BF407" s="90"/>
      <c r="BG407" s="90"/>
    </row>
    <row r="408" ht="12.75" hidden="1" customHeight="1" outlineLevel="1">
      <c r="A408" s="90"/>
      <c r="B408" s="90"/>
      <c r="C408" s="90" t="s">
        <v>468</v>
      </c>
      <c r="D408" s="90"/>
      <c r="E408" s="90"/>
      <c r="F408" s="90"/>
      <c r="G408" s="179"/>
      <c r="H408" s="179"/>
      <c r="I408" s="147">
        <v>0.0</v>
      </c>
      <c r="J408" s="147">
        <v>0.0</v>
      </c>
      <c r="K408" s="147">
        <v>0.0</v>
      </c>
      <c r="L408" s="147">
        <v>0.0</v>
      </c>
      <c r="M408" s="147">
        <v>0.0</v>
      </c>
      <c r="N408" s="147">
        <v>0.0</v>
      </c>
      <c r="O408" s="147">
        <v>0.0</v>
      </c>
      <c r="P408" s="147">
        <v>0.0</v>
      </c>
      <c r="Q408" s="147">
        <v>0.0</v>
      </c>
      <c r="R408" s="147">
        <v>0.0</v>
      </c>
      <c r="S408" s="147">
        <v>0.0</v>
      </c>
      <c r="T408" s="147">
        <v>0.0</v>
      </c>
      <c r="U408" s="147">
        <v>0.0</v>
      </c>
      <c r="V408" s="147">
        <v>0.0</v>
      </c>
      <c r="W408" s="147">
        <v>0.0</v>
      </c>
      <c r="X408" s="147">
        <v>0.0</v>
      </c>
      <c r="Y408" s="147">
        <v>0.0</v>
      </c>
      <c r="Z408" s="147">
        <v>0.0</v>
      </c>
      <c r="AA408" s="147">
        <v>0.0</v>
      </c>
      <c r="AB408" s="147">
        <v>0.0</v>
      </c>
      <c r="AC408" s="147">
        <v>0.0</v>
      </c>
      <c r="AD408" s="147">
        <v>0.0</v>
      </c>
      <c r="AE408" s="147">
        <v>0.0</v>
      </c>
      <c r="AF408" s="147">
        <v>0.0</v>
      </c>
      <c r="AG408" s="147">
        <v>0.0</v>
      </c>
      <c r="AH408" s="147">
        <v>0.0</v>
      </c>
      <c r="AI408" s="147">
        <v>0.0</v>
      </c>
      <c r="AJ408" s="147">
        <v>0.0</v>
      </c>
      <c r="AK408" s="147">
        <v>0.0</v>
      </c>
      <c r="AL408" s="147">
        <v>0.0</v>
      </c>
      <c r="AM408" s="147">
        <v>0.0</v>
      </c>
      <c r="AN408" s="147">
        <v>0.0</v>
      </c>
      <c r="AO408" s="147">
        <v>0.0</v>
      </c>
      <c r="AP408" s="147">
        <v>0.0</v>
      </c>
      <c r="AQ408" s="147">
        <v>0.0</v>
      </c>
      <c r="AR408" s="147">
        <v>0.0</v>
      </c>
      <c r="AS408" s="147">
        <v>0.0</v>
      </c>
      <c r="AT408" s="147">
        <v>0.0</v>
      </c>
      <c r="AU408" s="147">
        <v>0.0</v>
      </c>
      <c r="AV408" s="147">
        <v>0.0</v>
      </c>
      <c r="AW408" s="90"/>
      <c r="AX408" s="90"/>
      <c r="AY408" s="90"/>
      <c r="AZ408" s="90"/>
      <c r="BA408" s="90"/>
      <c r="BB408" s="90"/>
      <c r="BC408" s="90"/>
      <c r="BD408" s="90"/>
      <c r="BE408" s="90"/>
      <c r="BF408" s="90"/>
      <c r="BG408" s="90"/>
    </row>
    <row r="409" ht="12.75" hidden="1" customHeight="1" outlineLevel="1">
      <c r="A409" s="90"/>
      <c r="B409" s="148" t="s">
        <v>469</v>
      </c>
      <c r="C409" s="148"/>
      <c r="D409" s="148"/>
      <c r="E409" s="148"/>
      <c r="F409" s="148"/>
      <c r="G409" s="300"/>
      <c r="H409" s="300"/>
      <c r="I409" s="251">
        <f t="shared" ref="I409:AV409" si="264">SUM(I404:I408)</f>
        <v>0</v>
      </c>
      <c r="J409" s="251">
        <f t="shared" si="264"/>
        <v>-147961.74</v>
      </c>
      <c r="K409" s="251">
        <f t="shared" si="264"/>
        <v>-14368.57</v>
      </c>
      <c r="L409" s="251">
        <f t="shared" si="264"/>
        <v>312874.788</v>
      </c>
      <c r="M409" s="251" t="str">
        <f t="shared" si="264"/>
        <v>#REF!</v>
      </c>
      <c r="N409" s="251" t="str">
        <f t="shared" si="264"/>
        <v>#REF!</v>
      </c>
      <c r="O409" s="251" t="str">
        <f t="shared" si="264"/>
        <v>#REF!</v>
      </c>
      <c r="P409" s="251" t="str">
        <f t="shared" si="264"/>
        <v>#REF!</v>
      </c>
      <c r="Q409" s="251" t="str">
        <f t="shared" si="264"/>
        <v>#REF!</v>
      </c>
      <c r="R409" s="251" t="str">
        <f t="shared" si="264"/>
        <v>#REF!</v>
      </c>
      <c r="S409" s="251" t="str">
        <f t="shared" si="264"/>
        <v>#REF!</v>
      </c>
      <c r="T409" s="251" t="str">
        <f t="shared" si="264"/>
        <v>#REF!</v>
      </c>
      <c r="U409" s="251" t="str">
        <f t="shared" si="264"/>
        <v>#REF!</v>
      </c>
      <c r="V409" s="251" t="str">
        <f t="shared" si="264"/>
        <v>#REF!</v>
      </c>
      <c r="W409" s="251" t="str">
        <f t="shared" si="264"/>
        <v>#REF!</v>
      </c>
      <c r="X409" s="251" t="str">
        <f t="shared" si="264"/>
        <v>#REF!</v>
      </c>
      <c r="Y409" s="251" t="str">
        <f t="shared" si="264"/>
        <v>#REF!</v>
      </c>
      <c r="Z409" s="251" t="str">
        <f t="shared" si="264"/>
        <v>#REF!</v>
      </c>
      <c r="AA409" s="251" t="str">
        <f t="shared" si="264"/>
        <v>#REF!</v>
      </c>
      <c r="AB409" s="251" t="str">
        <f t="shared" si="264"/>
        <v>#REF!</v>
      </c>
      <c r="AC409" s="251" t="str">
        <f t="shared" si="264"/>
        <v>#REF!</v>
      </c>
      <c r="AD409" s="251" t="str">
        <f t="shared" si="264"/>
        <v>#REF!</v>
      </c>
      <c r="AE409" s="251" t="str">
        <f t="shared" si="264"/>
        <v>#REF!</v>
      </c>
      <c r="AF409" s="251" t="str">
        <f t="shared" si="264"/>
        <v>#REF!</v>
      </c>
      <c r="AG409" s="251" t="str">
        <f t="shared" si="264"/>
        <v>#REF!</v>
      </c>
      <c r="AH409" s="251" t="str">
        <f t="shared" si="264"/>
        <v>#REF!</v>
      </c>
      <c r="AI409" s="251" t="str">
        <f t="shared" si="264"/>
        <v>#REF!</v>
      </c>
      <c r="AJ409" s="251" t="str">
        <f t="shared" si="264"/>
        <v>#REF!</v>
      </c>
      <c r="AK409" s="251" t="str">
        <f t="shared" si="264"/>
        <v>#REF!</v>
      </c>
      <c r="AL409" s="251" t="str">
        <f t="shared" si="264"/>
        <v>#REF!</v>
      </c>
      <c r="AM409" s="251" t="str">
        <f t="shared" si="264"/>
        <v>#REF!</v>
      </c>
      <c r="AN409" s="251" t="str">
        <f t="shared" si="264"/>
        <v>#REF!</v>
      </c>
      <c r="AO409" s="251" t="str">
        <f t="shared" si="264"/>
        <v>#REF!</v>
      </c>
      <c r="AP409" s="251" t="str">
        <f t="shared" si="264"/>
        <v>#REF!</v>
      </c>
      <c r="AQ409" s="251" t="str">
        <f t="shared" si="264"/>
        <v>#REF!</v>
      </c>
      <c r="AR409" s="251" t="str">
        <f t="shared" si="264"/>
        <v>#REF!</v>
      </c>
      <c r="AS409" s="251" t="str">
        <f t="shared" si="264"/>
        <v>#REF!</v>
      </c>
      <c r="AT409" s="251" t="str">
        <f t="shared" si="264"/>
        <v>#REF!</v>
      </c>
      <c r="AU409" s="251" t="str">
        <f t="shared" si="264"/>
        <v>#REF!</v>
      </c>
      <c r="AV409" s="251" t="str">
        <f t="shared" si="264"/>
        <v>#REF!</v>
      </c>
      <c r="AW409" s="90"/>
      <c r="AX409" s="90"/>
      <c r="AY409" s="90"/>
      <c r="AZ409" s="90"/>
      <c r="BA409" s="90"/>
      <c r="BB409" s="90"/>
      <c r="BC409" s="90"/>
      <c r="BD409" s="90"/>
      <c r="BE409" s="90"/>
      <c r="BF409" s="90"/>
      <c r="BG409" s="90"/>
    </row>
    <row r="410" ht="12.75" hidden="1" customHeight="1" outlineLevel="1">
      <c r="A410" s="90"/>
      <c r="B410" s="90"/>
      <c r="C410" s="90"/>
      <c r="D410" s="90"/>
      <c r="E410" s="90"/>
      <c r="F410" s="90"/>
      <c r="G410" s="179"/>
      <c r="H410" s="179"/>
      <c r="I410" s="114"/>
      <c r="J410" s="114"/>
      <c r="K410" s="114"/>
      <c r="L410" s="114"/>
      <c r="M410" s="114"/>
      <c r="N410" s="114"/>
      <c r="O410" s="114"/>
      <c r="P410" s="114"/>
      <c r="Q410" s="114"/>
      <c r="R410" s="114"/>
      <c r="S410" s="114"/>
      <c r="T410" s="114"/>
      <c r="U410" s="114"/>
      <c r="V410" s="114"/>
      <c r="W410" s="114"/>
      <c r="X410" s="114"/>
      <c r="Y410" s="114"/>
      <c r="Z410" s="114"/>
      <c r="AA410" s="114"/>
      <c r="AB410" s="114"/>
      <c r="AC410" s="114"/>
      <c r="AD410" s="114"/>
      <c r="AE410" s="114"/>
      <c r="AF410" s="114"/>
      <c r="AG410" s="114"/>
      <c r="AH410" s="114"/>
      <c r="AI410" s="114"/>
      <c r="AJ410" s="114"/>
      <c r="AK410" s="114"/>
      <c r="AL410" s="114"/>
      <c r="AM410" s="114"/>
      <c r="AN410" s="114"/>
      <c r="AO410" s="114"/>
      <c r="AP410" s="114"/>
      <c r="AQ410" s="114"/>
      <c r="AR410" s="114"/>
      <c r="AS410" s="114"/>
      <c r="AT410" s="114"/>
      <c r="AU410" s="114"/>
      <c r="AV410" s="114"/>
      <c r="AW410" s="90"/>
      <c r="AX410" s="90"/>
      <c r="AY410" s="90"/>
      <c r="AZ410" s="90"/>
      <c r="BA410" s="90"/>
      <c r="BB410" s="90"/>
      <c r="BC410" s="90"/>
      <c r="BD410" s="90"/>
      <c r="BE410" s="90"/>
      <c r="BF410" s="90"/>
      <c r="BG410" s="90"/>
    </row>
    <row r="411" ht="12.75" hidden="1" customHeight="1" outlineLevel="1">
      <c r="A411" s="90"/>
      <c r="B411" s="201" t="s">
        <v>470</v>
      </c>
      <c r="C411" s="90"/>
      <c r="D411" s="90"/>
      <c r="E411" s="90"/>
      <c r="F411" s="90"/>
      <c r="G411" s="179"/>
      <c r="H411" s="179"/>
      <c r="I411" s="114"/>
      <c r="J411" s="114"/>
      <c r="K411" s="114"/>
      <c r="L411" s="114"/>
      <c r="M411" s="114"/>
      <c r="N411" s="114"/>
      <c r="O411" s="114"/>
      <c r="P411" s="114"/>
      <c r="Q411" s="114"/>
      <c r="R411" s="114"/>
      <c r="S411" s="114"/>
      <c r="T411" s="114"/>
      <c r="U411" s="114"/>
      <c r="V411" s="114"/>
      <c r="W411" s="114"/>
      <c r="X411" s="114"/>
      <c r="Y411" s="114"/>
      <c r="Z411" s="114"/>
      <c r="AA411" s="114"/>
      <c r="AB411" s="114"/>
      <c r="AC411" s="114"/>
      <c r="AD411" s="114"/>
      <c r="AE411" s="114"/>
      <c r="AF411" s="114"/>
      <c r="AG411" s="114"/>
      <c r="AH411" s="114"/>
      <c r="AI411" s="114"/>
      <c r="AJ411" s="114"/>
      <c r="AK411" s="114"/>
      <c r="AL411" s="114"/>
      <c r="AM411" s="114"/>
      <c r="AN411" s="114"/>
      <c r="AO411" s="114"/>
      <c r="AP411" s="114"/>
      <c r="AQ411" s="114"/>
      <c r="AR411" s="114"/>
      <c r="AS411" s="114"/>
      <c r="AT411" s="114"/>
      <c r="AU411" s="114"/>
      <c r="AV411" s="114"/>
      <c r="AW411" s="90"/>
      <c r="AX411" s="90"/>
      <c r="AY411" s="90"/>
      <c r="AZ411" s="90"/>
      <c r="BA411" s="90"/>
      <c r="BB411" s="90"/>
      <c r="BC411" s="90"/>
      <c r="BD411" s="90"/>
      <c r="BE411" s="90"/>
      <c r="BF411" s="90"/>
      <c r="BG411" s="90"/>
    </row>
    <row r="412" ht="12.75" hidden="1" customHeight="1" outlineLevel="1">
      <c r="A412" s="90"/>
      <c r="B412" s="90"/>
      <c r="C412" s="90" t="s">
        <v>472</v>
      </c>
      <c r="D412" s="90"/>
      <c r="E412" s="90"/>
      <c r="F412" s="90"/>
      <c r="G412" s="179"/>
      <c r="H412" s="179"/>
      <c r="I412" s="147">
        <v>0.0</v>
      </c>
      <c r="J412" s="147">
        <v>0.0</v>
      </c>
      <c r="K412" s="147" t="str">
        <f>-'[6]Balance Sheet'!$J$83</f>
        <v>#REF!</v>
      </c>
      <c r="L412" s="147">
        <f t="shared" ref="L412:AV412" si="265">-L237</f>
        <v>0</v>
      </c>
      <c r="M412" s="147">
        <f t="shared" si="265"/>
        <v>0</v>
      </c>
      <c r="N412" s="147">
        <f t="shared" si="265"/>
        <v>0</v>
      </c>
      <c r="O412" s="147">
        <f t="shared" si="265"/>
        <v>0</v>
      </c>
      <c r="P412" s="147">
        <f t="shared" si="265"/>
        <v>0</v>
      </c>
      <c r="Q412" s="147">
        <f t="shared" si="265"/>
        <v>0</v>
      </c>
      <c r="R412" s="147">
        <f t="shared" si="265"/>
        <v>0</v>
      </c>
      <c r="S412" s="147">
        <f t="shared" si="265"/>
        <v>0</v>
      </c>
      <c r="T412" s="147">
        <f t="shared" si="265"/>
        <v>0</v>
      </c>
      <c r="U412" s="147">
        <f t="shared" si="265"/>
        <v>0</v>
      </c>
      <c r="V412" s="147">
        <f t="shared" si="265"/>
        <v>0</v>
      </c>
      <c r="W412" s="147">
        <f t="shared" si="265"/>
        <v>0</v>
      </c>
      <c r="X412" s="147">
        <f t="shared" si="265"/>
        <v>0</v>
      </c>
      <c r="Y412" s="147">
        <f t="shared" si="265"/>
        <v>0</v>
      </c>
      <c r="Z412" s="147">
        <f t="shared" si="265"/>
        <v>0</v>
      </c>
      <c r="AA412" s="147">
        <f t="shared" si="265"/>
        <v>0</v>
      </c>
      <c r="AB412" s="147">
        <f t="shared" si="265"/>
        <v>0</v>
      </c>
      <c r="AC412" s="147">
        <f t="shared" si="265"/>
        <v>0</v>
      </c>
      <c r="AD412" s="147">
        <f t="shared" si="265"/>
        <v>0</v>
      </c>
      <c r="AE412" s="147">
        <f t="shared" si="265"/>
        <v>0</v>
      </c>
      <c r="AF412" s="147">
        <f t="shared" si="265"/>
        <v>0</v>
      </c>
      <c r="AG412" s="147">
        <f t="shared" si="265"/>
        <v>0</v>
      </c>
      <c r="AH412" s="147">
        <f t="shared" si="265"/>
        <v>0</v>
      </c>
      <c r="AI412" s="147">
        <f t="shared" si="265"/>
        <v>0</v>
      </c>
      <c r="AJ412" s="147">
        <f t="shared" si="265"/>
        <v>0</v>
      </c>
      <c r="AK412" s="147">
        <f t="shared" si="265"/>
        <v>0</v>
      </c>
      <c r="AL412" s="147">
        <f t="shared" si="265"/>
        <v>0</v>
      </c>
      <c r="AM412" s="147">
        <f t="shared" si="265"/>
        <v>0</v>
      </c>
      <c r="AN412" s="147">
        <f t="shared" si="265"/>
        <v>0</v>
      </c>
      <c r="AO412" s="147">
        <f t="shared" si="265"/>
        <v>0</v>
      </c>
      <c r="AP412" s="147">
        <f t="shared" si="265"/>
        <v>0</v>
      </c>
      <c r="AQ412" s="147">
        <f t="shared" si="265"/>
        <v>0</v>
      </c>
      <c r="AR412" s="147">
        <f t="shared" si="265"/>
        <v>0</v>
      </c>
      <c r="AS412" s="147">
        <f t="shared" si="265"/>
        <v>0</v>
      </c>
      <c r="AT412" s="147">
        <f t="shared" si="265"/>
        <v>0</v>
      </c>
      <c r="AU412" s="147">
        <f t="shared" si="265"/>
        <v>0</v>
      </c>
      <c r="AV412" s="147">
        <f t="shared" si="265"/>
        <v>0</v>
      </c>
      <c r="AW412" s="90"/>
      <c r="AX412" s="90"/>
      <c r="AY412" s="90"/>
      <c r="AZ412" s="90"/>
      <c r="BA412" s="90"/>
      <c r="BB412" s="90"/>
      <c r="BC412" s="90"/>
      <c r="BD412" s="90"/>
      <c r="BE412" s="90"/>
      <c r="BF412" s="90"/>
      <c r="BG412" s="90"/>
    </row>
    <row r="413" ht="12.75" hidden="1" customHeight="1" outlineLevel="1">
      <c r="A413" s="90"/>
      <c r="B413" s="148" t="s">
        <v>473</v>
      </c>
      <c r="C413" s="148"/>
      <c r="D413" s="148"/>
      <c r="E413" s="148"/>
      <c r="F413" s="148"/>
      <c r="G413" s="300"/>
      <c r="H413" s="300"/>
      <c r="I413" s="251">
        <f t="shared" ref="I413:AV413" si="266">I412</f>
        <v>0</v>
      </c>
      <c r="J413" s="251">
        <f t="shared" si="266"/>
        <v>0</v>
      </c>
      <c r="K413" s="251" t="str">
        <f t="shared" si="266"/>
        <v>#REF!</v>
      </c>
      <c r="L413" s="251">
        <f t="shared" si="266"/>
        <v>0</v>
      </c>
      <c r="M413" s="251">
        <f t="shared" si="266"/>
        <v>0</v>
      </c>
      <c r="N413" s="251">
        <f t="shared" si="266"/>
        <v>0</v>
      </c>
      <c r="O413" s="251">
        <f t="shared" si="266"/>
        <v>0</v>
      </c>
      <c r="P413" s="251">
        <f t="shared" si="266"/>
        <v>0</v>
      </c>
      <c r="Q413" s="251">
        <f t="shared" si="266"/>
        <v>0</v>
      </c>
      <c r="R413" s="251">
        <f t="shared" si="266"/>
        <v>0</v>
      </c>
      <c r="S413" s="251">
        <f t="shared" si="266"/>
        <v>0</v>
      </c>
      <c r="T413" s="251">
        <f t="shared" si="266"/>
        <v>0</v>
      </c>
      <c r="U413" s="251">
        <f t="shared" si="266"/>
        <v>0</v>
      </c>
      <c r="V413" s="251">
        <f t="shared" si="266"/>
        <v>0</v>
      </c>
      <c r="W413" s="251">
        <f t="shared" si="266"/>
        <v>0</v>
      </c>
      <c r="X413" s="251">
        <f t="shared" si="266"/>
        <v>0</v>
      </c>
      <c r="Y413" s="251">
        <f t="shared" si="266"/>
        <v>0</v>
      </c>
      <c r="Z413" s="251">
        <f t="shared" si="266"/>
        <v>0</v>
      </c>
      <c r="AA413" s="251">
        <f t="shared" si="266"/>
        <v>0</v>
      </c>
      <c r="AB413" s="251">
        <f t="shared" si="266"/>
        <v>0</v>
      </c>
      <c r="AC413" s="251">
        <f t="shared" si="266"/>
        <v>0</v>
      </c>
      <c r="AD413" s="251">
        <f t="shared" si="266"/>
        <v>0</v>
      </c>
      <c r="AE413" s="251">
        <f t="shared" si="266"/>
        <v>0</v>
      </c>
      <c r="AF413" s="251">
        <f t="shared" si="266"/>
        <v>0</v>
      </c>
      <c r="AG413" s="251">
        <f t="shared" si="266"/>
        <v>0</v>
      </c>
      <c r="AH413" s="251">
        <f t="shared" si="266"/>
        <v>0</v>
      </c>
      <c r="AI413" s="251">
        <f t="shared" si="266"/>
        <v>0</v>
      </c>
      <c r="AJ413" s="251">
        <f t="shared" si="266"/>
        <v>0</v>
      </c>
      <c r="AK413" s="251">
        <f t="shared" si="266"/>
        <v>0</v>
      </c>
      <c r="AL413" s="251">
        <f t="shared" si="266"/>
        <v>0</v>
      </c>
      <c r="AM413" s="251">
        <f t="shared" si="266"/>
        <v>0</v>
      </c>
      <c r="AN413" s="251">
        <f t="shared" si="266"/>
        <v>0</v>
      </c>
      <c r="AO413" s="251">
        <f t="shared" si="266"/>
        <v>0</v>
      </c>
      <c r="AP413" s="251">
        <f t="shared" si="266"/>
        <v>0</v>
      </c>
      <c r="AQ413" s="251">
        <f t="shared" si="266"/>
        <v>0</v>
      </c>
      <c r="AR413" s="251">
        <f t="shared" si="266"/>
        <v>0</v>
      </c>
      <c r="AS413" s="251">
        <f t="shared" si="266"/>
        <v>0</v>
      </c>
      <c r="AT413" s="251">
        <f t="shared" si="266"/>
        <v>0</v>
      </c>
      <c r="AU413" s="251">
        <f t="shared" si="266"/>
        <v>0</v>
      </c>
      <c r="AV413" s="251">
        <f t="shared" si="266"/>
        <v>0</v>
      </c>
      <c r="AW413" s="90"/>
      <c r="AX413" s="90"/>
      <c r="AY413" s="90"/>
      <c r="AZ413" s="90"/>
      <c r="BA413" s="90"/>
      <c r="BB413" s="90"/>
      <c r="BC413" s="90"/>
      <c r="BD413" s="90"/>
      <c r="BE413" s="90"/>
      <c r="BF413" s="90"/>
      <c r="BG413" s="90"/>
    </row>
    <row r="414" ht="12.75" hidden="1" customHeight="1" outlineLevel="1">
      <c r="A414" s="90"/>
      <c r="B414" s="90"/>
      <c r="C414" s="90"/>
      <c r="D414" s="90"/>
      <c r="E414" s="90"/>
      <c r="F414" s="90"/>
      <c r="G414" s="179"/>
      <c r="H414" s="179"/>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14"/>
      <c r="AM414" s="114"/>
      <c r="AN414" s="114"/>
      <c r="AO414" s="114"/>
      <c r="AP414" s="114"/>
      <c r="AQ414" s="114"/>
      <c r="AR414" s="114"/>
      <c r="AS414" s="114"/>
      <c r="AT414" s="114"/>
      <c r="AU414" s="114"/>
      <c r="AV414" s="114"/>
      <c r="AW414" s="90"/>
      <c r="AX414" s="90"/>
      <c r="AY414" s="90"/>
      <c r="AZ414" s="90"/>
      <c r="BA414" s="90"/>
      <c r="BB414" s="90"/>
      <c r="BC414" s="90"/>
      <c r="BD414" s="90"/>
      <c r="BE414" s="90"/>
      <c r="BF414" s="90"/>
      <c r="BG414" s="90"/>
    </row>
    <row r="415" ht="12.75" hidden="1" customHeight="1" outlineLevel="1">
      <c r="A415" s="90"/>
      <c r="B415" s="201" t="s">
        <v>474</v>
      </c>
      <c r="C415" s="90"/>
      <c r="D415" s="90"/>
      <c r="E415" s="90"/>
      <c r="F415" s="90"/>
      <c r="G415" s="179"/>
      <c r="H415" s="179"/>
      <c r="I415" s="114"/>
      <c r="J415" s="114"/>
      <c r="K415" s="114"/>
      <c r="L415" s="114"/>
      <c r="M415" s="114"/>
      <c r="N415" s="114"/>
      <c r="O415" s="114"/>
      <c r="P415" s="114"/>
      <c r="Q415" s="114"/>
      <c r="R415" s="114"/>
      <c r="S415" s="114"/>
      <c r="T415" s="114"/>
      <c r="U415" s="114"/>
      <c r="V415" s="114"/>
      <c r="W415" s="114"/>
      <c r="X415" s="114"/>
      <c r="Y415" s="114"/>
      <c r="Z415" s="114"/>
      <c r="AA415" s="114"/>
      <c r="AB415" s="114"/>
      <c r="AC415" s="114"/>
      <c r="AD415" s="114"/>
      <c r="AE415" s="114"/>
      <c r="AF415" s="114"/>
      <c r="AG415" s="114"/>
      <c r="AH415" s="114"/>
      <c r="AI415" s="114"/>
      <c r="AJ415" s="114"/>
      <c r="AK415" s="114"/>
      <c r="AL415" s="114"/>
      <c r="AM415" s="114"/>
      <c r="AN415" s="114"/>
      <c r="AO415" s="114"/>
      <c r="AP415" s="114"/>
      <c r="AQ415" s="114"/>
      <c r="AR415" s="114"/>
      <c r="AS415" s="114"/>
      <c r="AT415" s="114"/>
      <c r="AU415" s="114"/>
      <c r="AV415" s="114"/>
      <c r="AW415" s="90"/>
      <c r="AX415" s="90"/>
      <c r="AY415" s="90"/>
      <c r="AZ415" s="90"/>
      <c r="BA415" s="90"/>
      <c r="BB415" s="90"/>
      <c r="BC415" s="90"/>
      <c r="BD415" s="90"/>
      <c r="BE415" s="90"/>
      <c r="BF415" s="90"/>
      <c r="BG415" s="90"/>
    </row>
    <row r="416" ht="12.75" hidden="1" customHeight="1" outlineLevel="1">
      <c r="A416" s="90"/>
      <c r="B416" s="90"/>
      <c r="C416" s="90" t="s">
        <v>846</v>
      </c>
      <c r="D416" s="90"/>
      <c r="E416" s="90"/>
      <c r="F416" s="90"/>
      <c r="G416" s="179"/>
      <c r="H416" s="179"/>
      <c r="I416" s="90"/>
      <c r="J416" s="90"/>
      <c r="K416" s="90"/>
      <c r="L416" s="90"/>
      <c r="M416" s="90"/>
      <c r="N416" s="90"/>
      <c r="O416" s="90"/>
      <c r="P416" s="90"/>
      <c r="Q416" s="90"/>
      <c r="R416" s="90"/>
      <c r="S416" s="90"/>
      <c r="T416" s="90"/>
      <c r="U416" s="90"/>
      <c r="V416" s="90"/>
      <c r="W416" s="90"/>
      <c r="X416" s="90"/>
      <c r="Y416" s="90"/>
      <c r="Z416" s="90"/>
      <c r="AA416" s="90"/>
      <c r="AB416" s="90"/>
      <c r="AC416" s="90"/>
      <c r="AD416" s="90"/>
      <c r="AE416" s="90"/>
      <c r="AF416" s="90"/>
      <c r="AG416" s="90"/>
      <c r="AH416" s="90"/>
      <c r="AI416" s="90"/>
      <c r="AJ416" s="90"/>
      <c r="AK416" s="90"/>
      <c r="AL416" s="90"/>
      <c r="AM416" s="90"/>
      <c r="AN416" s="90"/>
      <c r="AO416" s="90"/>
      <c r="AP416" s="90"/>
      <c r="AQ416" s="90"/>
      <c r="AR416" s="90"/>
      <c r="AS416" s="90"/>
      <c r="AT416" s="90"/>
      <c r="AU416" s="90"/>
      <c r="AV416" s="90"/>
      <c r="AW416" s="90"/>
      <c r="AX416" s="90"/>
      <c r="AY416" s="90"/>
      <c r="AZ416" s="90"/>
      <c r="BA416" s="90"/>
      <c r="BB416" s="90"/>
      <c r="BC416" s="90"/>
      <c r="BD416" s="90"/>
      <c r="BE416" s="90"/>
      <c r="BF416" s="90"/>
      <c r="BG416" s="90"/>
    </row>
    <row r="417" ht="12.75" hidden="1" customHeight="1" outlineLevel="1">
      <c r="A417" s="90"/>
      <c r="B417" s="90"/>
      <c r="C417" s="90"/>
      <c r="D417" s="90" t="s">
        <v>557</v>
      </c>
      <c r="E417" s="90"/>
      <c r="F417" s="90"/>
      <c r="G417" s="179"/>
      <c r="H417" s="179"/>
      <c r="I417" s="99">
        <v>0.0</v>
      </c>
      <c r="J417" s="99">
        <f>J438</f>
        <v>200000</v>
      </c>
      <c r="K417" s="99">
        <v>0.0</v>
      </c>
      <c r="L417" s="99">
        <v>0.0</v>
      </c>
      <c r="M417" s="99">
        <v>0.0</v>
      </c>
      <c r="N417" s="99">
        <v>0.0</v>
      </c>
      <c r="O417" s="99">
        <v>0.0</v>
      </c>
      <c r="P417" s="99">
        <v>0.0</v>
      </c>
      <c r="Q417" s="99">
        <v>0.0</v>
      </c>
      <c r="R417" s="99">
        <v>0.0</v>
      </c>
      <c r="S417" s="99">
        <v>0.0</v>
      </c>
      <c r="T417" s="99">
        <v>0.0</v>
      </c>
      <c r="U417" s="99">
        <v>0.0</v>
      </c>
      <c r="V417" s="99">
        <v>0.0</v>
      </c>
      <c r="W417" s="99">
        <v>0.0</v>
      </c>
      <c r="X417" s="99">
        <v>0.0</v>
      </c>
      <c r="Y417" s="99">
        <v>0.0</v>
      </c>
      <c r="Z417" s="99">
        <v>0.0</v>
      </c>
      <c r="AA417" s="99">
        <v>0.0</v>
      </c>
      <c r="AB417" s="99">
        <v>0.0</v>
      </c>
      <c r="AC417" s="99">
        <v>0.0</v>
      </c>
      <c r="AD417" s="99">
        <v>0.0</v>
      </c>
      <c r="AE417" s="99">
        <v>0.0</v>
      </c>
      <c r="AF417" s="99">
        <v>0.0</v>
      </c>
      <c r="AG417" s="99">
        <v>0.0</v>
      </c>
      <c r="AH417" s="99">
        <v>0.0</v>
      </c>
      <c r="AI417" s="99">
        <v>0.0</v>
      </c>
      <c r="AJ417" s="99">
        <v>0.0</v>
      </c>
      <c r="AK417" s="99">
        <v>0.0</v>
      </c>
      <c r="AL417" s="99">
        <v>0.0</v>
      </c>
      <c r="AM417" s="99">
        <v>0.0</v>
      </c>
      <c r="AN417" s="99">
        <v>0.0</v>
      </c>
      <c r="AO417" s="99">
        <v>0.0</v>
      </c>
      <c r="AP417" s="99">
        <v>0.0</v>
      </c>
      <c r="AQ417" s="99">
        <v>0.0</v>
      </c>
      <c r="AR417" s="99">
        <v>0.0</v>
      </c>
      <c r="AS417" s="99">
        <v>0.0</v>
      </c>
      <c r="AT417" s="99">
        <v>0.0</v>
      </c>
      <c r="AU417" s="99">
        <v>0.0</v>
      </c>
      <c r="AV417" s="99">
        <v>0.0</v>
      </c>
      <c r="AW417" s="90"/>
      <c r="AX417" s="90"/>
      <c r="AY417" s="90"/>
      <c r="AZ417" s="90"/>
      <c r="BA417" s="90"/>
      <c r="BB417" s="90"/>
      <c r="BC417" s="90"/>
      <c r="BD417" s="90"/>
      <c r="BE417" s="90"/>
      <c r="BF417" s="90"/>
      <c r="BG417" s="90"/>
    </row>
    <row r="418" ht="12.75" hidden="1" customHeight="1" outlineLevel="1">
      <c r="A418" s="90"/>
      <c r="B418" s="90"/>
      <c r="C418" s="90"/>
      <c r="D418" s="90" t="s">
        <v>614</v>
      </c>
      <c r="E418" s="90"/>
      <c r="F418" s="90"/>
      <c r="G418" s="179"/>
      <c r="H418" s="179"/>
      <c r="I418" s="99" t="str">
        <f>I448</f>
        <v/>
      </c>
      <c r="J418" s="99">
        <f>J447</f>
        <v>0</v>
      </c>
      <c r="K418" s="99">
        <v>250000.0</v>
      </c>
      <c r="L418" s="99">
        <v>0.0</v>
      </c>
      <c r="M418" s="99">
        <v>0.0</v>
      </c>
      <c r="N418" s="99">
        <v>0.0</v>
      </c>
      <c r="O418" s="99">
        <v>0.0</v>
      </c>
      <c r="P418" s="99">
        <v>0.0</v>
      </c>
      <c r="Q418" s="99">
        <v>0.0</v>
      </c>
      <c r="R418" s="99">
        <v>0.0</v>
      </c>
      <c r="S418" s="99">
        <v>0.0</v>
      </c>
      <c r="T418" s="99">
        <v>0.0</v>
      </c>
      <c r="U418" s="99">
        <v>0.0</v>
      </c>
      <c r="V418" s="99">
        <v>0.0</v>
      </c>
      <c r="W418" s="99">
        <v>0.0</v>
      </c>
      <c r="X418" s="99">
        <v>0.0</v>
      </c>
      <c r="Y418" s="99">
        <v>0.0</v>
      </c>
      <c r="Z418" s="99">
        <v>0.0</v>
      </c>
      <c r="AA418" s="99">
        <v>0.0</v>
      </c>
      <c r="AB418" s="99">
        <v>0.0</v>
      </c>
      <c r="AC418" s="99">
        <v>0.0</v>
      </c>
      <c r="AD418" s="99">
        <v>0.0</v>
      </c>
      <c r="AE418" s="99">
        <v>0.0</v>
      </c>
      <c r="AF418" s="99">
        <v>0.0</v>
      </c>
      <c r="AG418" s="99">
        <v>0.0</v>
      </c>
      <c r="AH418" s="99">
        <v>0.0</v>
      </c>
      <c r="AI418" s="99">
        <v>0.0</v>
      </c>
      <c r="AJ418" s="99">
        <v>0.0</v>
      </c>
      <c r="AK418" s="99">
        <v>0.0</v>
      </c>
      <c r="AL418" s="99">
        <v>0.0</v>
      </c>
      <c r="AM418" s="99">
        <v>0.0</v>
      </c>
      <c r="AN418" s="99">
        <v>0.0</v>
      </c>
      <c r="AO418" s="99">
        <v>0.0</v>
      </c>
      <c r="AP418" s="99">
        <v>0.0</v>
      </c>
      <c r="AQ418" s="99">
        <v>0.0</v>
      </c>
      <c r="AR418" s="99">
        <v>0.0</v>
      </c>
      <c r="AS418" s="99">
        <v>0.0</v>
      </c>
      <c r="AT418" s="99">
        <v>0.0</v>
      </c>
      <c r="AU418" s="99">
        <v>0.0</v>
      </c>
      <c r="AV418" s="99">
        <v>0.0</v>
      </c>
      <c r="AW418" s="90"/>
      <c r="AX418" s="90"/>
      <c r="AY418" s="90"/>
      <c r="AZ418" s="90"/>
      <c r="BA418" s="90"/>
      <c r="BB418" s="90"/>
      <c r="BC418" s="90"/>
      <c r="BD418" s="90"/>
      <c r="BE418" s="90"/>
      <c r="BF418" s="90"/>
      <c r="BG418" s="90"/>
    </row>
    <row r="419" ht="12.75" hidden="1" customHeight="1" outlineLevel="1">
      <c r="A419" s="90"/>
      <c r="B419" s="90"/>
      <c r="C419" s="90"/>
      <c r="D419" s="90" t="s">
        <v>148</v>
      </c>
      <c r="E419" s="90"/>
      <c r="F419" s="90"/>
      <c r="G419" s="179"/>
      <c r="H419" s="179"/>
      <c r="I419" s="99" t="str">
        <f t="shared" ref="I419:J419" si="267">I462</f>
        <v/>
      </c>
      <c r="J419" s="99">
        <f t="shared" si="267"/>
        <v>0</v>
      </c>
      <c r="K419" s="99">
        <f t="shared" ref="K419:AV419" si="268">K448</f>
        <v>0</v>
      </c>
      <c r="L419" s="99" t="str">
        <f t="shared" si="268"/>
        <v>#REF!</v>
      </c>
      <c r="M419" s="99" t="str">
        <f t="shared" si="268"/>
        <v>#REF!</v>
      </c>
      <c r="N419" s="99" t="str">
        <f t="shared" si="268"/>
        <v>#REF!</v>
      </c>
      <c r="O419" s="99" t="str">
        <f t="shared" si="268"/>
        <v>#REF!</v>
      </c>
      <c r="P419" s="99" t="str">
        <f t="shared" si="268"/>
        <v>#REF!</v>
      </c>
      <c r="Q419" s="99" t="str">
        <f t="shared" si="268"/>
        <v>#REF!</v>
      </c>
      <c r="R419" s="99" t="str">
        <f t="shared" si="268"/>
        <v>#REF!</v>
      </c>
      <c r="S419" s="99" t="str">
        <f t="shared" si="268"/>
        <v>#REF!</v>
      </c>
      <c r="T419" s="99" t="str">
        <f t="shared" si="268"/>
        <v>#REF!</v>
      </c>
      <c r="U419" s="99" t="str">
        <f t="shared" si="268"/>
        <v>#REF!</v>
      </c>
      <c r="V419" s="99" t="str">
        <f t="shared" si="268"/>
        <v>#REF!</v>
      </c>
      <c r="W419" s="99" t="str">
        <f t="shared" si="268"/>
        <v>#REF!</v>
      </c>
      <c r="X419" s="99" t="str">
        <f t="shared" si="268"/>
        <v>#REF!</v>
      </c>
      <c r="Y419" s="99" t="str">
        <f t="shared" si="268"/>
        <v>#REF!</v>
      </c>
      <c r="Z419" s="99" t="str">
        <f t="shared" si="268"/>
        <v>#REF!</v>
      </c>
      <c r="AA419" s="99" t="str">
        <f t="shared" si="268"/>
        <v>#REF!</v>
      </c>
      <c r="AB419" s="99" t="str">
        <f t="shared" si="268"/>
        <v>#REF!</v>
      </c>
      <c r="AC419" s="99" t="str">
        <f t="shared" si="268"/>
        <v>#REF!</v>
      </c>
      <c r="AD419" s="99" t="str">
        <f t="shared" si="268"/>
        <v>#REF!</v>
      </c>
      <c r="AE419" s="99" t="str">
        <f t="shared" si="268"/>
        <v>#REF!</v>
      </c>
      <c r="AF419" s="99" t="str">
        <f t="shared" si="268"/>
        <v>#REF!</v>
      </c>
      <c r="AG419" s="99" t="str">
        <f t="shared" si="268"/>
        <v>#REF!</v>
      </c>
      <c r="AH419" s="99" t="str">
        <f t="shared" si="268"/>
        <v>#REF!</v>
      </c>
      <c r="AI419" s="99" t="str">
        <f t="shared" si="268"/>
        <v>#REF!</v>
      </c>
      <c r="AJ419" s="99" t="str">
        <f t="shared" si="268"/>
        <v>#REF!</v>
      </c>
      <c r="AK419" s="99" t="str">
        <f t="shared" si="268"/>
        <v>#REF!</v>
      </c>
      <c r="AL419" s="99" t="str">
        <f t="shared" si="268"/>
        <v>#REF!</v>
      </c>
      <c r="AM419" s="99" t="str">
        <f t="shared" si="268"/>
        <v>#REF!</v>
      </c>
      <c r="AN419" s="99" t="str">
        <f t="shared" si="268"/>
        <v>#REF!</v>
      </c>
      <c r="AO419" s="99" t="str">
        <f t="shared" si="268"/>
        <v>#REF!</v>
      </c>
      <c r="AP419" s="99" t="str">
        <f t="shared" si="268"/>
        <v>#REF!</v>
      </c>
      <c r="AQ419" s="99" t="str">
        <f t="shared" si="268"/>
        <v>#REF!</v>
      </c>
      <c r="AR419" s="99" t="str">
        <f t="shared" si="268"/>
        <v>#REF!</v>
      </c>
      <c r="AS419" s="99" t="str">
        <f t="shared" si="268"/>
        <v>#REF!</v>
      </c>
      <c r="AT419" s="99" t="str">
        <f t="shared" si="268"/>
        <v>#REF!</v>
      </c>
      <c r="AU419" s="99" t="str">
        <f t="shared" si="268"/>
        <v>#REF!</v>
      </c>
      <c r="AV419" s="99" t="str">
        <f t="shared" si="268"/>
        <v>#VALUE!</v>
      </c>
      <c r="AW419" s="90"/>
      <c r="AX419" s="90"/>
      <c r="AY419" s="90"/>
      <c r="AZ419" s="90"/>
      <c r="BA419" s="90"/>
      <c r="BB419" s="90"/>
      <c r="BC419" s="90"/>
      <c r="BD419" s="90"/>
      <c r="BE419" s="90"/>
      <c r="BF419" s="90"/>
      <c r="BG419" s="90"/>
    </row>
    <row r="420" ht="12.75" hidden="1" customHeight="1" outlineLevel="1">
      <c r="A420" s="90"/>
      <c r="B420" s="90"/>
      <c r="C420" s="90"/>
      <c r="D420" s="90" t="s">
        <v>246</v>
      </c>
      <c r="E420" s="90"/>
      <c r="F420" s="90"/>
      <c r="G420" s="179"/>
      <c r="H420" s="179"/>
      <c r="I420" s="99"/>
      <c r="J420" s="99">
        <v>0.0</v>
      </c>
      <c r="K420" s="99">
        <f t="shared" ref="K420:AV420" si="269">K462+K466</f>
        <v>100000</v>
      </c>
      <c r="L420" s="99">
        <f t="shared" si="269"/>
        <v>-100000</v>
      </c>
      <c r="M420" s="99">
        <f t="shared" si="269"/>
        <v>0</v>
      </c>
      <c r="N420" s="99">
        <f t="shared" si="269"/>
        <v>0</v>
      </c>
      <c r="O420" s="99">
        <f t="shared" si="269"/>
        <v>0</v>
      </c>
      <c r="P420" s="99">
        <f t="shared" si="269"/>
        <v>0</v>
      </c>
      <c r="Q420" s="99">
        <f t="shared" si="269"/>
        <v>0</v>
      </c>
      <c r="R420" s="99">
        <f t="shared" si="269"/>
        <v>0</v>
      </c>
      <c r="S420" s="99">
        <f t="shared" si="269"/>
        <v>0</v>
      </c>
      <c r="T420" s="99">
        <f t="shared" si="269"/>
        <v>0</v>
      </c>
      <c r="U420" s="99">
        <f t="shared" si="269"/>
        <v>0</v>
      </c>
      <c r="V420" s="99">
        <f t="shared" si="269"/>
        <v>0</v>
      </c>
      <c r="W420" s="99">
        <f t="shared" si="269"/>
        <v>0</v>
      </c>
      <c r="X420" s="99">
        <f t="shared" si="269"/>
        <v>0</v>
      </c>
      <c r="Y420" s="99">
        <f t="shared" si="269"/>
        <v>0</v>
      </c>
      <c r="Z420" s="99">
        <f t="shared" si="269"/>
        <v>0</v>
      </c>
      <c r="AA420" s="99">
        <f t="shared" si="269"/>
        <v>0</v>
      </c>
      <c r="AB420" s="99">
        <f t="shared" si="269"/>
        <v>0</v>
      </c>
      <c r="AC420" s="99">
        <f t="shared" si="269"/>
        <v>0</v>
      </c>
      <c r="AD420" s="99">
        <f t="shared" si="269"/>
        <v>0</v>
      </c>
      <c r="AE420" s="99">
        <f t="shared" si="269"/>
        <v>0</v>
      </c>
      <c r="AF420" s="99">
        <f t="shared" si="269"/>
        <v>0</v>
      </c>
      <c r="AG420" s="99">
        <f t="shared" si="269"/>
        <v>0</v>
      </c>
      <c r="AH420" s="99">
        <f t="shared" si="269"/>
        <v>0</v>
      </c>
      <c r="AI420" s="99">
        <f t="shared" si="269"/>
        <v>0</v>
      </c>
      <c r="AJ420" s="99">
        <f t="shared" si="269"/>
        <v>0</v>
      </c>
      <c r="AK420" s="99">
        <f t="shared" si="269"/>
        <v>0</v>
      </c>
      <c r="AL420" s="99">
        <f t="shared" si="269"/>
        <v>0</v>
      </c>
      <c r="AM420" s="99">
        <f t="shared" si="269"/>
        <v>0</v>
      </c>
      <c r="AN420" s="99">
        <f t="shared" si="269"/>
        <v>0</v>
      </c>
      <c r="AO420" s="99">
        <f t="shared" si="269"/>
        <v>0</v>
      </c>
      <c r="AP420" s="99">
        <f t="shared" si="269"/>
        <v>0</v>
      </c>
      <c r="AQ420" s="99">
        <f t="shared" si="269"/>
        <v>0</v>
      </c>
      <c r="AR420" s="99">
        <f t="shared" si="269"/>
        <v>0</v>
      </c>
      <c r="AS420" s="99">
        <f t="shared" si="269"/>
        <v>0</v>
      </c>
      <c r="AT420" s="99">
        <f t="shared" si="269"/>
        <v>0</v>
      </c>
      <c r="AU420" s="99">
        <f t="shared" si="269"/>
        <v>0</v>
      </c>
      <c r="AV420" s="99">
        <f t="shared" si="269"/>
        <v>0</v>
      </c>
      <c r="AW420" s="90"/>
      <c r="AX420" s="90"/>
      <c r="AY420" s="90"/>
      <c r="AZ420" s="90"/>
      <c r="BA420" s="90"/>
      <c r="BB420" s="90"/>
      <c r="BC420" s="90"/>
      <c r="BD420" s="90"/>
      <c r="BE420" s="90"/>
      <c r="BF420" s="90"/>
      <c r="BG420" s="90"/>
    </row>
    <row r="421" ht="12.75" hidden="1" customHeight="1" outlineLevel="1">
      <c r="A421" s="90"/>
      <c r="B421" s="90"/>
      <c r="C421" s="90"/>
      <c r="D421" s="90" t="s">
        <v>480</v>
      </c>
      <c r="E421" s="90"/>
      <c r="F421" s="90"/>
      <c r="G421" s="179"/>
      <c r="H421" s="179"/>
      <c r="I421" s="99">
        <v>0.0</v>
      </c>
      <c r="J421" s="99">
        <v>0.0</v>
      </c>
      <c r="K421" s="99">
        <v>0.0</v>
      </c>
      <c r="L421" s="99">
        <v>0.0</v>
      </c>
      <c r="M421" s="99">
        <v>0.0</v>
      </c>
      <c r="N421" s="99">
        <v>0.0</v>
      </c>
      <c r="O421" s="99">
        <v>0.0</v>
      </c>
      <c r="P421" s="99">
        <v>0.0</v>
      </c>
      <c r="Q421" s="99">
        <v>0.0</v>
      </c>
      <c r="R421" s="99">
        <v>0.0</v>
      </c>
      <c r="S421" s="99">
        <v>0.0</v>
      </c>
      <c r="T421" s="99">
        <v>0.0</v>
      </c>
      <c r="U421" s="99">
        <v>0.0</v>
      </c>
      <c r="V421" s="99">
        <v>0.0</v>
      </c>
      <c r="W421" s="99">
        <v>0.0</v>
      </c>
      <c r="X421" s="99">
        <v>0.0</v>
      </c>
      <c r="Y421" s="99">
        <v>0.0</v>
      </c>
      <c r="Z421" s="99">
        <v>0.0</v>
      </c>
      <c r="AA421" s="99">
        <v>0.0</v>
      </c>
      <c r="AB421" s="99">
        <v>0.0</v>
      </c>
      <c r="AC421" s="99">
        <v>0.0</v>
      </c>
      <c r="AD421" s="99">
        <v>0.0</v>
      </c>
      <c r="AE421" s="99">
        <v>0.0</v>
      </c>
      <c r="AF421" s="99">
        <v>0.0</v>
      </c>
      <c r="AG421" s="99">
        <v>0.0</v>
      </c>
      <c r="AH421" s="99">
        <v>0.0</v>
      </c>
      <c r="AI421" s="99">
        <v>0.0</v>
      </c>
      <c r="AJ421" s="99">
        <v>0.0</v>
      </c>
      <c r="AK421" s="99">
        <v>0.0</v>
      </c>
      <c r="AL421" s="99">
        <v>0.0</v>
      </c>
      <c r="AM421" s="99">
        <v>0.0</v>
      </c>
      <c r="AN421" s="99">
        <v>0.0</v>
      </c>
      <c r="AO421" s="99">
        <v>0.0</v>
      </c>
      <c r="AP421" s="99">
        <v>0.0</v>
      </c>
      <c r="AQ421" s="99">
        <v>0.0</v>
      </c>
      <c r="AR421" s="99">
        <v>0.0</v>
      </c>
      <c r="AS421" s="99">
        <v>0.0</v>
      </c>
      <c r="AT421" s="99">
        <v>0.0</v>
      </c>
      <c r="AU421" s="99">
        <v>0.0</v>
      </c>
      <c r="AV421" s="99">
        <v>0.0</v>
      </c>
      <c r="AW421" s="90"/>
      <c r="AX421" s="90"/>
      <c r="AY421" s="90"/>
      <c r="AZ421" s="90"/>
      <c r="BA421" s="90"/>
      <c r="BB421" s="90"/>
      <c r="BC421" s="90"/>
      <c r="BD421" s="90"/>
      <c r="BE421" s="90"/>
      <c r="BF421" s="90"/>
      <c r="BG421" s="90"/>
    </row>
    <row r="422" ht="12.75" hidden="1" customHeight="1" outlineLevel="1">
      <c r="A422" s="90"/>
      <c r="B422" s="90"/>
      <c r="C422" s="90" t="s">
        <v>481</v>
      </c>
      <c r="D422" s="90"/>
      <c r="E422" s="90"/>
      <c r="F422" s="90"/>
      <c r="G422" s="179"/>
      <c r="H422" s="179"/>
      <c r="I422" s="99">
        <v>0.0</v>
      </c>
      <c r="J422" s="99">
        <v>0.0</v>
      </c>
      <c r="K422" s="99">
        <v>0.0</v>
      </c>
      <c r="L422" s="99">
        <v>0.0</v>
      </c>
      <c r="M422" s="99">
        <v>0.0</v>
      </c>
      <c r="N422" s="99">
        <v>0.0</v>
      </c>
      <c r="O422" s="99">
        <v>0.0</v>
      </c>
      <c r="P422" s="99">
        <v>0.0</v>
      </c>
      <c r="Q422" s="99">
        <v>0.0</v>
      </c>
      <c r="R422" s="99">
        <v>0.0</v>
      </c>
      <c r="S422" s="99">
        <v>0.0</v>
      </c>
      <c r="T422" s="99">
        <v>0.0</v>
      </c>
      <c r="U422" s="99">
        <v>0.0</v>
      </c>
      <c r="V422" s="99">
        <v>0.0</v>
      </c>
      <c r="W422" s="99">
        <v>0.0</v>
      </c>
      <c r="X422" s="99">
        <v>0.0</v>
      </c>
      <c r="Y422" s="99">
        <v>0.0</v>
      </c>
      <c r="Z422" s="99">
        <v>0.0</v>
      </c>
      <c r="AA422" s="99">
        <v>0.0</v>
      </c>
      <c r="AB422" s="99">
        <v>0.0</v>
      </c>
      <c r="AC422" s="99">
        <v>0.0</v>
      </c>
      <c r="AD422" s="99">
        <v>0.0</v>
      </c>
      <c r="AE422" s="99">
        <v>0.0</v>
      </c>
      <c r="AF422" s="99">
        <v>0.0</v>
      </c>
      <c r="AG422" s="99">
        <v>0.0</v>
      </c>
      <c r="AH422" s="99">
        <v>0.0</v>
      </c>
      <c r="AI422" s="99">
        <v>0.0</v>
      </c>
      <c r="AJ422" s="99">
        <v>0.0</v>
      </c>
      <c r="AK422" s="99">
        <v>0.0</v>
      </c>
      <c r="AL422" s="99">
        <v>0.0</v>
      </c>
      <c r="AM422" s="99">
        <v>0.0</v>
      </c>
      <c r="AN422" s="99">
        <v>0.0</v>
      </c>
      <c r="AO422" s="99">
        <v>0.0</v>
      </c>
      <c r="AP422" s="99">
        <v>0.0</v>
      </c>
      <c r="AQ422" s="99">
        <v>0.0</v>
      </c>
      <c r="AR422" s="99">
        <v>0.0</v>
      </c>
      <c r="AS422" s="99">
        <v>0.0</v>
      </c>
      <c r="AT422" s="99">
        <v>0.0</v>
      </c>
      <c r="AU422" s="99">
        <v>0.0</v>
      </c>
      <c r="AV422" s="99">
        <v>0.0</v>
      </c>
      <c r="AW422" s="90"/>
      <c r="AX422" s="90"/>
      <c r="AY422" s="90"/>
      <c r="AZ422" s="90"/>
      <c r="BA422" s="90"/>
      <c r="BB422" s="90"/>
      <c r="BC422" s="90"/>
      <c r="BD422" s="90"/>
      <c r="BE422" s="90"/>
      <c r="BF422" s="90"/>
      <c r="BG422" s="90"/>
    </row>
    <row r="423" ht="12.75" hidden="1" customHeight="1" outlineLevel="1">
      <c r="A423" s="90"/>
      <c r="B423" s="90"/>
      <c r="C423" s="90" t="s">
        <v>847</v>
      </c>
      <c r="D423" s="90"/>
      <c r="E423" s="90"/>
      <c r="F423" s="90"/>
      <c r="G423" s="179"/>
      <c r="H423" s="179"/>
      <c r="I423" s="99"/>
      <c r="J423" s="99"/>
      <c r="K423" s="99"/>
      <c r="L423" s="99"/>
      <c r="M423" s="99"/>
      <c r="N423" s="99"/>
      <c r="O423" s="99"/>
      <c r="P423" s="99"/>
      <c r="Q423" s="99"/>
      <c r="R423" s="99"/>
      <c r="S423" s="99"/>
      <c r="T423" s="99"/>
      <c r="U423" s="99"/>
      <c r="V423" s="99"/>
      <c r="W423" s="99"/>
      <c r="X423" s="99"/>
      <c r="Y423" s="99"/>
      <c r="Z423" s="99"/>
      <c r="AA423" s="99"/>
      <c r="AB423" s="99"/>
      <c r="AC423" s="99"/>
      <c r="AD423" s="99"/>
      <c r="AE423" s="99"/>
      <c r="AF423" s="99"/>
      <c r="AG423" s="99"/>
      <c r="AH423" s="99"/>
      <c r="AI423" s="99"/>
      <c r="AJ423" s="99"/>
      <c r="AK423" s="99"/>
      <c r="AL423" s="99"/>
      <c r="AM423" s="99"/>
      <c r="AN423" s="99"/>
      <c r="AO423" s="99"/>
      <c r="AP423" s="99"/>
      <c r="AQ423" s="99"/>
      <c r="AR423" s="99"/>
      <c r="AS423" s="99"/>
      <c r="AT423" s="99"/>
      <c r="AU423" s="99"/>
      <c r="AV423" s="99"/>
      <c r="AW423" s="90"/>
      <c r="AX423" s="90"/>
      <c r="AY423" s="90"/>
      <c r="AZ423" s="90"/>
      <c r="BA423" s="90"/>
      <c r="BB423" s="90"/>
      <c r="BC423" s="90"/>
      <c r="BD423" s="90"/>
      <c r="BE423" s="90"/>
      <c r="BF423" s="90"/>
      <c r="BG423" s="90"/>
    </row>
    <row r="424" ht="12.75" hidden="1" customHeight="1" outlineLevel="1">
      <c r="A424" s="90"/>
      <c r="B424" s="90"/>
      <c r="C424" s="90"/>
      <c r="D424" s="90" t="s">
        <v>557</v>
      </c>
      <c r="E424" s="90"/>
      <c r="F424" s="90"/>
      <c r="G424" s="179"/>
      <c r="H424" s="179"/>
      <c r="I424" s="99">
        <f>I442+I443</f>
        <v>0</v>
      </c>
      <c r="J424" s="99">
        <f t="shared" ref="J424:AV424" si="270">J440</f>
        <v>0</v>
      </c>
      <c r="K424" s="99" t="str">
        <f t="shared" si="270"/>
        <v/>
      </c>
      <c r="L424" s="99">
        <f t="shared" si="270"/>
        <v>-80000</v>
      </c>
      <c r="M424" s="99">
        <f t="shared" si="270"/>
        <v>-40000</v>
      </c>
      <c r="N424" s="99">
        <f t="shared" si="270"/>
        <v>-40000</v>
      </c>
      <c r="O424" s="99">
        <f t="shared" si="270"/>
        <v>-40000</v>
      </c>
      <c r="P424" s="99">
        <f t="shared" si="270"/>
        <v>0</v>
      </c>
      <c r="Q424" s="99">
        <f t="shared" si="270"/>
        <v>0</v>
      </c>
      <c r="R424" s="99">
        <f t="shared" si="270"/>
        <v>0</v>
      </c>
      <c r="S424" s="99">
        <f t="shared" si="270"/>
        <v>0</v>
      </c>
      <c r="T424" s="99">
        <f t="shared" si="270"/>
        <v>0</v>
      </c>
      <c r="U424" s="99">
        <f t="shared" si="270"/>
        <v>0</v>
      </c>
      <c r="V424" s="99">
        <f t="shared" si="270"/>
        <v>0</v>
      </c>
      <c r="W424" s="99">
        <f t="shared" si="270"/>
        <v>0</v>
      </c>
      <c r="X424" s="99">
        <f t="shared" si="270"/>
        <v>0</v>
      </c>
      <c r="Y424" s="99">
        <f t="shared" si="270"/>
        <v>0</v>
      </c>
      <c r="Z424" s="99">
        <f t="shared" si="270"/>
        <v>0</v>
      </c>
      <c r="AA424" s="99">
        <f t="shared" si="270"/>
        <v>0</v>
      </c>
      <c r="AB424" s="99">
        <f t="shared" si="270"/>
        <v>0</v>
      </c>
      <c r="AC424" s="99">
        <f t="shared" si="270"/>
        <v>0</v>
      </c>
      <c r="AD424" s="99">
        <f t="shared" si="270"/>
        <v>0</v>
      </c>
      <c r="AE424" s="99">
        <f t="shared" si="270"/>
        <v>0</v>
      </c>
      <c r="AF424" s="99">
        <f t="shared" si="270"/>
        <v>0</v>
      </c>
      <c r="AG424" s="99">
        <f t="shared" si="270"/>
        <v>0</v>
      </c>
      <c r="AH424" s="99">
        <f t="shared" si="270"/>
        <v>0</v>
      </c>
      <c r="AI424" s="99">
        <f t="shared" si="270"/>
        <v>0</v>
      </c>
      <c r="AJ424" s="99">
        <f t="shared" si="270"/>
        <v>0</v>
      </c>
      <c r="AK424" s="99">
        <f t="shared" si="270"/>
        <v>0</v>
      </c>
      <c r="AL424" s="99">
        <f t="shared" si="270"/>
        <v>0</v>
      </c>
      <c r="AM424" s="99">
        <f t="shared" si="270"/>
        <v>0</v>
      </c>
      <c r="AN424" s="99">
        <f t="shared" si="270"/>
        <v>0</v>
      </c>
      <c r="AO424" s="99">
        <f t="shared" si="270"/>
        <v>0</v>
      </c>
      <c r="AP424" s="99">
        <f t="shared" si="270"/>
        <v>0</v>
      </c>
      <c r="AQ424" s="99">
        <f t="shared" si="270"/>
        <v>0</v>
      </c>
      <c r="AR424" s="99">
        <f t="shared" si="270"/>
        <v>0</v>
      </c>
      <c r="AS424" s="99">
        <f t="shared" si="270"/>
        <v>0</v>
      </c>
      <c r="AT424" s="99">
        <f t="shared" si="270"/>
        <v>0</v>
      </c>
      <c r="AU424" s="99">
        <f t="shared" si="270"/>
        <v>0</v>
      </c>
      <c r="AV424" s="99">
        <f t="shared" si="270"/>
        <v>0</v>
      </c>
      <c r="AW424" s="90"/>
      <c r="AX424" s="90"/>
      <c r="AY424" s="90"/>
      <c r="AZ424" s="90"/>
      <c r="BA424" s="90"/>
      <c r="BB424" s="90"/>
      <c r="BC424" s="90"/>
      <c r="BD424" s="90"/>
      <c r="BE424" s="90"/>
      <c r="BF424" s="90"/>
      <c r="BG424" s="90"/>
    </row>
    <row r="425" ht="12.75" hidden="1" customHeight="1" outlineLevel="1">
      <c r="A425" s="90"/>
      <c r="B425" s="90"/>
      <c r="C425" s="90"/>
      <c r="D425" s="90" t="s">
        <v>614</v>
      </c>
      <c r="E425" s="90"/>
      <c r="F425" s="90"/>
      <c r="G425" s="179"/>
      <c r="H425" s="179"/>
      <c r="I425" s="99" t="str">
        <f t="shared" ref="I425:J425" si="271">I451</f>
        <v/>
      </c>
      <c r="J425" s="99">
        <f t="shared" si="271"/>
        <v>0</v>
      </c>
      <c r="K425" s="99">
        <f>-250000</f>
        <v>-250000</v>
      </c>
      <c r="L425" s="99">
        <v>0.0</v>
      </c>
      <c r="M425" s="99">
        <v>0.0</v>
      </c>
      <c r="N425" s="99">
        <v>0.0</v>
      </c>
      <c r="O425" s="99">
        <v>0.0</v>
      </c>
      <c r="P425" s="99">
        <v>0.0</v>
      </c>
      <c r="Q425" s="99">
        <v>0.0</v>
      </c>
      <c r="R425" s="99">
        <v>0.0</v>
      </c>
      <c r="S425" s="99">
        <v>0.0</v>
      </c>
      <c r="T425" s="99">
        <v>0.0</v>
      </c>
      <c r="U425" s="99">
        <v>0.0</v>
      </c>
      <c r="V425" s="99">
        <v>0.0</v>
      </c>
      <c r="W425" s="99">
        <v>0.0</v>
      </c>
      <c r="X425" s="99">
        <v>0.0</v>
      </c>
      <c r="Y425" s="99">
        <v>0.0</v>
      </c>
      <c r="Z425" s="99">
        <v>0.0</v>
      </c>
      <c r="AA425" s="99">
        <v>0.0</v>
      </c>
      <c r="AB425" s="99">
        <v>0.0</v>
      </c>
      <c r="AC425" s="99">
        <v>0.0</v>
      </c>
      <c r="AD425" s="99">
        <v>0.0</v>
      </c>
      <c r="AE425" s="99">
        <v>0.0</v>
      </c>
      <c r="AF425" s="99">
        <v>0.0</v>
      </c>
      <c r="AG425" s="99">
        <v>0.0</v>
      </c>
      <c r="AH425" s="99">
        <v>0.0</v>
      </c>
      <c r="AI425" s="99">
        <v>0.0</v>
      </c>
      <c r="AJ425" s="99">
        <v>0.0</v>
      </c>
      <c r="AK425" s="99">
        <v>0.0</v>
      </c>
      <c r="AL425" s="99">
        <v>0.0</v>
      </c>
      <c r="AM425" s="99">
        <v>0.0</v>
      </c>
      <c r="AN425" s="99">
        <v>0.0</v>
      </c>
      <c r="AO425" s="99">
        <v>0.0</v>
      </c>
      <c r="AP425" s="99">
        <v>0.0</v>
      </c>
      <c r="AQ425" s="99">
        <v>0.0</v>
      </c>
      <c r="AR425" s="99">
        <v>0.0</v>
      </c>
      <c r="AS425" s="99">
        <v>0.0</v>
      </c>
      <c r="AT425" s="99">
        <v>0.0</v>
      </c>
      <c r="AU425" s="99">
        <v>0.0</v>
      </c>
      <c r="AV425" s="99">
        <v>0.0</v>
      </c>
      <c r="AW425" s="90"/>
      <c r="AX425" s="90"/>
      <c r="AY425" s="90"/>
      <c r="AZ425" s="90"/>
      <c r="BA425" s="90"/>
      <c r="BB425" s="90"/>
      <c r="BC425" s="90"/>
      <c r="BD425" s="90"/>
      <c r="BE425" s="90"/>
      <c r="BF425" s="90"/>
      <c r="BG425" s="90"/>
    </row>
    <row r="426" ht="12.75" hidden="1" customHeight="1" outlineLevel="1">
      <c r="A426" s="90"/>
      <c r="B426" s="90"/>
      <c r="C426" s="90"/>
      <c r="D426" s="90" t="s">
        <v>148</v>
      </c>
      <c r="E426" s="90"/>
      <c r="F426" s="90"/>
      <c r="G426" s="179"/>
      <c r="H426" s="179"/>
      <c r="I426" s="99">
        <v>0.0</v>
      </c>
      <c r="J426" s="99">
        <f t="shared" ref="J426:AV426" si="272">J450</f>
        <v>0</v>
      </c>
      <c r="K426" s="99">
        <f t="shared" si="272"/>
        <v>0</v>
      </c>
      <c r="L426" s="99">
        <f t="shared" si="272"/>
        <v>0</v>
      </c>
      <c r="M426" s="99">
        <f t="shared" si="272"/>
        <v>0</v>
      </c>
      <c r="N426" s="99" t="str">
        <f t="shared" si="272"/>
        <v>#REF!</v>
      </c>
      <c r="O426" s="99" t="str">
        <f t="shared" si="272"/>
        <v>#REF!</v>
      </c>
      <c r="P426" s="99" t="str">
        <f t="shared" si="272"/>
        <v>#REF!</v>
      </c>
      <c r="Q426" s="99" t="str">
        <f t="shared" si="272"/>
        <v>#REF!</v>
      </c>
      <c r="R426" s="99" t="str">
        <f t="shared" si="272"/>
        <v>#REF!</v>
      </c>
      <c r="S426" s="99" t="str">
        <f t="shared" si="272"/>
        <v>#REF!</v>
      </c>
      <c r="T426" s="99" t="str">
        <f t="shared" si="272"/>
        <v>#REF!</v>
      </c>
      <c r="U426" s="99" t="str">
        <f t="shared" si="272"/>
        <v>#REF!</v>
      </c>
      <c r="V426" s="99" t="str">
        <f t="shared" si="272"/>
        <v>#REF!</v>
      </c>
      <c r="W426" s="99" t="str">
        <f t="shared" si="272"/>
        <v>#REF!</v>
      </c>
      <c r="X426" s="99" t="str">
        <f t="shared" si="272"/>
        <v>#REF!</v>
      </c>
      <c r="Y426" s="99" t="str">
        <f t="shared" si="272"/>
        <v>#REF!</v>
      </c>
      <c r="Z426" s="99" t="str">
        <f t="shared" si="272"/>
        <v>#REF!</v>
      </c>
      <c r="AA426" s="99" t="str">
        <f t="shared" si="272"/>
        <v>#REF!</v>
      </c>
      <c r="AB426" s="99" t="str">
        <f t="shared" si="272"/>
        <v>#REF!</v>
      </c>
      <c r="AC426" s="99" t="str">
        <f t="shared" si="272"/>
        <v>#REF!</v>
      </c>
      <c r="AD426" s="99" t="str">
        <f t="shared" si="272"/>
        <v>#REF!</v>
      </c>
      <c r="AE426" s="99" t="str">
        <f t="shared" si="272"/>
        <v>#REF!</v>
      </c>
      <c r="AF426" s="99" t="str">
        <f t="shared" si="272"/>
        <v>#REF!</v>
      </c>
      <c r="AG426" s="99" t="str">
        <f t="shared" si="272"/>
        <v>#REF!</v>
      </c>
      <c r="AH426" s="99" t="str">
        <f t="shared" si="272"/>
        <v>#REF!</v>
      </c>
      <c r="AI426" s="99" t="str">
        <f t="shared" si="272"/>
        <v>#REF!</v>
      </c>
      <c r="AJ426" s="99" t="str">
        <f t="shared" si="272"/>
        <v>#REF!</v>
      </c>
      <c r="AK426" s="99" t="str">
        <f t="shared" si="272"/>
        <v>#REF!</v>
      </c>
      <c r="AL426" s="99" t="str">
        <f t="shared" si="272"/>
        <v>#REF!</v>
      </c>
      <c r="AM426" s="99" t="str">
        <f t="shared" si="272"/>
        <v>#REF!</v>
      </c>
      <c r="AN426" s="99" t="str">
        <f t="shared" si="272"/>
        <v>#REF!</v>
      </c>
      <c r="AO426" s="99" t="str">
        <f t="shared" si="272"/>
        <v>#REF!</v>
      </c>
      <c r="AP426" s="99" t="str">
        <f t="shared" si="272"/>
        <v>#REF!</v>
      </c>
      <c r="AQ426" s="99" t="str">
        <f t="shared" si="272"/>
        <v>#REF!</v>
      </c>
      <c r="AR426" s="99" t="str">
        <f t="shared" si="272"/>
        <v>#REF!</v>
      </c>
      <c r="AS426" s="99" t="str">
        <f t="shared" si="272"/>
        <v>#REF!</v>
      </c>
      <c r="AT426" s="99" t="str">
        <f t="shared" si="272"/>
        <v>#REF!</v>
      </c>
      <c r="AU426" s="99" t="str">
        <f t="shared" si="272"/>
        <v>#REF!</v>
      </c>
      <c r="AV426" s="99" t="str">
        <f t="shared" si="272"/>
        <v>#VALUE!</v>
      </c>
      <c r="AW426" s="90"/>
      <c r="AX426" s="90"/>
      <c r="AY426" s="90"/>
      <c r="AZ426" s="90"/>
      <c r="BA426" s="90"/>
      <c r="BB426" s="90"/>
      <c r="BC426" s="90"/>
      <c r="BD426" s="90"/>
      <c r="BE426" s="90"/>
      <c r="BF426" s="90"/>
      <c r="BG426" s="90"/>
    </row>
    <row r="427" ht="12.75" hidden="1" customHeight="1" outlineLevel="1">
      <c r="A427" s="90"/>
      <c r="B427" s="90"/>
      <c r="C427" s="90"/>
      <c r="D427" s="90" t="s">
        <v>480</v>
      </c>
      <c r="E427" s="90"/>
      <c r="F427" s="90"/>
      <c r="G427" s="179"/>
      <c r="H427" s="179"/>
      <c r="I427" s="99">
        <v>0.0</v>
      </c>
      <c r="J427" s="99">
        <v>0.0</v>
      </c>
      <c r="K427" s="99">
        <v>0.0</v>
      </c>
      <c r="L427" s="99">
        <v>0.0</v>
      </c>
      <c r="M427" s="99">
        <v>0.0</v>
      </c>
      <c r="N427" s="99">
        <v>0.0</v>
      </c>
      <c r="O427" s="99">
        <v>0.0</v>
      </c>
      <c r="P427" s="99">
        <v>0.0</v>
      </c>
      <c r="Q427" s="99">
        <v>0.0</v>
      </c>
      <c r="R427" s="99">
        <v>0.0</v>
      </c>
      <c r="S427" s="99">
        <v>0.0</v>
      </c>
      <c r="T427" s="99">
        <v>0.0</v>
      </c>
      <c r="U427" s="99">
        <v>0.0</v>
      </c>
      <c r="V427" s="99">
        <v>0.0</v>
      </c>
      <c r="W427" s="99">
        <v>0.0</v>
      </c>
      <c r="X427" s="99">
        <v>0.0</v>
      </c>
      <c r="Y427" s="99">
        <v>0.0</v>
      </c>
      <c r="Z427" s="99">
        <v>0.0</v>
      </c>
      <c r="AA427" s="99">
        <v>0.0</v>
      </c>
      <c r="AB427" s="99">
        <v>0.0</v>
      </c>
      <c r="AC427" s="99">
        <v>0.0</v>
      </c>
      <c r="AD427" s="99">
        <v>0.0</v>
      </c>
      <c r="AE427" s="99">
        <v>0.0</v>
      </c>
      <c r="AF427" s="99">
        <v>0.0</v>
      </c>
      <c r="AG427" s="99">
        <v>0.0</v>
      </c>
      <c r="AH427" s="99">
        <v>0.0</v>
      </c>
      <c r="AI427" s="99">
        <v>0.0</v>
      </c>
      <c r="AJ427" s="99">
        <v>0.0</v>
      </c>
      <c r="AK427" s="99">
        <v>0.0</v>
      </c>
      <c r="AL427" s="99">
        <v>0.0</v>
      </c>
      <c r="AM427" s="99">
        <v>0.0</v>
      </c>
      <c r="AN427" s="99">
        <v>0.0</v>
      </c>
      <c r="AO427" s="99">
        <v>0.0</v>
      </c>
      <c r="AP427" s="99">
        <v>0.0</v>
      </c>
      <c r="AQ427" s="99">
        <v>0.0</v>
      </c>
      <c r="AR427" s="99">
        <v>0.0</v>
      </c>
      <c r="AS427" s="99">
        <v>0.0</v>
      </c>
      <c r="AT427" s="99">
        <v>0.0</v>
      </c>
      <c r="AU427" s="99">
        <v>0.0</v>
      </c>
      <c r="AV427" s="99">
        <v>0.0</v>
      </c>
      <c r="AW427" s="90"/>
      <c r="AX427" s="90"/>
      <c r="AY427" s="90"/>
      <c r="AZ427" s="90"/>
      <c r="BA427" s="90"/>
      <c r="BB427" s="90"/>
      <c r="BC427" s="90"/>
      <c r="BD427" s="90"/>
      <c r="BE427" s="90"/>
      <c r="BF427" s="90"/>
      <c r="BG427" s="90"/>
    </row>
    <row r="428" ht="12.75" hidden="1" customHeight="1" outlineLevel="1">
      <c r="A428" s="90"/>
      <c r="B428" s="148" t="s">
        <v>482</v>
      </c>
      <c r="C428" s="148"/>
      <c r="D428" s="148"/>
      <c r="E428" s="148"/>
      <c r="F428" s="148"/>
      <c r="G428" s="148"/>
      <c r="H428" s="148"/>
      <c r="I428" s="150">
        <f t="shared" ref="I428:AV428" si="273">SUM(I417:I427)</f>
        <v>0</v>
      </c>
      <c r="J428" s="150">
        <f t="shared" si="273"/>
        <v>200000</v>
      </c>
      <c r="K428" s="150">
        <f t="shared" si="273"/>
        <v>100000</v>
      </c>
      <c r="L428" s="150" t="str">
        <f t="shared" si="273"/>
        <v>#REF!</v>
      </c>
      <c r="M428" s="150" t="str">
        <f t="shared" si="273"/>
        <v>#REF!</v>
      </c>
      <c r="N428" s="150" t="str">
        <f t="shared" si="273"/>
        <v>#REF!</v>
      </c>
      <c r="O428" s="150" t="str">
        <f t="shared" si="273"/>
        <v>#REF!</v>
      </c>
      <c r="P428" s="150" t="str">
        <f t="shared" si="273"/>
        <v>#REF!</v>
      </c>
      <c r="Q428" s="150" t="str">
        <f t="shared" si="273"/>
        <v>#REF!</v>
      </c>
      <c r="R428" s="150" t="str">
        <f t="shared" si="273"/>
        <v>#REF!</v>
      </c>
      <c r="S428" s="150" t="str">
        <f t="shared" si="273"/>
        <v>#REF!</v>
      </c>
      <c r="T428" s="150" t="str">
        <f t="shared" si="273"/>
        <v>#REF!</v>
      </c>
      <c r="U428" s="150" t="str">
        <f t="shared" si="273"/>
        <v>#REF!</v>
      </c>
      <c r="V428" s="150" t="str">
        <f t="shared" si="273"/>
        <v>#REF!</v>
      </c>
      <c r="W428" s="150" t="str">
        <f t="shared" si="273"/>
        <v>#REF!</v>
      </c>
      <c r="X428" s="150" t="str">
        <f t="shared" si="273"/>
        <v>#REF!</v>
      </c>
      <c r="Y428" s="150" t="str">
        <f t="shared" si="273"/>
        <v>#REF!</v>
      </c>
      <c r="Z428" s="150" t="str">
        <f t="shared" si="273"/>
        <v>#REF!</v>
      </c>
      <c r="AA428" s="150" t="str">
        <f t="shared" si="273"/>
        <v>#REF!</v>
      </c>
      <c r="AB428" s="150" t="str">
        <f t="shared" si="273"/>
        <v>#REF!</v>
      </c>
      <c r="AC428" s="150" t="str">
        <f t="shared" si="273"/>
        <v>#REF!</v>
      </c>
      <c r="AD428" s="150" t="str">
        <f t="shared" si="273"/>
        <v>#REF!</v>
      </c>
      <c r="AE428" s="150" t="str">
        <f t="shared" si="273"/>
        <v>#REF!</v>
      </c>
      <c r="AF428" s="150" t="str">
        <f t="shared" si="273"/>
        <v>#REF!</v>
      </c>
      <c r="AG428" s="150" t="str">
        <f t="shared" si="273"/>
        <v>#REF!</v>
      </c>
      <c r="AH428" s="150" t="str">
        <f t="shared" si="273"/>
        <v>#REF!</v>
      </c>
      <c r="AI428" s="150" t="str">
        <f t="shared" si="273"/>
        <v>#REF!</v>
      </c>
      <c r="AJ428" s="150" t="str">
        <f t="shared" si="273"/>
        <v>#REF!</v>
      </c>
      <c r="AK428" s="150" t="str">
        <f t="shared" si="273"/>
        <v>#REF!</v>
      </c>
      <c r="AL428" s="150" t="str">
        <f t="shared" si="273"/>
        <v>#REF!</v>
      </c>
      <c r="AM428" s="150" t="str">
        <f t="shared" si="273"/>
        <v>#REF!</v>
      </c>
      <c r="AN428" s="150" t="str">
        <f t="shared" si="273"/>
        <v>#REF!</v>
      </c>
      <c r="AO428" s="150" t="str">
        <f t="shared" si="273"/>
        <v>#REF!</v>
      </c>
      <c r="AP428" s="150" t="str">
        <f t="shared" si="273"/>
        <v>#REF!</v>
      </c>
      <c r="AQ428" s="150" t="str">
        <f t="shared" si="273"/>
        <v>#REF!</v>
      </c>
      <c r="AR428" s="150" t="str">
        <f t="shared" si="273"/>
        <v>#REF!</v>
      </c>
      <c r="AS428" s="150" t="str">
        <f t="shared" si="273"/>
        <v>#REF!</v>
      </c>
      <c r="AT428" s="150" t="str">
        <f t="shared" si="273"/>
        <v>#REF!</v>
      </c>
      <c r="AU428" s="150" t="str">
        <f t="shared" si="273"/>
        <v>#REF!</v>
      </c>
      <c r="AV428" s="150" t="str">
        <f t="shared" si="273"/>
        <v>#VALUE!</v>
      </c>
      <c r="AW428" s="90"/>
      <c r="AX428" s="90"/>
      <c r="AY428" s="90"/>
      <c r="AZ428" s="90"/>
      <c r="BA428" s="90"/>
      <c r="BB428" s="90"/>
      <c r="BC428" s="90"/>
      <c r="BD428" s="90"/>
      <c r="BE428" s="90"/>
      <c r="BF428" s="90"/>
      <c r="BG428" s="90"/>
    </row>
    <row r="429" ht="12.75" hidden="1" customHeight="1" outlineLevel="1">
      <c r="A429" s="553" t="s">
        <v>483</v>
      </c>
      <c r="B429" s="134"/>
      <c r="C429" s="134"/>
      <c r="D429" s="134"/>
      <c r="E429" s="134"/>
      <c r="F429" s="134"/>
      <c r="G429" s="300"/>
      <c r="H429" s="300"/>
      <c r="I429" s="251">
        <f t="shared" ref="I429:AV429" si="274">I409+I413+I428</f>
        <v>0</v>
      </c>
      <c r="J429" s="251">
        <f t="shared" si="274"/>
        <v>52038.26</v>
      </c>
      <c r="K429" s="251" t="str">
        <f t="shared" si="274"/>
        <v>#REF!</v>
      </c>
      <c r="L429" s="251" t="str">
        <f t="shared" si="274"/>
        <v>#REF!</v>
      </c>
      <c r="M429" s="251" t="str">
        <f t="shared" si="274"/>
        <v>#REF!</v>
      </c>
      <c r="N429" s="251" t="str">
        <f t="shared" si="274"/>
        <v>#REF!</v>
      </c>
      <c r="O429" s="251" t="str">
        <f t="shared" si="274"/>
        <v>#REF!</v>
      </c>
      <c r="P429" s="251" t="str">
        <f t="shared" si="274"/>
        <v>#REF!</v>
      </c>
      <c r="Q429" s="251" t="str">
        <f t="shared" si="274"/>
        <v>#REF!</v>
      </c>
      <c r="R429" s="251" t="str">
        <f t="shared" si="274"/>
        <v>#REF!</v>
      </c>
      <c r="S429" s="251" t="str">
        <f t="shared" si="274"/>
        <v>#REF!</v>
      </c>
      <c r="T429" s="251" t="str">
        <f t="shared" si="274"/>
        <v>#REF!</v>
      </c>
      <c r="U429" s="251" t="str">
        <f t="shared" si="274"/>
        <v>#REF!</v>
      </c>
      <c r="V429" s="251" t="str">
        <f t="shared" si="274"/>
        <v>#REF!</v>
      </c>
      <c r="W429" s="251" t="str">
        <f t="shared" si="274"/>
        <v>#REF!</v>
      </c>
      <c r="X429" s="251" t="str">
        <f t="shared" si="274"/>
        <v>#REF!</v>
      </c>
      <c r="Y429" s="251" t="str">
        <f t="shared" si="274"/>
        <v>#REF!</v>
      </c>
      <c r="Z429" s="251" t="str">
        <f t="shared" si="274"/>
        <v>#REF!</v>
      </c>
      <c r="AA429" s="251" t="str">
        <f t="shared" si="274"/>
        <v>#REF!</v>
      </c>
      <c r="AB429" s="251" t="str">
        <f t="shared" si="274"/>
        <v>#REF!</v>
      </c>
      <c r="AC429" s="251" t="str">
        <f t="shared" si="274"/>
        <v>#REF!</v>
      </c>
      <c r="AD429" s="251" t="str">
        <f t="shared" si="274"/>
        <v>#REF!</v>
      </c>
      <c r="AE429" s="251" t="str">
        <f t="shared" si="274"/>
        <v>#REF!</v>
      </c>
      <c r="AF429" s="251" t="str">
        <f t="shared" si="274"/>
        <v>#REF!</v>
      </c>
      <c r="AG429" s="251" t="str">
        <f t="shared" si="274"/>
        <v>#REF!</v>
      </c>
      <c r="AH429" s="251" t="str">
        <f t="shared" si="274"/>
        <v>#REF!</v>
      </c>
      <c r="AI429" s="251" t="str">
        <f t="shared" si="274"/>
        <v>#REF!</v>
      </c>
      <c r="AJ429" s="251" t="str">
        <f t="shared" si="274"/>
        <v>#REF!</v>
      </c>
      <c r="AK429" s="251" t="str">
        <f t="shared" si="274"/>
        <v>#REF!</v>
      </c>
      <c r="AL429" s="251" t="str">
        <f t="shared" si="274"/>
        <v>#REF!</v>
      </c>
      <c r="AM429" s="251" t="str">
        <f t="shared" si="274"/>
        <v>#REF!</v>
      </c>
      <c r="AN429" s="251" t="str">
        <f t="shared" si="274"/>
        <v>#REF!</v>
      </c>
      <c r="AO429" s="251" t="str">
        <f t="shared" si="274"/>
        <v>#REF!</v>
      </c>
      <c r="AP429" s="251" t="str">
        <f t="shared" si="274"/>
        <v>#REF!</v>
      </c>
      <c r="AQ429" s="251" t="str">
        <f t="shared" si="274"/>
        <v>#REF!</v>
      </c>
      <c r="AR429" s="251" t="str">
        <f t="shared" si="274"/>
        <v>#REF!</v>
      </c>
      <c r="AS429" s="251" t="str">
        <f t="shared" si="274"/>
        <v>#REF!</v>
      </c>
      <c r="AT429" s="251" t="str">
        <f t="shared" si="274"/>
        <v>#REF!</v>
      </c>
      <c r="AU429" s="251" t="str">
        <f t="shared" si="274"/>
        <v>#REF!</v>
      </c>
      <c r="AV429" s="251" t="str">
        <f t="shared" si="274"/>
        <v>#REF!</v>
      </c>
      <c r="AW429" s="90"/>
      <c r="AX429" s="90"/>
      <c r="AY429" s="90"/>
      <c r="AZ429" s="90"/>
      <c r="BA429" s="90"/>
      <c r="BB429" s="90"/>
      <c r="BC429" s="90"/>
      <c r="BD429" s="90"/>
      <c r="BE429" s="90"/>
      <c r="BF429" s="90"/>
      <c r="BG429" s="90"/>
    </row>
    <row r="430" ht="12.75" hidden="1" customHeight="1" outlineLevel="1">
      <c r="A430" s="515"/>
      <c r="B430" s="90" t="s">
        <v>216</v>
      </c>
      <c r="C430" s="67"/>
      <c r="D430" s="67"/>
      <c r="E430" s="67"/>
      <c r="F430" s="67"/>
      <c r="G430" s="179"/>
      <c r="H430" s="179"/>
      <c r="I430" s="147" t="str">
        <f t="shared" ref="I430:AV430" si="275">H431</f>
        <v/>
      </c>
      <c r="J430" s="147">
        <f t="shared" si="275"/>
        <v>0</v>
      </c>
      <c r="K430" s="147">
        <f t="shared" si="275"/>
        <v>52038.26</v>
      </c>
      <c r="L430" s="147" t="str">
        <f t="shared" si="275"/>
        <v>#REF!</v>
      </c>
      <c r="M430" s="147" t="str">
        <f t="shared" si="275"/>
        <v>#REF!</v>
      </c>
      <c r="N430" s="147" t="str">
        <f t="shared" si="275"/>
        <v>#REF!</v>
      </c>
      <c r="O430" s="147" t="str">
        <f t="shared" si="275"/>
        <v>#REF!</v>
      </c>
      <c r="P430" s="147" t="str">
        <f t="shared" si="275"/>
        <v>#REF!</v>
      </c>
      <c r="Q430" s="147" t="str">
        <f t="shared" si="275"/>
        <v>#REF!</v>
      </c>
      <c r="R430" s="147" t="str">
        <f t="shared" si="275"/>
        <v>#REF!</v>
      </c>
      <c r="S430" s="147" t="str">
        <f t="shared" si="275"/>
        <v>#REF!</v>
      </c>
      <c r="T430" s="147" t="str">
        <f t="shared" si="275"/>
        <v>#REF!</v>
      </c>
      <c r="U430" s="147" t="str">
        <f t="shared" si="275"/>
        <v>#REF!</v>
      </c>
      <c r="V430" s="147" t="str">
        <f t="shared" si="275"/>
        <v>#REF!</v>
      </c>
      <c r="W430" s="147" t="str">
        <f t="shared" si="275"/>
        <v>#REF!</v>
      </c>
      <c r="X430" s="147" t="str">
        <f t="shared" si="275"/>
        <v>#REF!</v>
      </c>
      <c r="Y430" s="147" t="str">
        <f t="shared" si="275"/>
        <v>#REF!</v>
      </c>
      <c r="Z430" s="147" t="str">
        <f t="shared" si="275"/>
        <v>#REF!</v>
      </c>
      <c r="AA430" s="147" t="str">
        <f t="shared" si="275"/>
        <v>#REF!</v>
      </c>
      <c r="AB430" s="147" t="str">
        <f t="shared" si="275"/>
        <v>#REF!</v>
      </c>
      <c r="AC430" s="147" t="str">
        <f t="shared" si="275"/>
        <v>#REF!</v>
      </c>
      <c r="AD430" s="147" t="str">
        <f t="shared" si="275"/>
        <v>#REF!</v>
      </c>
      <c r="AE430" s="147" t="str">
        <f t="shared" si="275"/>
        <v>#REF!</v>
      </c>
      <c r="AF430" s="147" t="str">
        <f t="shared" si="275"/>
        <v>#REF!</v>
      </c>
      <c r="AG430" s="147" t="str">
        <f t="shared" si="275"/>
        <v>#REF!</v>
      </c>
      <c r="AH430" s="147" t="str">
        <f t="shared" si="275"/>
        <v>#REF!</v>
      </c>
      <c r="AI430" s="147" t="str">
        <f t="shared" si="275"/>
        <v>#REF!</v>
      </c>
      <c r="AJ430" s="147" t="str">
        <f t="shared" si="275"/>
        <v>#REF!</v>
      </c>
      <c r="AK430" s="147" t="str">
        <f t="shared" si="275"/>
        <v>#REF!</v>
      </c>
      <c r="AL430" s="147" t="str">
        <f t="shared" si="275"/>
        <v>#REF!</v>
      </c>
      <c r="AM430" s="147" t="str">
        <f t="shared" si="275"/>
        <v>#REF!</v>
      </c>
      <c r="AN430" s="147" t="str">
        <f t="shared" si="275"/>
        <v>#REF!</v>
      </c>
      <c r="AO430" s="147" t="str">
        <f t="shared" si="275"/>
        <v>#REF!</v>
      </c>
      <c r="AP430" s="147" t="str">
        <f t="shared" si="275"/>
        <v>#REF!</v>
      </c>
      <c r="AQ430" s="147" t="str">
        <f t="shared" si="275"/>
        <v>#REF!</v>
      </c>
      <c r="AR430" s="147" t="str">
        <f t="shared" si="275"/>
        <v>#REF!</v>
      </c>
      <c r="AS430" s="147" t="str">
        <f t="shared" si="275"/>
        <v>#REF!</v>
      </c>
      <c r="AT430" s="147" t="str">
        <f t="shared" si="275"/>
        <v>#REF!</v>
      </c>
      <c r="AU430" s="147" t="str">
        <f t="shared" si="275"/>
        <v>#REF!</v>
      </c>
      <c r="AV430" s="147" t="str">
        <f t="shared" si="275"/>
        <v>#REF!</v>
      </c>
      <c r="AW430" s="90"/>
      <c r="AX430" s="90"/>
      <c r="AY430" s="90"/>
      <c r="AZ430" s="90"/>
      <c r="BA430" s="90"/>
      <c r="BB430" s="90"/>
      <c r="BC430" s="90"/>
      <c r="BD430" s="90"/>
      <c r="BE430" s="90"/>
      <c r="BF430" s="90"/>
      <c r="BG430" s="90"/>
    </row>
    <row r="431" ht="12.75" hidden="1" customHeight="1" outlineLevel="1">
      <c r="A431" s="554" t="s">
        <v>484</v>
      </c>
      <c r="B431" s="131"/>
      <c r="C431" s="131"/>
      <c r="D431" s="131"/>
      <c r="E431" s="131"/>
      <c r="F431" s="131"/>
      <c r="G431" s="131"/>
      <c r="H431" s="131"/>
      <c r="I431" s="252">
        <f t="shared" ref="I431:AV431" si="276">I429+I430</f>
        <v>0</v>
      </c>
      <c r="J431" s="252">
        <f t="shared" si="276"/>
        <v>52038.26</v>
      </c>
      <c r="K431" s="252" t="str">
        <f t="shared" si="276"/>
        <v>#REF!</v>
      </c>
      <c r="L431" s="252" t="str">
        <f t="shared" si="276"/>
        <v>#REF!</v>
      </c>
      <c r="M431" s="252" t="str">
        <f t="shared" si="276"/>
        <v>#REF!</v>
      </c>
      <c r="N431" s="252" t="str">
        <f t="shared" si="276"/>
        <v>#REF!</v>
      </c>
      <c r="O431" s="252" t="str">
        <f t="shared" si="276"/>
        <v>#REF!</v>
      </c>
      <c r="P431" s="252" t="str">
        <f t="shared" si="276"/>
        <v>#REF!</v>
      </c>
      <c r="Q431" s="252" t="str">
        <f t="shared" si="276"/>
        <v>#REF!</v>
      </c>
      <c r="R431" s="252" t="str">
        <f t="shared" si="276"/>
        <v>#REF!</v>
      </c>
      <c r="S431" s="252" t="str">
        <f t="shared" si="276"/>
        <v>#REF!</v>
      </c>
      <c r="T431" s="252" t="str">
        <f t="shared" si="276"/>
        <v>#REF!</v>
      </c>
      <c r="U431" s="252" t="str">
        <f t="shared" si="276"/>
        <v>#REF!</v>
      </c>
      <c r="V431" s="252" t="str">
        <f t="shared" si="276"/>
        <v>#REF!</v>
      </c>
      <c r="W431" s="252" t="str">
        <f t="shared" si="276"/>
        <v>#REF!</v>
      </c>
      <c r="X431" s="252" t="str">
        <f t="shared" si="276"/>
        <v>#REF!</v>
      </c>
      <c r="Y431" s="252" t="str">
        <f t="shared" si="276"/>
        <v>#REF!</v>
      </c>
      <c r="Z431" s="252" t="str">
        <f t="shared" si="276"/>
        <v>#REF!</v>
      </c>
      <c r="AA431" s="252" t="str">
        <f t="shared" si="276"/>
        <v>#REF!</v>
      </c>
      <c r="AB431" s="252" t="str">
        <f t="shared" si="276"/>
        <v>#REF!</v>
      </c>
      <c r="AC431" s="252" t="str">
        <f t="shared" si="276"/>
        <v>#REF!</v>
      </c>
      <c r="AD431" s="252" t="str">
        <f t="shared" si="276"/>
        <v>#REF!</v>
      </c>
      <c r="AE431" s="252" t="str">
        <f t="shared" si="276"/>
        <v>#REF!</v>
      </c>
      <c r="AF431" s="252" t="str">
        <f t="shared" si="276"/>
        <v>#REF!</v>
      </c>
      <c r="AG431" s="252" t="str">
        <f t="shared" si="276"/>
        <v>#REF!</v>
      </c>
      <c r="AH431" s="252" t="str">
        <f t="shared" si="276"/>
        <v>#REF!</v>
      </c>
      <c r="AI431" s="252" t="str">
        <f t="shared" si="276"/>
        <v>#REF!</v>
      </c>
      <c r="AJ431" s="252" t="str">
        <f t="shared" si="276"/>
        <v>#REF!</v>
      </c>
      <c r="AK431" s="252" t="str">
        <f t="shared" si="276"/>
        <v>#REF!</v>
      </c>
      <c r="AL431" s="252" t="str">
        <f t="shared" si="276"/>
        <v>#REF!</v>
      </c>
      <c r="AM431" s="252" t="str">
        <f t="shared" si="276"/>
        <v>#REF!</v>
      </c>
      <c r="AN431" s="252" t="str">
        <f t="shared" si="276"/>
        <v>#REF!</v>
      </c>
      <c r="AO431" s="252" t="str">
        <f t="shared" si="276"/>
        <v>#REF!</v>
      </c>
      <c r="AP431" s="252" t="str">
        <f t="shared" si="276"/>
        <v>#REF!</v>
      </c>
      <c r="AQ431" s="252" t="str">
        <f t="shared" si="276"/>
        <v>#REF!</v>
      </c>
      <c r="AR431" s="252" t="str">
        <f t="shared" si="276"/>
        <v>#REF!</v>
      </c>
      <c r="AS431" s="252" t="str">
        <f t="shared" si="276"/>
        <v>#REF!</v>
      </c>
      <c r="AT431" s="252" t="str">
        <f t="shared" si="276"/>
        <v>#REF!</v>
      </c>
      <c r="AU431" s="252" t="str">
        <f t="shared" si="276"/>
        <v>#REF!</v>
      </c>
      <c r="AV431" s="252" t="str">
        <f t="shared" si="276"/>
        <v>#REF!</v>
      </c>
      <c r="AW431" s="90"/>
      <c r="AX431" s="90"/>
      <c r="AY431" s="90"/>
      <c r="AZ431" s="90"/>
      <c r="BA431" s="90"/>
      <c r="BB431" s="90"/>
      <c r="BC431" s="90"/>
      <c r="BD431" s="90"/>
      <c r="BE431" s="90"/>
      <c r="BF431" s="90"/>
      <c r="BG431" s="90"/>
    </row>
    <row r="432" ht="12.75" hidden="1" customHeight="1" outlineLevel="1">
      <c r="A432" s="515"/>
      <c r="B432" s="90"/>
      <c r="C432" s="90"/>
      <c r="D432" s="90"/>
      <c r="E432" s="90"/>
      <c r="F432" s="90"/>
      <c r="G432" s="179"/>
      <c r="H432" s="179"/>
      <c r="I432" s="114"/>
      <c r="J432" s="114"/>
      <c r="K432" s="114"/>
      <c r="L432" s="114"/>
      <c r="M432" s="114"/>
      <c r="N432" s="114"/>
      <c r="O432" s="114"/>
      <c r="P432" s="114"/>
      <c r="Q432" s="114"/>
      <c r="R432" s="114"/>
      <c r="S432" s="114"/>
      <c r="T432" s="91"/>
      <c r="U432" s="91"/>
      <c r="V432" s="91"/>
      <c r="W432" s="91"/>
      <c r="X432" s="91"/>
      <c r="Y432" s="91"/>
      <c r="Z432" s="91"/>
      <c r="AA432" s="91"/>
      <c r="AB432" s="91"/>
      <c r="AC432" s="91"/>
      <c r="AD432" s="91"/>
      <c r="AE432" s="91"/>
      <c r="AF432" s="91"/>
      <c r="AG432" s="91"/>
      <c r="AH432" s="91"/>
      <c r="AI432" s="91"/>
      <c r="AJ432" s="91"/>
      <c r="AK432" s="91"/>
      <c r="AL432" s="91"/>
      <c r="AM432" s="91"/>
      <c r="AN432" s="91"/>
      <c r="AO432" s="91"/>
      <c r="AP432" s="91"/>
      <c r="AQ432" s="91"/>
      <c r="AR432" s="91"/>
      <c r="AS432" s="91"/>
      <c r="AT432" s="91"/>
      <c r="AU432" s="91"/>
      <c r="AV432" s="91"/>
      <c r="AW432" s="90"/>
      <c r="AX432" s="90"/>
      <c r="AY432" s="90"/>
      <c r="AZ432" s="90"/>
      <c r="BA432" s="90"/>
      <c r="BB432" s="90"/>
      <c r="BC432" s="90"/>
      <c r="BD432" s="90"/>
      <c r="BE432" s="90"/>
      <c r="BF432" s="90"/>
      <c r="BG432" s="90"/>
    </row>
    <row r="433" ht="12.75" customHeight="1">
      <c r="A433" s="316"/>
      <c r="B433" s="90"/>
      <c r="C433" s="90"/>
      <c r="D433" s="90"/>
      <c r="E433" s="90"/>
      <c r="F433" s="90"/>
      <c r="G433" s="90"/>
      <c r="H433" s="90"/>
      <c r="I433" s="90"/>
      <c r="J433" s="90"/>
      <c r="K433" s="90"/>
      <c r="L433" s="90"/>
      <c r="M433" s="90"/>
      <c r="N433" s="90"/>
      <c r="O433" s="90"/>
      <c r="P433" s="90"/>
      <c r="Q433" s="90"/>
      <c r="R433" s="90"/>
      <c r="S433" s="90"/>
      <c r="T433" s="90"/>
      <c r="U433" s="90"/>
      <c r="V433" s="90"/>
      <c r="W433" s="90"/>
      <c r="X433" s="90"/>
      <c r="Y433" s="90"/>
      <c r="Z433" s="90"/>
      <c r="AA433" s="90"/>
      <c r="AB433" s="90"/>
      <c r="AC433" s="90"/>
      <c r="AD433" s="90"/>
      <c r="AE433" s="90"/>
      <c r="AF433" s="90"/>
      <c r="AG433" s="90"/>
      <c r="AH433" s="90"/>
      <c r="AI433" s="90"/>
      <c r="AJ433" s="90"/>
      <c r="AK433" s="90"/>
      <c r="AL433" s="90"/>
      <c r="AM433" s="90"/>
      <c r="AN433" s="90"/>
      <c r="AO433" s="90"/>
      <c r="AP433" s="90"/>
      <c r="AQ433" s="90"/>
      <c r="AR433" s="90"/>
      <c r="AS433" s="90"/>
      <c r="AT433" s="90"/>
      <c r="AU433" s="90"/>
      <c r="AV433" s="90"/>
      <c r="AW433" s="90"/>
      <c r="AX433" s="90"/>
      <c r="AY433" s="90"/>
      <c r="AZ433" s="90"/>
      <c r="BA433" s="90"/>
      <c r="BB433" s="90"/>
      <c r="BC433" s="90"/>
      <c r="BD433" s="90"/>
      <c r="BE433" s="90"/>
      <c r="BF433" s="90"/>
      <c r="BG433" s="90"/>
    </row>
    <row r="434" ht="12.75" customHeight="1">
      <c r="A434" s="105" t="s">
        <v>848</v>
      </c>
      <c r="B434" s="253"/>
      <c r="C434" s="253"/>
      <c r="D434" s="253"/>
      <c r="E434" s="253"/>
      <c r="F434" s="253"/>
      <c r="G434" s="253"/>
      <c r="H434" s="253"/>
      <c r="I434" s="253"/>
      <c r="J434" s="253"/>
      <c r="K434" s="253"/>
      <c r="L434" s="253"/>
      <c r="M434" s="253"/>
      <c r="N434" s="253"/>
      <c r="O434" s="253"/>
      <c r="P434" s="253"/>
      <c r="Q434" s="253"/>
      <c r="R434" s="253"/>
      <c r="S434" s="253"/>
      <c r="T434" s="253"/>
      <c r="U434" s="253"/>
      <c r="V434" s="253"/>
      <c r="W434" s="253"/>
      <c r="X434" s="253"/>
      <c r="Y434" s="253"/>
      <c r="Z434" s="253"/>
      <c r="AA434" s="253"/>
      <c r="AB434" s="253"/>
      <c r="AC434" s="253"/>
      <c r="AD434" s="253"/>
      <c r="AE434" s="253"/>
      <c r="AF434" s="253"/>
      <c r="AG434" s="253"/>
      <c r="AH434" s="253"/>
      <c r="AI434" s="253"/>
      <c r="AJ434" s="253"/>
      <c r="AK434" s="253"/>
      <c r="AL434" s="253"/>
      <c r="AM434" s="253"/>
      <c r="AN434" s="253"/>
      <c r="AO434" s="253"/>
      <c r="AP434" s="253"/>
      <c r="AQ434" s="253"/>
      <c r="AR434" s="253"/>
      <c r="AS434" s="253"/>
      <c r="AT434" s="253"/>
      <c r="AU434" s="253"/>
      <c r="AV434" s="253"/>
      <c r="AW434" s="253"/>
      <c r="AX434" s="90"/>
      <c r="AY434" s="90"/>
      <c r="AZ434" s="90"/>
      <c r="BA434" s="90"/>
      <c r="BB434" s="90"/>
      <c r="BC434" s="90"/>
      <c r="BD434" s="90"/>
      <c r="BE434" s="90"/>
      <c r="BF434" s="90"/>
      <c r="BG434" s="90"/>
    </row>
    <row r="435" ht="12.75" hidden="1" customHeight="1" outlineLevel="1">
      <c r="A435" s="316"/>
      <c r="B435" s="90"/>
      <c r="C435" s="90"/>
      <c r="D435" s="90"/>
      <c r="E435" s="90"/>
      <c r="F435" s="90"/>
      <c r="G435" s="90"/>
      <c r="H435" s="90"/>
      <c r="I435" s="90"/>
      <c r="J435" s="90"/>
      <c r="K435" s="90"/>
      <c r="L435" s="90"/>
      <c r="M435" s="90"/>
      <c r="N435" s="90"/>
      <c r="O435" s="90"/>
      <c r="P435" s="90"/>
      <c r="Q435" s="90"/>
      <c r="R435" s="90"/>
      <c r="S435" s="90"/>
      <c r="T435" s="90"/>
      <c r="U435" s="90"/>
      <c r="V435" s="90"/>
      <c r="W435" s="90"/>
      <c r="X435" s="90"/>
      <c r="Y435" s="90"/>
      <c r="Z435" s="90"/>
      <c r="AA435" s="90"/>
      <c r="AB435" s="90"/>
      <c r="AC435" s="90"/>
      <c r="AD435" s="90"/>
      <c r="AE435" s="90"/>
      <c r="AF435" s="90"/>
      <c r="AG435" s="90"/>
      <c r="AH435" s="90"/>
      <c r="AI435" s="90"/>
      <c r="AJ435" s="90"/>
      <c r="AK435" s="90"/>
      <c r="AL435" s="90"/>
      <c r="AM435" s="90"/>
      <c r="AN435" s="90"/>
      <c r="AO435" s="90"/>
      <c r="AP435" s="90"/>
      <c r="AQ435" s="90"/>
      <c r="AR435" s="90"/>
      <c r="AS435" s="90"/>
      <c r="AT435" s="90"/>
      <c r="AU435" s="90"/>
      <c r="AV435" s="90"/>
      <c r="AW435" s="90"/>
      <c r="AX435" s="90"/>
      <c r="AY435" s="90"/>
      <c r="AZ435" s="90"/>
      <c r="BA435" s="90"/>
      <c r="BB435" s="90"/>
      <c r="BC435" s="90"/>
      <c r="BD435" s="90"/>
      <c r="BE435" s="90"/>
      <c r="BF435" s="90"/>
      <c r="BG435" s="90"/>
    </row>
    <row r="436" ht="12.75" hidden="1" customHeight="1" outlineLevel="1">
      <c r="A436" s="316"/>
      <c r="B436" s="67" t="s">
        <v>557</v>
      </c>
      <c r="C436" s="90"/>
      <c r="D436" s="90"/>
      <c r="E436" s="90"/>
      <c r="F436" s="90"/>
      <c r="G436" s="90"/>
      <c r="H436" s="90"/>
      <c r="I436" s="90"/>
      <c r="J436" s="90"/>
      <c r="K436" s="90"/>
      <c r="L436" s="90"/>
      <c r="M436" s="90"/>
      <c r="N436" s="90"/>
      <c r="O436" s="90"/>
      <c r="P436" s="90"/>
      <c r="Q436" s="90"/>
      <c r="R436" s="90"/>
      <c r="S436" s="90"/>
      <c r="T436" s="90"/>
      <c r="U436" s="90"/>
      <c r="V436" s="90"/>
      <c r="W436" s="90"/>
      <c r="X436" s="90"/>
      <c r="Y436" s="90"/>
      <c r="Z436" s="90"/>
      <c r="AA436" s="90"/>
      <c r="AB436" s="90"/>
      <c r="AC436" s="90"/>
      <c r="AD436" s="90"/>
      <c r="AE436" s="90"/>
      <c r="AF436" s="90"/>
      <c r="AG436" s="90"/>
      <c r="AH436" s="90"/>
      <c r="AI436" s="90"/>
      <c r="AJ436" s="90"/>
      <c r="AK436" s="90"/>
      <c r="AL436" s="90"/>
      <c r="AM436" s="90"/>
      <c r="AN436" s="90"/>
      <c r="AO436" s="90"/>
      <c r="AP436" s="90"/>
      <c r="AQ436" s="90"/>
      <c r="AR436" s="90"/>
      <c r="AS436" s="90"/>
      <c r="AT436" s="90"/>
      <c r="AU436" s="90"/>
      <c r="AV436" s="90"/>
      <c r="AW436" s="90"/>
      <c r="AX436" s="90"/>
      <c r="AY436" s="90"/>
      <c r="AZ436" s="90"/>
      <c r="BA436" s="90"/>
      <c r="BB436" s="90"/>
      <c r="BC436" s="90"/>
      <c r="BD436" s="90"/>
      <c r="BE436" s="90"/>
      <c r="BF436" s="90"/>
      <c r="BG436" s="90"/>
    </row>
    <row r="437" ht="12.75" hidden="1" customHeight="1" outlineLevel="1">
      <c r="A437" s="316"/>
      <c r="B437" s="90"/>
      <c r="C437" s="90" t="s">
        <v>487</v>
      </c>
      <c r="D437" s="90"/>
      <c r="E437" s="90"/>
      <c r="F437" s="90"/>
      <c r="G437" s="254"/>
      <c r="H437" s="254"/>
      <c r="I437" s="254"/>
      <c r="J437" s="99" t="str">
        <f t="shared" ref="J437:AV437" si="277">+I444</f>
        <v/>
      </c>
      <c r="K437" s="99">
        <f t="shared" si="277"/>
        <v>200000</v>
      </c>
      <c r="L437" s="99">
        <f t="shared" si="277"/>
        <v>200000</v>
      </c>
      <c r="M437" s="99">
        <f t="shared" si="277"/>
        <v>120000</v>
      </c>
      <c r="N437" s="99">
        <f t="shared" si="277"/>
        <v>80000</v>
      </c>
      <c r="O437" s="99">
        <f t="shared" si="277"/>
        <v>40000</v>
      </c>
      <c r="P437" s="99">
        <f t="shared" si="277"/>
        <v>0</v>
      </c>
      <c r="Q437" s="99">
        <f t="shared" si="277"/>
        <v>0</v>
      </c>
      <c r="R437" s="99">
        <f t="shared" si="277"/>
        <v>0</v>
      </c>
      <c r="S437" s="99">
        <f t="shared" si="277"/>
        <v>0</v>
      </c>
      <c r="T437" s="99">
        <f t="shared" si="277"/>
        <v>0</v>
      </c>
      <c r="U437" s="99">
        <f t="shared" si="277"/>
        <v>0</v>
      </c>
      <c r="V437" s="99">
        <f t="shared" si="277"/>
        <v>0</v>
      </c>
      <c r="W437" s="99">
        <f t="shared" si="277"/>
        <v>0</v>
      </c>
      <c r="X437" s="99">
        <f t="shared" si="277"/>
        <v>0</v>
      </c>
      <c r="Y437" s="99">
        <f t="shared" si="277"/>
        <v>0</v>
      </c>
      <c r="Z437" s="99">
        <f t="shared" si="277"/>
        <v>0</v>
      </c>
      <c r="AA437" s="99">
        <f t="shared" si="277"/>
        <v>0</v>
      </c>
      <c r="AB437" s="99">
        <f t="shared" si="277"/>
        <v>0</v>
      </c>
      <c r="AC437" s="99">
        <f t="shared" si="277"/>
        <v>0</v>
      </c>
      <c r="AD437" s="99">
        <f t="shared" si="277"/>
        <v>0</v>
      </c>
      <c r="AE437" s="99">
        <f t="shared" si="277"/>
        <v>0</v>
      </c>
      <c r="AF437" s="99">
        <f t="shared" si="277"/>
        <v>0</v>
      </c>
      <c r="AG437" s="99">
        <f t="shared" si="277"/>
        <v>0</v>
      </c>
      <c r="AH437" s="99">
        <f t="shared" si="277"/>
        <v>0</v>
      </c>
      <c r="AI437" s="99">
        <f t="shared" si="277"/>
        <v>0</v>
      </c>
      <c r="AJ437" s="99">
        <f t="shared" si="277"/>
        <v>0</v>
      </c>
      <c r="AK437" s="99">
        <f t="shared" si="277"/>
        <v>0</v>
      </c>
      <c r="AL437" s="99">
        <f t="shared" si="277"/>
        <v>0</v>
      </c>
      <c r="AM437" s="99">
        <f t="shared" si="277"/>
        <v>0</v>
      </c>
      <c r="AN437" s="99">
        <f t="shared" si="277"/>
        <v>0</v>
      </c>
      <c r="AO437" s="99">
        <f t="shared" si="277"/>
        <v>0</v>
      </c>
      <c r="AP437" s="99">
        <f t="shared" si="277"/>
        <v>0</v>
      </c>
      <c r="AQ437" s="99">
        <f t="shared" si="277"/>
        <v>0</v>
      </c>
      <c r="AR437" s="99">
        <f t="shared" si="277"/>
        <v>0</v>
      </c>
      <c r="AS437" s="99">
        <f t="shared" si="277"/>
        <v>0</v>
      </c>
      <c r="AT437" s="99">
        <f t="shared" si="277"/>
        <v>0</v>
      </c>
      <c r="AU437" s="99">
        <f t="shared" si="277"/>
        <v>0</v>
      </c>
      <c r="AV437" s="99">
        <f t="shared" si="277"/>
        <v>0</v>
      </c>
      <c r="AW437" s="90"/>
      <c r="AX437" s="90"/>
      <c r="AY437" s="90"/>
      <c r="AZ437" s="90"/>
      <c r="BA437" s="90"/>
      <c r="BB437" s="90"/>
      <c r="BC437" s="90"/>
      <c r="BD437" s="90"/>
      <c r="BE437" s="90"/>
      <c r="BF437" s="90"/>
      <c r="BG437" s="90"/>
    </row>
    <row r="438" ht="12.75" hidden="1" customHeight="1" outlineLevel="1">
      <c r="A438" s="316"/>
      <c r="B438" s="90"/>
      <c r="C438" s="90" t="s">
        <v>488</v>
      </c>
      <c r="D438" s="90"/>
      <c r="E438" s="90"/>
      <c r="F438" s="90"/>
      <c r="G438" s="254"/>
      <c r="H438" s="254"/>
      <c r="I438" s="254"/>
      <c r="J438" s="254">
        <v>200000.0</v>
      </c>
      <c r="K438" s="254">
        <v>0.0</v>
      </c>
      <c r="L438" s="254">
        <v>0.0</v>
      </c>
      <c r="M438" s="254">
        <v>0.0</v>
      </c>
      <c r="N438" s="254">
        <v>0.0</v>
      </c>
      <c r="O438" s="254">
        <v>0.0</v>
      </c>
      <c r="P438" s="254">
        <v>0.0</v>
      </c>
      <c r="Q438" s="254">
        <v>0.0</v>
      </c>
      <c r="R438" s="254">
        <v>0.0</v>
      </c>
      <c r="S438" s="254">
        <v>0.0</v>
      </c>
      <c r="T438" s="254">
        <v>0.0</v>
      </c>
      <c r="U438" s="254">
        <v>0.0</v>
      </c>
      <c r="V438" s="254">
        <v>0.0</v>
      </c>
      <c r="W438" s="254">
        <v>0.0</v>
      </c>
      <c r="X438" s="254">
        <v>0.0</v>
      </c>
      <c r="Y438" s="254">
        <v>0.0</v>
      </c>
      <c r="Z438" s="254">
        <v>0.0</v>
      </c>
      <c r="AA438" s="254">
        <v>0.0</v>
      </c>
      <c r="AB438" s="254">
        <v>0.0</v>
      </c>
      <c r="AC438" s="254">
        <v>0.0</v>
      </c>
      <c r="AD438" s="254">
        <v>0.0</v>
      </c>
      <c r="AE438" s="254">
        <v>0.0</v>
      </c>
      <c r="AF438" s="254">
        <v>0.0</v>
      </c>
      <c r="AG438" s="254">
        <v>0.0</v>
      </c>
      <c r="AH438" s="254">
        <v>0.0</v>
      </c>
      <c r="AI438" s="254">
        <v>0.0</v>
      </c>
      <c r="AJ438" s="254">
        <v>0.0</v>
      </c>
      <c r="AK438" s="254">
        <v>0.0</v>
      </c>
      <c r="AL438" s="254">
        <v>0.0</v>
      </c>
      <c r="AM438" s="254">
        <v>0.0</v>
      </c>
      <c r="AN438" s="254">
        <v>0.0</v>
      </c>
      <c r="AO438" s="254">
        <v>0.0</v>
      </c>
      <c r="AP438" s="254">
        <v>0.0</v>
      </c>
      <c r="AQ438" s="254">
        <v>0.0</v>
      </c>
      <c r="AR438" s="254">
        <v>0.0</v>
      </c>
      <c r="AS438" s="254">
        <v>0.0</v>
      </c>
      <c r="AT438" s="254">
        <v>0.0</v>
      </c>
      <c r="AU438" s="254">
        <v>0.0</v>
      </c>
      <c r="AV438" s="254">
        <v>0.0</v>
      </c>
      <c r="AW438" s="90"/>
      <c r="AX438" s="90"/>
      <c r="AY438" s="90"/>
      <c r="AZ438" s="90"/>
      <c r="BA438" s="90"/>
      <c r="BB438" s="90"/>
      <c r="BC438" s="90"/>
      <c r="BD438" s="90"/>
      <c r="BE438" s="90"/>
      <c r="BF438" s="90"/>
      <c r="BG438" s="90"/>
    </row>
    <row r="439" ht="12.75" hidden="1" customHeight="1" outlineLevel="1">
      <c r="A439" s="316"/>
      <c r="B439" s="90"/>
      <c r="C439" s="90" t="s">
        <v>490</v>
      </c>
      <c r="D439" s="90"/>
      <c r="E439" s="90"/>
      <c r="F439" s="90"/>
      <c r="G439" s="254"/>
      <c r="H439" s="254"/>
      <c r="I439" s="254"/>
      <c r="J439" s="254"/>
      <c r="K439" s="254"/>
      <c r="L439" s="254"/>
      <c r="M439" s="254"/>
      <c r="N439" s="254"/>
      <c r="O439" s="254"/>
      <c r="P439" s="254"/>
      <c r="Q439" s="254"/>
      <c r="R439" s="254"/>
      <c r="S439" s="254"/>
      <c r="T439" s="254"/>
      <c r="U439" s="254"/>
      <c r="V439" s="254"/>
      <c r="W439" s="254"/>
      <c r="X439" s="254"/>
      <c r="Y439" s="254"/>
      <c r="Z439" s="254"/>
      <c r="AA439" s="254"/>
      <c r="AB439" s="254"/>
      <c r="AC439" s="254"/>
      <c r="AD439" s="254"/>
      <c r="AE439" s="254"/>
      <c r="AF439" s="254"/>
      <c r="AG439" s="254"/>
      <c r="AH439" s="254"/>
      <c r="AI439" s="254"/>
      <c r="AJ439" s="254"/>
      <c r="AK439" s="254"/>
      <c r="AL439" s="254"/>
      <c r="AM439" s="254"/>
      <c r="AN439" s="254"/>
      <c r="AO439" s="254"/>
      <c r="AP439" s="254"/>
      <c r="AQ439" s="254"/>
      <c r="AR439" s="254"/>
      <c r="AS439" s="254"/>
      <c r="AT439" s="254"/>
      <c r="AU439" s="254"/>
      <c r="AV439" s="254"/>
      <c r="AW439" s="90"/>
      <c r="AX439" s="90"/>
      <c r="AY439" s="90"/>
      <c r="AZ439" s="90"/>
      <c r="BA439" s="90"/>
      <c r="BB439" s="90"/>
      <c r="BC439" s="90"/>
      <c r="BD439" s="90"/>
      <c r="BE439" s="90"/>
      <c r="BF439" s="90"/>
      <c r="BG439" s="90"/>
    </row>
    <row r="440" ht="12.75" hidden="1" customHeight="1" outlineLevel="1">
      <c r="A440" s="316"/>
      <c r="B440" s="90"/>
      <c r="C440" s="90"/>
      <c r="D440" s="90" t="s">
        <v>701</v>
      </c>
      <c r="E440" s="90"/>
      <c r="F440" s="90"/>
      <c r="G440" s="254"/>
      <c r="H440" s="254"/>
      <c r="I440" s="99"/>
      <c r="J440" s="99">
        <v>0.0</v>
      </c>
      <c r="K440" s="99"/>
      <c r="L440" s="99">
        <v>-80000.0</v>
      </c>
      <c r="M440" s="99">
        <v>-40000.0</v>
      </c>
      <c r="N440" s="99">
        <v>-40000.0</v>
      </c>
      <c r="O440" s="99">
        <v>-40000.0</v>
      </c>
      <c r="P440" s="99">
        <v>0.0</v>
      </c>
      <c r="Q440" s="99">
        <v>0.0</v>
      </c>
      <c r="R440" s="99">
        <v>0.0</v>
      </c>
      <c r="S440" s="99">
        <v>0.0</v>
      </c>
      <c r="T440" s="99">
        <v>0.0</v>
      </c>
      <c r="U440" s="99">
        <v>0.0</v>
      </c>
      <c r="V440" s="99">
        <v>0.0</v>
      </c>
      <c r="W440" s="99">
        <v>0.0</v>
      </c>
      <c r="X440" s="99">
        <v>0.0</v>
      </c>
      <c r="Y440" s="99">
        <v>0.0</v>
      </c>
      <c r="Z440" s="99">
        <v>0.0</v>
      </c>
      <c r="AA440" s="99">
        <v>0.0</v>
      </c>
      <c r="AB440" s="99">
        <v>0.0</v>
      </c>
      <c r="AC440" s="99">
        <v>0.0</v>
      </c>
      <c r="AD440" s="99">
        <v>0.0</v>
      </c>
      <c r="AE440" s="99">
        <v>0.0</v>
      </c>
      <c r="AF440" s="99">
        <v>0.0</v>
      </c>
      <c r="AG440" s="99">
        <v>0.0</v>
      </c>
      <c r="AH440" s="99">
        <v>0.0</v>
      </c>
      <c r="AI440" s="99">
        <v>0.0</v>
      </c>
      <c r="AJ440" s="99">
        <v>0.0</v>
      </c>
      <c r="AK440" s="99">
        <v>0.0</v>
      </c>
      <c r="AL440" s="99">
        <v>0.0</v>
      </c>
      <c r="AM440" s="99">
        <v>0.0</v>
      </c>
      <c r="AN440" s="99">
        <v>0.0</v>
      </c>
      <c r="AO440" s="99">
        <v>0.0</v>
      </c>
      <c r="AP440" s="99">
        <v>0.0</v>
      </c>
      <c r="AQ440" s="99">
        <v>0.0</v>
      </c>
      <c r="AR440" s="99">
        <v>0.0</v>
      </c>
      <c r="AS440" s="99">
        <v>0.0</v>
      </c>
      <c r="AT440" s="99">
        <v>0.0</v>
      </c>
      <c r="AU440" s="99">
        <v>0.0</v>
      </c>
      <c r="AV440" s="99">
        <v>0.0</v>
      </c>
      <c r="AW440" s="90"/>
      <c r="AX440" s="90"/>
      <c r="AY440" s="90"/>
      <c r="AZ440" s="90"/>
      <c r="BA440" s="90"/>
      <c r="BB440" s="90"/>
      <c r="BC440" s="90"/>
      <c r="BD440" s="90"/>
      <c r="BE440" s="90"/>
      <c r="BF440" s="90"/>
      <c r="BG440" s="90"/>
    </row>
    <row r="441" ht="12.75" hidden="1" customHeight="1" outlineLevel="1">
      <c r="A441" s="316"/>
      <c r="B441" s="90"/>
      <c r="C441" s="90"/>
      <c r="D441" s="90" t="s">
        <v>489</v>
      </c>
      <c r="E441" s="90"/>
      <c r="F441" s="90"/>
      <c r="G441" s="254"/>
      <c r="H441" s="254"/>
      <c r="I441" s="99"/>
      <c r="J441" s="99">
        <v>0.0</v>
      </c>
      <c r="K441" s="99">
        <v>0.0</v>
      </c>
      <c r="L441" s="99">
        <v>0.0</v>
      </c>
      <c r="M441" s="99">
        <v>0.0</v>
      </c>
      <c r="N441" s="99">
        <v>0.0</v>
      </c>
      <c r="O441" s="99">
        <v>0.0</v>
      </c>
      <c r="P441" s="99"/>
      <c r="Q441" s="99">
        <f t="shared" ref="Q441:AV441" si="278">-Q437*Q248</f>
        <v>0</v>
      </c>
      <c r="R441" s="99">
        <f t="shared" si="278"/>
        <v>0</v>
      </c>
      <c r="S441" s="99">
        <f t="shared" si="278"/>
        <v>0</v>
      </c>
      <c r="T441" s="99">
        <f t="shared" si="278"/>
        <v>0</v>
      </c>
      <c r="U441" s="99">
        <f t="shared" si="278"/>
        <v>0</v>
      </c>
      <c r="V441" s="99">
        <f t="shared" si="278"/>
        <v>0</v>
      </c>
      <c r="W441" s="99">
        <f t="shared" si="278"/>
        <v>0</v>
      </c>
      <c r="X441" s="99">
        <f t="shared" si="278"/>
        <v>0</v>
      </c>
      <c r="Y441" s="99">
        <f t="shared" si="278"/>
        <v>0</v>
      </c>
      <c r="Z441" s="99">
        <f t="shared" si="278"/>
        <v>0</v>
      </c>
      <c r="AA441" s="99">
        <f t="shared" si="278"/>
        <v>0</v>
      </c>
      <c r="AB441" s="99">
        <f t="shared" si="278"/>
        <v>0</v>
      </c>
      <c r="AC441" s="99">
        <f t="shared" si="278"/>
        <v>0</v>
      </c>
      <c r="AD441" s="99">
        <f t="shared" si="278"/>
        <v>0</v>
      </c>
      <c r="AE441" s="99">
        <f t="shared" si="278"/>
        <v>0</v>
      </c>
      <c r="AF441" s="99">
        <f t="shared" si="278"/>
        <v>0</v>
      </c>
      <c r="AG441" s="99">
        <f t="shared" si="278"/>
        <v>0</v>
      </c>
      <c r="AH441" s="99">
        <f t="shared" si="278"/>
        <v>0</v>
      </c>
      <c r="AI441" s="99">
        <f t="shared" si="278"/>
        <v>0</v>
      </c>
      <c r="AJ441" s="99">
        <f t="shared" si="278"/>
        <v>0</v>
      </c>
      <c r="AK441" s="99">
        <f t="shared" si="278"/>
        <v>0</v>
      </c>
      <c r="AL441" s="99">
        <f t="shared" si="278"/>
        <v>0</v>
      </c>
      <c r="AM441" s="99">
        <f t="shared" si="278"/>
        <v>0</v>
      </c>
      <c r="AN441" s="99">
        <f t="shared" si="278"/>
        <v>0</v>
      </c>
      <c r="AO441" s="99">
        <f t="shared" si="278"/>
        <v>0</v>
      </c>
      <c r="AP441" s="99">
        <f t="shared" si="278"/>
        <v>0</v>
      </c>
      <c r="AQ441" s="99">
        <f t="shared" si="278"/>
        <v>0</v>
      </c>
      <c r="AR441" s="99">
        <f t="shared" si="278"/>
        <v>0</v>
      </c>
      <c r="AS441" s="99">
        <f t="shared" si="278"/>
        <v>0</v>
      </c>
      <c r="AT441" s="99">
        <f t="shared" si="278"/>
        <v>0</v>
      </c>
      <c r="AU441" s="99">
        <f t="shared" si="278"/>
        <v>0</v>
      </c>
      <c r="AV441" s="99">
        <f t="shared" si="278"/>
        <v>0</v>
      </c>
      <c r="AW441" s="90"/>
      <c r="AX441" s="90"/>
      <c r="AY441" s="90"/>
      <c r="AZ441" s="90"/>
      <c r="BA441" s="90"/>
      <c r="BB441" s="90"/>
      <c r="BC441" s="90"/>
      <c r="BD441" s="90"/>
      <c r="BE441" s="90"/>
      <c r="BF441" s="90"/>
      <c r="BG441" s="90"/>
    </row>
    <row r="442" ht="12.75" hidden="1" customHeight="1" outlineLevel="1">
      <c r="A442" s="316"/>
      <c r="B442" s="90"/>
      <c r="C442" s="148" t="s">
        <v>849</v>
      </c>
      <c r="D442" s="148"/>
      <c r="E442" s="148"/>
      <c r="F442" s="148"/>
      <c r="G442" s="394"/>
      <c r="H442" s="394"/>
      <c r="I442" s="394"/>
      <c r="J442" s="394">
        <f>-I438/3</f>
        <v>0</v>
      </c>
      <c r="K442" s="394"/>
      <c r="L442" s="394">
        <f t="shared" ref="L442:AU442" si="279">SUM(L440:L441)</f>
        <v>-80000</v>
      </c>
      <c r="M442" s="394">
        <f t="shared" si="279"/>
        <v>-40000</v>
      </c>
      <c r="N442" s="394">
        <f t="shared" si="279"/>
        <v>-40000</v>
      </c>
      <c r="O442" s="394">
        <f t="shared" si="279"/>
        <v>-40000</v>
      </c>
      <c r="P442" s="394">
        <f t="shared" si="279"/>
        <v>0</v>
      </c>
      <c r="Q442" s="394">
        <f t="shared" si="279"/>
        <v>0</v>
      </c>
      <c r="R442" s="394">
        <f t="shared" si="279"/>
        <v>0</v>
      </c>
      <c r="S442" s="394">
        <f t="shared" si="279"/>
        <v>0</v>
      </c>
      <c r="T442" s="394">
        <f t="shared" si="279"/>
        <v>0</v>
      </c>
      <c r="U442" s="394">
        <f t="shared" si="279"/>
        <v>0</v>
      </c>
      <c r="V442" s="394">
        <f t="shared" si="279"/>
        <v>0</v>
      </c>
      <c r="W442" s="394">
        <f t="shared" si="279"/>
        <v>0</v>
      </c>
      <c r="X442" s="394">
        <f t="shared" si="279"/>
        <v>0</v>
      </c>
      <c r="Y442" s="394">
        <f t="shared" si="279"/>
        <v>0</v>
      </c>
      <c r="Z442" s="394">
        <f t="shared" si="279"/>
        <v>0</v>
      </c>
      <c r="AA442" s="394">
        <f t="shared" si="279"/>
        <v>0</v>
      </c>
      <c r="AB442" s="394">
        <f t="shared" si="279"/>
        <v>0</v>
      </c>
      <c r="AC442" s="394">
        <f t="shared" si="279"/>
        <v>0</v>
      </c>
      <c r="AD442" s="394">
        <f t="shared" si="279"/>
        <v>0</v>
      </c>
      <c r="AE442" s="394">
        <f t="shared" si="279"/>
        <v>0</v>
      </c>
      <c r="AF442" s="394">
        <f t="shared" si="279"/>
        <v>0</v>
      </c>
      <c r="AG442" s="394">
        <f t="shared" si="279"/>
        <v>0</v>
      </c>
      <c r="AH442" s="394">
        <f t="shared" si="279"/>
        <v>0</v>
      </c>
      <c r="AI442" s="394">
        <f t="shared" si="279"/>
        <v>0</v>
      </c>
      <c r="AJ442" s="394">
        <f t="shared" si="279"/>
        <v>0</v>
      </c>
      <c r="AK442" s="394">
        <f t="shared" si="279"/>
        <v>0</v>
      </c>
      <c r="AL442" s="394">
        <f t="shared" si="279"/>
        <v>0</v>
      </c>
      <c r="AM442" s="394">
        <f t="shared" si="279"/>
        <v>0</v>
      </c>
      <c r="AN442" s="394">
        <f t="shared" si="279"/>
        <v>0</v>
      </c>
      <c r="AO442" s="394">
        <f t="shared" si="279"/>
        <v>0</v>
      </c>
      <c r="AP442" s="394">
        <f t="shared" si="279"/>
        <v>0</v>
      </c>
      <c r="AQ442" s="394">
        <f t="shared" si="279"/>
        <v>0</v>
      </c>
      <c r="AR442" s="394">
        <f t="shared" si="279"/>
        <v>0</v>
      </c>
      <c r="AS442" s="394">
        <f t="shared" si="279"/>
        <v>0</v>
      </c>
      <c r="AT442" s="394">
        <f t="shared" si="279"/>
        <v>0</v>
      </c>
      <c r="AU442" s="394">
        <f t="shared" si="279"/>
        <v>0</v>
      </c>
      <c r="AV442" s="394">
        <f>AU442</f>
        <v>0</v>
      </c>
      <c r="AW442" s="90"/>
      <c r="AX442" s="90"/>
      <c r="AY442" s="90"/>
      <c r="AZ442" s="90"/>
      <c r="BA442" s="90"/>
      <c r="BB442" s="90"/>
      <c r="BC442" s="90"/>
      <c r="BD442" s="90"/>
      <c r="BE442" s="90"/>
      <c r="BF442" s="90"/>
      <c r="BG442" s="90"/>
    </row>
    <row r="443" ht="12.75" hidden="1" customHeight="1" outlineLevel="1">
      <c r="A443" s="555"/>
      <c r="B443" s="90"/>
      <c r="C443" s="90" t="s">
        <v>850</v>
      </c>
      <c r="D443" s="90"/>
      <c r="E443" s="90"/>
      <c r="F443" s="90"/>
      <c r="G443" s="99"/>
      <c r="H443" s="99"/>
      <c r="I443" s="254"/>
      <c r="J443" s="254">
        <v>0.0</v>
      </c>
      <c r="K443" s="254">
        <v>0.0</v>
      </c>
      <c r="L443" s="254">
        <v>0.0</v>
      </c>
      <c r="M443" s="254">
        <v>0.0</v>
      </c>
      <c r="N443" s="254">
        <v>0.0</v>
      </c>
      <c r="O443" s="254">
        <v>0.0</v>
      </c>
      <c r="P443" s="254">
        <v>0.0</v>
      </c>
      <c r="Q443" s="254">
        <v>0.0</v>
      </c>
      <c r="R443" s="254">
        <v>0.0</v>
      </c>
      <c r="S443" s="254">
        <v>0.0</v>
      </c>
      <c r="T443" s="254">
        <v>0.0</v>
      </c>
      <c r="U443" s="254">
        <v>0.0</v>
      </c>
      <c r="V443" s="254">
        <v>0.0</v>
      </c>
      <c r="W443" s="254">
        <v>0.0</v>
      </c>
      <c r="X443" s="254">
        <v>0.0</v>
      </c>
      <c r="Y443" s="254">
        <v>0.0</v>
      </c>
      <c r="Z443" s="254">
        <v>0.0</v>
      </c>
      <c r="AA443" s="254">
        <v>0.0</v>
      </c>
      <c r="AB443" s="254">
        <v>0.0</v>
      </c>
      <c r="AC443" s="254">
        <v>0.0</v>
      </c>
      <c r="AD443" s="254">
        <v>0.0</v>
      </c>
      <c r="AE443" s="254">
        <v>0.0</v>
      </c>
      <c r="AF443" s="254">
        <v>0.0</v>
      </c>
      <c r="AG443" s="254">
        <v>0.0</v>
      </c>
      <c r="AH443" s="254">
        <v>0.0</v>
      </c>
      <c r="AI443" s="254">
        <v>0.0</v>
      </c>
      <c r="AJ443" s="254">
        <v>0.0</v>
      </c>
      <c r="AK443" s="254">
        <v>0.0</v>
      </c>
      <c r="AL443" s="254">
        <v>0.0</v>
      </c>
      <c r="AM443" s="254">
        <v>0.0</v>
      </c>
      <c r="AN443" s="254">
        <v>0.0</v>
      </c>
      <c r="AO443" s="254">
        <v>0.0</v>
      </c>
      <c r="AP443" s="254">
        <v>0.0</v>
      </c>
      <c r="AQ443" s="254">
        <v>0.0</v>
      </c>
      <c r="AR443" s="254">
        <v>0.0</v>
      </c>
      <c r="AS443" s="254">
        <v>0.0</v>
      </c>
      <c r="AT443" s="254">
        <v>0.0</v>
      </c>
      <c r="AU443" s="254">
        <v>0.0</v>
      </c>
      <c r="AV443" s="254">
        <v>0.0</v>
      </c>
      <c r="AW443" s="90"/>
      <c r="AX443" s="90"/>
      <c r="AY443" s="90"/>
      <c r="AZ443" s="90"/>
      <c r="BA443" s="90"/>
      <c r="BB443" s="90"/>
      <c r="BC443" s="90"/>
      <c r="BD443" s="90"/>
      <c r="BE443" s="90"/>
      <c r="BF443" s="90"/>
      <c r="BG443" s="90"/>
    </row>
    <row r="444" ht="12.75" hidden="1" customHeight="1" outlineLevel="1">
      <c r="A444" s="316"/>
      <c r="B444" s="90"/>
      <c r="C444" s="148" t="s">
        <v>491</v>
      </c>
      <c r="D444" s="148"/>
      <c r="E444" s="148"/>
      <c r="F444" s="148"/>
      <c r="G444" s="150"/>
      <c r="H444" s="150"/>
      <c r="I444" s="150"/>
      <c r="J444" s="150">
        <f t="shared" ref="J444:AV444" si="280">J437+J438+J442+J443</f>
        <v>200000</v>
      </c>
      <c r="K444" s="150">
        <f t="shared" si="280"/>
        <v>200000</v>
      </c>
      <c r="L444" s="150">
        <f t="shared" si="280"/>
        <v>120000</v>
      </c>
      <c r="M444" s="150">
        <f t="shared" si="280"/>
        <v>80000</v>
      </c>
      <c r="N444" s="150">
        <f t="shared" si="280"/>
        <v>40000</v>
      </c>
      <c r="O444" s="150">
        <f t="shared" si="280"/>
        <v>0</v>
      </c>
      <c r="P444" s="150">
        <f t="shared" si="280"/>
        <v>0</v>
      </c>
      <c r="Q444" s="150">
        <f t="shared" si="280"/>
        <v>0</v>
      </c>
      <c r="R444" s="150">
        <f t="shared" si="280"/>
        <v>0</v>
      </c>
      <c r="S444" s="150">
        <f t="shared" si="280"/>
        <v>0</v>
      </c>
      <c r="T444" s="150">
        <f t="shared" si="280"/>
        <v>0</v>
      </c>
      <c r="U444" s="150">
        <f t="shared" si="280"/>
        <v>0</v>
      </c>
      <c r="V444" s="150">
        <f t="shared" si="280"/>
        <v>0</v>
      </c>
      <c r="W444" s="150">
        <f t="shared" si="280"/>
        <v>0</v>
      </c>
      <c r="X444" s="150">
        <f t="shared" si="280"/>
        <v>0</v>
      </c>
      <c r="Y444" s="150">
        <f t="shared" si="280"/>
        <v>0</v>
      </c>
      <c r="Z444" s="150">
        <f t="shared" si="280"/>
        <v>0</v>
      </c>
      <c r="AA444" s="150">
        <f t="shared" si="280"/>
        <v>0</v>
      </c>
      <c r="AB444" s="150">
        <f t="shared" si="280"/>
        <v>0</v>
      </c>
      <c r="AC444" s="150">
        <f t="shared" si="280"/>
        <v>0</v>
      </c>
      <c r="AD444" s="150">
        <f t="shared" si="280"/>
        <v>0</v>
      </c>
      <c r="AE444" s="150">
        <f t="shared" si="280"/>
        <v>0</v>
      </c>
      <c r="AF444" s="150">
        <f t="shared" si="280"/>
        <v>0</v>
      </c>
      <c r="AG444" s="150">
        <f t="shared" si="280"/>
        <v>0</v>
      </c>
      <c r="AH444" s="150">
        <f t="shared" si="280"/>
        <v>0</v>
      </c>
      <c r="AI444" s="150">
        <f t="shared" si="280"/>
        <v>0</v>
      </c>
      <c r="AJ444" s="150">
        <f t="shared" si="280"/>
        <v>0</v>
      </c>
      <c r="AK444" s="150">
        <f t="shared" si="280"/>
        <v>0</v>
      </c>
      <c r="AL444" s="150">
        <f t="shared" si="280"/>
        <v>0</v>
      </c>
      <c r="AM444" s="150">
        <f t="shared" si="280"/>
        <v>0</v>
      </c>
      <c r="AN444" s="150">
        <f t="shared" si="280"/>
        <v>0</v>
      </c>
      <c r="AO444" s="150">
        <f t="shared" si="280"/>
        <v>0</v>
      </c>
      <c r="AP444" s="150">
        <f t="shared" si="280"/>
        <v>0</v>
      </c>
      <c r="AQ444" s="150">
        <f t="shared" si="280"/>
        <v>0</v>
      </c>
      <c r="AR444" s="150">
        <f t="shared" si="280"/>
        <v>0</v>
      </c>
      <c r="AS444" s="150">
        <f t="shared" si="280"/>
        <v>0</v>
      </c>
      <c r="AT444" s="150">
        <f t="shared" si="280"/>
        <v>0</v>
      </c>
      <c r="AU444" s="150">
        <f t="shared" si="280"/>
        <v>0</v>
      </c>
      <c r="AV444" s="150">
        <f t="shared" si="280"/>
        <v>0</v>
      </c>
      <c r="AW444" s="90"/>
      <c r="AX444" s="90"/>
      <c r="AY444" s="90"/>
      <c r="AZ444" s="90"/>
      <c r="BA444" s="90"/>
      <c r="BB444" s="90"/>
      <c r="BC444" s="90"/>
      <c r="BD444" s="90"/>
      <c r="BE444" s="90"/>
      <c r="BF444" s="90"/>
      <c r="BG444" s="90"/>
    </row>
    <row r="445" ht="12.75" hidden="1" customHeight="1" outlineLevel="1">
      <c r="A445" s="316"/>
      <c r="B445" s="90"/>
      <c r="C445" s="90"/>
      <c r="D445" s="90"/>
      <c r="E445" s="90"/>
      <c r="F445" s="90"/>
      <c r="G445" s="99"/>
      <c r="H445" s="99"/>
      <c r="I445" s="99"/>
      <c r="J445" s="99"/>
      <c r="K445" s="99"/>
      <c r="L445" s="99"/>
      <c r="M445" s="99"/>
      <c r="N445" s="99"/>
      <c r="O445" s="99"/>
      <c r="P445" s="99"/>
      <c r="Q445" s="99"/>
      <c r="R445" s="99"/>
      <c r="S445" s="99"/>
      <c r="T445" s="99"/>
      <c r="U445" s="99"/>
      <c r="V445" s="99"/>
      <c r="W445" s="99"/>
      <c r="X445" s="99"/>
      <c r="Y445" s="99"/>
      <c r="Z445" s="99"/>
      <c r="AA445" s="99"/>
      <c r="AB445" s="99"/>
      <c r="AC445" s="99"/>
      <c r="AD445" s="99"/>
      <c r="AE445" s="99"/>
      <c r="AF445" s="99"/>
      <c r="AG445" s="99"/>
      <c r="AH445" s="99"/>
      <c r="AI445" s="99"/>
      <c r="AJ445" s="99"/>
      <c r="AK445" s="99"/>
      <c r="AL445" s="99"/>
      <c r="AM445" s="99"/>
      <c r="AN445" s="99"/>
      <c r="AO445" s="99"/>
      <c r="AP445" s="99"/>
      <c r="AQ445" s="99"/>
      <c r="AR445" s="99"/>
      <c r="AS445" s="99"/>
      <c r="AT445" s="99"/>
      <c r="AU445" s="99"/>
      <c r="AV445" s="99"/>
      <c r="AW445" s="90"/>
      <c r="AX445" s="90"/>
      <c r="AY445" s="90"/>
      <c r="AZ445" s="90"/>
      <c r="BA445" s="90"/>
      <c r="BB445" s="90"/>
      <c r="BC445" s="90"/>
      <c r="BD445" s="90"/>
      <c r="BE445" s="90"/>
      <c r="BF445" s="90"/>
      <c r="BG445" s="90"/>
    </row>
    <row r="446" ht="12.75" hidden="1" customHeight="1" outlineLevel="1">
      <c r="A446" s="316"/>
      <c r="B446" s="67" t="s">
        <v>148</v>
      </c>
      <c r="C446" s="90"/>
      <c r="D446" s="90"/>
      <c r="E446" s="90"/>
      <c r="F446" s="90"/>
      <c r="G446" s="90"/>
      <c r="H446" s="90"/>
      <c r="I446" s="90"/>
      <c r="J446" s="90"/>
      <c r="K446" s="90"/>
      <c r="L446" s="90"/>
      <c r="M446" s="90"/>
      <c r="N446" s="90"/>
      <c r="O446" s="90"/>
      <c r="P446" s="90"/>
      <c r="Q446" s="90"/>
      <c r="R446" s="90"/>
      <c r="S446" s="90"/>
      <c r="T446" s="90"/>
      <c r="U446" s="90"/>
      <c r="V446" s="90"/>
      <c r="W446" s="90"/>
      <c r="X446" s="90"/>
      <c r="Y446" s="90"/>
      <c r="Z446" s="90"/>
      <c r="AA446" s="90"/>
      <c r="AB446" s="90"/>
      <c r="AC446" s="90"/>
      <c r="AD446" s="90"/>
      <c r="AE446" s="90"/>
      <c r="AF446" s="90"/>
      <c r="AG446" s="90"/>
      <c r="AH446" s="90"/>
      <c r="AI446" s="90"/>
      <c r="AJ446" s="90"/>
      <c r="AK446" s="90"/>
      <c r="AL446" s="90"/>
      <c r="AM446" s="90"/>
      <c r="AN446" s="90"/>
      <c r="AO446" s="90"/>
      <c r="AP446" s="90"/>
      <c r="AQ446" s="90"/>
      <c r="AR446" s="90"/>
      <c r="AS446" s="90"/>
      <c r="AT446" s="90"/>
      <c r="AU446" s="90"/>
      <c r="AV446" s="90"/>
      <c r="AW446" s="90"/>
      <c r="AX446" s="90"/>
      <c r="AY446" s="90"/>
      <c r="AZ446" s="90"/>
      <c r="BA446" s="90"/>
      <c r="BB446" s="90"/>
      <c r="BC446" s="90"/>
      <c r="BD446" s="90"/>
      <c r="BE446" s="90"/>
      <c r="BF446" s="90"/>
      <c r="BG446" s="90"/>
    </row>
    <row r="447" ht="12.75" hidden="1" customHeight="1" outlineLevel="1">
      <c r="A447" s="316"/>
      <c r="B447" s="90"/>
      <c r="C447" s="90" t="s">
        <v>487</v>
      </c>
      <c r="D447" s="90"/>
      <c r="E447" s="90"/>
      <c r="F447" s="90"/>
      <c r="G447" s="254"/>
      <c r="H447" s="99"/>
      <c r="I447" s="99"/>
      <c r="J447" s="99">
        <v>0.0</v>
      </c>
      <c r="K447" s="99">
        <f t="shared" ref="K447:AV447" si="281">+J454</f>
        <v>0</v>
      </c>
      <c r="L447" s="99">
        <f t="shared" si="281"/>
        <v>0</v>
      </c>
      <c r="M447" s="99" t="str">
        <f t="shared" si="281"/>
        <v>#REF!</v>
      </c>
      <c r="N447" s="99" t="str">
        <f t="shared" si="281"/>
        <v>#REF!</v>
      </c>
      <c r="O447" s="99" t="str">
        <f t="shared" si="281"/>
        <v>#REF!</v>
      </c>
      <c r="P447" s="99" t="str">
        <f t="shared" si="281"/>
        <v>#REF!</v>
      </c>
      <c r="Q447" s="99" t="str">
        <f t="shared" si="281"/>
        <v>#REF!</v>
      </c>
      <c r="R447" s="99" t="str">
        <f t="shared" si="281"/>
        <v>#REF!</v>
      </c>
      <c r="S447" s="99" t="str">
        <f t="shared" si="281"/>
        <v>#REF!</v>
      </c>
      <c r="T447" s="99" t="str">
        <f t="shared" si="281"/>
        <v>#REF!</v>
      </c>
      <c r="U447" s="99" t="str">
        <f t="shared" si="281"/>
        <v>#REF!</v>
      </c>
      <c r="V447" s="99" t="str">
        <f t="shared" si="281"/>
        <v>#REF!</v>
      </c>
      <c r="W447" s="99" t="str">
        <f t="shared" si="281"/>
        <v>#REF!</v>
      </c>
      <c r="X447" s="99" t="str">
        <f t="shared" si="281"/>
        <v>#REF!</v>
      </c>
      <c r="Y447" s="99" t="str">
        <f t="shared" si="281"/>
        <v>#REF!</v>
      </c>
      <c r="Z447" s="99" t="str">
        <f t="shared" si="281"/>
        <v>#REF!</v>
      </c>
      <c r="AA447" s="99" t="str">
        <f t="shared" si="281"/>
        <v>#REF!</v>
      </c>
      <c r="AB447" s="99" t="str">
        <f t="shared" si="281"/>
        <v>#REF!</v>
      </c>
      <c r="AC447" s="99" t="str">
        <f t="shared" si="281"/>
        <v>#REF!</v>
      </c>
      <c r="AD447" s="99" t="str">
        <f t="shared" si="281"/>
        <v>#REF!</v>
      </c>
      <c r="AE447" s="99" t="str">
        <f t="shared" si="281"/>
        <v>#REF!</v>
      </c>
      <c r="AF447" s="99" t="str">
        <f t="shared" si="281"/>
        <v>#REF!</v>
      </c>
      <c r="AG447" s="99" t="str">
        <f t="shared" si="281"/>
        <v>#REF!</v>
      </c>
      <c r="AH447" s="99" t="str">
        <f t="shared" si="281"/>
        <v>#REF!</v>
      </c>
      <c r="AI447" s="99" t="str">
        <f t="shared" si="281"/>
        <v>#REF!</v>
      </c>
      <c r="AJ447" s="99" t="str">
        <f t="shared" si="281"/>
        <v>#REF!</v>
      </c>
      <c r="AK447" s="99" t="str">
        <f t="shared" si="281"/>
        <v>#REF!</v>
      </c>
      <c r="AL447" s="99" t="str">
        <f t="shared" si="281"/>
        <v>#REF!</v>
      </c>
      <c r="AM447" s="99" t="str">
        <f t="shared" si="281"/>
        <v>#REF!</v>
      </c>
      <c r="AN447" s="99" t="str">
        <f t="shared" si="281"/>
        <v>#REF!</v>
      </c>
      <c r="AO447" s="99" t="str">
        <f t="shared" si="281"/>
        <v>#REF!</v>
      </c>
      <c r="AP447" s="99" t="str">
        <f t="shared" si="281"/>
        <v>#REF!</v>
      </c>
      <c r="AQ447" s="99" t="str">
        <f t="shared" si="281"/>
        <v>#REF!</v>
      </c>
      <c r="AR447" s="99" t="str">
        <f t="shared" si="281"/>
        <v>#REF!</v>
      </c>
      <c r="AS447" s="99" t="str">
        <f t="shared" si="281"/>
        <v>#REF!</v>
      </c>
      <c r="AT447" s="99" t="str">
        <f t="shared" si="281"/>
        <v>#REF!</v>
      </c>
      <c r="AU447" s="99" t="str">
        <f t="shared" si="281"/>
        <v>#REF!</v>
      </c>
      <c r="AV447" s="99" t="str">
        <f t="shared" si="281"/>
        <v>#REF!</v>
      </c>
      <c r="AW447" s="90"/>
      <c r="AX447" s="90"/>
      <c r="AY447" s="90"/>
      <c r="AZ447" s="90"/>
      <c r="BA447" s="90"/>
      <c r="BB447" s="90"/>
      <c r="BC447" s="90"/>
      <c r="BD447" s="90"/>
      <c r="BE447" s="90"/>
      <c r="BF447" s="90"/>
      <c r="BG447" s="90"/>
    </row>
    <row r="448" ht="12.75" hidden="1" customHeight="1" outlineLevel="1">
      <c r="A448" s="555"/>
      <c r="B448" s="90"/>
      <c r="C448" s="90" t="s">
        <v>488</v>
      </c>
      <c r="D448" s="90"/>
      <c r="E448" s="90"/>
      <c r="F448" s="90"/>
      <c r="G448" s="99"/>
      <c r="H448" s="99"/>
      <c r="I448" s="99"/>
      <c r="J448" s="254">
        <v>0.0</v>
      </c>
      <c r="K448" s="254">
        <v>0.0</v>
      </c>
      <c r="L448" s="254" t="str">
        <f t="shared" ref="L448:AV448" si="282">IF(L458&gt;L456,0,IF(L458+K454&gt;L456,0,MIN(L456-L458-K454,L457-K454)))</f>
        <v>#REF!</v>
      </c>
      <c r="M448" s="254" t="str">
        <f t="shared" si="282"/>
        <v>#REF!</v>
      </c>
      <c r="N448" s="254" t="str">
        <f t="shared" si="282"/>
        <v>#REF!</v>
      </c>
      <c r="O448" s="254" t="str">
        <f t="shared" si="282"/>
        <v>#REF!</v>
      </c>
      <c r="P448" s="254" t="str">
        <f t="shared" si="282"/>
        <v>#REF!</v>
      </c>
      <c r="Q448" s="254" t="str">
        <f t="shared" si="282"/>
        <v>#REF!</v>
      </c>
      <c r="R448" s="254" t="str">
        <f t="shared" si="282"/>
        <v>#REF!</v>
      </c>
      <c r="S448" s="254" t="str">
        <f t="shared" si="282"/>
        <v>#REF!</v>
      </c>
      <c r="T448" s="254" t="str">
        <f t="shared" si="282"/>
        <v>#REF!</v>
      </c>
      <c r="U448" s="254" t="str">
        <f t="shared" si="282"/>
        <v>#REF!</v>
      </c>
      <c r="V448" s="254" t="str">
        <f t="shared" si="282"/>
        <v>#REF!</v>
      </c>
      <c r="W448" s="254" t="str">
        <f t="shared" si="282"/>
        <v>#REF!</v>
      </c>
      <c r="X448" s="254" t="str">
        <f t="shared" si="282"/>
        <v>#REF!</v>
      </c>
      <c r="Y448" s="254" t="str">
        <f t="shared" si="282"/>
        <v>#REF!</v>
      </c>
      <c r="Z448" s="254" t="str">
        <f t="shared" si="282"/>
        <v>#REF!</v>
      </c>
      <c r="AA448" s="254" t="str">
        <f t="shared" si="282"/>
        <v>#REF!</v>
      </c>
      <c r="AB448" s="254" t="str">
        <f t="shared" si="282"/>
        <v>#REF!</v>
      </c>
      <c r="AC448" s="254" t="str">
        <f t="shared" si="282"/>
        <v>#REF!</v>
      </c>
      <c r="AD448" s="254" t="str">
        <f t="shared" si="282"/>
        <v>#REF!</v>
      </c>
      <c r="AE448" s="254" t="str">
        <f t="shared" si="282"/>
        <v>#REF!</v>
      </c>
      <c r="AF448" s="254" t="str">
        <f t="shared" si="282"/>
        <v>#REF!</v>
      </c>
      <c r="AG448" s="254" t="str">
        <f t="shared" si="282"/>
        <v>#REF!</v>
      </c>
      <c r="AH448" s="254" t="str">
        <f t="shared" si="282"/>
        <v>#REF!</v>
      </c>
      <c r="AI448" s="254" t="str">
        <f t="shared" si="282"/>
        <v>#REF!</v>
      </c>
      <c r="AJ448" s="254" t="str">
        <f t="shared" si="282"/>
        <v>#REF!</v>
      </c>
      <c r="AK448" s="254" t="str">
        <f t="shared" si="282"/>
        <v>#REF!</v>
      </c>
      <c r="AL448" s="254" t="str">
        <f t="shared" si="282"/>
        <v>#REF!</v>
      </c>
      <c r="AM448" s="254" t="str">
        <f t="shared" si="282"/>
        <v>#REF!</v>
      </c>
      <c r="AN448" s="254" t="str">
        <f t="shared" si="282"/>
        <v>#REF!</v>
      </c>
      <c r="AO448" s="254" t="str">
        <f t="shared" si="282"/>
        <v>#REF!</v>
      </c>
      <c r="AP448" s="254" t="str">
        <f t="shared" si="282"/>
        <v>#REF!</v>
      </c>
      <c r="AQ448" s="254" t="str">
        <f t="shared" si="282"/>
        <v>#REF!</v>
      </c>
      <c r="AR448" s="254" t="str">
        <f t="shared" si="282"/>
        <v>#REF!</v>
      </c>
      <c r="AS448" s="254" t="str">
        <f t="shared" si="282"/>
        <v>#REF!</v>
      </c>
      <c r="AT448" s="254" t="str">
        <f t="shared" si="282"/>
        <v>#REF!</v>
      </c>
      <c r="AU448" s="254" t="str">
        <f t="shared" si="282"/>
        <v>#REF!</v>
      </c>
      <c r="AV448" s="254" t="str">
        <f t="shared" si="282"/>
        <v>#VALUE!</v>
      </c>
      <c r="AW448" s="90"/>
      <c r="AX448" s="90"/>
      <c r="AY448" s="90"/>
      <c r="AZ448" s="90"/>
      <c r="BA448" s="90"/>
      <c r="BB448" s="90"/>
      <c r="BC448" s="90"/>
      <c r="BD448" s="90"/>
      <c r="BE448" s="90"/>
      <c r="BF448" s="90"/>
      <c r="BG448" s="90"/>
    </row>
    <row r="449" ht="12.75" hidden="1" customHeight="1" outlineLevel="1">
      <c r="A449" s="316"/>
      <c r="B449" s="90"/>
      <c r="C449" s="90" t="s">
        <v>490</v>
      </c>
      <c r="D449" s="90"/>
      <c r="E449" s="90"/>
      <c r="F449" s="90"/>
      <c r="G449" s="254"/>
      <c r="H449" s="254"/>
      <c r="I449" s="254"/>
      <c r="J449" s="254"/>
      <c r="K449" s="254"/>
      <c r="L449" s="254"/>
      <c r="M449" s="254"/>
      <c r="N449" s="254"/>
      <c r="O449" s="254"/>
      <c r="P449" s="254"/>
      <c r="Q449" s="254"/>
      <c r="R449" s="254"/>
      <c r="S449" s="254"/>
      <c r="T449" s="254"/>
      <c r="U449" s="254"/>
      <c r="V449" s="254"/>
      <c r="W449" s="254"/>
      <c r="X449" s="254"/>
      <c r="Y449" s="254"/>
      <c r="Z449" s="254"/>
      <c r="AA449" s="254"/>
      <c r="AB449" s="254"/>
      <c r="AC449" s="254"/>
      <c r="AD449" s="254"/>
      <c r="AE449" s="254"/>
      <c r="AF449" s="254"/>
      <c r="AG449" s="254"/>
      <c r="AH449" s="254"/>
      <c r="AI449" s="254"/>
      <c r="AJ449" s="254"/>
      <c r="AK449" s="254"/>
      <c r="AL449" s="254"/>
      <c r="AM449" s="254"/>
      <c r="AN449" s="254"/>
      <c r="AO449" s="254"/>
      <c r="AP449" s="254"/>
      <c r="AQ449" s="254"/>
      <c r="AR449" s="254"/>
      <c r="AS449" s="254"/>
      <c r="AT449" s="254"/>
      <c r="AU449" s="254"/>
      <c r="AV449" s="254"/>
      <c r="AW449" s="90"/>
      <c r="AX449" s="90"/>
      <c r="AY449" s="90"/>
      <c r="AZ449" s="90"/>
      <c r="BA449" s="90"/>
      <c r="BB449" s="90"/>
      <c r="BC449" s="90"/>
      <c r="BD449" s="90"/>
      <c r="BE449" s="90"/>
      <c r="BF449" s="90"/>
      <c r="BG449" s="90"/>
    </row>
    <row r="450" ht="12.75" hidden="1" customHeight="1" outlineLevel="1">
      <c r="A450" s="316"/>
      <c r="B450" s="90"/>
      <c r="C450" s="90"/>
      <c r="D450" s="90" t="s">
        <v>701</v>
      </c>
      <c r="E450" s="90"/>
      <c r="F450" s="90"/>
      <c r="G450" s="254"/>
      <c r="H450" s="254"/>
      <c r="I450" s="99"/>
      <c r="J450" s="99">
        <f t="shared" ref="J450:M450" si="283">MIN(J452-J451,0)</f>
        <v>0</v>
      </c>
      <c r="K450" s="99">
        <f t="shared" si="283"/>
        <v>0</v>
      </c>
      <c r="L450" s="99">
        <f t="shared" si="283"/>
        <v>0</v>
      </c>
      <c r="M450" s="99">
        <f t="shared" si="283"/>
        <v>0</v>
      </c>
      <c r="N450" s="99" t="str">
        <f t="shared" ref="N450:AV450" si="284">IF(N448&gt;0,0,IF(M454=0,0,IF(N458+M454&gt;N456,MAX(-M454,N456-M454-N458),IF(N457&lt;M454,N457-M454,0))))</f>
        <v>#REF!</v>
      </c>
      <c r="O450" s="99" t="str">
        <f t="shared" si="284"/>
        <v>#REF!</v>
      </c>
      <c r="P450" s="99" t="str">
        <f t="shared" si="284"/>
        <v>#REF!</v>
      </c>
      <c r="Q450" s="99" t="str">
        <f t="shared" si="284"/>
        <v>#REF!</v>
      </c>
      <c r="R450" s="99" t="str">
        <f t="shared" si="284"/>
        <v>#REF!</v>
      </c>
      <c r="S450" s="99" t="str">
        <f t="shared" si="284"/>
        <v>#REF!</v>
      </c>
      <c r="T450" s="99" t="str">
        <f t="shared" si="284"/>
        <v>#REF!</v>
      </c>
      <c r="U450" s="99" t="str">
        <f t="shared" si="284"/>
        <v>#REF!</v>
      </c>
      <c r="V450" s="99" t="str">
        <f t="shared" si="284"/>
        <v>#REF!</v>
      </c>
      <c r="W450" s="99" t="str">
        <f t="shared" si="284"/>
        <v>#REF!</v>
      </c>
      <c r="X450" s="99" t="str">
        <f t="shared" si="284"/>
        <v>#REF!</v>
      </c>
      <c r="Y450" s="99" t="str">
        <f t="shared" si="284"/>
        <v>#REF!</v>
      </c>
      <c r="Z450" s="99" t="str">
        <f t="shared" si="284"/>
        <v>#REF!</v>
      </c>
      <c r="AA450" s="99" t="str">
        <f t="shared" si="284"/>
        <v>#REF!</v>
      </c>
      <c r="AB450" s="99" t="str">
        <f t="shared" si="284"/>
        <v>#REF!</v>
      </c>
      <c r="AC450" s="99" t="str">
        <f t="shared" si="284"/>
        <v>#REF!</v>
      </c>
      <c r="AD450" s="99" t="str">
        <f t="shared" si="284"/>
        <v>#REF!</v>
      </c>
      <c r="AE450" s="99" t="str">
        <f t="shared" si="284"/>
        <v>#REF!</v>
      </c>
      <c r="AF450" s="99" t="str">
        <f t="shared" si="284"/>
        <v>#REF!</v>
      </c>
      <c r="AG450" s="99" t="str">
        <f t="shared" si="284"/>
        <v>#REF!</v>
      </c>
      <c r="AH450" s="99" t="str">
        <f t="shared" si="284"/>
        <v>#REF!</v>
      </c>
      <c r="AI450" s="99" t="str">
        <f t="shared" si="284"/>
        <v>#REF!</v>
      </c>
      <c r="AJ450" s="99" t="str">
        <f t="shared" si="284"/>
        <v>#REF!</v>
      </c>
      <c r="AK450" s="99" t="str">
        <f t="shared" si="284"/>
        <v>#REF!</v>
      </c>
      <c r="AL450" s="99" t="str">
        <f t="shared" si="284"/>
        <v>#REF!</v>
      </c>
      <c r="AM450" s="99" t="str">
        <f t="shared" si="284"/>
        <v>#REF!</v>
      </c>
      <c r="AN450" s="99" t="str">
        <f t="shared" si="284"/>
        <v>#REF!</v>
      </c>
      <c r="AO450" s="99" t="str">
        <f t="shared" si="284"/>
        <v>#REF!</v>
      </c>
      <c r="AP450" s="99" t="str">
        <f t="shared" si="284"/>
        <v>#REF!</v>
      </c>
      <c r="AQ450" s="99" t="str">
        <f t="shared" si="284"/>
        <v>#REF!</v>
      </c>
      <c r="AR450" s="99" t="str">
        <f t="shared" si="284"/>
        <v>#REF!</v>
      </c>
      <c r="AS450" s="99" t="str">
        <f t="shared" si="284"/>
        <v>#REF!</v>
      </c>
      <c r="AT450" s="99" t="str">
        <f t="shared" si="284"/>
        <v>#REF!</v>
      </c>
      <c r="AU450" s="99" t="str">
        <f t="shared" si="284"/>
        <v>#REF!</v>
      </c>
      <c r="AV450" s="99" t="str">
        <f t="shared" si="284"/>
        <v>#VALUE!</v>
      </c>
      <c r="AW450" s="90"/>
      <c r="AX450" s="90"/>
      <c r="AY450" s="90"/>
      <c r="AZ450" s="90"/>
      <c r="BA450" s="90"/>
      <c r="BB450" s="90"/>
      <c r="BC450" s="90"/>
      <c r="BD450" s="90"/>
      <c r="BE450" s="90"/>
      <c r="BF450" s="90"/>
      <c r="BG450" s="90"/>
    </row>
    <row r="451" ht="12.75" hidden="1" customHeight="1" outlineLevel="1">
      <c r="A451" s="316"/>
      <c r="B451" s="90"/>
      <c r="C451" s="90"/>
      <c r="D451" s="90" t="s">
        <v>489</v>
      </c>
      <c r="E451" s="90"/>
      <c r="F451" s="90"/>
      <c r="G451" s="254"/>
      <c r="H451" s="254"/>
      <c r="I451" s="99"/>
      <c r="J451" s="99">
        <v>0.0</v>
      </c>
      <c r="K451" s="99">
        <f t="shared" ref="K451:L451" si="285">-K447*K250</f>
        <v>0</v>
      </c>
      <c r="L451" s="99">
        <f t="shared" si="285"/>
        <v>0</v>
      </c>
      <c r="M451" s="99">
        <v>0.0</v>
      </c>
      <c r="N451" s="99">
        <v>0.0</v>
      </c>
      <c r="O451" s="99">
        <v>0.0</v>
      </c>
      <c r="P451" s="99">
        <v>0.0</v>
      </c>
      <c r="Q451" s="99">
        <v>0.0</v>
      </c>
      <c r="R451" s="99">
        <v>0.0</v>
      </c>
      <c r="S451" s="99">
        <v>0.0</v>
      </c>
      <c r="T451" s="99">
        <v>0.0</v>
      </c>
      <c r="U451" s="99">
        <v>0.0</v>
      </c>
      <c r="V451" s="99">
        <v>0.0</v>
      </c>
      <c r="W451" s="99">
        <v>0.0</v>
      </c>
      <c r="X451" s="99">
        <v>0.0</v>
      </c>
      <c r="Y451" s="99">
        <v>0.0</v>
      </c>
      <c r="Z451" s="99">
        <v>0.0</v>
      </c>
      <c r="AA451" s="99">
        <v>0.0</v>
      </c>
      <c r="AB451" s="99">
        <v>0.0</v>
      </c>
      <c r="AC451" s="99">
        <v>0.0</v>
      </c>
      <c r="AD451" s="99">
        <v>0.0</v>
      </c>
      <c r="AE451" s="99">
        <v>0.0</v>
      </c>
      <c r="AF451" s="99">
        <v>0.0</v>
      </c>
      <c r="AG451" s="99">
        <v>0.0</v>
      </c>
      <c r="AH451" s="99">
        <v>0.0</v>
      </c>
      <c r="AI451" s="99">
        <v>0.0</v>
      </c>
      <c r="AJ451" s="99">
        <v>0.0</v>
      </c>
      <c r="AK451" s="99">
        <v>0.0</v>
      </c>
      <c r="AL451" s="99">
        <v>0.0</v>
      </c>
      <c r="AM451" s="99">
        <v>0.0</v>
      </c>
      <c r="AN451" s="99">
        <v>0.0</v>
      </c>
      <c r="AO451" s="99">
        <v>0.0</v>
      </c>
      <c r="AP451" s="99">
        <v>0.0</v>
      </c>
      <c r="AQ451" s="99">
        <v>0.0</v>
      </c>
      <c r="AR451" s="99">
        <v>0.0</v>
      </c>
      <c r="AS451" s="99">
        <v>0.0</v>
      </c>
      <c r="AT451" s="99">
        <v>0.0</v>
      </c>
      <c r="AU451" s="99">
        <v>0.0</v>
      </c>
      <c r="AV451" s="99">
        <v>0.0</v>
      </c>
      <c r="AW451" s="90"/>
      <c r="AX451" s="90"/>
      <c r="AY451" s="90"/>
      <c r="AZ451" s="90"/>
      <c r="BA451" s="90"/>
      <c r="BB451" s="90"/>
      <c r="BC451" s="90"/>
      <c r="BD451" s="90"/>
      <c r="BE451" s="90"/>
      <c r="BF451" s="90"/>
      <c r="BG451" s="90"/>
    </row>
    <row r="452" ht="12.75" hidden="1" customHeight="1" outlineLevel="1">
      <c r="A452" s="316"/>
      <c r="B452" s="90"/>
      <c r="C452" s="148" t="s">
        <v>490</v>
      </c>
      <c r="D452" s="148"/>
      <c r="E452" s="148"/>
      <c r="F452" s="148"/>
      <c r="G452" s="394"/>
      <c r="H452" s="394"/>
      <c r="I452" s="394"/>
      <c r="J452" s="394">
        <v>0.0</v>
      </c>
      <c r="K452" s="394">
        <v>0.0</v>
      </c>
      <c r="L452" s="394">
        <v>0.0</v>
      </c>
      <c r="M452" s="394">
        <v>0.0</v>
      </c>
      <c r="N452" s="394">
        <v>0.0</v>
      </c>
      <c r="O452" s="394">
        <v>0.0</v>
      </c>
      <c r="P452" s="394">
        <v>0.0</v>
      </c>
      <c r="Q452" s="394">
        <v>0.0</v>
      </c>
      <c r="R452" s="394">
        <v>0.0</v>
      </c>
      <c r="S452" s="394">
        <v>0.0</v>
      </c>
      <c r="T452" s="394">
        <v>0.0</v>
      </c>
      <c r="U452" s="394">
        <v>0.0</v>
      </c>
      <c r="V452" s="394">
        <v>0.0</v>
      </c>
      <c r="W452" s="394">
        <v>0.0</v>
      </c>
      <c r="X452" s="394">
        <v>0.0</v>
      </c>
      <c r="Y452" s="394">
        <v>0.0</v>
      </c>
      <c r="Z452" s="394">
        <v>0.0</v>
      </c>
      <c r="AA452" s="394">
        <v>0.0</v>
      </c>
      <c r="AB452" s="394">
        <v>0.0</v>
      </c>
      <c r="AC452" s="394">
        <v>0.0</v>
      </c>
      <c r="AD452" s="394">
        <v>0.0</v>
      </c>
      <c r="AE452" s="394">
        <v>0.0</v>
      </c>
      <c r="AF452" s="394">
        <v>0.0</v>
      </c>
      <c r="AG452" s="394">
        <v>0.0</v>
      </c>
      <c r="AH452" s="394">
        <v>0.0</v>
      </c>
      <c r="AI452" s="394">
        <v>0.0</v>
      </c>
      <c r="AJ452" s="394">
        <v>0.0</v>
      </c>
      <c r="AK452" s="394">
        <v>0.0</v>
      </c>
      <c r="AL452" s="394">
        <v>0.0</v>
      </c>
      <c r="AM452" s="394">
        <v>0.0</v>
      </c>
      <c r="AN452" s="394">
        <v>0.0</v>
      </c>
      <c r="AO452" s="394">
        <v>0.0</v>
      </c>
      <c r="AP452" s="394">
        <v>0.0</v>
      </c>
      <c r="AQ452" s="394">
        <v>0.0</v>
      </c>
      <c r="AR452" s="394">
        <v>0.0</v>
      </c>
      <c r="AS452" s="394">
        <v>0.0</v>
      </c>
      <c r="AT452" s="394">
        <v>0.0</v>
      </c>
      <c r="AU452" s="394">
        <v>0.0</v>
      </c>
      <c r="AV452" s="394">
        <v>0.0</v>
      </c>
      <c r="AW452" s="90"/>
      <c r="AX452" s="90"/>
      <c r="AY452" s="90"/>
      <c r="AZ452" s="90"/>
      <c r="BA452" s="90"/>
      <c r="BB452" s="90"/>
      <c r="BC452" s="90"/>
      <c r="BD452" s="90"/>
      <c r="BE452" s="90"/>
      <c r="BF452" s="90"/>
      <c r="BG452" s="90"/>
    </row>
    <row r="453" ht="12.75" hidden="1" customHeight="1" outlineLevel="1">
      <c r="A453" s="555"/>
      <c r="B453" s="90"/>
      <c r="C453" s="90" t="s">
        <v>850</v>
      </c>
      <c r="D453" s="90"/>
      <c r="E453" s="90"/>
      <c r="F453" s="90"/>
      <c r="G453" s="99"/>
      <c r="H453" s="99"/>
      <c r="I453" s="99"/>
      <c r="J453" s="99">
        <v>0.0</v>
      </c>
      <c r="K453" s="99">
        <v>0.0</v>
      </c>
      <c r="L453" s="99">
        <v>0.0</v>
      </c>
      <c r="M453" s="99">
        <v>0.0</v>
      </c>
      <c r="N453" s="99">
        <v>0.0</v>
      </c>
      <c r="O453" s="99">
        <v>0.0</v>
      </c>
      <c r="P453" s="99">
        <v>0.0</v>
      </c>
      <c r="Q453" s="99">
        <v>0.0</v>
      </c>
      <c r="R453" s="99">
        <v>0.0</v>
      </c>
      <c r="S453" s="99">
        <v>0.0</v>
      </c>
      <c r="T453" s="99">
        <v>0.0</v>
      </c>
      <c r="U453" s="99">
        <v>0.0</v>
      </c>
      <c r="V453" s="99">
        <v>0.0</v>
      </c>
      <c r="W453" s="99">
        <v>0.0</v>
      </c>
      <c r="X453" s="99">
        <v>0.0</v>
      </c>
      <c r="Y453" s="99">
        <v>0.0</v>
      </c>
      <c r="Z453" s="99">
        <v>0.0</v>
      </c>
      <c r="AA453" s="99">
        <v>0.0</v>
      </c>
      <c r="AB453" s="99">
        <v>0.0</v>
      </c>
      <c r="AC453" s="99">
        <v>0.0</v>
      </c>
      <c r="AD453" s="99">
        <v>0.0</v>
      </c>
      <c r="AE453" s="99">
        <v>0.0</v>
      </c>
      <c r="AF453" s="99">
        <v>0.0</v>
      </c>
      <c r="AG453" s="99">
        <v>0.0</v>
      </c>
      <c r="AH453" s="99">
        <v>0.0</v>
      </c>
      <c r="AI453" s="99">
        <v>0.0</v>
      </c>
      <c r="AJ453" s="99">
        <v>0.0</v>
      </c>
      <c r="AK453" s="99">
        <v>0.0</v>
      </c>
      <c r="AL453" s="99">
        <v>0.0</v>
      </c>
      <c r="AM453" s="99">
        <v>0.0</v>
      </c>
      <c r="AN453" s="99">
        <v>0.0</v>
      </c>
      <c r="AO453" s="99">
        <v>0.0</v>
      </c>
      <c r="AP453" s="99">
        <v>0.0</v>
      </c>
      <c r="AQ453" s="99">
        <v>0.0</v>
      </c>
      <c r="AR453" s="99">
        <v>0.0</v>
      </c>
      <c r="AS453" s="99">
        <v>0.0</v>
      </c>
      <c r="AT453" s="99">
        <v>0.0</v>
      </c>
      <c r="AU453" s="99">
        <v>0.0</v>
      </c>
      <c r="AV453" s="99">
        <v>0.0</v>
      </c>
      <c r="AW453" s="90"/>
      <c r="AX453" s="90"/>
      <c r="AY453" s="90"/>
      <c r="AZ453" s="90"/>
      <c r="BA453" s="90"/>
      <c r="BB453" s="90"/>
      <c r="BC453" s="90"/>
      <c r="BD453" s="90"/>
      <c r="BE453" s="90"/>
      <c r="BF453" s="90"/>
      <c r="BG453" s="90"/>
    </row>
    <row r="454" ht="12.75" hidden="1" customHeight="1" outlineLevel="1">
      <c r="A454" s="316"/>
      <c r="B454" s="90"/>
      <c r="C454" s="148" t="s">
        <v>491</v>
      </c>
      <c r="D454" s="148"/>
      <c r="E454" s="148"/>
      <c r="F454" s="148"/>
      <c r="G454" s="150"/>
      <c r="H454" s="150"/>
      <c r="I454" s="150"/>
      <c r="J454" s="150">
        <f t="shared" ref="J454:AV454" si="286">+SUM(J447:J453)</f>
        <v>0</v>
      </c>
      <c r="K454" s="150">
        <f t="shared" si="286"/>
        <v>0</v>
      </c>
      <c r="L454" s="150" t="str">
        <f t="shared" si="286"/>
        <v>#REF!</v>
      </c>
      <c r="M454" s="150" t="str">
        <f t="shared" si="286"/>
        <v>#REF!</v>
      </c>
      <c r="N454" s="150" t="str">
        <f t="shared" si="286"/>
        <v>#REF!</v>
      </c>
      <c r="O454" s="150" t="str">
        <f t="shared" si="286"/>
        <v>#REF!</v>
      </c>
      <c r="P454" s="150" t="str">
        <f t="shared" si="286"/>
        <v>#REF!</v>
      </c>
      <c r="Q454" s="150" t="str">
        <f t="shared" si="286"/>
        <v>#REF!</v>
      </c>
      <c r="R454" s="150" t="str">
        <f t="shared" si="286"/>
        <v>#REF!</v>
      </c>
      <c r="S454" s="150" t="str">
        <f t="shared" si="286"/>
        <v>#REF!</v>
      </c>
      <c r="T454" s="150" t="str">
        <f t="shared" si="286"/>
        <v>#REF!</v>
      </c>
      <c r="U454" s="150" t="str">
        <f t="shared" si="286"/>
        <v>#REF!</v>
      </c>
      <c r="V454" s="150" t="str">
        <f t="shared" si="286"/>
        <v>#REF!</v>
      </c>
      <c r="W454" s="150" t="str">
        <f t="shared" si="286"/>
        <v>#REF!</v>
      </c>
      <c r="X454" s="150" t="str">
        <f t="shared" si="286"/>
        <v>#REF!</v>
      </c>
      <c r="Y454" s="150" t="str">
        <f t="shared" si="286"/>
        <v>#REF!</v>
      </c>
      <c r="Z454" s="150" t="str">
        <f t="shared" si="286"/>
        <v>#REF!</v>
      </c>
      <c r="AA454" s="150" t="str">
        <f t="shared" si="286"/>
        <v>#REF!</v>
      </c>
      <c r="AB454" s="150" t="str">
        <f t="shared" si="286"/>
        <v>#REF!</v>
      </c>
      <c r="AC454" s="150" t="str">
        <f t="shared" si="286"/>
        <v>#REF!</v>
      </c>
      <c r="AD454" s="150" t="str">
        <f t="shared" si="286"/>
        <v>#REF!</v>
      </c>
      <c r="AE454" s="150" t="str">
        <f t="shared" si="286"/>
        <v>#REF!</v>
      </c>
      <c r="AF454" s="150" t="str">
        <f t="shared" si="286"/>
        <v>#REF!</v>
      </c>
      <c r="AG454" s="150" t="str">
        <f t="shared" si="286"/>
        <v>#REF!</v>
      </c>
      <c r="AH454" s="150" t="str">
        <f t="shared" si="286"/>
        <v>#REF!</v>
      </c>
      <c r="AI454" s="150" t="str">
        <f t="shared" si="286"/>
        <v>#REF!</v>
      </c>
      <c r="AJ454" s="150" t="str">
        <f t="shared" si="286"/>
        <v>#REF!</v>
      </c>
      <c r="AK454" s="150" t="str">
        <f t="shared" si="286"/>
        <v>#REF!</v>
      </c>
      <c r="AL454" s="150" t="str">
        <f t="shared" si="286"/>
        <v>#REF!</v>
      </c>
      <c r="AM454" s="150" t="str">
        <f t="shared" si="286"/>
        <v>#REF!</v>
      </c>
      <c r="AN454" s="150" t="str">
        <f t="shared" si="286"/>
        <v>#REF!</v>
      </c>
      <c r="AO454" s="150" t="str">
        <f t="shared" si="286"/>
        <v>#REF!</v>
      </c>
      <c r="AP454" s="150" t="str">
        <f t="shared" si="286"/>
        <v>#REF!</v>
      </c>
      <c r="AQ454" s="150" t="str">
        <f t="shared" si="286"/>
        <v>#REF!</v>
      </c>
      <c r="AR454" s="150" t="str">
        <f t="shared" si="286"/>
        <v>#REF!</v>
      </c>
      <c r="AS454" s="150" t="str">
        <f t="shared" si="286"/>
        <v>#REF!</v>
      </c>
      <c r="AT454" s="150" t="str">
        <f t="shared" si="286"/>
        <v>#REF!</v>
      </c>
      <c r="AU454" s="150" t="str">
        <f t="shared" si="286"/>
        <v>#REF!</v>
      </c>
      <c r="AV454" s="150" t="str">
        <f t="shared" si="286"/>
        <v>#REF!</v>
      </c>
      <c r="AW454" s="90"/>
      <c r="AX454" s="90"/>
      <c r="AY454" s="90"/>
      <c r="AZ454" s="90"/>
      <c r="BA454" s="90"/>
      <c r="BB454" s="90"/>
      <c r="BC454" s="90"/>
      <c r="BD454" s="90"/>
      <c r="BE454" s="90"/>
      <c r="BF454" s="90"/>
      <c r="BG454" s="90"/>
    </row>
    <row r="455" ht="12.75" hidden="1" customHeight="1" outlineLevel="1">
      <c r="A455" s="316"/>
      <c r="B455" s="90"/>
      <c r="C455" s="90"/>
      <c r="D455" s="90"/>
      <c r="E455" s="90"/>
      <c r="F455" s="90"/>
      <c r="G455" s="99"/>
      <c r="H455" s="99"/>
      <c r="I455" s="99"/>
      <c r="J455" s="99"/>
      <c r="K455" s="99"/>
      <c r="L455" s="99"/>
      <c r="M455" s="99"/>
      <c r="N455" s="99"/>
      <c r="O455" s="99"/>
      <c r="P455" s="99"/>
      <c r="Q455" s="99"/>
      <c r="R455" s="99"/>
      <c r="S455" s="99"/>
      <c r="T455" s="99"/>
      <c r="U455" s="99"/>
      <c r="V455" s="99"/>
      <c r="W455" s="99"/>
      <c r="X455" s="99"/>
      <c r="Y455" s="99"/>
      <c r="Z455" s="99"/>
      <c r="AA455" s="99"/>
      <c r="AB455" s="99"/>
      <c r="AC455" s="99"/>
      <c r="AD455" s="99"/>
      <c r="AE455" s="99"/>
      <c r="AF455" s="99"/>
      <c r="AG455" s="99"/>
      <c r="AH455" s="99"/>
      <c r="AI455" s="99"/>
      <c r="AJ455" s="99"/>
      <c r="AK455" s="99"/>
      <c r="AL455" s="99"/>
      <c r="AM455" s="99"/>
      <c r="AN455" s="99"/>
      <c r="AO455" s="99"/>
      <c r="AP455" s="99"/>
      <c r="AQ455" s="99"/>
      <c r="AR455" s="99"/>
      <c r="AS455" s="99"/>
      <c r="AT455" s="99"/>
      <c r="AU455" s="99"/>
      <c r="AV455" s="99"/>
      <c r="AW455" s="90"/>
      <c r="AX455" s="90"/>
      <c r="AY455" s="90"/>
      <c r="AZ455" s="90"/>
      <c r="BA455" s="90"/>
      <c r="BB455" s="90"/>
      <c r="BC455" s="90"/>
      <c r="BD455" s="90"/>
      <c r="BE455" s="90"/>
      <c r="BF455" s="90"/>
      <c r="BG455" s="90"/>
    </row>
    <row r="456" ht="12.75" hidden="1" customHeight="1" outlineLevel="1">
      <c r="A456" s="316"/>
      <c r="B456" s="90"/>
      <c r="C456" s="369">
        <f>Assumptions!H32</f>
        <v>2</v>
      </c>
      <c r="D456" s="90" t="s">
        <v>1228</v>
      </c>
      <c r="E456" s="90"/>
      <c r="F456" s="90"/>
      <c r="G456" s="99"/>
      <c r="H456" s="99"/>
      <c r="I456" s="99"/>
      <c r="J456" s="99">
        <f t="shared" ref="J456:AV456" si="287">$C$456/12*J398</f>
        <v>71152.805</v>
      </c>
      <c r="K456" s="99">
        <f t="shared" si="287"/>
        <v>556633.4683</v>
      </c>
      <c r="L456" s="99">
        <f t="shared" si="287"/>
        <v>563121.7533</v>
      </c>
      <c r="M456" s="99" t="str">
        <f t="shared" si="287"/>
        <v>#REF!</v>
      </c>
      <c r="N456" s="99" t="str">
        <f t="shared" si="287"/>
        <v>#REF!</v>
      </c>
      <c r="O456" s="99" t="str">
        <f t="shared" si="287"/>
        <v>#REF!</v>
      </c>
      <c r="P456" s="99" t="str">
        <f t="shared" si="287"/>
        <v>#REF!</v>
      </c>
      <c r="Q456" s="99" t="str">
        <f t="shared" si="287"/>
        <v>#REF!</v>
      </c>
      <c r="R456" s="99" t="str">
        <f t="shared" si="287"/>
        <v>#REF!</v>
      </c>
      <c r="S456" s="99" t="str">
        <f t="shared" si="287"/>
        <v>#REF!</v>
      </c>
      <c r="T456" s="99" t="str">
        <f t="shared" si="287"/>
        <v>#REF!</v>
      </c>
      <c r="U456" s="99" t="str">
        <f t="shared" si="287"/>
        <v>#REF!</v>
      </c>
      <c r="V456" s="99" t="str">
        <f t="shared" si="287"/>
        <v>#REF!</v>
      </c>
      <c r="W456" s="99" t="str">
        <f t="shared" si="287"/>
        <v>#REF!</v>
      </c>
      <c r="X456" s="99" t="str">
        <f t="shared" si="287"/>
        <v>#REF!</v>
      </c>
      <c r="Y456" s="99" t="str">
        <f t="shared" si="287"/>
        <v>#REF!</v>
      </c>
      <c r="Z456" s="99" t="str">
        <f t="shared" si="287"/>
        <v>#REF!</v>
      </c>
      <c r="AA456" s="99" t="str">
        <f t="shared" si="287"/>
        <v>#REF!</v>
      </c>
      <c r="AB456" s="99" t="str">
        <f t="shared" si="287"/>
        <v>#REF!</v>
      </c>
      <c r="AC456" s="99" t="str">
        <f t="shared" si="287"/>
        <v>#REF!</v>
      </c>
      <c r="AD456" s="99" t="str">
        <f t="shared" si="287"/>
        <v>#REF!</v>
      </c>
      <c r="AE456" s="99" t="str">
        <f t="shared" si="287"/>
        <v>#REF!</v>
      </c>
      <c r="AF456" s="99" t="str">
        <f t="shared" si="287"/>
        <v>#REF!</v>
      </c>
      <c r="AG456" s="99" t="str">
        <f t="shared" si="287"/>
        <v>#REF!</v>
      </c>
      <c r="AH456" s="99" t="str">
        <f t="shared" si="287"/>
        <v>#REF!</v>
      </c>
      <c r="AI456" s="99" t="str">
        <f t="shared" si="287"/>
        <v>#REF!</v>
      </c>
      <c r="AJ456" s="99" t="str">
        <f t="shared" si="287"/>
        <v>#REF!</v>
      </c>
      <c r="AK456" s="99" t="str">
        <f t="shared" si="287"/>
        <v>#REF!</v>
      </c>
      <c r="AL456" s="99" t="str">
        <f t="shared" si="287"/>
        <v>#REF!</v>
      </c>
      <c r="AM456" s="99" t="str">
        <f t="shared" si="287"/>
        <v>#REF!</v>
      </c>
      <c r="AN456" s="99" t="str">
        <f t="shared" si="287"/>
        <v>#REF!</v>
      </c>
      <c r="AO456" s="99" t="str">
        <f t="shared" si="287"/>
        <v>#REF!</v>
      </c>
      <c r="AP456" s="99" t="str">
        <f t="shared" si="287"/>
        <v>#REF!</v>
      </c>
      <c r="AQ456" s="99" t="str">
        <f t="shared" si="287"/>
        <v>#REF!</v>
      </c>
      <c r="AR456" s="99" t="str">
        <f t="shared" si="287"/>
        <v>#REF!</v>
      </c>
      <c r="AS456" s="99" t="str">
        <f t="shared" si="287"/>
        <v>#REF!</v>
      </c>
      <c r="AT456" s="99" t="str">
        <f t="shared" si="287"/>
        <v>#REF!</v>
      </c>
      <c r="AU456" s="99" t="str">
        <f t="shared" si="287"/>
        <v>#REF!</v>
      </c>
      <c r="AV456" s="99" t="str">
        <f t="shared" si="287"/>
        <v>#REF!</v>
      </c>
      <c r="AW456" s="90"/>
      <c r="AX456" s="90"/>
      <c r="AY456" s="90"/>
      <c r="AZ456" s="90"/>
      <c r="BA456" s="90"/>
      <c r="BB456" s="90"/>
      <c r="BC456" s="90"/>
      <c r="BD456" s="90"/>
      <c r="BE456" s="90"/>
      <c r="BF456" s="90"/>
      <c r="BG456" s="90"/>
    </row>
    <row r="457" ht="12.75" hidden="1" customHeight="1" outlineLevel="1">
      <c r="A457" s="316"/>
      <c r="B457" s="90"/>
      <c r="C457" s="152">
        <f>Assumptions!H31</f>
        <v>0.65</v>
      </c>
      <c r="D457" s="90" t="s">
        <v>1229</v>
      </c>
      <c r="E457" s="90"/>
      <c r="F457" s="90"/>
      <c r="G457" s="99"/>
      <c r="H457" s="99"/>
      <c r="I457" s="99"/>
      <c r="J457" s="99">
        <f>$C$457*J478</f>
        <v>0</v>
      </c>
      <c r="K457" s="99">
        <f t="shared" ref="K457:AV457" si="288">$C$457*K477</f>
        <v>499806.203</v>
      </c>
      <c r="L457" s="99">
        <f t="shared" si="288"/>
        <v>321977.2257</v>
      </c>
      <c r="M457" s="99">
        <f t="shared" si="288"/>
        <v>340062.2973</v>
      </c>
      <c r="N457" s="99">
        <f t="shared" si="288"/>
        <v>346512.1884</v>
      </c>
      <c r="O457" s="99">
        <f t="shared" si="288"/>
        <v>352562.7673</v>
      </c>
      <c r="P457" s="99">
        <f t="shared" si="288"/>
        <v>358716.7646</v>
      </c>
      <c r="Q457" s="99">
        <f t="shared" si="288"/>
        <v>365077.5858</v>
      </c>
      <c r="R457" s="99">
        <f t="shared" si="288"/>
        <v>374887.6961</v>
      </c>
      <c r="S457" s="99">
        <f t="shared" si="288"/>
        <v>381566.2777</v>
      </c>
      <c r="T457" s="99">
        <f t="shared" si="288"/>
        <v>388434.7045</v>
      </c>
      <c r="U457" s="99">
        <f t="shared" si="288"/>
        <v>395425.2419</v>
      </c>
      <c r="V457" s="99">
        <f t="shared" si="288"/>
        <v>402880.1925</v>
      </c>
      <c r="W457" s="99">
        <f t="shared" si="288"/>
        <v>410937.7964</v>
      </c>
      <c r="X457" s="99">
        <f t="shared" si="288"/>
        <v>419156.5523</v>
      </c>
      <c r="Y457" s="99">
        <f t="shared" si="288"/>
        <v>427539.6833</v>
      </c>
      <c r="Z457" s="99">
        <f t="shared" si="288"/>
        <v>436090.477</v>
      </c>
      <c r="AA457" s="99">
        <f t="shared" si="288"/>
        <v>444812.2865</v>
      </c>
      <c r="AB457" s="99">
        <f t="shared" si="288"/>
        <v>453708.5323</v>
      </c>
      <c r="AC457" s="99">
        <f t="shared" si="288"/>
        <v>462782.7029</v>
      </c>
      <c r="AD457" s="99">
        <f t="shared" si="288"/>
        <v>472038.357</v>
      </c>
      <c r="AE457" s="99">
        <f t="shared" si="288"/>
        <v>481479.1241</v>
      </c>
      <c r="AF457" s="99">
        <f t="shared" si="288"/>
        <v>499077.0995</v>
      </c>
      <c r="AG457" s="99">
        <f t="shared" si="288"/>
        <v>509058.6415</v>
      </c>
      <c r="AH457" s="99">
        <f t="shared" si="288"/>
        <v>519239.8143</v>
      </c>
      <c r="AI457" s="99">
        <f t="shared" si="288"/>
        <v>529624.6106</v>
      </c>
      <c r="AJ457" s="99">
        <f t="shared" si="288"/>
        <v>540217.1028</v>
      </c>
      <c r="AK457" s="99">
        <f t="shared" si="288"/>
        <v>551021.4449</v>
      </c>
      <c r="AL457" s="99">
        <f t="shared" si="288"/>
        <v>562041.8738</v>
      </c>
      <c r="AM457" s="99">
        <f t="shared" si="288"/>
        <v>573282.7113</v>
      </c>
      <c r="AN457" s="99">
        <f t="shared" si="288"/>
        <v>584748.3655</v>
      </c>
      <c r="AO457" s="99">
        <f t="shared" si="288"/>
        <v>596443.3328</v>
      </c>
      <c r="AP457" s="99">
        <f t="shared" si="288"/>
        <v>608372.1994</v>
      </c>
      <c r="AQ457" s="99">
        <f t="shared" si="288"/>
        <v>620539.6434</v>
      </c>
      <c r="AR457" s="99">
        <f t="shared" si="288"/>
        <v>632950.4363</v>
      </c>
      <c r="AS457" s="99">
        <f t="shared" si="288"/>
        <v>645609.445</v>
      </c>
      <c r="AT457" s="99">
        <f t="shared" si="288"/>
        <v>658521.6339</v>
      </c>
      <c r="AU457" s="99">
        <f t="shared" si="288"/>
        <v>671692.0666</v>
      </c>
      <c r="AV457" s="99">
        <f t="shared" si="288"/>
        <v>685125.9079</v>
      </c>
      <c r="AW457" s="90"/>
      <c r="AX457" s="90"/>
      <c r="AY457" s="90"/>
      <c r="AZ457" s="90"/>
      <c r="BA457" s="90"/>
      <c r="BB457" s="90"/>
      <c r="BC457" s="90"/>
      <c r="BD457" s="90"/>
      <c r="BE457" s="90"/>
      <c r="BF457" s="90"/>
      <c r="BG457" s="90"/>
    </row>
    <row r="458" ht="12.75" hidden="1" customHeight="1" outlineLevel="1">
      <c r="A458" s="316"/>
      <c r="B458" s="90"/>
      <c r="C458" s="90"/>
      <c r="D458" s="90" t="s">
        <v>1230</v>
      </c>
      <c r="E458" s="90"/>
      <c r="F458" s="90"/>
      <c r="G458" s="99"/>
      <c r="H458" s="99"/>
      <c r="I458" s="99"/>
      <c r="J458" s="99"/>
      <c r="K458" s="99" t="str">
        <f>K431</f>
        <v>#REF!</v>
      </c>
      <c r="L458" s="99" t="str">
        <f t="shared" ref="L458:AV458" si="289">L11-SUM(L14:L20,L395,L390)+K458+L407+L424</f>
        <v>#REF!</v>
      </c>
      <c r="M458" s="99" t="str">
        <f t="shared" si="289"/>
        <v>#REF!</v>
      </c>
      <c r="N458" s="99" t="str">
        <f t="shared" si="289"/>
        <v>#REF!</v>
      </c>
      <c r="O458" s="99" t="str">
        <f t="shared" si="289"/>
        <v>#REF!</v>
      </c>
      <c r="P458" s="99" t="str">
        <f t="shared" si="289"/>
        <v>#REF!</v>
      </c>
      <c r="Q458" s="99" t="str">
        <f t="shared" si="289"/>
        <v>#REF!</v>
      </c>
      <c r="R458" s="99" t="str">
        <f t="shared" si="289"/>
        <v>#REF!</v>
      </c>
      <c r="S458" s="99" t="str">
        <f t="shared" si="289"/>
        <v>#REF!</v>
      </c>
      <c r="T458" s="99" t="str">
        <f t="shared" si="289"/>
        <v>#REF!</v>
      </c>
      <c r="U458" s="99" t="str">
        <f t="shared" si="289"/>
        <v>#REF!</v>
      </c>
      <c r="V458" s="99" t="str">
        <f t="shared" si="289"/>
        <v>#REF!</v>
      </c>
      <c r="W458" s="99" t="str">
        <f t="shared" si="289"/>
        <v>#REF!</v>
      </c>
      <c r="X458" s="99" t="str">
        <f t="shared" si="289"/>
        <v>#REF!</v>
      </c>
      <c r="Y458" s="99" t="str">
        <f t="shared" si="289"/>
        <v>#REF!</v>
      </c>
      <c r="Z458" s="99" t="str">
        <f t="shared" si="289"/>
        <v>#REF!</v>
      </c>
      <c r="AA458" s="99" t="str">
        <f t="shared" si="289"/>
        <v>#REF!</v>
      </c>
      <c r="AB458" s="99" t="str">
        <f t="shared" si="289"/>
        <v>#REF!</v>
      </c>
      <c r="AC458" s="99" t="str">
        <f t="shared" si="289"/>
        <v>#REF!</v>
      </c>
      <c r="AD458" s="99" t="str">
        <f t="shared" si="289"/>
        <v>#REF!</v>
      </c>
      <c r="AE458" s="99" t="str">
        <f t="shared" si="289"/>
        <v>#REF!</v>
      </c>
      <c r="AF458" s="99" t="str">
        <f t="shared" si="289"/>
        <v>#REF!</v>
      </c>
      <c r="AG458" s="99" t="str">
        <f t="shared" si="289"/>
        <v>#REF!</v>
      </c>
      <c r="AH458" s="99" t="str">
        <f t="shared" si="289"/>
        <v>#REF!</v>
      </c>
      <c r="AI458" s="99" t="str">
        <f t="shared" si="289"/>
        <v>#REF!</v>
      </c>
      <c r="AJ458" s="99" t="str">
        <f t="shared" si="289"/>
        <v>#REF!</v>
      </c>
      <c r="AK458" s="99" t="str">
        <f t="shared" si="289"/>
        <v>#REF!</v>
      </c>
      <c r="AL458" s="99" t="str">
        <f t="shared" si="289"/>
        <v>#REF!</v>
      </c>
      <c r="AM458" s="99" t="str">
        <f t="shared" si="289"/>
        <v>#REF!</v>
      </c>
      <c r="AN458" s="99" t="str">
        <f t="shared" si="289"/>
        <v>#REF!</v>
      </c>
      <c r="AO458" s="99" t="str">
        <f t="shared" si="289"/>
        <v>#REF!</v>
      </c>
      <c r="AP458" s="99" t="str">
        <f t="shared" si="289"/>
        <v>#REF!</v>
      </c>
      <c r="AQ458" s="99" t="str">
        <f t="shared" si="289"/>
        <v>#REF!</v>
      </c>
      <c r="AR458" s="99" t="str">
        <f t="shared" si="289"/>
        <v>#REF!</v>
      </c>
      <c r="AS458" s="99" t="str">
        <f t="shared" si="289"/>
        <v>#REF!</v>
      </c>
      <c r="AT458" s="99" t="str">
        <f t="shared" si="289"/>
        <v>#REF!</v>
      </c>
      <c r="AU458" s="99" t="str">
        <f t="shared" si="289"/>
        <v>#REF!</v>
      </c>
      <c r="AV458" s="99" t="str">
        <f t="shared" si="289"/>
        <v>#VALUE!</v>
      </c>
      <c r="AW458" s="90"/>
      <c r="AX458" s="90"/>
      <c r="AY458" s="90"/>
      <c r="AZ458" s="90"/>
      <c r="BA458" s="90"/>
      <c r="BB458" s="90"/>
      <c r="BC458" s="90"/>
      <c r="BD458" s="90"/>
      <c r="BE458" s="90"/>
      <c r="BF458" s="90"/>
      <c r="BG458" s="90"/>
    </row>
    <row r="459" ht="12.75" hidden="1" customHeight="1" outlineLevel="1">
      <c r="A459" s="316"/>
      <c r="B459" s="90"/>
      <c r="C459" s="90"/>
      <c r="D459" s="90"/>
      <c r="E459" s="90"/>
      <c r="F459" s="90"/>
      <c r="G459" s="99"/>
      <c r="H459" s="99"/>
      <c r="I459" s="99"/>
      <c r="J459" s="99"/>
      <c r="K459" s="99"/>
      <c r="L459" s="99"/>
      <c r="M459" s="99"/>
      <c r="N459" s="99"/>
      <c r="O459" s="99"/>
      <c r="P459" s="99"/>
      <c r="Q459" s="99"/>
      <c r="R459" s="99"/>
      <c r="S459" s="99"/>
      <c r="T459" s="99"/>
      <c r="U459" s="99"/>
      <c r="V459" s="99"/>
      <c r="W459" s="99"/>
      <c r="X459" s="99"/>
      <c r="Y459" s="99"/>
      <c r="Z459" s="99"/>
      <c r="AA459" s="99"/>
      <c r="AB459" s="99"/>
      <c r="AC459" s="99"/>
      <c r="AD459" s="99"/>
      <c r="AE459" s="99"/>
      <c r="AF459" s="99"/>
      <c r="AG459" s="99"/>
      <c r="AH459" s="99"/>
      <c r="AI459" s="99"/>
      <c r="AJ459" s="99"/>
      <c r="AK459" s="99"/>
      <c r="AL459" s="99"/>
      <c r="AM459" s="99"/>
      <c r="AN459" s="99"/>
      <c r="AO459" s="99"/>
      <c r="AP459" s="99"/>
      <c r="AQ459" s="99"/>
      <c r="AR459" s="99"/>
      <c r="AS459" s="99"/>
      <c r="AT459" s="99"/>
      <c r="AU459" s="99"/>
      <c r="AV459" s="99"/>
      <c r="AW459" s="90"/>
      <c r="AX459" s="90"/>
      <c r="AY459" s="90"/>
      <c r="AZ459" s="90"/>
      <c r="BA459" s="90"/>
      <c r="BB459" s="90"/>
      <c r="BC459" s="90"/>
      <c r="BD459" s="90"/>
      <c r="BE459" s="90"/>
      <c r="BF459" s="90"/>
      <c r="BG459" s="90"/>
    </row>
    <row r="460" ht="12.75" hidden="1" customHeight="1" outlineLevel="1">
      <c r="A460" s="316"/>
      <c r="B460" s="67" t="s">
        <v>479</v>
      </c>
      <c r="C460" s="90"/>
      <c r="D460" s="90"/>
      <c r="E460" s="90"/>
      <c r="F460" s="90"/>
      <c r="G460" s="90"/>
      <c r="H460" s="90"/>
      <c r="I460" s="90"/>
      <c r="J460" s="90"/>
      <c r="K460" s="90"/>
      <c r="L460" s="90"/>
      <c r="M460" s="90"/>
      <c r="N460" s="90"/>
      <c r="O460" s="90"/>
      <c r="P460" s="90"/>
      <c r="Q460" s="90"/>
      <c r="R460" s="90"/>
      <c r="S460" s="90"/>
      <c r="T460" s="90"/>
      <c r="U460" s="90"/>
      <c r="V460" s="90"/>
      <c r="W460" s="90"/>
      <c r="X460" s="90"/>
      <c r="Y460" s="90"/>
      <c r="Z460" s="90"/>
      <c r="AA460" s="90"/>
      <c r="AB460" s="90"/>
      <c r="AC460" s="90"/>
      <c r="AD460" s="90"/>
      <c r="AE460" s="90"/>
      <c r="AF460" s="90"/>
      <c r="AG460" s="90"/>
      <c r="AH460" s="90"/>
      <c r="AI460" s="90"/>
      <c r="AJ460" s="90"/>
      <c r="AK460" s="90"/>
      <c r="AL460" s="90"/>
      <c r="AM460" s="90"/>
      <c r="AN460" s="90"/>
      <c r="AO460" s="90"/>
      <c r="AP460" s="90"/>
      <c r="AQ460" s="90"/>
      <c r="AR460" s="90"/>
      <c r="AS460" s="90"/>
      <c r="AT460" s="90"/>
      <c r="AU460" s="90"/>
      <c r="AV460" s="90"/>
      <c r="AW460" s="90"/>
      <c r="AX460" s="90"/>
      <c r="AY460" s="90"/>
      <c r="AZ460" s="90"/>
      <c r="BA460" s="90"/>
      <c r="BB460" s="90"/>
      <c r="BC460" s="90"/>
      <c r="BD460" s="90"/>
      <c r="BE460" s="90"/>
      <c r="BF460" s="90"/>
      <c r="BG460" s="90"/>
    </row>
    <row r="461" ht="12.75" hidden="1" customHeight="1" outlineLevel="1">
      <c r="A461" s="316"/>
      <c r="B461" s="67"/>
      <c r="C461" s="90" t="s">
        <v>487</v>
      </c>
      <c r="D461" s="90"/>
      <c r="E461" s="90"/>
      <c r="F461" s="90"/>
      <c r="G461" s="254"/>
      <c r="H461" s="99"/>
      <c r="I461" s="99"/>
      <c r="J461" s="99" t="str">
        <f t="shared" ref="J461:AV461" si="290">+I468</f>
        <v/>
      </c>
      <c r="K461" s="99">
        <f t="shared" si="290"/>
        <v>0</v>
      </c>
      <c r="L461" s="99">
        <f t="shared" si="290"/>
        <v>100000</v>
      </c>
      <c r="M461" s="99">
        <f t="shared" si="290"/>
        <v>0</v>
      </c>
      <c r="N461" s="99">
        <f t="shared" si="290"/>
        <v>0</v>
      </c>
      <c r="O461" s="99">
        <f t="shared" si="290"/>
        <v>0</v>
      </c>
      <c r="P461" s="99">
        <f t="shared" si="290"/>
        <v>0</v>
      </c>
      <c r="Q461" s="99">
        <f t="shared" si="290"/>
        <v>0</v>
      </c>
      <c r="R461" s="99">
        <f t="shared" si="290"/>
        <v>0</v>
      </c>
      <c r="S461" s="99">
        <f t="shared" si="290"/>
        <v>0</v>
      </c>
      <c r="T461" s="99">
        <f t="shared" si="290"/>
        <v>0</v>
      </c>
      <c r="U461" s="99">
        <f t="shared" si="290"/>
        <v>0</v>
      </c>
      <c r="V461" s="99">
        <f t="shared" si="290"/>
        <v>0</v>
      </c>
      <c r="W461" s="99">
        <f t="shared" si="290"/>
        <v>0</v>
      </c>
      <c r="X461" s="99">
        <f t="shared" si="290"/>
        <v>0</v>
      </c>
      <c r="Y461" s="99">
        <f t="shared" si="290"/>
        <v>0</v>
      </c>
      <c r="Z461" s="99">
        <f t="shared" si="290"/>
        <v>0</v>
      </c>
      <c r="AA461" s="99">
        <f t="shared" si="290"/>
        <v>0</v>
      </c>
      <c r="AB461" s="99">
        <f t="shared" si="290"/>
        <v>0</v>
      </c>
      <c r="AC461" s="99">
        <f t="shared" si="290"/>
        <v>0</v>
      </c>
      <c r="AD461" s="99">
        <f t="shared" si="290"/>
        <v>0</v>
      </c>
      <c r="AE461" s="99">
        <f t="shared" si="290"/>
        <v>0</v>
      </c>
      <c r="AF461" s="99">
        <f t="shared" si="290"/>
        <v>0</v>
      </c>
      <c r="AG461" s="99">
        <f t="shared" si="290"/>
        <v>0</v>
      </c>
      <c r="AH461" s="99">
        <f t="shared" si="290"/>
        <v>0</v>
      </c>
      <c r="AI461" s="99">
        <f t="shared" si="290"/>
        <v>0</v>
      </c>
      <c r="AJ461" s="99">
        <f t="shared" si="290"/>
        <v>0</v>
      </c>
      <c r="AK461" s="99">
        <f t="shared" si="290"/>
        <v>0</v>
      </c>
      <c r="AL461" s="99">
        <f t="shared" si="290"/>
        <v>0</v>
      </c>
      <c r="AM461" s="99">
        <f t="shared" si="290"/>
        <v>0</v>
      </c>
      <c r="AN461" s="99">
        <f t="shared" si="290"/>
        <v>0</v>
      </c>
      <c r="AO461" s="99">
        <f t="shared" si="290"/>
        <v>0</v>
      </c>
      <c r="AP461" s="99">
        <f t="shared" si="290"/>
        <v>0</v>
      </c>
      <c r="AQ461" s="99">
        <f t="shared" si="290"/>
        <v>0</v>
      </c>
      <c r="AR461" s="99">
        <f t="shared" si="290"/>
        <v>0</v>
      </c>
      <c r="AS461" s="99">
        <f t="shared" si="290"/>
        <v>0</v>
      </c>
      <c r="AT461" s="99">
        <f t="shared" si="290"/>
        <v>0</v>
      </c>
      <c r="AU461" s="99">
        <f t="shared" si="290"/>
        <v>0</v>
      </c>
      <c r="AV461" s="99">
        <f t="shared" si="290"/>
        <v>0</v>
      </c>
      <c r="AW461" s="90"/>
      <c r="AX461" s="90"/>
      <c r="AY461" s="90"/>
      <c r="AZ461" s="90"/>
      <c r="BA461" s="90"/>
      <c r="BB461" s="90"/>
      <c r="BC461" s="90"/>
      <c r="BD461" s="90"/>
      <c r="BE461" s="90"/>
      <c r="BF461" s="90"/>
      <c r="BG461" s="90"/>
    </row>
    <row r="462" ht="12.75" hidden="1" customHeight="1" outlineLevel="1">
      <c r="A462" s="316"/>
      <c r="B462" s="90"/>
      <c r="C462" s="90" t="s">
        <v>488</v>
      </c>
      <c r="D462" s="90"/>
      <c r="E462" s="90"/>
      <c r="F462" s="90"/>
      <c r="G462" s="254"/>
      <c r="H462" s="254"/>
      <c r="I462" s="254"/>
      <c r="J462" s="254">
        <v>0.0</v>
      </c>
      <c r="K462" s="254">
        <v>100000.0</v>
      </c>
      <c r="L462" s="254">
        <v>0.0</v>
      </c>
      <c r="M462" s="254">
        <v>0.0</v>
      </c>
      <c r="N462" s="254">
        <v>0.0</v>
      </c>
      <c r="O462" s="254">
        <v>0.0</v>
      </c>
      <c r="P462" s="254">
        <v>0.0</v>
      </c>
      <c r="Q462" s="254">
        <v>0.0</v>
      </c>
      <c r="R462" s="254">
        <v>0.0</v>
      </c>
      <c r="S462" s="254">
        <v>0.0</v>
      </c>
      <c r="T462" s="254">
        <v>0.0</v>
      </c>
      <c r="U462" s="254">
        <v>0.0</v>
      </c>
      <c r="V462" s="254">
        <v>0.0</v>
      </c>
      <c r="W462" s="254">
        <v>0.0</v>
      </c>
      <c r="X462" s="254">
        <v>0.0</v>
      </c>
      <c r="Y462" s="254">
        <v>0.0</v>
      </c>
      <c r="Z462" s="254">
        <v>0.0</v>
      </c>
      <c r="AA462" s="254">
        <v>0.0</v>
      </c>
      <c r="AB462" s="254">
        <v>0.0</v>
      </c>
      <c r="AC462" s="254">
        <v>0.0</v>
      </c>
      <c r="AD462" s="254">
        <v>0.0</v>
      </c>
      <c r="AE462" s="254">
        <v>0.0</v>
      </c>
      <c r="AF462" s="254">
        <v>0.0</v>
      </c>
      <c r="AG462" s="254">
        <v>0.0</v>
      </c>
      <c r="AH462" s="254">
        <v>0.0</v>
      </c>
      <c r="AI462" s="254">
        <v>0.0</v>
      </c>
      <c r="AJ462" s="254">
        <v>0.0</v>
      </c>
      <c r="AK462" s="254">
        <v>0.0</v>
      </c>
      <c r="AL462" s="254">
        <v>0.0</v>
      </c>
      <c r="AM462" s="254">
        <v>0.0</v>
      </c>
      <c r="AN462" s="254">
        <v>0.0</v>
      </c>
      <c r="AO462" s="254">
        <v>0.0</v>
      </c>
      <c r="AP462" s="254">
        <v>0.0</v>
      </c>
      <c r="AQ462" s="254">
        <v>0.0</v>
      </c>
      <c r="AR462" s="254">
        <v>0.0</v>
      </c>
      <c r="AS462" s="254">
        <v>0.0</v>
      </c>
      <c r="AT462" s="254">
        <v>0.0</v>
      </c>
      <c r="AU462" s="254">
        <v>0.0</v>
      </c>
      <c r="AV462" s="254">
        <v>0.0</v>
      </c>
      <c r="AW462" s="90"/>
      <c r="AX462" s="90"/>
      <c r="AY462" s="90"/>
      <c r="AZ462" s="90"/>
      <c r="BA462" s="90"/>
      <c r="BB462" s="90"/>
      <c r="BC462" s="90"/>
      <c r="BD462" s="90"/>
      <c r="BE462" s="90"/>
      <c r="BF462" s="90"/>
      <c r="BG462" s="90"/>
    </row>
    <row r="463" ht="12.75" hidden="1" customHeight="1" outlineLevel="1">
      <c r="A463" s="316"/>
      <c r="B463" s="90"/>
      <c r="C463" s="90" t="s">
        <v>490</v>
      </c>
      <c r="D463" s="90"/>
      <c r="E463" s="90"/>
      <c r="F463" s="90"/>
      <c r="G463" s="254"/>
      <c r="H463" s="254"/>
      <c r="I463" s="254"/>
      <c r="J463" s="254"/>
      <c r="K463" s="254"/>
      <c r="L463" s="254"/>
      <c r="M463" s="254"/>
      <c r="N463" s="254"/>
      <c r="O463" s="254"/>
      <c r="P463" s="254"/>
      <c r="Q463" s="254"/>
      <c r="R463" s="254"/>
      <c r="S463" s="254"/>
      <c r="T463" s="254"/>
      <c r="U463" s="254"/>
      <c r="V463" s="254"/>
      <c r="W463" s="254"/>
      <c r="X463" s="254"/>
      <c r="Y463" s="254"/>
      <c r="Z463" s="254"/>
      <c r="AA463" s="254"/>
      <c r="AB463" s="254"/>
      <c r="AC463" s="254"/>
      <c r="AD463" s="254"/>
      <c r="AE463" s="254"/>
      <c r="AF463" s="254"/>
      <c r="AG463" s="254"/>
      <c r="AH463" s="254"/>
      <c r="AI463" s="254"/>
      <c r="AJ463" s="254"/>
      <c r="AK463" s="254"/>
      <c r="AL463" s="254"/>
      <c r="AM463" s="254"/>
      <c r="AN463" s="254"/>
      <c r="AO463" s="254"/>
      <c r="AP463" s="254"/>
      <c r="AQ463" s="254"/>
      <c r="AR463" s="254"/>
      <c r="AS463" s="254"/>
      <c r="AT463" s="254"/>
      <c r="AU463" s="254"/>
      <c r="AV463" s="254"/>
      <c r="AW463" s="90"/>
      <c r="AX463" s="90"/>
      <c r="AY463" s="90"/>
      <c r="AZ463" s="90"/>
      <c r="BA463" s="90"/>
      <c r="BB463" s="90"/>
      <c r="BC463" s="90"/>
      <c r="BD463" s="90"/>
      <c r="BE463" s="90"/>
      <c r="BF463" s="90"/>
      <c r="BG463" s="90"/>
    </row>
    <row r="464" ht="12.75" hidden="1" customHeight="1" outlineLevel="1">
      <c r="A464" s="316"/>
      <c r="B464" s="90"/>
      <c r="C464" s="90"/>
      <c r="D464" s="90" t="s">
        <v>701</v>
      </c>
      <c r="E464" s="90"/>
      <c r="F464" s="90"/>
      <c r="G464" s="254"/>
      <c r="H464" s="254"/>
      <c r="I464" s="99"/>
      <c r="J464" s="99">
        <f t="shared" ref="J464:K464" si="291">MIN(J466-J465,0)</f>
        <v>0</v>
      </c>
      <c r="K464" s="99">
        <f t="shared" si="291"/>
        <v>0</v>
      </c>
      <c r="L464" s="99">
        <v>0.0</v>
      </c>
      <c r="M464" s="99">
        <f t="shared" ref="M464:AV464" si="292">MIN(M466-M465,0)</f>
        <v>0</v>
      </c>
      <c r="N464" s="99">
        <f t="shared" si="292"/>
        <v>0</v>
      </c>
      <c r="O464" s="99">
        <f t="shared" si="292"/>
        <v>0</v>
      </c>
      <c r="P464" s="99">
        <f t="shared" si="292"/>
        <v>0</v>
      </c>
      <c r="Q464" s="99">
        <f t="shared" si="292"/>
        <v>0</v>
      </c>
      <c r="R464" s="99">
        <f t="shared" si="292"/>
        <v>0</v>
      </c>
      <c r="S464" s="99">
        <f t="shared" si="292"/>
        <v>0</v>
      </c>
      <c r="T464" s="99">
        <f t="shared" si="292"/>
        <v>0</v>
      </c>
      <c r="U464" s="99">
        <f t="shared" si="292"/>
        <v>0</v>
      </c>
      <c r="V464" s="99">
        <f t="shared" si="292"/>
        <v>0</v>
      </c>
      <c r="W464" s="99">
        <f t="shared" si="292"/>
        <v>0</v>
      </c>
      <c r="X464" s="99">
        <f t="shared" si="292"/>
        <v>0</v>
      </c>
      <c r="Y464" s="99">
        <f t="shared" si="292"/>
        <v>0</v>
      </c>
      <c r="Z464" s="99">
        <f t="shared" si="292"/>
        <v>0</v>
      </c>
      <c r="AA464" s="99">
        <f t="shared" si="292"/>
        <v>0</v>
      </c>
      <c r="AB464" s="99">
        <f t="shared" si="292"/>
        <v>0</v>
      </c>
      <c r="AC464" s="99">
        <f t="shared" si="292"/>
        <v>0</v>
      </c>
      <c r="AD464" s="99">
        <f t="shared" si="292"/>
        <v>0</v>
      </c>
      <c r="AE464" s="99">
        <f t="shared" si="292"/>
        <v>0</v>
      </c>
      <c r="AF464" s="99">
        <f t="shared" si="292"/>
        <v>0</v>
      </c>
      <c r="AG464" s="99">
        <f t="shared" si="292"/>
        <v>0</v>
      </c>
      <c r="AH464" s="99">
        <f t="shared" si="292"/>
        <v>0</v>
      </c>
      <c r="AI464" s="99">
        <f t="shared" si="292"/>
        <v>0</v>
      </c>
      <c r="AJ464" s="99">
        <f t="shared" si="292"/>
        <v>0</v>
      </c>
      <c r="AK464" s="99">
        <f t="shared" si="292"/>
        <v>0</v>
      </c>
      <c r="AL464" s="99">
        <f t="shared" si="292"/>
        <v>0</v>
      </c>
      <c r="AM464" s="99">
        <f t="shared" si="292"/>
        <v>0</v>
      </c>
      <c r="AN464" s="99">
        <f t="shared" si="292"/>
        <v>0</v>
      </c>
      <c r="AO464" s="99">
        <f t="shared" si="292"/>
        <v>0</v>
      </c>
      <c r="AP464" s="99">
        <f t="shared" si="292"/>
        <v>0</v>
      </c>
      <c r="AQ464" s="99">
        <f t="shared" si="292"/>
        <v>0</v>
      </c>
      <c r="AR464" s="99">
        <f t="shared" si="292"/>
        <v>0</v>
      </c>
      <c r="AS464" s="99">
        <f t="shared" si="292"/>
        <v>0</v>
      </c>
      <c r="AT464" s="99">
        <f t="shared" si="292"/>
        <v>0</v>
      </c>
      <c r="AU464" s="99">
        <f t="shared" si="292"/>
        <v>0</v>
      </c>
      <c r="AV464" s="99">
        <f t="shared" si="292"/>
        <v>0</v>
      </c>
      <c r="AW464" s="90"/>
      <c r="AX464" s="90"/>
      <c r="AY464" s="90"/>
      <c r="AZ464" s="90"/>
      <c r="BA464" s="90"/>
      <c r="BB464" s="90"/>
      <c r="BC464" s="90"/>
      <c r="BD464" s="90"/>
      <c r="BE464" s="90"/>
      <c r="BF464" s="90"/>
      <c r="BG464" s="90"/>
    </row>
    <row r="465" ht="12.75" hidden="1" customHeight="1" outlineLevel="1">
      <c r="A465" s="316"/>
      <c r="B465" s="90"/>
      <c r="C465" s="90"/>
      <c r="D465" s="90" t="s">
        <v>489</v>
      </c>
      <c r="E465" s="90"/>
      <c r="F465" s="90"/>
      <c r="G465" s="254"/>
      <c r="H465" s="254"/>
      <c r="I465" s="99"/>
      <c r="J465" s="99">
        <f t="shared" ref="J465:K465" si="293">-J461*J251</f>
        <v>0</v>
      </c>
      <c r="K465" s="99">
        <f t="shared" si="293"/>
        <v>0</v>
      </c>
      <c r="L465" s="99">
        <v>0.0</v>
      </c>
      <c r="M465" s="99">
        <v>0.0</v>
      </c>
      <c r="N465" s="99">
        <v>0.0</v>
      </c>
      <c r="O465" s="99">
        <v>0.0</v>
      </c>
      <c r="P465" s="99">
        <v>0.0</v>
      </c>
      <c r="Q465" s="99">
        <v>0.0</v>
      </c>
      <c r="R465" s="99">
        <v>0.0</v>
      </c>
      <c r="S465" s="99">
        <v>0.0</v>
      </c>
      <c r="T465" s="99">
        <v>0.0</v>
      </c>
      <c r="U465" s="99">
        <v>0.0</v>
      </c>
      <c r="V465" s="99">
        <v>0.0</v>
      </c>
      <c r="W465" s="99">
        <v>0.0</v>
      </c>
      <c r="X465" s="99">
        <v>0.0</v>
      </c>
      <c r="Y465" s="99">
        <v>0.0</v>
      </c>
      <c r="Z465" s="99">
        <v>0.0</v>
      </c>
      <c r="AA465" s="99">
        <v>0.0</v>
      </c>
      <c r="AB465" s="99">
        <v>0.0</v>
      </c>
      <c r="AC465" s="99">
        <v>0.0</v>
      </c>
      <c r="AD465" s="99">
        <v>0.0</v>
      </c>
      <c r="AE465" s="99">
        <v>0.0</v>
      </c>
      <c r="AF465" s="99">
        <v>0.0</v>
      </c>
      <c r="AG465" s="99">
        <v>0.0</v>
      </c>
      <c r="AH465" s="99">
        <v>0.0</v>
      </c>
      <c r="AI465" s="99">
        <v>0.0</v>
      </c>
      <c r="AJ465" s="99">
        <v>0.0</v>
      </c>
      <c r="AK465" s="99">
        <v>0.0</v>
      </c>
      <c r="AL465" s="99">
        <v>0.0</v>
      </c>
      <c r="AM465" s="99">
        <v>0.0</v>
      </c>
      <c r="AN465" s="99">
        <v>0.0</v>
      </c>
      <c r="AO465" s="99">
        <v>0.0</v>
      </c>
      <c r="AP465" s="99">
        <v>0.0</v>
      </c>
      <c r="AQ465" s="99">
        <v>0.0</v>
      </c>
      <c r="AR465" s="99">
        <v>0.0</v>
      </c>
      <c r="AS465" s="99">
        <v>0.0</v>
      </c>
      <c r="AT465" s="99">
        <v>0.0</v>
      </c>
      <c r="AU465" s="99">
        <v>0.0</v>
      </c>
      <c r="AV465" s="99">
        <v>0.0</v>
      </c>
      <c r="AW465" s="90"/>
      <c r="AX465" s="90"/>
      <c r="AY465" s="90"/>
      <c r="AZ465" s="90"/>
      <c r="BA465" s="90"/>
      <c r="BB465" s="90"/>
      <c r="BC465" s="90"/>
      <c r="BD465" s="90"/>
      <c r="BE465" s="90"/>
      <c r="BF465" s="90"/>
      <c r="BG465" s="90"/>
    </row>
    <row r="466" ht="12.75" hidden="1" customHeight="1" outlineLevel="1">
      <c r="A466" s="316"/>
      <c r="B466" s="90"/>
      <c r="C466" s="148" t="s">
        <v>490</v>
      </c>
      <c r="D466" s="148"/>
      <c r="E466" s="148"/>
      <c r="F466" s="148"/>
      <c r="G466" s="394"/>
      <c r="H466" s="394"/>
      <c r="I466" s="394"/>
      <c r="J466" s="394">
        <v>0.0</v>
      </c>
      <c r="K466" s="394">
        <v>0.0</v>
      </c>
      <c r="L466" s="394">
        <v>-100000.0</v>
      </c>
      <c r="M466" s="394">
        <v>0.0</v>
      </c>
      <c r="N466" s="394">
        <v>0.0</v>
      </c>
      <c r="O466" s="394">
        <v>0.0</v>
      </c>
      <c r="P466" s="394">
        <v>0.0</v>
      </c>
      <c r="Q466" s="394">
        <v>0.0</v>
      </c>
      <c r="R466" s="394">
        <v>0.0</v>
      </c>
      <c r="S466" s="394">
        <v>0.0</v>
      </c>
      <c r="T466" s="394">
        <v>0.0</v>
      </c>
      <c r="U466" s="394">
        <v>0.0</v>
      </c>
      <c r="V466" s="394">
        <v>0.0</v>
      </c>
      <c r="W466" s="394">
        <v>0.0</v>
      </c>
      <c r="X466" s="394">
        <v>0.0</v>
      </c>
      <c r="Y466" s="394">
        <v>0.0</v>
      </c>
      <c r="Z466" s="394">
        <v>0.0</v>
      </c>
      <c r="AA466" s="394">
        <v>0.0</v>
      </c>
      <c r="AB466" s="394">
        <v>0.0</v>
      </c>
      <c r="AC466" s="394">
        <v>0.0</v>
      </c>
      <c r="AD466" s="394">
        <v>0.0</v>
      </c>
      <c r="AE466" s="394">
        <v>0.0</v>
      </c>
      <c r="AF466" s="394">
        <v>0.0</v>
      </c>
      <c r="AG466" s="394">
        <v>0.0</v>
      </c>
      <c r="AH466" s="394">
        <v>0.0</v>
      </c>
      <c r="AI466" s="394">
        <v>0.0</v>
      </c>
      <c r="AJ466" s="394">
        <v>0.0</v>
      </c>
      <c r="AK466" s="394">
        <v>0.0</v>
      </c>
      <c r="AL466" s="394">
        <v>0.0</v>
      </c>
      <c r="AM466" s="394">
        <v>0.0</v>
      </c>
      <c r="AN466" s="394">
        <v>0.0</v>
      </c>
      <c r="AO466" s="394">
        <v>0.0</v>
      </c>
      <c r="AP466" s="394">
        <v>0.0</v>
      </c>
      <c r="AQ466" s="394">
        <v>0.0</v>
      </c>
      <c r="AR466" s="394">
        <v>0.0</v>
      </c>
      <c r="AS466" s="394">
        <v>0.0</v>
      </c>
      <c r="AT466" s="394">
        <v>0.0</v>
      </c>
      <c r="AU466" s="394">
        <v>0.0</v>
      </c>
      <c r="AV466" s="394">
        <v>0.0</v>
      </c>
      <c r="AW466" s="90"/>
      <c r="AX466" s="90"/>
      <c r="AY466" s="90"/>
      <c r="AZ466" s="90"/>
      <c r="BA466" s="90"/>
      <c r="BB466" s="90"/>
      <c r="BC466" s="90"/>
      <c r="BD466" s="90"/>
      <c r="BE466" s="90"/>
      <c r="BF466" s="90"/>
      <c r="BG466" s="90"/>
    </row>
    <row r="467" ht="12.75" hidden="1" customHeight="1" outlineLevel="1">
      <c r="A467" s="555"/>
      <c r="B467" s="90"/>
      <c r="C467" s="90" t="s">
        <v>850</v>
      </c>
      <c r="D467" s="90"/>
      <c r="E467" s="90"/>
      <c r="F467" s="90"/>
      <c r="G467" s="397"/>
      <c r="H467" s="397"/>
      <c r="I467" s="397"/>
      <c r="J467" s="397">
        <f>+IF(J461+J462+J466=0,0,IF($A$467="N",0,IF(#REF!&gt;0,-MIN(SUM(J461:J466),#REF!),0)))</f>
        <v>0</v>
      </c>
      <c r="K467" s="397">
        <v>0.0</v>
      </c>
      <c r="L467" s="397">
        <v>0.0</v>
      </c>
      <c r="M467" s="397">
        <v>0.0</v>
      </c>
      <c r="N467" s="397">
        <v>0.0</v>
      </c>
      <c r="O467" s="397">
        <v>0.0</v>
      </c>
      <c r="P467" s="397">
        <v>0.0</v>
      </c>
      <c r="Q467" s="397">
        <v>0.0</v>
      </c>
      <c r="R467" s="397">
        <v>0.0</v>
      </c>
      <c r="S467" s="397">
        <v>0.0</v>
      </c>
      <c r="T467" s="397">
        <v>0.0</v>
      </c>
      <c r="U467" s="397">
        <v>0.0</v>
      </c>
      <c r="V467" s="397">
        <v>0.0</v>
      </c>
      <c r="W467" s="397">
        <v>0.0</v>
      </c>
      <c r="X467" s="397">
        <v>0.0</v>
      </c>
      <c r="Y467" s="397">
        <v>0.0</v>
      </c>
      <c r="Z467" s="397">
        <v>0.0</v>
      </c>
      <c r="AA467" s="397">
        <v>0.0</v>
      </c>
      <c r="AB467" s="397">
        <v>0.0</v>
      </c>
      <c r="AC467" s="397">
        <v>0.0</v>
      </c>
      <c r="AD467" s="397">
        <v>0.0</v>
      </c>
      <c r="AE467" s="397">
        <v>0.0</v>
      </c>
      <c r="AF467" s="397">
        <v>0.0</v>
      </c>
      <c r="AG467" s="397">
        <v>0.0</v>
      </c>
      <c r="AH467" s="397">
        <v>0.0</v>
      </c>
      <c r="AI467" s="397">
        <v>0.0</v>
      </c>
      <c r="AJ467" s="397">
        <v>0.0</v>
      </c>
      <c r="AK467" s="397">
        <v>0.0</v>
      </c>
      <c r="AL467" s="397">
        <v>0.0</v>
      </c>
      <c r="AM467" s="397">
        <v>0.0</v>
      </c>
      <c r="AN467" s="397">
        <v>0.0</v>
      </c>
      <c r="AO467" s="397">
        <v>0.0</v>
      </c>
      <c r="AP467" s="397">
        <v>0.0</v>
      </c>
      <c r="AQ467" s="397">
        <v>0.0</v>
      </c>
      <c r="AR467" s="397">
        <v>0.0</v>
      </c>
      <c r="AS467" s="397">
        <v>0.0</v>
      </c>
      <c r="AT467" s="397">
        <v>0.0</v>
      </c>
      <c r="AU467" s="397">
        <v>0.0</v>
      </c>
      <c r="AV467" s="397">
        <v>0.0</v>
      </c>
      <c r="AW467" s="90"/>
      <c r="AX467" s="90"/>
      <c r="AY467" s="90"/>
      <c r="AZ467" s="90"/>
      <c r="BA467" s="90"/>
      <c r="BB467" s="90"/>
      <c r="BC467" s="90"/>
      <c r="BD467" s="90"/>
      <c r="BE467" s="90"/>
      <c r="BF467" s="90"/>
      <c r="BG467" s="90"/>
    </row>
    <row r="468" ht="12.75" hidden="1" customHeight="1" outlineLevel="1">
      <c r="A468" s="316"/>
      <c r="B468" s="90"/>
      <c r="C468" s="148" t="s">
        <v>491</v>
      </c>
      <c r="D468" s="148"/>
      <c r="E468" s="148"/>
      <c r="F468" s="148"/>
      <c r="G468" s="150"/>
      <c r="H468" s="150"/>
      <c r="I468" s="150"/>
      <c r="J468" s="150">
        <v>0.0</v>
      </c>
      <c r="K468" s="150">
        <f t="shared" ref="K468:AV468" si="294">SUM(K466:K467,K461:K462)</f>
        <v>100000</v>
      </c>
      <c r="L468" s="150">
        <f t="shared" si="294"/>
        <v>0</v>
      </c>
      <c r="M468" s="150">
        <f t="shared" si="294"/>
        <v>0</v>
      </c>
      <c r="N468" s="150">
        <f t="shared" si="294"/>
        <v>0</v>
      </c>
      <c r="O468" s="150">
        <f t="shared" si="294"/>
        <v>0</v>
      </c>
      <c r="P468" s="150">
        <f t="shared" si="294"/>
        <v>0</v>
      </c>
      <c r="Q468" s="150">
        <f t="shared" si="294"/>
        <v>0</v>
      </c>
      <c r="R468" s="150">
        <f t="shared" si="294"/>
        <v>0</v>
      </c>
      <c r="S468" s="150">
        <f t="shared" si="294"/>
        <v>0</v>
      </c>
      <c r="T468" s="150">
        <f t="shared" si="294"/>
        <v>0</v>
      </c>
      <c r="U468" s="150">
        <f t="shared" si="294"/>
        <v>0</v>
      </c>
      <c r="V468" s="150">
        <f t="shared" si="294"/>
        <v>0</v>
      </c>
      <c r="W468" s="150">
        <f t="shared" si="294"/>
        <v>0</v>
      </c>
      <c r="X468" s="150">
        <f t="shared" si="294"/>
        <v>0</v>
      </c>
      <c r="Y468" s="150">
        <f t="shared" si="294"/>
        <v>0</v>
      </c>
      <c r="Z468" s="150">
        <f t="shared" si="294"/>
        <v>0</v>
      </c>
      <c r="AA468" s="150">
        <f t="shared" si="294"/>
        <v>0</v>
      </c>
      <c r="AB468" s="150">
        <f t="shared" si="294"/>
        <v>0</v>
      </c>
      <c r="AC468" s="150">
        <f t="shared" si="294"/>
        <v>0</v>
      </c>
      <c r="AD468" s="150">
        <f t="shared" si="294"/>
        <v>0</v>
      </c>
      <c r="AE468" s="150">
        <f t="shared" si="294"/>
        <v>0</v>
      </c>
      <c r="AF468" s="150">
        <f t="shared" si="294"/>
        <v>0</v>
      </c>
      <c r="AG468" s="150">
        <f t="shared" si="294"/>
        <v>0</v>
      </c>
      <c r="AH468" s="150">
        <f t="shared" si="294"/>
        <v>0</v>
      </c>
      <c r="AI468" s="150">
        <f t="shared" si="294"/>
        <v>0</v>
      </c>
      <c r="AJ468" s="150">
        <f t="shared" si="294"/>
        <v>0</v>
      </c>
      <c r="AK468" s="150">
        <f t="shared" si="294"/>
        <v>0</v>
      </c>
      <c r="AL468" s="150">
        <f t="shared" si="294"/>
        <v>0</v>
      </c>
      <c r="AM468" s="150">
        <f t="shared" si="294"/>
        <v>0</v>
      </c>
      <c r="AN468" s="150">
        <f t="shared" si="294"/>
        <v>0</v>
      </c>
      <c r="AO468" s="150">
        <f t="shared" si="294"/>
        <v>0</v>
      </c>
      <c r="AP468" s="150">
        <f t="shared" si="294"/>
        <v>0</v>
      </c>
      <c r="AQ468" s="150">
        <f t="shared" si="294"/>
        <v>0</v>
      </c>
      <c r="AR468" s="150">
        <f t="shared" si="294"/>
        <v>0</v>
      </c>
      <c r="AS468" s="150">
        <f t="shared" si="294"/>
        <v>0</v>
      </c>
      <c r="AT468" s="150">
        <f t="shared" si="294"/>
        <v>0</v>
      </c>
      <c r="AU468" s="150">
        <f t="shared" si="294"/>
        <v>0</v>
      </c>
      <c r="AV468" s="150">
        <f t="shared" si="294"/>
        <v>0</v>
      </c>
      <c r="AW468" s="90"/>
      <c r="AX468" s="90"/>
      <c r="AY468" s="90"/>
      <c r="AZ468" s="90"/>
      <c r="BA468" s="90"/>
      <c r="BB468" s="90"/>
      <c r="BC468" s="90"/>
      <c r="BD468" s="90"/>
      <c r="BE468" s="90"/>
      <c r="BF468" s="90"/>
      <c r="BG468" s="90"/>
    </row>
    <row r="469" ht="12.75" hidden="1" customHeight="1" outlineLevel="1">
      <c r="A469" s="316"/>
      <c r="B469" s="90"/>
      <c r="C469" s="90"/>
      <c r="D469" s="90"/>
      <c r="E469" s="90"/>
      <c r="F469" s="90"/>
      <c r="G469" s="90"/>
      <c r="H469" s="90"/>
      <c r="I469" s="90"/>
      <c r="J469" s="90"/>
      <c r="K469" s="90"/>
      <c r="L469" s="90"/>
      <c r="M469" s="90"/>
      <c r="N469" s="90"/>
      <c r="O469" s="90"/>
      <c r="P469" s="90"/>
      <c r="Q469" s="90"/>
      <c r="R469" s="90"/>
      <c r="S469" s="90"/>
      <c r="T469" s="90"/>
      <c r="U469" s="90"/>
      <c r="V469" s="90"/>
      <c r="W469" s="90"/>
      <c r="X469" s="90"/>
      <c r="Y469" s="90"/>
      <c r="Z469" s="90"/>
      <c r="AA469" s="90"/>
      <c r="AB469" s="90"/>
      <c r="AC469" s="90"/>
      <c r="AD469" s="90"/>
      <c r="AE469" s="90"/>
      <c r="AF469" s="90"/>
      <c r="AG469" s="90"/>
      <c r="AH469" s="90"/>
      <c r="AI469" s="90"/>
      <c r="AJ469" s="90"/>
      <c r="AK469" s="90"/>
      <c r="AL469" s="90"/>
      <c r="AM469" s="90"/>
      <c r="AN469" s="90"/>
      <c r="AO469" s="90"/>
      <c r="AP469" s="90"/>
      <c r="AQ469" s="90"/>
      <c r="AR469" s="90"/>
      <c r="AS469" s="90"/>
      <c r="AT469" s="90"/>
      <c r="AU469" s="90"/>
      <c r="AV469" s="90"/>
      <c r="AW469" s="90"/>
      <c r="AX469" s="90"/>
      <c r="AY469" s="90"/>
      <c r="AZ469" s="90"/>
      <c r="BA469" s="90"/>
      <c r="BB469" s="90"/>
      <c r="BC469" s="90"/>
      <c r="BD469" s="90"/>
      <c r="BE469" s="90"/>
      <c r="BF469" s="90"/>
      <c r="BG469" s="90"/>
    </row>
    <row r="470" ht="12.75" hidden="1" customHeight="1" outlineLevel="1">
      <c r="A470" s="316"/>
      <c r="B470" s="67" t="s">
        <v>494</v>
      </c>
      <c r="C470" s="90"/>
      <c r="D470" s="90"/>
      <c r="E470" s="90"/>
      <c r="F470" s="90"/>
      <c r="G470" s="99"/>
      <c r="H470" s="99"/>
      <c r="I470" s="99"/>
      <c r="J470" s="99">
        <f t="shared" ref="J470:AV470" si="295">+J468+J454+J444</f>
        <v>200000</v>
      </c>
      <c r="K470" s="99">
        <f t="shared" si="295"/>
        <v>300000</v>
      </c>
      <c r="L470" s="99" t="str">
        <f t="shared" si="295"/>
        <v>#REF!</v>
      </c>
      <c r="M470" s="99" t="str">
        <f t="shared" si="295"/>
        <v>#REF!</v>
      </c>
      <c r="N470" s="99" t="str">
        <f t="shared" si="295"/>
        <v>#REF!</v>
      </c>
      <c r="O470" s="99" t="str">
        <f t="shared" si="295"/>
        <v>#REF!</v>
      </c>
      <c r="P470" s="99" t="str">
        <f t="shared" si="295"/>
        <v>#REF!</v>
      </c>
      <c r="Q470" s="99" t="str">
        <f t="shared" si="295"/>
        <v>#REF!</v>
      </c>
      <c r="R470" s="99" t="str">
        <f t="shared" si="295"/>
        <v>#REF!</v>
      </c>
      <c r="S470" s="99" t="str">
        <f t="shared" si="295"/>
        <v>#REF!</v>
      </c>
      <c r="T470" s="99" t="str">
        <f t="shared" si="295"/>
        <v>#REF!</v>
      </c>
      <c r="U470" s="99" t="str">
        <f t="shared" si="295"/>
        <v>#REF!</v>
      </c>
      <c r="V470" s="99" t="str">
        <f t="shared" si="295"/>
        <v>#REF!</v>
      </c>
      <c r="W470" s="99" t="str">
        <f t="shared" si="295"/>
        <v>#REF!</v>
      </c>
      <c r="X470" s="99" t="str">
        <f t="shared" si="295"/>
        <v>#REF!</v>
      </c>
      <c r="Y470" s="99" t="str">
        <f t="shared" si="295"/>
        <v>#REF!</v>
      </c>
      <c r="Z470" s="99" t="str">
        <f t="shared" si="295"/>
        <v>#REF!</v>
      </c>
      <c r="AA470" s="99" t="str">
        <f t="shared" si="295"/>
        <v>#REF!</v>
      </c>
      <c r="AB470" s="99" t="str">
        <f t="shared" si="295"/>
        <v>#REF!</v>
      </c>
      <c r="AC470" s="99" t="str">
        <f t="shared" si="295"/>
        <v>#REF!</v>
      </c>
      <c r="AD470" s="99" t="str">
        <f t="shared" si="295"/>
        <v>#REF!</v>
      </c>
      <c r="AE470" s="99" t="str">
        <f t="shared" si="295"/>
        <v>#REF!</v>
      </c>
      <c r="AF470" s="99" t="str">
        <f t="shared" si="295"/>
        <v>#REF!</v>
      </c>
      <c r="AG470" s="99" t="str">
        <f t="shared" si="295"/>
        <v>#REF!</v>
      </c>
      <c r="AH470" s="99" t="str">
        <f t="shared" si="295"/>
        <v>#REF!</v>
      </c>
      <c r="AI470" s="99" t="str">
        <f t="shared" si="295"/>
        <v>#REF!</v>
      </c>
      <c r="AJ470" s="99" t="str">
        <f t="shared" si="295"/>
        <v>#REF!</v>
      </c>
      <c r="AK470" s="99" t="str">
        <f t="shared" si="295"/>
        <v>#REF!</v>
      </c>
      <c r="AL470" s="99" t="str">
        <f t="shared" si="295"/>
        <v>#REF!</v>
      </c>
      <c r="AM470" s="99" t="str">
        <f t="shared" si="295"/>
        <v>#REF!</v>
      </c>
      <c r="AN470" s="99" t="str">
        <f t="shared" si="295"/>
        <v>#REF!</v>
      </c>
      <c r="AO470" s="99" t="str">
        <f t="shared" si="295"/>
        <v>#REF!</v>
      </c>
      <c r="AP470" s="99" t="str">
        <f t="shared" si="295"/>
        <v>#REF!</v>
      </c>
      <c r="AQ470" s="99" t="str">
        <f t="shared" si="295"/>
        <v>#REF!</v>
      </c>
      <c r="AR470" s="99" t="str">
        <f t="shared" si="295"/>
        <v>#REF!</v>
      </c>
      <c r="AS470" s="99" t="str">
        <f t="shared" si="295"/>
        <v>#REF!</v>
      </c>
      <c r="AT470" s="99" t="str">
        <f t="shared" si="295"/>
        <v>#REF!</v>
      </c>
      <c r="AU470" s="99" t="str">
        <f t="shared" si="295"/>
        <v>#REF!</v>
      </c>
      <c r="AV470" s="99" t="str">
        <f t="shared" si="295"/>
        <v>#REF!</v>
      </c>
      <c r="AW470" s="90"/>
      <c r="AX470" s="90"/>
      <c r="AY470" s="90"/>
      <c r="AZ470" s="90"/>
      <c r="BA470" s="90"/>
      <c r="BB470" s="90"/>
      <c r="BC470" s="90"/>
      <c r="BD470" s="90"/>
      <c r="BE470" s="90"/>
      <c r="BF470" s="90"/>
      <c r="BG470" s="90"/>
    </row>
    <row r="471" ht="12.75" hidden="1" customHeight="1" outlineLevel="1">
      <c r="A471" s="316"/>
      <c r="B471" s="90"/>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c r="AA471" s="90"/>
      <c r="AB471" s="90"/>
      <c r="AC471" s="90"/>
      <c r="AD471" s="90"/>
      <c r="AE471" s="90"/>
      <c r="AF471" s="90"/>
      <c r="AG471" s="90"/>
      <c r="AH471" s="90"/>
      <c r="AI471" s="90"/>
      <c r="AJ471" s="90"/>
      <c r="AK471" s="90"/>
      <c r="AL471" s="90"/>
      <c r="AM471" s="90"/>
      <c r="AN471" s="90"/>
      <c r="AO471" s="90"/>
      <c r="AP471" s="90"/>
      <c r="AQ471" s="90"/>
      <c r="AR471" s="90"/>
      <c r="AS471" s="90"/>
      <c r="AT471" s="90"/>
      <c r="AU471" s="90"/>
      <c r="AV471" s="90"/>
      <c r="AW471" s="90"/>
      <c r="AX471" s="90"/>
      <c r="AY471" s="90"/>
      <c r="AZ471" s="90"/>
      <c r="BA471" s="90"/>
      <c r="BB471" s="90"/>
      <c r="BC471" s="90"/>
      <c r="BD471" s="90"/>
      <c r="BE471" s="90"/>
      <c r="BF471" s="90"/>
      <c r="BG471" s="90"/>
    </row>
    <row r="472" ht="12.75" customHeight="1">
      <c r="A472" s="316"/>
      <c r="B472" s="90"/>
      <c r="C472" s="90"/>
      <c r="D472" s="90"/>
      <c r="E472" s="90"/>
      <c r="F472" s="90"/>
      <c r="G472" s="90"/>
      <c r="H472" s="90"/>
      <c r="I472" s="90"/>
      <c r="J472" s="90"/>
      <c r="K472" s="90"/>
      <c r="L472" s="90"/>
      <c r="M472" s="90"/>
      <c r="N472" s="90"/>
      <c r="O472" s="90"/>
      <c r="P472" s="90"/>
      <c r="Q472" s="90"/>
      <c r="R472" s="90"/>
      <c r="S472" s="90"/>
      <c r="T472" s="90"/>
      <c r="U472" s="90"/>
      <c r="V472" s="90"/>
      <c r="W472" s="90"/>
      <c r="X472" s="90"/>
      <c r="Y472" s="90"/>
      <c r="Z472" s="90"/>
      <c r="AA472" s="90"/>
      <c r="AB472" s="90"/>
      <c r="AC472" s="90"/>
      <c r="AD472" s="90"/>
      <c r="AE472" s="90"/>
      <c r="AF472" s="90"/>
      <c r="AG472" s="90"/>
      <c r="AH472" s="90"/>
      <c r="AI472" s="90"/>
      <c r="AJ472" s="90"/>
      <c r="AK472" s="90"/>
      <c r="AL472" s="90"/>
      <c r="AM472" s="90"/>
      <c r="AN472" s="90"/>
      <c r="AO472" s="90"/>
      <c r="AP472" s="90"/>
      <c r="AQ472" s="90"/>
      <c r="AR472" s="90"/>
      <c r="AS472" s="90"/>
      <c r="AT472" s="90"/>
      <c r="AU472" s="90"/>
      <c r="AV472" s="90"/>
      <c r="AW472" s="90"/>
      <c r="AX472" s="90"/>
      <c r="AY472" s="90"/>
      <c r="AZ472" s="90"/>
      <c r="BA472" s="90"/>
      <c r="BB472" s="90"/>
      <c r="BC472" s="90"/>
      <c r="BD472" s="90"/>
      <c r="BE472" s="90"/>
      <c r="BF472" s="90"/>
      <c r="BG472" s="90"/>
    </row>
    <row r="473" ht="12.75" customHeight="1">
      <c r="A473" s="105" t="s">
        <v>496</v>
      </c>
      <c r="B473" s="253"/>
      <c r="C473" s="253"/>
      <c r="D473" s="253"/>
      <c r="E473" s="253"/>
      <c r="F473" s="253"/>
      <c r="G473" s="253"/>
      <c r="H473" s="253"/>
      <c r="I473" s="253"/>
      <c r="J473" s="253"/>
      <c r="K473" s="253"/>
      <c r="L473" s="253"/>
      <c r="M473" s="253"/>
      <c r="N473" s="253"/>
      <c r="O473" s="253"/>
      <c r="P473" s="253"/>
      <c r="Q473" s="253"/>
      <c r="R473" s="253"/>
      <c r="S473" s="253"/>
      <c r="T473" s="253"/>
      <c r="U473" s="253"/>
      <c r="V473" s="253"/>
      <c r="W473" s="253"/>
      <c r="X473" s="253"/>
      <c r="Y473" s="253"/>
      <c r="Z473" s="253"/>
      <c r="AA473" s="253"/>
      <c r="AB473" s="253"/>
      <c r="AC473" s="253"/>
      <c r="AD473" s="253"/>
      <c r="AE473" s="253"/>
      <c r="AF473" s="253"/>
      <c r="AG473" s="253"/>
      <c r="AH473" s="253"/>
      <c r="AI473" s="253"/>
      <c r="AJ473" s="253"/>
      <c r="AK473" s="253"/>
      <c r="AL473" s="253"/>
      <c r="AM473" s="253"/>
      <c r="AN473" s="253"/>
      <c r="AO473" s="253"/>
      <c r="AP473" s="253"/>
      <c r="AQ473" s="253"/>
      <c r="AR473" s="253"/>
      <c r="AS473" s="253"/>
      <c r="AT473" s="253"/>
      <c r="AU473" s="253"/>
      <c r="AV473" s="253"/>
      <c r="AW473" s="253"/>
      <c r="AX473" s="90"/>
      <c r="AY473" s="90"/>
      <c r="AZ473" s="90"/>
      <c r="BA473" s="90"/>
      <c r="BB473" s="90"/>
      <c r="BC473" s="90"/>
      <c r="BD473" s="90"/>
      <c r="BE473" s="90"/>
      <c r="BF473" s="90"/>
      <c r="BG473" s="90"/>
    </row>
    <row r="474" ht="12.75" customHeight="1" outlineLevel="1">
      <c r="A474" s="316"/>
      <c r="B474" s="90"/>
      <c r="C474" s="90"/>
      <c r="D474" s="90"/>
      <c r="E474" s="90"/>
      <c r="F474" s="90"/>
      <c r="G474" s="90"/>
      <c r="H474" s="90"/>
      <c r="I474" s="90"/>
      <c r="J474" s="90"/>
      <c r="K474" s="90"/>
      <c r="L474" s="90"/>
      <c r="M474" s="90"/>
      <c r="N474" s="90"/>
      <c r="O474" s="90"/>
      <c r="P474" s="90"/>
      <c r="Q474" s="90"/>
      <c r="R474" s="90"/>
      <c r="S474" s="90"/>
      <c r="T474" s="90"/>
      <c r="U474" s="90"/>
      <c r="V474" s="90"/>
      <c r="W474" s="90"/>
      <c r="X474" s="90"/>
      <c r="Y474" s="90"/>
      <c r="Z474" s="90"/>
      <c r="AA474" s="90"/>
      <c r="AB474" s="90"/>
      <c r="AC474" s="90"/>
      <c r="AD474" s="90"/>
      <c r="AE474" s="90"/>
      <c r="AF474" s="90"/>
      <c r="AG474" s="90"/>
      <c r="AH474" s="90"/>
      <c r="AI474" s="90"/>
      <c r="AJ474" s="90"/>
      <c r="AK474" s="90"/>
      <c r="AL474" s="90"/>
      <c r="AM474" s="90"/>
      <c r="AN474" s="90"/>
      <c r="AO474" s="90"/>
      <c r="AP474" s="90"/>
      <c r="AQ474" s="90"/>
      <c r="AR474" s="90"/>
      <c r="AS474" s="90"/>
      <c r="AT474" s="90"/>
      <c r="AU474" s="90"/>
      <c r="AV474" s="90"/>
      <c r="AW474" s="90"/>
      <c r="AX474" s="90"/>
      <c r="AY474" s="90"/>
      <c r="AZ474" s="90"/>
      <c r="BA474" s="90"/>
      <c r="BB474" s="90"/>
      <c r="BC474" s="90"/>
      <c r="BD474" s="90"/>
      <c r="BE474" s="90"/>
      <c r="BF474" s="90"/>
      <c r="BG474" s="90"/>
    </row>
    <row r="475" ht="12.75" customHeight="1" outlineLevel="1">
      <c r="A475" s="316"/>
      <c r="B475" s="90" t="s">
        <v>242</v>
      </c>
      <c r="C475" s="90"/>
      <c r="D475" s="90"/>
      <c r="E475" s="90"/>
      <c r="F475" s="90"/>
      <c r="G475" s="90"/>
      <c r="H475" s="90"/>
      <c r="I475" s="90"/>
      <c r="J475" s="90"/>
      <c r="K475" s="90"/>
      <c r="L475" s="90"/>
      <c r="M475" s="90"/>
      <c r="N475" s="90"/>
      <c r="O475" s="90"/>
      <c r="P475" s="90"/>
      <c r="Q475" s="90"/>
      <c r="R475" s="90"/>
      <c r="S475" s="90"/>
      <c r="T475" s="90"/>
      <c r="U475" s="90"/>
      <c r="V475" s="90"/>
      <c r="W475" s="90"/>
      <c r="X475" s="90"/>
      <c r="Y475" s="90"/>
      <c r="Z475" s="90"/>
      <c r="AA475" s="90"/>
      <c r="AB475" s="90"/>
      <c r="AC475" s="90"/>
      <c r="AD475" s="90"/>
      <c r="AE475" s="90"/>
      <c r="AF475" s="90"/>
      <c r="AG475" s="90"/>
      <c r="AH475" s="90"/>
      <c r="AI475" s="90"/>
      <c r="AJ475" s="90"/>
      <c r="AK475" s="90"/>
      <c r="AL475" s="90"/>
      <c r="AM475" s="90"/>
      <c r="AN475" s="90"/>
      <c r="AO475" s="90"/>
      <c r="AP475" s="90"/>
      <c r="AQ475" s="90"/>
      <c r="AR475" s="90"/>
      <c r="AS475" s="90"/>
      <c r="AT475" s="90"/>
      <c r="AU475" s="90"/>
      <c r="AV475" s="90"/>
      <c r="AW475" s="90"/>
      <c r="AX475" s="90"/>
      <c r="AY475" s="90"/>
      <c r="AZ475" s="90"/>
      <c r="BA475" s="90"/>
      <c r="BB475" s="90"/>
      <c r="BC475" s="90"/>
      <c r="BD475" s="90"/>
      <c r="BE475" s="90"/>
      <c r="BF475" s="90"/>
      <c r="BG475" s="90"/>
    </row>
    <row r="476" ht="12.75" customHeight="1" outlineLevel="1">
      <c r="A476" s="316"/>
      <c r="B476" s="90"/>
      <c r="C476" s="90" t="s">
        <v>243</v>
      </c>
      <c r="D476" s="90"/>
      <c r="E476" s="90"/>
      <c r="F476" s="90"/>
      <c r="G476" s="90"/>
      <c r="H476" s="99"/>
      <c r="I476" s="99"/>
      <c r="J476" s="99">
        <f t="shared" ref="J476:AV476" si="296">J431</f>
        <v>52038.26</v>
      </c>
      <c r="K476" s="99" t="str">
        <f t="shared" si="296"/>
        <v>#REF!</v>
      </c>
      <c r="L476" s="99" t="str">
        <f t="shared" si="296"/>
        <v>#REF!</v>
      </c>
      <c r="M476" s="99" t="str">
        <f t="shared" si="296"/>
        <v>#REF!</v>
      </c>
      <c r="N476" s="99" t="str">
        <f t="shared" si="296"/>
        <v>#REF!</v>
      </c>
      <c r="O476" s="99" t="str">
        <f t="shared" si="296"/>
        <v>#REF!</v>
      </c>
      <c r="P476" s="99" t="str">
        <f t="shared" si="296"/>
        <v>#REF!</v>
      </c>
      <c r="Q476" s="99" t="str">
        <f t="shared" si="296"/>
        <v>#REF!</v>
      </c>
      <c r="R476" s="99" t="str">
        <f t="shared" si="296"/>
        <v>#REF!</v>
      </c>
      <c r="S476" s="99" t="str">
        <f t="shared" si="296"/>
        <v>#REF!</v>
      </c>
      <c r="T476" s="99" t="str">
        <f t="shared" si="296"/>
        <v>#REF!</v>
      </c>
      <c r="U476" s="99" t="str">
        <f t="shared" si="296"/>
        <v>#REF!</v>
      </c>
      <c r="V476" s="99" t="str">
        <f t="shared" si="296"/>
        <v>#REF!</v>
      </c>
      <c r="W476" s="99" t="str">
        <f t="shared" si="296"/>
        <v>#REF!</v>
      </c>
      <c r="X476" s="99" t="str">
        <f t="shared" si="296"/>
        <v>#REF!</v>
      </c>
      <c r="Y476" s="99" t="str">
        <f t="shared" si="296"/>
        <v>#REF!</v>
      </c>
      <c r="Z476" s="99" t="str">
        <f t="shared" si="296"/>
        <v>#REF!</v>
      </c>
      <c r="AA476" s="99" t="str">
        <f t="shared" si="296"/>
        <v>#REF!</v>
      </c>
      <c r="AB476" s="99" t="str">
        <f t="shared" si="296"/>
        <v>#REF!</v>
      </c>
      <c r="AC476" s="99" t="str">
        <f t="shared" si="296"/>
        <v>#REF!</v>
      </c>
      <c r="AD476" s="99" t="str">
        <f t="shared" si="296"/>
        <v>#REF!</v>
      </c>
      <c r="AE476" s="99" t="str">
        <f t="shared" si="296"/>
        <v>#REF!</v>
      </c>
      <c r="AF476" s="99" t="str">
        <f t="shared" si="296"/>
        <v>#REF!</v>
      </c>
      <c r="AG476" s="99" t="str">
        <f t="shared" si="296"/>
        <v>#REF!</v>
      </c>
      <c r="AH476" s="99" t="str">
        <f t="shared" si="296"/>
        <v>#REF!</v>
      </c>
      <c r="AI476" s="99" t="str">
        <f t="shared" si="296"/>
        <v>#REF!</v>
      </c>
      <c r="AJ476" s="99" t="str">
        <f t="shared" si="296"/>
        <v>#REF!</v>
      </c>
      <c r="AK476" s="99" t="str">
        <f t="shared" si="296"/>
        <v>#REF!</v>
      </c>
      <c r="AL476" s="99" t="str">
        <f t="shared" si="296"/>
        <v>#REF!</v>
      </c>
      <c r="AM476" s="99" t="str">
        <f t="shared" si="296"/>
        <v>#REF!</v>
      </c>
      <c r="AN476" s="99" t="str">
        <f t="shared" si="296"/>
        <v>#REF!</v>
      </c>
      <c r="AO476" s="99" t="str">
        <f t="shared" si="296"/>
        <v>#REF!</v>
      </c>
      <c r="AP476" s="99" t="str">
        <f t="shared" si="296"/>
        <v>#REF!</v>
      </c>
      <c r="AQ476" s="99" t="str">
        <f t="shared" si="296"/>
        <v>#REF!</v>
      </c>
      <c r="AR476" s="99" t="str">
        <f t="shared" si="296"/>
        <v>#REF!</v>
      </c>
      <c r="AS476" s="99" t="str">
        <f t="shared" si="296"/>
        <v>#REF!</v>
      </c>
      <c r="AT476" s="99" t="str">
        <f t="shared" si="296"/>
        <v>#REF!</v>
      </c>
      <c r="AU476" s="99" t="str">
        <f t="shared" si="296"/>
        <v>#REF!</v>
      </c>
      <c r="AV476" s="99" t="str">
        <f t="shared" si="296"/>
        <v>#REF!</v>
      </c>
      <c r="AW476" s="99"/>
      <c r="AX476" s="90"/>
      <c r="AY476" s="90"/>
      <c r="AZ476" s="90"/>
      <c r="BA476" s="90"/>
      <c r="BB476" s="90"/>
      <c r="BC476" s="90"/>
      <c r="BD476" s="90"/>
      <c r="BE476" s="90"/>
      <c r="BF476" s="90"/>
      <c r="BG476" s="90"/>
    </row>
    <row r="477" ht="12.75" customHeight="1" outlineLevel="1">
      <c r="A477" s="316"/>
      <c r="B477" s="157">
        <f>Assumptions!H28</f>
        <v>0.15</v>
      </c>
      <c r="C477" s="90" t="s">
        <v>142</v>
      </c>
      <c r="D477" s="90"/>
      <c r="E477" s="90"/>
      <c r="F477" s="90"/>
      <c r="G477" s="90"/>
      <c r="H477" s="99"/>
      <c r="I477" s="99"/>
      <c r="J477" s="99">
        <v>49914.8</v>
      </c>
      <c r="K477" s="99">
        <v>768932.62</v>
      </c>
      <c r="L477" s="99">
        <f t="shared" ref="L477:AV477" si="297">$B$477*(L271+L281)</f>
        <v>495349.578</v>
      </c>
      <c r="M477" s="99">
        <f t="shared" si="297"/>
        <v>523172.765</v>
      </c>
      <c r="N477" s="99">
        <f t="shared" si="297"/>
        <v>533095.6744</v>
      </c>
      <c r="O477" s="99">
        <f t="shared" si="297"/>
        <v>542404.2574</v>
      </c>
      <c r="P477" s="99">
        <f t="shared" si="297"/>
        <v>551871.9455</v>
      </c>
      <c r="Q477" s="99">
        <f t="shared" si="297"/>
        <v>561657.8244</v>
      </c>
      <c r="R477" s="99">
        <f t="shared" si="297"/>
        <v>576750.3016</v>
      </c>
      <c r="S477" s="99">
        <f t="shared" si="297"/>
        <v>587025.0426</v>
      </c>
      <c r="T477" s="99">
        <f t="shared" si="297"/>
        <v>597591.8531</v>
      </c>
      <c r="U477" s="99">
        <f t="shared" si="297"/>
        <v>608346.526</v>
      </c>
      <c r="V477" s="99">
        <f t="shared" si="297"/>
        <v>619815.6808</v>
      </c>
      <c r="W477" s="99">
        <f t="shared" si="297"/>
        <v>632211.9944</v>
      </c>
      <c r="X477" s="99">
        <f t="shared" si="297"/>
        <v>644856.2343</v>
      </c>
      <c r="Y477" s="99">
        <f t="shared" si="297"/>
        <v>657753.359</v>
      </c>
      <c r="Z477" s="99">
        <f t="shared" si="297"/>
        <v>670908.4262</v>
      </c>
      <c r="AA477" s="99">
        <f t="shared" si="297"/>
        <v>684326.5947</v>
      </c>
      <c r="AB477" s="99">
        <f t="shared" si="297"/>
        <v>698013.1266</v>
      </c>
      <c r="AC477" s="99">
        <f t="shared" si="297"/>
        <v>711973.3891</v>
      </c>
      <c r="AD477" s="99">
        <f t="shared" si="297"/>
        <v>726212.8569</v>
      </c>
      <c r="AE477" s="99">
        <f t="shared" si="297"/>
        <v>740737.114</v>
      </c>
      <c r="AF477" s="99">
        <f t="shared" si="297"/>
        <v>767810.9223</v>
      </c>
      <c r="AG477" s="99">
        <f t="shared" si="297"/>
        <v>783167.1408</v>
      </c>
      <c r="AH477" s="99">
        <f t="shared" si="297"/>
        <v>798830.4836</v>
      </c>
      <c r="AI477" s="99">
        <f t="shared" si="297"/>
        <v>814807.0932</v>
      </c>
      <c r="AJ477" s="99">
        <f t="shared" si="297"/>
        <v>831103.2351</v>
      </c>
      <c r="AK477" s="99">
        <f t="shared" si="297"/>
        <v>847725.2998</v>
      </c>
      <c r="AL477" s="99">
        <f t="shared" si="297"/>
        <v>864679.8058</v>
      </c>
      <c r="AM477" s="99">
        <f t="shared" si="297"/>
        <v>881973.4019</v>
      </c>
      <c r="AN477" s="99">
        <f t="shared" si="297"/>
        <v>899612.87</v>
      </c>
      <c r="AO477" s="99">
        <f t="shared" si="297"/>
        <v>917605.1274</v>
      </c>
      <c r="AP477" s="99">
        <f t="shared" si="297"/>
        <v>935957.2299</v>
      </c>
      <c r="AQ477" s="99">
        <f t="shared" si="297"/>
        <v>954676.3745</v>
      </c>
      <c r="AR477" s="99">
        <f t="shared" si="297"/>
        <v>973769.902</v>
      </c>
      <c r="AS477" s="99">
        <f t="shared" si="297"/>
        <v>993245.3</v>
      </c>
      <c r="AT477" s="99">
        <f t="shared" si="297"/>
        <v>1013110.206</v>
      </c>
      <c r="AU477" s="99">
        <f t="shared" si="297"/>
        <v>1033372.41</v>
      </c>
      <c r="AV477" s="99">
        <f t="shared" si="297"/>
        <v>1054039.858</v>
      </c>
      <c r="AW477" s="99"/>
      <c r="AX477" s="90"/>
      <c r="AY477" s="90"/>
      <c r="AZ477" s="90"/>
      <c r="BA477" s="90"/>
      <c r="BB477" s="90"/>
      <c r="BC477" s="90"/>
      <c r="BD477" s="90"/>
      <c r="BE477" s="90"/>
      <c r="BF477" s="90"/>
      <c r="BG477" s="90"/>
    </row>
    <row r="478" ht="12.75" customHeight="1" outlineLevel="1">
      <c r="A478" s="316"/>
      <c r="B478" s="157"/>
      <c r="C478" s="90" t="s">
        <v>247</v>
      </c>
      <c r="D478" s="90"/>
      <c r="E478" s="90"/>
      <c r="F478" s="90"/>
      <c r="G478" s="90"/>
      <c r="H478" s="99"/>
      <c r="I478" s="99"/>
      <c r="J478" s="99">
        <v>0.0</v>
      </c>
      <c r="K478" s="99">
        <v>10988.65</v>
      </c>
      <c r="L478" s="99">
        <f t="shared" ref="L478:AV478" si="298">K478-L412-L394</f>
        <v>9491.49</v>
      </c>
      <c r="M478" s="99">
        <f t="shared" si="298"/>
        <v>7994.33</v>
      </c>
      <c r="N478" s="99">
        <f t="shared" si="298"/>
        <v>3997.165</v>
      </c>
      <c r="O478" s="99">
        <f t="shared" si="298"/>
        <v>0</v>
      </c>
      <c r="P478" s="99">
        <f t="shared" si="298"/>
        <v>0</v>
      </c>
      <c r="Q478" s="99">
        <f t="shared" si="298"/>
        <v>0</v>
      </c>
      <c r="R478" s="99">
        <f t="shared" si="298"/>
        <v>0</v>
      </c>
      <c r="S478" s="99">
        <f t="shared" si="298"/>
        <v>0</v>
      </c>
      <c r="T478" s="99">
        <f t="shared" si="298"/>
        <v>0</v>
      </c>
      <c r="U478" s="99">
        <f t="shared" si="298"/>
        <v>0</v>
      </c>
      <c r="V478" s="99">
        <f t="shared" si="298"/>
        <v>0</v>
      </c>
      <c r="W478" s="99">
        <f t="shared" si="298"/>
        <v>0</v>
      </c>
      <c r="X478" s="99">
        <f t="shared" si="298"/>
        <v>0</v>
      </c>
      <c r="Y478" s="99">
        <f t="shared" si="298"/>
        <v>0</v>
      </c>
      <c r="Z478" s="99">
        <f t="shared" si="298"/>
        <v>0</v>
      </c>
      <c r="AA478" s="99">
        <f t="shared" si="298"/>
        <v>0</v>
      </c>
      <c r="AB478" s="99">
        <f t="shared" si="298"/>
        <v>0</v>
      </c>
      <c r="AC478" s="99">
        <f t="shared" si="298"/>
        <v>0</v>
      </c>
      <c r="AD478" s="99">
        <f t="shared" si="298"/>
        <v>0</v>
      </c>
      <c r="AE478" s="99">
        <f t="shared" si="298"/>
        <v>0</v>
      </c>
      <c r="AF478" s="99">
        <f t="shared" si="298"/>
        <v>0</v>
      </c>
      <c r="AG478" s="99">
        <f t="shared" si="298"/>
        <v>0</v>
      </c>
      <c r="AH478" s="99">
        <f t="shared" si="298"/>
        <v>0</v>
      </c>
      <c r="AI478" s="99">
        <f t="shared" si="298"/>
        <v>0</v>
      </c>
      <c r="AJ478" s="99">
        <f t="shared" si="298"/>
        <v>0</v>
      </c>
      <c r="AK478" s="99">
        <f t="shared" si="298"/>
        <v>0</v>
      </c>
      <c r="AL478" s="99">
        <f t="shared" si="298"/>
        <v>0</v>
      </c>
      <c r="AM478" s="99">
        <f t="shared" si="298"/>
        <v>0</v>
      </c>
      <c r="AN478" s="99">
        <f t="shared" si="298"/>
        <v>0</v>
      </c>
      <c r="AO478" s="99">
        <f t="shared" si="298"/>
        <v>0</v>
      </c>
      <c r="AP478" s="99">
        <f t="shared" si="298"/>
        <v>0</v>
      </c>
      <c r="AQ478" s="99">
        <f t="shared" si="298"/>
        <v>0</v>
      </c>
      <c r="AR478" s="99">
        <f t="shared" si="298"/>
        <v>0</v>
      </c>
      <c r="AS478" s="99">
        <f t="shared" si="298"/>
        <v>0</v>
      </c>
      <c r="AT478" s="99">
        <f t="shared" si="298"/>
        <v>0</v>
      </c>
      <c r="AU478" s="99">
        <f t="shared" si="298"/>
        <v>0</v>
      </c>
      <c r="AV478" s="99">
        <f t="shared" si="298"/>
        <v>0</v>
      </c>
      <c r="AW478" s="99"/>
      <c r="AX478" s="90"/>
      <c r="AY478" s="90"/>
      <c r="AZ478" s="90"/>
      <c r="BA478" s="90"/>
      <c r="BB478" s="90"/>
      <c r="BC478" s="90"/>
      <c r="BD478" s="90"/>
      <c r="BE478" s="90"/>
      <c r="BF478" s="90"/>
      <c r="BG478" s="90"/>
    </row>
    <row r="479" ht="12.75" customHeight="1" outlineLevel="1">
      <c r="A479" s="316"/>
      <c r="B479" s="87"/>
      <c r="C479" s="87" t="s">
        <v>248</v>
      </c>
      <c r="D479" s="87"/>
      <c r="E479" s="87"/>
      <c r="F479" s="87"/>
      <c r="G479" s="87"/>
      <c r="H479" s="125"/>
      <c r="I479" s="125"/>
      <c r="J479" s="125">
        <v>0.0</v>
      </c>
      <c r="K479" s="125">
        <v>500.0</v>
      </c>
      <c r="L479" s="125">
        <v>0.0</v>
      </c>
      <c r="M479" s="125">
        <v>0.0</v>
      </c>
      <c r="N479" s="125">
        <v>0.0</v>
      </c>
      <c r="O479" s="125">
        <v>0.0</v>
      </c>
      <c r="P479" s="125">
        <v>0.0</v>
      </c>
      <c r="Q479" s="125">
        <v>0.0</v>
      </c>
      <c r="R479" s="125">
        <v>0.0</v>
      </c>
      <c r="S479" s="125">
        <v>0.0</v>
      </c>
      <c r="T479" s="125">
        <v>0.0</v>
      </c>
      <c r="U479" s="125">
        <v>0.0</v>
      </c>
      <c r="V479" s="125">
        <v>0.0</v>
      </c>
      <c r="W479" s="125">
        <v>0.0</v>
      </c>
      <c r="X479" s="125">
        <v>0.0</v>
      </c>
      <c r="Y479" s="125">
        <v>0.0</v>
      </c>
      <c r="Z479" s="125">
        <v>0.0</v>
      </c>
      <c r="AA479" s="125">
        <v>0.0</v>
      </c>
      <c r="AB479" s="125">
        <v>0.0</v>
      </c>
      <c r="AC479" s="125">
        <v>0.0</v>
      </c>
      <c r="AD479" s="125">
        <v>0.0</v>
      </c>
      <c r="AE479" s="125">
        <v>0.0</v>
      </c>
      <c r="AF479" s="125">
        <v>0.0</v>
      </c>
      <c r="AG479" s="125">
        <v>0.0</v>
      </c>
      <c r="AH479" s="125">
        <v>0.0</v>
      </c>
      <c r="AI479" s="125">
        <v>0.0</v>
      </c>
      <c r="AJ479" s="125">
        <v>0.0</v>
      </c>
      <c r="AK479" s="125">
        <v>0.0</v>
      </c>
      <c r="AL479" s="125">
        <v>0.0</v>
      </c>
      <c r="AM479" s="125">
        <v>0.0</v>
      </c>
      <c r="AN479" s="125">
        <v>0.0</v>
      </c>
      <c r="AO479" s="125">
        <v>0.0</v>
      </c>
      <c r="AP479" s="125">
        <v>0.0</v>
      </c>
      <c r="AQ479" s="125">
        <v>0.0</v>
      </c>
      <c r="AR479" s="125">
        <v>0.0</v>
      </c>
      <c r="AS479" s="125">
        <v>0.0</v>
      </c>
      <c r="AT479" s="125">
        <v>0.0</v>
      </c>
      <c r="AU479" s="125">
        <v>0.0</v>
      </c>
      <c r="AV479" s="125">
        <v>0.0</v>
      </c>
      <c r="AW479" s="125"/>
      <c r="AX479" s="90"/>
      <c r="AY479" s="90"/>
      <c r="AZ479" s="90"/>
      <c r="BA479" s="90"/>
      <c r="BB479" s="90"/>
      <c r="BC479" s="90"/>
      <c r="BD479" s="90"/>
      <c r="BE479" s="90"/>
      <c r="BF479" s="90"/>
      <c r="BG479" s="90"/>
    </row>
    <row r="480" ht="12.75" customHeight="1" outlineLevel="1">
      <c r="A480" s="316"/>
      <c r="B480" s="90" t="s">
        <v>249</v>
      </c>
      <c r="C480" s="90"/>
      <c r="D480" s="90"/>
      <c r="E480" s="90"/>
      <c r="F480" s="90"/>
      <c r="G480" s="90"/>
      <c r="H480" s="99"/>
      <c r="I480" s="99"/>
      <c r="J480" s="99">
        <f t="shared" ref="J480:AV480" si="299">SUM(J476:J479)</f>
        <v>101953.06</v>
      </c>
      <c r="K480" s="99" t="str">
        <f t="shared" si="299"/>
        <v>#REF!</v>
      </c>
      <c r="L480" s="99" t="str">
        <f t="shared" si="299"/>
        <v>#REF!</v>
      </c>
      <c r="M480" s="99" t="str">
        <f t="shared" si="299"/>
        <v>#REF!</v>
      </c>
      <c r="N480" s="99" t="str">
        <f t="shared" si="299"/>
        <v>#REF!</v>
      </c>
      <c r="O480" s="99" t="str">
        <f t="shared" si="299"/>
        <v>#REF!</v>
      </c>
      <c r="P480" s="99" t="str">
        <f t="shared" si="299"/>
        <v>#REF!</v>
      </c>
      <c r="Q480" s="99" t="str">
        <f t="shared" si="299"/>
        <v>#REF!</v>
      </c>
      <c r="R480" s="99" t="str">
        <f t="shared" si="299"/>
        <v>#REF!</v>
      </c>
      <c r="S480" s="99" t="str">
        <f t="shared" si="299"/>
        <v>#REF!</v>
      </c>
      <c r="T480" s="99" t="str">
        <f t="shared" si="299"/>
        <v>#REF!</v>
      </c>
      <c r="U480" s="99" t="str">
        <f t="shared" si="299"/>
        <v>#REF!</v>
      </c>
      <c r="V480" s="99" t="str">
        <f t="shared" si="299"/>
        <v>#REF!</v>
      </c>
      <c r="W480" s="99" t="str">
        <f t="shared" si="299"/>
        <v>#REF!</v>
      </c>
      <c r="X480" s="99" t="str">
        <f t="shared" si="299"/>
        <v>#REF!</v>
      </c>
      <c r="Y480" s="99" t="str">
        <f t="shared" si="299"/>
        <v>#REF!</v>
      </c>
      <c r="Z480" s="99" t="str">
        <f t="shared" si="299"/>
        <v>#REF!</v>
      </c>
      <c r="AA480" s="99" t="str">
        <f t="shared" si="299"/>
        <v>#REF!</v>
      </c>
      <c r="AB480" s="99" t="str">
        <f t="shared" si="299"/>
        <v>#REF!</v>
      </c>
      <c r="AC480" s="99" t="str">
        <f t="shared" si="299"/>
        <v>#REF!</v>
      </c>
      <c r="AD480" s="99" t="str">
        <f t="shared" si="299"/>
        <v>#REF!</v>
      </c>
      <c r="AE480" s="99" t="str">
        <f t="shared" si="299"/>
        <v>#REF!</v>
      </c>
      <c r="AF480" s="99" t="str">
        <f t="shared" si="299"/>
        <v>#REF!</v>
      </c>
      <c r="AG480" s="99" t="str">
        <f t="shared" si="299"/>
        <v>#REF!</v>
      </c>
      <c r="AH480" s="99" t="str">
        <f t="shared" si="299"/>
        <v>#REF!</v>
      </c>
      <c r="AI480" s="99" t="str">
        <f t="shared" si="299"/>
        <v>#REF!</v>
      </c>
      <c r="AJ480" s="99" t="str">
        <f t="shared" si="299"/>
        <v>#REF!</v>
      </c>
      <c r="AK480" s="99" t="str">
        <f t="shared" si="299"/>
        <v>#REF!</v>
      </c>
      <c r="AL480" s="99" t="str">
        <f t="shared" si="299"/>
        <v>#REF!</v>
      </c>
      <c r="AM480" s="99" t="str">
        <f t="shared" si="299"/>
        <v>#REF!</v>
      </c>
      <c r="AN480" s="99" t="str">
        <f t="shared" si="299"/>
        <v>#REF!</v>
      </c>
      <c r="AO480" s="99" t="str">
        <f t="shared" si="299"/>
        <v>#REF!</v>
      </c>
      <c r="AP480" s="99" t="str">
        <f t="shared" si="299"/>
        <v>#REF!</v>
      </c>
      <c r="AQ480" s="99" t="str">
        <f t="shared" si="299"/>
        <v>#REF!</v>
      </c>
      <c r="AR480" s="99" t="str">
        <f t="shared" si="299"/>
        <v>#REF!</v>
      </c>
      <c r="AS480" s="99" t="str">
        <f t="shared" si="299"/>
        <v>#REF!</v>
      </c>
      <c r="AT480" s="99" t="str">
        <f t="shared" si="299"/>
        <v>#REF!</v>
      </c>
      <c r="AU480" s="99" t="str">
        <f t="shared" si="299"/>
        <v>#REF!</v>
      </c>
      <c r="AV480" s="99" t="str">
        <f t="shared" si="299"/>
        <v>#REF!</v>
      </c>
      <c r="AW480" s="99"/>
      <c r="AX480" s="90"/>
      <c r="AY480" s="90"/>
      <c r="AZ480" s="90"/>
      <c r="BA480" s="90"/>
      <c r="BB480" s="90"/>
      <c r="BC480" s="90"/>
      <c r="BD480" s="90"/>
      <c r="BE480" s="90"/>
      <c r="BF480" s="90"/>
      <c r="BG480" s="90"/>
    </row>
    <row r="481" ht="12.75" customHeight="1" outlineLevel="1">
      <c r="A481" s="316"/>
      <c r="B481" s="90"/>
      <c r="C481" s="90"/>
      <c r="D481" s="90"/>
      <c r="E481" s="90"/>
      <c r="F481" s="90"/>
      <c r="G481" s="90"/>
      <c r="H481" s="99"/>
      <c r="I481" s="99"/>
      <c r="J481" s="99"/>
      <c r="K481" s="99"/>
      <c r="L481" s="99"/>
      <c r="M481" s="99"/>
      <c r="N481" s="99"/>
      <c r="O481" s="99"/>
      <c r="P481" s="99"/>
      <c r="Q481" s="99"/>
      <c r="R481" s="99"/>
      <c r="S481" s="99"/>
      <c r="T481" s="99"/>
      <c r="U481" s="99"/>
      <c r="V481" s="99"/>
      <c r="W481" s="99"/>
      <c r="X481" s="99"/>
      <c r="Y481" s="99"/>
      <c r="Z481" s="99"/>
      <c r="AA481" s="99"/>
      <c r="AB481" s="99"/>
      <c r="AC481" s="99"/>
      <c r="AD481" s="99"/>
      <c r="AE481" s="99"/>
      <c r="AF481" s="99"/>
      <c r="AG481" s="99"/>
      <c r="AH481" s="99"/>
      <c r="AI481" s="99"/>
      <c r="AJ481" s="99"/>
      <c r="AK481" s="99"/>
      <c r="AL481" s="99"/>
      <c r="AM481" s="99"/>
      <c r="AN481" s="99"/>
      <c r="AO481" s="99"/>
      <c r="AP481" s="99"/>
      <c r="AQ481" s="99"/>
      <c r="AR481" s="99"/>
      <c r="AS481" s="99"/>
      <c r="AT481" s="99"/>
      <c r="AU481" s="99"/>
      <c r="AV481" s="99"/>
      <c r="AW481" s="99"/>
      <c r="AX481" s="90"/>
      <c r="AY481" s="90"/>
      <c r="AZ481" s="90"/>
      <c r="BA481" s="90"/>
      <c r="BB481" s="90"/>
      <c r="BC481" s="90"/>
      <c r="BD481" s="90"/>
      <c r="BE481" s="90"/>
      <c r="BF481" s="90"/>
      <c r="BG481" s="90"/>
    </row>
    <row r="482" ht="12.75" customHeight="1" outlineLevel="1">
      <c r="A482" s="316"/>
      <c r="B482" s="90" t="s">
        <v>250</v>
      </c>
      <c r="C482" s="90"/>
      <c r="D482" s="90"/>
      <c r="E482" s="90"/>
      <c r="F482" s="90"/>
      <c r="G482" s="90"/>
      <c r="H482" s="99"/>
      <c r="I482" s="99"/>
      <c r="J482" s="99"/>
      <c r="K482" s="99"/>
      <c r="L482" s="99"/>
      <c r="M482" s="99"/>
      <c r="N482" s="99"/>
      <c r="O482" s="99"/>
      <c r="P482" s="99"/>
      <c r="Q482" s="99"/>
      <c r="R482" s="99"/>
      <c r="S482" s="99"/>
      <c r="T482" s="99"/>
      <c r="U482" s="99"/>
      <c r="V482" s="99"/>
      <c r="W482" s="99"/>
      <c r="X482" s="99"/>
      <c r="Y482" s="99"/>
      <c r="Z482" s="99"/>
      <c r="AA482" s="99"/>
      <c r="AB482" s="99"/>
      <c r="AC482" s="99"/>
      <c r="AD482" s="99"/>
      <c r="AE482" s="99"/>
      <c r="AF482" s="99"/>
      <c r="AG482" s="99"/>
      <c r="AH482" s="99"/>
      <c r="AI482" s="99"/>
      <c r="AJ482" s="99"/>
      <c r="AK482" s="99"/>
      <c r="AL482" s="99"/>
      <c r="AM482" s="99"/>
      <c r="AN482" s="99"/>
      <c r="AO482" s="99"/>
      <c r="AP482" s="99"/>
      <c r="AQ482" s="99"/>
      <c r="AR482" s="99"/>
      <c r="AS482" s="99"/>
      <c r="AT482" s="99"/>
      <c r="AU482" s="99"/>
      <c r="AV482" s="99"/>
      <c r="AW482" s="99"/>
      <c r="AX482" s="90"/>
      <c r="AY482" s="90"/>
      <c r="AZ482" s="90"/>
      <c r="BA482" s="90"/>
      <c r="BB482" s="90"/>
      <c r="BC482" s="90"/>
      <c r="BD482" s="90"/>
      <c r="BE482" s="90"/>
      <c r="BF482" s="90"/>
      <c r="BG482" s="90"/>
    </row>
    <row r="483" ht="12.75" customHeight="1" outlineLevel="1">
      <c r="A483" s="316"/>
      <c r="B483" s="157">
        <f>Assumptions!H29</f>
        <v>0.05</v>
      </c>
      <c r="C483" s="90" t="s">
        <v>145</v>
      </c>
      <c r="D483" s="90"/>
      <c r="E483" s="90"/>
      <c r="F483" s="90"/>
      <c r="G483" s="90"/>
      <c r="H483" s="99"/>
      <c r="I483" s="99"/>
      <c r="J483" s="99">
        <v>16369.89</v>
      </c>
      <c r="K483" s="99">
        <v>131641.94</v>
      </c>
      <c r="L483" s="99">
        <f t="shared" ref="L483:AV483" si="300">$B$483*L398</f>
        <v>168936.526</v>
      </c>
      <c r="M483" s="99" t="str">
        <f t="shared" si="300"/>
        <v>#REF!</v>
      </c>
      <c r="N483" s="99" t="str">
        <f t="shared" si="300"/>
        <v>#REF!</v>
      </c>
      <c r="O483" s="99" t="str">
        <f t="shared" si="300"/>
        <v>#REF!</v>
      </c>
      <c r="P483" s="99" t="str">
        <f t="shared" si="300"/>
        <v>#REF!</v>
      </c>
      <c r="Q483" s="99" t="str">
        <f t="shared" si="300"/>
        <v>#REF!</v>
      </c>
      <c r="R483" s="99" t="str">
        <f t="shared" si="300"/>
        <v>#REF!</v>
      </c>
      <c r="S483" s="99" t="str">
        <f t="shared" si="300"/>
        <v>#REF!</v>
      </c>
      <c r="T483" s="99" t="str">
        <f t="shared" si="300"/>
        <v>#REF!</v>
      </c>
      <c r="U483" s="99" t="str">
        <f t="shared" si="300"/>
        <v>#REF!</v>
      </c>
      <c r="V483" s="99" t="str">
        <f t="shared" si="300"/>
        <v>#REF!</v>
      </c>
      <c r="W483" s="99" t="str">
        <f t="shared" si="300"/>
        <v>#REF!</v>
      </c>
      <c r="X483" s="99" t="str">
        <f t="shared" si="300"/>
        <v>#REF!</v>
      </c>
      <c r="Y483" s="99" t="str">
        <f t="shared" si="300"/>
        <v>#REF!</v>
      </c>
      <c r="Z483" s="99" t="str">
        <f t="shared" si="300"/>
        <v>#REF!</v>
      </c>
      <c r="AA483" s="99" t="str">
        <f t="shared" si="300"/>
        <v>#REF!</v>
      </c>
      <c r="AB483" s="99" t="str">
        <f t="shared" si="300"/>
        <v>#REF!</v>
      </c>
      <c r="AC483" s="99" t="str">
        <f t="shared" si="300"/>
        <v>#REF!</v>
      </c>
      <c r="AD483" s="99" t="str">
        <f t="shared" si="300"/>
        <v>#REF!</v>
      </c>
      <c r="AE483" s="99" t="str">
        <f t="shared" si="300"/>
        <v>#REF!</v>
      </c>
      <c r="AF483" s="99" t="str">
        <f t="shared" si="300"/>
        <v>#REF!</v>
      </c>
      <c r="AG483" s="99" t="str">
        <f t="shared" si="300"/>
        <v>#REF!</v>
      </c>
      <c r="AH483" s="99" t="str">
        <f t="shared" si="300"/>
        <v>#REF!</v>
      </c>
      <c r="AI483" s="99" t="str">
        <f t="shared" si="300"/>
        <v>#REF!</v>
      </c>
      <c r="AJ483" s="99" t="str">
        <f t="shared" si="300"/>
        <v>#REF!</v>
      </c>
      <c r="AK483" s="99" t="str">
        <f t="shared" si="300"/>
        <v>#REF!</v>
      </c>
      <c r="AL483" s="99" t="str">
        <f t="shared" si="300"/>
        <v>#REF!</v>
      </c>
      <c r="AM483" s="99" t="str">
        <f t="shared" si="300"/>
        <v>#REF!</v>
      </c>
      <c r="AN483" s="99" t="str">
        <f t="shared" si="300"/>
        <v>#REF!</v>
      </c>
      <c r="AO483" s="99" t="str">
        <f t="shared" si="300"/>
        <v>#REF!</v>
      </c>
      <c r="AP483" s="99" t="str">
        <f t="shared" si="300"/>
        <v>#REF!</v>
      </c>
      <c r="AQ483" s="99" t="str">
        <f t="shared" si="300"/>
        <v>#REF!</v>
      </c>
      <c r="AR483" s="99" t="str">
        <f t="shared" si="300"/>
        <v>#REF!</v>
      </c>
      <c r="AS483" s="99" t="str">
        <f t="shared" si="300"/>
        <v>#REF!</v>
      </c>
      <c r="AT483" s="99" t="str">
        <f t="shared" si="300"/>
        <v>#REF!</v>
      </c>
      <c r="AU483" s="99" t="str">
        <f t="shared" si="300"/>
        <v>#REF!</v>
      </c>
      <c r="AV483" s="99" t="str">
        <f t="shared" si="300"/>
        <v>#REF!</v>
      </c>
      <c r="AW483" s="99"/>
      <c r="AX483" s="90"/>
      <c r="AY483" s="90"/>
      <c r="AZ483" s="90"/>
      <c r="BA483" s="90"/>
      <c r="BB483" s="90"/>
      <c r="BC483" s="90"/>
      <c r="BD483" s="90"/>
      <c r="BE483" s="90"/>
      <c r="BF483" s="90"/>
      <c r="BG483" s="90"/>
    </row>
    <row r="484" ht="12.75" customHeight="1" outlineLevel="1">
      <c r="A484" s="316"/>
      <c r="B484" s="90"/>
      <c r="C484" s="90" t="s">
        <v>251</v>
      </c>
      <c r="D484" s="90"/>
      <c r="E484" s="90"/>
      <c r="F484" s="90"/>
      <c r="G484" s="90"/>
      <c r="H484" s="99"/>
      <c r="I484" s="99"/>
      <c r="J484" s="99">
        <f t="shared" ref="J484:AV484" si="301">J470</f>
        <v>200000</v>
      </c>
      <c r="K484" s="99">
        <f t="shared" si="301"/>
        <v>300000</v>
      </c>
      <c r="L484" s="99" t="str">
        <f t="shared" si="301"/>
        <v>#REF!</v>
      </c>
      <c r="M484" s="99" t="str">
        <f t="shared" si="301"/>
        <v>#REF!</v>
      </c>
      <c r="N484" s="99" t="str">
        <f t="shared" si="301"/>
        <v>#REF!</v>
      </c>
      <c r="O484" s="99" t="str">
        <f t="shared" si="301"/>
        <v>#REF!</v>
      </c>
      <c r="P484" s="99" t="str">
        <f t="shared" si="301"/>
        <v>#REF!</v>
      </c>
      <c r="Q484" s="99" t="str">
        <f t="shared" si="301"/>
        <v>#REF!</v>
      </c>
      <c r="R484" s="99" t="str">
        <f t="shared" si="301"/>
        <v>#REF!</v>
      </c>
      <c r="S484" s="99" t="str">
        <f t="shared" si="301"/>
        <v>#REF!</v>
      </c>
      <c r="T484" s="99" t="str">
        <f t="shared" si="301"/>
        <v>#REF!</v>
      </c>
      <c r="U484" s="99" t="str">
        <f t="shared" si="301"/>
        <v>#REF!</v>
      </c>
      <c r="V484" s="99" t="str">
        <f t="shared" si="301"/>
        <v>#REF!</v>
      </c>
      <c r="W484" s="99" t="str">
        <f t="shared" si="301"/>
        <v>#REF!</v>
      </c>
      <c r="X484" s="99" t="str">
        <f t="shared" si="301"/>
        <v>#REF!</v>
      </c>
      <c r="Y484" s="99" t="str">
        <f t="shared" si="301"/>
        <v>#REF!</v>
      </c>
      <c r="Z484" s="99" t="str">
        <f t="shared" si="301"/>
        <v>#REF!</v>
      </c>
      <c r="AA484" s="99" t="str">
        <f t="shared" si="301"/>
        <v>#REF!</v>
      </c>
      <c r="AB484" s="99" t="str">
        <f t="shared" si="301"/>
        <v>#REF!</v>
      </c>
      <c r="AC484" s="99" t="str">
        <f t="shared" si="301"/>
        <v>#REF!</v>
      </c>
      <c r="AD484" s="99" t="str">
        <f t="shared" si="301"/>
        <v>#REF!</v>
      </c>
      <c r="AE484" s="99" t="str">
        <f t="shared" si="301"/>
        <v>#REF!</v>
      </c>
      <c r="AF484" s="99" t="str">
        <f t="shared" si="301"/>
        <v>#REF!</v>
      </c>
      <c r="AG484" s="99" t="str">
        <f t="shared" si="301"/>
        <v>#REF!</v>
      </c>
      <c r="AH484" s="99" t="str">
        <f t="shared" si="301"/>
        <v>#REF!</v>
      </c>
      <c r="AI484" s="99" t="str">
        <f t="shared" si="301"/>
        <v>#REF!</v>
      </c>
      <c r="AJ484" s="99" t="str">
        <f t="shared" si="301"/>
        <v>#REF!</v>
      </c>
      <c r="AK484" s="99" t="str">
        <f t="shared" si="301"/>
        <v>#REF!</v>
      </c>
      <c r="AL484" s="99" t="str">
        <f t="shared" si="301"/>
        <v>#REF!</v>
      </c>
      <c r="AM484" s="99" t="str">
        <f t="shared" si="301"/>
        <v>#REF!</v>
      </c>
      <c r="AN484" s="99" t="str">
        <f t="shared" si="301"/>
        <v>#REF!</v>
      </c>
      <c r="AO484" s="99" t="str">
        <f t="shared" si="301"/>
        <v>#REF!</v>
      </c>
      <c r="AP484" s="99" t="str">
        <f t="shared" si="301"/>
        <v>#REF!</v>
      </c>
      <c r="AQ484" s="99" t="str">
        <f t="shared" si="301"/>
        <v>#REF!</v>
      </c>
      <c r="AR484" s="99" t="str">
        <f t="shared" si="301"/>
        <v>#REF!</v>
      </c>
      <c r="AS484" s="99" t="str">
        <f t="shared" si="301"/>
        <v>#REF!</v>
      </c>
      <c r="AT484" s="99" t="str">
        <f t="shared" si="301"/>
        <v>#REF!</v>
      </c>
      <c r="AU484" s="99" t="str">
        <f t="shared" si="301"/>
        <v>#REF!</v>
      </c>
      <c r="AV484" s="99" t="str">
        <f t="shared" si="301"/>
        <v>#REF!</v>
      </c>
      <c r="AW484" s="99"/>
      <c r="AX484" s="90"/>
      <c r="AY484" s="90"/>
      <c r="AZ484" s="90"/>
      <c r="BA484" s="90"/>
      <c r="BB484" s="90"/>
      <c r="BC484" s="90"/>
      <c r="BD484" s="90"/>
      <c r="BE484" s="90"/>
      <c r="BF484" s="90"/>
      <c r="BG484" s="90"/>
    </row>
    <row r="485" ht="12.75" customHeight="1" outlineLevel="1">
      <c r="A485" s="316"/>
      <c r="B485" s="87"/>
      <c r="C485" s="87" t="s">
        <v>253</v>
      </c>
      <c r="D485" s="87"/>
      <c r="E485" s="87"/>
      <c r="F485" s="87"/>
      <c r="G485" s="87"/>
      <c r="H485" s="125"/>
      <c r="I485" s="125"/>
      <c r="J485" s="125">
        <f t="shared" ref="J485:AV485" si="302">I485+J400</f>
        <v>-114416.83</v>
      </c>
      <c r="K485" s="125">
        <f t="shared" si="302"/>
        <v>473963.21</v>
      </c>
      <c r="L485" s="125">
        <f t="shared" si="302"/>
        <v>473963.21</v>
      </c>
      <c r="M485" s="125" t="str">
        <f t="shared" si="302"/>
        <v>#REF!</v>
      </c>
      <c r="N485" s="125" t="str">
        <f t="shared" si="302"/>
        <v>#REF!</v>
      </c>
      <c r="O485" s="125" t="str">
        <f t="shared" si="302"/>
        <v>#REF!</v>
      </c>
      <c r="P485" s="125" t="str">
        <f t="shared" si="302"/>
        <v>#REF!</v>
      </c>
      <c r="Q485" s="125" t="str">
        <f t="shared" si="302"/>
        <v>#REF!</v>
      </c>
      <c r="R485" s="125" t="str">
        <f t="shared" si="302"/>
        <v>#REF!</v>
      </c>
      <c r="S485" s="125" t="str">
        <f t="shared" si="302"/>
        <v>#REF!</v>
      </c>
      <c r="T485" s="125" t="str">
        <f t="shared" si="302"/>
        <v>#REF!</v>
      </c>
      <c r="U485" s="125" t="str">
        <f t="shared" si="302"/>
        <v>#REF!</v>
      </c>
      <c r="V485" s="125" t="str">
        <f t="shared" si="302"/>
        <v>#REF!</v>
      </c>
      <c r="W485" s="125" t="str">
        <f t="shared" si="302"/>
        <v>#REF!</v>
      </c>
      <c r="X485" s="125" t="str">
        <f t="shared" si="302"/>
        <v>#REF!</v>
      </c>
      <c r="Y485" s="125" t="str">
        <f t="shared" si="302"/>
        <v>#REF!</v>
      </c>
      <c r="Z485" s="125" t="str">
        <f t="shared" si="302"/>
        <v>#REF!</v>
      </c>
      <c r="AA485" s="125" t="str">
        <f t="shared" si="302"/>
        <v>#REF!</v>
      </c>
      <c r="AB485" s="125" t="str">
        <f t="shared" si="302"/>
        <v>#REF!</v>
      </c>
      <c r="AC485" s="125" t="str">
        <f t="shared" si="302"/>
        <v>#REF!</v>
      </c>
      <c r="AD485" s="125" t="str">
        <f t="shared" si="302"/>
        <v>#REF!</v>
      </c>
      <c r="AE485" s="125" t="str">
        <f t="shared" si="302"/>
        <v>#REF!</v>
      </c>
      <c r="AF485" s="125" t="str">
        <f t="shared" si="302"/>
        <v>#REF!</v>
      </c>
      <c r="AG485" s="125" t="str">
        <f t="shared" si="302"/>
        <v>#REF!</v>
      </c>
      <c r="AH485" s="125" t="str">
        <f t="shared" si="302"/>
        <v>#REF!</v>
      </c>
      <c r="AI485" s="125" t="str">
        <f t="shared" si="302"/>
        <v>#REF!</v>
      </c>
      <c r="AJ485" s="125" t="str">
        <f t="shared" si="302"/>
        <v>#REF!</v>
      </c>
      <c r="AK485" s="125" t="str">
        <f t="shared" si="302"/>
        <v>#REF!</v>
      </c>
      <c r="AL485" s="125" t="str">
        <f t="shared" si="302"/>
        <v>#REF!</v>
      </c>
      <c r="AM485" s="125" t="str">
        <f t="shared" si="302"/>
        <v>#REF!</v>
      </c>
      <c r="AN485" s="125" t="str">
        <f t="shared" si="302"/>
        <v>#REF!</v>
      </c>
      <c r="AO485" s="125" t="str">
        <f t="shared" si="302"/>
        <v>#REF!</v>
      </c>
      <c r="AP485" s="125" t="str">
        <f t="shared" si="302"/>
        <v>#REF!</v>
      </c>
      <c r="AQ485" s="125" t="str">
        <f t="shared" si="302"/>
        <v>#REF!</v>
      </c>
      <c r="AR485" s="125" t="str">
        <f t="shared" si="302"/>
        <v>#REF!</v>
      </c>
      <c r="AS485" s="125" t="str">
        <f t="shared" si="302"/>
        <v>#REF!</v>
      </c>
      <c r="AT485" s="125" t="str">
        <f t="shared" si="302"/>
        <v>#REF!</v>
      </c>
      <c r="AU485" s="125" t="str">
        <f t="shared" si="302"/>
        <v>#REF!</v>
      </c>
      <c r="AV485" s="125" t="str">
        <f t="shared" si="302"/>
        <v>#REF!</v>
      </c>
      <c r="AW485" s="125"/>
      <c r="AX485" s="90"/>
      <c r="AY485" s="90"/>
      <c r="AZ485" s="90"/>
      <c r="BA485" s="90"/>
      <c r="BB485" s="90"/>
      <c r="BC485" s="90"/>
      <c r="BD485" s="90"/>
      <c r="BE485" s="90"/>
      <c r="BF485" s="90"/>
      <c r="BG485" s="90"/>
    </row>
    <row r="486" ht="12.75" customHeight="1" outlineLevel="1">
      <c r="A486" s="316"/>
      <c r="B486" s="90" t="s">
        <v>254</v>
      </c>
      <c r="C486" s="90"/>
      <c r="D486" s="90"/>
      <c r="E486" s="90"/>
      <c r="F486" s="90"/>
      <c r="G486" s="90"/>
      <c r="H486" s="90"/>
      <c r="I486" s="99"/>
      <c r="J486" s="99">
        <f t="shared" ref="J486:AV486" si="303">SUM(J483:J485)</f>
        <v>101953.06</v>
      </c>
      <c r="K486" s="99">
        <f t="shared" si="303"/>
        <v>905605.15</v>
      </c>
      <c r="L486" s="99" t="str">
        <f t="shared" si="303"/>
        <v>#REF!</v>
      </c>
      <c r="M486" s="99" t="str">
        <f t="shared" si="303"/>
        <v>#REF!</v>
      </c>
      <c r="N486" s="99" t="str">
        <f t="shared" si="303"/>
        <v>#REF!</v>
      </c>
      <c r="O486" s="99" t="str">
        <f t="shared" si="303"/>
        <v>#REF!</v>
      </c>
      <c r="P486" s="99" t="str">
        <f t="shared" si="303"/>
        <v>#REF!</v>
      </c>
      <c r="Q486" s="99" t="str">
        <f t="shared" si="303"/>
        <v>#REF!</v>
      </c>
      <c r="R486" s="99" t="str">
        <f t="shared" si="303"/>
        <v>#REF!</v>
      </c>
      <c r="S486" s="99" t="str">
        <f t="shared" si="303"/>
        <v>#REF!</v>
      </c>
      <c r="T486" s="99" t="str">
        <f t="shared" si="303"/>
        <v>#REF!</v>
      </c>
      <c r="U486" s="99" t="str">
        <f t="shared" si="303"/>
        <v>#REF!</v>
      </c>
      <c r="V486" s="99" t="str">
        <f t="shared" si="303"/>
        <v>#REF!</v>
      </c>
      <c r="W486" s="99" t="str">
        <f t="shared" si="303"/>
        <v>#REF!</v>
      </c>
      <c r="X486" s="99" t="str">
        <f t="shared" si="303"/>
        <v>#REF!</v>
      </c>
      <c r="Y486" s="99" t="str">
        <f t="shared" si="303"/>
        <v>#REF!</v>
      </c>
      <c r="Z486" s="99" t="str">
        <f t="shared" si="303"/>
        <v>#REF!</v>
      </c>
      <c r="AA486" s="99" t="str">
        <f t="shared" si="303"/>
        <v>#REF!</v>
      </c>
      <c r="AB486" s="99" t="str">
        <f t="shared" si="303"/>
        <v>#REF!</v>
      </c>
      <c r="AC486" s="99" t="str">
        <f t="shared" si="303"/>
        <v>#REF!</v>
      </c>
      <c r="AD486" s="99" t="str">
        <f t="shared" si="303"/>
        <v>#REF!</v>
      </c>
      <c r="AE486" s="99" t="str">
        <f t="shared" si="303"/>
        <v>#REF!</v>
      </c>
      <c r="AF486" s="99" t="str">
        <f t="shared" si="303"/>
        <v>#REF!</v>
      </c>
      <c r="AG486" s="99" t="str">
        <f t="shared" si="303"/>
        <v>#REF!</v>
      </c>
      <c r="AH486" s="99" t="str">
        <f t="shared" si="303"/>
        <v>#REF!</v>
      </c>
      <c r="AI486" s="99" t="str">
        <f t="shared" si="303"/>
        <v>#REF!</v>
      </c>
      <c r="AJ486" s="99" t="str">
        <f t="shared" si="303"/>
        <v>#REF!</v>
      </c>
      <c r="AK486" s="99" t="str">
        <f t="shared" si="303"/>
        <v>#REF!</v>
      </c>
      <c r="AL486" s="99" t="str">
        <f t="shared" si="303"/>
        <v>#REF!</v>
      </c>
      <c r="AM486" s="99" t="str">
        <f t="shared" si="303"/>
        <v>#REF!</v>
      </c>
      <c r="AN486" s="99" t="str">
        <f t="shared" si="303"/>
        <v>#REF!</v>
      </c>
      <c r="AO486" s="99" t="str">
        <f t="shared" si="303"/>
        <v>#REF!</v>
      </c>
      <c r="AP486" s="99" t="str">
        <f t="shared" si="303"/>
        <v>#REF!</v>
      </c>
      <c r="AQ486" s="99" t="str">
        <f t="shared" si="303"/>
        <v>#REF!</v>
      </c>
      <c r="AR486" s="99" t="str">
        <f t="shared" si="303"/>
        <v>#REF!</v>
      </c>
      <c r="AS486" s="99" t="str">
        <f t="shared" si="303"/>
        <v>#REF!</v>
      </c>
      <c r="AT486" s="99" t="str">
        <f t="shared" si="303"/>
        <v>#REF!</v>
      </c>
      <c r="AU486" s="99" t="str">
        <f t="shared" si="303"/>
        <v>#REF!</v>
      </c>
      <c r="AV486" s="99" t="str">
        <f t="shared" si="303"/>
        <v>#REF!</v>
      </c>
      <c r="AW486" s="99"/>
      <c r="AX486" s="90"/>
      <c r="AY486" s="90"/>
      <c r="AZ486" s="90"/>
      <c r="BA486" s="90"/>
      <c r="BB486" s="90"/>
      <c r="BC486" s="90"/>
      <c r="BD486" s="90"/>
      <c r="BE486" s="90"/>
      <c r="BF486" s="90"/>
      <c r="BG486" s="90"/>
    </row>
    <row r="487" ht="12.75" customHeight="1" outlineLevel="1">
      <c r="A487" s="273"/>
      <c r="B487" s="274"/>
      <c r="C487" s="274"/>
      <c r="D487" s="274"/>
      <c r="E487" s="274"/>
      <c r="F487" s="274"/>
      <c r="G487" s="274"/>
      <c r="H487" s="274"/>
      <c r="I487" s="275"/>
      <c r="J487" s="275">
        <f t="shared" ref="J487:AV487" si="304">J486-J480</f>
        <v>0</v>
      </c>
      <c r="K487" s="275" t="str">
        <f t="shared" si="304"/>
        <v>#REF!</v>
      </c>
      <c r="L487" s="275" t="str">
        <f t="shared" si="304"/>
        <v>#REF!</v>
      </c>
      <c r="M487" s="275" t="str">
        <f t="shared" si="304"/>
        <v>#REF!</v>
      </c>
      <c r="N487" s="275" t="str">
        <f t="shared" si="304"/>
        <v>#REF!</v>
      </c>
      <c r="O487" s="275" t="str">
        <f t="shared" si="304"/>
        <v>#REF!</v>
      </c>
      <c r="P487" s="275" t="str">
        <f t="shared" si="304"/>
        <v>#REF!</v>
      </c>
      <c r="Q487" s="275" t="str">
        <f t="shared" si="304"/>
        <v>#REF!</v>
      </c>
      <c r="R487" s="275" t="str">
        <f t="shared" si="304"/>
        <v>#REF!</v>
      </c>
      <c r="S487" s="275" t="str">
        <f t="shared" si="304"/>
        <v>#REF!</v>
      </c>
      <c r="T487" s="275" t="str">
        <f t="shared" si="304"/>
        <v>#REF!</v>
      </c>
      <c r="U487" s="275" t="str">
        <f t="shared" si="304"/>
        <v>#REF!</v>
      </c>
      <c r="V487" s="275" t="str">
        <f t="shared" si="304"/>
        <v>#REF!</v>
      </c>
      <c r="W487" s="275" t="str">
        <f t="shared" si="304"/>
        <v>#REF!</v>
      </c>
      <c r="X487" s="275" t="str">
        <f t="shared" si="304"/>
        <v>#REF!</v>
      </c>
      <c r="Y487" s="275" t="str">
        <f t="shared" si="304"/>
        <v>#REF!</v>
      </c>
      <c r="Z487" s="275" t="str">
        <f t="shared" si="304"/>
        <v>#REF!</v>
      </c>
      <c r="AA487" s="275" t="str">
        <f t="shared" si="304"/>
        <v>#REF!</v>
      </c>
      <c r="AB487" s="275" t="str">
        <f t="shared" si="304"/>
        <v>#REF!</v>
      </c>
      <c r="AC487" s="275" t="str">
        <f t="shared" si="304"/>
        <v>#REF!</v>
      </c>
      <c r="AD487" s="275" t="str">
        <f t="shared" si="304"/>
        <v>#REF!</v>
      </c>
      <c r="AE487" s="275" t="str">
        <f t="shared" si="304"/>
        <v>#REF!</v>
      </c>
      <c r="AF487" s="275" t="str">
        <f t="shared" si="304"/>
        <v>#REF!</v>
      </c>
      <c r="AG487" s="275" t="str">
        <f t="shared" si="304"/>
        <v>#REF!</v>
      </c>
      <c r="AH487" s="275" t="str">
        <f t="shared" si="304"/>
        <v>#REF!</v>
      </c>
      <c r="AI487" s="275" t="str">
        <f t="shared" si="304"/>
        <v>#REF!</v>
      </c>
      <c r="AJ487" s="275" t="str">
        <f t="shared" si="304"/>
        <v>#REF!</v>
      </c>
      <c r="AK487" s="275" t="str">
        <f t="shared" si="304"/>
        <v>#REF!</v>
      </c>
      <c r="AL487" s="275" t="str">
        <f t="shared" si="304"/>
        <v>#REF!</v>
      </c>
      <c r="AM487" s="275" t="str">
        <f t="shared" si="304"/>
        <v>#REF!</v>
      </c>
      <c r="AN487" s="275" t="str">
        <f t="shared" si="304"/>
        <v>#REF!</v>
      </c>
      <c r="AO487" s="275" t="str">
        <f t="shared" si="304"/>
        <v>#REF!</v>
      </c>
      <c r="AP487" s="275" t="str">
        <f t="shared" si="304"/>
        <v>#REF!</v>
      </c>
      <c r="AQ487" s="275" t="str">
        <f t="shared" si="304"/>
        <v>#REF!</v>
      </c>
      <c r="AR487" s="275" t="str">
        <f t="shared" si="304"/>
        <v>#REF!</v>
      </c>
      <c r="AS487" s="275" t="str">
        <f t="shared" si="304"/>
        <v>#REF!</v>
      </c>
      <c r="AT487" s="275" t="str">
        <f t="shared" si="304"/>
        <v>#REF!</v>
      </c>
      <c r="AU487" s="275" t="str">
        <f t="shared" si="304"/>
        <v>#REF!</v>
      </c>
      <c r="AV487" s="275" t="str">
        <f t="shared" si="304"/>
        <v>#REF!</v>
      </c>
      <c r="AW487" s="274"/>
      <c r="AX487" s="90"/>
      <c r="AY487" s="90"/>
      <c r="AZ487" s="90"/>
      <c r="BA487" s="90"/>
      <c r="BB487" s="90"/>
      <c r="BC487" s="90"/>
      <c r="BD487" s="90"/>
      <c r="BE487" s="90"/>
      <c r="BF487" s="90"/>
      <c r="BG487" s="90"/>
    </row>
    <row r="488" ht="12.75" customHeight="1" outlineLevel="1">
      <c r="I488" s="90"/>
      <c r="AX488" s="90"/>
      <c r="AY488" s="90"/>
      <c r="AZ488" s="90"/>
      <c r="BA488" s="90"/>
      <c r="BB488" s="90"/>
      <c r="BC488" s="90"/>
      <c r="BD488" s="90"/>
      <c r="BE488" s="90"/>
      <c r="BF488" s="90"/>
      <c r="BG488" s="90"/>
    </row>
    <row r="489" ht="12.75" customHeight="1">
      <c r="I489" s="90"/>
      <c r="AX489" s="90"/>
      <c r="AY489" s="90"/>
      <c r="AZ489" s="90"/>
      <c r="BA489" s="90"/>
      <c r="BB489" s="90"/>
      <c r="BC489" s="90"/>
      <c r="BD489" s="90"/>
      <c r="BE489" s="90"/>
      <c r="BF489" s="90"/>
      <c r="BG489" s="90"/>
    </row>
    <row r="490" ht="12.75" customHeight="1">
      <c r="I490" s="90"/>
      <c r="AX490" s="90"/>
      <c r="AY490" s="90"/>
      <c r="AZ490" s="90"/>
      <c r="BA490" s="90"/>
      <c r="BB490" s="90"/>
      <c r="BC490" s="90"/>
      <c r="BD490" s="90"/>
      <c r="BE490" s="90"/>
      <c r="BF490" s="90"/>
      <c r="BG490" s="90"/>
    </row>
    <row r="491" ht="12.75" customHeight="1">
      <c r="I491" s="90"/>
      <c r="AX491" s="90"/>
      <c r="AY491" s="90"/>
      <c r="AZ491" s="90"/>
      <c r="BA491" s="90"/>
      <c r="BB491" s="90"/>
      <c r="BC491" s="90"/>
      <c r="BD491" s="90"/>
      <c r="BE491" s="90"/>
      <c r="BF491" s="90"/>
      <c r="BG491" s="90"/>
    </row>
    <row r="492" ht="12.75" customHeight="1">
      <c r="I492" s="90"/>
      <c r="AX492" s="90"/>
      <c r="AY492" s="90"/>
      <c r="AZ492" s="90"/>
      <c r="BA492" s="90"/>
      <c r="BB492" s="90"/>
      <c r="BC492" s="90"/>
      <c r="BD492" s="90"/>
      <c r="BE492" s="90"/>
      <c r="BF492" s="90"/>
      <c r="BG492" s="90"/>
    </row>
    <row r="493" ht="12.75" customHeight="1">
      <c r="I493" s="90"/>
      <c r="AX493" s="90"/>
      <c r="AY493" s="90"/>
      <c r="AZ493" s="90"/>
      <c r="BA493" s="90"/>
      <c r="BB493" s="90"/>
      <c r="BC493" s="90"/>
      <c r="BD493" s="90"/>
      <c r="BE493" s="90"/>
      <c r="BF493" s="90"/>
      <c r="BG493" s="90"/>
    </row>
    <row r="494" ht="12.75" customHeight="1">
      <c r="I494" s="90"/>
      <c r="AX494" s="90"/>
      <c r="AY494" s="90"/>
      <c r="AZ494" s="90"/>
      <c r="BA494" s="90"/>
      <c r="BB494" s="90"/>
      <c r="BC494" s="90"/>
      <c r="BD494" s="90"/>
      <c r="BE494" s="90"/>
      <c r="BF494" s="90"/>
      <c r="BG494" s="90"/>
    </row>
    <row r="495" ht="12.75" customHeight="1">
      <c r="I495" s="90"/>
      <c r="AX495" s="90"/>
      <c r="AY495" s="90"/>
      <c r="AZ495" s="90"/>
      <c r="BA495" s="90"/>
      <c r="BB495" s="90"/>
      <c r="BC495" s="90"/>
      <c r="BD495" s="90"/>
      <c r="BE495" s="90"/>
      <c r="BF495" s="90"/>
      <c r="BG495" s="90"/>
    </row>
    <row r="496" ht="12.75" customHeight="1">
      <c r="I496" s="90"/>
      <c r="AX496" s="90"/>
      <c r="AY496" s="90"/>
      <c r="AZ496" s="90"/>
      <c r="BA496" s="90"/>
      <c r="BB496" s="90"/>
      <c r="BC496" s="90"/>
      <c r="BD496" s="90"/>
      <c r="BE496" s="90"/>
      <c r="BF496" s="90"/>
      <c r="BG496" s="90"/>
    </row>
    <row r="497" ht="12.75" customHeight="1">
      <c r="I497" s="90"/>
      <c r="AX497" s="90"/>
      <c r="AY497" s="90"/>
      <c r="AZ497" s="90"/>
      <c r="BA497" s="90"/>
      <c r="BB497" s="90"/>
      <c r="BC497" s="90"/>
      <c r="BD497" s="90"/>
      <c r="BE497" s="90"/>
      <c r="BF497" s="90"/>
      <c r="BG497" s="90"/>
    </row>
    <row r="498" ht="12.75" customHeight="1">
      <c r="I498" s="90"/>
      <c r="AX498" s="90"/>
      <c r="AY498" s="90"/>
      <c r="AZ498" s="90"/>
      <c r="BA498" s="90"/>
      <c r="BB498" s="90"/>
      <c r="BC498" s="90"/>
      <c r="BD498" s="90"/>
      <c r="BE498" s="90"/>
      <c r="BF498" s="90"/>
      <c r="BG498" s="90"/>
    </row>
    <row r="499" ht="12.75" customHeight="1">
      <c r="I499" s="90"/>
      <c r="AX499" s="90"/>
      <c r="AY499" s="90"/>
      <c r="AZ499" s="90"/>
      <c r="BA499" s="90"/>
      <c r="BB499" s="90"/>
      <c r="BC499" s="90"/>
      <c r="BD499" s="90"/>
      <c r="BE499" s="90"/>
      <c r="BF499" s="90"/>
      <c r="BG499" s="90"/>
    </row>
    <row r="500" ht="12.75" customHeight="1">
      <c r="I500" s="90"/>
      <c r="AX500" s="90"/>
      <c r="AY500" s="90"/>
      <c r="AZ500" s="90"/>
      <c r="BA500" s="90"/>
      <c r="BB500" s="90"/>
      <c r="BC500" s="90"/>
      <c r="BD500" s="90"/>
      <c r="BE500" s="90"/>
      <c r="BF500" s="90"/>
      <c r="BG500" s="90"/>
    </row>
    <row r="501" ht="12.75" customHeight="1">
      <c r="I501" s="90"/>
      <c r="AX501" s="90"/>
      <c r="AY501" s="90"/>
      <c r="AZ501" s="90"/>
      <c r="BA501" s="90"/>
      <c r="BB501" s="90"/>
      <c r="BC501" s="90"/>
      <c r="BD501" s="90"/>
      <c r="BE501" s="90"/>
      <c r="BF501" s="90"/>
      <c r="BG501" s="90"/>
    </row>
    <row r="502" ht="12.75" customHeight="1">
      <c r="I502" s="90"/>
      <c r="AX502" s="90"/>
      <c r="AY502" s="90"/>
      <c r="AZ502" s="90"/>
      <c r="BA502" s="90"/>
      <c r="BB502" s="90"/>
      <c r="BC502" s="90"/>
      <c r="BD502" s="90"/>
      <c r="BE502" s="90"/>
      <c r="BF502" s="90"/>
      <c r="BG502" s="90"/>
    </row>
    <row r="503" ht="12.75" customHeight="1">
      <c r="I503" s="90"/>
      <c r="AX503" s="90"/>
      <c r="AY503" s="90"/>
      <c r="AZ503" s="90"/>
      <c r="BA503" s="90"/>
      <c r="BB503" s="90"/>
      <c r="BC503" s="90"/>
      <c r="BD503" s="90"/>
      <c r="BE503" s="90"/>
      <c r="BF503" s="90"/>
      <c r="BG503" s="90"/>
    </row>
    <row r="504" ht="12.75" customHeight="1">
      <c r="I504" s="90"/>
      <c r="AX504" s="90"/>
      <c r="AY504" s="90"/>
      <c r="AZ504" s="90"/>
      <c r="BA504" s="90"/>
      <c r="BB504" s="90"/>
      <c r="BC504" s="90"/>
      <c r="BD504" s="90"/>
      <c r="BE504" s="90"/>
      <c r="BF504" s="90"/>
      <c r="BG504" s="90"/>
    </row>
    <row r="505" ht="12.75" customHeight="1">
      <c r="I505" s="90"/>
      <c r="AX505" s="90"/>
      <c r="AY505" s="90"/>
      <c r="AZ505" s="90"/>
      <c r="BA505" s="90"/>
      <c r="BB505" s="90"/>
      <c r="BC505" s="90"/>
      <c r="BD505" s="90"/>
      <c r="BE505" s="90"/>
      <c r="BF505" s="90"/>
      <c r="BG505" s="90"/>
    </row>
    <row r="506" ht="12.75" customHeight="1">
      <c r="I506" s="90"/>
      <c r="AX506" s="90"/>
      <c r="AY506" s="90"/>
      <c r="AZ506" s="90"/>
      <c r="BA506" s="90"/>
      <c r="BB506" s="90"/>
      <c r="BC506" s="90"/>
      <c r="BD506" s="90"/>
      <c r="BE506" s="90"/>
      <c r="BF506" s="90"/>
      <c r="BG506" s="90"/>
    </row>
    <row r="507" ht="12.75" customHeight="1">
      <c r="I507" s="90"/>
      <c r="AX507" s="90"/>
      <c r="AY507" s="90"/>
      <c r="AZ507" s="90"/>
      <c r="BA507" s="90"/>
      <c r="BB507" s="90"/>
      <c r="BC507" s="90"/>
      <c r="BD507" s="90"/>
      <c r="BE507" s="90"/>
      <c r="BF507" s="90"/>
      <c r="BG507" s="90"/>
    </row>
    <row r="508" ht="12.75" customHeight="1">
      <c r="I508" s="90"/>
      <c r="AX508" s="90"/>
      <c r="AY508" s="90"/>
      <c r="AZ508" s="90"/>
      <c r="BA508" s="90"/>
      <c r="BB508" s="90"/>
      <c r="BC508" s="90"/>
      <c r="BD508" s="90"/>
      <c r="BE508" s="90"/>
      <c r="BF508" s="90"/>
      <c r="BG508" s="90"/>
    </row>
    <row r="509" ht="12.75" customHeight="1">
      <c r="I509" s="90"/>
      <c r="AX509" s="90"/>
      <c r="AY509" s="90"/>
      <c r="AZ509" s="90"/>
      <c r="BA509" s="90"/>
      <c r="BB509" s="90"/>
      <c r="BC509" s="90"/>
      <c r="BD509" s="90"/>
      <c r="BE509" s="90"/>
      <c r="BF509" s="90"/>
      <c r="BG509" s="90"/>
    </row>
    <row r="510" ht="12.75" customHeight="1">
      <c r="I510" s="90"/>
      <c r="AX510" s="90"/>
      <c r="AY510" s="90"/>
      <c r="AZ510" s="90"/>
      <c r="BA510" s="90"/>
      <c r="BB510" s="90"/>
      <c r="BC510" s="90"/>
      <c r="BD510" s="90"/>
      <c r="BE510" s="90"/>
      <c r="BF510" s="90"/>
      <c r="BG510" s="90"/>
    </row>
    <row r="511" ht="12.75" customHeight="1">
      <c r="I511" s="90"/>
      <c r="AX511" s="90"/>
      <c r="AY511" s="90"/>
      <c r="AZ511" s="90"/>
      <c r="BA511" s="90"/>
      <c r="BB511" s="90"/>
      <c r="BC511" s="90"/>
      <c r="BD511" s="90"/>
      <c r="BE511" s="90"/>
      <c r="BF511" s="90"/>
      <c r="BG511" s="90"/>
    </row>
    <row r="512" ht="12.75" customHeight="1">
      <c r="I512" s="90"/>
      <c r="AX512" s="90"/>
      <c r="AY512" s="90"/>
      <c r="AZ512" s="90"/>
      <c r="BA512" s="90"/>
      <c r="BB512" s="90"/>
      <c r="BC512" s="90"/>
      <c r="BD512" s="90"/>
      <c r="BE512" s="90"/>
      <c r="BF512" s="90"/>
      <c r="BG512" s="90"/>
    </row>
    <row r="513" ht="12.75" customHeight="1">
      <c r="I513" s="90"/>
      <c r="AX513" s="90"/>
      <c r="AY513" s="90"/>
      <c r="AZ513" s="90"/>
      <c r="BA513" s="90"/>
      <c r="BB513" s="90"/>
      <c r="BC513" s="90"/>
      <c r="BD513" s="90"/>
      <c r="BE513" s="90"/>
      <c r="BF513" s="90"/>
      <c r="BG513" s="90"/>
    </row>
    <row r="514" ht="12.75" customHeight="1">
      <c r="I514" s="90"/>
      <c r="AX514" s="90"/>
      <c r="AY514" s="90"/>
      <c r="AZ514" s="90"/>
      <c r="BA514" s="90"/>
      <c r="BB514" s="90"/>
      <c r="BC514" s="90"/>
      <c r="BD514" s="90"/>
      <c r="BE514" s="90"/>
      <c r="BF514" s="90"/>
      <c r="BG514" s="90"/>
    </row>
    <row r="515" ht="12.75" customHeight="1">
      <c r="I515" s="90"/>
      <c r="AX515" s="90"/>
      <c r="AY515" s="90"/>
      <c r="AZ515" s="90"/>
      <c r="BA515" s="90"/>
      <c r="BB515" s="90"/>
      <c r="BC515" s="90"/>
      <c r="BD515" s="90"/>
      <c r="BE515" s="90"/>
      <c r="BF515" s="90"/>
      <c r="BG515" s="90"/>
    </row>
    <row r="516" ht="12.75" customHeight="1">
      <c r="I516" s="90"/>
      <c r="AX516" s="90"/>
      <c r="AY516" s="90"/>
      <c r="AZ516" s="90"/>
      <c r="BA516" s="90"/>
      <c r="BB516" s="90"/>
      <c r="BC516" s="90"/>
      <c r="BD516" s="90"/>
      <c r="BE516" s="90"/>
      <c r="BF516" s="90"/>
      <c r="BG516" s="90"/>
    </row>
    <row r="517" ht="12.75" customHeight="1">
      <c r="I517" s="90"/>
      <c r="AX517" s="90"/>
      <c r="AY517" s="90"/>
      <c r="AZ517" s="90"/>
      <c r="BA517" s="90"/>
      <c r="BB517" s="90"/>
      <c r="BC517" s="90"/>
      <c r="BD517" s="90"/>
      <c r="BE517" s="90"/>
      <c r="BF517" s="90"/>
      <c r="BG517" s="90"/>
    </row>
    <row r="518" ht="12.75" customHeight="1">
      <c r="I518" s="90"/>
      <c r="AX518" s="90"/>
      <c r="AY518" s="90"/>
      <c r="AZ518" s="90"/>
      <c r="BA518" s="90"/>
      <c r="BB518" s="90"/>
      <c r="BC518" s="90"/>
      <c r="BD518" s="90"/>
      <c r="BE518" s="90"/>
      <c r="BF518" s="90"/>
      <c r="BG518" s="90"/>
    </row>
    <row r="519" ht="12.75" customHeight="1">
      <c r="I519" s="90"/>
      <c r="AX519" s="90"/>
      <c r="AY519" s="90"/>
      <c r="AZ519" s="90"/>
      <c r="BA519" s="90"/>
      <c r="BB519" s="90"/>
      <c r="BC519" s="90"/>
      <c r="BD519" s="90"/>
      <c r="BE519" s="90"/>
      <c r="BF519" s="90"/>
      <c r="BG519" s="90"/>
    </row>
    <row r="520" ht="12.75" customHeight="1">
      <c r="I520" s="90"/>
      <c r="AX520" s="90"/>
      <c r="AY520" s="90"/>
      <c r="AZ520" s="90"/>
      <c r="BA520" s="90"/>
      <c r="BB520" s="90"/>
      <c r="BC520" s="90"/>
      <c r="BD520" s="90"/>
      <c r="BE520" s="90"/>
      <c r="BF520" s="90"/>
      <c r="BG520" s="90"/>
    </row>
    <row r="521" ht="12.75" customHeight="1">
      <c r="I521" s="90"/>
      <c r="AX521" s="90"/>
      <c r="AY521" s="90"/>
      <c r="AZ521" s="90"/>
      <c r="BA521" s="90"/>
      <c r="BB521" s="90"/>
      <c r="BC521" s="90"/>
      <c r="BD521" s="90"/>
      <c r="BE521" s="90"/>
      <c r="BF521" s="90"/>
      <c r="BG521" s="90"/>
    </row>
    <row r="522" ht="12.75" customHeight="1">
      <c r="I522" s="90"/>
      <c r="AX522" s="90"/>
      <c r="AY522" s="90"/>
      <c r="AZ522" s="90"/>
      <c r="BA522" s="90"/>
      <c r="BB522" s="90"/>
      <c r="BC522" s="90"/>
      <c r="BD522" s="90"/>
      <c r="BE522" s="90"/>
      <c r="BF522" s="90"/>
      <c r="BG522" s="90"/>
    </row>
    <row r="523" ht="12.75" customHeight="1">
      <c r="I523" s="90"/>
      <c r="AX523" s="90"/>
      <c r="AY523" s="90"/>
      <c r="AZ523" s="90"/>
      <c r="BA523" s="90"/>
      <c r="BB523" s="90"/>
      <c r="BC523" s="90"/>
      <c r="BD523" s="90"/>
      <c r="BE523" s="90"/>
      <c r="BF523" s="90"/>
      <c r="BG523" s="90"/>
    </row>
    <row r="524" ht="12.75" customHeight="1">
      <c r="I524" s="90"/>
      <c r="AX524" s="90"/>
      <c r="AY524" s="90"/>
      <c r="AZ524" s="90"/>
      <c r="BA524" s="90"/>
      <c r="BB524" s="90"/>
      <c r="BC524" s="90"/>
      <c r="BD524" s="90"/>
      <c r="BE524" s="90"/>
      <c r="BF524" s="90"/>
      <c r="BG524" s="90"/>
    </row>
    <row r="525" ht="12.75" customHeight="1">
      <c r="I525" s="90"/>
      <c r="AX525" s="90"/>
      <c r="AY525" s="90"/>
      <c r="AZ525" s="90"/>
      <c r="BA525" s="90"/>
      <c r="BB525" s="90"/>
      <c r="BC525" s="90"/>
      <c r="BD525" s="90"/>
      <c r="BE525" s="90"/>
      <c r="BF525" s="90"/>
      <c r="BG525" s="90"/>
    </row>
    <row r="526" ht="12.75" customHeight="1">
      <c r="I526" s="90"/>
      <c r="AX526" s="90"/>
      <c r="AY526" s="90"/>
      <c r="AZ526" s="90"/>
      <c r="BA526" s="90"/>
      <c r="BB526" s="90"/>
      <c r="BC526" s="90"/>
      <c r="BD526" s="90"/>
      <c r="BE526" s="90"/>
      <c r="BF526" s="90"/>
      <c r="BG526" s="90"/>
    </row>
    <row r="527" ht="12.75" customHeight="1">
      <c r="I527" s="90"/>
      <c r="AX527" s="90"/>
      <c r="AY527" s="90"/>
      <c r="AZ527" s="90"/>
      <c r="BA527" s="90"/>
      <c r="BB527" s="90"/>
      <c r="BC527" s="90"/>
      <c r="BD527" s="90"/>
      <c r="BE527" s="90"/>
      <c r="BF527" s="90"/>
      <c r="BG527" s="90"/>
    </row>
    <row r="528" ht="12.75" customHeight="1">
      <c r="I528" s="90"/>
      <c r="AX528" s="90"/>
      <c r="AY528" s="90"/>
      <c r="AZ528" s="90"/>
      <c r="BA528" s="90"/>
      <c r="BB528" s="90"/>
      <c r="BC528" s="90"/>
      <c r="BD528" s="90"/>
      <c r="BE528" s="90"/>
      <c r="BF528" s="90"/>
      <c r="BG528" s="90"/>
    </row>
    <row r="529" ht="12.75" customHeight="1">
      <c r="I529" s="90"/>
      <c r="AX529" s="90"/>
      <c r="AY529" s="90"/>
      <c r="AZ529" s="90"/>
      <c r="BA529" s="90"/>
      <c r="BB529" s="90"/>
      <c r="BC529" s="90"/>
      <c r="BD529" s="90"/>
      <c r="BE529" s="90"/>
      <c r="BF529" s="90"/>
      <c r="BG529" s="90"/>
    </row>
  </sheetData>
  <autoFilter ref="$A$2:$A$400"/>
  <printOptions/>
  <pageMargins bottom="0.35" footer="0.0" header="0.0" left="0.629861111111111" right="0.390277777777778" top="1.04027777777778"/>
  <pageSetup paperSize="5" orientation="landscape"/>
  <headerFooter>
    <oddHeader>&amp;CRocketship Si Se Puede Financials</oddHeader>
    <oddFooter>&amp;C&amp;A&amp;R&amp;P</oddFooter>
  </headerFooter>
  <rowBreaks count="2" manualBreakCount="2">
    <brk id="340" man="1"/>
    <brk id="297" man="1"/>
  </rowBreaks>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CC00"/>
    <pageSetUpPr/>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2.63" defaultRowHeight="15.0" outlineLevelCol="1" outlineLevelRow="1"/>
  <cols>
    <col customWidth="1" min="1" max="1" width="6.0"/>
    <col customWidth="1" min="2" max="2" width="4.38"/>
    <col customWidth="1" min="3" max="3" width="3.38"/>
    <col customWidth="1" min="4" max="4" width="29.5"/>
    <col customWidth="1" hidden="1" min="5" max="6" width="0.88"/>
    <col customWidth="1" hidden="1" min="7" max="8" width="5.0" outlineLevel="1"/>
    <col customWidth="1" hidden="1" min="9" max="9" width="7.0" outlineLevel="1"/>
    <col customWidth="1" hidden="1" min="10" max="10" width="9.75" outlineLevel="1"/>
    <col customWidth="1" min="11" max="21" width="14.13"/>
    <col customWidth="1" min="22" max="22" width="16.25"/>
    <col customWidth="1" min="23" max="23" width="15.25"/>
    <col customWidth="1" min="24" max="24" width="16.25"/>
    <col customWidth="1" min="25" max="25" width="14.38"/>
    <col customWidth="1" min="26" max="26" width="14.13"/>
    <col customWidth="1" min="27" max="27" width="14.75"/>
    <col customWidth="1" min="28" max="28" width="14.0"/>
    <col customWidth="1" min="29" max="29" width="14.38"/>
    <col customWidth="1" min="30" max="30" width="14.13"/>
    <col customWidth="1" min="31" max="31" width="14.75"/>
    <col customWidth="1" min="32" max="40" width="11.25" outlineLevel="1"/>
    <col customWidth="1" min="41" max="48" width="12.25" outlineLevel="1"/>
    <col customWidth="1" min="49" max="49" width="68.13"/>
    <col customWidth="1" min="50" max="50" width="10.88"/>
    <col customWidth="1" min="51" max="53" width="9.25"/>
    <col customWidth="1" min="54" max="54" width="8.88"/>
    <col customWidth="1" min="55" max="55" width="10.88"/>
    <col customWidth="1" min="56" max="69" width="8.88"/>
  </cols>
  <sheetData>
    <row r="1" ht="12.75" customHeight="1">
      <c r="A1" s="158" t="s">
        <v>1248</v>
      </c>
      <c r="B1" s="95"/>
      <c r="C1" s="95"/>
      <c r="D1" s="95"/>
      <c r="E1" s="95"/>
      <c r="F1" s="95"/>
      <c r="G1" s="506">
        <v>2006.0</v>
      </c>
      <c r="H1" s="160">
        <v>2007.0</v>
      </c>
      <c r="I1" s="507">
        <v>2008.0</v>
      </c>
      <c r="J1" s="160">
        <v>2009.0</v>
      </c>
      <c r="K1" s="160">
        <f t="shared" ref="K1:AV1" si="1">J1+1</f>
        <v>2010</v>
      </c>
      <c r="L1" s="160">
        <f t="shared" si="1"/>
        <v>2011</v>
      </c>
      <c r="M1" s="160">
        <f t="shared" si="1"/>
        <v>2012</v>
      </c>
      <c r="N1" s="160">
        <f t="shared" si="1"/>
        <v>2013</v>
      </c>
      <c r="O1" s="160">
        <f t="shared" si="1"/>
        <v>2014</v>
      </c>
      <c r="P1" s="160">
        <f t="shared" si="1"/>
        <v>2015</v>
      </c>
      <c r="Q1" s="160">
        <f t="shared" si="1"/>
        <v>2016</v>
      </c>
      <c r="R1" s="160">
        <f t="shared" si="1"/>
        <v>2017</v>
      </c>
      <c r="S1" s="160">
        <f t="shared" si="1"/>
        <v>2018</v>
      </c>
      <c r="T1" s="160">
        <f t="shared" si="1"/>
        <v>2019</v>
      </c>
      <c r="U1" s="160">
        <f t="shared" si="1"/>
        <v>2020</v>
      </c>
      <c r="V1" s="160">
        <f t="shared" si="1"/>
        <v>2021</v>
      </c>
      <c r="W1" s="160">
        <f t="shared" si="1"/>
        <v>2022</v>
      </c>
      <c r="X1" s="160">
        <f t="shared" si="1"/>
        <v>2023</v>
      </c>
      <c r="Y1" s="160">
        <f t="shared" si="1"/>
        <v>2024</v>
      </c>
      <c r="Z1" s="160">
        <f t="shared" si="1"/>
        <v>2025</v>
      </c>
      <c r="AA1" s="160">
        <f t="shared" si="1"/>
        <v>2026</v>
      </c>
      <c r="AB1" s="160">
        <f t="shared" si="1"/>
        <v>2027</v>
      </c>
      <c r="AC1" s="160">
        <f t="shared" si="1"/>
        <v>2028</v>
      </c>
      <c r="AD1" s="160">
        <f t="shared" si="1"/>
        <v>2029</v>
      </c>
      <c r="AE1" s="160">
        <f t="shared" si="1"/>
        <v>2030</v>
      </c>
      <c r="AF1" s="160">
        <f t="shared" si="1"/>
        <v>2031</v>
      </c>
      <c r="AG1" s="160">
        <f t="shared" si="1"/>
        <v>2032</v>
      </c>
      <c r="AH1" s="160">
        <f t="shared" si="1"/>
        <v>2033</v>
      </c>
      <c r="AI1" s="160">
        <f t="shared" si="1"/>
        <v>2034</v>
      </c>
      <c r="AJ1" s="160">
        <f t="shared" si="1"/>
        <v>2035</v>
      </c>
      <c r="AK1" s="160">
        <f t="shared" si="1"/>
        <v>2036</v>
      </c>
      <c r="AL1" s="160">
        <f t="shared" si="1"/>
        <v>2037</v>
      </c>
      <c r="AM1" s="160">
        <f t="shared" si="1"/>
        <v>2038</v>
      </c>
      <c r="AN1" s="160">
        <f t="shared" si="1"/>
        <v>2039</v>
      </c>
      <c r="AO1" s="160">
        <f t="shared" si="1"/>
        <v>2040</v>
      </c>
      <c r="AP1" s="160">
        <f t="shared" si="1"/>
        <v>2041</v>
      </c>
      <c r="AQ1" s="160">
        <f t="shared" si="1"/>
        <v>2042</v>
      </c>
      <c r="AR1" s="160">
        <f t="shared" si="1"/>
        <v>2043</v>
      </c>
      <c r="AS1" s="160">
        <f t="shared" si="1"/>
        <v>2044</v>
      </c>
      <c r="AT1" s="160">
        <f t="shared" si="1"/>
        <v>2045</v>
      </c>
      <c r="AU1" s="160">
        <f t="shared" si="1"/>
        <v>2046</v>
      </c>
      <c r="AV1" s="160">
        <f t="shared" si="1"/>
        <v>2047</v>
      </c>
      <c r="AW1" s="508" t="s">
        <v>256</v>
      </c>
      <c r="AX1" s="90"/>
      <c r="AY1" s="90"/>
      <c r="AZ1" s="90"/>
      <c r="BA1" s="90"/>
      <c r="BB1" s="90"/>
      <c r="BC1" s="90"/>
      <c r="BD1" s="90"/>
      <c r="BE1" s="90"/>
      <c r="BF1" s="90"/>
      <c r="BG1" s="90"/>
      <c r="BH1" s="90"/>
      <c r="BI1" s="90"/>
      <c r="BJ1" s="90"/>
      <c r="BK1" s="90"/>
      <c r="BL1" s="90"/>
      <c r="BM1" s="90"/>
      <c r="BN1" s="90"/>
      <c r="BO1" s="90"/>
      <c r="BP1" s="90"/>
      <c r="BQ1" s="90"/>
    </row>
    <row r="2" ht="12.75" customHeight="1">
      <c r="A2" s="96" t="s">
        <v>186</v>
      </c>
      <c r="B2" s="97"/>
      <c r="C2" s="97"/>
      <c r="D2" s="97"/>
      <c r="E2" s="97"/>
      <c r="F2" s="97"/>
      <c r="G2" s="165">
        <f t="shared" ref="G2:I2" si="2">H2-1</f>
        <v>-4</v>
      </c>
      <c r="H2" s="165">
        <f t="shared" si="2"/>
        <v>-3</v>
      </c>
      <c r="I2" s="165">
        <f t="shared" si="2"/>
        <v>-2</v>
      </c>
      <c r="J2" s="165">
        <v>-1.0</v>
      </c>
      <c r="K2" s="165">
        <v>0.0</v>
      </c>
      <c r="L2" s="165">
        <f t="shared" ref="L2:AV2" si="3">K2+1</f>
        <v>1</v>
      </c>
      <c r="M2" s="165">
        <f t="shared" si="3"/>
        <v>2</v>
      </c>
      <c r="N2" s="165">
        <f t="shared" si="3"/>
        <v>3</v>
      </c>
      <c r="O2" s="165">
        <f t="shared" si="3"/>
        <v>4</v>
      </c>
      <c r="P2" s="165">
        <f t="shared" si="3"/>
        <v>5</v>
      </c>
      <c r="Q2" s="165">
        <f t="shared" si="3"/>
        <v>6</v>
      </c>
      <c r="R2" s="165">
        <f t="shared" si="3"/>
        <v>7</v>
      </c>
      <c r="S2" s="165">
        <f t="shared" si="3"/>
        <v>8</v>
      </c>
      <c r="T2" s="165">
        <f t="shared" si="3"/>
        <v>9</v>
      </c>
      <c r="U2" s="165">
        <f t="shared" si="3"/>
        <v>10</v>
      </c>
      <c r="V2" s="165">
        <f t="shared" si="3"/>
        <v>11</v>
      </c>
      <c r="W2" s="165">
        <f t="shared" si="3"/>
        <v>12</v>
      </c>
      <c r="X2" s="165">
        <f t="shared" si="3"/>
        <v>13</v>
      </c>
      <c r="Y2" s="165">
        <f t="shared" si="3"/>
        <v>14</v>
      </c>
      <c r="Z2" s="165">
        <f t="shared" si="3"/>
        <v>15</v>
      </c>
      <c r="AA2" s="165">
        <f t="shared" si="3"/>
        <v>16</v>
      </c>
      <c r="AB2" s="165">
        <f t="shared" si="3"/>
        <v>17</v>
      </c>
      <c r="AC2" s="165">
        <f t="shared" si="3"/>
        <v>18</v>
      </c>
      <c r="AD2" s="165">
        <f t="shared" si="3"/>
        <v>19</v>
      </c>
      <c r="AE2" s="165">
        <f t="shared" si="3"/>
        <v>20</v>
      </c>
      <c r="AF2" s="165">
        <f t="shared" si="3"/>
        <v>21</v>
      </c>
      <c r="AG2" s="165">
        <f t="shared" si="3"/>
        <v>22</v>
      </c>
      <c r="AH2" s="165">
        <f t="shared" si="3"/>
        <v>23</v>
      </c>
      <c r="AI2" s="165">
        <f t="shared" si="3"/>
        <v>24</v>
      </c>
      <c r="AJ2" s="165">
        <f t="shared" si="3"/>
        <v>25</v>
      </c>
      <c r="AK2" s="165">
        <f t="shared" si="3"/>
        <v>26</v>
      </c>
      <c r="AL2" s="165">
        <f t="shared" si="3"/>
        <v>27</v>
      </c>
      <c r="AM2" s="165">
        <f t="shared" si="3"/>
        <v>28</v>
      </c>
      <c r="AN2" s="165">
        <f t="shared" si="3"/>
        <v>29</v>
      </c>
      <c r="AO2" s="165">
        <f t="shared" si="3"/>
        <v>30</v>
      </c>
      <c r="AP2" s="165">
        <f t="shared" si="3"/>
        <v>31</v>
      </c>
      <c r="AQ2" s="165">
        <f t="shared" si="3"/>
        <v>32</v>
      </c>
      <c r="AR2" s="165">
        <f t="shared" si="3"/>
        <v>33</v>
      </c>
      <c r="AS2" s="165">
        <f t="shared" si="3"/>
        <v>34</v>
      </c>
      <c r="AT2" s="165">
        <f t="shared" si="3"/>
        <v>35</v>
      </c>
      <c r="AU2" s="165">
        <f t="shared" si="3"/>
        <v>36</v>
      </c>
      <c r="AV2" s="165">
        <f t="shared" si="3"/>
        <v>37</v>
      </c>
      <c r="AW2" s="510"/>
      <c r="AX2" s="90"/>
      <c r="AY2" s="90"/>
      <c r="AZ2" s="90"/>
      <c r="BA2" s="90"/>
      <c r="BB2" s="90"/>
      <c r="BC2" s="90"/>
      <c r="BD2" s="90"/>
      <c r="BE2" s="90"/>
      <c r="BF2" s="90"/>
      <c r="BG2" s="90"/>
      <c r="BH2" s="90"/>
      <c r="BI2" s="90"/>
      <c r="BJ2" s="90"/>
      <c r="BK2" s="90"/>
      <c r="BL2" s="90"/>
      <c r="BM2" s="90"/>
      <c r="BN2" s="90"/>
      <c r="BO2" s="90"/>
      <c r="BP2" s="90"/>
      <c r="BQ2" s="90"/>
    </row>
    <row r="3" ht="12.75" customHeight="1">
      <c r="A3" s="169" t="s">
        <v>1171</v>
      </c>
      <c r="B3" s="90"/>
      <c r="C3" s="90"/>
      <c r="D3" s="90"/>
      <c r="E3" s="90"/>
      <c r="F3" s="90"/>
      <c r="G3" s="90"/>
      <c r="H3" s="90"/>
      <c r="I3" s="90"/>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7"/>
      <c r="AX3" s="90"/>
      <c r="AY3" s="90"/>
      <c r="AZ3" s="90"/>
      <c r="BA3" s="90"/>
      <c r="BB3" s="90"/>
      <c r="BC3" s="90"/>
      <c r="BD3" s="90"/>
      <c r="BE3" s="90"/>
      <c r="BF3" s="90"/>
      <c r="BG3" s="90"/>
      <c r="BH3" s="90"/>
      <c r="BI3" s="90"/>
      <c r="BJ3" s="90"/>
      <c r="BK3" s="90"/>
      <c r="BL3" s="90"/>
      <c r="BM3" s="90"/>
      <c r="BN3" s="90"/>
      <c r="BO3" s="90"/>
      <c r="BP3" s="90"/>
      <c r="BQ3" s="90"/>
    </row>
    <row r="4" ht="12.75" customHeight="1">
      <c r="A4" s="512"/>
      <c r="B4" s="67" t="s">
        <v>165</v>
      </c>
      <c r="C4" s="90"/>
      <c r="D4" s="90"/>
      <c r="E4" s="90"/>
      <c r="F4" s="90"/>
      <c r="G4" s="90"/>
      <c r="H4" s="90"/>
      <c r="I4" s="90"/>
      <c r="J4" s="63"/>
      <c r="K4" s="63">
        <v>0.0</v>
      </c>
      <c r="L4" s="557">
        <f t="shared" ref="L4:AV4" si="4">L46</f>
        <v>392</v>
      </c>
      <c r="M4" s="557">
        <f t="shared" si="4"/>
        <v>464</v>
      </c>
      <c r="N4" s="557">
        <f t="shared" si="4"/>
        <v>500</v>
      </c>
      <c r="O4" s="557">
        <f t="shared" si="4"/>
        <v>500</v>
      </c>
      <c r="P4" s="557">
        <f t="shared" si="4"/>
        <v>500</v>
      </c>
      <c r="Q4" s="557">
        <f t="shared" si="4"/>
        <v>500</v>
      </c>
      <c r="R4" s="557">
        <f t="shared" si="4"/>
        <v>500</v>
      </c>
      <c r="S4" s="557">
        <f t="shared" si="4"/>
        <v>500</v>
      </c>
      <c r="T4" s="557">
        <f t="shared" si="4"/>
        <v>500</v>
      </c>
      <c r="U4" s="557">
        <f t="shared" si="4"/>
        <v>500</v>
      </c>
      <c r="V4" s="557">
        <f t="shared" si="4"/>
        <v>500</v>
      </c>
      <c r="W4" s="557">
        <f t="shared" si="4"/>
        <v>500</v>
      </c>
      <c r="X4" s="557">
        <f t="shared" si="4"/>
        <v>500</v>
      </c>
      <c r="Y4" s="557">
        <f t="shared" si="4"/>
        <v>500</v>
      </c>
      <c r="Z4" s="557">
        <f t="shared" si="4"/>
        <v>500</v>
      </c>
      <c r="AA4" s="557">
        <f t="shared" si="4"/>
        <v>500</v>
      </c>
      <c r="AB4" s="557">
        <f t="shared" si="4"/>
        <v>500</v>
      </c>
      <c r="AC4" s="557">
        <f t="shared" si="4"/>
        <v>500</v>
      </c>
      <c r="AD4" s="557">
        <f t="shared" si="4"/>
        <v>500</v>
      </c>
      <c r="AE4" s="557">
        <f t="shared" si="4"/>
        <v>500</v>
      </c>
      <c r="AF4" s="557">
        <f t="shared" si="4"/>
        <v>500</v>
      </c>
      <c r="AG4" s="557">
        <f t="shared" si="4"/>
        <v>500</v>
      </c>
      <c r="AH4" s="557">
        <f t="shared" si="4"/>
        <v>500</v>
      </c>
      <c r="AI4" s="557">
        <f t="shared" si="4"/>
        <v>500</v>
      </c>
      <c r="AJ4" s="557">
        <f t="shared" si="4"/>
        <v>500</v>
      </c>
      <c r="AK4" s="557">
        <f t="shared" si="4"/>
        <v>500</v>
      </c>
      <c r="AL4" s="557">
        <f t="shared" si="4"/>
        <v>500</v>
      </c>
      <c r="AM4" s="557">
        <f t="shared" si="4"/>
        <v>500</v>
      </c>
      <c r="AN4" s="557">
        <f t="shared" si="4"/>
        <v>500</v>
      </c>
      <c r="AO4" s="557">
        <f t="shared" si="4"/>
        <v>500</v>
      </c>
      <c r="AP4" s="557">
        <f t="shared" si="4"/>
        <v>500</v>
      </c>
      <c r="AQ4" s="557">
        <f t="shared" si="4"/>
        <v>500</v>
      </c>
      <c r="AR4" s="557">
        <f t="shared" si="4"/>
        <v>500</v>
      </c>
      <c r="AS4" s="557">
        <f t="shared" si="4"/>
        <v>500</v>
      </c>
      <c r="AT4" s="557">
        <f t="shared" si="4"/>
        <v>500</v>
      </c>
      <c r="AU4" s="557">
        <f t="shared" si="4"/>
        <v>500</v>
      </c>
      <c r="AV4" s="557">
        <f t="shared" si="4"/>
        <v>500</v>
      </c>
      <c r="AW4" s="67"/>
      <c r="AX4" s="90"/>
      <c r="AY4" s="90"/>
      <c r="AZ4" s="90"/>
      <c r="BA4" s="90"/>
      <c r="BB4" s="90"/>
      <c r="BC4" s="90"/>
      <c r="BD4" s="90"/>
      <c r="BE4" s="90"/>
      <c r="BF4" s="90"/>
      <c r="BG4" s="90"/>
      <c r="BH4" s="90"/>
      <c r="BI4" s="90"/>
      <c r="BJ4" s="90"/>
      <c r="BK4" s="90"/>
      <c r="BL4" s="90"/>
      <c r="BM4" s="90"/>
      <c r="BN4" s="90"/>
      <c r="BO4" s="90"/>
      <c r="BP4" s="90"/>
      <c r="BQ4" s="90"/>
    </row>
    <row r="5" ht="12.75" customHeight="1">
      <c r="A5" s="512"/>
      <c r="B5" s="90"/>
      <c r="C5" s="90"/>
      <c r="D5" s="90"/>
      <c r="E5" s="90"/>
      <c r="F5" s="90"/>
      <c r="G5" s="90"/>
      <c r="H5" s="90"/>
      <c r="I5" s="90"/>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7"/>
      <c r="AX5" s="90"/>
      <c r="AY5" s="90"/>
      <c r="AZ5" s="90"/>
      <c r="BA5" s="90"/>
      <c r="BB5" s="90"/>
      <c r="BC5" s="90"/>
      <c r="BD5" s="90"/>
      <c r="BE5" s="90"/>
      <c r="BF5" s="90"/>
      <c r="BG5" s="90"/>
      <c r="BH5" s="90"/>
      <c r="BI5" s="90"/>
      <c r="BJ5" s="90"/>
      <c r="BK5" s="90"/>
      <c r="BL5" s="90"/>
      <c r="BM5" s="90"/>
      <c r="BN5" s="90"/>
      <c r="BO5" s="90"/>
      <c r="BP5" s="90"/>
      <c r="BQ5" s="90"/>
    </row>
    <row r="6" ht="12.75" customHeight="1">
      <c r="A6" s="512"/>
      <c r="B6" s="67" t="s">
        <v>205</v>
      </c>
      <c r="C6" s="90"/>
      <c r="D6" s="90"/>
      <c r="E6" s="90"/>
      <c r="F6" s="90"/>
      <c r="G6" s="90"/>
      <c r="H6" s="90"/>
      <c r="I6" s="90"/>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7"/>
      <c r="AX6" s="90"/>
      <c r="AY6" s="90"/>
      <c r="AZ6" s="90"/>
      <c r="BA6" s="90"/>
      <c r="BB6" s="90"/>
      <c r="BC6" s="90"/>
      <c r="BD6" s="90"/>
      <c r="BE6" s="90"/>
      <c r="BF6" s="90"/>
      <c r="BG6" s="90"/>
      <c r="BH6" s="90"/>
      <c r="BI6" s="90"/>
      <c r="BJ6" s="90"/>
      <c r="BK6" s="90"/>
      <c r="BL6" s="90"/>
      <c r="BM6" s="90"/>
      <c r="BN6" s="90"/>
      <c r="BO6" s="90"/>
      <c r="BP6" s="90"/>
      <c r="BQ6" s="90"/>
    </row>
    <row r="7" ht="12.75" customHeight="1">
      <c r="A7" s="512"/>
      <c r="B7" s="90"/>
      <c r="C7" s="90" t="s">
        <v>590</v>
      </c>
      <c r="D7" s="90"/>
      <c r="E7" s="90"/>
      <c r="F7" s="90"/>
      <c r="G7" s="90"/>
      <c r="H7" s="90"/>
      <c r="I7" s="90"/>
      <c r="J7" s="147">
        <v>0.0</v>
      </c>
      <c r="K7" s="177">
        <f t="shared" ref="K7:AV7" si="5">K272</f>
        <v>0</v>
      </c>
      <c r="L7" s="177">
        <f t="shared" si="5"/>
        <v>2414555.856</v>
      </c>
      <c r="M7" s="177">
        <f t="shared" si="5"/>
        <v>2856193.334</v>
      </c>
      <c r="N7" s="177">
        <f t="shared" si="5"/>
        <v>3157450.914</v>
      </c>
      <c r="O7" s="177">
        <f t="shared" si="5"/>
        <v>3229956.291</v>
      </c>
      <c r="P7" s="177">
        <f t="shared" si="5"/>
        <v>3286375.286</v>
      </c>
      <c r="Q7" s="177">
        <f t="shared" si="5"/>
        <v>3344454.37</v>
      </c>
      <c r="R7" s="177">
        <f t="shared" si="5"/>
        <v>3437713.337</v>
      </c>
      <c r="S7" s="177">
        <f t="shared" si="5"/>
        <v>3498796.425</v>
      </c>
      <c r="T7" s="177">
        <f t="shared" si="5"/>
        <v>3564673.752</v>
      </c>
      <c r="U7" s="177">
        <f t="shared" si="5"/>
        <v>3635967.227</v>
      </c>
      <c r="V7" s="177">
        <f t="shared" si="5"/>
        <v>3708686.572</v>
      </c>
      <c r="W7" s="177">
        <f t="shared" si="5"/>
        <v>3782860.303</v>
      </c>
      <c r="X7" s="177">
        <f t="shared" si="5"/>
        <v>3858517.509</v>
      </c>
      <c r="Y7" s="177">
        <f t="shared" si="5"/>
        <v>3935687.859</v>
      </c>
      <c r="Z7" s="177">
        <f t="shared" si="5"/>
        <v>4014401.617</v>
      </c>
      <c r="AA7" s="177">
        <f t="shared" si="5"/>
        <v>4094689.649</v>
      </c>
      <c r="AB7" s="177">
        <f t="shared" si="5"/>
        <v>4176583.442</v>
      </c>
      <c r="AC7" s="177">
        <f t="shared" si="5"/>
        <v>4260115.111</v>
      </c>
      <c r="AD7" s="177">
        <f t="shared" si="5"/>
        <v>4345317.413</v>
      </c>
      <c r="AE7" s="177">
        <f t="shared" si="5"/>
        <v>4432223.761</v>
      </c>
      <c r="AF7" s="177">
        <f t="shared" si="5"/>
        <v>4520868.236</v>
      </c>
      <c r="AG7" s="177">
        <f t="shared" si="5"/>
        <v>4611285.601</v>
      </c>
      <c r="AH7" s="177">
        <f t="shared" si="5"/>
        <v>4703511.313</v>
      </c>
      <c r="AI7" s="177">
        <f t="shared" si="5"/>
        <v>4797581.539</v>
      </c>
      <c r="AJ7" s="177">
        <f t="shared" si="5"/>
        <v>4893533.17</v>
      </c>
      <c r="AK7" s="177">
        <f t="shared" si="5"/>
        <v>4991403.834</v>
      </c>
      <c r="AL7" s="177">
        <f t="shared" si="5"/>
        <v>5091231.91</v>
      </c>
      <c r="AM7" s="177">
        <f t="shared" si="5"/>
        <v>5193056.549</v>
      </c>
      <c r="AN7" s="177">
        <f t="shared" si="5"/>
        <v>5296917.679</v>
      </c>
      <c r="AO7" s="177">
        <f t="shared" si="5"/>
        <v>5402856.033</v>
      </c>
      <c r="AP7" s="177">
        <f t="shared" si="5"/>
        <v>5510913.154</v>
      </c>
      <c r="AQ7" s="177">
        <f t="shared" si="5"/>
        <v>5621131.417</v>
      </c>
      <c r="AR7" s="177">
        <f t="shared" si="5"/>
        <v>5733554.045</v>
      </c>
      <c r="AS7" s="177">
        <f t="shared" si="5"/>
        <v>5848225.126</v>
      </c>
      <c r="AT7" s="177">
        <f t="shared" si="5"/>
        <v>5965189.629</v>
      </c>
      <c r="AU7" s="177">
        <f t="shared" si="5"/>
        <v>6084493.421</v>
      </c>
      <c r="AV7" s="177">
        <f t="shared" si="5"/>
        <v>6206183.29</v>
      </c>
      <c r="AW7" s="67"/>
      <c r="AX7" s="90"/>
      <c r="AY7" s="90"/>
      <c r="AZ7" s="90"/>
      <c r="BA7" s="90"/>
      <c r="BB7" s="90"/>
      <c r="BC7" s="90"/>
      <c r="BD7" s="90"/>
      <c r="BE7" s="90"/>
      <c r="BF7" s="90"/>
      <c r="BG7" s="90"/>
      <c r="BH7" s="90"/>
      <c r="BI7" s="90"/>
      <c r="BJ7" s="90"/>
      <c r="BK7" s="90"/>
      <c r="BL7" s="90"/>
      <c r="BM7" s="90"/>
      <c r="BN7" s="90"/>
      <c r="BO7" s="90"/>
      <c r="BP7" s="90"/>
      <c r="BQ7" s="90"/>
    </row>
    <row r="8" ht="12.75" customHeight="1">
      <c r="A8" s="512"/>
      <c r="B8" s="90"/>
      <c r="C8" s="90" t="s">
        <v>792</v>
      </c>
      <c r="D8" s="90"/>
      <c r="E8" s="90"/>
      <c r="F8" s="90"/>
      <c r="G8" s="90"/>
      <c r="H8" s="90"/>
      <c r="I8" s="90"/>
      <c r="J8" s="147">
        <v>0.0</v>
      </c>
      <c r="K8" s="177">
        <f t="shared" ref="K8:AV8" si="6">K281</f>
        <v>0</v>
      </c>
      <c r="L8" s="177">
        <f t="shared" si="6"/>
        <v>239505.92</v>
      </c>
      <c r="M8" s="177">
        <f t="shared" si="6"/>
        <v>287937.024</v>
      </c>
      <c r="N8" s="177">
        <f t="shared" si="6"/>
        <v>328580.7736</v>
      </c>
      <c r="O8" s="177">
        <f t="shared" si="6"/>
        <v>335152.3891</v>
      </c>
      <c r="P8" s="177">
        <f t="shared" si="6"/>
        <v>341855.4369</v>
      </c>
      <c r="Q8" s="177">
        <f t="shared" si="6"/>
        <v>348692.5456</v>
      </c>
      <c r="R8" s="177">
        <f t="shared" si="6"/>
        <v>355666.3965</v>
      </c>
      <c r="S8" s="177">
        <f t="shared" si="6"/>
        <v>362779.7244</v>
      </c>
      <c r="T8" s="177">
        <f t="shared" si="6"/>
        <v>370035.3189</v>
      </c>
      <c r="U8" s="177">
        <f t="shared" si="6"/>
        <v>377436.0253</v>
      </c>
      <c r="V8" s="177">
        <f t="shared" si="6"/>
        <v>384984.7458</v>
      </c>
      <c r="W8" s="177">
        <f t="shared" si="6"/>
        <v>392684.4407</v>
      </c>
      <c r="X8" s="177">
        <f t="shared" si="6"/>
        <v>400538.1295</v>
      </c>
      <c r="Y8" s="177">
        <f t="shared" si="6"/>
        <v>408548.8921</v>
      </c>
      <c r="Z8" s="177">
        <f t="shared" si="6"/>
        <v>416719.87</v>
      </c>
      <c r="AA8" s="177">
        <f t="shared" si="6"/>
        <v>425054.2674</v>
      </c>
      <c r="AB8" s="177">
        <f t="shared" si="6"/>
        <v>433555.3527</v>
      </c>
      <c r="AC8" s="177">
        <f t="shared" si="6"/>
        <v>442226.4598</v>
      </c>
      <c r="AD8" s="177">
        <f t="shared" si="6"/>
        <v>451070.989</v>
      </c>
      <c r="AE8" s="177">
        <f t="shared" si="6"/>
        <v>460092.4088</v>
      </c>
      <c r="AF8" s="177">
        <f t="shared" si="6"/>
        <v>469294.2569</v>
      </c>
      <c r="AG8" s="177">
        <f t="shared" si="6"/>
        <v>478680.1421</v>
      </c>
      <c r="AH8" s="177">
        <f t="shared" si="6"/>
        <v>488253.7449</v>
      </c>
      <c r="AI8" s="177">
        <f t="shared" si="6"/>
        <v>498018.8198</v>
      </c>
      <c r="AJ8" s="177">
        <f t="shared" si="6"/>
        <v>507979.1962</v>
      </c>
      <c r="AK8" s="177">
        <f t="shared" si="6"/>
        <v>518138.7801</v>
      </c>
      <c r="AL8" s="177">
        <f t="shared" si="6"/>
        <v>528501.5557</v>
      </c>
      <c r="AM8" s="177">
        <f t="shared" si="6"/>
        <v>539071.5868</v>
      </c>
      <c r="AN8" s="177">
        <f t="shared" si="6"/>
        <v>549853.0186</v>
      </c>
      <c r="AO8" s="177">
        <f t="shared" si="6"/>
        <v>560850.079</v>
      </c>
      <c r="AP8" s="177">
        <f t="shared" si="6"/>
        <v>572067.0805</v>
      </c>
      <c r="AQ8" s="177">
        <f t="shared" si="6"/>
        <v>583508.4221</v>
      </c>
      <c r="AR8" s="177">
        <f t="shared" si="6"/>
        <v>595178.5906</v>
      </c>
      <c r="AS8" s="177">
        <f t="shared" si="6"/>
        <v>607082.1624</v>
      </c>
      <c r="AT8" s="177">
        <f t="shared" si="6"/>
        <v>619223.8056</v>
      </c>
      <c r="AU8" s="177">
        <f t="shared" si="6"/>
        <v>631608.2818</v>
      </c>
      <c r="AV8" s="177">
        <f t="shared" si="6"/>
        <v>644240.4474</v>
      </c>
      <c r="AW8" s="67"/>
      <c r="AX8" s="90"/>
      <c r="AY8" s="90"/>
      <c r="AZ8" s="90"/>
      <c r="BA8" s="90"/>
      <c r="BB8" s="90"/>
      <c r="BC8" s="90"/>
      <c r="BD8" s="90"/>
      <c r="BE8" s="90"/>
      <c r="BF8" s="90"/>
      <c r="BG8" s="90"/>
      <c r="BH8" s="90"/>
      <c r="BI8" s="90"/>
      <c r="BJ8" s="90"/>
      <c r="BK8" s="90"/>
      <c r="BL8" s="90"/>
      <c r="BM8" s="90"/>
      <c r="BN8" s="90"/>
      <c r="BO8" s="90"/>
      <c r="BP8" s="90"/>
      <c r="BQ8" s="90"/>
    </row>
    <row r="9" ht="12.75" customHeight="1">
      <c r="A9" s="512"/>
      <c r="B9" s="90"/>
      <c r="C9" s="90" t="s">
        <v>797</v>
      </c>
      <c r="D9" s="90"/>
      <c r="E9" s="90"/>
      <c r="F9" s="90"/>
      <c r="G9" s="90"/>
      <c r="H9" s="90"/>
      <c r="I9" s="90"/>
      <c r="J9" s="147">
        <v>125000.0</v>
      </c>
      <c r="K9" s="177">
        <f t="shared" ref="K9:AV9" si="7">K288</f>
        <v>150000</v>
      </c>
      <c r="L9" s="177">
        <f t="shared" si="7"/>
        <v>684999.91</v>
      </c>
      <c r="M9" s="177">
        <f t="shared" si="7"/>
        <v>150000</v>
      </c>
      <c r="N9" s="177">
        <f t="shared" si="7"/>
        <v>0</v>
      </c>
      <c r="O9" s="177">
        <f t="shared" si="7"/>
        <v>0</v>
      </c>
      <c r="P9" s="177">
        <f t="shared" si="7"/>
        <v>0</v>
      </c>
      <c r="Q9" s="177">
        <f t="shared" si="7"/>
        <v>0</v>
      </c>
      <c r="R9" s="177">
        <f t="shared" si="7"/>
        <v>0</v>
      </c>
      <c r="S9" s="177">
        <f t="shared" si="7"/>
        <v>0</v>
      </c>
      <c r="T9" s="177">
        <f t="shared" si="7"/>
        <v>0</v>
      </c>
      <c r="U9" s="177">
        <f t="shared" si="7"/>
        <v>0</v>
      </c>
      <c r="V9" s="177">
        <f t="shared" si="7"/>
        <v>0</v>
      </c>
      <c r="W9" s="177">
        <f t="shared" si="7"/>
        <v>0</v>
      </c>
      <c r="X9" s="177">
        <f t="shared" si="7"/>
        <v>0</v>
      </c>
      <c r="Y9" s="177">
        <f t="shared" si="7"/>
        <v>0</v>
      </c>
      <c r="Z9" s="177">
        <f t="shared" si="7"/>
        <v>0</v>
      </c>
      <c r="AA9" s="177">
        <f t="shared" si="7"/>
        <v>0</v>
      </c>
      <c r="AB9" s="177">
        <f t="shared" si="7"/>
        <v>0</v>
      </c>
      <c r="AC9" s="177">
        <f t="shared" si="7"/>
        <v>0</v>
      </c>
      <c r="AD9" s="177">
        <f t="shared" si="7"/>
        <v>0</v>
      </c>
      <c r="AE9" s="177">
        <f t="shared" si="7"/>
        <v>0</v>
      </c>
      <c r="AF9" s="177">
        <f t="shared" si="7"/>
        <v>0</v>
      </c>
      <c r="AG9" s="177">
        <f t="shared" si="7"/>
        <v>0</v>
      </c>
      <c r="AH9" s="177">
        <f t="shared" si="7"/>
        <v>0</v>
      </c>
      <c r="AI9" s="177">
        <f t="shared" si="7"/>
        <v>0</v>
      </c>
      <c r="AJ9" s="177">
        <f t="shared" si="7"/>
        <v>0</v>
      </c>
      <c r="AK9" s="177">
        <f t="shared" si="7"/>
        <v>0</v>
      </c>
      <c r="AL9" s="177">
        <f t="shared" si="7"/>
        <v>0</v>
      </c>
      <c r="AM9" s="177">
        <f t="shared" si="7"/>
        <v>0</v>
      </c>
      <c r="AN9" s="177">
        <f t="shared" si="7"/>
        <v>0</v>
      </c>
      <c r="AO9" s="177">
        <f t="shared" si="7"/>
        <v>0</v>
      </c>
      <c r="AP9" s="177">
        <f t="shared" si="7"/>
        <v>0</v>
      </c>
      <c r="AQ9" s="177">
        <f t="shared" si="7"/>
        <v>0</v>
      </c>
      <c r="AR9" s="177">
        <f t="shared" si="7"/>
        <v>0</v>
      </c>
      <c r="AS9" s="177">
        <f t="shared" si="7"/>
        <v>0</v>
      </c>
      <c r="AT9" s="177">
        <f t="shared" si="7"/>
        <v>0</v>
      </c>
      <c r="AU9" s="177">
        <f t="shared" si="7"/>
        <v>0</v>
      </c>
      <c r="AV9" s="177">
        <f t="shared" si="7"/>
        <v>0</v>
      </c>
      <c r="AW9" s="67"/>
      <c r="AX9" s="90"/>
      <c r="AY9" s="90"/>
      <c r="AZ9" s="90"/>
      <c r="BA9" s="90"/>
      <c r="BB9" s="90"/>
      <c r="BC9" s="90"/>
      <c r="BD9" s="90"/>
      <c r="BE9" s="90"/>
      <c r="BF9" s="90"/>
      <c r="BG9" s="90"/>
      <c r="BH9" s="90"/>
      <c r="BI9" s="90"/>
      <c r="BJ9" s="90"/>
      <c r="BK9" s="90"/>
      <c r="BL9" s="90"/>
      <c r="BM9" s="90"/>
      <c r="BN9" s="90"/>
      <c r="BO9" s="90"/>
      <c r="BP9" s="90"/>
      <c r="BQ9" s="90"/>
    </row>
    <row r="10" ht="12.75" customHeight="1">
      <c r="A10" s="512"/>
      <c r="B10" s="90"/>
      <c r="C10" s="87" t="s">
        <v>799</v>
      </c>
      <c r="D10" s="87"/>
      <c r="E10" s="87"/>
      <c r="F10" s="87"/>
      <c r="G10" s="87"/>
      <c r="H10" s="87"/>
      <c r="I10" s="87"/>
      <c r="J10" s="561">
        <v>0.0</v>
      </c>
      <c r="K10" s="204">
        <f t="shared" ref="K10:AV10" si="8">K294</f>
        <v>0</v>
      </c>
      <c r="L10" s="204">
        <f t="shared" si="8"/>
        <v>58835.2</v>
      </c>
      <c r="M10" s="204">
        <f t="shared" si="8"/>
        <v>72458.368</v>
      </c>
      <c r="N10" s="204">
        <f t="shared" si="8"/>
        <v>84933.12</v>
      </c>
      <c r="O10" s="204">
        <f t="shared" si="8"/>
        <v>86031.7824</v>
      </c>
      <c r="P10" s="204">
        <f t="shared" si="8"/>
        <v>87152.41805</v>
      </c>
      <c r="Q10" s="204">
        <f t="shared" si="8"/>
        <v>88295.46641</v>
      </c>
      <c r="R10" s="204">
        <f t="shared" si="8"/>
        <v>89461.37574</v>
      </c>
      <c r="S10" s="204">
        <f t="shared" si="8"/>
        <v>90650.60325</v>
      </c>
      <c r="T10" s="204">
        <f t="shared" si="8"/>
        <v>91863.61532</v>
      </c>
      <c r="U10" s="204">
        <f t="shared" si="8"/>
        <v>93100.88762</v>
      </c>
      <c r="V10" s="204">
        <f t="shared" si="8"/>
        <v>94362.90538</v>
      </c>
      <c r="W10" s="204">
        <f t="shared" si="8"/>
        <v>95650.16348</v>
      </c>
      <c r="X10" s="204">
        <f t="shared" si="8"/>
        <v>96963.16675</v>
      </c>
      <c r="Y10" s="204">
        <f t="shared" si="8"/>
        <v>98302.43009</v>
      </c>
      <c r="Z10" s="204">
        <f t="shared" si="8"/>
        <v>99668.47869</v>
      </c>
      <c r="AA10" s="204">
        <f t="shared" si="8"/>
        <v>101061.8483</v>
      </c>
      <c r="AB10" s="204">
        <f t="shared" si="8"/>
        <v>102483.0852</v>
      </c>
      <c r="AC10" s="204">
        <f t="shared" si="8"/>
        <v>103932.7469</v>
      </c>
      <c r="AD10" s="204">
        <f t="shared" si="8"/>
        <v>105411.4019</v>
      </c>
      <c r="AE10" s="204">
        <f t="shared" si="8"/>
        <v>106919.6299</v>
      </c>
      <c r="AF10" s="204">
        <f t="shared" si="8"/>
        <v>108458.0225</v>
      </c>
      <c r="AG10" s="204">
        <f t="shared" si="8"/>
        <v>110027.183</v>
      </c>
      <c r="AH10" s="204">
        <f t="shared" si="8"/>
        <v>111627.7266</v>
      </c>
      <c r="AI10" s="204">
        <f t="shared" si="8"/>
        <v>113260.2811</v>
      </c>
      <c r="AJ10" s="204">
        <f t="shared" si="8"/>
        <v>114925.4868</v>
      </c>
      <c r="AK10" s="204">
        <f t="shared" si="8"/>
        <v>116623.9965</v>
      </c>
      <c r="AL10" s="204">
        <f t="shared" si="8"/>
        <v>118356.4764</v>
      </c>
      <c r="AM10" s="204">
        <f t="shared" si="8"/>
        <v>120123.606</v>
      </c>
      <c r="AN10" s="204">
        <f t="shared" si="8"/>
        <v>121926.0781</v>
      </c>
      <c r="AO10" s="204">
        <f t="shared" si="8"/>
        <v>123764.5996</v>
      </c>
      <c r="AP10" s="204">
        <f t="shared" si="8"/>
        <v>125639.8916</v>
      </c>
      <c r="AQ10" s="204">
        <f t="shared" si="8"/>
        <v>127552.6895</v>
      </c>
      <c r="AR10" s="204">
        <f t="shared" si="8"/>
        <v>129503.7433</v>
      </c>
      <c r="AS10" s="204">
        <f t="shared" si="8"/>
        <v>131493.8181</v>
      </c>
      <c r="AT10" s="204">
        <f t="shared" si="8"/>
        <v>133523.6945</v>
      </c>
      <c r="AU10" s="204">
        <f t="shared" si="8"/>
        <v>135594.1684</v>
      </c>
      <c r="AV10" s="204">
        <f t="shared" si="8"/>
        <v>137706.0517</v>
      </c>
      <c r="AW10" s="67"/>
      <c r="AX10" s="90"/>
      <c r="AY10" s="90"/>
      <c r="AZ10" s="90"/>
      <c r="BA10" s="90"/>
      <c r="BB10" s="90"/>
      <c r="BC10" s="90"/>
      <c r="BD10" s="90"/>
      <c r="BE10" s="90"/>
      <c r="BF10" s="90"/>
      <c r="BG10" s="90"/>
      <c r="BH10" s="90"/>
      <c r="BI10" s="90"/>
      <c r="BJ10" s="90"/>
      <c r="BK10" s="90"/>
      <c r="BL10" s="90"/>
      <c r="BM10" s="90"/>
      <c r="BN10" s="90"/>
      <c r="BO10" s="90"/>
      <c r="BP10" s="90"/>
      <c r="BQ10" s="90"/>
    </row>
    <row r="11" ht="12.75" customHeight="1">
      <c r="A11" s="512"/>
      <c r="B11" s="67" t="s">
        <v>239</v>
      </c>
      <c r="C11" s="90"/>
      <c r="D11" s="90"/>
      <c r="E11" s="90"/>
      <c r="F11" s="90"/>
      <c r="G11" s="90"/>
      <c r="H11" s="90"/>
      <c r="I11" s="90"/>
      <c r="J11" s="114">
        <v>125000.0</v>
      </c>
      <c r="K11" s="205">
        <f t="shared" ref="K11:AV11" si="9">SUM(K7:K10)</f>
        <v>150000</v>
      </c>
      <c r="L11" s="205">
        <f t="shared" si="9"/>
        <v>3397896.886</v>
      </c>
      <c r="M11" s="205">
        <f t="shared" si="9"/>
        <v>3366588.726</v>
      </c>
      <c r="N11" s="205">
        <f t="shared" si="9"/>
        <v>3570964.808</v>
      </c>
      <c r="O11" s="205">
        <f t="shared" si="9"/>
        <v>3651140.463</v>
      </c>
      <c r="P11" s="205">
        <f t="shared" si="9"/>
        <v>3715383.141</v>
      </c>
      <c r="Q11" s="205">
        <f t="shared" si="9"/>
        <v>3781442.382</v>
      </c>
      <c r="R11" s="205">
        <f t="shared" si="9"/>
        <v>3882841.109</v>
      </c>
      <c r="S11" s="205">
        <f t="shared" si="9"/>
        <v>3952226.753</v>
      </c>
      <c r="T11" s="205">
        <f t="shared" si="9"/>
        <v>4026572.686</v>
      </c>
      <c r="U11" s="205">
        <f t="shared" si="9"/>
        <v>4106504.14</v>
      </c>
      <c r="V11" s="205">
        <f t="shared" si="9"/>
        <v>4188034.223</v>
      </c>
      <c r="W11" s="205">
        <f t="shared" si="9"/>
        <v>4271194.907</v>
      </c>
      <c r="X11" s="205">
        <f t="shared" si="9"/>
        <v>4356018.806</v>
      </c>
      <c r="Y11" s="205">
        <f t="shared" si="9"/>
        <v>4442539.182</v>
      </c>
      <c r="Z11" s="205">
        <f t="shared" si="9"/>
        <v>4530789.965</v>
      </c>
      <c r="AA11" s="205">
        <f t="shared" si="9"/>
        <v>4620805.765</v>
      </c>
      <c r="AB11" s="205">
        <f t="shared" si="9"/>
        <v>4712621.88</v>
      </c>
      <c r="AC11" s="205">
        <f t="shared" si="9"/>
        <v>4806274.317</v>
      </c>
      <c r="AD11" s="205">
        <f t="shared" si="9"/>
        <v>4901799.804</v>
      </c>
      <c r="AE11" s="205">
        <f t="shared" si="9"/>
        <v>4999235.8</v>
      </c>
      <c r="AF11" s="205">
        <f t="shared" si="9"/>
        <v>5098620.516</v>
      </c>
      <c r="AG11" s="205">
        <f t="shared" si="9"/>
        <v>5199992.926</v>
      </c>
      <c r="AH11" s="205">
        <f t="shared" si="9"/>
        <v>5303392.785</v>
      </c>
      <c r="AI11" s="205">
        <f t="shared" si="9"/>
        <v>5408860.64</v>
      </c>
      <c r="AJ11" s="205">
        <f t="shared" si="9"/>
        <v>5516437.853</v>
      </c>
      <c r="AK11" s="205">
        <f t="shared" si="9"/>
        <v>5626166.61</v>
      </c>
      <c r="AL11" s="205">
        <f t="shared" si="9"/>
        <v>5738089.942</v>
      </c>
      <c r="AM11" s="205">
        <f t="shared" si="9"/>
        <v>5852251.741</v>
      </c>
      <c r="AN11" s="205">
        <f t="shared" si="9"/>
        <v>5968696.776</v>
      </c>
      <c r="AO11" s="205">
        <f t="shared" si="9"/>
        <v>6087470.712</v>
      </c>
      <c r="AP11" s="205">
        <f t="shared" si="9"/>
        <v>6208620.126</v>
      </c>
      <c r="AQ11" s="205">
        <f t="shared" si="9"/>
        <v>6332192.528</v>
      </c>
      <c r="AR11" s="205">
        <f t="shared" si="9"/>
        <v>6458236.379</v>
      </c>
      <c r="AS11" s="205">
        <f t="shared" si="9"/>
        <v>6586801.107</v>
      </c>
      <c r="AT11" s="205">
        <f t="shared" si="9"/>
        <v>6717937.129</v>
      </c>
      <c r="AU11" s="205">
        <f t="shared" si="9"/>
        <v>6851695.871</v>
      </c>
      <c r="AV11" s="205">
        <f t="shared" si="9"/>
        <v>6988129.789</v>
      </c>
      <c r="AW11" s="67"/>
      <c r="AX11" s="90"/>
      <c r="AY11" s="90"/>
      <c r="AZ11" s="90"/>
      <c r="BA11" s="90"/>
      <c r="BB11" s="90"/>
      <c r="BC11" s="90"/>
      <c r="BD11" s="90"/>
      <c r="BE11" s="90"/>
      <c r="BF11" s="90"/>
      <c r="BG11" s="90"/>
      <c r="BH11" s="90"/>
      <c r="BI11" s="90"/>
      <c r="BJ11" s="90"/>
      <c r="BK11" s="90"/>
      <c r="BL11" s="90"/>
      <c r="BM11" s="90"/>
      <c r="BN11" s="90"/>
      <c r="BO11" s="90"/>
      <c r="BP11" s="90"/>
      <c r="BQ11" s="90"/>
    </row>
    <row r="12" ht="12.75" customHeight="1">
      <c r="A12" s="512"/>
      <c r="B12" s="90"/>
      <c r="C12" s="90"/>
      <c r="D12" s="90"/>
      <c r="E12" s="90"/>
      <c r="F12" s="90"/>
      <c r="G12" s="90"/>
      <c r="H12" s="90"/>
      <c r="I12" s="90"/>
      <c r="J12" s="63"/>
      <c r="K12" s="205"/>
      <c r="L12" s="205"/>
      <c r="M12" s="205"/>
      <c r="N12" s="205"/>
      <c r="O12" s="205"/>
      <c r="P12" s="205"/>
      <c r="Q12" s="205"/>
      <c r="R12" s="205"/>
      <c r="S12" s="205"/>
      <c r="T12" s="205"/>
      <c r="U12" s="205"/>
      <c r="V12" s="205"/>
      <c r="W12" s="205"/>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67"/>
      <c r="AX12" s="90"/>
      <c r="AY12" s="90"/>
      <c r="AZ12" s="90"/>
      <c r="BA12" s="90"/>
      <c r="BB12" s="90"/>
      <c r="BC12" s="90"/>
      <c r="BD12" s="90"/>
      <c r="BE12" s="90"/>
      <c r="BF12" s="90"/>
      <c r="BG12" s="90"/>
      <c r="BH12" s="90"/>
      <c r="BI12" s="90"/>
      <c r="BJ12" s="90"/>
      <c r="BK12" s="90"/>
      <c r="BL12" s="90"/>
      <c r="BM12" s="90"/>
      <c r="BN12" s="90"/>
      <c r="BO12" s="90"/>
      <c r="BP12" s="90"/>
      <c r="BQ12" s="90"/>
    </row>
    <row r="13" ht="12.75" customHeight="1">
      <c r="A13" s="512"/>
      <c r="B13" s="67" t="s">
        <v>178</v>
      </c>
      <c r="C13" s="90"/>
      <c r="D13" s="90"/>
      <c r="E13" s="90"/>
      <c r="F13" s="90"/>
      <c r="G13" s="90"/>
      <c r="H13" s="90"/>
      <c r="I13" s="90"/>
      <c r="J13" s="63"/>
      <c r="K13" s="205"/>
      <c r="L13" s="205"/>
      <c r="M13" s="205"/>
      <c r="N13" s="205"/>
      <c r="O13" s="205"/>
      <c r="P13" s="205"/>
      <c r="Q13" s="205"/>
      <c r="R13" s="205"/>
      <c r="S13" s="205"/>
      <c r="T13" s="205"/>
      <c r="U13" s="205"/>
      <c r="V13" s="205"/>
      <c r="W13" s="205"/>
      <c r="X13" s="205"/>
      <c r="Y13" s="205"/>
      <c r="Z13" s="205"/>
      <c r="AA13" s="205"/>
      <c r="AB13" s="205"/>
      <c r="AC13" s="205"/>
      <c r="AD13" s="205"/>
      <c r="AE13" s="205"/>
      <c r="AF13" s="205"/>
      <c r="AG13" s="205"/>
      <c r="AH13" s="205"/>
      <c r="AI13" s="205"/>
      <c r="AJ13" s="205"/>
      <c r="AK13" s="205"/>
      <c r="AL13" s="205"/>
      <c r="AM13" s="205"/>
      <c r="AN13" s="205"/>
      <c r="AO13" s="205"/>
      <c r="AP13" s="205"/>
      <c r="AQ13" s="205"/>
      <c r="AR13" s="205"/>
      <c r="AS13" s="205"/>
      <c r="AT13" s="205"/>
      <c r="AU13" s="205"/>
      <c r="AV13" s="205"/>
      <c r="AW13" s="67"/>
      <c r="AX13" s="90"/>
      <c r="AY13" s="90"/>
      <c r="AZ13" s="90"/>
      <c r="BA13" s="90"/>
      <c r="BB13" s="90"/>
      <c r="BC13" s="90"/>
      <c r="BD13" s="90"/>
      <c r="BE13" s="90"/>
      <c r="BF13" s="90"/>
      <c r="BG13" s="90"/>
      <c r="BH13" s="90"/>
      <c r="BI13" s="90"/>
      <c r="BJ13" s="90"/>
      <c r="BK13" s="90"/>
      <c r="BL13" s="90"/>
      <c r="BM13" s="90"/>
      <c r="BN13" s="90"/>
      <c r="BO13" s="90"/>
      <c r="BP13" s="90"/>
      <c r="BQ13" s="90"/>
    </row>
    <row r="14" ht="12.75" customHeight="1">
      <c r="A14" s="512"/>
      <c r="B14" s="90"/>
      <c r="C14" s="90" t="s">
        <v>1172</v>
      </c>
      <c r="D14" s="90"/>
      <c r="E14" s="90"/>
      <c r="F14" s="90"/>
      <c r="G14" s="90"/>
      <c r="H14" s="90"/>
      <c r="I14" s="90"/>
      <c r="J14" s="147">
        <v>0.0</v>
      </c>
      <c r="K14" s="177">
        <f t="shared" ref="K14:AV14" si="10">K319+K330</f>
        <v>142344.28</v>
      </c>
      <c r="L14" s="177">
        <f t="shared" si="10"/>
        <v>1311839.678</v>
      </c>
      <c r="M14" s="177">
        <f t="shared" si="10"/>
        <v>1575462.523</v>
      </c>
      <c r="N14" s="177">
        <f t="shared" si="10"/>
        <v>1685523.581</v>
      </c>
      <c r="O14" s="177">
        <f t="shared" si="10"/>
        <v>1564341.358</v>
      </c>
      <c r="P14" s="177">
        <f t="shared" si="10"/>
        <v>1592892.185</v>
      </c>
      <c r="Q14" s="177">
        <f t="shared" si="10"/>
        <v>1307185.981</v>
      </c>
      <c r="R14" s="177">
        <f t="shared" si="10"/>
        <v>1331169.701</v>
      </c>
      <c r="S14" s="177">
        <f t="shared" si="10"/>
        <v>1355633.095</v>
      </c>
      <c r="T14" s="177">
        <f t="shared" si="10"/>
        <v>1380585.757</v>
      </c>
      <c r="U14" s="177">
        <f t="shared" si="10"/>
        <v>1406037.472</v>
      </c>
      <c r="V14" s="177">
        <f t="shared" si="10"/>
        <v>1431998.221</v>
      </c>
      <c r="W14" s="177">
        <f t="shared" si="10"/>
        <v>1458478.186</v>
      </c>
      <c r="X14" s="177">
        <f t="shared" si="10"/>
        <v>1485487.75</v>
      </c>
      <c r="Y14" s="177">
        <f t="shared" si="10"/>
        <v>1513037.505</v>
      </c>
      <c r="Z14" s="177">
        <f t="shared" si="10"/>
        <v>1541138.255</v>
      </c>
      <c r="AA14" s="177">
        <f t="shared" si="10"/>
        <v>1569801.02</v>
      </c>
      <c r="AB14" s="177">
        <f t="shared" si="10"/>
        <v>1599037.04</v>
      </c>
      <c r="AC14" s="177">
        <f t="shared" si="10"/>
        <v>1628857.781</v>
      </c>
      <c r="AD14" s="177">
        <f t="shared" si="10"/>
        <v>1659274.937</v>
      </c>
      <c r="AE14" s="177">
        <f t="shared" si="10"/>
        <v>1690300.435</v>
      </c>
      <c r="AF14" s="177">
        <f t="shared" si="10"/>
        <v>1721946.444</v>
      </c>
      <c r="AG14" s="177">
        <f t="shared" si="10"/>
        <v>1754225.373</v>
      </c>
      <c r="AH14" s="177">
        <f t="shared" si="10"/>
        <v>1787149.88</v>
      </c>
      <c r="AI14" s="177">
        <f t="shared" si="10"/>
        <v>1820732.878</v>
      </c>
      <c r="AJ14" s="177">
        <f t="shared" si="10"/>
        <v>1854987.536</v>
      </c>
      <c r="AK14" s="177">
        <f t="shared" si="10"/>
        <v>1889927.286</v>
      </c>
      <c r="AL14" s="177">
        <f t="shared" si="10"/>
        <v>1925565.832</v>
      </c>
      <c r="AM14" s="177">
        <f t="shared" si="10"/>
        <v>1961917.149</v>
      </c>
      <c r="AN14" s="177">
        <f t="shared" si="10"/>
        <v>1998995.492</v>
      </c>
      <c r="AO14" s="177">
        <f t="shared" si="10"/>
        <v>2036815.401</v>
      </c>
      <c r="AP14" s="177">
        <f t="shared" si="10"/>
        <v>2075391.71</v>
      </c>
      <c r="AQ14" s="177">
        <f t="shared" si="10"/>
        <v>2114739.544</v>
      </c>
      <c r="AR14" s="177">
        <f t="shared" si="10"/>
        <v>2154874.335</v>
      </c>
      <c r="AS14" s="177">
        <f t="shared" si="10"/>
        <v>2195811.821</v>
      </c>
      <c r="AT14" s="177">
        <f t="shared" si="10"/>
        <v>2237568.058</v>
      </c>
      <c r="AU14" s="177">
        <f t="shared" si="10"/>
        <v>2280159.419</v>
      </c>
      <c r="AV14" s="177">
        <f t="shared" si="10"/>
        <v>2323602.607</v>
      </c>
      <c r="AW14" s="67"/>
      <c r="AX14" s="90"/>
      <c r="AY14" s="90"/>
      <c r="AZ14" s="90"/>
      <c r="BA14" s="90"/>
      <c r="BB14" s="90"/>
      <c r="BC14" s="90"/>
      <c r="BD14" s="90"/>
      <c r="BE14" s="90"/>
      <c r="BF14" s="90"/>
      <c r="BG14" s="90"/>
      <c r="BH14" s="90"/>
      <c r="BI14" s="90"/>
      <c r="BJ14" s="90"/>
      <c r="BK14" s="90"/>
      <c r="BL14" s="90"/>
      <c r="BM14" s="90"/>
      <c r="BN14" s="90"/>
      <c r="BO14" s="90"/>
      <c r="BP14" s="90"/>
      <c r="BQ14" s="90"/>
    </row>
    <row r="15" ht="12.75" customHeight="1">
      <c r="A15" s="512"/>
      <c r="B15" s="90"/>
      <c r="C15" s="90" t="s">
        <v>1173</v>
      </c>
      <c r="D15" s="90"/>
      <c r="E15" s="90"/>
      <c r="F15" s="90"/>
      <c r="G15" s="90"/>
      <c r="H15" s="90"/>
      <c r="I15" s="90"/>
      <c r="J15" s="147">
        <v>0.0</v>
      </c>
      <c r="K15" s="177">
        <f t="shared" ref="K15:AV15" si="11">K339</f>
        <v>8583.79</v>
      </c>
      <c r="L15" s="177">
        <f t="shared" si="11"/>
        <v>510673.3</v>
      </c>
      <c r="M15" s="177">
        <f t="shared" si="11"/>
        <v>348406.672</v>
      </c>
      <c r="N15" s="177">
        <f t="shared" si="11"/>
        <v>369476</v>
      </c>
      <c r="O15" s="177">
        <f t="shared" si="11"/>
        <v>360094.9096</v>
      </c>
      <c r="P15" s="177">
        <f t="shared" si="11"/>
        <v>368146.8078</v>
      </c>
      <c r="Q15" s="177">
        <f t="shared" si="11"/>
        <v>367829.7439</v>
      </c>
      <c r="R15" s="177">
        <f t="shared" si="11"/>
        <v>377646.3388</v>
      </c>
      <c r="S15" s="177">
        <f t="shared" si="11"/>
        <v>384599.2656</v>
      </c>
      <c r="T15" s="177">
        <f t="shared" si="11"/>
        <v>391691.2509</v>
      </c>
      <c r="U15" s="177">
        <f t="shared" si="11"/>
        <v>398925.0759</v>
      </c>
      <c r="V15" s="177">
        <f t="shared" si="11"/>
        <v>406303.5775</v>
      </c>
      <c r="W15" s="177">
        <f t="shared" si="11"/>
        <v>413829.649</v>
      </c>
      <c r="X15" s="177">
        <f t="shared" si="11"/>
        <v>421506.242</v>
      </c>
      <c r="Y15" s="177">
        <f t="shared" si="11"/>
        <v>429336.3668</v>
      </c>
      <c r="Z15" s="177">
        <f t="shared" si="11"/>
        <v>437323.0942</v>
      </c>
      <c r="AA15" s="177">
        <f t="shared" si="11"/>
        <v>445469.556</v>
      </c>
      <c r="AB15" s="177">
        <f t="shared" si="11"/>
        <v>453778.9472</v>
      </c>
      <c r="AC15" s="177">
        <f t="shared" si="11"/>
        <v>462254.5261</v>
      </c>
      <c r="AD15" s="177">
        <f t="shared" si="11"/>
        <v>470899.6166</v>
      </c>
      <c r="AE15" s="177">
        <f t="shared" si="11"/>
        <v>479717.609</v>
      </c>
      <c r="AF15" s="177">
        <f t="shared" si="11"/>
        <v>488711.9611</v>
      </c>
      <c r="AG15" s="177">
        <f t="shared" si="11"/>
        <v>497886.2004</v>
      </c>
      <c r="AH15" s="177">
        <f t="shared" si="11"/>
        <v>507243.9244</v>
      </c>
      <c r="AI15" s="177">
        <f t="shared" si="11"/>
        <v>516788.8029</v>
      </c>
      <c r="AJ15" s="177">
        <f t="shared" si="11"/>
        <v>526524.5789</v>
      </c>
      <c r="AK15" s="177">
        <f t="shared" si="11"/>
        <v>536455.0705</v>
      </c>
      <c r="AL15" s="177">
        <f t="shared" si="11"/>
        <v>546584.1719</v>
      </c>
      <c r="AM15" s="177">
        <f t="shared" si="11"/>
        <v>556915.8553</v>
      </c>
      <c r="AN15" s="177">
        <f t="shared" si="11"/>
        <v>567454.1724</v>
      </c>
      <c r="AO15" s="177">
        <f t="shared" si="11"/>
        <v>578203.2559</v>
      </c>
      <c r="AP15" s="177">
        <f t="shared" si="11"/>
        <v>589167.321</v>
      </c>
      <c r="AQ15" s="177">
        <f t="shared" si="11"/>
        <v>600350.6674</v>
      </c>
      <c r="AR15" s="177">
        <f t="shared" si="11"/>
        <v>611757.6808</v>
      </c>
      <c r="AS15" s="177">
        <f t="shared" si="11"/>
        <v>623392.8344</v>
      </c>
      <c r="AT15" s="177">
        <f t="shared" si="11"/>
        <v>635260.6911</v>
      </c>
      <c r="AU15" s="177">
        <f t="shared" si="11"/>
        <v>647365.9049</v>
      </c>
      <c r="AV15" s="177">
        <f t="shared" si="11"/>
        <v>659713.223</v>
      </c>
      <c r="AW15" s="67"/>
      <c r="AX15" s="90"/>
      <c r="AY15" s="90"/>
      <c r="AZ15" s="90"/>
      <c r="BA15" s="90"/>
      <c r="BB15" s="90"/>
      <c r="BC15" s="90"/>
      <c r="BD15" s="90"/>
      <c r="BE15" s="90"/>
      <c r="BF15" s="90"/>
      <c r="BG15" s="90"/>
      <c r="BH15" s="90"/>
      <c r="BI15" s="90"/>
      <c r="BJ15" s="90"/>
      <c r="BK15" s="90"/>
      <c r="BL15" s="90"/>
      <c r="BM15" s="90"/>
      <c r="BN15" s="90"/>
      <c r="BO15" s="90"/>
      <c r="BP15" s="90"/>
      <c r="BQ15" s="90"/>
    </row>
    <row r="16" ht="12.75" customHeight="1">
      <c r="A16" s="512"/>
      <c r="B16" s="90"/>
      <c r="C16" s="90" t="s">
        <v>601</v>
      </c>
      <c r="D16" s="90"/>
      <c r="E16" s="90"/>
      <c r="F16" s="90"/>
      <c r="G16" s="90"/>
      <c r="H16" s="90"/>
      <c r="I16" s="90"/>
      <c r="J16" s="147">
        <v>0.0</v>
      </c>
      <c r="K16" s="177">
        <f t="shared" ref="K16:AV16" si="12">K380</f>
        <v>0</v>
      </c>
      <c r="L16" s="177">
        <f t="shared" si="12"/>
        <v>96146.28528</v>
      </c>
      <c r="M16" s="177">
        <f t="shared" si="12"/>
        <v>94325.85762</v>
      </c>
      <c r="N16" s="177">
        <f t="shared" si="12"/>
        <v>99636.96984</v>
      </c>
      <c r="O16" s="177">
        <f t="shared" si="12"/>
        <v>101910.4</v>
      </c>
      <c r="P16" s="177">
        <f t="shared" si="12"/>
        <v>103703.2041</v>
      </c>
      <c r="Q16" s="177">
        <f t="shared" si="12"/>
        <v>105547.8155</v>
      </c>
      <c r="R16" s="177">
        <f t="shared" si="12"/>
        <v>108449.8682</v>
      </c>
      <c r="S16" s="177">
        <f t="shared" si="12"/>
        <v>110388.7302</v>
      </c>
      <c r="T16" s="177">
        <f t="shared" si="12"/>
        <v>112473.5468</v>
      </c>
      <c r="U16" s="177">
        <f t="shared" si="12"/>
        <v>114723.0177</v>
      </c>
      <c r="V16" s="177">
        <f t="shared" si="12"/>
        <v>117017.478</v>
      </c>
      <c r="W16" s="177">
        <f t="shared" si="12"/>
        <v>119357.8276</v>
      </c>
      <c r="X16" s="177">
        <f t="shared" si="12"/>
        <v>121744.9842</v>
      </c>
      <c r="Y16" s="177">
        <f t="shared" si="12"/>
        <v>124179.8838</v>
      </c>
      <c r="Z16" s="177">
        <f t="shared" si="12"/>
        <v>126663.4815</v>
      </c>
      <c r="AA16" s="177">
        <f t="shared" si="12"/>
        <v>129196.7511</v>
      </c>
      <c r="AB16" s="177">
        <f t="shared" si="12"/>
        <v>131780.6862</v>
      </c>
      <c r="AC16" s="177">
        <f t="shared" si="12"/>
        <v>134416.2999</v>
      </c>
      <c r="AD16" s="177">
        <f t="shared" si="12"/>
        <v>137104.6259</v>
      </c>
      <c r="AE16" s="177">
        <f t="shared" si="12"/>
        <v>139846.7184</v>
      </c>
      <c r="AF16" s="177">
        <f t="shared" si="12"/>
        <v>142643.6528</v>
      </c>
      <c r="AG16" s="177">
        <f t="shared" si="12"/>
        <v>145496.5258</v>
      </c>
      <c r="AH16" s="177">
        <f t="shared" si="12"/>
        <v>148406.4563</v>
      </c>
      <c r="AI16" s="177">
        <f t="shared" si="12"/>
        <v>151374.5855</v>
      </c>
      <c r="AJ16" s="177">
        <f t="shared" si="12"/>
        <v>154402.0772</v>
      </c>
      <c r="AK16" s="177">
        <f t="shared" si="12"/>
        <v>157490.1187</v>
      </c>
      <c r="AL16" s="177">
        <f t="shared" si="12"/>
        <v>160639.9211</v>
      </c>
      <c r="AM16" s="177">
        <f t="shared" si="12"/>
        <v>163852.7195</v>
      </c>
      <c r="AN16" s="177">
        <f t="shared" si="12"/>
        <v>167129.7739</v>
      </c>
      <c r="AO16" s="177">
        <f t="shared" si="12"/>
        <v>170472.3694</v>
      </c>
      <c r="AP16" s="177">
        <f t="shared" si="12"/>
        <v>173881.8168</v>
      </c>
      <c r="AQ16" s="177">
        <f t="shared" si="12"/>
        <v>177359.4531</v>
      </c>
      <c r="AR16" s="177">
        <f t="shared" si="12"/>
        <v>180906.6422</v>
      </c>
      <c r="AS16" s="177">
        <f t="shared" si="12"/>
        <v>184524.775</v>
      </c>
      <c r="AT16" s="177">
        <f t="shared" si="12"/>
        <v>188215.2705</v>
      </c>
      <c r="AU16" s="177">
        <f t="shared" si="12"/>
        <v>191979.5759</v>
      </c>
      <c r="AV16" s="177">
        <f t="shared" si="12"/>
        <v>195819.1675</v>
      </c>
      <c r="AW16" s="67"/>
      <c r="AX16" s="90"/>
      <c r="AY16" s="90"/>
      <c r="AZ16" s="90"/>
      <c r="BA16" s="90"/>
      <c r="BB16" s="90"/>
      <c r="BC16" s="90"/>
      <c r="BD16" s="90"/>
      <c r="BE16" s="90"/>
      <c r="BF16" s="90"/>
      <c r="BG16" s="90"/>
      <c r="BH16" s="90"/>
      <c r="BI16" s="90"/>
      <c r="BJ16" s="90"/>
      <c r="BK16" s="90"/>
      <c r="BL16" s="90"/>
      <c r="BM16" s="90"/>
      <c r="BN16" s="90"/>
      <c r="BO16" s="90"/>
      <c r="BP16" s="90"/>
      <c r="BQ16" s="90"/>
    </row>
    <row r="17" ht="12.75" customHeight="1">
      <c r="A17" s="512"/>
      <c r="B17" s="90"/>
      <c r="C17" s="90" t="s">
        <v>276</v>
      </c>
      <c r="D17" s="90"/>
      <c r="E17" s="90"/>
      <c r="F17" s="90"/>
      <c r="G17" s="90"/>
      <c r="H17" s="90"/>
      <c r="I17" s="90"/>
      <c r="J17" s="147">
        <v>31250.0</v>
      </c>
      <c r="K17" s="177">
        <f t="shared" ref="K17:AV17" si="13">K378</f>
        <v>37500</v>
      </c>
      <c r="L17" s="177">
        <f t="shared" si="13"/>
        <v>384585.1411</v>
      </c>
      <c r="M17" s="177">
        <f t="shared" si="13"/>
        <v>361582.4542</v>
      </c>
      <c r="N17" s="177">
        <f t="shared" si="13"/>
        <v>398547.8793</v>
      </c>
      <c r="O17" s="177">
        <f t="shared" si="13"/>
        <v>407641.6</v>
      </c>
      <c r="P17" s="177">
        <f t="shared" si="13"/>
        <v>414812.8163</v>
      </c>
      <c r="Q17" s="177">
        <f t="shared" si="13"/>
        <v>422191.2619</v>
      </c>
      <c r="R17" s="177">
        <f t="shared" si="13"/>
        <v>433799.4728</v>
      </c>
      <c r="S17" s="177">
        <f t="shared" si="13"/>
        <v>441554.9208</v>
      </c>
      <c r="T17" s="177">
        <f t="shared" si="13"/>
        <v>449894.187</v>
      </c>
      <c r="U17" s="177">
        <f t="shared" si="13"/>
        <v>458892.0708</v>
      </c>
      <c r="V17" s="177">
        <f t="shared" si="13"/>
        <v>468069.9122</v>
      </c>
      <c r="W17" s="177">
        <f t="shared" si="13"/>
        <v>477431.3104</v>
      </c>
      <c r="X17" s="177">
        <f t="shared" si="13"/>
        <v>486979.9366</v>
      </c>
      <c r="Y17" s="177">
        <f t="shared" si="13"/>
        <v>496719.5354</v>
      </c>
      <c r="Z17" s="177">
        <f t="shared" si="13"/>
        <v>506653.9261</v>
      </c>
      <c r="AA17" s="177">
        <f t="shared" si="13"/>
        <v>516787.0046</v>
      </c>
      <c r="AB17" s="177">
        <f t="shared" si="13"/>
        <v>527122.7447</v>
      </c>
      <c r="AC17" s="177">
        <f t="shared" si="13"/>
        <v>537665.1996</v>
      </c>
      <c r="AD17" s="177">
        <f t="shared" si="13"/>
        <v>548418.5036</v>
      </c>
      <c r="AE17" s="177">
        <f t="shared" si="13"/>
        <v>559386.8736</v>
      </c>
      <c r="AF17" s="177">
        <f t="shared" si="13"/>
        <v>570574.6111</v>
      </c>
      <c r="AG17" s="177">
        <f t="shared" si="13"/>
        <v>581986.1033</v>
      </c>
      <c r="AH17" s="177">
        <f t="shared" si="13"/>
        <v>593625.8254</v>
      </c>
      <c r="AI17" s="177">
        <f t="shared" si="13"/>
        <v>605498.3419</v>
      </c>
      <c r="AJ17" s="177">
        <f t="shared" si="13"/>
        <v>617608.3087</v>
      </c>
      <c r="AK17" s="177">
        <f t="shared" si="13"/>
        <v>629960.4749</v>
      </c>
      <c r="AL17" s="177">
        <f t="shared" si="13"/>
        <v>642559.6844</v>
      </c>
      <c r="AM17" s="177">
        <f t="shared" si="13"/>
        <v>655410.8781</v>
      </c>
      <c r="AN17" s="177">
        <f t="shared" si="13"/>
        <v>668519.0957</v>
      </c>
      <c r="AO17" s="177">
        <f t="shared" si="13"/>
        <v>681889.4776</v>
      </c>
      <c r="AP17" s="177">
        <f t="shared" si="13"/>
        <v>695527.2671</v>
      </c>
      <c r="AQ17" s="177">
        <f t="shared" si="13"/>
        <v>709437.8125</v>
      </c>
      <c r="AR17" s="177">
        <f t="shared" si="13"/>
        <v>723626.5687</v>
      </c>
      <c r="AS17" s="177">
        <f t="shared" si="13"/>
        <v>738099.1001</v>
      </c>
      <c r="AT17" s="177">
        <f t="shared" si="13"/>
        <v>752861.0821</v>
      </c>
      <c r="AU17" s="177">
        <f t="shared" si="13"/>
        <v>767918.3037</v>
      </c>
      <c r="AV17" s="177">
        <f t="shared" si="13"/>
        <v>783276.6698</v>
      </c>
      <c r="AW17" s="67"/>
      <c r="AX17" s="90"/>
      <c r="AY17" s="90"/>
      <c r="AZ17" s="90"/>
      <c r="BA17" s="90"/>
      <c r="BB17" s="90"/>
      <c r="BC17" s="90"/>
      <c r="BD17" s="90"/>
      <c r="BE17" s="90"/>
      <c r="BF17" s="90"/>
      <c r="BG17" s="90"/>
      <c r="BH17" s="90"/>
      <c r="BI17" s="90"/>
      <c r="BJ17" s="90"/>
      <c r="BK17" s="90"/>
      <c r="BL17" s="90"/>
      <c r="BM17" s="90"/>
      <c r="BN17" s="90"/>
      <c r="BO17" s="90"/>
      <c r="BP17" s="90"/>
      <c r="BQ17" s="90"/>
    </row>
    <row r="18" ht="12.75" customHeight="1">
      <c r="A18" s="512"/>
      <c r="B18" s="90"/>
      <c r="C18" s="90" t="s">
        <v>1174</v>
      </c>
      <c r="D18" s="90"/>
      <c r="E18" s="90"/>
      <c r="F18" s="90"/>
      <c r="G18" s="90"/>
      <c r="H18" s="90"/>
      <c r="I18" s="90"/>
      <c r="J18" s="99">
        <v>0.0</v>
      </c>
      <c r="K18" s="177">
        <f t="shared" ref="K18:AV18" si="14">K379</f>
        <v>150000</v>
      </c>
      <c r="L18" s="177">
        <f t="shared" si="14"/>
        <v>640975.2352</v>
      </c>
      <c r="M18" s="177">
        <f t="shared" si="14"/>
        <v>628839.0508</v>
      </c>
      <c r="N18" s="177">
        <f t="shared" si="14"/>
        <v>664246.4656</v>
      </c>
      <c r="O18" s="177">
        <f t="shared" si="14"/>
        <v>679402.6666</v>
      </c>
      <c r="P18" s="177">
        <f t="shared" si="14"/>
        <v>691354.6938</v>
      </c>
      <c r="Q18" s="177">
        <f t="shared" si="14"/>
        <v>703652.1032</v>
      </c>
      <c r="R18" s="177">
        <f t="shared" si="14"/>
        <v>722999.1213</v>
      </c>
      <c r="S18" s="177">
        <f t="shared" si="14"/>
        <v>735924.8679</v>
      </c>
      <c r="T18" s="177">
        <f t="shared" si="14"/>
        <v>749823.645</v>
      </c>
      <c r="U18" s="177">
        <f t="shared" si="14"/>
        <v>764820.1179</v>
      </c>
      <c r="V18" s="177">
        <f t="shared" si="14"/>
        <v>780116.5203</v>
      </c>
      <c r="W18" s="177">
        <f t="shared" si="14"/>
        <v>795718.8507</v>
      </c>
      <c r="X18" s="177">
        <f t="shared" si="14"/>
        <v>811633.2277</v>
      </c>
      <c r="Y18" s="177">
        <f t="shared" si="14"/>
        <v>827865.8923</v>
      </c>
      <c r="Z18" s="177">
        <f t="shared" si="14"/>
        <v>844423.2101</v>
      </c>
      <c r="AA18" s="177">
        <f t="shared" si="14"/>
        <v>861311.6743</v>
      </c>
      <c r="AB18" s="177">
        <f t="shared" si="14"/>
        <v>878537.9078</v>
      </c>
      <c r="AC18" s="177">
        <f t="shared" si="14"/>
        <v>896108.6659</v>
      </c>
      <c r="AD18" s="177">
        <f t="shared" si="14"/>
        <v>914030.8393</v>
      </c>
      <c r="AE18" s="177">
        <f t="shared" si="14"/>
        <v>932311.456</v>
      </c>
      <c r="AF18" s="177">
        <f t="shared" si="14"/>
        <v>950957.6852</v>
      </c>
      <c r="AG18" s="177">
        <f t="shared" si="14"/>
        <v>969976.8389</v>
      </c>
      <c r="AH18" s="177">
        <f t="shared" si="14"/>
        <v>989376.3756</v>
      </c>
      <c r="AI18" s="177">
        <f t="shared" si="14"/>
        <v>1009163.903</v>
      </c>
      <c r="AJ18" s="177">
        <f t="shared" si="14"/>
        <v>1029347.181</v>
      </c>
      <c r="AK18" s="177">
        <f t="shared" si="14"/>
        <v>1049934.125</v>
      </c>
      <c r="AL18" s="177">
        <f t="shared" si="14"/>
        <v>1070932.807</v>
      </c>
      <c r="AM18" s="177">
        <f t="shared" si="14"/>
        <v>1092351.463</v>
      </c>
      <c r="AN18" s="177">
        <f t="shared" si="14"/>
        <v>1114198.493</v>
      </c>
      <c r="AO18" s="177">
        <f t="shared" si="14"/>
        <v>1136482.463</v>
      </c>
      <c r="AP18" s="177">
        <f t="shared" si="14"/>
        <v>1159212.112</v>
      </c>
      <c r="AQ18" s="177">
        <f t="shared" si="14"/>
        <v>1182396.354</v>
      </c>
      <c r="AR18" s="177">
        <f t="shared" si="14"/>
        <v>1206044.281</v>
      </c>
      <c r="AS18" s="177">
        <f t="shared" si="14"/>
        <v>1230165.167</v>
      </c>
      <c r="AT18" s="177">
        <f t="shared" si="14"/>
        <v>1254768.47</v>
      </c>
      <c r="AU18" s="177">
        <f t="shared" si="14"/>
        <v>1279863.84</v>
      </c>
      <c r="AV18" s="177">
        <f t="shared" si="14"/>
        <v>1305461.116</v>
      </c>
      <c r="AW18" s="67"/>
      <c r="AX18" s="90"/>
      <c r="AY18" s="90"/>
      <c r="AZ18" s="90"/>
      <c r="BA18" s="90"/>
      <c r="BB18" s="90"/>
      <c r="BC18" s="90"/>
      <c r="BD18" s="90"/>
      <c r="BE18" s="90"/>
      <c r="BF18" s="90"/>
      <c r="BG18" s="90"/>
      <c r="BH18" s="90"/>
      <c r="BI18" s="90"/>
      <c r="BJ18" s="90"/>
      <c r="BK18" s="90"/>
      <c r="BL18" s="90"/>
      <c r="BM18" s="90"/>
      <c r="BN18" s="90"/>
      <c r="BO18" s="90"/>
      <c r="BP18" s="90"/>
      <c r="BQ18" s="90"/>
    </row>
    <row r="19" ht="12.75" customHeight="1">
      <c r="A19" s="512"/>
      <c r="B19" s="90"/>
      <c r="C19" s="90" t="s">
        <v>1175</v>
      </c>
      <c r="D19" s="90"/>
      <c r="E19" s="90"/>
      <c r="F19" s="90"/>
      <c r="G19" s="90"/>
      <c r="H19" s="90"/>
      <c r="I19" s="90"/>
      <c r="J19" s="147">
        <v>14398.1</v>
      </c>
      <c r="K19" s="177">
        <f t="shared" ref="K19:AV19" si="15">K383-K17-K18-K16+K386+K387</f>
        <v>4655.45</v>
      </c>
      <c r="L19" s="177">
        <f t="shared" si="15"/>
        <v>241741.2728</v>
      </c>
      <c r="M19" s="177">
        <f t="shared" si="15"/>
        <v>293054.9242</v>
      </c>
      <c r="N19" s="177">
        <f t="shared" si="15"/>
        <v>306264.2696</v>
      </c>
      <c r="O19" s="177">
        <f t="shared" si="15"/>
        <v>444099.9477</v>
      </c>
      <c r="P19" s="177">
        <f t="shared" si="15"/>
        <v>451123.5653</v>
      </c>
      <c r="Q19" s="177">
        <f t="shared" si="15"/>
        <v>805380.0707</v>
      </c>
      <c r="R19" s="177">
        <f t="shared" si="15"/>
        <v>837517.5022</v>
      </c>
      <c r="S19" s="177">
        <f t="shared" si="15"/>
        <v>851938.6324</v>
      </c>
      <c r="T19" s="177">
        <f t="shared" si="15"/>
        <v>868922.2559</v>
      </c>
      <c r="U19" s="177">
        <f t="shared" si="15"/>
        <v>888854.455</v>
      </c>
      <c r="V19" s="177">
        <f t="shared" si="15"/>
        <v>909676.2475</v>
      </c>
      <c r="W19" s="177">
        <f t="shared" si="15"/>
        <v>930506.4675</v>
      </c>
      <c r="X19" s="177">
        <f t="shared" si="15"/>
        <v>951959.3159</v>
      </c>
      <c r="Y19" s="177">
        <f t="shared" si="15"/>
        <v>973841.2212</v>
      </c>
      <c r="Z19" s="177">
        <f t="shared" si="15"/>
        <v>996160.7647</v>
      </c>
      <c r="AA19" s="177">
        <f t="shared" si="15"/>
        <v>1018926.699</v>
      </c>
      <c r="AB19" s="177">
        <f t="shared" si="15"/>
        <v>1042147.952</v>
      </c>
      <c r="AC19" s="177">
        <f t="shared" si="15"/>
        <v>1065833.63</v>
      </c>
      <c r="AD19" s="177">
        <f t="shared" si="15"/>
        <v>1089993.022</v>
      </c>
      <c r="AE19" s="177">
        <f t="shared" si="15"/>
        <v>1114635.601</v>
      </c>
      <c r="AF19" s="177">
        <f t="shared" si="15"/>
        <v>1139771.032</v>
      </c>
      <c r="AG19" s="177">
        <f t="shared" si="15"/>
        <v>1165409.172</v>
      </c>
      <c r="AH19" s="177">
        <f t="shared" si="15"/>
        <v>1191560.074</v>
      </c>
      <c r="AI19" s="177">
        <f t="shared" si="15"/>
        <v>1218233.995</v>
      </c>
      <c r="AJ19" s="177">
        <f t="shared" si="15"/>
        <v>1245441.394</v>
      </c>
      <c r="AK19" s="177">
        <f t="shared" si="15"/>
        <v>1273192.941</v>
      </c>
      <c r="AL19" s="177">
        <f t="shared" si="15"/>
        <v>1301499.519</v>
      </c>
      <c r="AM19" s="177">
        <f t="shared" si="15"/>
        <v>1330372.228</v>
      </c>
      <c r="AN19" s="177">
        <f t="shared" si="15"/>
        <v>1359822.392</v>
      </c>
      <c r="AO19" s="177">
        <f t="shared" si="15"/>
        <v>1389861.558</v>
      </c>
      <c r="AP19" s="177">
        <f t="shared" si="15"/>
        <v>1420501.509</v>
      </c>
      <c r="AQ19" s="177">
        <f t="shared" si="15"/>
        <v>1451754.258</v>
      </c>
      <c r="AR19" s="177">
        <f t="shared" si="15"/>
        <v>1483632.062</v>
      </c>
      <c r="AS19" s="177">
        <f t="shared" si="15"/>
        <v>1516147.422</v>
      </c>
      <c r="AT19" s="177">
        <f t="shared" si="15"/>
        <v>1549313.09</v>
      </c>
      <c r="AU19" s="177">
        <f t="shared" si="15"/>
        <v>1583142.071</v>
      </c>
      <c r="AV19" s="177">
        <f t="shared" si="15"/>
        <v>1617647.631</v>
      </c>
      <c r="AW19" s="67"/>
      <c r="AX19" s="90"/>
      <c r="AY19" s="90"/>
      <c r="AZ19" s="90"/>
      <c r="BA19" s="90"/>
      <c r="BB19" s="90"/>
      <c r="BC19" s="90"/>
      <c r="BD19" s="90"/>
      <c r="BE19" s="90"/>
      <c r="BF19" s="90"/>
      <c r="BG19" s="90"/>
      <c r="BH19" s="90"/>
      <c r="BI19" s="90"/>
      <c r="BJ19" s="90"/>
      <c r="BK19" s="90"/>
      <c r="BL19" s="90"/>
      <c r="BM19" s="90"/>
      <c r="BN19" s="90"/>
      <c r="BO19" s="90"/>
      <c r="BP19" s="90"/>
      <c r="BQ19" s="90"/>
    </row>
    <row r="20" ht="12.75" customHeight="1">
      <c r="A20" s="512"/>
      <c r="B20" s="90"/>
      <c r="C20" s="90" t="s">
        <v>559</v>
      </c>
      <c r="D20" s="90"/>
      <c r="E20" s="90"/>
      <c r="F20" s="90"/>
      <c r="G20" s="90"/>
      <c r="H20" s="90"/>
      <c r="I20" s="90"/>
      <c r="J20" s="147">
        <v>0.0</v>
      </c>
      <c r="K20" s="177">
        <f t="shared" ref="K20:AV20" si="16">K392</f>
        <v>0</v>
      </c>
      <c r="L20" s="177">
        <f t="shared" si="16"/>
        <v>42704.68239</v>
      </c>
      <c r="M20" s="177">
        <f t="shared" si="16"/>
        <v>32438.88134</v>
      </c>
      <c r="N20" s="177">
        <f t="shared" si="16"/>
        <v>34607.0229</v>
      </c>
      <c r="O20" s="177">
        <f t="shared" si="16"/>
        <v>34938.44586</v>
      </c>
      <c r="P20" s="177">
        <f t="shared" si="16"/>
        <v>35578.95852</v>
      </c>
      <c r="Q20" s="177">
        <f t="shared" si="16"/>
        <v>36471.43292</v>
      </c>
      <c r="R20" s="177">
        <f t="shared" si="16"/>
        <v>37461.20263</v>
      </c>
      <c r="S20" s="177">
        <f t="shared" si="16"/>
        <v>38140.45247</v>
      </c>
      <c r="T20" s="177">
        <f t="shared" si="16"/>
        <v>38868.17479</v>
      </c>
      <c r="U20" s="177">
        <f t="shared" si="16"/>
        <v>39650.47582</v>
      </c>
      <c r="V20" s="177">
        <f t="shared" si="16"/>
        <v>40453.33237</v>
      </c>
      <c r="W20" s="177">
        <f t="shared" si="16"/>
        <v>41268.16597</v>
      </c>
      <c r="X20" s="177">
        <f t="shared" si="16"/>
        <v>42101.35648</v>
      </c>
      <c r="Y20" s="177">
        <f t="shared" si="16"/>
        <v>42951.2108</v>
      </c>
      <c r="Z20" s="177">
        <f t="shared" si="16"/>
        <v>43818.06221</v>
      </c>
      <c r="AA20" s="177">
        <f t="shared" si="16"/>
        <v>44702.25064</v>
      </c>
      <c r="AB20" s="177">
        <f t="shared" si="16"/>
        <v>45604.12285</v>
      </c>
      <c r="AC20" s="177">
        <f t="shared" si="16"/>
        <v>46524.03249</v>
      </c>
      <c r="AD20" s="177">
        <f t="shared" si="16"/>
        <v>47462.34033</v>
      </c>
      <c r="AE20" s="177">
        <f t="shared" si="16"/>
        <v>48419.41433</v>
      </c>
      <c r="AF20" s="177">
        <f t="shared" si="16"/>
        <v>49395.62981</v>
      </c>
      <c r="AG20" s="177">
        <f t="shared" si="16"/>
        <v>50391.36959</v>
      </c>
      <c r="AH20" s="177">
        <f t="shared" si="16"/>
        <v>51407.02418</v>
      </c>
      <c r="AI20" s="177">
        <f t="shared" si="16"/>
        <v>52442.99185</v>
      </c>
      <c r="AJ20" s="177">
        <f t="shared" si="16"/>
        <v>53499.67888</v>
      </c>
      <c r="AK20" s="177">
        <f t="shared" si="16"/>
        <v>54577.49964</v>
      </c>
      <c r="AL20" s="177">
        <f t="shared" si="16"/>
        <v>55676.87683</v>
      </c>
      <c r="AM20" s="177">
        <f t="shared" si="16"/>
        <v>56798.24156</v>
      </c>
      <c r="AN20" s="177">
        <f t="shared" si="16"/>
        <v>57942.03358</v>
      </c>
      <c r="AO20" s="177">
        <f t="shared" si="16"/>
        <v>59108.70144</v>
      </c>
      <c r="AP20" s="177">
        <f t="shared" si="16"/>
        <v>60298.70266</v>
      </c>
      <c r="AQ20" s="177">
        <f t="shared" si="16"/>
        <v>61512.5039</v>
      </c>
      <c r="AR20" s="177">
        <f t="shared" si="16"/>
        <v>62750.58117</v>
      </c>
      <c r="AS20" s="177">
        <f t="shared" si="16"/>
        <v>64013.41998</v>
      </c>
      <c r="AT20" s="177">
        <f t="shared" si="16"/>
        <v>65301.51557</v>
      </c>
      <c r="AU20" s="177">
        <f t="shared" si="16"/>
        <v>66615.37307</v>
      </c>
      <c r="AV20" s="177">
        <f t="shared" si="16"/>
        <v>67955.50773</v>
      </c>
      <c r="AW20" s="67"/>
      <c r="AX20" s="90"/>
      <c r="AY20" s="90"/>
      <c r="AZ20" s="90"/>
      <c r="BA20" s="90"/>
      <c r="BB20" s="90"/>
      <c r="BC20" s="90"/>
      <c r="BD20" s="90"/>
      <c r="BE20" s="90"/>
      <c r="BF20" s="90"/>
      <c r="BG20" s="90"/>
      <c r="BH20" s="90"/>
      <c r="BI20" s="90"/>
      <c r="BJ20" s="90"/>
      <c r="BK20" s="90"/>
      <c r="BL20" s="90"/>
      <c r="BM20" s="90"/>
      <c r="BN20" s="90"/>
      <c r="BO20" s="90"/>
      <c r="BP20" s="90"/>
      <c r="BQ20" s="90"/>
    </row>
    <row r="21" ht="12.75" customHeight="1">
      <c r="A21" s="512"/>
      <c r="B21" s="90"/>
      <c r="C21" s="87" t="s">
        <v>489</v>
      </c>
      <c r="D21" s="87"/>
      <c r="E21" s="87"/>
      <c r="F21" s="87"/>
      <c r="G21" s="87"/>
      <c r="H21" s="87"/>
      <c r="I21" s="87"/>
      <c r="J21" s="561">
        <v>0.0</v>
      </c>
      <c r="K21" s="204">
        <f t="shared" ref="K21:AV21" si="17">K389+K390+K391</f>
        <v>9999.91</v>
      </c>
      <c r="L21" s="204" t="str">
        <f t="shared" si="17"/>
        <v>#REF!</v>
      </c>
      <c r="M21" s="204" t="str">
        <f t="shared" si="17"/>
        <v>#REF!</v>
      </c>
      <c r="N21" s="204" t="str">
        <f t="shared" si="17"/>
        <v>#REF!</v>
      </c>
      <c r="O21" s="204" t="str">
        <f t="shared" si="17"/>
        <v>#REF!</v>
      </c>
      <c r="P21" s="204" t="str">
        <f t="shared" si="17"/>
        <v>#REF!</v>
      </c>
      <c r="Q21" s="204" t="str">
        <f t="shared" si="17"/>
        <v>#REF!</v>
      </c>
      <c r="R21" s="204" t="str">
        <f t="shared" si="17"/>
        <v>#REF!</v>
      </c>
      <c r="S21" s="204" t="str">
        <f t="shared" si="17"/>
        <v>#REF!</v>
      </c>
      <c r="T21" s="204" t="str">
        <f t="shared" si="17"/>
        <v>#REF!</v>
      </c>
      <c r="U21" s="204" t="str">
        <f t="shared" si="17"/>
        <v>#REF!</v>
      </c>
      <c r="V21" s="204" t="str">
        <f t="shared" si="17"/>
        <v>#REF!</v>
      </c>
      <c r="W21" s="204" t="str">
        <f t="shared" si="17"/>
        <v>#REF!</v>
      </c>
      <c r="X21" s="204" t="str">
        <f t="shared" si="17"/>
        <v>#REF!</v>
      </c>
      <c r="Y21" s="204" t="str">
        <f t="shared" si="17"/>
        <v>#REF!</v>
      </c>
      <c r="Z21" s="204" t="str">
        <f t="shared" si="17"/>
        <v>#REF!</v>
      </c>
      <c r="AA21" s="204" t="str">
        <f t="shared" si="17"/>
        <v>#REF!</v>
      </c>
      <c r="AB21" s="204" t="str">
        <f t="shared" si="17"/>
        <v>#REF!</v>
      </c>
      <c r="AC21" s="204" t="str">
        <f t="shared" si="17"/>
        <v>#REF!</v>
      </c>
      <c r="AD21" s="204" t="str">
        <f t="shared" si="17"/>
        <v>#REF!</v>
      </c>
      <c r="AE21" s="204" t="str">
        <f t="shared" si="17"/>
        <v>#REF!</v>
      </c>
      <c r="AF21" s="204" t="str">
        <f t="shared" si="17"/>
        <v>#REF!</v>
      </c>
      <c r="AG21" s="204" t="str">
        <f t="shared" si="17"/>
        <v>#REF!</v>
      </c>
      <c r="AH21" s="204" t="str">
        <f t="shared" si="17"/>
        <v>#REF!</v>
      </c>
      <c r="AI21" s="204" t="str">
        <f t="shared" si="17"/>
        <v>#REF!</v>
      </c>
      <c r="AJ21" s="204" t="str">
        <f t="shared" si="17"/>
        <v>#REF!</v>
      </c>
      <c r="AK21" s="204" t="str">
        <f t="shared" si="17"/>
        <v>#REF!</v>
      </c>
      <c r="AL21" s="204" t="str">
        <f t="shared" si="17"/>
        <v>#REF!</v>
      </c>
      <c r="AM21" s="204" t="str">
        <f t="shared" si="17"/>
        <v>#REF!</v>
      </c>
      <c r="AN21" s="204" t="str">
        <f t="shared" si="17"/>
        <v>#REF!</v>
      </c>
      <c r="AO21" s="204" t="str">
        <f t="shared" si="17"/>
        <v>#REF!</v>
      </c>
      <c r="AP21" s="204" t="str">
        <f t="shared" si="17"/>
        <v>#REF!</v>
      </c>
      <c r="AQ21" s="204" t="str">
        <f t="shared" si="17"/>
        <v>#REF!</v>
      </c>
      <c r="AR21" s="204" t="str">
        <f t="shared" si="17"/>
        <v>#REF!</v>
      </c>
      <c r="AS21" s="204" t="str">
        <f t="shared" si="17"/>
        <v>#REF!</v>
      </c>
      <c r="AT21" s="204" t="str">
        <f t="shared" si="17"/>
        <v>#REF!</v>
      </c>
      <c r="AU21" s="204" t="str">
        <f t="shared" si="17"/>
        <v>#REF!</v>
      </c>
      <c r="AV21" s="204" t="str">
        <f t="shared" si="17"/>
        <v>#REF!</v>
      </c>
      <c r="AW21" s="67"/>
      <c r="AX21" s="90"/>
      <c r="AY21" s="90"/>
      <c r="AZ21" s="90"/>
      <c r="BA21" s="90"/>
      <c r="BB21" s="90"/>
      <c r="BC21" s="90"/>
      <c r="BD21" s="90"/>
      <c r="BE21" s="90"/>
      <c r="BF21" s="90"/>
      <c r="BG21" s="90"/>
      <c r="BH21" s="90"/>
      <c r="BI21" s="90"/>
      <c r="BJ21" s="90"/>
      <c r="BK21" s="90"/>
      <c r="BL21" s="90"/>
      <c r="BM21" s="90"/>
      <c r="BN21" s="90"/>
      <c r="BO21" s="90"/>
      <c r="BP21" s="90"/>
      <c r="BQ21" s="90"/>
    </row>
    <row r="22" ht="12.75" customHeight="1">
      <c r="A22" s="512"/>
      <c r="B22" s="67" t="s">
        <v>231</v>
      </c>
      <c r="C22" s="90"/>
      <c r="D22" s="90"/>
      <c r="E22" s="90"/>
      <c r="F22" s="90"/>
      <c r="G22" s="90"/>
      <c r="H22" s="90"/>
      <c r="I22" s="90"/>
      <c r="J22" s="114">
        <v>45648.1</v>
      </c>
      <c r="K22" s="205">
        <f t="shared" ref="K22:AV22" si="18">SUM(K14:K21)</f>
        <v>353083.43</v>
      </c>
      <c r="L22" s="205" t="str">
        <f t="shared" si="18"/>
        <v>#REF!</v>
      </c>
      <c r="M22" s="205" t="str">
        <f t="shared" si="18"/>
        <v>#REF!</v>
      </c>
      <c r="N22" s="205" t="str">
        <f t="shared" si="18"/>
        <v>#REF!</v>
      </c>
      <c r="O22" s="205" t="str">
        <f t="shared" si="18"/>
        <v>#REF!</v>
      </c>
      <c r="P22" s="205" t="str">
        <f t="shared" si="18"/>
        <v>#REF!</v>
      </c>
      <c r="Q22" s="205" t="str">
        <f t="shared" si="18"/>
        <v>#REF!</v>
      </c>
      <c r="R22" s="205" t="str">
        <f t="shared" si="18"/>
        <v>#REF!</v>
      </c>
      <c r="S22" s="205" t="str">
        <f t="shared" si="18"/>
        <v>#REF!</v>
      </c>
      <c r="T22" s="205" t="str">
        <f t="shared" si="18"/>
        <v>#REF!</v>
      </c>
      <c r="U22" s="205" t="str">
        <f t="shared" si="18"/>
        <v>#REF!</v>
      </c>
      <c r="V22" s="205" t="str">
        <f t="shared" si="18"/>
        <v>#REF!</v>
      </c>
      <c r="W22" s="205" t="str">
        <f t="shared" si="18"/>
        <v>#REF!</v>
      </c>
      <c r="X22" s="205" t="str">
        <f t="shared" si="18"/>
        <v>#REF!</v>
      </c>
      <c r="Y22" s="205" t="str">
        <f t="shared" si="18"/>
        <v>#REF!</v>
      </c>
      <c r="Z22" s="205" t="str">
        <f t="shared" si="18"/>
        <v>#REF!</v>
      </c>
      <c r="AA22" s="205" t="str">
        <f t="shared" si="18"/>
        <v>#REF!</v>
      </c>
      <c r="AB22" s="205" t="str">
        <f t="shared" si="18"/>
        <v>#REF!</v>
      </c>
      <c r="AC22" s="205" t="str">
        <f t="shared" si="18"/>
        <v>#REF!</v>
      </c>
      <c r="AD22" s="205" t="str">
        <f t="shared" si="18"/>
        <v>#REF!</v>
      </c>
      <c r="AE22" s="205" t="str">
        <f t="shared" si="18"/>
        <v>#REF!</v>
      </c>
      <c r="AF22" s="205" t="str">
        <f t="shared" si="18"/>
        <v>#REF!</v>
      </c>
      <c r="AG22" s="205" t="str">
        <f t="shared" si="18"/>
        <v>#REF!</v>
      </c>
      <c r="AH22" s="205" t="str">
        <f t="shared" si="18"/>
        <v>#REF!</v>
      </c>
      <c r="AI22" s="205" t="str">
        <f t="shared" si="18"/>
        <v>#REF!</v>
      </c>
      <c r="AJ22" s="205" t="str">
        <f t="shared" si="18"/>
        <v>#REF!</v>
      </c>
      <c r="AK22" s="205" t="str">
        <f t="shared" si="18"/>
        <v>#REF!</v>
      </c>
      <c r="AL22" s="205" t="str">
        <f t="shared" si="18"/>
        <v>#REF!</v>
      </c>
      <c r="AM22" s="205" t="str">
        <f t="shared" si="18"/>
        <v>#REF!</v>
      </c>
      <c r="AN22" s="205" t="str">
        <f t="shared" si="18"/>
        <v>#REF!</v>
      </c>
      <c r="AO22" s="205" t="str">
        <f t="shared" si="18"/>
        <v>#REF!</v>
      </c>
      <c r="AP22" s="205" t="str">
        <f t="shared" si="18"/>
        <v>#REF!</v>
      </c>
      <c r="AQ22" s="205" t="str">
        <f t="shared" si="18"/>
        <v>#REF!</v>
      </c>
      <c r="AR22" s="205" t="str">
        <f t="shared" si="18"/>
        <v>#REF!</v>
      </c>
      <c r="AS22" s="205" t="str">
        <f t="shared" si="18"/>
        <v>#REF!</v>
      </c>
      <c r="AT22" s="205" t="str">
        <f t="shared" si="18"/>
        <v>#REF!</v>
      </c>
      <c r="AU22" s="205" t="str">
        <f t="shared" si="18"/>
        <v>#REF!</v>
      </c>
      <c r="AV22" s="205" t="str">
        <f t="shared" si="18"/>
        <v>#REF!</v>
      </c>
      <c r="AW22" s="67"/>
      <c r="AX22" s="90"/>
      <c r="AY22" s="90"/>
      <c r="AZ22" s="90"/>
      <c r="BA22" s="90"/>
      <c r="BB22" s="90"/>
      <c r="BC22" s="90"/>
      <c r="BD22" s="90"/>
      <c r="BE22" s="90"/>
      <c r="BF22" s="90"/>
      <c r="BG22" s="90"/>
      <c r="BH22" s="90"/>
      <c r="BI22" s="90"/>
      <c r="BJ22" s="90"/>
      <c r="BK22" s="90"/>
      <c r="BL22" s="90"/>
      <c r="BM22" s="90"/>
      <c r="BN22" s="90"/>
      <c r="BO22" s="90"/>
      <c r="BP22" s="90"/>
      <c r="BQ22" s="90"/>
    </row>
    <row r="23" ht="12.75" customHeight="1">
      <c r="A23" s="512"/>
      <c r="B23" s="90"/>
      <c r="C23" s="90"/>
      <c r="D23" s="90"/>
      <c r="E23" s="90"/>
      <c r="F23" s="90"/>
      <c r="G23" s="90"/>
      <c r="H23" s="90"/>
      <c r="I23" s="90"/>
      <c r="J23" s="63"/>
      <c r="K23" s="205"/>
      <c r="L23" s="205"/>
      <c r="M23" s="205"/>
      <c r="N23" s="205"/>
      <c r="O23" s="205"/>
      <c r="P23" s="205"/>
      <c r="Q23" s="205"/>
      <c r="R23" s="205"/>
      <c r="S23" s="205"/>
      <c r="T23" s="205"/>
      <c r="U23" s="205"/>
      <c r="V23" s="205"/>
      <c r="W23" s="205"/>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c r="AU23" s="205"/>
      <c r="AV23" s="205"/>
      <c r="AW23" s="67"/>
      <c r="AX23" s="90"/>
      <c r="AY23" s="90"/>
      <c r="AZ23" s="90"/>
      <c r="BA23" s="90"/>
      <c r="BB23" s="90"/>
      <c r="BC23" s="90"/>
      <c r="BD23" s="90"/>
      <c r="BE23" s="90"/>
      <c r="BF23" s="90"/>
      <c r="BG23" s="90"/>
      <c r="BH23" s="90"/>
      <c r="BI23" s="90"/>
      <c r="BJ23" s="90"/>
      <c r="BK23" s="90"/>
      <c r="BL23" s="90"/>
      <c r="BM23" s="90"/>
      <c r="BN23" s="90"/>
      <c r="BO23" s="90"/>
      <c r="BP23" s="90"/>
      <c r="BQ23" s="90"/>
    </row>
    <row r="24" ht="12.75" customHeight="1">
      <c r="A24" s="512"/>
      <c r="B24" s="67" t="s">
        <v>194</v>
      </c>
      <c r="C24" s="90"/>
      <c r="D24" s="90"/>
      <c r="E24" s="90"/>
      <c r="F24" s="90"/>
      <c r="G24" s="90"/>
      <c r="H24" s="90"/>
      <c r="I24" s="90"/>
      <c r="J24" s="115">
        <v>79351.9</v>
      </c>
      <c r="K24" s="115">
        <f t="shared" ref="K24:AV24" si="19">K11-K22</f>
        <v>-203083.43</v>
      </c>
      <c r="L24" s="115" t="str">
        <f t="shared" si="19"/>
        <v>#REF!</v>
      </c>
      <c r="M24" s="115" t="str">
        <f t="shared" si="19"/>
        <v>#REF!</v>
      </c>
      <c r="N24" s="115" t="str">
        <f t="shared" si="19"/>
        <v>#REF!</v>
      </c>
      <c r="O24" s="115" t="str">
        <f t="shared" si="19"/>
        <v>#REF!</v>
      </c>
      <c r="P24" s="115" t="str">
        <f t="shared" si="19"/>
        <v>#REF!</v>
      </c>
      <c r="Q24" s="115" t="str">
        <f t="shared" si="19"/>
        <v>#REF!</v>
      </c>
      <c r="R24" s="115" t="str">
        <f t="shared" si="19"/>
        <v>#REF!</v>
      </c>
      <c r="S24" s="115" t="str">
        <f t="shared" si="19"/>
        <v>#REF!</v>
      </c>
      <c r="T24" s="115" t="str">
        <f t="shared" si="19"/>
        <v>#REF!</v>
      </c>
      <c r="U24" s="115" t="str">
        <f t="shared" si="19"/>
        <v>#REF!</v>
      </c>
      <c r="V24" s="115" t="str">
        <f t="shared" si="19"/>
        <v>#REF!</v>
      </c>
      <c r="W24" s="115" t="str">
        <f t="shared" si="19"/>
        <v>#REF!</v>
      </c>
      <c r="X24" s="115" t="str">
        <f t="shared" si="19"/>
        <v>#REF!</v>
      </c>
      <c r="Y24" s="115" t="str">
        <f t="shared" si="19"/>
        <v>#REF!</v>
      </c>
      <c r="Z24" s="115" t="str">
        <f t="shared" si="19"/>
        <v>#REF!</v>
      </c>
      <c r="AA24" s="115" t="str">
        <f t="shared" si="19"/>
        <v>#REF!</v>
      </c>
      <c r="AB24" s="115" t="str">
        <f t="shared" si="19"/>
        <v>#REF!</v>
      </c>
      <c r="AC24" s="115" t="str">
        <f t="shared" si="19"/>
        <v>#REF!</v>
      </c>
      <c r="AD24" s="115" t="str">
        <f t="shared" si="19"/>
        <v>#REF!</v>
      </c>
      <c r="AE24" s="115" t="str">
        <f t="shared" si="19"/>
        <v>#REF!</v>
      </c>
      <c r="AF24" s="115" t="str">
        <f t="shared" si="19"/>
        <v>#REF!</v>
      </c>
      <c r="AG24" s="115" t="str">
        <f t="shared" si="19"/>
        <v>#REF!</v>
      </c>
      <c r="AH24" s="115" t="str">
        <f t="shared" si="19"/>
        <v>#REF!</v>
      </c>
      <c r="AI24" s="115" t="str">
        <f t="shared" si="19"/>
        <v>#REF!</v>
      </c>
      <c r="AJ24" s="115" t="str">
        <f t="shared" si="19"/>
        <v>#REF!</v>
      </c>
      <c r="AK24" s="115" t="str">
        <f t="shared" si="19"/>
        <v>#REF!</v>
      </c>
      <c r="AL24" s="115" t="str">
        <f t="shared" si="19"/>
        <v>#REF!</v>
      </c>
      <c r="AM24" s="115" t="str">
        <f t="shared" si="19"/>
        <v>#REF!</v>
      </c>
      <c r="AN24" s="115" t="str">
        <f t="shared" si="19"/>
        <v>#REF!</v>
      </c>
      <c r="AO24" s="115" t="str">
        <f t="shared" si="19"/>
        <v>#REF!</v>
      </c>
      <c r="AP24" s="115" t="str">
        <f t="shared" si="19"/>
        <v>#REF!</v>
      </c>
      <c r="AQ24" s="115" t="str">
        <f t="shared" si="19"/>
        <v>#REF!</v>
      </c>
      <c r="AR24" s="115" t="str">
        <f t="shared" si="19"/>
        <v>#REF!</v>
      </c>
      <c r="AS24" s="115" t="str">
        <f t="shared" si="19"/>
        <v>#REF!</v>
      </c>
      <c r="AT24" s="115" t="str">
        <f t="shared" si="19"/>
        <v>#REF!</v>
      </c>
      <c r="AU24" s="115" t="str">
        <f t="shared" si="19"/>
        <v>#REF!</v>
      </c>
      <c r="AV24" s="115" t="str">
        <f t="shared" si="19"/>
        <v>#REF!</v>
      </c>
      <c r="AW24" s="67"/>
      <c r="AX24" s="90"/>
      <c r="AY24" s="90"/>
      <c r="AZ24" s="90"/>
      <c r="BA24" s="90"/>
      <c r="BB24" s="90"/>
      <c r="BC24" s="90"/>
      <c r="BD24" s="90"/>
      <c r="BE24" s="90"/>
      <c r="BF24" s="90"/>
      <c r="BG24" s="90"/>
      <c r="BH24" s="90"/>
      <c r="BI24" s="90"/>
      <c r="BJ24" s="90"/>
      <c r="BK24" s="90"/>
      <c r="BL24" s="90"/>
      <c r="BM24" s="90"/>
      <c r="BN24" s="90"/>
      <c r="BO24" s="90"/>
      <c r="BP24" s="90"/>
      <c r="BQ24" s="90"/>
    </row>
    <row r="25" ht="12.75" customHeight="1">
      <c r="A25" s="512"/>
      <c r="B25" s="67"/>
      <c r="C25" s="67" t="s">
        <v>195</v>
      </c>
      <c r="D25" s="90"/>
      <c r="E25" s="90"/>
      <c r="F25" s="90"/>
      <c r="G25" s="90"/>
      <c r="H25" s="90"/>
      <c r="I25" s="90"/>
      <c r="J25" s="115">
        <v>79351.9</v>
      </c>
      <c r="K25" s="115">
        <f>K24+J24</f>
        <v>-123731.53</v>
      </c>
      <c r="L25" s="115" t="str">
        <f t="shared" ref="L25:AV25" si="20">L24+K25</f>
        <v>#REF!</v>
      </c>
      <c r="M25" s="115" t="str">
        <f t="shared" si="20"/>
        <v>#REF!</v>
      </c>
      <c r="N25" s="115" t="str">
        <f t="shared" si="20"/>
        <v>#REF!</v>
      </c>
      <c r="O25" s="115" t="str">
        <f t="shared" si="20"/>
        <v>#REF!</v>
      </c>
      <c r="P25" s="115" t="str">
        <f t="shared" si="20"/>
        <v>#REF!</v>
      </c>
      <c r="Q25" s="115" t="str">
        <f t="shared" si="20"/>
        <v>#REF!</v>
      </c>
      <c r="R25" s="115" t="str">
        <f t="shared" si="20"/>
        <v>#REF!</v>
      </c>
      <c r="S25" s="115" t="str">
        <f t="shared" si="20"/>
        <v>#REF!</v>
      </c>
      <c r="T25" s="115" t="str">
        <f t="shared" si="20"/>
        <v>#REF!</v>
      </c>
      <c r="U25" s="115" t="str">
        <f t="shared" si="20"/>
        <v>#REF!</v>
      </c>
      <c r="V25" s="115" t="str">
        <f t="shared" si="20"/>
        <v>#REF!</v>
      </c>
      <c r="W25" s="115" t="str">
        <f t="shared" si="20"/>
        <v>#REF!</v>
      </c>
      <c r="X25" s="115" t="str">
        <f t="shared" si="20"/>
        <v>#REF!</v>
      </c>
      <c r="Y25" s="115" t="str">
        <f t="shared" si="20"/>
        <v>#REF!</v>
      </c>
      <c r="Z25" s="115" t="str">
        <f t="shared" si="20"/>
        <v>#REF!</v>
      </c>
      <c r="AA25" s="115" t="str">
        <f t="shared" si="20"/>
        <v>#REF!</v>
      </c>
      <c r="AB25" s="115" t="str">
        <f t="shared" si="20"/>
        <v>#REF!</v>
      </c>
      <c r="AC25" s="115" t="str">
        <f t="shared" si="20"/>
        <v>#REF!</v>
      </c>
      <c r="AD25" s="115" t="str">
        <f t="shared" si="20"/>
        <v>#REF!</v>
      </c>
      <c r="AE25" s="115" t="str">
        <f t="shared" si="20"/>
        <v>#REF!</v>
      </c>
      <c r="AF25" s="115" t="str">
        <f t="shared" si="20"/>
        <v>#REF!</v>
      </c>
      <c r="AG25" s="115" t="str">
        <f t="shared" si="20"/>
        <v>#REF!</v>
      </c>
      <c r="AH25" s="115" t="str">
        <f t="shared" si="20"/>
        <v>#REF!</v>
      </c>
      <c r="AI25" s="115" t="str">
        <f t="shared" si="20"/>
        <v>#REF!</v>
      </c>
      <c r="AJ25" s="115" t="str">
        <f t="shared" si="20"/>
        <v>#REF!</v>
      </c>
      <c r="AK25" s="115" t="str">
        <f t="shared" si="20"/>
        <v>#REF!</v>
      </c>
      <c r="AL25" s="115" t="str">
        <f t="shared" si="20"/>
        <v>#REF!</v>
      </c>
      <c r="AM25" s="115" t="str">
        <f t="shared" si="20"/>
        <v>#REF!</v>
      </c>
      <c r="AN25" s="115" t="str">
        <f t="shared" si="20"/>
        <v>#REF!</v>
      </c>
      <c r="AO25" s="115" t="str">
        <f t="shared" si="20"/>
        <v>#REF!</v>
      </c>
      <c r="AP25" s="115" t="str">
        <f t="shared" si="20"/>
        <v>#REF!</v>
      </c>
      <c r="AQ25" s="115" t="str">
        <f t="shared" si="20"/>
        <v>#REF!</v>
      </c>
      <c r="AR25" s="115" t="str">
        <f t="shared" si="20"/>
        <v>#REF!</v>
      </c>
      <c r="AS25" s="115" t="str">
        <f t="shared" si="20"/>
        <v>#REF!</v>
      </c>
      <c r="AT25" s="115" t="str">
        <f t="shared" si="20"/>
        <v>#REF!</v>
      </c>
      <c r="AU25" s="115" t="str">
        <f t="shared" si="20"/>
        <v>#REF!</v>
      </c>
      <c r="AV25" s="115" t="str">
        <f t="shared" si="20"/>
        <v>#REF!</v>
      </c>
      <c r="AW25" s="67"/>
      <c r="AX25" s="90"/>
      <c r="AY25" s="90"/>
      <c r="AZ25" s="90"/>
      <c r="BA25" s="90"/>
      <c r="BB25" s="90"/>
      <c r="BC25" s="90"/>
      <c r="BD25" s="90"/>
      <c r="BE25" s="90"/>
      <c r="BF25" s="90"/>
      <c r="BG25" s="90"/>
      <c r="BH25" s="90"/>
      <c r="BI25" s="90"/>
      <c r="BJ25" s="90"/>
      <c r="BK25" s="90"/>
      <c r="BL25" s="90"/>
      <c r="BM25" s="90"/>
      <c r="BN25" s="90"/>
      <c r="BO25" s="90"/>
      <c r="BP25" s="90"/>
      <c r="BQ25" s="90"/>
    </row>
    <row r="26" ht="12.75" customHeight="1">
      <c r="A26" s="512"/>
      <c r="B26" s="67"/>
      <c r="C26" s="67" t="s">
        <v>1177</v>
      </c>
      <c r="D26" s="90"/>
      <c r="E26" s="90"/>
      <c r="F26" s="90"/>
      <c r="G26" s="90"/>
      <c r="H26" s="90"/>
      <c r="I26" s="90"/>
      <c r="J26" s="187">
        <v>1.73833960230546</v>
      </c>
      <c r="K26" s="187">
        <f t="shared" ref="K26:AV26" si="21">K25/K22</f>
        <v>-0.3504314264</v>
      </c>
      <c r="L26" s="187" t="str">
        <f t="shared" si="21"/>
        <v>#REF!</v>
      </c>
      <c r="M26" s="187" t="str">
        <f t="shared" si="21"/>
        <v>#REF!</v>
      </c>
      <c r="N26" s="187" t="str">
        <f t="shared" si="21"/>
        <v>#REF!</v>
      </c>
      <c r="O26" s="187" t="str">
        <f t="shared" si="21"/>
        <v>#REF!</v>
      </c>
      <c r="P26" s="187" t="str">
        <f t="shared" si="21"/>
        <v>#REF!</v>
      </c>
      <c r="Q26" s="187" t="str">
        <f t="shared" si="21"/>
        <v>#REF!</v>
      </c>
      <c r="R26" s="187" t="str">
        <f t="shared" si="21"/>
        <v>#REF!</v>
      </c>
      <c r="S26" s="187" t="str">
        <f t="shared" si="21"/>
        <v>#REF!</v>
      </c>
      <c r="T26" s="187" t="str">
        <f t="shared" si="21"/>
        <v>#REF!</v>
      </c>
      <c r="U26" s="187" t="str">
        <f t="shared" si="21"/>
        <v>#REF!</v>
      </c>
      <c r="V26" s="187" t="str">
        <f t="shared" si="21"/>
        <v>#REF!</v>
      </c>
      <c r="W26" s="187" t="str">
        <f t="shared" si="21"/>
        <v>#REF!</v>
      </c>
      <c r="X26" s="187" t="str">
        <f t="shared" si="21"/>
        <v>#REF!</v>
      </c>
      <c r="Y26" s="187" t="str">
        <f t="shared" si="21"/>
        <v>#REF!</v>
      </c>
      <c r="Z26" s="187" t="str">
        <f t="shared" si="21"/>
        <v>#REF!</v>
      </c>
      <c r="AA26" s="187" t="str">
        <f t="shared" si="21"/>
        <v>#REF!</v>
      </c>
      <c r="AB26" s="187" t="str">
        <f t="shared" si="21"/>
        <v>#REF!</v>
      </c>
      <c r="AC26" s="187" t="str">
        <f t="shared" si="21"/>
        <v>#REF!</v>
      </c>
      <c r="AD26" s="187" t="str">
        <f t="shared" si="21"/>
        <v>#REF!</v>
      </c>
      <c r="AE26" s="187" t="str">
        <f t="shared" si="21"/>
        <v>#REF!</v>
      </c>
      <c r="AF26" s="187" t="str">
        <f t="shared" si="21"/>
        <v>#REF!</v>
      </c>
      <c r="AG26" s="187" t="str">
        <f t="shared" si="21"/>
        <v>#REF!</v>
      </c>
      <c r="AH26" s="187" t="str">
        <f t="shared" si="21"/>
        <v>#REF!</v>
      </c>
      <c r="AI26" s="187" t="str">
        <f t="shared" si="21"/>
        <v>#REF!</v>
      </c>
      <c r="AJ26" s="187" t="str">
        <f t="shared" si="21"/>
        <v>#REF!</v>
      </c>
      <c r="AK26" s="187" t="str">
        <f t="shared" si="21"/>
        <v>#REF!</v>
      </c>
      <c r="AL26" s="187" t="str">
        <f t="shared" si="21"/>
        <v>#REF!</v>
      </c>
      <c r="AM26" s="187" t="str">
        <f t="shared" si="21"/>
        <v>#REF!</v>
      </c>
      <c r="AN26" s="187" t="str">
        <f t="shared" si="21"/>
        <v>#REF!</v>
      </c>
      <c r="AO26" s="187" t="str">
        <f t="shared" si="21"/>
        <v>#REF!</v>
      </c>
      <c r="AP26" s="187" t="str">
        <f t="shared" si="21"/>
        <v>#REF!</v>
      </c>
      <c r="AQ26" s="187" t="str">
        <f t="shared" si="21"/>
        <v>#REF!</v>
      </c>
      <c r="AR26" s="187" t="str">
        <f t="shared" si="21"/>
        <v>#REF!</v>
      </c>
      <c r="AS26" s="187" t="str">
        <f t="shared" si="21"/>
        <v>#REF!</v>
      </c>
      <c r="AT26" s="187" t="str">
        <f t="shared" si="21"/>
        <v>#REF!</v>
      </c>
      <c r="AU26" s="187" t="str">
        <f t="shared" si="21"/>
        <v>#REF!</v>
      </c>
      <c r="AV26" s="187" t="str">
        <f t="shared" si="21"/>
        <v>#REF!</v>
      </c>
      <c r="AW26" s="67"/>
      <c r="AX26" s="90"/>
      <c r="AY26" s="90"/>
      <c r="AZ26" s="90"/>
      <c r="BA26" s="90"/>
      <c r="BB26" s="90"/>
      <c r="BC26" s="90"/>
      <c r="BD26" s="90"/>
      <c r="BE26" s="90"/>
      <c r="BF26" s="90"/>
      <c r="BG26" s="90"/>
      <c r="BH26" s="90"/>
      <c r="BI26" s="90"/>
      <c r="BJ26" s="90"/>
      <c r="BK26" s="90"/>
      <c r="BL26" s="90"/>
      <c r="BM26" s="90"/>
      <c r="BN26" s="90"/>
      <c r="BO26" s="90"/>
      <c r="BP26" s="90"/>
      <c r="BQ26" s="90"/>
    </row>
    <row r="27" ht="12.75" customHeight="1">
      <c r="A27" s="512"/>
      <c r="B27" s="67"/>
      <c r="C27" s="67"/>
      <c r="D27" s="90"/>
      <c r="E27" s="90"/>
      <c r="F27" s="90"/>
      <c r="G27" s="90"/>
      <c r="H27" s="90"/>
      <c r="I27" s="90"/>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114"/>
      <c r="AW27" s="67"/>
      <c r="AX27" s="90"/>
      <c r="AY27" s="90"/>
      <c r="AZ27" s="90"/>
      <c r="BA27" s="90"/>
      <c r="BB27" s="90"/>
      <c r="BC27" s="90"/>
      <c r="BD27" s="90"/>
      <c r="BE27" s="90"/>
      <c r="BF27" s="90"/>
      <c r="BG27" s="90"/>
      <c r="BH27" s="90"/>
      <c r="BI27" s="90"/>
      <c r="BJ27" s="90"/>
      <c r="BK27" s="90"/>
      <c r="BL27" s="90"/>
      <c r="BM27" s="90"/>
      <c r="BN27" s="90"/>
      <c r="BO27" s="90"/>
      <c r="BP27" s="90"/>
      <c r="BQ27" s="90"/>
    </row>
    <row r="28" ht="12.75" customHeight="1">
      <c r="A28" s="67"/>
      <c r="B28" s="67" t="s">
        <v>1178</v>
      </c>
      <c r="C28" s="67"/>
      <c r="D28" s="67"/>
      <c r="E28" s="67"/>
      <c r="F28" s="67"/>
      <c r="G28" s="67"/>
      <c r="H28" s="67"/>
      <c r="I28" s="67"/>
      <c r="J28" s="142">
        <v>79351.9</v>
      </c>
      <c r="K28" s="115">
        <f t="shared" ref="K28:AV28" si="22">J28+K24+K20</f>
        <v>-123731.53</v>
      </c>
      <c r="L28" s="115" t="str">
        <f t="shared" si="22"/>
        <v>#REF!</v>
      </c>
      <c r="M28" s="115" t="str">
        <f t="shared" si="22"/>
        <v>#REF!</v>
      </c>
      <c r="N28" s="115" t="str">
        <f t="shared" si="22"/>
        <v>#REF!</v>
      </c>
      <c r="O28" s="115" t="str">
        <f t="shared" si="22"/>
        <v>#REF!</v>
      </c>
      <c r="P28" s="115" t="str">
        <f t="shared" si="22"/>
        <v>#REF!</v>
      </c>
      <c r="Q28" s="115" t="str">
        <f t="shared" si="22"/>
        <v>#REF!</v>
      </c>
      <c r="R28" s="115" t="str">
        <f t="shared" si="22"/>
        <v>#REF!</v>
      </c>
      <c r="S28" s="115" t="str">
        <f t="shared" si="22"/>
        <v>#REF!</v>
      </c>
      <c r="T28" s="115" t="str">
        <f t="shared" si="22"/>
        <v>#REF!</v>
      </c>
      <c r="U28" s="115" t="str">
        <f t="shared" si="22"/>
        <v>#REF!</v>
      </c>
      <c r="V28" s="115" t="str">
        <f t="shared" si="22"/>
        <v>#REF!</v>
      </c>
      <c r="W28" s="115" t="str">
        <f t="shared" si="22"/>
        <v>#REF!</v>
      </c>
      <c r="X28" s="115" t="str">
        <f t="shared" si="22"/>
        <v>#REF!</v>
      </c>
      <c r="Y28" s="115" t="str">
        <f t="shared" si="22"/>
        <v>#REF!</v>
      </c>
      <c r="Z28" s="115" t="str">
        <f t="shared" si="22"/>
        <v>#REF!</v>
      </c>
      <c r="AA28" s="115" t="str">
        <f t="shared" si="22"/>
        <v>#REF!</v>
      </c>
      <c r="AB28" s="115" t="str">
        <f t="shared" si="22"/>
        <v>#REF!</v>
      </c>
      <c r="AC28" s="115" t="str">
        <f t="shared" si="22"/>
        <v>#REF!</v>
      </c>
      <c r="AD28" s="115" t="str">
        <f t="shared" si="22"/>
        <v>#REF!</v>
      </c>
      <c r="AE28" s="115" t="str">
        <f t="shared" si="22"/>
        <v>#REF!</v>
      </c>
      <c r="AF28" s="115" t="str">
        <f t="shared" si="22"/>
        <v>#REF!</v>
      </c>
      <c r="AG28" s="115" t="str">
        <f t="shared" si="22"/>
        <v>#REF!</v>
      </c>
      <c r="AH28" s="115" t="str">
        <f t="shared" si="22"/>
        <v>#REF!</v>
      </c>
      <c r="AI28" s="115" t="str">
        <f t="shared" si="22"/>
        <v>#REF!</v>
      </c>
      <c r="AJ28" s="115" t="str">
        <f t="shared" si="22"/>
        <v>#REF!</v>
      </c>
      <c r="AK28" s="115" t="str">
        <f t="shared" si="22"/>
        <v>#REF!</v>
      </c>
      <c r="AL28" s="115" t="str">
        <f t="shared" si="22"/>
        <v>#REF!</v>
      </c>
      <c r="AM28" s="115" t="str">
        <f t="shared" si="22"/>
        <v>#REF!</v>
      </c>
      <c r="AN28" s="115" t="str">
        <f t="shared" si="22"/>
        <v>#REF!</v>
      </c>
      <c r="AO28" s="115" t="str">
        <f t="shared" si="22"/>
        <v>#REF!</v>
      </c>
      <c r="AP28" s="115" t="str">
        <f t="shared" si="22"/>
        <v>#REF!</v>
      </c>
      <c r="AQ28" s="115" t="str">
        <f t="shared" si="22"/>
        <v>#REF!</v>
      </c>
      <c r="AR28" s="115" t="str">
        <f t="shared" si="22"/>
        <v>#REF!</v>
      </c>
      <c r="AS28" s="115" t="str">
        <f t="shared" si="22"/>
        <v>#REF!</v>
      </c>
      <c r="AT28" s="115" t="str">
        <f t="shared" si="22"/>
        <v>#REF!</v>
      </c>
      <c r="AU28" s="115" t="str">
        <f t="shared" si="22"/>
        <v>#REF!</v>
      </c>
      <c r="AV28" s="115" t="str">
        <f t="shared" si="22"/>
        <v>#REF!</v>
      </c>
      <c r="AW28" s="67"/>
      <c r="AX28" s="67"/>
      <c r="AY28" s="67"/>
      <c r="AZ28" s="67"/>
      <c r="BA28" s="67"/>
      <c r="BB28" s="67"/>
      <c r="BC28" s="67"/>
      <c r="BD28" s="67"/>
      <c r="BE28" s="67"/>
      <c r="BF28" s="67"/>
      <c r="BG28" s="67"/>
      <c r="BH28" s="67"/>
      <c r="BI28" s="67"/>
      <c r="BJ28" s="67"/>
      <c r="BK28" s="67"/>
      <c r="BL28" s="67"/>
      <c r="BM28" s="67"/>
      <c r="BN28" s="67"/>
      <c r="BO28" s="67"/>
      <c r="BP28" s="67"/>
      <c r="BQ28" s="67"/>
    </row>
    <row r="29" ht="12.75" customHeight="1">
      <c r="A29" s="90"/>
      <c r="C29" s="67" t="s">
        <v>1249</v>
      </c>
      <c r="K29" s="187">
        <f t="shared" ref="K29:AV29" si="23">K28/K22</f>
        <v>-0.3504314264</v>
      </c>
      <c r="L29" s="187" t="str">
        <f t="shared" si="23"/>
        <v>#REF!</v>
      </c>
      <c r="M29" s="187" t="str">
        <f t="shared" si="23"/>
        <v>#REF!</v>
      </c>
      <c r="N29" s="187" t="str">
        <f t="shared" si="23"/>
        <v>#REF!</v>
      </c>
      <c r="O29" s="187" t="str">
        <f t="shared" si="23"/>
        <v>#REF!</v>
      </c>
      <c r="P29" s="187" t="str">
        <f t="shared" si="23"/>
        <v>#REF!</v>
      </c>
      <c r="Q29" s="187" t="str">
        <f t="shared" si="23"/>
        <v>#REF!</v>
      </c>
      <c r="R29" s="187" t="str">
        <f t="shared" si="23"/>
        <v>#REF!</v>
      </c>
      <c r="S29" s="187" t="str">
        <f t="shared" si="23"/>
        <v>#REF!</v>
      </c>
      <c r="T29" s="187" t="str">
        <f t="shared" si="23"/>
        <v>#REF!</v>
      </c>
      <c r="U29" s="187" t="str">
        <f t="shared" si="23"/>
        <v>#REF!</v>
      </c>
      <c r="V29" s="187" t="str">
        <f t="shared" si="23"/>
        <v>#REF!</v>
      </c>
      <c r="W29" s="187" t="str">
        <f t="shared" si="23"/>
        <v>#REF!</v>
      </c>
      <c r="X29" s="187" t="str">
        <f t="shared" si="23"/>
        <v>#REF!</v>
      </c>
      <c r="Y29" s="187" t="str">
        <f t="shared" si="23"/>
        <v>#REF!</v>
      </c>
      <c r="Z29" s="187" t="str">
        <f t="shared" si="23"/>
        <v>#REF!</v>
      </c>
      <c r="AA29" s="187" t="str">
        <f t="shared" si="23"/>
        <v>#REF!</v>
      </c>
      <c r="AB29" s="187" t="str">
        <f t="shared" si="23"/>
        <v>#REF!</v>
      </c>
      <c r="AC29" s="187" t="str">
        <f t="shared" si="23"/>
        <v>#REF!</v>
      </c>
      <c r="AD29" s="187" t="str">
        <f t="shared" si="23"/>
        <v>#REF!</v>
      </c>
      <c r="AE29" s="187" t="str">
        <f t="shared" si="23"/>
        <v>#REF!</v>
      </c>
      <c r="AF29" s="187" t="str">
        <f t="shared" si="23"/>
        <v>#REF!</v>
      </c>
      <c r="AG29" s="187" t="str">
        <f t="shared" si="23"/>
        <v>#REF!</v>
      </c>
      <c r="AH29" s="187" t="str">
        <f t="shared" si="23"/>
        <v>#REF!</v>
      </c>
      <c r="AI29" s="187" t="str">
        <f t="shared" si="23"/>
        <v>#REF!</v>
      </c>
      <c r="AJ29" s="187" t="str">
        <f t="shared" si="23"/>
        <v>#REF!</v>
      </c>
      <c r="AK29" s="187" t="str">
        <f t="shared" si="23"/>
        <v>#REF!</v>
      </c>
      <c r="AL29" s="187" t="str">
        <f t="shared" si="23"/>
        <v>#REF!</v>
      </c>
      <c r="AM29" s="187" t="str">
        <f t="shared" si="23"/>
        <v>#REF!</v>
      </c>
      <c r="AN29" s="187" t="str">
        <f t="shared" si="23"/>
        <v>#REF!</v>
      </c>
      <c r="AO29" s="187" t="str">
        <f t="shared" si="23"/>
        <v>#REF!</v>
      </c>
      <c r="AP29" s="187" t="str">
        <f t="shared" si="23"/>
        <v>#REF!</v>
      </c>
      <c r="AQ29" s="187" t="str">
        <f t="shared" si="23"/>
        <v>#REF!</v>
      </c>
      <c r="AR29" s="187" t="str">
        <f t="shared" si="23"/>
        <v>#REF!</v>
      </c>
      <c r="AS29" s="187" t="str">
        <f t="shared" si="23"/>
        <v>#REF!</v>
      </c>
      <c r="AT29" s="187" t="str">
        <f t="shared" si="23"/>
        <v>#REF!</v>
      </c>
      <c r="AU29" s="187" t="str">
        <f t="shared" si="23"/>
        <v>#REF!</v>
      </c>
      <c r="AV29" s="187" t="str">
        <f t="shared" si="23"/>
        <v>#REF!</v>
      </c>
      <c r="AX29" s="90"/>
      <c r="AY29" s="90"/>
      <c r="AZ29" s="90"/>
      <c r="BA29" s="90"/>
      <c r="BB29" s="90"/>
      <c r="BC29" s="90"/>
      <c r="BD29" s="90"/>
      <c r="BE29" s="90"/>
      <c r="BF29" s="90"/>
      <c r="BG29" s="90"/>
      <c r="BH29" s="90"/>
      <c r="BI29" s="90"/>
      <c r="BJ29" s="90"/>
      <c r="BK29" s="90"/>
      <c r="BL29" s="90"/>
      <c r="BM29" s="90"/>
      <c r="BN29" s="90"/>
      <c r="BO29" s="90"/>
      <c r="BP29" s="90"/>
      <c r="BQ29" s="90"/>
    </row>
    <row r="30" ht="12.75" customHeight="1">
      <c r="A30" s="90"/>
      <c r="AX30" s="90"/>
      <c r="AY30" s="90"/>
      <c r="AZ30" s="90"/>
      <c r="BA30" s="90"/>
      <c r="BB30" s="90"/>
      <c r="BC30" s="90"/>
      <c r="BD30" s="90"/>
      <c r="BE30" s="90"/>
      <c r="BF30" s="90"/>
      <c r="BG30" s="90"/>
      <c r="BH30" s="90"/>
      <c r="BI30" s="90"/>
      <c r="BJ30" s="90"/>
      <c r="BK30" s="90"/>
      <c r="BL30" s="90"/>
      <c r="BM30" s="90"/>
      <c r="BN30" s="90"/>
      <c r="BO30" s="90"/>
      <c r="BP30" s="90"/>
      <c r="BQ30" s="90"/>
    </row>
    <row r="31" ht="12.75" customHeight="1">
      <c r="A31" s="512"/>
      <c r="B31" s="67" t="s">
        <v>196</v>
      </c>
      <c r="C31" s="90"/>
      <c r="D31" s="90"/>
      <c r="E31" s="90"/>
      <c r="F31" s="90"/>
      <c r="G31" s="90"/>
      <c r="H31" s="90"/>
      <c r="I31" s="90"/>
      <c r="J31" s="115">
        <v>79351.9</v>
      </c>
      <c r="K31" s="115" t="str">
        <f t="shared" ref="K31:AV31" si="24">K483</f>
        <v>#REF!</v>
      </c>
      <c r="L31" s="115" t="str">
        <f t="shared" si="24"/>
        <v>#REF!</v>
      </c>
      <c r="M31" s="115" t="str">
        <f t="shared" si="24"/>
        <v>#REF!</v>
      </c>
      <c r="N31" s="115" t="str">
        <f t="shared" si="24"/>
        <v>#REF!</v>
      </c>
      <c r="O31" s="115" t="str">
        <f t="shared" si="24"/>
        <v>#REF!</v>
      </c>
      <c r="P31" s="115" t="str">
        <f t="shared" si="24"/>
        <v>#REF!</v>
      </c>
      <c r="Q31" s="115" t="str">
        <f t="shared" si="24"/>
        <v>#REF!</v>
      </c>
      <c r="R31" s="115" t="str">
        <f t="shared" si="24"/>
        <v>#REF!</v>
      </c>
      <c r="S31" s="115" t="str">
        <f t="shared" si="24"/>
        <v>#REF!</v>
      </c>
      <c r="T31" s="115" t="str">
        <f t="shared" si="24"/>
        <v>#REF!</v>
      </c>
      <c r="U31" s="115" t="str">
        <f t="shared" si="24"/>
        <v>#REF!</v>
      </c>
      <c r="V31" s="115" t="str">
        <f t="shared" si="24"/>
        <v>#REF!</v>
      </c>
      <c r="W31" s="115" t="str">
        <f t="shared" si="24"/>
        <v>#REF!</v>
      </c>
      <c r="X31" s="115" t="str">
        <f t="shared" si="24"/>
        <v>#REF!</v>
      </c>
      <c r="Y31" s="115" t="str">
        <f t="shared" si="24"/>
        <v>#REF!</v>
      </c>
      <c r="Z31" s="115" t="str">
        <f t="shared" si="24"/>
        <v>#REF!</v>
      </c>
      <c r="AA31" s="115" t="str">
        <f t="shared" si="24"/>
        <v>#REF!</v>
      </c>
      <c r="AB31" s="115" t="str">
        <f t="shared" si="24"/>
        <v>#REF!</v>
      </c>
      <c r="AC31" s="115" t="str">
        <f t="shared" si="24"/>
        <v>#REF!</v>
      </c>
      <c r="AD31" s="115" t="str">
        <f t="shared" si="24"/>
        <v>#REF!</v>
      </c>
      <c r="AE31" s="115" t="str">
        <f t="shared" si="24"/>
        <v>#REF!</v>
      </c>
      <c r="AF31" s="115" t="str">
        <f t="shared" si="24"/>
        <v>#REF!</v>
      </c>
      <c r="AG31" s="115" t="str">
        <f t="shared" si="24"/>
        <v>#REF!</v>
      </c>
      <c r="AH31" s="115" t="str">
        <f t="shared" si="24"/>
        <v>#REF!</v>
      </c>
      <c r="AI31" s="115" t="str">
        <f t="shared" si="24"/>
        <v>#REF!</v>
      </c>
      <c r="AJ31" s="115" t="str">
        <f t="shared" si="24"/>
        <v>#REF!</v>
      </c>
      <c r="AK31" s="115" t="str">
        <f t="shared" si="24"/>
        <v>#REF!</v>
      </c>
      <c r="AL31" s="115" t="str">
        <f t="shared" si="24"/>
        <v>#REF!</v>
      </c>
      <c r="AM31" s="115" t="str">
        <f t="shared" si="24"/>
        <v>#REF!</v>
      </c>
      <c r="AN31" s="115" t="str">
        <f t="shared" si="24"/>
        <v>#REF!</v>
      </c>
      <c r="AO31" s="115" t="str">
        <f t="shared" si="24"/>
        <v>#REF!</v>
      </c>
      <c r="AP31" s="115" t="str">
        <f t="shared" si="24"/>
        <v>#REF!</v>
      </c>
      <c r="AQ31" s="115" t="str">
        <f t="shared" si="24"/>
        <v>#REF!</v>
      </c>
      <c r="AR31" s="115" t="str">
        <f t="shared" si="24"/>
        <v>#REF!</v>
      </c>
      <c r="AS31" s="115" t="str">
        <f t="shared" si="24"/>
        <v>#REF!</v>
      </c>
      <c r="AT31" s="115" t="str">
        <f t="shared" si="24"/>
        <v>#REF!</v>
      </c>
      <c r="AU31" s="115" t="str">
        <f t="shared" si="24"/>
        <v>#REF!</v>
      </c>
      <c r="AV31" s="115" t="str">
        <f t="shared" si="24"/>
        <v>#REF!</v>
      </c>
      <c r="AW31" s="67"/>
      <c r="AX31" s="90"/>
      <c r="AY31" s="90"/>
      <c r="AZ31" s="90"/>
      <c r="BA31" s="90"/>
      <c r="BB31" s="90"/>
      <c r="BC31" s="90"/>
      <c r="BD31" s="90"/>
      <c r="BE31" s="90"/>
      <c r="BF31" s="90"/>
      <c r="BG31" s="90"/>
      <c r="BH31" s="90"/>
      <c r="BI31" s="90"/>
      <c r="BJ31" s="90"/>
      <c r="BK31" s="90"/>
      <c r="BL31" s="90"/>
      <c r="BM31" s="90"/>
      <c r="BN31" s="90"/>
      <c r="BO31" s="90"/>
      <c r="BP31" s="90"/>
      <c r="BQ31" s="90"/>
    </row>
    <row r="32" ht="12.75" customHeight="1">
      <c r="A32" s="512"/>
      <c r="B32" s="67"/>
      <c r="C32" s="67" t="s">
        <v>633</v>
      </c>
      <c r="D32" s="90"/>
      <c r="E32" s="90"/>
      <c r="F32" s="90"/>
      <c r="G32" s="90"/>
      <c r="H32" s="90"/>
      <c r="I32" s="90"/>
      <c r="J32" s="115">
        <v>0.0</v>
      </c>
      <c r="K32" s="115" t="str">
        <f t="shared" ref="K32:AV32" si="25">K461</f>
        <v>#REF!</v>
      </c>
      <c r="L32" s="115" t="str">
        <f t="shared" si="25"/>
        <v>#REF!</v>
      </c>
      <c r="M32" s="115" t="str">
        <f t="shared" si="25"/>
        <v>#REF!</v>
      </c>
      <c r="N32" s="115" t="str">
        <f t="shared" si="25"/>
        <v>#REF!</v>
      </c>
      <c r="O32" s="115" t="str">
        <f t="shared" si="25"/>
        <v>#REF!</v>
      </c>
      <c r="P32" s="115" t="str">
        <f t="shared" si="25"/>
        <v>#REF!</v>
      </c>
      <c r="Q32" s="115" t="str">
        <f t="shared" si="25"/>
        <v>#REF!</v>
      </c>
      <c r="R32" s="115" t="str">
        <f t="shared" si="25"/>
        <v>#REF!</v>
      </c>
      <c r="S32" s="115" t="str">
        <f t="shared" si="25"/>
        <v>#REF!</v>
      </c>
      <c r="T32" s="115" t="str">
        <f t="shared" si="25"/>
        <v>#REF!</v>
      </c>
      <c r="U32" s="115" t="str">
        <f t="shared" si="25"/>
        <v>#REF!</v>
      </c>
      <c r="V32" s="115" t="str">
        <f t="shared" si="25"/>
        <v>#REF!</v>
      </c>
      <c r="W32" s="115" t="str">
        <f t="shared" si="25"/>
        <v>#REF!</v>
      </c>
      <c r="X32" s="115" t="str">
        <f t="shared" si="25"/>
        <v>#REF!</v>
      </c>
      <c r="Y32" s="115" t="str">
        <f t="shared" si="25"/>
        <v>#REF!</v>
      </c>
      <c r="Z32" s="115" t="str">
        <f t="shared" si="25"/>
        <v>#REF!</v>
      </c>
      <c r="AA32" s="115" t="str">
        <f t="shared" si="25"/>
        <v>#REF!</v>
      </c>
      <c r="AB32" s="115" t="str">
        <f t="shared" si="25"/>
        <v>#REF!</v>
      </c>
      <c r="AC32" s="115" t="str">
        <f t="shared" si="25"/>
        <v>#REF!</v>
      </c>
      <c r="AD32" s="115" t="str">
        <f t="shared" si="25"/>
        <v>#REF!</v>
      </c>
      <c r="AE32" s="115" t="str">
        <f t="shared" si="25"/>
        <v>#REF!</v>
      </c>
      <c r="AF32" s="115" t="str">
        <f t="shared" si="25"/>
        <v>#REF!</v>
      </c>
      <c r="AG32" s="115" t="str">
        <f t="shared" si="25"/>
        <v>#REF!</v>
      </c>
      <c r="AH32" s="115" t="str">
        <f t="shared" si="25"/>
        <v>#REF!</v>
      </c>
      <c r="AI32" s="115" t="str">
        <f t="shared" si="25"/>
        <v>#REF!</v>
      </c>
      <c r="AJ32" s="115" t="str">
        <f t="shared" si="25"/>
        <v>#REF!</v>
      </c>
      <c r="AK32" s="115" t="str">
        <f t="shared" si="25"/>
        <v>#REF!</v>
      </c>
      <c r="AL32" s="115" t="str">
        <f t="shared" si="25"/>
        <v>#REF!</v>
      </c>
      <c r="AM32" s="115" t="str">
        <f t="shared" si="25"/>
        <v>#REF!</v>
      </c>
      <c r="AN32" s="115" t="str">
        <f t="shared" si="25"/>
        <v>#REF!</v>
      </c>
      <c r="AO32" s="115" t="str">
        <f t="shared" si="25"/>
        <v>#REF!</v>
      </c>
      <c r="AP32" s="115" t="str">
        <f t="shared" si="25"/>
        <v>#REF!</v>
      </c>
      <c r="AQ32" s="115" t="str">
        <f t="shared" si="25"/>
        <v>#REF!</v>
      </c>
      <c r="AR32" s="115" t="str">
        <f t="shared" si="25"/>
        <v>#REF!</v>
      </c>
      <c r="AS32" s="115" t="str">
        <f t="shared" si="25"/>
        <v>#REF!</v>
      </c>
      <c r="AT32" s="115" t="str">
        <f t="shared" si="25"/>
        <v>#REF!</v>
      </c>
      <c r="AU32" s="115" t="str">
        <f t="shared" si="25"/>
        <v>#REF!</v>
      </c>
      <c r="AV32" s="115" t="str">
        <f t="shared" si="25"/>
        <v>#REF!</v>
      </c>
      <c r="AW32" s="67"/>
      <c r="AX32" s="90"/>
      <c r="AY32" s="90"/>
      <c r="AZ32" s="90"/>
      <c r="BA32" s="90"/>
      <c r="BB32" s="90"/>
      <c r="BC32" s="90"/>
      <c r="BD32" s="90"/>
      <c r="BE32" s="90"/>
      <c r="BF32" s="90"/>
      <c r="BG32" s="90"/>
      <c r="BH32" s="90"/>
      <c r="BI32" s="90"/>
      <c r="BJ32" s="90"/>
      <c r="BK32" s="90"/>
      <c r="BL32" s="90"/>
      <c r="BM32" s="90"/>
      <c r="BN32" s="90"/>
      <c r="BO32" s="90"/>
      <c r="BP32" s="90"/>
      <c r="BQ32" s="90"/>
    </row>
    <row r="33" ht="12.75" customHeight="1">
      <c r="A33" s="511"/>
      <c r="B33" s="67"/>
      <c r="C33" s="67"/>
      <c r="D33" s="90"/>
      <c r="E33" s="90"/>
      <c r="F33" s="90"/>
      <c r="G33" s="90"/>
      <c r="H33" s="90"/>
      <c r="I33" s="90"/>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67"/>
      <c r="AX33" s="90"/>
      <c r="AY33" s="90"/>
      <c r="AZ33" s="90"/>
      <c r="BA33" s="90"/>
      <c r="BB33" s="90"/>
      <c r="BC33" s="90"/>
      <c r="BD33" s="90"/>
      <c r="BE33" s="90"/>
      <c r="BF33" s="90"/>
      <c r="BG33" s="90"/>
      <c r="BH33" s="90"/>
      <c r="BI33" s="90"/>
      <c r="BJ33" s="90"/>
      <c r="BK33" s="90"/>
      <c r="BL33" s="90"/>
      <c r="BM33" s="90"/>
      <c r="BN33" s="90"/>
      <c r="BO33" s="90"/>
      <c r="BP33" s="90"/>
      <c r="BQ33" s="90"/>
    </row>
    <row r="34" ht="12.75" customHeight="1">
      <c r="A34" s="105" t="s">
        <v>634</v>
      </c>
      <c r="B34" s="253"/>
      <c r="C34" s="253"/>
      <c r="D34" s="253"/>
      <c r="E34" s="253"/>
      <c r="F34" s="253"/>
      <c r="G34" s="253"/>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t="s">
        <v>1179</v>
      </c>
      <c r="AX34" s="90"/>
      <c r="AY34" s="90"/>
      <c r="AZ34" s="90"/>
      <c r="BA34" s="90"/>
      <c r="BB34" s="90"/>
      <c r="BC34" s="90"/>
      <c r="BD34" s="90"/>
      <c r="BE34" s="90"/>
      <c r="BF34" s="90"/>
      <c r="BG34" s="90"/>
      <c r="BH34" s="90"/>
      <c r="BI34" s="90"/>
      <c r="BJ34" s="90"/>
      <c r="BK34" s="90"/>
      <c r="BL34" s="90"/>
      <c r="BM34" s="90"/>
      <c r="BN34" s="90"/>
      <c r="BO34" s="90"/>
      <c r="BP34" s="90"/>
      <c r="BQ34" s="90"/>
    </row>
    <row r="35" ht="12.75" hidden="1" customHeight="1" outlineLevel="1">
      <c r="A35" s="515"/>
      <c r="B35" s="90"/>
      <c r="C35" s="90"/>
      <c r="D35" s="90"/>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row>
    <row r="36" ht="12.75" hidden="1" customHeight="1" outlineLevel="1">
      <c r="A36" s="515"/>
      <c r="B36" s="90" t="s">
        <v>635</v>
      </c>
      <c r="C36" s="90"/>
      <c r="D36" s="90"/>
      <c r="E36" s="90"/>
      <c r="F36" s="90"/>
      <c r="G36" s="90"/>
      <c r="H36" s="516"/>
      <c r="I36" s="516"/>
      <c r="J36" s="516"/>
      <c r="K36" s="102">
        <v>0.0</v>
      </c>
      <c r="L36" s="102">
        <f>'RS2'!K36</f>
        <v>180</v>
      </c>
      <c r="M36" s="102">
        <f>'RS2'!L36</f>
        <v>180</v>
      </c>
      <c r="N36" s="102">
        <f>'RS2'!M36</f>
        <v>180</v>
      </c>
      <c r="O36" s="102">
        <f>'RS2'!N36</f>
        <v>180</v>
      </c>
      <c r="P36" s="102">
        <f>'RS2'!O36</f>
        <v>180</v>
      </c>
      <c r="Q36" s="102">
        <f>'RS2'!P36</f>
        <v>180</v>
      </c>
      <c r="R36" s="102">
        <f>'RS2'!Q36</f>
        <v>180</v>
      </c>
      <c r="S36" s="102">
        <f>'RS2'!R36</f>
        <v>180</v>
      </c>
      <c r="T36" s="102">
        <f>'RS2'!S36</f>
        <v>180</v>
      </c>
      <c r="U36" s="102">
        <f>'RS2'!T36</f>
        <v>180</v>
      </c>
      <c r="V36" s="102">
        <f>'RS2'!U36</f>
        <v>180</v>
      </c>
      <c r="W36" s="102">
        <f>'RS2'!V36</f>
        <v>180</v>
      </c>
      <c r="X36" s="102">
        <f>'RS2'!W36</f>
        <v>180</v>
      </c>
      <c r="Y36" s="102">
        <f>'RS2'!X36</f>
        <v>180</v>
      </c>
      <c r="Z36" s="102">
        <f>'RS2'!Y36</f>
        <v>180</v>
      </c>
      <c r="AA36" s="102">
        <f>'RS2'!Z36</f>
        <v>180</v>
      </c>
      <c r="AB36" s="102">
        <f>'RS2'!AA36</f>
        <v>180</v>
      </c>
      <c r="AC36" s="102">
        <f>'RS2'!AB36</f>
        <v>180</v>
      </c>
      <c r="AD36" s="102">
        <f>'RS2'!AC36</f>
        <v>180</v>
      </c>
      <c r="AE36" s="102">
        <f>'RS2'!AD36</f>
        <v>180</v>
      </c>
      <c r="AF36" s="102">
        <f>'RS2'!AE36</f>
        <v>180</v>
      </c>
      <c r="AG36" s="102">
        <f>'RS2'!AF36</f>
        <v>180</v>
      </c>
      <c r="AH36" s="102">
        <f>'RS2'!AG36</f>
        <v>180</v>
      </c>
      <c r="AI36" s="102">
        <f>'RS2'!AH36</f>
        <v>180</v>
      </c>
      <c r="AJ36" s="102">
        <f>'RS2'!AI36</f>
        <v>180</v>
      </c>
      <c r="AK36" s="102">
        <f>'RS2'!AJ36</f>
        <v>180</v>
      </c>
      <c r="AL36" s="102">
        <f>'RS2'!AK36</f>
        <v>180</v>
      </c>
      <c r="AM36" s="102">
        <f>'RS2'!AL36</f>
        <v>180</v>
      </c>
      <c r="AN36" s="102">
        <f>'RS2'!AM36</f>
        <v>180</v>
      </c>
      <c r="AO36" s="102">
        <f>'RS2'!AN36</f>
        <v>180</v>
      </c>
      <c r="AP36" s="102">
        <f>'RS2'!AO36</f>
        <v>180</v>
      </c>
      <c r="AQ36" s="102">
        <f>'RS2'!AP36</f>
        <v>180</v>
      </c>
      <c r="AR36" s="102">
        <f>'RS2'!AQ36</f>
        <v>180</v>
      </c>
      <c r="AS36" s="102">
        <f>'RS2'!AR36</f>
        <v>180</v>
      </c>
      <c r="AT36" s="102">
        <f>'RS2'!AS36</f>
        <v>180</v>
      </c>
      <c r="AU36" s="102">
        <f>'RS2'!AT36</f>
        <v>180</v>
      </c>
      <c r="AV36" s="102">
        <f>'RS2'!AU36</f>
        <v>180</v>
      </c>
      <c r="AW36" s="90"/>
      <c r="AX36" s="90"/>
      <c r="AY36" s="90"/>
      <c r="AZ36" s="90"/>
      <c r="BA36" s="90"/>
      <c r="BB36" s="90"/>
      <c r="BC36" s="90"/>
      <c r="BD36" s="90"/>
      <c r="BE36" s="90"/>
      <c r="BF36" s="90"/>
      <c r="BG36" s="90"/>
      <c r="BH36" s="90"/>
      <c r="BI36" s="90"/>
      <c r="BJ36" s="90"/>
      <c r="BK36" s="90"/>
      <c r="BL36" s="90"/>
      <c r="BM36" s="90"/>
      <c r="BN36" s="90"/>
      <c r="BO36" s="90"/>
      <c r="BP36" s="90"/>
      <c r="BQ36" s="90"/>
    </row>
    <row r="37" ht="12.75" hidden="1" customHeight="1" outlineLevel="1">
      <c r="A37" s="515"/>
      <c r="B37" s="90" t="s">
        <v>636</v>
      </c>
      <c r="C37" s="90"/>
      <c r="D37" s="90"/>
      <c r="E37" s="90"/>
      <c r="F37" s="90"/>
      <c r="G37" s="90"/>
      <c r="H37" s="516"/>
      <c r="I37" s="516"/>
      <c r="J37" s="516"/>
      <c r="K37" s="102">
        <v>0.0</v>
      </c>
      <c r="L37" s="102">
        <f>'RS2'!K37</f>
        <v>2</v>
      </c>
      <c r="M37" s="102">
        <f>'RS2'!L37</f>
        <v>2</v>
      </c>
      <c r="N37" s="102">
        <f>'RS2'!M37</f>
        <v>2</v>
      </c>
      <c r="O37" s="102">
        <f>'RS2'!N37</f>
        <v>2</v>
      </c>
      <c r="P37" s="102">
        <f>'RS2'!O37</f>
        <v>2</v>
      </c>
      <c r="Q37" s="102">
        <f>'RS2'!P37</f>
        <v>2</v>
      </c>
      <c r="R37" s="102">
        <f>'RS2'!Q37</f>
        <v>2</v>
      </c>
      <c r="S37" s="102">
        <f>'RS2'!R37</f>
        <v>2</v>
      </c>
      <c r="T37" s="102">
        <f>'RS2'!S37</f>
        <v>2</v>
      </c>
      <c r="U37" s="102">
        <f>'RS2'!T37</f>
        <v>2</v>
      </c>
      <c r="V37" s="102">
        <f>'RS2'!U37</f>
        <v>2</v>
      </c>
      <c r="W37" s="102">
        <f>'RS2'!V37</f>
        <v>2</v>
      </c>
      <c r="X37" s="102">
        <f>'RS2'!W37</f>
        <v>2</v>
      </c>
      <c r="Y37" s="102">
        <f>'RS2'!X37</f>
        <v>2</v>
      </c>
      <c r="Z37" s="102">
        <f>'RS2'!Y37</f>
        <v>2</v>
      </c>
      <c r="AA37" s="102">
        <f>'RS2'!Z37</f>
        <v>2</v>
      </c>
      <c r="AB37" s="102">
        <f>'RS2'!AA37</f>
        <v>2</v>
      </c>
      <c r="AC37" s="102">
        <f>'RS2'!AB37</f>
        <v>2</v>
      </c>
      <c r="AD37" s="102">
        <f>'RS2'!AC37</f>
        <v>2</v>
      </c>
      <c r="AE37" s="102">
        <f>'RS2'!AD37</f>
        <v>2</v>
      </c>
      <c r="AF37" s="102">
        <f>'RS2'!AE37</f>
        <v>2</v>
      </c>
      <c r="AG37" s="102">
        <f>'RS2'!AF37</f>
        <v>2</v>
      </c>
      <c r="AH37" s="102">
        <f>'RS2'!AG37</f>
        <v>2</v>
      </c>
      <c r="AI37" s="102">
        <f>'RS2'!AH37</f>
        <v>2</v>
      </c>
      <c r="AJ37" s="102">
        <f>'RS2'!AI37</f>
        <v>2</v>
      </c>
      <c r="AK37" s="102">
        <f>'RS2'!AJ37</f>
        <v>2</v>
      </c>
      <c r="AL37" s="102">
        <f>'RS2'!AK37</f>
        <v>2</v>
      </c>
      <c r="AM37" s="102">
        <f>'RS2'!AL37</f>
        <v>2</v>
      </c>
      <c r="AN37" s="102">
        <f>'RS2'!AM37</f>
        <v>2</v>
      </c>
      <c r="AO37" s="102">
        <f>'RS2'!AN37</f>
        <v>2</v>
      </c>
      <c r="AP37" s="102">
        <f>'RS2'!AO37</f>
        <v>2</v>
      </c>
      <c r="AQ37" s="102">
        <f>'RS2'!AP37</f>
        <v>2</v>
      </c>
      <c r="AR37" s="102">
        <f>'RS2'!AQ37</f>
        <v>2</v>
      </c>
      <c r="AS37" s="102">
        <f>'RS2'!AR37</f>
        <v>2</v>
      </c>
      <c r="AT37" s="102">
        <f>'RS2'!AS37</f>
        <v>2</v>
      </c>
      <c r="AU37" s="102">
        <f>'RS2'!AT37</f>
        <v>2</v>
      </c>
      <c r="AV37" s="102">
        <f>'RS2'!AU37</f>
        <v>2</v>
      </c>
      <c r="AW37" s="90"/>
      <c r="AX37" s="90"/>
      <c r="AY37" s="90"/>
      <c r="AZ37" s="90"/>
      <c r="BA37" s="90"/>
      <c r="BB37" s="90"/>
      <c r="BC37" s="90"/>
      <c r="BD37" s="90"/>
      <c r="BE37" s="90"/>
      <c r="BF37" s="90"/>
      <c r="BG37" s="90"/>
      <c r="BH37" s="90"/>
      <c r="BI37" s="90"/>
      <c r="BJ37" s="90"/>
      <c r="BK37" s="90"/>
      <c r="BL37" s="90"/>
      <c r="BM37" s="90"/>
      <c r="BN37" s="90"/>
      <c r="BO37" s="90"/>
      <c r="BP37" s="90"/>
      <c r="BQ37" s="90"/>
    </row>
    <row r="38" ht="12.75" hidden="1" customHeight="1" outlineLevel="1">
      <c r="A38" s="515"/>
      <c r="B38" s="90"/>
      <c r="C38" s="90"/>
      <c r="D38" s="90"/>
      <c r="E38" s="90"/>
      <c r="F38" s="90"/>
      <c r="G38" s="90"/>
      <c r="H38" s="90"/>
      <c r="I38" s="90"/>
      <c r="J38" s="90"/>
      <c r="K38" s="90"/>
      <c r="L38" s="90"/>
      <c r="M38" s="90"/>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row>
    <row r="39" ht="12.75" hidden="1" customHeight="1" outlineLevel="1">
      <c r="A39" s="515"/>
      <c r="B39" s="90" t="s">
        <v>165</v>
      </c>
      <c r="C39" s="90"/>
      <c r="D39" s="90"/>
      <c r="E39" s="90"/>
      <c r="F39" s="90"/>
      <c r="G39" s="90"/>
      <c r="H39" s="90"/>
      <c r="I39" s="90"/>
      <c r="J39" s="90"/>
      <c r="K39" s="90"/>
      <c r="L39" s="90"/>
      <c r="M39" s="90"/>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row>
    <row r="40" ht="12.75" hidden="1" customHeight="1" outlineLevel="1">
      <c r="A40" s="515"/>
      <c r="B40" s="90"/>
      <c r="C40" s="90" t="s">
        <v>166</v>
      </c>
      <c r="D40" s="90"/>
      <c r="E40" s="90"/>
      <c r="F40" s="90"/>
      <c r="G40" s="90"/>
      <c r="H40" s="517"/>
      <c r="I40" s="517"/>
      <c r="J40" s="517"/>
      <c r="K40" s="102">
        <v>0.0</v>
      </c>
      <c r="L40" s="102">
        <f>Assumptions!E39</f>
        <v>120</v>
      </c>
      <c r="M40" s="102">
        <f>Assumptions!F39</f>
        <v>120</v>
      </c>
      <c r="N40" s="102">
        <f>Assumptions!G39</f>
        <v>105</v>
      </c>
      <c r="O40" s="102">
        <f>Assumptions!H39</f>
        <v>105</v>
      </c>
      <c r="P40" s="102">
        <f>Assumptions!I39</f>
        <v>105</v>
      </c>
      <c r="Q40" s="102">
        <f>Assumptions!J39</f>
        <v>105</v>
      </c>
      <c r="R40" s="102">
        <f>Assumptions!K39</f>
        <v>105</v>
      </c>
      <c r="S40" s="102">
        <f>Assumptions!L39</f>
        <v>105</v>
      </c>
      <c r="T40" s="102">
        <f t="shared" ref="T40:AV40" si="26">S40</f>
        <v>105</v>
      </c>
      <c r="U40" s="102">
        <f t="shared" si="26"/>
        <v>105</v>
      </c>
      <c r="V40" s="102">
        <f t="shared" si="26"/>
        <v>105</v>
      </c>
      <c r="W40" s="102">
        <f t="shared" si="26"/>
        <v>105</v>
      </c>
      <c r="X40" s="102">
        <f t="shared" si="26"/>
        <v>105</v>
      </c>
      <c r="Y40" s="102">
        <f t="shared" si="26"/>
        <v>105</v>
      </c>
      <c r="Z40" s="102">
        <f t="shared" si="26"/>
        <v>105</v>
      </c>
      <c r="AA40" s="102">
        <f t="shared" si="26"/>
        <v>105</v>
      </c>
      <c r="AB40" s="102">
        <f t="shared" si="26"/>
        <v>105</v>
      </c>
      <c r="AC40" s="102">
        <f t="shared" si="26"/>
        <v>105</v>
      </c>
      <c r="AD40" s="102">
        <f t="shared" si="26"/>
        <v>105</v>
      </c>
      <c r="AE40" s="102">
        <f t="shared" si="26"/>
        <v>105</v>
      </c>
      <c r="AF40" s="102">
        <f t="shared" si="26"/>
        <v>105</v>
      </c>
      <c r="AG40" s="102">
        <f t="shared" si="26"/>
        <v>105</v>
      </c>
      <c r="AH40" s="102">
        <f t="shared" si="26"/>
        <v>105</v>
      </c>
      <c r="AI40" s="102">
        <f t="shared" si="26"/>
        <v>105</v>
      </c>
      <c r="AJ40" s="102">
        <f t="shared" si="26"/>
        <v>105</v>
      </c>
      <c r="AK40" s="102">
        <f t="shared" si="26"/>
        <v>105</v>
      </c>
      <c r="AL40" s="102">
        <f t="shared" si="26"/>
        <v>105</v>
      </c>
      <c r="AM40" s="102">
        <f t="shared" si="26"/>
        <v>105</v>
      </c>
      <c r="AN40" s="102">
        <f t="shared" si="26"/>
        <v>105</v>
      </c>
      <c r="AO40" s="102">
        <f t="shared" si="26"/>
        <v>105</v>
      </c>
      <c r="AP40" s="102">
        <f t="shared" si="26"/>
        <v>105</v>
      </c>
      <c r="AQ40" s="102">
        <f t="shared" si="26"/>
        <v>105</v>
      </c>
      <c r="AR40" s="102">
        <f t="shared" si="26"/>
        <v>105</v>
      </c>
      <c r="AS40" s="102">
        <f t="shared" si="26"/>
        <v>105</v>
      </c>
      <c r="AT40" s="102">
        <f t="shared" si="26"/>
        <v>105</v>
      </c>
      <c r="AU40" s="102">
        <f t="shared" si="26"/>
        <v>105</v>
      </c>
      <c r="AV40" s="102">
        <f t="shared" si="26"/>
        <v>105</v>
      </c>
      <c r="AW40" s="90"/>
      <c r="AX40" s="90"/>
      <c r="AY40" s="90"/>
      <c r="AZ40" s="90"/>
      <c r="BA40" s="90"/>
      <c r="BB40" s="90"/>
      <c r="BC40" s="90"/>
      <c r="BD40" s="90"/>
      <c r="BE40" s="90"/>
      <c r="BF40" s="90"/>
      <c r="BG40" s="90"/>
      <c r="BH40" s="90"/>
      <c r="BI40" s="90"/>
      <c r="BJ40" s="90"/>
      <c r="BK40" s="90"/>
      <c r="BL40" s="90"/>
      <c r="BM40" s="90"/>
      <c r="BN40" s="90"/>
      <c r="BO40" s="90"/>
      <c r="BP40" s="90"/>
      <c r="BQ40" s="90"/>
    </row>
    <row r="41" ht="12.75" hidden="1" customHeight="1" outlineLevel="1">
      <c r="A41" s="515"/>
      <c r="B41" s="90"/>
      <c r="C41" s="90" t="s">
        <v>167</v>
      </c>
      <c r="D41" s="90"/>
      <c r="E41" s="90"/>
      <c r="F41" s="90"/>
      <c r="G41" s="90"/>
      <c r="H41" s="517"/>
      <c r="I41" s="517"/>
      <c r="J41" s="517"/>
      <c r="K41" s="102">
        <v>0.0</v>
      </c>
      <c r="L41" s="102">
        <f>Assumptions!E40</f>
        <v>112</v>
      </c>
      <c r="M41" s="102">
        <f>Assumptions!F40</f>
        <v>112</v>
      </c>
      <c r="N41" s="102">
        <f>Assumptions!G40</f>
        <v>100</v>
      </c>
      <c r="O41" s="102">
        <f>Assumptions!H40</f>
        <v>100</v>
      </c>
      <c r="P41" s="102">
        <f>Assumptions!I40</f>
        <v>100</v>
      </c>
      <c r="Q41" s="102">
        <f>Assumptions!J40</f>
        <v>100</v>
      </c>
      <c r="R41" s="102">
        <f>Assumptions!K40</f>
        <v>100</v>
      </c>
      <c r="S41" s="102">
        <f>Assumptions!L40</f>
        <v>100</v>
      </c>
      <c r="T41" s="102">
        <f t="shared" ref="T41:AV41" si="27">S41</f>
        <v>100</v>
      </c>
      <c r="U41" s="102">
        <f t="shared" si="27"/>
        <v>100</v>
      </c>
      <c r="V41" s="102">
        <f t="shared" si="27"/>
        <v>100</v>
      </c>
      <c r="W41" s="102">
        <f t="shared" si="27"/>
        <v>100</v>
      </c>
      <c r="X41" s="102">
        <f t="shared" si="27"/>
        <v>100</v>
      </c>
      <c r="Y41" s="102">
        <f t="shared" si="27"/>
        <v>100</v>
      </c>
      <c r="Z41" s="102">
        <f t="shared" si="27"/>
        <v>100</v>
      </c>
      <c r="AA41" s="102">
        <f t="shared" si="27"/>
        <v>100</v>
      </c>
      <c r="AB41" s="102">
        <f t="shared" si="27"/>
        <v>100</v>
      </c>
      <c r="AC41" s="102">
        <f t="shared" si="27"/>
        <v>100</v>
      </c>
      <c r="AD41" s="102">
        <f t="shared" si="27"/>
        <v>100</v>
      </c>
      <c r="AE41" s="102">
        <f t="shared" si="27"/>
        <v>100</v>
      </c>
      <c r="AF41" s="102">
        <f t="shared" si="27"/>
        <v>100</v>
      </c>
      <c r="AG41" s="102">
        <f t="shared" si="27"/>
        <v>100</v>
      </c>
      <c r="AH41" s="102">
        <f t="shared" si="27"/>
        <v>100</v>
      </c>
      <c r="AI41" s="102">
        <f t="shared" si="27"/>
        <v>100</v>
      </c>
      <c r="AJ41" s="102">
        <f t="shared" si="27"/>
        <v>100</v>
      </c>
      <c r="AK41" s="102">
        <f t="shared" si="27"/>
        <v>100</v>
      </c>
      <c r="AL41" s="102">
        <f t="shared" si="27"/>
        <v>100</v>
      </c>
      <c r="AM41" s="102">
        <f t="shared" si="27"/>
        <v>100</v>
      </c>
      <c r="AN41" s="102">
        <f t="shared" si="27"/>
        <v>100</v>
      </c>
      <c r="AO41" s="102">
        <f t="shared" si="27"/>
        <v>100</v>
      </c>
      <c r="AP41" s="102">
        <f t="shared" si="27"/>
        <v>100</v>
      </c>
      <c r="AQ41" s="102">
        <f t="shared" si="27"/>
        <v>100</v>
      </c>
      <c r="AR41" s="102">
        <f t="shared" si="27"/>
        <v>100</v>
      </c>
      <c r="AS41" s="102">
        <f t="shared" si="27"/>
        <v>100</v>
      </c>
      <c r="AT41" s="102">
        <f t="shared" si="27"/>
        <v>100</v>
      </c>
      <c r="AU41" s="102">
        <f t="shared" si="27"/>
        <v>100</v>
      </c>
      <c r="AV41" s="102">
        <f t="shared" si="27"/>
        <v>100</v>
      </c>
      <c r="AW41" s="90"/>
      <c r="AX41" s="90"/>
      <c r="AY41" s="90"/>
      <c r="AZ41" s="90"/>
      <c r="BA41" s="90"/>
      <c r="BB41" s="90"/>
      <c r="BC41" s="90"/>
      <c r="BD41" s="90"/>
      <c r="BE41" s="90"/>
      <c r="BF41" s="90"/>
      <c r="BG41" s="90"/>
      <c r="BH41" s="90"/>
      <c r="BI41" s="90"/>
      <c r="BJ41" s="90"/>
      <c r="BK41" s="90"/>
      <c r="BL41" s="90"/>
      <c r="BM41" s="90"/>
      <c r="BN41" s="90"/>
      <c r="BO41" s="90"/>
      <c r="BP41" s="90"/>
      <c r="BQ41" s="90"/>
    </row>
    <row r="42" ht="12.75" hidden="1" customHeight="1" outlineLevel="1">
      <c r="A42" s="515"/>
      <c r="B42" s="90"/>
      <c r="C42" s="90" t="s">
        <v>168</v>
      </c>
      <c r="D42" s="90"/>
      <c r="E42" s="90"/>
      <c r="F42" s="90"/>
      <c r="G42" s="90"/>
      <c r="H42" s="517"/>
      <c r="I42" s="517"/>
      <c r="J42" s="517"/>
      <c r="K42" s="102">
        <v>0.0</v>
      </c>
      <c r="L42" s="102">
        <f>Assumptions!E41</f>
        <v>80</v>
      </c>
      <c r="M42" s="102">
        <f>Assumptions!F41</f>
        <v>80</v>
      </c>
      <c r="N42" s="102">
        <f>Assumptions!G41</f>
        <v>80</v>
      </c>
      <c r="O42" s="102">
        <f>Assumptions!H41</f>
        <v>80</v>
      </c>
      <c r="P42" s="102">
        <f>Assumptions!I41</f>
        <v>80</v>
      </c>
      <c r="Q42" s="102">
        <f>Assumptions!J41</f>
        <v>80</v>
      </c>
      <c r="R42" s="102">
        <f>Assumptions!K41</f>
        <v>80</v>
      </c>
      <c r="S42" s="102">
        <f>Assumptions!L41</f>
        <v>80</v>
      </c>
      <c r="T42" s="102">
        <f t="shared" ref="T42:AV42" si="28">S42</f>
        <v>80</v>
      </c>
      <c r="U42" s="102">
        <f t="shared" si="28"/>
        <v>80</v>
      </c>
      <c r="V42" s="102">
        <f t="shared" si="28"/>
        <v>80</v>
      </c>
      <c r="W42" s="102">
        <f t="shared" si="28"/>
        <v>80</v>
      </c>
      <c r="X42" s="102">
        <f t="shared" si="28"/>
        <v>80</v>
      </c>
      <c r="Y42" s="102">
        <f t="shared" si="28"/>
        <v>80</v>
      </c>
      <c r="Z42" s="102">
        <f t="shared" si="28"/>
        <v>80</v>
      </c>
      <c r="AA42" s="102">
        <f t="shared" si="28"/>
        <v>80</v>
      </c>
      <c r="AB42" s="102">
        <f t="shared" si="28"/>
        <v>80</v>
      </c>
      <c r="AC42" s="102">
        <f t="shared" si="28"/>
        <v>80</v>
      </c>
      <c r="AD42" s="102">
        <f t="shared" si="28"/>
        <v>80</v>
      </c>
      <c r="AE42" s="102">
        <f t="shared" si="28"/>
        <v>80</v>
      </c>
      <c r="AF42" s="102">
        <f t="shared" si="28"/>
        <v>80</v>
      </c>
      <c r="AG42" s="102">
        <f t="shared" si="28"/>
        <v>80</v>
      </c>
      <c r="AH42" s="102">
        <f t="shared" si="28"/>
        <v>80</v>
      </c>
      <c r="AI42" s="102">
        <f t="shared" si="28"/>
        <v>80</v>
      </c>
      <c r="AJ42" s="102">
        <f t="shared" si="28"/>
        <v>80</v>
      </c>
      <c r="AK42" s="102">
        <f t="shared" si="28"/>
        <v>80</v>
      </c>
      <c r="AL42" s="102">
        <f t="shared" si="28"/>
        <v>80</v>
      </c>
      <c r="AM42" s="102">
        <f t="shared" si="28"/>
        <v>80</v>
      </c>
      <c r="AN42" s="102">
        <f t="shared" si="28"/>
        <v>80</v>
      </c>
      <c r="AO42" s="102">
        <f t="shared" si="28"/>
        <v>80</v>
      </c>
      <c r="AP42" s="102">
        <f t="shared" si="28"/>
        <v>80</v>
      </c>
      <c r="AQ42" s="102">
        <f t="shared" si="28"/>
        <v>80</v>
      </c>
      <c r="AR42" s="102">
        <f t="shared" si="28"/>
        <v>80</v>
      </c>
      <c r="AS42" s="102">
        <f t="shared" si="28"/>
        <v>80</v>
      </c>
      <c r="AT42" s="102">
        <f t="shared" si="28"/>
        <v>80</v>
      </c>
      <c r="AU42" s="102">
        <f t="shared" si="28"/>
        <v>80</v>
      </c>
      <c r="AV42" s="102">
        <f t="shared" si="28"/>
        <v>80</v>
      </c>
      <c r="AW42" s="90"/>
      <c r="AX42" s="90"/>
      <c r="AY42" s="90"/>
      <c r="AZ42" s="90"/>
      <c r="BA42" s="90"/>
      <c r="BB42" s="90"/>
      <c r="BC42" s="90"/>
      <c r="BD42" s="90"/>
      <c r="BE42" s="90"/>
      <c r="BF42" s="90"/>
      <c r="BG42" s="90"/>
      <c r="BH42" s="90"/>
      <c r="BI42" s="90"/>
      <c r="BJ42" s="90"/>
      <c r="BK42" s="90"/>
      <c r="BL42" s="90"/>
      <c r="BM42" s="90"/>
      <c r="BN42" s="90"/>
      <c r="BO42" s="90"/>
      <c r="BP42" s="90"/>
      <c r="BQ42" s="90"/>
    </row>
    <row r="43" ht="12.75" hidden="1" customHeight="1" outlineLevel="1">
      <c r="A43" s="515"/>
      <c r="B43" s="90"/>
      <c r="C43" s="90" t="s">
        <v>169</v>
      </c>
      <c r="D43" s="90"/>
      <c r="E43" s="90"/>
      <c r="F43" s="90"/>
      <c r="G43" s="90"/>
      <c r="H43" s="517"/>
      <c r="I43" s="517"/>
      <c r="J43" s="517"/>
      <c r="K43" s="102">
        <v>0.0</v>
      </c>
      <c r="L43" s="102">
        <f>Assumptions!E42</f>
        <v>80</v>
      </c>
      <c r="M43" s="102">
        <f>Assumptions!F42</f>
        <v>80</v>
      </c>
      <c r="N43" s="102">
        <f>Assumptions!G42</f>
        <v>80</v>
      </c>
      <c r="O43" s="102">
        <f>Assumptions!H42</f>
        <v>80</v>
      </c>
      <c r="P43" s="102">
        <f>Assumptions!I42</f>
        <v>80</v>
      </c>
      <c r="Q43" s="102">
        <f>Assumptions!J42</f>
        <v>80</v>
      </c>
      <c r="R43" s="102">
        <f>Assumptions!K42</f>
        <v>80</v>
      </c>
      <c r="S43" s="102">
        <f>Assumptions!L42</f>
        <v>80</v>
      </c>
      <c r="T43" s="102">
        <f t="shared" ref="T43:AV43" si="29">S43</f>
        <v>80</v>
      </c>
      <c r="U43" s="102">
        <f t="shared" si="29"/>
        <v>80</v>
      </c>
      <c r="V43" s="102">
        <f t="shared" si="29"/>
        <v>80</v>
      </c>
      <c r="W43" s="102">
        <f t="shared" si="29"/>
        <v>80</v>
      </c>
      <c r="X43" s="102">
        <f t="shared" si="29"/>
        <v>80</v>
      </c>
      <c r="Y43" s="102">
        <f t="shared" si="29"/>
        <v>80</v>
      </c>
      <c r="Z43" s="102">
        <f t="shared" si="29"/>
        <v>80</v>
      </c>
      <c r="AA43" s="102">
        <f t="shared" si="29"/>
        <v>80</v>
      </c>
      <c r="AB43" s="102">
        <f t="shared" si="29"/>
        <v>80</v>
      </c>
      <c r="AC43" s="102">
        <f t="shared" si="29"/>
        <v>80</v>
      </c>
      <c r="AD43" s="102">
        <f t="shared" si="29"/>
        <v>80</v>
      </c>
      <c r="AE43" s="102">
        <f t="shared" si="29"/>
        <v>80</v>
      </c>
      <c r="AF43" s="102">
        <f t="shared" si="29"/>
        <v>80</v>
      </c>
      <c r="AG43" s="102">
        <f t="shared" si="29"/>
        <v>80</v>
      </c>
      <c r="AH43" s="102">
        <f t="shared" si="29"/>
        <v>80</v>
      </c>
      <c r="AI43" s="102">
        <f t="shared" si="29"/>
        <v>80</v>
      </c>
      <c r="AJ43" s="102">
        <f t="shared" si="29"/>
        <v>80</v>
      </c>
      <c r="AK43" s="102">
        <f t="shared" si="29"/>
        <v>80</v>
      </c>
      <c r="AL43" s="102">
        <f t="shared" si="29"/>
        <v>80</v>
      </c>
      <c r="AM43" s="102">
        <f t="shared" si="29"/>
        <v>80</v>
      </c>
      <c r="AN43" s="102">
        <f t="shared" si="29"/>
        <v>80</v>
      </c>
      <c r="AO43" s="102">
        <f t="shared" si="29"/>
        <v>80</v>
      </c>
      <c r="AP43" s="102">
        <f t="shared" si="29"/>
        <v>80</v>
      </c>
      <c r="AQ43" s="102">
        <f t="shared" si="29"/>
        <v>80</v>
      </c>
      <c r="AR43" s="102">
        <f t="shared" si="29"/>
        <v>80</v>
      </c>
      <c r="AS43" s="102">
        <f t="shared" si="29"/>
        <v>80</v>
      </c>
      <c r="AT43" s="102">
        <f t="shared" si="29"/>
        <v>80</v>
      </c>
      <c r="AU43" s="102">
        <f t="shared" si="29"/>
        <v>80</v>
      </c>
      <c r="AV43" s="102">
        <f t="shared" si="29"/>
        <v>80</v>
      </c>
      <c r="AW43" s="90"/>
      <c r="AX43" s="90"/>
      <c r="AY43" s="90"/>
      <c r="AZ43" s="90"/>
      <c r="BA43" s="90"/>
      <c r="BB43" s="90"/>
      <c r="BC43" s="90"/>
      <c r="BD43" s="90"/>
      <c r="BE43" s="90"/>
      <c r="BF43" s="90"/>
      <c r="BG43" s="90"/>
      <c r="BH43" s="90"/>
      <c r="BI43" s="90"/>
      <c r="BJ43" s="90"/>
      <c r="BK43" s="90"/>
      <c r="BL43" s="90"/>
      <c r="BM43" s="90"/>
      <c r="BN43" s="90"/>
      <c r="BO43" s="90"/>
      <c r="BP43" s="90"/>
      <c r="BQ43" s="90"/>
    </row>
    <row r="44" ht="12.75" hidden="1" customHeight="1" outlineLevel="1">
      <c r="A44" s="515"/>
      <c r="B44" s="90"/>
      <c r="C44" s="90" t="s">
        <v>170</v>
      </c>
      <c r="D44" s="90"/>
      <c r="E44" s="90"/>
      <c r="F44" s="90"/>
      <c r="G44" s="90"/>
      <c r="H44" s="517"/>
      <c r="I44" s="517"/>
      <c r="J44" s="517"/>
      <c r="K44" s="102">
        <v>0.0</v>
      </c>
      <c r="L44" s="102">
        <f>Assumptions!E43</f>
        <v>0</v>
      </c>
      <c r="M44" s="102">
        <f>Assumptions!F43</f>
        <v>72</v>
      </c>
      <c r="N44" s="102">
        <f>Assumptions!G43</f>
        <v>75</v>
      </c>
      <c r="O44" s="102">
        <f>Assumptions!H43</f>
        <v>75</v>
      </c>
      <c r="P44" s="102">
        <f>Assumptions!I43</f>
        <v>75</v>
      </c>
      <c r="Q44" s="102">
        <f>Assumptions!J43</f>
        <v>75</v>
      </c>
      <c r="R44" s="102">
        <f>Assumptions!K43</f>
        <v>75</v>
      </c>
      <c r="S44" s="102">
        <f>Assumptions!L43</f>
        <v>75</v>
      </c>
      <c r="T44" s="102">
        <f t="shared" ref="T44:AV44" si="30">S44</f>
        <v>75</v>
      </c>
      <c r="U44" s="102">
        <f t="shared" si="30"/>
        <v>75</v>
      </c>
      <c r="V44" s="102">
        <f t="shared" si="30"/>
        <v>75</v>
      </c>
      <c r="W44" s="102">
        <f t="shared" si="30"/>
        <v>75</v>
      </c>
      <c r="X44" s="102">
        <f t="shared" si="30"/>
        <v>75</v>
      </c>
      <c r="Y44" s="102">
        <f t="shared" si="30"/>
        <v>75</v>
      </c>
      <c r="Z44" s="102">
        <f t="shared" si="30"/>
        <v>75</v>
      </c>
      <c r="AA44" s="102">
        <f t="shared" si="30"/>
        <v>75</v>
      </c>
      <c r="AB44" s="102">
        <f t="shared" si="30"/>
        <v>75</v>
      </c>
      <c r="AC44" s="102">
        <f t="shared" si="30"/>
        <v>75</v>
      </c>
      <c r="AD44" s="102">
        <f t="shared" si="30"/>
        <v>75</v>
      </c>
      <c r="AE44" s="102">
        <f t="shared" si="30"/>
        <v>75</v>
      </c>
      <c r="AF44" s="102">
        <f t="shared" si="30"/>
        <v>75</v>
      </c>
      <c r="AG44" s="102">
        <f t="shared" si="30"/>
        <v>75</v>
      </c>
      <c r="AH44" s="102">
        <f t="shared" si="30"/>
        <v>75</v>
      </c>
      <c r="AI44" s="102">
        <f t="shared" si="30"/>
        <v>75</v>
      </c>
      <c r="AJ44" s="102">
        <f t="shared" si="30"/>
        <v>75</v>
      </c>
      <c r="AK44" s="102">
        <f t="shared" si="30"/>
        <v>75</v>
      </c>
      <c r="AL44" s="102">
        <f t="shared" si="30"/>
        <v>75</v>
      </c>
      <c r="AM44" s="102">
        <f t="shared" si="30"/>
        <v>75</v>
      </c>
      <c r="AN44" s="102">
        <f t="shared" si="30"/>
        <v>75</v>
      </c>
      <c r="AO44" s="102">
        <f t="shared" si="30"/>
        <v>75</v>
      </c>
      <c r="AP44" s="102">
        <f t="shared" si="30"/>
        <v>75</v>
      </c>
      <c r="AQ44" s="102">
        <f t="shared" si="30"/>
        <v>75</v>
      </c>
      <c r="AR44" s="102">
        <f t="shared" si="30"/>
        <v>75</v>
      </c>
      <c r="AS44" s="102">
        <f t="shared" si="30"/>
        <v>75</v>
      </c>
      <c r="AT44" s="102">
        <f t="shared" si="30"/>
        <v>75</v>
      </c>
      <c r="AU44" s="102">
        <f t="shared" si="30"/>
        <v>75</v>
      </c>
      <c r="AV44" s="102">
        <f t="shared" si="30"/>
        <v>75</v>
      </c>
      <c r="AW44" s="90"/>
      <c r="AX44" s="90"/>
      <c r="AY44" s="90"/>
      <c r="AZ44" s="90"/>
      <c r="BA44" s="90"/>
      <c r="BB44" s="90"/>
      <c r="BC44" s="90"/>
      <c r="BD44" s="90"/>
      <c r="BE44" s="90"/>
      <c r="BF44" s="90"/>
      <c r="BG44" s="90"/>
      <c r="BH44" s="90"/>
      <c r="BI44" s="90"/>
      <c r="BJ44" s="90"/>
      <c r="BK44" s="90"/>
      <c r="BL44" s="90"/>
      <c r="BM44" s="90"/>
      <c r="BN44" s="90"/>
      <c r="BO44" s="90"/>
      <c r="BP44" s="90"/>
      <c r="BQ44" s="90"/>
    </row>
    <row r="45" ht="12.75" hidden="1" customHeight="1" outlineLevel="1">
      <c r="A45" s="515"/>
      <c r="B45" s="87"/>
      <c r="C45" s="87" t="s">
        <v>171</v>
      </c>
      <c r="D45" s="87"/>
      <c r="E45" s="87"/>
      <c r="F45" s="87"/>
      <c r="G45" s="87"/>
      <c r="H45" s="519"/>
      <c r="I45" s="519"/>
      <c r="J45" s="519"/>
      <c r="K45" s="102">
        <v>0.0</v>
      </c>
      <c r="L45" s="102">
        <f>Assumptions!E44</f>
        <v>0</v>
      </c>
      <c r="M45" s="102">
        <f>Assumptions!F44</f>
        <v>0</v>
      </c>
      <c r="N45" s="102">
        <f>Assumptions!G44</f>
        <v>60</v>
      </c>
      <c r="O45" s="102">
        <f>Assumptions!H44</f>
        <v>60</v>
      </c>
      <c r="P45" s="102">
        <f>Assumptions!I44</f>
        <v>60</v>
      </c>
      <c r="Q45" s="102">
        <f>Assumptions!J44</f>
        <v>60</v>
      </c>
      <c r="R45" s="102">
        <f>Assumptions!K44</f>
        <v>60</v>
      </c>
      <c r="S45" s="102">
        <f>Assumptions!L44</f>
        <v>60</v>
      </c>
      <c r="T45" s="102">
        <f t="shared" ref="T45:AV45" si="31">S45</f>
        <v>60</v>
      </c>
      <c r="U45" s="102">
        <f t="shared" si="31"/>
        <v>60</v>
      </c>
      <c r="V45" s="102">
        <f t="shared" si="31"/>
        <v>60</v>
      </c>
      <c r="W45" s="102">
        <f t="shared" si="31"/>
        <v>60</v>
      </c>
      <c r="X45" s="102">
        <f t="shared" si="31"/>
        <v>60</v>
      </c>
      <c r="Y45" s="102">
        <f t="shared" si="31"/>
        <v>60</v>
      </c>
      <c r="Z45" s="102">
        <f t="shared" si="31"/>
        <v>60</v>
      </c>
      <c r="AA45" s="102">
        <f t="shared" si="31"/>
        <v>60</v>
      </c>
      <c r="AB45" s="102">
        <f t="shared" si="31"/>
        <v>60</v>
      </c>
      <c r="AC45" s="102">
        <f t="shared" si="31"/>
        <v>60</v>
      </c>
      <c r="AD45" s="102">
        <f t="shared" si="31"/>
        <v>60</v>
      </c>
      <c r="AE45" s="102">
        <f t="shared" si="31"/>
        <v>60</v>
      </c>
      <c r="AF45" s="102">
        <f t="shared" si="31"/>
        <v>60</v>
      </c>
      <c r="AG45" s="102">
        <f t="shared" si="31"/>
        <v>60</v>
      </c>
      <c r="AH45" s="102">
        <f t="shared" si="31"/>
        <v>60</v>
      </c>
      <c r="AI45" s="102">
        <f t="shared" si="31"/>
        <v>60</v>
      </c>
      <c r="AJ45" s="102">
        <f t="shared" si="31"/>
        <v>60</v>
      </c>
      <c r="AK45" s="102">
        <f t="shared" si="31"/>
        <v>60</v>
      </c>
      <c r="AL45" s="102">
        <f t="shared" si="31"/>
        <v>60</v>
      </c>
      <c r="AM45" s="102">
        <f t="shared" si="31"/>
        <v>60</v>
      </c>
      <c r="AN45" s="102">
        <f t="shared" si="31"/>
        <v>60</v>
      </c>
      <c r="AO45" s="102">
        <f t="shared" si="31"/>
        <v>60</v>
      </c>
      <c r="AP45" s="102">
        <f t="shared" si="31"/>
        <v>60</v>
      </c>
      <c r="AQ45" s="102">
        <f t="shared" si="31"/>
        <v>60</v>
      </c>
      <c r="AR45" s="102">
        <f t="shared" si="31"/>
        <v>60</v>
      </c>
      <c r="AS45" s="102">
        <f t="shared" si="31"/>
        <v>60</v>
      </c>
      <c r="AT45" s="102">
        <f t="shared" si="31"/>
        <v>60</v>
      </c>
      <c r="AU45" s="102">
        <f t="shared" si="31"/>
        <v>60</v>
      </c>
      <c r="AV45" s="102">
        <f t="shared" si="31"/>
        <v>60</v>
      </c>
      <c r="AW45" s="90"/>
      <c r="AX45" s="90"/>
      <c r="AY45" s="90"/>
      <c r="AZ45" s="90"/>
      <c r="BA45" s="90"/>
      <c r="BB45" s="90"/>
      <c r="BC45" s="90"/>
      <c r="BD45" s="90"/>
      <c r="BE45" s="90"/>
      <c r="BF45" s="90"/>
      <c r="BG45" s="90"/>
      <c r="BH45" s="90"/>
      <c r="BI45" s="90"/>
      <c r="BJ45" s="90"/>
      <c r="BK45" s="90"/>
      <c r="BL45" s="90"/>
      <c r="BM45" s="90"/>
      <c r="BN45" s="90"/>
      <c r="BO45" s="90"/>
      <c r="BP45" s="90"/>
      <c r="BQ45" s="90"/>
    </row>
    <row r="46" ht="12.75" hidden="1" customHeight="1" outlineLevel="1">
      <c r="A46" s="515"/>
      <c r="B46" s="90" t="s">
        <v>619</v>
      </c>
      <c r="C46" s="90"/>
      <c r="D46" s="90"/>
      <c r="E46" s="90"/>
      <c r="F46" s="90"/>
      <c r="G46" s="90"/>
      <c r="H46" s="90"/>
      <c r="I46" s="90"/>
      <c r="J46" s="90"/>
      <c r="K46" s="285">
        <f t="shared" ref="K46:AV46" si="32">SUM(K40:K45)</f>
        <v>0</v>
      </c>
      <c r="L46" s="285">
        <f t="shared" si="32"/>
        <v>392</v>
      </c>
      <c r="M46" s="285">
        <f t="shared" si="32"/>
        <v>464</v>
      </c>
      <c r="N46" s="285">
        <f t="shared" si="32"/>
        <v>500</v>
      </c>
      <c r="O46" s="285">
        <f t="shared" si="32"/>
        <v>500</v>
      </c>
      <c r="P46" s="285">
        <f t="shared" si="32"/>
        <v>500</v>
      </c>
      <c r="Q46" s="285">
        <f t="shared" si="32"/>
        <v>500</v>
      </c>
      <c r="R46" s="285">
        <f t="shared" si="32"/>
        <v>500</v>
      </c>
      <c r="S46" s="285">
        <f t="shared" si="32"/>
        <v>500</v>
      </c>
      <c r="T46" s="285">
        <f t="shared" si="32"/>
        <v>500</v>
      </c>
      <c r="U46" s="285">
        <f t="shared" si="32"/>
        <v>500</v>
      </c>
      <c r="V46" s="285">
        <f t="shared" si="32"/>
        <v>500</v>
      </c>
      <c r="W46" s="285">
        <f t="shared" si="32"/>
        <v>500</v>
      </c>
      <c r="X46" s="285">
        <f t="shared" si="32"/>
        <v>500</v>
      </c>
      <c r="Y46" s="285">
        <f t="shared" si="32"/>
        <v>500</v>
      </c>
      <c r="Z46" s="285">
        <f t="shared" si="32"/>
        <v>500</v>
      </c>
      <c r="AA46" s="285">
        <f t="shared" si="32"/>
        <v>500</v>
      </c>
      <c r="AB46" s="285">
        <f t="shared" si="32"/>
        <v>500</v>
      </c>
      <c r="AC46" s="285">
        <f t="shared" si="32"/>
        <v>500</v>
      </c>
      <c r="AD46" s="285">
        <f t="shared" si="32"/>
        <v>500</v>
      </c>
      <c r="AE46" s="285">
        <f t="shared" si="32"/>
        <v>500</v>
      </c>
      <c r="AF46" s="285">
        <f t="shared" si="32"/>
        <v>500</v>
      </c>
      <c r="AG46" s="285">
        <f t="shared" si="32"/>
        <v>500</v>
      </c>
      <c r="AH46" s="285">
        <f t="shared" si="32"/>
        <v>500</v>
      </c>
      <c r="AI46" s="285">
        <f t="shared" si="32"/>
        <v>500</v>
      </c>
      <c r="AJ46" s="285">
        <f t="shared" si="32"/>
        <v>500</v>
      </c>
      <c r="AK46" s="285">
        <f t="shared" si="32"/>
        <v>500</v>
      </c>
      <c r="AL46" s="285">
        <f t="shared" si="32"/>
        <v>500</v>
      </c>
      <c r="AM46" s="285">
        <f t="shared" si="32"/>
        <v>500</v>
      </c>
      <c r="AN46" s="285">
        <f t="shared" si="32"/>
        <v>500</v>
      </c>
      <c r="AO46" s="285">
        <f t="shared" si="32"/>
        <v>500</v>
      </c>
      <c r="AP46" s="285">
        <f t="shared" si="32"/>
        <v>500</v>
      </c>
      <c r="AQ46" s="285">
        <f t="shared" si="32"/>
        <v>500</v>
      </c>
      <c r="AR46" s="285">
        <f t="shared" si="32"/>
        <v>500</v>
      </c>
      <c r="AS46" s="285">
        <f t="shared" si="32"/>
        <v>500</v>
      </c>
      <c r="AT46" s="285">
        <f t="shared" si="32"/>
        <v>500</v>
      </c>
      <c r="AU46" s="285">
        <f t="shared" si="32"/>
        <v>500</v>
      </c>
      <c r="AV46" s="285">
        <f t="shared" si="32"/>
        <v>500</v>
      </c>
      <c r="AW46" s="90"/>
      <c r="AX46" s="90"/>
      <c r="AY46" s="90"/>
      <c r="AZ46" s="90"/>
      <c r="BA46" s="90"/>
      <c r="BB46" s="90"/>
      <c r="BC46" s="90"/>
      <c r="BD46" s="90"/>
      <c r="BE46" s="90"/>
      <c r="BF46" s="90"/>
      <c r="BG46" s="90"/>
      <c r="BH46" s="90"/>
      <c r="BI46" s="90"/>
      <c r="BJ46" s="90"/>
      <c r="BK46" s="90"/>
      <c r="BL46" s="90"/>
      <c r="BM46" s="90"/>
      <c r="BN46" s="90"/>
      <c r="BO46" s="90"/>
      <c r="BP46" s="90"/>
      <c r="BQ46" s="90"/>
    </row>
    <row r="47" ht="12.75" hidden="1" customHeight="1" outlineLevel="1">
      <c r="A47" s="515"/>
      <c r="B47" s="90"/>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c r="BF47" s="90"/>
      <c r="BG47" s="90"/>
      <c r="BH47" s="90"/>
      <c r="BI47" s="90"/>
      <c r="BJ47" s="90"/>
      <c r="BK47" s="90"/>
      <c r="BL47" s="90"/>
      <c r="BM47" s="90"/>
      <c r="BN47" s="90"/>
      <c r="BO47" s="90"/>
      <c r="BP47" s="90"/>
      <c r="BQ47" s="90"/>
    </row>
    <row r="48" ht="12.75" hidden="1" customHeight="1" outlineLevel="1">
      <c r="A48" s="515"/>
      <c r="B48" s="90" t="s">
        <v>637</v>
      </c>
      <c r="C48" s="90"/>
      <c r="D48" s="90"/>
      <c r="E48" s="90"/>
      <c r="F48" s="90"/>
      <c r="G48" s="90"/>
      <c r="H48" s="90"/>
      <c r="I48" s="90"/>
      <c r="J48" s="90"/>
      <c r="K48" s="102">
        <v>0.0</v>
      </c>
      <c r="L48" s="102">
        <f>L46</f>
        <v>392</v>
      </c>
      <c r="M48" s="102">
        <f t="shared" ref="M48:N48" si="33">M46-L46</f>
        <v>72</v>
      </c>
      <c r="N48" s="102">
        <f t="shared" si="33"/>
        <v>36</v>
      </c>
      <c r="O48" s="102">
        <f>'RS2'!N48</f>
        <v>0</v>
      </c>
      <c r="P48" s="102">
        <f>'RS2'!O48</f>
        <v>0</v>
      </c>
      <c r="Q48" s="102">
        <f>'RS2'!P48</f>
        <v>0</v>
      </c>
      <c r="R48" s="102">
        <f>'RS2'!Q48</f>
        <v>0</v>
      </c>
      <c r="S48" s="102">
        <f>'RS2'!R48</f>
        <v>0</v>
      </c>
      <c r="T48" s="102">
        <f>'RS2'!S48</f>
        <v>0</v>
      </c>
      <c r="U48" s="102">
        <f>'RS2'!T48</f>
        <v>0</v>
      </c>
      <c r="V48" s="102">
        <f>'RS2'!U48</f>
        <v>0</v>
      </c>
      <c r="W48" s="102">
        <f>'RS2'!V48</f>
        <v>0</v>
      </c>
      <c r="X48" s="102">
        <f>'RS2'!W48</f>
        <v>0</v>
      </c>
      <c r="Y48" s="102">
        <f>'RS2'!X48</f>
        <v>0</v>
      </c>
      <c r="Z48" s="102">
        <f>'RS2'!Y48</f>
        <v>0</v>
      </c>
      <c r="AA48" s="102">
        <f>'RS2'!Z48</f>
        <v>0</v>
      </c>
      <c r="AB48" s="102">
        <f>'RS2'!AA48</f>
        <v>0</v>
      </c>
      <c r="AC48" s="102">
        <f>'RS2'!AB48</f>
        <v>0</v>
      </c>
      <c r="AD48" s="102">
        <f>'RS2'!AC48</f>
        <v>0</v>
      </c>
      <c r="AE48" s="102">
        <f>'RS2'!AD48</f>
        <v>0</v>
      </c>
      <c r="AF48" s="102">
        <f>'RS2'!AE48</f>
        <v>0</v>
      </c>
      <c r="AG48" s="102">
        <f>'RS2'!AF48</f>
        <v>0</v>
      </c>
      <c r="AH48" s="102">
        <f>'RS2'!AG48</f>
        <v>0</v>
      </c>
      <c r="AI48" s="102">
        <f>'RS2'!AH48</f>
        <v>0</v>
      </c>
      <c r="AJ48" s="102">
        <f>'RS2'!AI48</f>
        <v>0</v>
      </c>
      <c r="AK48" s="102">
        <f>'RS2'!AJ48</f>
        <v>0</v>
      </c>
      <c r="AL48" s="102">
        <f>'RS2'!AK48</f>
        <v>0</v>
      </c>
      <c r="AM48" s="102">
        <f>'RS2'!AL48</f>
        <v>0</v>
      </c>
      <c r="AN48" s="102">
        <f>'RS2'!AM48</f>
        <v>0</v>
      </c>
      <c r="AO48" s="102">
        <f>'RS2'!AN48</f>
        <v>0</v>
      </c>
      <c r="AP48" s="102">
        <f>'RS2'!AO48</f>
        <v>0</v>
      </c>
      <c r="AQ48" s="102">
        <f>'RS2'!AP48</f>
        <v>0</v>
      </c>
      <c r="AR48" s="102">
        <f>'RS2'!AQ48</f>
        <v>0</v>
      </c>
      <c r="AS48" s="102">
        <f>'RS2'!AR48</f>
        <v>0</v>
      </c>
      <c r="AT48" s="102">
        <f>'RS2'!AS48</f>
        <v>0</v>
      </c>
      <c r="AU48" s="102">
        <f>'RS2'!AT48</f>
        <v>0</v>
      </c>
      <c r="AV48" s="102">
        <f>'RS2'!AU48</f>
        <v>0</v>
      </c>
      <c r="AW48" s="90"/>
      <c r="AX48" s="90"/>
      <c r="AY48" s="90"/>
      <c r="AZ48" s="90"/>
      <c r="BA48" s="90"/>
      <c r="BB48" s="90"/>
      <c r="BC48" s="90"/>
      <c r="BD48" s="90"/>
      <c r="BE48" s="90"/>
      <c r="BF48" s="90"/>
      <c r="BG48" s="90"/>
      <c r="BH48" s="90"/>
      <c r="BI48" s="90"/>
      <c r="BJ48" s="90"/>
      <c r="BK48" s="90"/>
      <c r="BL48" s="90"/>
      <c r="BM48" s="90"/>
      <c r="BN48" s="90"/>
      <c r="BO48" s="90"/>
      <c r="BP48" s="90"/>
      <c r="BQ48" s="90"/>
    </row>
    <row r="49" ht="12.75" hidden="1" customHeight="1" outlineLevel="1">
      <c r="A49" s="515"/>
      <c r="B49" s="90"/>
      <c r="C49" s="90"/>
      <c r="D49" s="90"/>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row>
    <row r="50" ht="12.75" hidden="1" customHeight="1" outlineLevel="1">
      <c r="A50" s="515"/>
      <c r="B50" s="90" t="s">
        <v>638</v>
      </c>
      <c r="C50" s="90"/>
      <c r="D50" s="90"/>
      <c r="E50" s="90"/>
      <c r="F50" s="90"/>
      <c r="G50" s="90"/>
      <c r="H50" s="157"/>
      <c r="I50" s="157"/>
      <c r="J50" s="157"/>
      <c r="K50" s="152">
        <v>0.0</v>
      </c>
      <c r="L50" s="152">
        <v>1.0</v>
      </c>
      <c r="M50" s="152">
        <f>'RS2'!L50</f>
        <v>1</v>
      </c>
      <c r="N50" s="152">
        <f>'RS2'!M50</f>
        <v>1</v>
      </c>
      <c r="O50" s="152">
        <f>'RS2'!N50</f>
        <v>1</v>
      </c>
      <c r="P50" s="152">
        <f>'RS2'!O50</f>
        <v>1</v>
      </c>
      <c r="Q50" s="152">
        <f>'RS2'!P50</f>
        <v>1</v>
      </c>
      <c r="R50" s="152">
        <f>'RS2'!Q50</f>
        <v>1</v>
      </c>
      <c r="S50" s="152">
        <f>'RS2'!R50</f>
        <v>1</v>
      </c>
      <c r="T50" s="152">
        <f>'RS2'!S50</f>
        <v>1</v>
      </c>
      <c r="U50" s="152">
        <f>'RS2'!T50</f>
        <v>1</v>
      </c>
      <c r="V50" s="152">
        <f>'RS2'!U50</f>
        <v>1</v>
      </c>
      <c r="W50" s="152">
        <f>'RS2'!V50</f>
        <v>1</v>
      </c>
      <c r="X50" s="152">
        <f>'RS2'!W50</f>
        <v>1</v>
      </c>
      <c r="Y50" s="152">
        <f>'RS2'!X50</f>
        <v>1</v>
      </c>
      <c r="Z50" s="152">
        <f>'RS2'!Y50</f>
        <v>1</v>
      </c>
      <c r="AA50" s="152">
        <f>'RS2'!Z50</f>
        <v>1</v>
      </c>
      <c r="AB50" s="152">
        <f>'RS2'!AA50</f>
        <v>1</v>
      </c>
      <c r="AC50" s="152">
        <f>'RS2'!AB50</f>
        <v>1</v>
      </c>
      <c r="AD50" s="152">
        <f>'RS2'!AC50</f>
        <v>1</v>
      </c>
      <c r="AE50" s="152">
        <f>'RS2'!AD50</f>
        <v>1</v>
      </c>
      <c r="AF50" s="152">
        <f>'RS2'!AE50</f>
        <v>1</v>
      </c>
      <c r="AG50" s="152">
        <f>'RS2'!AF50</f>
        <v>1</v>
      </c>
      <c r="AH50" s="152">
        <f>'RS2'!AG50</f>
        <v>1</v>
      </c>
      <c r="AI50" s="152">
        <f>'RS2'!AH50</f>
        <v>1</v>
      </c>
      <c r="AJ50" s="152">
        <f>'RS2'!AI50</f>
        <v>1</v>
      </c>
      <c r="AK50" s="152">
        <f>'RS2'!AJ50</f>
        <v>1</v>
      </c>
      <c r="AL50" s="152">
        <f>'RS2'!AK50</f>
        <v>1</v>
      </c>
      <c r="AM50" s="152">
        <f>'RS2'!AL50</f>
        <v>1</v>
      </c>
      <c r="AN50" s="152">
        <f>'RS2'!AM50</f>
        <v>1</v>
      </c>
      <c r="AO50" s="152">
        <f>'RS2'!AN50</f>
        <v>1</v>
      </c>
      <c r="AP50" s="152">
        <f>'RS2'!AO50</f>
        <v>1</v>
      </c>
      <c r="AQ50" s="152">
        <f>'RS2'!AP50</f>
        <v>1</v>
      </c>
      <c r="AR50" s="152">
        <f>'RS2'!AQ50</f>
        <v>1</v>
      </c>
      <c r="AS50" s="152">
        <f>'RS2'!AR50</f>
        <v>1</v>
      </c>
      <c r="AT50" s="152">
        <f>'RS2'!AS50</f>
        <v>1</v>
      </c>
      <c r="AU50" s="152">
        <f>'RS2'!AT50</f>
        <v>1</v>
      </c>
      <c r="AV50" s="152">
        <f>'RS2'!AU50</f>
        <v>1</v>
      </c>
      <c r="AW50" s="90"/>
      <c r="AX50" s="90"/>
      <c r="AY50" s="90"/>
      <c r="AZ50" s="90"/>
      <c r="BA50" s="90"/>
      <c r="BB50" s="90"/>
      <c r="BC50" s="90"/>
      <c r="BD50" s="90"/>
      <c r="BE50" s="90"/>
      <c r="BF50" s="90"/>
      <c r="BG50" s="90"/>
      <c r="BH50" s="90"/>
      <c r="BI50" s="90"/>
      <c r="BJ50" s="90"/>
      <c r="BK50" s="90"/>
      <c r="BL50" s="90"/>
      <c r="BM50" s="90"/>
      <c r="BN50" s="90"/>
      <c r="BO50" s="90"/>
      <c r="BP50" s="90"/>
      <c r="BQ50" s="90"/>
    </row>
    <row r="51" ht="12.75" hidden="1" customHeight="1" outlineLevel="1">
      <c r="A51" s="515"/>
      <c r="B51" s="90"/>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row>
    <row r="52" ht="12.75" hidden="1" customHeight="1" outlineLevel="1">
      <c r="A52" s="515"/>
      <c r="B52" s="90" t="s">
        <v>639</v>
      </c>
      <c r="C52" s="90"/>
      <c r="D52" s="90"/>
      <c r="E52" s="90"/>
      <c r="F52" s="90"/>
      <c r="G52" s="90"/>
      <c r="H52" s="157"/>
      <c r="I52" s="157"/>
      <c r="J52" s="157"/>
      <c r="K52" s="152">
        <v>0.0</v>
      </c>
      <c r="L52" s="152">
        <f>'RS2'!K52</f>
        <v>0.96</v>
      </c>
      <c r="M52" s="152">
        <f>'RS2'!L52</f>
        <v>0.96</v>
      </c>
      <c r="N52" s="152">
        <f>'RS2'!M52</f>
        <v>0.96</v>
      </c>
      <c r="O52" s="152">
        <f>'RS2'!N52</f>
        <v>0.96</v>
      </c>
      <c r="P52" s="152">
        <f>'RS2'!O52</f>
        <v>0.96</v>
      </c>
      <c r="Q52" s="152">
        <f>'RS2'!P52</f>
        <v>0.96</v>
      </c>
      <c r="R52" s="152">
        <f>'RS2'!Q52</f>
        <v>0.96</v>
      </c>
      <c r="S52" s="152">
        <f>'RS2'!R52</f>
        <v>0.96</v>
      </c>
      <c r="T52" s="152">
        <f>'RS2'!S52</f>
        <v>0.96</v>
      </c>
      <c r="U52" s="152">
        <f>'RS2'!T52</f>
        <v>0.96</v>
      </c>
      <c r="V52" s="152">
        <f>'RS2'!U52</f>
        <v>0.96</v>
      </c>
      <c r="W52" s="152">
        <f>'RS2'!V52</f>
        <v>0.96</v>
      </c>
      <c r="X52" s="152">
        <f>'RS2'!W52</f>
        <v>0.96</v>
      </c>
      <c r="Y52" s="152">
        <f>'RS2'!X52</f>
        <v>0.96</v>
      </c>
      <c r="Z52" s="152">
        <f>'RS2'!Y52</f>
        <v>0.96</v>
      </c>
      <c r="AA52" s="152">
        <f>'RS2'!Z52</f>
        <v>0.96</v>
      </c>
      <c r="AB52" s="152">
        <f>'RS2'!AA52</f>
        <v>0.96</v>
      </c>
      <c r="AC52" s="152">
        <f>'RS2'!AB52</f>
        <v>0.96</v>
      </c>
      <c r="AD52" s="152">
        <f>'RS2'!AC52</f>
        <v>0.96</v>
      </c>
      <c r="AE52" s="152">
        <f>'RS2'!AD52</f>
        <v>0.96</v>
      </c>
      <c r="AF52" s="152">
        <f>'RS2'!AE52</f>
        <v>0.96</v>
      </c>
      <c r="AG52" s="152">
        <f>'RS2'!AF52</f>
        <v>0.96</v>
      </c>
      <c r="AH52" s="152">
        <f>'RS2'!AG52</f>
        <v>0.96</v>
      </c>
      <c r="AI52" s="152">
        <f>'RS2'!AH52</f>
        <v>0.96</v>
      </c>
      <c r="AJ52" s="152">
        <f>'RS2'!AI52</f>
        <v>0.96</v>
      </c>
      <c r="AK52" s="152">
        <f>'RS2'!AJ52</f>
        <v>0.96</v>
      </c>
      <c r="AL52" s="152">
        <f>'RS2'!AK52</f>
        <v>0.96</v>
      </c>
      <c r="AM52" s="152">
        <f>'RS2'!AL52</f>
        <v>0.96</v>
      </c>
      <c r="AN52" s="152">
        <f>'RS2'!AM52</f>
        <v>0.96</v>
      </c>
      <c r="AO52" s="152">
        <f>'RS2'!AN52</f>
        <v>0.96</v>
      </c>
      <c r="AP52" s="152">
        <f>'RS2'!AO52</f>
        <v>0.96</v>
      </c>
      <c r="AQ52" s="152">
        <f>'RS2'!AP52</f>
        <v>0.96</v>
      </c>
      <c r="AR52" s="152">
        <f>'RS2'!AQ52</f>
        <v>0.96</v>
      </c>
      <c r="AS52" s="152">
        <f>'RS2'!AR52</f>
        <v>0.96</v>
      </c>
      <c r="AT52" s="152">
        <f>'RS2'!AS52</f>
        <v>0.96</v>
      </c>
      <c r="AU52" s="152">
        <f>'RS2'!AT52</f>
        <v>0.96</v>
      </c>
      <c r="AV52" s="152">
        <f>'RS2'!AU52</f>
        <v>0.96</v>
      </c>
      <c r="AW52" s="90"/>
      <c r="AX52" s="90"/>
      <c r="AY52" s="90"/>
      <c r="AZ52" s="90"/>
      <c r="BA52" s="90"/>
      <c r="BB52" s="90"/>
      <c r="BC52" s="90"/>
      <c r="BD52" s="90"/>
      <c r="BE52" s="90"/>
      <c r="BF52" s="90"/>
      <c r="BG52" s="90"/>
      <c r="BH52" s="90"/>
      <c r="BI52" s="90"/>
      <c r="BJ52" s="90"/>
      <c r="BK52" s="90"/>
      <c r="BL52" s="90"/>
      <c r="BM52" s="90"/>
      <c r="BN52" s="90"/>
      <c r="BO52" s="90"/>
      <c r="BP52" s="90"/>
      <c r="BQ52" s="90"/>
    </row>
    <row r="53" ht="12.75" hidden="1" customHeight="1" outlineLevel="1">
      <c r="A53" s="515"/>
      <c r="B53" s="90"/>
      <c r="C53" s="90" t="s">
        <v>640</v>
      </c>
      <c r="D53" s="90"/>
      <c r="E53" s="90"/>
      <c r="F53" s="90"/>
      <c r="G53" s="90"/>
      <c r="H53" s="102"/>
      <c r="I53" s="102"/>
      <c r="J53" s="102"/>
      <c r="K53" s="102">
        <f t="shared" ref="K53:AV53" si="34">K50*K52*SUM(K40:K43)</f>
        <v>0</v>
      </c>
      <c r="L53" s="102">
        <f t="shared" si="34"/>
        <v>376.32</v>
      </c>
      <c r="M53" s="102">
        <f t="shared" si="34"/>
        <v>376.32</v>
      </c>
      <c r="N53" s="102">
        <f t="shared" si="34"/>
        <v>350.4</v>
      </c>
      <c r="O53" s="102">
        <f t="shared" si="34"/>
        <v>350.4</v>
      </c>
      <c r="P53" s="102">
        <f t="shared" si="34"/>
        <v>350.4</v>
      </c>
      <c r="Q53" s="102">
        <f t="shared" si="34"/>
        <v>350.4</v>
      </c>
      <c r="R53" s="102">
        <f t="shared" si="34"/>
        <v>350.4</v>
      </c>
      <c r="S53" s="102">
        <f t="shared" si="34"/>
        <v>350.4</v>
      </c>
      <c r="T53" s="102">
        <f t="shared" si="34"/>
        <v>350.4</v>
      </c>
      <c r="U53" s="102">
        <f t="shared" si="34"/>
        <v>350.4</v>
      </c>
      <c r="V53" s="102">
        <f t="shared" si="34"/>
        <v>350.4</v>
      </c>
      <c r="W53" s="102">
        <f t="shared" si="34"/>
        <v>350.4</v>
      </c>
      <c r="X53" s="102">
        <f t="shared" si="34"/>
        <v>350.4</v>
      </c>
      <c r="Y53" s="102">
        <f t="shared" si="34"/>
        <v>350.4</v>
      </c>
      <c r="Z53" s="102">
        <f t="shared" si="34"/>
        <v>350.4</v>
      </c>
      <c r="AA53" s="102">
        <f t="shared" si="34"/>
        <v>350.4</v>
      </c>
      <c r="AB53" s="102">
        <f t="shared" si="34"/>
        <v>350.4</v>
      </c>
      <c r="AC53" s="102">
        <f t="shared" si="34"/>
        <v>350.4</v>
      </c>
      <c r="AD53" s="102">
        <f t="shared" si="34"/>
        <v>350.4</v>
      </c>
      <c r="AE53" s="102">
        <f t="shared" si="34"/>
        <v>350.4</v>
      </c>
      <c r="AF53" s="102">
        <f t="shared" si="34"/>
        <v>350.4</v>
      </c>
      <c r="AG53" s="102">
        <f t="shared" si="34"/>
        <v>350.4</v>
      </c>
      <c r="AH53" s="102">
        <f t="shared" si="34"/>
        <v>350.4</v>
      </c>
      <c r="AI53" s="102">
        <f t="shared" si="34"/>
        <v>350.4</v>
      </c>
      <c r="AJ53" s="102">
        <f t="shared" si="34"/>
        <v>350.4</v>
      </c>
      <c r="AK53" s="102">
        <f t="shared" si="34"/>
        <v>350.4</v>
      </c>
      <c r="AL53" s="102">
        <f t="shared" si="34"/>
        <v>350.4</v>
      </c>
      <c r="AM53" s="102">
        <f t="shared" si="34"/>
        <v>350.4</v>
      </c>
      <c r="AN53" s="102">
        <f t="shared" si="34"/>
        <v>350.4</v>
      </c>
      <c r="AO53" s="102">
        <f t="shared" si="34"/>
        <v>350.4</v>
      </c>
      <c r="AP53" s="102">
        <f t="shared" si="34"/>
        <v>350.4</v>
      </c>
      <c r="AQ53" s="102">
        <f t="shared" si="34"/>
        <v>350.4</v>
      </c>
      <c r="AR53" s="102">
        <f t="shared" si="34"/>
        <v>350.4</v>
      </c>
      <c r="AS53" s="102">
        <f t="shared" si="34"/>
        <v>350.4</v>
      </c>
      <c r="AT53" s="102">
        <f t="shared" si="34"/>
        <v>350.4</v>
      </c>
      <c r="AU53" s="102">
        <f t="shared" si="34"/>
        <v>350.4</v>
      </c>
      <c r="AV53" s="102">
        <f t="shared" si="34"/>
        <v>350.4</v>
      </c>
      <c r="AW53" s="90"/>
      <c r="AX53" s="90"/>
      <c r="AY53" s="90"/>
      <c r="AZ53" s="90"/>
      <c r="BA53" s="90"/>
      <c r="BB53" s="90"/>
      <c r="BC53" s="90"/>
      <c r="BD53" s="90"/>
      <c r="BE53" s="90"/>
      <c r="BF53" s="90"/>
      <c r="BG53" s="90"/>
      <c r="BH53" s="90"/>
      <c r="BI53" s="90"/>
      <c r="BJ53" s="90"/>
      <c r="BK53" s="90"/>
      <c r="BL53" s="90"/>
      <c r="BM53" s="90"/>
      <c r="BN53" s="90"/>
      <c r="BO53" s="90"/>
      <c r="BP53" s="90"/>
      <c r="BQ53" s="90"/>
    </row>
    <row r="54" ht="12.75" hidden="1" customHeight="1" outlineLevel="1">
      <c r="A54" s="515"/>
      <c r="B54" s="90"/>
      <c r="C54" s="90" t="s">
        <v>641</v>
      </c>
      <c r="D54" s="90"/>
      <c r="E54" s="90"/>
      <c r="F54" s="90"/>
      <c r="G54" s="90"/>
      <c r="H54" s="102"/>
      <c r="I54" s="102"/>
      <c r="J54" s="102"/>
      <c r="K54" s="102">
        <f t="shared" ref="K54:AV54" si="35">K50*K52*(K44+K45)</f>
        <v>0</v>
      </c>
      <c r="L54" s="102">
        <f t="shared" si="35"/>
        <v>0</v>
      </c>
      <c r="M54" s="102">
        <f t="shared" si="35"/>
        <v>69.12</v>
      </c>
      <c r="N54" s="102">
        <f t="shared" si="35"/>
        <v>129.6</v>
      </c>
      <c r="O54" s="102">
        <f t="shared" si="35"/>
        <v>129.6</v>
      </c>
      <c r="P54" s="102">
        <f t="shared" si="35"/>
        <v>129.6</v>
      </c>
      <c r="Q54" s="102">
        <f t="shared" si="35"/>
        <v>129.6</v>
      </c>
      <c r="R54" s="102">
        <f t="shared" si="35"/>
        <v>129.6</v>
      </c>
      <c r="S54" s="102">
        <f t="shared" si="35"/>
        <v>129.6</v>
      </c>
      <c r="T54" s="102">
        <f t="shared" si="35"/>
        <v>129.6</v>
      </c>
      <c r="U54" s="102">
        <f t="shared" si="35"/>
        <v>129.6</v>
      </c>
      <c r="V54" s="102">
        <f t="shared" si="35"/>
        <v>129.6</v>
      </c>
      <c r="W54" s="102">
        <f t="shared" si="35"/>
        <v>129.6</v>
      </c>
      <c r="X54" s="102">
        <f t="shared" si="35"/>
        <v>129.6</v>
      </c>
      <c r="Y54" s="102">
        <f t="shared" si="35"/>
        <v>129.6</v>
      </c>
      <c r="Z54" s="102">
        <f t="shared" si="35"/>
        <v>129.6</v>
      </c>
      <c r="AA54" s="102">
        <f t="shared" si="35"/>
        <v>129.6</v>
      </c>
      <c r="AB54" s="102">
        <f t="shared" si="35"/>
        <v>129.6</v>
      </c>
      <c r="AC54" s="102">
        <f t="shared" si="35"/>
        <v>129.6</v>
      </c>
      <c r="AD54" s="102">
        <f t="shared" si="35"/>
        <v>129.6</v>
      </c>
      <c r="AE54" s="102">
        <f t="shared" si="35"/>
        <v>129.6</v>
      </c>
      <c r="AF54" s="102">
        <f t="shared" si="35"/>
        <v>129.6</v>
      </c>
      <c r="AG54" s="102">
        <f t="shared" si="35"/>
        <v>129.6</v>
      </c>
      <c r="AH54" s="102">
        <f t="shared" si="35"/>
        <v>129.6</v>
      </c>
      <c r="AI54" s="102">
        <f t="shared" si="35"/>
        <v>129.6</v>
      </c>
      <c r="AJ54" s="102">
        <f t="shared" si="35"/>
        <v>129.6</v>
      </c>
      <c r="AK54" s="102">
        <f t="shared" si="35"/>
        <v>129.6</v>
      </c>
      <c r="AL54" s="102">
        <f t="shared" si="35"/>
        <v>129.6</v>
      </c>
      <c r="AM54" s="102">
        <f t="shared" si="35"/>
        <v>129.6</v>
      </c>
      <c r="AN54" s="102">
        <f t="shared" si="35"/>
        <v>129.6</v>
      </c>
      <c r="AO54" s="102">
        <f t="shared" si="35"/>
        <v>129.6</v>
      </c>
      <c r="AP54" s="102">
        <f t="shared" si="35"/>
        <v>129.6</v>
      </c>
      <c r="AQ54" s="102">
        <f t="shared" si="35"/>
        <v>129.6</v>
      </c>
      <c r="AR54" s="102">
        <f t="shared" si="35"/>
        <v>129.6</v>
      </c>
      <c r="AS54" s="102">
        <f t="shared" si="35"/>
        <v>129.6</v>
      </c>
      <c r="AT54" s="102">
        <f t="shared" si="35"/>
        <v>129.6</v>
      </c>
      <c r="AU54" s="102">
        <f t="shared" si="35"/>
        <v>129.6</v>
      </c>
      <c r="AV54" s="102">
        <f t="shared" si="35"/>
        <v>129.6</v>
      </c>
      <c r="AW54" s="90"/>
      <c r="AX54" s="90"/>
      <c r="AY54" s="90"/>
      <c r="AZ54" s="90"/>
      <c r="BA54" s="90"/>
      <c r="BB54" s="90"/>
      <c r="BC54" s="90"/>
      <c r="BD54" s="90"/>
      <c r="BE54" s="90"/>
      <c r="BF54" s="90"/>
      <c r="BG54" s="90"/>
      <c r="BH54" s="90"/>
      <c r="BI54" s="90"/>
      <c r="BJ54" s="90"/>
      <c r="BK54" s="90"/>
      <c r="BL54" s="90"/>
      <c r="BM54" s="90"/>
      <c r="BN54" s="90"/>
      <c r="BO54" s="90"/>
      <c r="BP54" s="90"/>
      <c r="BQ54" s="90"/>
    </row>
    <row r="55" ht="12.75" hidden="1" customHeight="1" outlineLevel="1">
      <c r="A55" s="515"/>
      <c r="B55" s="134" t="s">
        <v>538</v>
      </c>
      <c r="C55" s="134"/>
      <c r="D55" s="134"/>
      <c r="E55" s="134"/>
      <c r="F55" s="134"/>
      <c r="G55" s="134"/>
      <c r="H55" s="562"/>
      <c r="I55" s="562"/>
      <c r="J55" s="562"/>
      <c r="K55" s="562">
        <f t="shared" ref="K55:AV55" si="36">K50*K52*K46</f>
        <v>0</v>
      </c>
      <c r="L55" s="562">
        <f t="shared" si="36"/>
        <v>376.32</v>
      </c>
      <c r="M55" s="562">
        <f t="shared" si="36"/>
        <v>445.44</v>
      </c>
      <c r="N55" s="562">
        <f t="shared" si="36"/>
        <v>480</v>
      </c>
      <c r="O55" s="562">
        <f t="shared" si="36"/>
        <v>480</v>
      </c>
      <c r="P55" s="562">
        <f t="shared" si="36"/>
        <v>480</v>
      </c>
      <c r="Q55" s="562">
        <f t="shared" si="36"/>
        <v>480</v>
      </c>
      <c r="R55" s="562">
        <f t="shared" si="36"/>
        <v>480</v>
      </c>
      <c r="S55" s="562">
        <f t="shared" si="36"/>
        <v>480</v>
      </c>
      <c r="T55" s="562">
        <f t="shared" si="36"/>
        <v>480</v>
      </c>
      <c r="U55" s="562">
        <f t="shared" si="36"/>
        <v>480</v>
      </c>
      <c r="V55" s="562">
        <f t="shared" si="36"/>
        <v>480</v>
      </c>
      <c r="W55" s="562">
        <f t="shared" si="36"/>
        <v>480</v>
      </c>
      <c r="X55" s="562">
        <f t="shared" si="36"/>
        <v>480</v>
      </c>
      <c r="Y55" s="562">
        <f t="shared" si="36"/>
        <v>480</v>
      </c>
      <c r="Z55" s="562">
        <f t="shared" si="36"/>
        <v>480</v>
      </c>
      <c r="AA55" s="562">
        <f t="shared" si="36"/>
        <v>480</v>
      </c>
      <c r="AB55" s="562">
        <f t="shared" si="36"/>
        <v>480</v>
      </c>
      <c r="AC55" s="562">
        <f t="shared" si="36"/>
        <v>480</v>
      </c>
      <c r="AD55" s="562">
        <f t="shared" si="36"/>
        <v>480</v>
      </c>
      <c r="AE55" s="562">
        <f t="shared" si="36"/>
        <v>480</v>
      </c>
      <c r="AF55" s="562">
        <f t="shared" si="36"/>
        <v>480</v>
      </c>
      <c r="AG55" s="562">
        <f t="shared" si="36"/>
        <v>480</v>
      </c>
      <c r="AH55" s="562">
        <f t="shared" si="36"/>
        <v>480</v>
      </c>
      <c r="AI55" s="562">
        <f t="shared" si="36"/>
        <v>480</v>
      </c>
      <c r="AJ55" s="562">
        <f t="shared" si="36"/>
        <v>480</v>
      </c>
      <c r="AK55" s="562">
        <f t="shared" si="36"/>
        <v>480</v>
      </c>
      <c r="AL55" s="562">
        <f t="shared" si="36"/>
        <v>480</v>
      </c>
      <c r="AM55" s="562">
        <f t="shared" si="36"/>
        <v>480</v>
      </c>
      <c r="AN55" s="562">
        <f t="shared" si="36"/>
        <v>480</v>
      </c>
      <c r="AO55" s="562">
        <f t="shared" si="36"/>
        <v>480</v>
      </c>
      <c r="AP55" s="562">
        <f t="shared" si="36"/>
        <v>480</v>
      </c>
      <c r="AQ55" s="562">
        <f t="shared" si="36"/>
        <v>480</v>
      </c>
      <c r="AR55" s="562">
        <f t="shared" si="36"/>
        <v>480</v>
      </c>
      <c r="AS55" s="562">
        <f t="shared" si="36"/>
        <v>480</v>
      </c>
      <c r="AT55" s="562">
        <f t="shared" si="36"/>
        <v>480</v>
      </c>
      <c r="AU55" s="562">
        <f t="shared" si="36"/>
        <v>480</v>
      </c>
      <c r="AV55" s="562">
        <f t="shared" si="36"/>
        <v>480</v>
      </c>
      <c r="AW55" s="67"/>
      <c r="AX55" s="67"/>
      <c r="AY55" s="67"/>
      <c r="AZ55" s="67"/>
      <c r="BA55" s="67"/>
      <c r="BB55" s="67"/>
      <c r="BC55" s="67"/>
      <c r="BD55" s="67"/>
      <c r="BE55" s="67"/>
      <c r="BF55" s="67"/>
      <c r="BG55" s="67"/>
      <c r="BH55" s="67"/>
      <c r="BI55" s="67"/>
      <c r="BJ55" s="67"/>
      <c r="BK55" s="67"/>
      <c r="BL55" s="67"/>
      <c r="BM55" s="67"/>
      <c r="BN55" s="67"/>
      <c r="BO55" s="67"/>
      <c r="BP55" s="67"/>
      <c r="BQ55" s="67"/>
    </row>
    <row r="56" ht="12.75" hidden="1" customHeight="1" outlineLevel="1">
      <c r="A56" s="515"/>
      <c r="B56" s="195"/>
      <c r="C56" s="90"/>
      <c r="D56" s="90"/>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c r="BF56" s="90"/>
      <c r="BG56" s="90"/>
      <c r="BH56" s="90"/>
      <c r="BI56" s="90"/>
      <c r="BJ56" s="90"/>
      <c r="BK56" s="90"/>
      <c r="BL56" s="90"/>
      <c r="BM56" s="90"/>
      <c r="BN56" s="90"/>
      <c r="BO56" s="90"/>
      <c r="BP56" s="90"/>
      <c r="BQ56" s="90"/>
    </row>
    <row r="57" ht="12.75" hidden="1" customHeight="1" outlineLevel="1">
      <c r="A57" s="515"/>
      <c r="B57" s="90" t="s">
        <v>642</v>
      </c>
      <c r="C57" s="90"/>
      <c r="D57" s="90"/>
      <c r="E57" s="90"/>
      <c r="F57" s="90"/>
      <c r="G57" s="90"/>
      <c r="H57" s="157"/>
      <c r="I57" s="157"/>
      <c r="J57" s="157"/>
      <c r="K57" s="152">
        <v>0.0</v>
      </c>
      <c r="L57" s="152">
        <f>'RSGen 1-7'!I58</f>
        <v>0.7</v>
      </c>
      <c r="M57" s="152">
        <f>'RSGen 1-7'!J58</f>
        <v>0.7</v>
      </c>
      <c r="N57" s="152">
        <f>'RSGen 1-7'!K58</f>
        <v>0.7</v>
      </c>
      <c r="O57" s="152">
        <f>'RSGen 1-7'!L58</f>
        <v>0.7</v>
      </c>
      <c r="P57" s="152">
        <f>'RSGen 1-7'!M58</f>
        <v>0.7</v>
      </c>
      <c r="Q57" s="152">
        <f>'RSGen 1-7'!N58</f>
        <v>0.7</v>
      </c>
      <c r="R57" s="152">
        <f>'RSGen 1-7'!O58</f>
        <v>0.7</v>
      </c>
      <c r="S57" s="152">
        <f>'RSGen 1-7'!P58</f>
        <v>0.7</v>
      </c>
      <c r="T57" s="152">
        <f>'RSGen 1-7'!Q58</f>
        <v>0.7</v>
      </c>
      <c r="U57" s="152">
        <f>'RSGen 1-7'!R58</f>
        <v>0.7</v>
      </c>
      <c r="V57" s="152">
        <f t="shared" ref="V57:AV57" si="37">U57</f>
        <v>0.7</v>
      </c>
      <c r="W57" s="152">
        <f t="shared" si="37"/>
        <v>0.7</v>
      </c>
      <c r="X57" s="152">
        <f t="shared" si="37"/>
        <v>0.7</v>
      </c>
      <c r="Y57" s="152">
        <f t="shared" si="37"/>
        <v>0.7</v>
      </c>
      <c r="Z57" s="152">
        <f t="shared" si="37"/>
        <v>0.7</v>
      </c>
      <c r="AA57" s="152">
        <f t="shared" si="37"/>
        <v>0.7</v>
      </c>
      <c r="AB57" s="152">
        <f t="shared" si="37"/>
        <v>0.7</v>
      </c>
      <c r="AC57" s="152">
        <f t="shared" si="37"/>
        <v>0.7</v>
      </c>
      <c r="AD57" s="152">
        <f t="shared" si="37"/>
        <v>0.7</v>
      </c>
      <c r="AE57" s="152">
        <f t="shared" si="37"/>
        <v>0.7</v>
      </c>
      <c r="AF57" s="152">
        <f t="shared" si="37"/>
        <v>0.7</v>
      </c>
      <c r="AG57" s="152">
        <f t="shared" si="37"/>
        <v>0.7</v>
      </c>
      <c r="AH57" s="152">
        <f t="shared" si="37"/>
        <v>0.7</v>
      </c>
      <c r="AI57" s="152">
        <f t="shared" si="37"/>
        <v>0.7</v>
      </c>
      <c r="AJ57" s="152">
        <f t="shared" si="37"/>
        <v>0.7</v>
      </c>
      <c r="AK57" s="152">
        <f t="shared" si="37"/>
        <v>0.7</v>
      </c>
      <c r="AL57" s="152">
        <f t="shared" si="37"/>
        <v>0.7</v>
      </c>
      <c r="AM57" s="152">
        <f t="shared" si="37"/>
        <v>0.7</v>
      </c>
      <c r="AN57" s="152">
        <f t="shared" si="37"/>
        <v>0.7</v>
      </c>
      <c r="AO57" s="152">
        <f t="shared" si="37"/>
        <v>0.7</v>
      </c>
      <c r="AP57" s="152">
        <f t="shared" si="37"/>
        <v>0.7</v>
      </c>
      <c r="AQ57" s="152">
        <f t="shared" si="37"/>
        <v>0.7</v>
      </c>
      <c r="AR57" s="152">
        <f t="shared" si="37"/>
        <v>0.7</v>
      </c>
      <c r="AS57" s="152">
        <f t="shared" si="37"/>
        <v>0.7</v>
      </c>
      <c r="AT57" s="152">
        <f t="shared" si="37"/>
        <v>0.7</v>
      </c>
      <c r="AU57" s="152">
        <f t="shared" si="37"/>
        <v>0.7</v>
      </c>
      <c r="AV57" s="152">
        <f t="shared" si="37"/>
        <v>0.7</v>
      </c>
      <c r="AW57" s="90"/>
      <c r="AX57" s="90"/>
      <c r="AY57" s="90"/>
      <c r="AZ57" s="90"/>
      <c r="BA57" s="90"/>
      <c r="BB57" s="90"/>
      <c r="BC57" s="90"/>
      <c r="BD57" s="90"/>
      <c r="BE57" s="90"/>
      <c r="BF57" s="90"/>
      <c r="BG57" s="90"/>
      <c r="BH57" s="90"/>
      <c r="BI57" s="90"/>
      <c r="BJ57" s="90"/>
      <c r="BK57" s="90"/>
      <c r="BL57" s="90"/>
      <c r="BM57" s="90"/>
      <c r="BN57" s="90"/>
      <c r="BO57" s="90"/>
      <c r="BP57" s="90"/>
      <c r="BQ57" s="90"/>
    </row>
    <row r="58" ht="12.75" hidden="1" customHeight="1" outlineLevel="1">
      <c r="A58" s="515"/>
      <c r="B58" s="90" t="s">
        <v>643</v>
      </c>
      <c r="C58" s="90"/>
      <c r="D58" s="90"/>
      <c r="E58" s="90"/>
      <c r="F58" s="90"/>
      <c r="G58" s="90"/>
      <c r="H58" s="90"/>
      <c r="I58" s="90"/>
      <c r="J58" s="90"/>
      <c r="K58" s="102">
        <f t="shared" ref="K58:AV58" si="38">ROUND(K50*K57*K46,0)</f>
        <v>0</v>
      </c>
      <c r="L58" s="102">
        <f t="shared" si="38"/>
        <v>274</v>
      </c>
      <c r="M58" s="102">
        <f t="shared" si="38"/>
        <v>325</v>
      </c>
      <c r="N58" s="102">
        <f t="shared" si="38"/>
        <v>350</v>
      </c>
      <c r="O58" s="102">
        <f t="shared" si="38"/>
        <v>350</v>
      </c>
      <c r="P58" s="102">
        <f t="shared" si="38"/>
        <v>350</v>
      </c>
      <c r="Q58" s="102">
        <f t="shared" si="38"/>
        <v>350</v>
      </c>
      <c r="R58" s="102">
        <f t="shared" si="38"/>
        <v>350</v>
      </c>
      <c r="S58" s="102">
        <f t="shared" si="38"/>
        <v>350</v>
      </c>
      <c r="T58" s="102">
        <f t="shared" si="38"/>
        <v>350</v>
      </c>
      <c r="U58" s="102">
        <f t="shared" si="38"/>
        <v>350</v>
      </c>
      <c r="V58" s="102">
        <f t="shared" si="38"/>
        <v>350</v>
      </c>
      <c r="W58" s="102">
        <f t="shared" si="38"/>
        <v>350</v>
      </c>
      <c r="X58" s="102">
        <f t="shared" si="38"/>
        <v>350</v>
      </c>
      <c r="Y58" s="102">
        <f t="shared" si="38"/>
        <v>350</v>
      </c>
      <c r="Z58" s="102">
        <f t="shared" si="38"/>
        <v>350</v>
      </c>
      <c r="AA58" s="102">
        <f t="shared" si="38"/>
        <v>350</v>
      </c>
      <c r="AB58" s="102">
        <f t="shared" si="38"/>
        <v>350</v>
      </c>
      <c r="AC58" s="102">
        <f t="shared" si="38"/>
        <v>350</v>
      </c>
      <c r="AD58" s="102">
        <f t="shared" si="38"/>
        <v>350</v>
      </c>
      <c r="AE58" s="102">
        <f t="shared" si="38"/>
        <v>350</v>
      </c>
      <c r="AF58" s="102">
        <f t="shared" si="38"/>
        <v>350</v>
      </c>
      <c r="AG58" s="102">
        <f t="shared" si="38"/>
        <v>350</v>
      </c>
      <c r="AH58" s="102">
        <f t="shared" si="38"/>
        <v>350</v>
      </c>
      <c r="AI58" s="102">
        <f t="shared" si="38"/>
        <v>350</v>
      </c>
      <c r="AJ58" s="102">
        <f t="shared" si="38"/>
        <v>350</v>
      </c>
      <c r="AK58" s="102">
        <f t="shared" si="38"/>
        <v>350</v>
      </c>
      <c r="AL58" s="102">
        <f t="shared" si="38"/>
        <v>350</v>
      </c>
      <c r="AM58" s="102">
        <f t="shared" si="38"/>
        <v>350</v>
      </c>
      <c r="AN58" s="102">
        <f t="shared" si="38"/>
        <v>350</v>
      </c>
      <c r="AO58" s="102">
        <f t="shared" si="38"/>
        <v>350</v>
      </c>
      <c r="AP58" s="102">
        <f t="shared" si="38"/>
        <v>350</v>
      </c>
      <c r="AQ58" s="102">
        <f t="shared" si="38"/>
        <v>350</v>
      </c>
      <c r="AR58" s="102">
        <f t="shared" si="38"/>
        <v>350</v>
      </c>
      <c r="AS58" s="102">
        <f t="shared" si="38"/>
        <v>350</v>
      </c>
      <c r="AT58" s="102">
        <f t="shared" si="38"/>
        <v>350</v>
      </c>
      <c r="AU58" s="102">
        <f t="shared" si="38"/>
        <v>350</v>
      </c>
      <c r="AV58" s="102">
        <f t="shared" si="38"/>
        <v>350</v>
      </c>
      <c r="AW58" s="90"/>
      <c r="AX58" s="90"/>
      <c r="AY58" s="90"/>
      <c r="AZ58" s="90"/>
      <c r="BA58" s="90"/>
      <c r="BB58" s="90"/>
      <c r="BC58" s="90"/>
      <c r="BD58" s="90"/>
      <c r="BE58" s="90"/>
      <c r="BF58" s="90"/>
      <c r="BG58" s="90"/>
      <c r="BH58" s="90"/>
      <c r="BI58" s="90"/>
      <c r="BJ58" s="90"/>
      <c r="BK58" s="90"/>
      <c r="BL58" s="90"/>
      <c r="BM58" s="90"/>
      <c r="BN58" s="90"/>
      <c r="BO58" s="90"/>
      <c r="BP58" s="90"/>
      <c r="BQ58" s="90"/>
    </row>
    <row r="59" ht="12.75" hidden="1" customHeight="1" outlineLevel="1">
      <c r="A59" s="515"/>
      <c r="B59" s="90" t="s">
        <v>644</v>
      </c>
      <c r="C59" s="90"/>
      <c r="D59" s="90"/>
      <c r="E59" s="90"/>
      <c r="F59" s="90"/>
      <c r="G59" s="90"/>
      <c r="H59" s="157"/>
      <c r="I59" s="157"/>
      <c r="J59" s="152"/>
      <c r="K59" s="152">
        <v>0.0</v>
      </c>
      <c r="L59" s="152">
        <f>'RS2'!K59</f>
        <v>0.06</v>
      </c>
      <c r="M59" s="152">
        <f t="shared" ref="M59:AV59" si="39">L59</f>
        <v>0.06</v>
      </c>
      <c r="N59" s="152">
        <f t="shared" si="39"/>
        <v>0.06</v>
      </c>
      <c r="O59" s="152">
        <f t="shared" si="39"/>
        <v>0.06</v>
      </c>
      <c r="P59" s="152">
        <f t="shared" si="39"/>
        <v>0.06</v>
      </c>
      <c r="Q59" s="152">
        <f t="shared" si="39"/>
        <v>0.06</v>
      </c>
      <c r="R59" s="152">
        <f t="shared" si="39"/>
        <v>0.06</v>
      </c>
      <c r="S59" s="152">
        <f t="shared" si="39"/>
        <v>0.06</v>
      </c>
      <c r="T59" s="152">
        <f t="shared" si="39"/>
        <v>0.06</v>
      </c>
      <c r="U59" s="152">
        <f t="shared" si="39"/>
        <v>0.06</v>
      </c>
      <c r="V59" s="152">
        <f t="shared" si="39"/>
        <v>0.06</v>
      </c>
      <c r="W59" s="152">
        <f t="shared" si="39"/>
        <v>0.06</v>
      </c>
      <c r="X59" s="152">
        <f t="shared" si="39"/>
        <v>0.06</v>
      </c>
      <c r="Y59" s="152">
        <f t="shared" si="39"/>
        <v>0.06</v>
      </c>
      <c r="Z59" s="152">
        <f t="shared" si="39"/>
        <v>0.06</v>
      </c>
      <c r="AA59" s="152">
        <f t="shared" si="39"/>
        <v>0.06</v>
      </c>
      <c r="AB59" s="152">
        <f t="shared" si="39"/>
        <v>0.06</v>
      </c>
      <c r="AC59" s="152">
        <f t="shared" si="39"/>
        <v>0.06</v>
      </c>
      <c r="AD59" s="152">
        <f t="shared" si="39"/>
        <v>0.06</v>
      </c>
      <c r="AE59" s="152">
        <f t="shared" si="39"/>
        <v>0.06</v>
      </c>
      <c r="AF59" s="152">
        <f t="shared" si="39"/>
        <v>0.06</v>
      </c>
      <c r="AG59" s="152">
        <f t="shared" si="39"/>
        <v>0.06</v>
      </c>
      <c r="AH59" s="152">
        <f t="shared" si="39"/>
        <v>0.06</v>
      </c>
      <c r="AI59" s="152">
        <f t="shared" si="39"/>
        <v>0.06</v>
      </c>
      <c r="AJ59" s="152">
        <f t="shared" si="39"/>
        <v>0.06</v>
      </c>
      <c r="AK59" s="152">
        <f t="shared" si="39"/>
        <v>0.06</v>
      </c>
      <c r="AL59" s="152">
        <f t="shared" si="39"/>
        <v>0.06</v>
      </c>
      <c r="AM59" s="152">
        <f t="shared" si="39"/>
        <v>0.06</v>
      </c>
      <c r="AN59" s="152">
        <f t="shared" si="39"/>
        <v>0.06</v>
      </c>
      <c r="AO59" s="152">
        <f t="shared" si="39"/>
        <v>0.06</v>
      </c>
      <c r="AP59" s="152">
        <f t="shared" si="39"/>
        <v>0.06</v>
      </c>
      <c r="AQ59" s="152">
        <f t="shared" si="39"/>
        <v>0.06</v>
      </c>
      <c r="AR59" s="152">
        <f t="shared" si="39"/>
        <v>0.06</v>
      </c>
      <c r="AS59" s="152">
        <f t="shared" si="39"/>
        <v>0.06</v>
      </c>
      <c r="AT59" s="152">
        <f t="shared" si="39"/>
        <v>0.06</v>
      </c>
      <c r="AU59" s="152">
        <f t="shared" si="39"/>
        <v>0.06</v>
      </c>
      <c r="AV59" s="152">
        <f t="shared" si="39"/>
        <v>0.06</v>
      </c>
      <c r="AW59" s="90"/>
      <c r="AX59" s="90"/>
      <c r="AY59" s="90"/>
      <c r="AZ59" s="90"/>
      <c r="BA59" s="90"/>
      <c r="BB59" s="90"/>
      <c r="BC59" s="90"/>
      <c r="BD59" s="90"/>
      <c r="BE59" s="90"/>
      <c r="BF59" s="90"/>
      <c r="BG59" s="90"/>
      <c r="BH59" s="90"/>
      <c r="BI59" s="90"/>
      <c r="BJ59" s="90"/>
      <c r="BK59" s="90"/>
      <c r="BL59" s="90"/>
      <c r="BM59" s="90"/>
      <c r="BN59" s="90"/>
      <c r="BO59" s="90"/>
      <c r="BP59" s="90"/>
      <c r="BQ59" s="90"/>
    </row>
    <row r="60" ht="12.75" hidden="1" customHeight="1" outlineLevel="1">
      <c r="A60" s="515"/>
      <c r="B60" s="90" t="s">
        <v>645</v>
      </c>
      <c r="C60" s="90"/>
      <c r="D60" s="90"/>
      <c r="E60" s="90"/>
      <c r="F60" s="90"/>
      <c r="G60" s="90"/>
      <c r="H60" s="157"/>
      <c r="I60" s="157"/>
      <c r="J60" s="152"/>
      <c r="K60" s="152">
        <v>0.0</v>
      </c>
      <c r="L60" s="152">
        <f>'RS2'!K60</f>
        <v>0.8</v>
      </c>
      <c r="M60" s="152">
        <f t="shared" ref="M60:AV60" si="40">L60</f>
        <v>0.8</v>
      </c>
      <c r="N60" s="152">
        <f t="shared" si="40"/>
        <v>0.8</v>
      </c>
      <c r="O60" s="152">
        <f t="shared" si="40"/>
        <v>0.8</v>
      </c>
      <c r="P60" s="152">
        <f t="shared" si="40"/>
        <v>0.8</v>
      </c>
      <c r="Q60" s="152">
        <f t="shared" si="40"/>
        <v>0.8</v>
      </c>
      <c r="R60" s="152">
        <f t="shared" si="40"/>
        <v>0.8</v>
      </c>
      <c r="S60" s="152">
        <f t="shared" si="40"/>
        <v>0.8</v>
      </c>
      <c r="T60" s="152">
        <f t="shared" si="40"/>
        <v>0.8</v>
      </c>
      <c r="U60" s="152">
        <f t="shared" si="40"/>
        <v>0.8</v>
      </c>
      <c r="V60" s="152">
        <f t="shared" si="40"/>
        <v>0.8</v>
      </c>
      <c r="W60" s="152">
        <f t="shared" si="40"/>
        <v>0.8</v>
      </c>
      <c r="X60" s="152">
        <f t="shared" si="40"/>
        <v>0.8</v>
      </c>
      <c r="Y60" s="152">
        <f t="shared" si="40"/>
        <v>0.8</v>
      </c>
      <c r="Z60" s="152">
        <f t="shared" si="40"/>
        <v>0.8</v>
      </c>
      <c r="AA60" s="152">
        <f t="shared" si="40"/>
        <v>0.8</v>
      </c>
      <c r="AB60" s="152">
        <f t="shared" si="40"/>
        <v>0.8</v>
      </c>
      <c r="AC60" s="152">
        <f t="shared" si="40"/>
        <v>0.8</v>
      </c>
      <c r="AD60" s="152">
        <f t="shared" si="40"/>
        <v>0.8</v>
      </c>
      <c r="AE60" s="152">
        <f t="shared" si="40"/>
        <v>0.8</v>
      </c>
      <c r="AF60" s="152">
        <f t="shared" si="40"/>
        <v>0.8</v>
      </c>
      <c r="AG60" s="152">
        <f t="shared" si="40"/>
        <v>0.8</v>
      </c>
      <c r="AH60" s="152">
        <f t="shared" si="40"/>
        <v>0.8</v>
      </c>
      <c r="AI60" s="152">
        <f t="shared" si="40"/>
        <v>0.8</v>
      </c>
      <c r="AJ60" s="152">
        <f t="shared" si="40"/>
        <v>0.8</v>
      </c>
      <c r="AK60" s="152">
        <f t="shared" si="40"/>
        <v>0.8</v>
      </c>
      <c r="AL60" s="152">
        <f t="shared" si="40"/>
        <v>0.8</v>
      </c>
      <c r="AM60" s="152">
        <f t="shared" si="40"/>
        <v>0.8</v>
      </c>
      <c r="AN60" s="152">
        <f t="shared" si="40"/>
        <v>0.8</v>
      </c>
      <c r="AO60" s="152">
        <f t="shared" si="40"/>
        <v>0.8</v>
      </c>
      <c r="AP60" s="152">
        <f t="shared" si="40"/>
        <v>0.8</v>
      </c>
      <c r="AQ60" s="152">
        <f t="shared" si="40"/>
        <v>0.8</v>
      </c>
      <c r="AR60" s="152">
        <f t="shared" si="40"/>
        <v>0.8</v>
      </c>
      <c r="AS60" s="152">
        <f t="shared" si="40"/>
        <v>0.8</v>
      </c>
      <c r="AT60" s="152">
        <f t="shared" si="40"/>
        <v>0.8</v>
      </c>
      <c r="AU60" s="152">
        <f t="shared" si="40"/>
        <v>0.8</v>
      </c>
      <c r="AV60" s="152">
        <f t="shared" si="40"/>
        <v>0.8</v>
      </c>
      <c r="AW60" s="90"/>
      <c r="AX60" s="90"/>
      <c r="AY60" s="90"/>
      <c r="AZ60" s="90"/>
      <c r="BA60" s="90"/>
      <c r="BB60" s="90"/>
      <c r="BC60" s="90"/>
      <c r="BD60" s="90"/>
      <c r="BE60" s="90"/>
      <c r="BF60" s="90"/>
      <c r="BG60" s="90"/>
      <c r="BH60" s="90"/>
      <c r="BI60" s="90"/>
      <c r="BJ60" s="90"/>
      <c r="BK60" s="90"/>
      <c r="BL60" s="90"/>
      <c r="BM60" s="90"/>
      <c r="BN60" s="90"/>
      <c r="BO60" s="90"/>
      <c r="BP60" s="90"/>
      <c r="BQ60" s="90"/>
    </row>
    <row r="61" ht="12.75" hidden="1" customHeight="1" outlineLevel="1">
      <c r="A61" s="515"/>
      <c r="B61" s="90" t="s">
        <v>646</v>
      </c>
      <c r="C61" s="90"/>
      <c r="D61" s="90"/>
      <c r="E61" s="90"/>
      <c r="F61" s="90"/>
      <c r="G61" s="90"/>
      <c r="H61" s="522"/>
      <c r="I61" s="522"/>
      <c r="J61" s="522"/>
      <c r="K61" s="102">
        <f t="shared" ref="K61:AV61" si="41">K58*K59</f>
        <v>0</v>
      </c>
      <c r="L61" s="102">
        <f t="shared" si="41"/>
        <v>16.44</v>
      </c>
      <c r="M61" s="102">
        <f t="shared" si="41"/>
        <v>19.5</v>
      </c>
      <c r="N61" s="102">
        <f t="shared" si="41"/>
        <v>21</v>
      </c>
      <c r="O61" s="102">
        <f t="shared" si="41"/>
        <v>21</v>
      </c>
      <c r="P61" s="102">
        <f t="shared" si="41"/>
        <v>21</v>
      </c>
      <c r="Q61" s="102">
        <f t="shared" si="41"/>
        <v>21</v>
      </c>
      <c r="R61" s="102">
        <f t="shared" si="41"/>
        <v>21</v>
      </c>
      <c r="S61" s="102">
        <f t="shared" si="41"/>
        <v>21</v>
      </c>
      <c r="T61" s="102">
        <f t="shared" si="41"/>
        <v>21</v>
      </c>
      <c r="U61" s="102">
        <f t="shared" si="41"/>
        <v>21</v>
      </c>
      <c r="V61" s="102">
        <f t="shared" si="41"/>
        <v>21</v>
      </c>
      <c r="W61" s="102">
        <f t="shared" si="41"/>
        <v>21</v>
      </c>
      <c r="X61" s="102">
        <f t="shared" si="41"/>
        <v>21</v>
      </c>
      <c r="Y61" s="102">
        <f t="shared" si="41"/>
        <v>21</v>
      </c>
      <c r="Z61" s="102">
        <f t="shared" si="41"/>
        <v>21</v>
      </c>
      <c r="AA61" s="102">
        <f t="shared" si="41"/>
        <v>21</v>
      </c>
      <c r="AB61" s="102">
        <f t="shared" si="41"/>
        <v>21</v>
      </c>
      <c r="AC61" s="102">
        <f t="shared" si="41"/>
        <v>21</v>
      </c>
      <c r="AD61" s="102">
        <f t="shared" si="41"/>
        <v>21</v>
      </c>
      <c r="AE61" s="102">
        <f t="shared" si="41"/>
        <v>21</v>
      </c>
      <c r="AF61" s="102">
        <f t="shared" si="41"/>
        <v>21</v>
      </c>
      <c r="AG61" s="102">
        <f t="shared" si="41"/>
        <v>21</v>
      </c>
      <c r="AH61" s="102">
        <f t="shared" si="41"/>
        <v>21</v>
      </c>
      <c r="AI61" s="102">
        <f t="shared" si="41"/>
        <v>21</v>
      </c>
      <c r="AJ61" s="102">
        <f t="shared" si="41"/>
        <v>21</v>
      </c>
      <c r="AK61" s="102">
        <f t="shared" si="41"/>
        <v>21</v>
      </c>
      <c r="AL61" s="102">
        <f t="shared" si="41"/>
        <v>21</v>
      </c>
      <c r="AM61" s="102">
        <f t="shared" si="41"/>
        <v>21</v>
      </c>
      <c r="AN61" s="102">
        <f t="shared" si="41"/>
        <v>21</v>
      </c>
      <c r="AO61" s="102">
        <f t="shared" si="41"/>
        <v>21</v>
      </c>
      <c r="AP61" s="102">
        <f t="shared" si="41"/>
        <v>21</v>
      </c>
      <c r="AQ61" s="102">
        <f t="shared" si="41"/>
        <v>21</v>
      </c>
      <c r="AR61" s="102">
        <f t="shared" si="41"/>
        <v>21</v>
      </c>
      <c r="AS61" s="102">
        <f t="shared" si="41"/>
        <v>21</v>
      </c>
      <c r="AT61" s="102">
        <f t="shared" si="41"/>
        <v>21</v>
      </c>
      <c r="AU61" s="102">
        <f t="shared" si="41"/>
        <v>21</v>
      </c>
      <c r="AV61" s="102">
        <f t="shared" si="41"/>
        <v>21</v>
      </c>
      <c r="AW61" s="90"/>
      <c r="AX61" s="90"/>
      <c r="AY61" s="90"/>
      <c r="AZ61" s="90"/>
      <c r="BA61" s="90"/>
      <c r="BB61" s="90"/>
      <c r="BC61" s="90"/>
      <c r="BD61" s="90"/>
      <c r="BE61" s="90"/>
      <c r="BF61" s="90"/>
      <c r="BG61" s="90"/>
      <c r="BH61" s="90"/>
      <c r="BI61" s="90"/>
      <c r="BJ61" s="90"/>
      <c r="BK61" s="90"/>
      <c r="BL61" s="90"/>
      <c r="BM61" s="90"/>
      <c r="BN61" s="90"/>
      <c r="BO61" s="90"/>
      <c r="BP61" s="90"/>
      <c r="BQ61" s="90"/>
    </row>
    <row r="62" ht="12.75" hidden="1" customHeight="1" outlineLevel="1">
      <c r="A62" s="90"/>
      <c r="B62" s="90" t="s">
        <v>647</v>
      </c>
      <c r="C62" s="90"/>
      <c r="D62" s="90"/>
      <c r="E62" s="90"/>
      <c r="F62" s="90"/>
      <c r="G62" s="90"/>
      <c r="H62" s="522"/>
      <c r="I62" s="522"/>
      <c r="J62" s="522"/>
      <c r="K62" s="102">
        <f t="shared" ref="K62:AV62" si="42">K61*K52</f>
        <v>0</v>
      </c>
      <c r="L62" s="102">
        <f t="shared" si="42"/>
        <v>15.7824</v>
      </c>
      <c r="M62" s="102">
        <f t="shared" si="42"/>
        <v>18.72</v>
      </c>
      <c r="N62" s="102">
        <f t="shared" si="42"/>
        <v>20.16</v>
      </c>
      <c r="O62" s="102">
        <f t="shared" si="42"/>
        <v>20.16</v>
      </c>
      <c r="P62" s="102">
        <f t="shared" si="42"/>
        <v>20.16</v>
      </c>
      <c r="Q62" s="102">
        <f t="shared" si="42"/>
        <v>20.16</v>
      </c>
      <c r="R62" s="102">
        <f t="shared" si="42"/>
        <v>20.16</v>
      </c>
      <c r="S62" s="102">
        <f t="shared" si="42"/>
        <v>20.16</v>
      </c>
      <c r="T62" s="102">
        <f t="shared" si="42"/>
        <v>20.16</v>
      </c>
      <c r="U62" s="102">
        <f t="shared" si="42"/>
        <v>20.16</v>
      </c>
      <c r="V62" s="102">
        <f t="shared" si="42"/>
        <v>20.16</v>
      </c>
      <c r="W62" s="102">
        <f t="shared" si="42"/>
        <v>20.16</v>
      </c>
      <c r="X62" s="102">
        <f t="shared" si="42"/>
        <v>20.16</v>
      </c>
      <c r="Y62" s="102">
        <f t="shared" si="42"/>
        <v>20.16</v>
      </c>
      <c r="Z62" s="102">
        <f t="shared" si="42"/>
        <v>20.16</v>
      </c>
      <c r="AA62" s="102">
        <f t="shared" si="42"/>
        <v>20.16</v>
      </c>
      <c r="AB62" s="102">
        <f t="shared" si="42"/>
        <v>20.16</v>
      </c>
      <c r="AC62" s="102">
        <f t="shared" si="42"/>
        <v>20.16</v>
      </c>
      <c r="AD62" s="102">
        <f t="shared" si="42"/>
        <v>20.16</v>
      </c>
      <c r="AE62" s="102">
        <f t="shared" si="42"/>
        <v>20.16</v>
      </c>
      <c r="AF62" s="102">
        <f t="shared" si="42"/>
        <v>20.16</v>
      </c>
      <c r="AG62" s="102">
        <f t="shared" si="42"/>
        <v>20.16</v>
      </c>
      <c r="AH62" s="102">
        <f t="shared" si="42"/>
        <v>20.16</v>
      </c>
      <c r="AI62" s="102">
        <f t="shared" si="42"/>
        <v>20.16</v>
      </c>
      <c r="AJ62" s="102">
        <f t="shared" si="42"/>
        <v>20.16</v>
      </c>
      <c r="AK62" s="102">
        <f t="shared" si="42"/>
        <v>20.16</v>
      </c>
      <c r="AL62" s="102">
        <f t="shared" si="42"/>
        <v>20.16</v>
      </c>
      <c r="AM62" s="102">
        <f t="shared" si="42"/>
        <v>20.16</v>
      </c>
      <c r="AN62" s="102">
        <f t="shared" si="42"/>
        <v>20.16</v>
      </c>
      <c r="AO62" s="102">
        <f t="shared" si="42"/>
        <v>20.16</v>
      </c>
      <c r="AP62" s="102">
        <f t="shared" si="42"/>
        <v>20.16</v>
      </c>
      <c r="AQ62" s="102">
        <f t="shared" si="42"/>
        <v>20.16</v>
      </c>
      <c r="AR62" s="102">
        <f t="shared" si="42"/>
        <v>20.16</v>
      </c>
      <c r="AS62" s="102">
        <f t="shared" si="42"/>
        <v>20.16</v>
      </c>
      <c r="AT62" s="102">
        <f t="shared" si="42"/>
        <v>20.16</v>
      </c>
      <c r="AU62" s="102">
        <f t="shared" si="42"/>
        <v>20.16</v>
      </c>
      <c r="AV62" s="102">
        <f t="shared" si="42"/>
        <v>20.16</v>
      </c>
      <c r="AW62" s="90"/>
      <c r="AX62" s="90"/>
      <c r="AY62" s="90"/>
      <c r="AZ62" s="90"/>
      <c r="BA62" s="90"/>
      <c r="BB62" s="90"/>
      <c r="BC62" s="90"/>
      <c r="BD62" s="90"/>
      <c r="BE62" s="90"/>
      <c r="BF62" s="90"/>
      <c r="BG62" s="90"/>
      <c r="BH62" s="90"/>
      <c r="BI62" s="90"/>
      <c r="BJ62" s="90"/>
      <c r="BK62" s="90"/>
      <c r="BL62" s="90"/>
      <c r="BM62" s="90"/>
      <c r="BN62" s="90"/>
      <c r="BO62" s="90"/>
      <c r="BP62" s="90"/>
      <c r="BQ62" s="90"/>
    </row>
    <row r="63" ht="12.75" hidden="1" customHeight="1" outlineLevel="1">
      <c r="A63" s="67"/>
      <c r="B63" s="90" t="s">
        <v>648</v>
      </c>
      <c r="C63" s="90"/>
      <c r="D63" s="90"/>
      <c r="E63" s="90"/>
      <c r="F63" s="90"/>
      <c r="G63" s="90"/>
      <c r="H63" s="353"/>
      <c r="I63" s="353"/>
      <c r="J63" s="353"/>
      <c r="K63" s="102">
        <f t="shared" ref="K63:AV63" si="43">K58*K52</f>
        <v>0</v>
      </c>
      <c r="L63" s="102">
        <f t="shared" si="43"/>
        <v>263.04</v>
      </c>
      <c r="M63" s="102">
        <f t="shared" si="43"/>
        <v>312</v>
      </c>
      <c r="N63" s="102">
        <f t="shared" si="43"/>
        <v>336</v>
      </c>
      <c r="O63" s="102">
        <f t="shared" si="43"/>
        <v>336</v>
      </c>
      <c r="P63" s="102">
        <f t="shared" si="43"/>
        <v>336</v>
      </c>
      <c r="Q63" s="102">
        <f t="shared" si="43"/>
        <v>336</v>
      </c>
      <c r="R63" s="102">
        <f t="shared" si="43"/>
        <v>336</v>
      </c>
      <c r="S63" s="102">
        <f t="shared" si="43"/>
        <v>336</v>
      </c>
      <c r="T63" s="102">
        <f t="shared" si="43"/>
        <v>336</v>
      </c>
      <c r="U63" s="102">
        <f t="shared" si="43"/>
        <v>336</v>
      </c>
      <c r="V63" s="102">
        <f t="shared" si="43"/>
        <v>336</v>
      </c>
      <c r="W63" s="102">
        <f t="shared" si="43"/>
        <v>336</v>
      </c>
      <c r="X63" s="102">
        <f t="shared" si="43"/>
        <v>336</v>
      </c>
      <c r="Y63" s="102">
        <f t="shared" si="43"/>
        <v>336</v>
      </c>
      <c r="Z63" s="102">
        <f t="shared" si="43"/>
        <v>336</v>
      </c>
      <c r="AA63" s="102">
        <f t="shared" si="43"/>
        <v>336</v>
      </c>
      <c r="AB63" s="102">
        <f t="shared" si="43"/>
        <v>336</v>
      </c>
      <c r="AC63" s="102">
        <f t="shared" si="43"/>
        <v>336</v>
      </c>
      <c r="AD63" s="102">
        <f t="shared" si="43"/>
        <v>336</v>
      </c>
      <c r="AE63" s="102">
        <f t="shared" si="43"/>
        <v>336</v>
      </c>
      <c r="AF63" s="102">
        <f t="shared" si="43"/>
        <v>336</v>
      </c>
      <c r="AG63" s="102">
        <f t="shared" si="43"/>
        <v>336</v>
      </c>
      <c r="AH63" s="102">
        <f t="shared" si="43"/>
        <v>336</v>
      </c>
      <c r="AI63" s="102">
        <f t="shared" si="43"/>
        <v>336</v>
      </c>
      <c r="AJ63" s="102">
        <f t="shared" si="43"/>
        <v>336</v>
      </c>
      <c r="AK63" s="102">
        <f t="shared" si="43"/>
        <v>336</v>
      </c>
      <c r="AL63" s="102">
        <f t="shared" si="43"/>
        <v>336</v>
      </c>
      <c r="AM63" s="102">
        <f t="shared" si="43"/>
        <v>336</v>
      </c>
      <c r="AN63" s="102">
        <f t="shared" si="43"/>
        <v>336</v>
      </c>
      <c r="AO63" s="102">
        <f t="shared" si="43"/>
        <v>336</v>
      </c>
      <c r="AP63" s="102">
        <f t="shared" si="43"/>
        <v>336</v>
      </c>
      <c r="AQ63" s="102">
        <f t="shared" si="43"/>
        <v>336</v>
      </c>
      <c r="AR63" s="102">
        <f t="shared" si="43"/>
        <v>336</v>
      </c>
      <c r="AS63" s="102">
        <f t="shared" si="43"/>
        <v>336</v>
      </c>
      <c r="AT63" s="102">
        <f t="shared" si="43"/>
        <v>336</v>
      </c>
      <c r="AU63" s="102">
        <f t="shared" si="43"/>
        <v>336</v>
      </c>
      <c r="AV63" s="102">
        <f t="shared" si="43"/>
        <v>336</v>
      </c>
      <c r="AW63" s="90"/>
      <c r="AX63" s="90"/>
      <c r="AY63" s="90"/>
      <c r="AZ63" s="90"/>
      <c r="BA63" s="90"/>
      <c r="BB63" s="90"/>
      <c r="BC63" s="90"/>
      <c r="BD63" s="90"/>
      <c r="BE63" s="90"/>
      <c r="BF63" s="90"/>
      <c r="BG63" s="90"/>
      <c r="BH63" s="90"/>
      <c r="BI63" s="90"/>
      <c r="BJ63" s="90"/>
      <c r="BK63" s="90"/>
      <c r="BL63" s="90"/>
      <c r="BM63" s="90"/>
      <c r="BN63" s="90"/>
      <c r="BO63" s="90"/>
      <c r="BP63" s="90"/>
      <c r="BQ63" s="90"/>
    </row>
    <row r="64" ht="12.75" hidden="1" customHeight="1" outlineLevel="1">
      <c r="A64" s="67"/>
      <c r="B64" s="90" t="s">
        <v>649</v>
      </c>
      <c r="C64" s="90"/>
      <c r="D64" s="90"/>
      <c r="E64" s="90"/>
      <c r="F64" s="90"/>
      <c r="G64" s="90"/>
      <c r="H64" s="522"/>
      <c r="I64" s="522"/>
      <c r="J64" s="522"/>
      <c r="K64" s="102">
        <f t="shared" ref="K64:AV64" si="44">K58*K60</f>
        <v>0</v>
      </c>
      <c r="L64" s="102">
        <f t="shared" si="44"/>
        <v>219.2</v>
      </c>
      <c r="M64" s="102">
        <f t="shared" si="44"/>
        <v>260</v>
      </c>
      <c r="N64" s="102">
        <f t="shared" si="44"/>
        <v>280</v>
      </c>
      <c r="O64" s="102">
        <f t="shared" si="44"/>
        <v>280</v>
      </c>
      <c r="P64" s="102">
        <f t="shared" si="44"/>
        <v>280</v>
      </c>
      <c r="Q64" s="102">
        <f t="shared" si="44"/>
        <v>280</v>
      </c>
      <c r="R64" s="102">
        <f t="shared" si="44"/>
        <v>280</v>
      </c>
      <c r="S64" s="102">
        <f t="shared" si="44"/>
        <v>280</v>
      </c>
      <c r="T64" s="102">
        <f t="shared" si="44"/>
        <v>280</v>
      </c>
      <c r="U64" s="102">
        <f t="shared" si="44"/>
        <v>280</v>
      </c>
      <c r="V64" s="102">
        <f t="shared" si="44"/>
        <v>280</v>
      </c>
      <c r="W64" s="102">
        <f t="shared" si="44"/>
        <v>280</v>
      </c>
      <c r="X64" s="102">
        <f t="shared" si="44"/>
        <v>280</v>
      </c>
      <c r="Y64" s="102">
        <f t="shared" si="44"/>
        <v>280</v>
      </c>
      <c r="Z64" s="102">
        <f t="shared" si="44"/>
        <v>280</v>
      </c>
      <c r="AA64" s="102">
        <f t="shared" si="44"/>
        <v>280</v>
      </c>
      <c r="AB64" s="102">
        <f t="shared" si="44"/>
        <v>280</v>
      </c>
      <c r="AC64" s="102">
        <f t="shared" si="44"/>
        <v>280</v>
      </c>
      <c r="AD64" s="102">
        <f t="shared" si="44"/>
        <v>280</v>
      </c>
      <c r="AE64" s="102">
        <f t="shared" si="44"/>
        <v>280</v>
      </c>
      <c r="AF64" s="102">
        <f t="shared" si="44"/>
        <v>280</v>
      </c>
      <c r="AG64" s="102">
        <f t="shared" si="44"/>
        <v>280</v>
      </c>
      <c r="AH64" s="102">
        <f t="shared" si="44"/>
        <v>280</v>
      </c>
      <c r="AI64" s="102">
        <f t="shared" si="44"/>
        <v>280</v>
      </c>
      <c r="AJ64" s="102">
        <f t="shared" si="44"/>
        <v>280</v>
      </c>
      <c r="AK64" s="102">
        <f t="shared" si="44"/>
        <v>280</v>
      </c>
      <c r="AL64" s="102">
        <f t="shared" si="44"/>
        <v>280</v>
      </c>
      <c r="AM64" s="102">
        <f t="shared" si="44"/>
        <v>280</v>
      </c>
      <c r="AN64" s="102">
        <f t="shared" si="44"/>
        <v>280</v>
      </c>
      <c r="AO64" s="102">
        <f t="shared" si="44"/>
        <v>280</v>
      </c>
      <c r="AP64" s="102">
        <f t="shared" si="44"/>
        <v>280</v>
      </c>
      <c r="AQ64" s="102">
        <f t="shared" si="44"/>
        <v>280</v>
      </c>
      <c r="AR64" s="102">
        <f t="shared" si="44"/>
        <v>280</v>
      </c>
      <c r="AS64" s="102">
        <f t="shared" si="44"/>
        <v>280</v>
      </c>
      <c r="AT64" s="102">
        <f t="shared" si="44"/>
        <v>280</v>
      </c>
      <c r="AU64" s="102">
        <f t="shared" si="44"/>
        <v>280</v>
      </c>
      <c r="AV64" s="102">
        <f t="shared" si="44"/>
        <v>280</v>
      </c>
      <c r="AW64" s="90"/>
      <c r="AX64" s="90"/>
      <c r="AY64" s="90"/>
      <c r="AZ64" s="90"/>
      <c r="BA64" s="90"/>
      <c r="BB64" s="90"/>
      <c r="BC64" s="90"/>
      <c r="BD64" s="90"/>
      <c r="BE64" s="90"/>
      <c r="BF64" s="90"/>
      <c r="BG64" s="90"/>
      <c r="BH64" s="90"/>
      <c r="BI64" s="90"/>
      <c r="BJ64" s="90"/>
      <c r="BK64" s="90"/>
      <c r="BL64" s="90"/>
      <c r="BM64" s="90"/>
      <c r="BN64" s="90"/>
      <c r="BO64" s="90"/>
      <c r="BP64" s="90"/>
      <c r="BQ64" s="90"/>
    </row>
    <row r="65" ht="12.75" hidden="1" customHeight="1" outlineLevel="1">
      <c r="A65" s="90"/>
      <c r="B65" s="90" t="s">
        <v>650</v>
      </c>
      <c r="C65" s="90"/>
      <c r="D65" s="90"/>
      <c r="E65" s="90"/>
      <c r="F65" s="90"/>
      <c r="G65" s="90"/>
      <c r="H65" s="522"/>
      <c r="I65" s="522"/>
      <c r="J65" s="522"/>
      <c r="K65" s="102">
        <f t="shared" ref="K65:AV65" si="45">K52*K64</f>
        <v>0</v>
      </c>
      <c r="L65" s="102">
        <f t="shared" si="45"/>
        <v>210.432</v>
      </c>
      <c r="M65" s="102">
        <f t="shared" si="45"/>
        <v>249.6</v>
      </c>
      <c r="N65" s="102">
        <f t="shared" si="45"/>
        <v>268.8</v>
      </c>
      <c r="O65" s="102">
        <f t="shared" si="45"/>
        <v>268.8</v>
      </c>
      <c r="P65" s="102">
        <f t="shared" si="45"/>
        <v>268.8</v>
      </c>
      <c r="Q65" s="102">
        <f t="shared" si="45"/>
        <v>268.8</v>
      </c>
      <c r="R65" s="102">
        <f t="shared" si="45"/>
        <v>268.8</v>
      </c>
      <c r="S65" s="102">
        <f t="shared" si="45"/>
        <v>268.8</v>
      </c>
      <c r="T65" s="102">
        <f t="shared" si="45"/>
        <v>268.8</v>
      </c>
      <c r="U65" s="102">
        <f t="shared" si="45"/>
        <v>268.8</v>
      </c>
      <c r="V65" s="102">
        <f t="shared" si="45"/>
        <v>268.8</v>
      </c>
      <c r="W65" s="102">
        <f t="shared" si="45"/>
        <v>268.8</v>
      </c>
      <c r="X65" s="102">
        <f t="shared" si="45"/>
        <v>268.8</v>
      </c>
      <c r="Y65" s="102">
        <f t="shared" si="45"/>
        <v>268.8</v>
      </c>
      <c r="Z65" s="102">
        <f t="shared" si="45"/>
        <v>268.8</v>
      </c>
      <c r="AA65" s="102">
        <f t="shared" si="45"/>
        <v>268.8</v>
      </c>
      <c r="AB65" s="102">
        <f t="shared" si="45"/>
        <v>268.8</v>
      </c>
      <c r="AC65" s="102">
        <f t="shared" si="45"/>
        <v>268.8</v>
      </c>
      <c r="AD65" s="102">
        <f t="shared" si="45"/>
        <v>268.8</v>
      </c>
      <c r="AE65" s="102">
        <f t="shared" si="45"/>
        <v>268.8</v>
      </c>
      <c r="AF65" s="102">
        <f t="shared" si="45"/>
        <v>268.8</v>
      </c>
      <c r="AG65" s="102">
        <f t="shared" si="45"/>
        <v>268.8</v>
      </c>
      <c r="AH65" s="102">
        <f t="shared" si="45"/>
        <v>268.8</v>
      </c>
      <c r="AI65" s="102">
        <f t="shared" si="45"/>
        <v>268.8</v>
      </c>
      <c r="AJ65" s="102">
        <f t="shared" si="45"/>
        <v>268.8</v>
      </c>
      <c r="AK65" s="102">
        <f t="shared" si="45"/>
        <v>268.8</v>
      </c>
      <c r="AL65" s="102">
        <f t="shared" si="45"/>
        <v>268.8</v>
      </c>
      <c r="AM65" s="102">
        <f t="shared" si="45"/>
        <v>268.8</v>
      </c>
      <c r="AN65" s="102">
        <f t="shared" si="45"/>
        <v>268.8</v>
      </c>
      <c r="AO65" s="102">
        <f t="shared" si="45"/>
        <v>268.8</v>
      </c>
      <c r="AP65" s="102">
        <f t="shared" si="45"/>
        <v>268.8</v>
      </c>
      <c r="AQ65" s="102">
        <f t="shared" si="45"/>
        <v>268.8</v>
      </c>
      <c r="AR65" s="102">
        <f t="shared" si="45"/>
        <v>268.8</v>
      </c>
      <c r="AS65" s="102">
        <f t="shared" si="45"/>
        <v>268.8</v>
      </c>
      <c r="AT65" s="102">
        <f t="shared" si="45"/>
        <v>268.8</v>
      </c>
      <c r="AU65" s="102">
        <f t="shared" si="45"/>
        <v>268.8</v>
      </c>
      <c r="AV65" s="102">
        <f t="shared" si="45"/>
        <v>268.8</v>
      </c>
      <c r="AW65" s="90"/>
      <c r="AX65" s="90"/>
      <c r="AY65" s="90"/>
      <c r="AZ65" s="90"/>
      <c r="BA65" s="90"/>
      <c r="BB65" s="90"/>
      <c r="BC65" s="90"/>
      <c r="BD65" s="90"/>
      <c r="BE65" s="90"/>
      <c r="BF65" s="90"/>
      <c r="BG65" s="90"/>
      <c r="BH65" s="90"/>
      <c r="BI65" s="90"/>
      <c r="BJ65" s="90"/>
      <c r="BK65" s="90"/>
      <c r="BL65" s="90"/>
      <c r="BM65" s="90"/>
      <c r="BN65" s="90"/>
      <c r="BO65" s="90"/>
      <c r="BP65" s="90"/>
      <c r="BQ65" s="90"/>
    </row>
    <row r="66" ht="12.75" hidden="1" customHeight="1" outlineLevel="1">
      <c r="A66" s="515"/>
      <c r="B66" s="90" t="s">
        <v>651</v>
      </c>
      <c r="C66" s="90"/>
      <c r="D66" s="90"/>
      <c r="E66" s="90"/>
      <c r="F66" s="90"/>
      <c r="G66" s="90"/>
      <c r="H66" s="353"/>
      <c r="I66" s="353"/>
      <c r="J66" s="353"/>
      <c r="K66" s="102">
        <f t="shared" ref="K66:AV66" si="46">K52*K58</f>
        <v>0</v>
      </c>
      <c r="L66" s="102">
        <f t="shared" si="46"/>
        <v>263.04</v>
      </c>
      <c r="M66" s="102">
        <f t="shared" si="46"/>
        <v>312</v>
      </c>
      <c r="N66" s="102">
        <f t="shared" si="46"/>
        <v>336</v>
      </c>
      <c r="O66" s="102">
        <f t="shared" si="46"/>
        <v>336</v>
      </c>
      <c r="P66" s="102">
        <f t="shared" si="46"/>
        <v>336</v>
      </c>
      <c r="Q66" s="102">
        <f t="shared" si="46"/>
        <v>336</v>
      </c>
      <c r="R66" s="102">
        <f t="shared" si="46"/>
        <v>336</v>
      </c>
      <c r="S66" s="102">
        <f t="shared" si="46"/>
        <v>336</v>
      </c>
      <c r="T66" s="102">
        <f t="shared" si="46"/>
        <v>336</v>
      </c>
      <c r="U66" s="102">
        <f t="shared" si="46"/>
        <v>336</v>
      </c>
      <c r="V66" s="102">
        <f t="shared" si="46"/>
        <v>336</v>
      </c>
      <c r="W66" s="102">
        <f t="shared" si="46"/>
        <v>336</v>
      </c>
      <c r="X66" s="102">
        <f t="shared" si="46"/>
        <v>336</v>
      </c>
      <c r="Y66" s="102">
        <f t="shared" si="46"/>
        <v>336</v>
      </c>
      <c r="Z66" s="102">
        <f t="shared" si="46"/>
        <v>336</v>
      </c>
      <c r="AA66" s="102">
        <f t="shared" si="46"/>
        <v>336</v>
      </c>
      <c r="AB66" s="102">
        <f t="shared" si="46"/>
        <v>336</v>
      </c>
      <c r="AC66" s="102">
        <f t="shared" si="46"/>
        <v>336</v>
      </c>
      <c r="AD66" s="102">
        <f t="shared" si="46"/>
        <v>336</v>
      </c>
      <c r="AE66" s="102">
        <f t="shared" si="46"/>
        <v>336</v>
      </c>
      <c r="AF66" s="102">
        <f t="shared" si="46"/>
        <v>336</v>
      </c>
      <c r="AG66" s="102">
        <f t="shared" si="46"/>
        <v>336</v>
      </c>
      <c r="AH66" s="102">
        <f t="shared" si="46"/>
        <v>336</v>
      </c>
      <c r="AI66" s="102">
        <f t="shared" si="46"/>
        <v>336</v>
      </c>
      <c r="AJ66" s="102">
        <f t="shared" si="46"/>
        <v>336</v>
      </c>
      <c r="AK66" s="102">
        <f t="shared" si="46"/>
        <v>336</v>
      </c>
      <c r="AL66" s="102">
        <f t="shared" si="46"/>
        <v>336</v>
      </c>
      <c r="AM66" s="102">
        <f t="shared" si="46"/>
        <v>336</v>
      </c>
      <c r="AN66" s="102">
        <f t="shared" si="46"/>
        <v>336</v>
      </c>
      <c r="AO66" s="102">
        <f t="shared" si="46"/>
        <v>336</v>
      </c>
      <c r="AP66" s="102">
        <f t="shared" si="46"/>
        <v>336</v>
      </c>
      <c r="AQ66" s="102">
        <f t="shared" si="46"/>
        <v>336</v>
      </c>
      <c r="AR66" s="102">
        <f t="shared" si="46"/>
        <v>336</v>
      </c>
      <c r="AS66" s="102">
        <f t="shared" si="46"/>
        <v>336</v>
      </c>
      <c r="AT66" s="102">
        <f t="shared" si="46"/>
        <v>336</v>
      </c>
      <c r="AU66" s="102">
        <f t="shared" si="46"/>
        <v>336</v>
      </c>
      <c r="AV66" s="102">
        <f t="shared" si="46"/>
        <v>336</v>
      </c>
      <c r="AW66" s="90"/>
      <c r="AX66" s="90"/>
      <c r="AY66" s="90"/>
      <c r="AZ66" s="90"/>
      <c r="BA66" s="90"/>
      <c r="BB66" s="90"/>
      <c r="BC66" s="90"/>
      <c r="BD66" s="90"/>
      <c r="BE66" s="90"/>
      <c r="BF66" s="90"/>
      <c r="BG66" s="90"/>
      <c r="BH66" s="90"/>
      <c r="BI66" s="90"/>
      <c r="BJ66" s="90"/>
      <c r="BK66" s="90"/>
      <c r="BL66" s="90"/>
      <c r="BM66" s="90"/>
      <c r="BN66" s="90"/>
      <c r="BO66" s="90"/>
      <c r="BP66" s="90"/>
      <c r="BQ66" s="90"/>
    </row>
    <row r="67" ht="12.75" hidden="1" customHeight="1" outlineLevel="1">
      <c r="A67" s="515"/>
      <c r="B67" s="90"/>
      <c r="C67" s="90"/>
      <c r="D67" s="90"/>
      <c r="E67" s="90"/>
      <c r="F67" s="90"/>
      <c r="G67" s="90"/>
      <c r="H67" s="353"/>
      <c r="I67" s="353"/>
      <c r="J67" s="353"/>
      <c r="K67" s="353"/>
      <c r="L67" s="353"/>
      <c r="M67" s="353"/>
      <c r="N67" s="353"/>
      <c r="O67" s="353"/>
      <c r="P67" s="353"/>
      <c r="Q67" s="353"/>
      <c r="R67" s="353"/>
      <c r="S67" s="353"/>
      <c r="T67" s="353"/>
      <c r="U67" s="353"/>
      <c r="V67" s="353"/>
      <c r="W67" s="353"/>
      <c r="X67" s="353"/>
      <c r="Y67" s="353"/>
      <c r="Z67" s="353"/>
      <c r="AA67" s="353"/>
      <c r="AB67" s="353"/>
      <c r="AC67" s="353"/>
      <c r="AD67" s="353"/>
      <c r="AE67" s="353"/>
      <c r="AF67" s="353"/>
      <c r="AG67" s="353"/>
      <c r="AH67" s="353"/>
      <c r="AI67" s="353"/>
      <c r="AJ67" s="353"/>
      <c r="AK67" s="353"/>
      <c r="AL67" s="353"/>
      <c r="AM67" s="353"/>
      <c r="AN67" s="353"/>
      <c r="AO67" s="353"/>
      <c r="AP67" s="353"/>
      <c r="AQ67" s="353"/>
      <c r="AR67" s="353"/>
      <c r="AS67" s="353"/>
      <c r="AT67" s="353"/>
      <c r="AU67" s="353"/>
      <c r="AV67" s="353"/>
      <c r="AW67" s="90"/>
      <c r="AX67" s="90"/>
      <c r="AY67" s="90"/>
      <c r="AZ67" s="90"/>
      <c r="BA67" s="90"/>
      <c r="BB67" s="90"/>
      <c r="BC67" s="90"/>
      <c r="BD67" s="90"/>
      <c r="BE67" s="90"/>
      <c r="BF67" s="90"/>
      <c r="BG67" s="90"/>
      <c r="BH67" s="90"/>
      <c r="BI67" s="90"/>
      <c r="BJ67" s="90"/>
      <c r="BK67" s="90"/>
      <c r="BL67" s="90"/>
      <c r="BM67" s="90"/>
      <c r="BN67" s="90"/>
      <c r="BO67" s="90"/>
      <c r="BP67" s="90"/>
      <c r="BQ67" s="90"/>
    </row>
    <row r="68" ht="12.75" hidden="1" customHeight="1" outlineLevel="1">
      <c r="A68" s="515"/>
      <c r="B68" s="90" t="s">
        <v>652</v>
      </c>
      <c r="C68" s="90"/>
      <c r="D68" s="90"/>
      <c r="E68" s="90"/>
      <c r="F68" s="90"/>
      <c r="G68" s="90"/>
      <c r="H68" s="157"/>
      <c r="I68" s="157"/>
      <c r="J68" s="157"/>
      <c r="K68" s="152">
        <v>0.0</v>
      </c>
      <c r="L68" s="152">
        <f>'RSGen 1-7'!I69</f>
        <v>0.5</v>
      </c>
      <c r="M68" s="152">
        <f>'RSGen 1-7'!J69</f>
        <v>0.5</v>
      </c>
      <c r="N68" s="152">
        <f>'RSGen 1-7'!K69</f>
        <v>0.5</v>
      </c>
      <c r="O68" s="152">
        <f>'RSGen 1-7'!L69</f>
        <v>0.5</v>
      </c>
      <c r="P68" s="152">
        <f>'RSGen 1-7'!M69</f>
        <v>0.5</v>
      </c>
      <c r="Q68" s="152">
        <f>'RSGen 1-7'!N69</f>
        <v>0.5</v>
      </c>
      <c r="R68" s="152">
        <f>'RSGen 1-7'!O69</f>
        <v>0.5</v>
      </c>
      <c r="S68" s="152">
        <f>'RSGen 1-7'!P69</f>
        <v>0.5</v>
      </c>
      <c r="T68" s="152">
        <f>'RSGen 1-7'!Q69</f>
        <v>0.5</v>
      </c>
      <c r="U68" s="152">
        <f>'RSGen 1-7'!R69</f>
        <v>0.5</v>
      </c>
      <c r="V68" s="152">
        <f t="shared" ref="V68:AV68" si="47">U68</f>
        <v>0.5</v>
      </c>
      <c r="W68" s="152">
        <f t="shared" si="47"/>
        <v>0.5</v>
      </c>
      <c r="X68" s="152">
        <f t="shared" si="47"/>
        <v>0.5</v>
      </c>
      <c r="Y68" s="152">
        <f t="shared" si="47"/>
        <v>0.5</v>
      </c>
      <c r="Z68" s="152">
        <f t="shared" si="47"/>
        <v>0.5</v>
      </c>
      <c r="AA68" s="152">
        <f t="shared" si="47"/>
        <v>0.5</v>
      </c>
      <c r="AB68" s="152">
        <f t="shared" si="47"/>
        <v>0.5</v>
      </c>
      <c r="AC68" s="152">
        <f t="shared" si="47"/>
        <v>0.5</v>
      </c>
      <c r="AD68" s="152">
        <f t="shared" si="47"/>
        <v>0.5</v>
      </c>
      <c r="AE68" s="152">
        <f t="shared" si="47"/>
        <v>0.5</v>
      </c>
      <c r="AF68" s="152">
        <f t="shared" si="47"/>
        <v>0.5</v>
      </c>
      <c r="AG68" s="152">
        <f t="shared" si="47"/>
        <v>0.5</v>
      </c>
      <c r="AH68" s="152">
        <f t="shared" si="47"/>
        <v>0.5</v>
      </c>
      <c r="AI68" s="152">
        <f t="shared" si="47"/>
        <v>0.5</v>
      </c>
      <c r="AJ68" s="152">
        <f t="shared" si="47"/>
        <v>0.5</v>
      </c>
      <c r="AK68" s="152">
        <f t="shared" si="47"/>
        <v>0.5</v>
      </c>
      <c r="AL68" s="152">
        <f t="shared" si="47"/>
        <v>0.5</v>
      </c>
      <c r="AM68" s="152">
        <f t="shared" si="47"/>
        <v>0.5</v>
      </c>
      <c r="AN68" s="152">
        <f t="shared" si="47"/>
        <v>0.5</v>
      </c>
      <c r="AO68" s="152">
        <f t="shared" si="47"/>
        <v>0.5</v>
      </c>
      <c r="AP68" s="152">
        <f t="shared" si="47"/>
        <v>0.5</v>
      </c>
      <c r="AQ68" s="152">
        <f t="shared" si="47"/>
        <v>0.5</v>
      </c>
      <c r="AR68" s="152">
        <f t="shared" si="47"/>
        <v>0.5</v>
      </c>
      <c r="AS68" s="152">
        <f t="shared" si="47"/>
        <v>0.5</v>
      </c>
      <c r="AT68" s="152">
        <f t="shared" si="47"/>
        <v>0.5</v>
      </c>
      <c r="AU68" s="152">
        <f t="shared" si="47"/>
        <v>0.5</v>
      </c>
      <c r="AV68" s="152">
        <f t="shared" si="47"/>
        <v>0.5</v>
      </c>
      <c r="AW68" s="90"/>
      <c r="AX68" s="90"/>
      <c r="AY68" s="90"/>
      <c r="AZ68" s="90"/>
      <c r="BA68" s="90"/>
      <c r="BB68" s="90"/>
      <c r="BC68" s="90"/>
      <c r="BD68" s="90"/>
      <c r="BE68" s="90"/>
      <c r="BF68" s="90"/>
      <c r="BG68" s="90"/>
      <c r="BH68" s="90"/>
      <c r="BI68" s="90"/>
      <c r="BJ68" s="90"/>
      <c r="BK68" s="90"/>
      <c r="BL68" s="90"/>
      <c r="BM68" s="90"/>
      <c r="BN68" s="90"/>
      <c r="BO68" s="90"/>
      <c r="BP68" s="90"/>
      <c r="BQ68" s="90"/>
    </row>
    <row r="69" ht="12.75" hidden="1" customHeight="1" outlineLevel="1">
      <c r="A69" s="515"/>
      <c r="B69" s="90" t="s">
        <v>653</v>
      </c>
      <c r="C69" s="90"/>
      <c r="D69" s="90"/>
      <c r="E69" s="90"/>
      <c r="F69" s="90"/>
      <c r="G69" s="90"/>
      <c r="H69" s="90"/>
      <c r="I69" s="90"/>
      <c r="J69" s="90"/>
      <c r="K69" s="102">
        <f t="shared" ref="K69:AV69" si="48">ROUND(K50*K68*K46,0)</f>
        <v>0</v>
      </c>
      <c r="L69" s="102">
        <f t="shared" si="48"/>
        <v>196</v>
      </c>
      <c r="M69" s="102">
        <f t="shared" si="48"/>
        <v>232</v>
      </c>
      <c r="N69" s="102">
        <f t="shared" si="48"/>
        <v>250</v>
      </c>
      <c r="O69" s="102">
        <f t="shared" si="48"/>
        <v>250</v>
      </c>
      <c r="P69" s="102">
        <f t="shared" si="48"/>
        <v>250</v>
      </c>
      <c r="Q69" s="102">
        <f t="shared" si="48"/>
        <v>250</v>
      </c>
      <c r="R69" s="102">
        <f t="shared" si="48"/>
        <v>250</v>
      </c>
      <c r="S69" s="102">
        <f t="shared" si="48"/>
        <v>250</v>
      </c>
      <c r="T69" s="102">
        <f t="shared" si="48"/>
        <v>250</v>
      </c>
      <c r="U69" s="102">
        <f t="shared" si="48"/>
        <v>250</v>
      </c>
      <c r="V69" s="102">
        <f t="shared" si="48"/>
        <v>250</v>
      </c>
      <c r="W69" s="102">
        <f t="shared" si="48"/>
        <v>250</v>
      </c>
      <c r="X69" s="102">
        <f t="shared" si="48"/>
        <v>250</v>
      </c>
      <c r="Y69" s="102">
        <f t="shared" si="48"/>
        <v>250</v>
      </c>
      <c r="Z69" s="102">
        <f t="shared" si="48"/>
        <v>250</v>
      </c>
      <c r="AA69" s="102">
        <f t="shared" si="48"/>
        <v>250</v>
      </c>
      <c r="AB69" s="102">
        <f t="shared" si="48"/>
        <v>250</v>
      </c>
      <c r="AC69" s="102">
        <f t="shared" si="48"/>
        <v>250</v>
      </c>
      <c r="AD69" s="102">
        <f t="shared" si="48"/>
        <v>250</v>
      </c>
      <c r="AE69" s="102">
        <f t="shared" si="48"/>
        <v>250</v>
      </c>
      <c r="AF69" s="102">
        <f t="shared" si="48"/>
        <v>250</v>
      </c>
      <c r="AG69" s="102">
        <f t="shared" si="48"/>
        <v>250</v>
      </c>
      <c r="AH69" s="102">
        <f t="shared" si="48"/>
        <v>250</v>
      </c>
      <c r="AI69" s="102">
        <f t="shared" si="48"/>
        <v>250</v>
      </c>
      <c r="AJ69" s="102">
        <f t="shared" si="48"/>
        <v>250</v>
      </c>
      <c r="AK69" s="102">
        <f t="shared" si="48"/>
        <v>250</v>
      </c>
      <c r="AL69" s="102">
        <f t="shared" si="48"/>
        <v>250</v>
      </c>
      <c r="AM69" s="102">
        <f t="shared" si="48"/>
        <v>250</v>
      </c>
      <c r="AN69" s="102">
        <f t="shared" si="48"/>
        <v>250</v>
      </c>
      <c r="AO69" s="102">
        <f t="shared" si="48"/>
        <v>250</v>
      </c>
      <c r="AP69" s="102">
        <f t="shared" si="48"/>
        <v>250</v>
      </c>
      <c r="AQ69" s="102">
        <f t="shared" si="48"/>
        <v>250</v>
      </c>
      <c r="AR69" s="102">
        <f t="shared" si="48"/>
        <v>250</v>
      </c>
      <c r="AS69" s="102">
        <f t="shared" si="48"/>
        <v>250</v>
      </c>
      <c r="AT69" s="102">
        <f t="shared" si="48"/>
        <v>250</v>
      </c>
      <c r="AU69" s="102">
        <f t="shared" si="48"/>
        <v>250</v>
      </c>
      <c r="AV69" s="102">
        <f t="shared" si="48"/>
        <v>250</v>
      </c>
      <c r="AW69" s="90"/>
      <c r="AX69" s="90"/>
      <c r="AY69" s="90"/>
      <c r="AZ69" s="90"/>
      <c r="BA69" s="90"/>
      <c r="BB69" s="90"/>
      <c r="BC69" s="90"/>
      <c r="BD69" s="90"/>
      <c r="BE69" s="90"/>
      <c r="BF69" s="90"/>
      <c r="BG69" s="90"/>
      <c r="BH69" s="90"/>
      <c r="BI69" s="90"/>
      <c r="BJ69" s="90"/>
      <c r="BK69" s="90"/>
      <c r="BL69" s="90"/>
      <c r="BM69" s="90"/>
      <c r="BN69" s="90"/>
      <c r="BO69" s="90"/>
      <c r="BP69" s="90"/>
      <c r="BQ69" s="90"/>
    </row>
    <row r="70" ht="12.75" hidden="1" customHeight="1" outlineLevel="1">
      <c r="A70" s="515"/>
      <c r="B70" s="90" t="s">
        <v>654</v>
      </c>
      <c r="C70" s="90"/>
      <c r="D70" s="90"/>
      <c r="E70" s="90"/>
      <c r="F70" s="90"/>
      <c r="G70" s="90"/>
      <c r="H70" s="102"/>
      <c r="I70" s="102"/>
      <c r="J70" s="102"/>
      <c r="K70" s="102">
        <f t="shared" ref="K70:AV70" si="49">K69*K52</f>
        <v>0</v>
      </c>
      <c r="L70" s="102">
        <f t="shared" si="49"/>
        <v>188.16</v>
      </c>
      <c r="M70" s="102">
        <f t="shared" si="49"/>
        <v>222.72</v>
      </c>
      <c r="N70" s="102">
        <f t="shared" si="49"/>
        <v>240</v>
      </c>
      <c r="O70" s="102">
        <f t="shared" si="49"/>
        <v>240</v>
      </c>
      <c r="P70" s="102">
        <f t="shared" si="49"/>
        <v>240</v>
      </c>
      <c r="Q70" s="102">
        <f t="shared" si="49"/>
        <v>240</v>
      </c>
      <c r="R70" s="102">
        <f t="shared" si="49"/>
        <v>240</v>
      </c>
      <c r="S70" s="102">
        <f t="shared" si="49"/>
        <v>240</v>
      </c>
      <c r="T70" s="102">
        <f t="shared" si="49"/>
        <v>240</v>
      </c>
      <c r="U70" s="102">
        <f t="shared" si="49"/>
        <v>240</v>
      </c>
      <c r="V70" s="102">
        <f t="shared" si="49"/>
        <v>240</v>
      </c>
      <c r="W70" s="102">
        <f t="shared" si="49"/>
        <v>240</v>
      </c>
      <c r="X70" s="102">
        <f t="shared" si="49"/>
        <v>240</v>
      </c>
      <c r="Y70" s="102">
        <f t="shared" si="49"/>
        <v>240</v>
      </c>
      <c r="Z70" s="102">
        <f t="shared" si="49"/>
        <v>240</v>
      </c>
      <c r="AA70" s="102">
        <f t="shared" si="49"/>
        <v>240</v>
      </c>
      <c r="AB70" s="102">
        <f t="shared" si="49"/>
        <v>240</v>
      </c>
      <c r="AC70" s="102">
        <f t="shared" si="49"/>
        <v>240</v>
      </c>
      <c r="AD70" s="102">
        <f t="shared" si="49"/>
        <v>240</v>
      </c>
      <c r="AE70" s="102">
        <f t="shared" si="49"/>
        <v>240</v>
      </c>
      <c r="AF70" s="102">
        <f t="shared" si="49"/>
        <v>240</v>
      </c>
      <c r="AG70" s="102">
        <f t="shared" si="49"/>
        <v>240</v>
      </c>
      <c r="AH70" s="102">
        <f t="shared" si="49"/>
        <v>240</v>
      </c>
      <c r="AI70" s="102">
        <f t="shared" si="49"/>
        <v>240</v>
      </c>
      <c r="AJ70" s="102">
        <f t="shared" si="49"/>
        <v>240</v>
      </c>
      <c r="AK70" s="102">
        <f t="shared" si="49"/>
        <v>240</v>
      </c>
      <c r="AL70" s="102">
        <f t="shared" si="49"/>
        <v>240</v>
      </c>
      <c r="AM70" s="102">
        <f t="shared" si="49"/>
        <v>240</v>
      </c>
      <c r="AN70" s="102">
        <f t="shared" si="49"/>
        <v>240</v>
      </c>
      <c r="AO70" s="102">
        <f t="shared" si="49"/>
        <v>240</v>
      </c>
      <c r="AP70" s="102">
        <f t="shared" si="49"/>
        <v>240</v>
      </c>
      <c r="AQ70" s="102">
        <f t="shared" si="49"/>
        <v>240</v>
      </c>
      <c r="AR70" s="102">
        <f t="shared" si="49"/>
        <v>240</v>
      </c>
      <c r="AS70" s="102">
        <f t="shared" si="49"/>
        <v>240</v>
      </c>
      <c r="AT70" s="102">
        <f t="shared" si="49"/>
        <v>240</v>
      </c>
      <c r="AU70" s="102">
        <f t="shared" si="49"/>
        <v>240</v>
      </c>
      <c r="AV70" s="102">
        <f t="shared" si="49"/>
        <v>240</v>
      </c>
      <c r="AW70" s="90"/>
      <c r="AX70" s="90"/>
      <c r="AY70" s="90"/>
      <c r="AZ70" s="90"/>
      <c r="BA70" s="90"/>
      <c r="BB70" s="90"/>
      <c r="BC70" s="90"/>
      <c r="BD70" s="90"/>
      <c r="BE70" s="90"/>
      <c r="BF70" s="90"/>
      <c r="BG70" s="90"/>
      <c r="BH70" s="90"/>
      <c r="BI70" s="90"/>
      <c r="BJ70" s="90"/>
      <c r="BK70" s="90"/>
      <c r="BL70" s="90"/>
      <c r="BM70" s="90"/>
      <c r="BN70" s="90"/>
      <c r="BO70" s="90"/>
      <c r="BP70" s="90"/>
      <c r="BQ70" s="90"/>
    </row>
    <row r="71" ht="12.75" hidden="1" customHeight="1" outlineLevel="1">
      <c r="A71" s="515"/>
      <c r="B71" s="90"/>
      <c r="C71" s="90"/>
      <c r="D71" s="90"/>
      <c r="E71" s="90"/>
      <c r="F71" s="90"/>
      <c r="G71" s="90"/>
      <c r="H71" s="90"/>
      <c r="I71" s="90"/>
      <c r="J71" s="90"/>
      <c r="K71" s="90"/>
      <c r="L71" s="90"/>
      <c r="M71" s="90"/>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row>
    <row r="72" ht="12.75" hidden="1" customHeight="1" outlineLevel="1">
      <c r="A72" s="515"/>
      <c r="B72" s="90" t="s">
        <v>655</v>
      </c>
      <c r="C72" s="90"/>
      <c r="D72" s="90"/>
      <c r="E72" s="90"/>
      <c r="F72" s="90"/>
      <c r="G72" s="90"/>
      <c r="H72" s="157"/>
      <c r="I72" s="157"/>
      <c r="J72" s="157"/>
      <c r="K72" s="152">
        <v>0.0</v>
      </c>
      <c r="L72" s="152">
        <f>'RSGen 1-7'!I73</f>
        <v>0.7</v>
      </c>
      <c r="M72" s="152">
        <f>'RSGen 1-7'!J73</f>
        <v>0.665</v>
      </c>
      <c r="N72" s="152">
        <f>'RSGen 1-7'!K73</f>
        <v>0.63175</v>
      </c>
      <c r="O72" s="152">
        <f>'RSGen 1-7'!L73</f>
        <v>0.6001625</v>
      </c>
      <c r="P72" s="152">
        <f>'RSGen 1-7'!M73</f>
        <v>0.570154375</v>
      </c>
      <c r="Q72" s="152">
        <f>'RSGen 1-7'!N73</f>
        <v>0.5416466563</v>
      </c>
      <c r="R72" s="152">
        <f>'RSGen 1-7'!O73</f>
        <v>0.5145643234</v>
      </c>
      <c r="S72" s="152">
        <f>'RSGen 1-7'!P73</f>
        <v>0.5</v>
      </c>
      <c r="T72" s="152">
        <f>'RSGen 1-7'!Q73</f>
        <v>0.5</v>
      </c>
      <c r="U72" s="152">
        <f>'RSGen 1-7'!R73</f>
        <v>0.5</v>
      </c>
      <c r="V72" s="152">
        <f t="shared" ref="V72:AV72" si="50">U72</f>
        <v>0.5</v>
      </c>
      <c r="W72" s="152">
        <f t="shared" si="50"/>
        <v>0.5</v>
      </c>
      <c r="X72" s="152">
        <f t="shared" si="50"/>
        <v>0.5</v>
      </c>
      <c r="Y72" s="152">
        <f t="shared" si="50"/>
        <v>0.5</v>
      </c>
      <c r="Z72" s="152">
        <f t="shared" si="50"/>
        <v>0.5</v>
      </c>
      <c r="AA72" s="152">
        <f t="shared" si="50"/>
        <v>0.5</v>
      </c>
      <c r="AB72" s="152">
        <f t="shared" si="50"/>
        <v>0.5</v>
      </c>
      <c r="AC72" s="152">
        <f t="shared" si="50"/>
        <v>0.5</v>
      </c>
      <c r="AD72" s="152">
        <f t="shared" si="50"/>
        <v>0.5</v>
      </c>
      <c r="AE72" s="152">
        <f t="shared" si="50"/>
        <v>0.5</v>
      </c>
      <c r="AF72" s="152">
        <f t="shared" si="50"/>
        <v>0.5</v>
      </c>
      <c r="AG72" s="152">
        <f t="shared" si="50"/>
        <v>0.5</v>
      </c>
      <c r="AH72" s="152">
        <f t="shared" si="50"/>
        <v>0.5</v>
      </c>
      <c r="AI72" s="152">
        <f t="shared" si="50"/>
        <v>0.5</v>
      </c>
      <c r="AJ72" s="152">
        <f t="shared" si="50"/>
        <v>0.5</v>
      </c>
      <c r="AK72" s="152">
        <f t="shared" si="50"/>
        <v>0.5</v>
      </c>
      <c r="AL72" s="152">
        <f t="shared" si="50"/>
        <v>0.5</v>
      </c>
      <c r="AM72" s="152">
        <f t="shared" si="50"/>
        <v>0.5</v>
      </c>
      <c r="AN72" s="152">
        <f t="shared" si="50"/>
        <v>0.5</v>
      </c>
      <c r="AO72" s="152">
        <f t="shared" si="50"/>
        <v>0.5</v>
      </c>
      <c r="AP72" s="152">
        <f t="shared" si="50"/>
        <v>0.5</v>
      </c>
      <c r="AQ72" s="152">
        <f t="shared" si="50"/>
        <v>0.5</v>
      </c>
      <c r="AR72" s="152">
        <f t="shared" si="50"/>
        <v>0.5</v>
      </c>
      <c r="AS72" s="152">
        <f t="shared" si="50"/>
        <v>0.5</v>
      </c>
      <c r="AT72" s="152">
        <f t="shared" si="50"/>
        <v>0.5</v>
      </c>
      <c r="AU72" s="152">
        <f t="shared" si="50"/>
        <v>0.5</v>
      </c>
      <c r="AV72" s="152">
        <f t="shared" si="50"/>
        <v>0.5</v>
      </c>
      <c r="AW72" s="90" t="s">
        <v>1234</v>
      </c>
      <c r="AX72" s="90"/>
      <c r="AY72" s="90"/>
      <c r="AZ72" s="90"/>
      <c r="BA72" s="90"/>
      <c r="BB72" s="90"/>
      <c r="BC72" s="90"/>
      <c r="BD72" s="90"/>
      <c r="BE72" s="90"/>
      <c r="BF72" s="90"/>
      <c r="BG72" s="90"/>
      <c r="BH72" s="90"/>
      <c r="BI72" s="90"/>
      <c r="BJ72" s="90"/>
      <c r="BK72" s="90"/>
      <c r="BL72" s="90"/>
      <c r="BM72" s="90"/>
      <c r="BN72" s="90"/>
      <c r="BO72" s="90"/>
      <c r="BP72" s="90"/>
      <c r="BQ72" s="90"/>
    </row>
    <row r="73" ht="12.75" hidden="1" customHeight="1" outlineLevel="1">
      <c r="A73" s="515"/>
      <c r="B73" s="90" t="s">
        <v>656</v>
      </c>
      <c r="C73" s="90"/>
      <c r="D73" s="90"/>
      <c r="E73" s="90"/>
      <c r="F73" s="90"/>
      <c r="G73" s="90"/>
      <c r="H73" s="90"/>
      <c r="I73" s="90"/>
      <c r="J73" s="90"/>
      <c r="K73" s="102">
        <f t="shared" ref="K73:AV73" si="51">ROUND(K50*K72*K$46,0)</f>
        <v>0</v>
      </c>
      <c r="L73" s="102">
        <f t="shared" si="51"/>
        <v>274</v>
      </c>
      <c r="M73" s="102">
        <f t="shared" si="51"/>
        <v>309</v>
      </c>
      <c r="N73" s="102">
        <f t="shared" si="51"/>
        <v>316</v>
      </c>
      <c r="O73" s="102">
        <f t="shared" si="51"/>
        <v>300</v>
      </c>
      <c r="P73" s="102">
        <f t="shared" si="51"/>
        <v>285</v>
      </c>
      <c r="Q73" s="102">
        <f t="shared" si="51"/>
        <v>271</v>
      </c>
      <c r="R73" s="102">
        <f t="shared" si="51"/>
        <v>257</v>
      </c>
      <c r="S73" s="102">
        <f t="shared" si="51"/>
        <v>250</v>
      </c>
      <c r="T73" s="102">
        <f t="shared" si="51"/>
        <v>250</v>
      </c>
      <c r="U73" s="102">
        <f t="shared" si="51"/>
        <v>250</v>
      </c>
      <c r="V73" s="102">
        <f t="shared" si="51"/>
        <v>250</v>
      </c>
      <c r="W73" s="102">
        <f t="shared" si="51"/>
        <v>250</v>
      </c>
      <c r="X73" s="102">
        <f t="shared" si="51"/>
        <v>250</v>
      </c>
      <c r="Y73" s="102">
        <f t="shared" si="51"/>
        <v>250</v>
      </c>
      <c r="Z73" s="102">
        <f t="shared" si="51"/>
        <v>250</v>
      </c>
      <c r="AA73" s="102">
        <f t="shared" si="51"/>
        <v>250</v>
      </c>
      <c r="AB73" s="102">
        <f t="shared" si="51"/>
        <v>250</v>
      </c>
      <c r="AC73" s="102">
        <f t="shared" si="51"/>
        <v>250</v>
      </c>
      <c r="AD73" s="102">
        <f t="shared" si="51"/>
        <v>250</v>
      </c>
      <c r="AE73" s="102">
        <f t="shared" si="51"/>
        <v>250</v>
      </c>
      <c r="AF73" s="102">
        <f t="shared" si="51"/>
        <v>250</v>
      </c>
      <c r="AG73" s="102">
        <f t="shared" si="51"/>
        <v>250</v>
      </c>
      <c r="AH73" s="102">
        <f t="shared" si="51"/>
        <v>250</v>
      </c>
      <c r="AI73" s="102">
        <f t="shared" si="51"/>
        <v>250</v>
      </c>
      <c r="AJ73" s="102">
        <f t="shared" si="51"/>
        <v>250</v>
      </c>
      <c r="AK73" s="102">
        <f t="shared" si="51"/>
        <v>250</v>
      </c>
      <c r="AL73" s="102">
        <f t="shared" si="51"/>
        <v>250</v>
      </c>
      <c r="AM73" s="102">
        <f t="shared" si="51"/>
        <v>250</v>
      </c>
      <c r="AN73" s="102">
        <f t="shared" si="51"/>
        <v>250</v>
      </c>
      <c r="AO73" s="102">
        <f t="shared" si="51"/>
        <v>250</v>
      </c>
      <c r="AP73" s="102">
        <f t="shared" si="51"/>
        <v>250</v>
      </c>
      <c r="AQ73" s="102">
        <f t="shared" si="51"/>
        <v>250</v>
      </c>
      <c r="AR73" s="102">
        <f t="shared" si="51"/>
        <v>250</v>
      </c>
      <c r="AS73" s="102">
        <f t="shared" si="51"/>
        <v>250</v>
      </c>
      <c r="AT73" s="102">
        <f t="shared" si="51"/>
        <v>250</v>
      </c>
      <c r="AU73" s="102">
        <f t="shared" si="51"/>
        <v>250</v>
      </c>
      <c r="AV73" s="102">
        <f t="shared" si="51"/>
        <v>250</v>
      </c>
      <c r="AW73" s="90"/>
      <c r="AX73" s="90"/>
      <c r="AY73" s="90"/>
      <c r="AZ73" s="90"/>
      <c r="BA73" s="90"/>
      <c r="BB73" s="90"/>
      <c r="BC73" s="90"/>
      <c r="BD73" s="90"/>
      <c r="BE73" s="90"/>
      <c r="BF73" s="90"/>
      <c r="BG73" s="90"/>
      <c r="BH73" s="90"/>
      <c r="BI73" s="90"/>
      <c r="BJ73" s="90"/>
      <c r="BK73" s="90"/>
      <c r="BL73" s="90"/>
      <c r="BM73" s="90"/>
      <c r="BN73" s="90"/>
      <c r="BO73" s="90"/>
      <c r="BP73" s="90"/>
      <c r="BQ73" s="90"/>
    </row>
    <row r="74" ht="12.75" hidden="1" customHeight="1" outlineLevel="1">
      <c r="A74" s="515"/>
      <c r="B74" s="90" t="s">
        <v>657</v>
      </c>
      <c r="C74" s="90"/>
      <c r="D74" s="90"/>
      <c r="E74" s="90"/>
      <c r="F74" s="90"/>
      <c r="G74" s="90"/>
      <c r="H74" s="102"/>
      <c r="I74" s="102"/>
      <c r="J74" s="102"/>
      <c r="K74" s="102">
        <f t="shared" ref="K74:AV74" si="52">K73*K$52</f>
        <v>0</v>
      </c>
      <c r="L74" s="102">
        <f t="shared" si="52"/>
        <v>263.04</v>
      </c>
      <c r="M74" s="102">
        <f t="shared" si="52"/>
        <v>296.64</v>
      </c>
      <c r="N74" s="102">
        <f t="shared" si="52"/>
        <v>303.36</v>
      </c>
      <c r="O74" s="102">
        <f t="shared" si="52"/>
        <v>288</v>
      </c>
      <c r="P74" s="102">
        <f t="shared" si="52"/>
        <v>273.6</v>
      </c>
      <c r="Q74" s="102">
        <f t="shared" si="52"/>
        <v>260.16</v>
      </c>
      <c r="R74" s="102">
        <f t="shared" si="52"/>
        <v>246.72</v>
      </c>
      <c r="S74" s="102">
        <f t="shared" si="52"/>
        <v>240</v>
      </c>
      <c r="T74" s="102">
        <f t="shared" si="52"/>
        <v>240</v>
      </c>
      <c r="U74" s="102">
        <f t="shared" si="52"/>
        <v>240</v>
      </c>
      <c r="V74" s="102">
        <f t="shared" si="52"/>
        <v>240</v>
      </c>
      <c r="W74" s="102">
        <f t="shared" si="52"/>
        <v>240</v>
      </c>
      <c r="X74" s="102">
        <f t="shared" si="52"/>
        <v>240</v>
      </c>
      <c r="Y74" s="102">
        <f t="shared" si="52"/>
        <v>240</v>
      </c>
      <c r="Z74" s="102">
        <f t="shared" si="52"/>
        <v>240</v>
      </c>
      <c r="AA74" s="102">
        <f t="shared" si="52"/>
        <v>240</v>
      </c>
      <c r="AB74" s="102">
        <f t="shared" si="52"/>
        <v>240</v>
      </c>
      <c r="AC74" s="102">
        <f t="shared" si="52"/>
        <v>240</v>
      </c>
      <c r="AD74" s="102">
        <f t="shared" si="52"/>
        <v>240</v>
      </c>
      <c r="AE74" s="102">
        <f t="shared" si="52"/>
        <v>240</v>
      </c>
      <c r="AF74" s="102">
        <f t="shared" si="52"/>
        <v>240</v>
      </c>
      <c r="AG74" s="102">
        <f t="shared" si="52"/>
        <v>240</v>
      </c>
      <c r="AH74" s="102">
        <f t="shared" si="52"/>
        <v>240</v>
      </c>
      <c r="AI74" s="102">
        <f t="shared" si="52"/>
        <v>240</v>
      </c>
      <c r="AJ74" s="102">
        <f t="shared" si="52"/>
        <v>240</v>
      </c>
      <c r="AK74" s="102">
        <f t="shared" si="52"/>
        <v>240</v>
      </c>
      <c r="AL74" s="102">
        <f t="shared" si="52"/>
        <v>240</v>
      </c>
      <c r="AM74" s="102">
        <f t="shared" si="52"/>
        <v>240</v>
      </c>
      <c r="AN74" s="102">
        <f t="shared" si="52"/>
        <v>240</v>
      </c>
      <c r="AO74" s="102">
        <f t="shared" si="52"/>
        <v>240</v>
      </c>
      <c r="AP74" s="102">
        <f t="shared" si="52"/>
        <v>240</v>
      </c>
      <c r="AQ74" s="102">
        <f t="shared" si="52"/>
        <v>240</v>
      </c>
      <c r="AR74" s="102">
        <f t="shared" si="52"/>
        <v>240</v>
      </c>
      <c r="AS74" s="102">
        <f t="shared" si="52"/>
        <v>240</v>
      </c>
      <c r="AT74" s="102">
        <f t="shared" si="52"/>
        <v>240</v>
      </c>
      <c r="AU74" s="102">
        <f t="shared" si="52"/>
        <v>240</v>
      </c>
      <c r="AV74" s="102">
        <f t="shared" si="52"/>
        <v>240</v>
      </c>
      <c r="AW74" s="90"/>
      <c r="AX74" s="90"/>
      <c r="AY74" s="90"/>
      <c r="AZ74" s="90"/>
      <c r="BA74" s="90"/>
      <c r="BB74" s="90"/>
      <c r="BC74" s="90"/>
      <c r="BD74" s="90"/>
      <c r="BE74" s="90"/>
      <c r="BF74" s="90"/>
      <c r="BG74" s="90"/>
      <c r="BH74" s="90"/>
      <c r="BI74" s="90"/>
      <c r="BJ74" s="90"/>
      <c r="BK74" s="90"/>
      <c r="BL74" s="90"/>
      <c r="BM74" s="90"/>
      <c r="BN74" s="90"/>
      <c r="BO74" s="90"/>
      <c r="BP74" s="90"/>
      <c r="BQ74" s="90"/>
    </row>
    <row r="75" ht="12.75" hidden="1" customHeight="1" outlineLevel="1">
      <c r="A75" s="515"/>
      <c r="B75" s="90"/>
      <c r="C75" s="90"/>
      <c r="D75" s="90"/>
      <c r="E75" s="90"/>
      <c r="F75" s="90"/>
      <c r="G75" s="90"/>
      <c r="H75" s="90"/>
      <c r="I75" s="90"/>
      <c r="J75" s="90"/>
      <c r="K75" s="90"/>
      <c r="L75" s="90"/>
      <c r="M75" s="90"/>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c r="AY75" s="90"/>
      <c r="AZ75" s="90"/>
      <c r="BA75" s="90"/>
      <c r="BB75" s="90"/>
      <c r="BC75" s="90"/>
      <c r="BD75" s="90"/>
      <c r="BE75" s="90"/>
      <c r="BF75" s="90"/>
      <c r="BG75" s="90"/>
      <c r="BH75" s="90"/>
      <c r="BI75" s="90"/>
      <c r="BJ75" s="90"/>
      <c r="BK75" s="90"/>
      <c r="BL75" s="90"/>
      <c r="BM75" s="90"/>
      <c r="BN75" s="90"/>
      <c r="BO75" s="90"/>
      <c r="BP75" s="90"/>
      <c r="BQ75" s="90"/>
    </row>
    <row r="76" ht="12.75" hidden="1" customHeight="1" outlineLevel="1">
      <c r="A76" s="515"/>
      <c r="B76" s="90" t="s">
        <v>658</v>
      </c>
      <c r="C76" s="90"/>
      <c r="D76" s="90"/>
      <c r="E76" s="90"/>
      <c r="F76" s="90"/>
      <c r="G76" s="90"/>
      <c r="H76" s="353"/>
      <c r="I76" s="353"/>
      <c r="J76" s="353"/>
      <c r="K76" s="102">
        <f>ROUND(K69+J73+IF(K69+J73-J46/2&gt;0,0.5*(K69+J73-J46/2),0),0)</f>
        <v>0</v>
      </c>
      <c r="L76" s="102">
        <f>ROUND(L69+L73+IF(L69+L73-L46/2&gt;0,0.5*(L69+L73-L46/2),0),0)</f>
        <v>607</v>
      </c>
      <c r="M76" s="102">
        <f t="shared" ref="M76:AV76" si="53">ROUND(L69+L73+IF(L69+L73-L46/2&gt;0,0.5*(L69+L73-L46/2),0),0)</f>
        <v>607</v>
      </c>
      <c r="N76" s="102">
        <f t="shared" si="53"/>
        <v>696</v>
      </c>
      <c r="O76" s="102">
        <f t="shared" si="53"/>
        <v>724</v>
      </c>
      <c r="P76" s="102">
        <f t="shared" si="53"/>
        <v>700</v>
      </c>
      <c r="Q76" s="102">
        <f t="shared" si="53"/>
        <v>678</v>
      </c>
      <c r="R76" s="102">
        <f t="shared" si="53"/>
        <v>657</v>
      </c>
      <c r="S76" s="102">
        <f t="shared" si="53"/>
        <v>636</v>
      </c>
      <c r="T76" s="102">
        <f t="shared" si="53"/>
        <v>625</v>
      </c>
      <c r="U76" s="102">
        <f t="shared" si="53"/>
        <v>625</v>
      </c>
      <c r="V76" s="102">
        <f t="shared" si="53"/>
        <v>625</v>
      </c>
      <c r="W76" s="102">
        <f t="shared" si="53"/>
        <v>625</v>
      </c>
      <c r="X76" s="102">
        <f t="shared" si="53"/>
        <v>625</v>
      </c>
      <c r="Y76" s="102">
        <f t="shared" si="53"/>
        <v>625</v>
      </c>
      <c r="Z76" s="102">
        <f t="shared" si="53"/>
        <v>625</v>
      </c>
      <c r="AA76" s="102">
        <f t="shared" si="53"/>
        <v>625</v>
      </c>
      <c r="AB76" s="102">
        <f t="shared" si="53"/>
        <v>625</v>
      </c>
      <c r="AC76" s="102">
        <f t="shared" si="53"/>
        <v>625</v>
      </c>
      <c r="AD76" s="102">
        <f t="shared" si="53"/>
        <v>625</v>
      </c>
      <c r="AE76" s="102">
        <f t="shared" si="53"/>
        <v>625</v>
      </c>
      <c r="AF76" s="102">
        <f t="shared" si="53"/>
        <v>625</v>
      </c>
      <c r="AG76" s="102">
        <f t="shared" si="53"/>
        <v>625</v>
      </c>
      <c r="AH76" s="102">
        <f t="shared" si="53"/>
        <v>625</v>
      </c>
      <c r="AI76" s="102">
        <f t="shared" si="53"/>
        <v>625</v>
      </c>
      <c r="AJ76" s="102">
        <f t="shared" si="53"/>
        <v>625</v>
      </c>
      <c r="AK76" s="102">
        <f t="shared" si="53"/>
        <v>625</v>
      </c>
      <c r="AL76" s="102">
        <f t="shared" si="53"/>
        <v>625</v>
      </c>
      <c r="AM76" s="102">
        <f t="shared" si="53"/>
        <v>625</v>
      </c>
      <c r="AN76" s="102">
        <f t="shared" si="53"/>
        <v>625</v>
      </c>
      <c r="AO76" s="102">
        <f t="shared" si="53"/>
        <v>625</v>
      </c>
      <c r="AP76" s="102">
        <f t="shared" si="53"/>
        <v>625</v>
      </c>
      <c r="AQ76" s="102">
        <f t="shared" si="53"/>
        <v>625</v>
      </c>
      <c r="AR76" s="102">
        <f t="shared" si="53"/>
        <v>625</v>
      </c>
      <c r="AS76" s="102">
        <f t="shared" si="53"/>
        <v>625</v>
      </c>
      <c r="AT76" s="102">
        <f t="shared" si="53"/>
        <v>625</v>
      </c>
      <c r="AU76" s="102">
        <f t="shared" si="53"/>
        <v>625</v>
      </c>
      <c r="AV76" s="102">
        <f t="shared" si="53"/>
        <v>625</v>
      </c>
      <c r="AW76" s="90"/>
      <c r="AX76" s="90"/>
      <c r="AY76" s="90"/>
      <c r="AZ76" s="90"/>
      <c r="BA76" s="90"/>
      <c r="BB76" s="90"/>
      <c r="BC76" s="90"/>
      <c r="BD76" s="90"/>
      <c r="BE76" s="90"/>
      <c r="BF76" s="90"/>
      <c r="BG76" s="90"/>
      <c r="BH76" s="90"/>
      <c r="BI76" s="90"/>
      <c r="BJ76" s="90"/>
      <c r="BK76" s="90"/>
      <c r="BL76" s="90"/>
      <c r="BM76" s="90"/>
      <c r="BN76" s="90"/>
      <c r="BO76" s="90"/>
      <c r="BP76" s="90"/>
      <c r="BQ76" s="90"/>
    </row>
    <row r="77" ht="12.75" hidden="1" customHeight="1" outlineLevel="1">
      <c r="A77" s="515"/>
      <c r="B77" s="90"/>
      <c r="C77" s="90"/>
      <c r="D77" s="90"/>
      <c r="E77" s="90"/>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90"/>
      <c r="BQ77" s="90"/>
    </row>
    <row r="78" ht="12.75" hidden="1" customHeight="1" outlineLevel="1">
      <c r="A78" s="515"/>
      <c r="B78" s="90" t="s">
        <v>659</v>
      </c>
      <c r="C78" s="90"/>
      <c r="D78" s="90"/>
      <c r="E78" s="90"/>
      <c r="F78" s="90"/>
      <c r="G78" s="90"/>
      <c r="H78" s="157"/>
      <c r="I78" s="157"/>
      <c r="J78" s="157"/>
      <c r="K78" s="152">
        <v>0.0</v>
      </c>
      <c r="L78" s="152">
        <f>'RS2'!K78</f>
        <v>0.08</v>
      </c>
      <c r="M78" s="152">
        <f t="shared" ref="M78:AV78" si="54">L78</f>
        <v>0.08</v>
      </c>
      <c r="N78" s="152">
        <f t="shared" si="54"/>
        <v>0.08</v>
      </c>
      <c r="O78" s="152">
        <f t="shared" si="54"/>
        <v>0.08</v>
      </c>
      <c r="P78" s="152">
        <f t="shared" si="54"/>
        <v>0.08</v>
      </c>
      <c r="Q78" s="152">
        <f t="shared" si="54"/>
        <v>0.08</v>
      </c>
      <c r="R78" s="152">
        <f t="shared" si="54"/>
        <v>0.08</v>
      </c>
      <c r="S78" s="152">
        <f t="shared" si="54"/>
        <v>0.08</v>
      </c>
      <c r="T78" s="152">
        <f t="shared" si="54"/>
        <v>0.08</v>
      </c>
      <c r="U78" s="152">
        <f t="shared" si="54"/>
        <v>0.08</v>
      </c>
      <c r="V78" s="152">
        <f t="shared" si="54"/>
        <v>0.08</v>
      </c>
      <c r="W78" s="152">
        <f t="shared" si="54"/>
        <v>0.08</v>
      </c>
      <c r="X78" s="152">
        <f t="shared" si="54"/>
        <v>0.08</v>
      </c>
      <c r="Y78" s="152">
        <f t="shared" si="54"/>
        <v>0.08</v>
      </c>
      <c r="Z78" s="152">
        <f t="shared" si="54"/>
        <v>0.08</v>
      </c>
      <c r="AA78" s="152">
        <f t="shared" si="54"/>
        <v>0.08</v>
      </c>
      <c r="AB78" s="152">
        <f t="shared" si="54"/>
        <v>0.08</v>
      </c>
      <c r="AC78" s="152">
        <f t="shared" si="54"/>
        <v>0.08</v>
      </c>
      <c r="AD78" s="152">
        <f t="shared" si="54"/>
        <v>0.08</v>
      </c>
      <c r="AE78" s="152">
        <f t="shared" si="54"/>
        <v>0.08</v>
      </c>
      <c r="AF78" s="152">
        <f t="shared" si="54"/>
        <v>0.08</v>
      </c>
      <c r="AG78" s="152">
        <f t="shared" si="54"/>
        <v>0.08</v>
      </c>
      <c r="AH78" s="152">
        <f t="shared" si="54"/>
        <v>0.08</v>
      </c>
      <c r="AI78" s="152">
        <f t="shared" si="54"/>
        <v>0.08</v>
      </c>
      <c r="AJ78" s="152">
        <f t="shared" si="54"/>
        <v>0.08</v>
      </c>
      <c r="AK78" s="152">
        <f t="shared" si="54"/>
        <v>0.08</v>
      </c>
      <c r="AL78" s="152">
        <f t="shared" si="54"/>
        <v>0.08</v>
      </c>
      <c r="AM78" s="152">
        <f t="shared" si="54"/>
        <v>0.08</v>
      </c>
      <c r="AN78" s="152">
        <f t="shared" si="54"/>
        <v>0.08</v>
      </c>
      <c r="AO78" s="152">
        <f t="shared" si="54"/>
        <v>0.08</v>
      </c>
      <c r="AP78" s="152">
        <f t="shared" si="54"/>
        <v>0.08</v>
      </c>
      <c r="AQ78" s="152">
        <f t="shared" si="54"/>
        <v>0.08</v>
      </c>
      <c r="AR78" s="152">
        <f t="shared" si="54"/>
        <v>0.08</v>
      </c>
      <c r="AS78" s="152">
        <f t="shared" si="54"/>
        <v>0.08</v>
      </c>
      <c r="AT78" s="152">
        <f t="shared" si="54"/>
        <v>0.08</v>
      </c>
      <c r="AU78" s="152">
        <f t="shared" si="54"/>
        <v>0.08</v>
      </c>
      <c r="AV78" s="152">
        <f t="shared" si="54"/>
        <v>0.08</v>
      </c>
      <c r="AW78" s="90" t="s">
        <v>1180</v>
      </c>
      <c r="AX78" s="90"/>
      <c r="AY78" s="90"/>
      <c r="AZ78" s="90"/>
      <c r="BA78" s="90"/>
      <c r="BB78" s="90"/>
      <c r="BC78" s="90"/>
      <c r="BD78" s="90"/>
      <c r="BE78" s="90"/>
      <c r="BF78" s="90"/>
      <c r="BG78" s="90"/>
      <c r="BH78" s="90"/>
      <c r="BI78" s="90"/>
      <c r="BJ78" s="90"/>
      <c r="BK78" s="90"/>
      <c r="BL78" s="90"/>
      <c r="BM78" s="90"/>
      <c r="BN78" s="90"/>
      <c r="BO78" s="90"/>
      <c r="BP78" s="90"/>
      <c r="BQ78" s="90"/>
    </row>
    <row r="79" ht="12.75" hidden="1" customHeight="1" outlineLevel="1">
      <c r="A79" s="515"/>
      <c r="B79" s="90" t="s">
        <v>660</v>
      </c>
      <c r="C79" s="90"/>
      <c r="D79" s="90"/>
      <c r="E79" s="90"/>
      <c r="F79" s="90"/>
      <c r="G79" s="90"/>
      <c r="H79" s="90"/>
      <c r="I79" s="90"/>
      <c r="J79" s="90"/>
      <c r="K79" s="102">
        <f t="shared" ref="K79:AV79" si="55">ROUND(K50*K78*K$46,0)</f>
        <v>0</v>
      </c>
      <c r="L79" s="102">
        <f t="shared" si="55"/>
        <v>31</v>
      </c>
      <c r="M79" s="102">
        <f t="shared" si="55"/>
        <v>37</v>
      </c>
      <c r="N79" s="102">
        <f t="shared" si="55"/>
        <v>40</v>
      </c>
      <c r="O79" s="102">
        <f t="shared" si="55"/>
        <v>40</v>
      </c>
      <c r="P79" s="102">
        <f t="shared" si="55"/>
        <v>40</v>
      </c>
      <c r="Q79" s="102">
        <f t="shared" si="55"/>
        <v>40</v>
      </c>
      <c r="R79" s="102">
        <f t="shared" si="55"/>
        <v>40</v>
      </c>
      <c r="S79" s="102">
        <f t="shared" si="55"/>
        <v>40</v>
      </c>
      <c r="T79" s="102">
        <f t="shared" si="55"/>
        <v>40</v>
      </c>
      <c r="U79" s="102">
        <f t="shared" si="55"/>
        <v>40</v>
      </c>
      <c r="V79" s="102">
        <f t="shared" si="55"/>
        <v>40</v>
      </c>
      <c r="W79" s="102">
        <f t="shared" si="55"/>
        <v>40</v>
      </c>
      <c r="X79" s="102">
        <f t="shared" si="55"/>
        <v>40</v>
      </c>
      <c r="Y79" s="102">
        <f t="shared" si="55"/>
        <v>40</v>
      </c>
      <c r="Z79" s="102">
        <f t="shared" si="55"/>
        <v>40</v>
      </c>
      <c r="AA79" s="102">
        <f t="shared" si="55"/>
        <v>40</v>
      </c>
      <c r="AB79" s="102">
        <f t="shared" si="55"/>
        <v>40</v>
      </c>
      <c r="AC79" s="102">
        <f t="shared" si="55"/>
        <v>40</v>
      </c>
      <c r="AD79" s="102">
        <f t="shared" si="55"/>
        <v>40</v>
      </c>
      <c r="AE79" s="102">
        <f t="shared" si="55"/>
        <v>40</v>
      </c>
      <c r="AF79" s="102">
        <f t="shared" si="55"/>
        <v>40</v>
      </c>
      <c r="AG79" s="102">
        <f t="shared" si="55"/>
        <v>40</v>
      </c>
      <c r="AH79" s="102">
        <f t="shared" si="55"/>
        <v>40</v>
      </c>
      <c r="AI79" s="102">
        <f t="shared" si="55"/>
        <v>40</v>
      </c>
      <c r="AJ79" s="102">
        <f t="shared" si="55"/>
        <v>40</v>
      </c>
      <c r="AK79" s="102">
        <f t="shared" si="55"/>
        <v>40</v>
      </c>
      <c r="AL79" s="102">
        <f t="shared" si="55"/>
        <v>40</v>
      </c>
      <c r="AM79" s="102">
        <f t="shared" si="55"/>
        <v>40</v>
      </c>
      <c r="AN79" s="102">
        <f t="shared" si="55"/>
        <v>40</v>
      </c>
      <c r="AO79" s="102">
        <f t="shared" si="55"/>
        <v>40</v>
      </c>
      <c r="AP79" s="102">
        <f t="shared" si="55"/>
        <v>40</v>
      </c>
      <c r="AQ79" s="102">
        <f t="shared" si="55"/>
        <v>40</v>
      </c>
      <c r="AR79" s="102">
        <f t="shared" si="55"/>
        <v>40</v>
      </c>
      <c r="AS79" s="102">
        <f t="shared" si="55"/>
        <v>40</v>
      </c>
      <c r="AT79" s="102">
        <f t="shared" si="55"/>
        <v>40</v>
      </c>
      <c r="AU79" s="102">
        <f t="shared" si="55"/>
        <v>40</v>
      </c>
      <c r="AV79" s="102">
        <f t="shared" si="55"/>
        <v>40</v>
      </c>
      <c r="AW79" s="90"/>
      <c r="AX79" s="90"/>
      <c r="AY79" s="90"/>
      <c r="AZ79" s="90"/>
      <c r="BA79" s="90"/>
      <c r="BB79" s="90"/>
      <c r="BC79" s="90"/>
      <c r="BD79" s="90"/>
      <c r="BE79" s="90"/>
      <c r="BF79" s="90"/>
      <c r="BG79" s="90"/>
      <c r="BH79" s="90"/>
      <c r="BI79" s="90"/>
      <c r="BJ79" s="90"/>
      <c r="BK79" s="90"/>
      <c r="BL79" s="90"/>
      <c r="BM79" s="90"/>
      <c r="BN79" s="90"/>
      <c r="BO79" s="90"/>
      <c r="BP79" s="90"/>
      <c r="BQ79" s="90"/>
    </row>
    <row r="80" ht="12.75" hidden="1" customHeight="1" outlineLevel="1">
      <c r="A80" s="515"/>
      <c r="B80" s="90" t="s">
        <v>661</v>
      </c>
      <c r="C80" s="90"/>
      <c r="D80" s="90"/>
      <c r="E80" s="90"/>
      <c r="F80" s="90"/>
      <c r="G80" s="90"/>
      <c r="H80" s="102"/>
      <c r="I80" s="102"/>
      <c r="J80" s="102"/>
      <c r="K80" s="102">
        <f t="shared" ref="K80:AV80" si="56">K79*K$52</f>
        <v>0</v>
      </c>
      <c r="L80" s="102">
        <f t="shared" si="56"/>
        <v>29.76</v>
      </c>
      <c r="M80" s="102">
        <f t="shared" si="56"/>
        <v>35.52</v>
      </c>
      <c r="N80" s="102">
        <f t="shared" si="56"/>
        <v>38.4</v>
      </c>
      <c r="O80" s="102">
        <f t="shared" si="56"/>
        <v>38.4</v>
      </c>
      <c r="P80" s="102">
        <f t="shared" si="56"/>
        <v>38.4</v>
      </c>
      <c r="Q80" s="102">
        <f t="shared" si="56"/>
        <v>38.4</v>
      </c>
      <c r="R80" s="102">
        <f t="shared" si="56"/>
        <v>38.4</v>
      </c>
      <c r="S80" s="102">
        <f t="shared" si="56"/>
        <v>38.4</v>
      </c>
      <c r="T80" s="102">
        <f t="shared" si="56"/>
        <v>38.4</v>
      </c>
      <c r="U80" s="102">
        <f t="shared" si="56"/>
        <v>38.4</v>
      </c>
      <c r="V80" s="102">
        <f t="shared" si="56"/>
        <v>38.4</v>
      </c>
      <c r="W80" s="102">
        <f t="shared" si="56"/>
        <v>38.4</v>
      </c>
      <c r="X80" s="102">
        <f t="shared" si="56"/>
        <v>38.4</v>
      </c>
      <c r="Y80" s="102">
        <f t="shared" si="56"/>
        <v>38.4</v>
      </c>
      <c r="Z80" s="102">
        <f t="shared" si="56"/>
        <v>38.4</v>
      </c>
      <c r="AA80" s="102">
        <f t="shared" si="56"/>
        <v>38.4</v>
      </c>
      <c r="AB80" s="102">
        <f t="shared" si="56"/>
        <v>38.4</v>
      </c>
      <c r="AC80" s="102">
        <f t="shared" si="56"/>
        <v>38.4</v>
      </c>
      <c r="AD80" s="102">
        <f t="shared" si="56"/>
        <v>38.4</v>
      </c>
      <c r="AE80" s="102">
        <f t="shared" si="56"/>
        <v>38.4</v>
      </c>
      <c r="AF80" s="102">
        <f t="shared" si="56"/>
        <v>38.4</v>
      </c>
      <c r="AG80" s="102">
        <f t="shared" si="56"/>
        <v>38.4</v>
      </c>
      <c r="AH80" s="102">
        <f t="shared" si="56"/>
        <v>38.4</v>
      </c>
      <c r="AI80" s="102">
        <f t="shared" si="56"/>
        <v>38.4</v>
      </c>
      <c r="AJ80" s="102">
        <f t="shared" si="56"/>
        <v>38.4</v>
      </c>
      <c r="AK80" s="102">
        <f t="shared" si="56"/>
        <v>38.4</v>
      </c>
      <c r="AL80" s="102">
        <f t="shared" si="56"/>
        <v>38.4</v>
      </c>
      <c r="AM80" s="102">
        <f t="shared" si="56"/>
        <v>38.4</v>
      </c>
      <c r="AN80" s="102">
        <f t="shared" si="56"/>
        <v>38.4</v>
      </c>
      <c r="AO80" s="102">
        <f t="shared" si="56"/>
        <v>38.4</v>
      </c>
      <c r="AP80" s="102">
        <f t="shared" si="56"/>
        <v>38.4</v>
      </c>
      <c r="AQ80" s="102">
        <f t="shared" si="56"/>
        <v>38.4</v>
      </c>
      <c r="AR80" s="102">
        <f t="shared" si="56"/>
        <v>38.4</v>
      </c>
      <c r="AS80" s="102">
        <f t="shared" si="56"/>
        <v>38.4</v>
      </c>
      <c r="AT80" s="102">
        <f t="shared" si="56"/>
        <v>38.4</v>
      </c>
      <c r="AU80" s="102">
        <f t="shared" si="56"/>
        <v>38.4</v>
      </c>
      <c r="AV80" s="102">
        <f t="shared" si="56"/>
        <v>38.4</v>
      </c>
      <c r="AW80" s="90"/>
      <c r="AX80" s="90"/>
      <c r="AY80" s="90"/>
      <c r="AZ80" s="90"/>
      <c r="BA80" s="90"/>
      <c r="BB80" s="90"/>
      <c r="BC80" s="90"/>
      <c r="BD80" s="90"/>
      <c r="BE80" s="90"/>
      <c r="BF80" s="90"/>
      <c r="BG80" s="90"/>
      <c r="BH80" s="90"/>
      <c r="BI80" s="90"/>
      <c r="BJ80" s="90"/>
      <c r="BK80" s="90"/>
      <c r="BL80" s="90"/>
      <c r="BM80" s="90"/>
      <c r="BN80" s="90"/>
      <c r="BO80" s="90"/>
      <c r="BP80" s="90"/>
      <c r="BQ80" s="90"/>
    </row>
    <row r="81" ht="12.75" hidden="1" customHeight="1" outlineLevel="1">
      <c r="A81" s="515"/>
      <c r="B81" s="90"/>
      <c r="C81" s="90"/>
      <c r="D81" s="90"/>
      <c r="E81" s="90"/>
      <c r="F81" s="90"/>
      <c r="G81" s="90"/>
      <c r="H81" s="90"/>
      <c r="I81" s="90"/>
      <c r="J81" s="90"/>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90"/>
      <c r="AX81" s="90"/>
      <c r="AY81" s="90"/>
      <c r="AZ81" s="90"/>
      <c r="BA81" s="90"/>
      <c r="BB81" s="90"/>
      <c r="BC81" s="90"/>
      <c r="BD81" s="90"/>
      <c r="BE81" s="90"/>
      <c r="BF81" s="90"/>
      <c r="BG81" s="90"/>
      <c r="BH81" s="90"/>
      <c r="BI81" s="90"/>
      <c r="BJ81" s="90"/>
      <c r="BK81" s="90"/>
      <c r="BL81" s="90"/>
      <c r="BM81" s="90"/>
      <c r="BN81" s="90"/>
      <c r="BO81" s="90"/>
      <c r="BP81" s="90"/>
      <c r="BQ81" s="90"/>
    </row>
    <row r="82" ht="12.75" hidden="1" customHeight="1" outlineLevel="1">
      <c r="A82" s="515"/>
      <c r="B82" s="90" t="s">
        <v>662</v>
      </c>
      <c r="C82" s="90"/>
      <c r="D82" s="90"/>
      <c r="E82" s="90"/>
      <c r="F82" s="90"/>
      <c r="G82" s="90"/>
      <c r="H82" s="517"/>
      <c r="I82" s="517"/>
      <c r="J82" s="518"/>
      <c r="K82" s="102">
        <f t="shared" ref="K82:R82" si="57">0.25*K55</f>
        <v>0</v>
      </c>
      <c r="L82" s="102">
        <f t="shared" si="57"/>
        <v>94.08</v>
      </c>
      <c r="M82" s="102">
        <f t="shared" si="57"/>
        <v>111.36</v>
      </c>
      <c r="N82" s="102">
        <f t="shared" si="57"/>
        <v>120</v>
      </c>
      <c r="O82" s="102">
        <f t="shared" si="57"/>
        <v>120</v>
      </c>
      <c r="P82" s="102">
        <f t="shared" si="57"/>
        <v>120</v>
      </c>
      <c r="Q82" s="102">
        <f t="shared" si="57"/>
        <v>120</v>
      </c>
      <c r="R82" s="102">
        <f t="shared" si="57"/>
        <v>120</v>
      </c>
      <c r="S82" s="102">
        <f t="shared" ref="S82:AV82" si="58">R82</f>
        <v>120</v>
      </c>
      <c r="T82" s="102">
        <f t="shared" si="58"/>
        <v>120</v>
      </c>
      <c r="U82" s="102">
        <f t="shared" si="58"/>
        <v>120</v>
      </c>
      <c r="V82" s="102">
        <f t="shared" si="58"/>
        <v>120</v>
      </c>
      <c r="W82" s="102">
        <f t="shared" si="58"/>
        <v>120</v>
      </c>
      <c r="X82" s="102">
        <f t="shared" si="58"/>
        <v>120</v>
      </c>
      <c r="Y82" s="102">
        <f t="shared" si="58"/>
        <v>120</v>
      </c>
      <c r="Z82" s="102">
        <f t="shared" si="58"/>
        <v>120</v>
      </c>
      <c r="AA82" s="102">
        <f t="shared" si="58"/>
        <v>120</v>
      </c>
      <c r="AB82" s="102">
        <f t="shared" si="58"/>
        <v>120</v>
      </c>
      <c r="AC82" s="102">
        <f t="shared" si="58"/>
        <v>120</v>
      </c>
      <c r="AD82" s="102">
        <f t="shared" si="58"/>
        <v>120</v>
      </c>
      <c r="AE82" s="102">
        <f t="shared" si="58"/>
        <v>120</v>
      </c>
      <c r="AF82" s="102">
        <f t="shared" si="58"/>
        <v>120</v>
      </c>
      <c r="AG82" s="102">
        <f t="shared" si="58"/>
        <v>120</v>
      </c>
      <c r="AH82" s="102">
        <f t="shared" si="58"/>
        <v>120</v>
      </c>
      <c r="AI82" s="102">
        <f t="shared" si="58"/>
        <v>120</v>
      </c>
      <c r="AJ82" s="102">
        <f t="shared" si="58"/>
        <v>120</v>
      </c>
      <c r="AK82" s="102">
        <f t="shared" si="58"/>
        <v>120</v>
      </c>
      <c r="AL82" s="102">
        <f t="shared" si="58"/>
        <v>120</v>
      </c>
      <c r="AM82" s="102">
        <f t="shared" si="58"/>
        <v>120</v>
      </c>
      <c r="AN82" s="102">
        <f t="shared" si="58"/>
        <v>120</v>
      </c>
      <c r="AO82" s="102">
        <f t="shared" si="58"/>
        <v>120</v>
      </c>
      <c r="AP82" s="102">
        <f t="shared" si="58"/>
        <v>120</v>
      </c>
      <c r="AQ82" s="102">
        <f t="shared" si="58"/>
        <v>120</v>
      </c>
      <c r="AR82" s="102">
        <f t="shared" si="58"/>
        <v>120</v>
      </c>
      <c r="AS82" s="102">
        <f t="shared" si="58"/>
        <v>120</v>
      </c>
      <c r="AT82" s="102">
        <f t="shared" si="58"/>
        <v>120</v>
      </c>
      <c r="AU82" s="102">
        <f t="shared" si="58"/>
        <v>120</v>
      </c>
      <c r="AV82" s="102">
        <f t="shared" si="58"/>
        <v>120</v>
      </c>
      <c r="AW82" s="90"/>
      <c r="AX82" s="90"/>
      <c r="AY82" s="90"/>
      <c r="AZ82" s="90"/>
      <c r="BA82" s="90"/>
      <c r="BB82" s="90"/>
      <c r="BC82" s="90"/>
      <c r="BD82" s="90"/>
      <c r="BE82" s="90"/>
      <c r="BF82" s="90"/>
      <c r="BG82" s="90"/>
      <c r="BH82" s="90"/>
      <c r="BI82" s="90"/>
      <c r="BJ82" s="90"/>
      <c r="BK82" s="90"/>
      <c r="BL82" s="90"/>
      <c r="BM82" s="90"/>
      <c r="BN82" s="90"/>
      <c r="BO82" s="90"/>
      <c r="BP82" s="90"/>
      <c r="BQ82" s="90"/>
    </row>
    <row r="83" ht="12.75" hidden="1" customHeight="1" outlineLevel="1">
      <c r="A83" s="515"/>
      <c r="B83" s="90" t="s">
        <v>663</v>
      </c>
      <c r="C83" s="90"/>
      <c r="D83" s="90"/>
      <c r="E83" s="90"/>
      <c r="F83" s="90"/>
      <c r="G83" s="90"/>
      <c r="H83" s="90"/>
      <c r="I83" s="90"/>
      <c r="J83" s="90"/>
      <c r="K83" s="102">
        <v>0.0</v>
      </c>
      <c r="L83" s="102">
        <f t="shared" ref="L83:AV83" si="59">L36*L37</f>
        <v>360</v>
      </c>
      <c r="M83" s="102">
        <f t="shared" si="59"/>
        <v>360</v>
      </c>
      <c r="N83" s="102">
        <f t="shared" si="59"/>
        <v>360</v>
      </c>
      <c r="O83" s="102">
        <f t="shared" si="59"/>
        <v>360</v>
      </c>
      <c r="P83" s="102">
        <f t="shared" si="59"/>
        <v>360</v>
      </c>
      <c r="Q83" s="102">
        <f t="shared" si="59"/>
        <v>360</v>
      </c>
      <c r="R83" s="102">
        <f t="shared" si="59"/>
        <v>360</v>
      </c>
      <c r="S83" s="102">
        <f t="shared" si="59"/>
        <v>360</v>
      </c>
      <c r="T83" s="102">
        <f t="shared" si="59"/>
        <v>360</v>
      </c>
      <c r="U83" s="102">
        <f t="shared" si="59"/>
        <v>360</v>
      </c>
      <c r="V83" s="102">
        <f t="shared" si="59"/>
        <v>360</v>
      </c>
      <c r="W83" s="102">
        <f t="shared" si="59"/>
        <v>360</v>
      </c>
      <c r="X83" s="102">
        <f t="shared" si="59"/>
        <v>360</v>
      </c>
      <c r="Y83" s="102">
        <f t="shared" si="59"/>
        <v>360</v>
      </c>
      <c r="Z83" s="102">
        <f t="shared" si="59"/>
        <v>360</v>
      </c>
      <c r="AA83" s="102">
        <f t="shared" si="59"/>
        <v>360</v>
      </c>
      <c r="AB83" s="102">
        <f t="shared" si="59"/>
        <v>360</v>
      </c>
      <c r="AC83" s="102">
        <f t="shared" si="59"/>
        <v>360</v>
      </c>
      <c r="AD83" s="102">
        <f t="shared" si="59"/>
        <v>360</v>
      </c>
      <c r="AE83" s="102">
        <f t="shared" si="59"/>
        <v>360</v>
      </c>
      <c r="AF83" s="102">
        <f t="shared" si="59"/>
        <v>360</v>
      </c>
      <c r="AG83" s="102">
        <f t="shared" si="59"/>
        <v>360</v>
      </c>
      <c r="AH83" s="102">
        <f t="shared" si="59"/>
        <v>360</v>
      </c>
      <c r="AI83" s="102">
        <f t="shared" si="59"/>
        <v>360</v>
      </c>
      <c r="AJ83" s="102">
        <f t="shared" si="59"/>
        <v>360</v>
      </c>
      <c r="AK83" s="102">
        <f t="shared" si="59"/>
        <v>360</v>
      </c>
      <c r="AL83" s="102">
        <f t="shared" si="59"/>
        <v>360</v>
      </c>
      <c r="AM83" s="102">
        <f t="shared" si="59"/>
        <v>360</v>
      </c>
      <c r="AN83" s="102">
        <f t="shared" si="59"/>
        <v>360</v>
      </c>
      <c r="AO83" s="102">
        <f t="shared" si="59"/>
        <v>360</v>
      </c>
      <c r="AP83" s="102">
        <f t="shared" si="59"/>
        <v>360</v>
      </c>
      <c r="AQ83" s="102">
        <f t="shared" si="59"/>
        <v>360</v>
      </c>
      <c r="AR83" s="102">
        <f t="shared" si="59"/>
        <v>360</v>
      </c>
      <c r="AS83" s="102">
        <f t="shared" si="59"/>
        <v>360</v>
      </c>
      <c r="AT83" s="102">
        <f t="shared" si="59"/>
        <v>360</v>
      </c>
      <c r="AU83" s="102">
        <f t="shared" si="59"/>
        <v>360</v>
      </c>
      <c r="AV83" s="102">
        <f t="shared" si="59"/>
        <v>360</v>
      </c>
      <c r="AW83" s="90"/>
      <c r="AX83" s="90"/>
      <c r="AY83" s="90"/>
      <c r="AZ83" s="90"/>
      <c r="BA83" s="90"/>
      <c r="BB83" s="90"/>
      <c r="BC83" s="90"/>
      <c r="BD83" s="90"/>
      <c r="BE83" s="90"/>
      <c r="BF83" s="90"/>
      <c r="BG83" s="90"/>
      <c r="BH83" s="90"/>
      <c r="BI83" s="90"/>
      <c r="BJ83" s="90"/>
      <c r="BK83" s="90"/>
      <c r="BL83" s="90"/>
      <c r="BM83" s="90"/>
      <c r="BN83" s="90"/>
      <c r="BO83" s="90"/>
      <c r="BP83" s="90"/>
      <c r="BQ83" s="90"/>
    </row>
    <row r="84" ht="12.75" hidden="1" customHeight="1" outlineLevel="1">
      <c r="A84" s="515"/>
      <c r="B84" s="90" t="s">
        <v>664</v>
      </c>
      <c r="C84" s="90"/>
      <c r="D84" s="90"/>
      <c r="E84" s="90"/>
      <c r="F84" s="90"/>
      <c r="G84" s="90"/>
      <c r="H84" s="102"/>
      <c r="I84" s="102"/>
      <c r="J84" s="102"/>
      <c r="K84" s="102">
        <f t="shared" ref="K84:AV84" si="60">K83*K82</f>
        <v>0</v>
      </c>
      <c r="L84" s="102">
        <f t="shared" si="60"/>
        <v>33868.8</v>
      </c>
      <c r="M84" s="102">
        <f t="shared" si="60"/>
        <v>40089.6</v>
      </c>
      <c r="N84" s="102">
        <f t="shared" si="60"/>
        <v>43200</v>
      </c>
      <c r="O84" s="102">
        <f t="shared" si="60"/>
        <v>43200</v>
      </c>
      <c r="P84" s="102">
        <f t="shared" si="60"/>
        <v>43200</v>
      </c>
      <c r="Q84" s="102">
        <f t="shared" si="60"/>
        <v>43200</v>
      </c>
      <c r="R84" s="102">
        <f t="shared" si="60"/>
        <v>43200</v>
      </c>
      <c r="S84" s="102">
        <f t="shared" si="60"/>
        <v>43200</v>
      </c>
      <c r="T84" s="102">
        <f t="shared" si="60"/>
        <v>43200</v>
      </c>
      <c r="U84" s="102">
        <f t="shared" si="60"/>
        <v>43200</v>
      </c>
      <c r="V84" s="102">
        <f t="shared" si="60"/>
        <v>43200</v>
      </c>
      <c r="W84" s="102">
        <f t="shared" si="60"/>
        <v>43200</v>
      </c>
      <c r="X84" s="102">
        <f t="shared" si="60"/>
        <v>43200</v>
      </c>
      <c r="Y84" s="102">
        <f t="shared" si="60"/>
        <v>43200</v>
      </c>
      <c r="Z84" s="102">
        <f t="shared" si="60"/>
        <v>43200</v>
      </c>
      <c r="AA84" s="102">
        <f t="shared" si="60"/>
        <v>43200</v>
      </c>
      <c r="AB84" s="102">
        <f t="shared" si="60"/>
        <v>43200</v>
      </c>
      <c r="AC84" s="102">
        <f t="shared" si="60"/>
        <v>43200</v>
      </c>
      <c r="AD84" s="102">
        <f t="shared" si="60"/>
        <v>43200</v>
      </c>
      <c r="AE84" s="102">
        <f t="shared" si="60"/>
        <v>43200</v>
      </c>
      <c r="AF84" s="102">
        <f t="shared" si="60"/>
        <v>43200</v>
      </c>
      <c r="AG84" s="102">
        <f t="shared" si="60"/>
        <v>43200</v>
      </c>
      <c r="AH84" s="102">
        <f t="shared" si="60"/>
        <v>43200</v>
      </c>
      <c r="AI84" s="102">
        <f t="shared" si="60"/>
        <v>43200</v>
      </c>
      <c r="AJ84" s="102">
        <f t="shared" si="60"/>
        <v>43200</v>
      </c>
      <c r="AK84" s="102">
        <f t="shared" si="60"/>
        <v>43200</v>
      </c>
      <c r="AL84" s="102">
        <f t="shared" si="60"/>
        <v>43200</v>
      </c>
      <c r="AM84" s="102">
        <f t="shared" si="60"/>
        <v>43200</v>
      </c>
      <c r="AN84" s="102">
        <f t="shared" si="60"/>
        <v>43200</v>
      </c>
      <c r="AO84" s="102">
        <f t="shared" si="60"/>
        <v>43200</v>
      </c>
      <c r="AP84" s="102">
        <f t="shared" si="60"/>
        <v>43200</v>
      </c>
      <c r="AQ84" s="102">
        <f t="shared" si="60"/>
        <v>43200</v>
      </c>
      <c r="AR84" s="102">
        <f t="shared" si="60"/>
        <v>43200</v>
      </c>
      <c r="AS84" s="102">
        <f t="shared" si="60"/>
        <v>43200</v>
      </c>
      <c r="AT84" s="102">
        <f t="shared" si="60"/>
        <v>43200</v>
      </c>
      <c r="AU84" s="102">
        <f t="shared" si="60"/>
        <v>43200</v>
      </c>
      <c r="AV84" s="102">
        <f t="shared" si="60"/>
        <v>43200</v>
      </c>
      <c r="AW84" s="90"/>
      <c r="AX84" s="90"/>
      <c r="AY84" s="90"/>
      <c r="AZ84" s="90"/>
      <c r="BA84" s="90"/>
      <c r="BB84" s="90"/>
      <c r="BC84" s="90"/>
      <c r="BD84" s="90"/>
      <c r="BE84" s="90"/>
      <c r="BF84" s="90"/>
      <c r="BG84" s="90"/>
      <c r="BH84" s="90"/>
      <c r="BI84" s="90"/>
      <c r="BJ84" s="90"/>
      <c r="BK84" s="90"/>
      <c r="BL84" s="90"/>
      <c r="BM84" s="90"/>
      <c r="BN84" s="90"/>
      <c r="BO84" s="90"/>
      <c r="BP84" s="90"/>
      <c r="BQ84" s="90"/>
    </row>
    <row r="85" ht="12.75" customHeight="1">
      <c r="A85" s="515"/>
      <c r="B85" s="90"/>
      <c r="C85" s="90"/>
      <c r="D85" s="90"/>
      <c r="E85" s="90"/>
      <c r="F85" s="90"/>
      <c r="G85" s="90"/>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90"/>
      <c r="AX85" s="90"/>
      <c r="AY85" s="90"/>
      <c r="AZ85" s="90"/>
      <c r="BA85" s="90"/>
      <c r="BB85" s="90"/>
      <c r="BC85" s="90"/>
      <c r="BD85" s="90"/>
      <c r="BE85" s="90"/>
      <c r="BF85" s="90"/>
      <c r="BG85" s="90"/>
      <c r="BH85" s="90"/>
      <c r="BI85" s="90"/>
      <c r="BJ85" s="90"/>
      <c r="BK85" s="90"/>
      <c r="BL85" s="90"/>
      <c r="BM85" s="90"/>
      <c r="BN85" s="90"/>
      <c r="BO85" s="90"/>
      <c r="BP85" s="90"/>
      <c r="BQ85" s="90"/>
    </row>
    <row r="86" ht="12.75" customHeight="1">
      <c r="A86" s="105" t="s">
        <v>665</v>
      </c>
      <c r="B86" s="253"/>
      <c r="C86" s="253"/>
      <c r="D86" s="253"/>
      <c r="E86" s="253"/>
      <c r="F86" s="253"/>
      <c r="G86" s="253"/>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90"/>
      <c r="AY86" s="90"/>
      <c r="AZ86" s="90"/>
      <c r="BA86" s="90"/>
      <c r="BB86" s="90"/>
      <c r="BC86" s="90"/>
      <c r="BD86" s="90"/>
      <c r="BE86" s="90"/>
      <c r="BF86" s="90"/>
      <c r="BG86" s="90"/>
      <c r="BH86" s="90"/>
      <c r="BI86" s="90"/>
      <c r="BJ86" s="90"/>
      <c r="BK86" s="90"/>
      <c r="BL86" s="90"/>
      <c r="BM86" s="90"/>
      <c r="BN86" s="90"/>
      <c r="BO86" s="90"/>
      <c r="BP86" s="90"/>
      <c r="BQ86" s="90"/>
    </row>
    <row r="87" ht="12.75" hidden="1" customHeight="1" outlineLevel="1">
      <c r="A87" s="515"/>
      <c r="B87" s="90"/>
      <c r="C87" s="90"/>
      <c r="D87" s="90"/>
      <c r="E87" s="90"/>
      <c r="F87" s="90"/>
      <c r="G87" s="90"/>
      <c r="H87" s="90"/>
      <c r="I87" s="90"/>
      <c r="J87" s="90"/>
      <c r="K87" s="90"/>
      <c r="L87" s="90"/>
      <c r="M87" s="90"/>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c r="AY87" s="90"/>
      <c r="AZ87" s="90"/>
      <c r="BA87" s="90"/>
      <c r="BB87" s="90"/>
      <c r="BC87" s="90"/>
      <c r="BD87" s="90"/>
      <c r="BE87" s="90"/>
      <c r="BF87" s="90"/>
      <c r="BG87" s="90"/>
      <c r="BH87" s="90"/>
      <c r="BI87" s="90"/>
      <c r="BJ87" s="90"/>
      <c r="BK87" s="90"/>
      <c r="BL87" s="90"/>
      <c r="BM87" s="90"/>
      <c r="BN87" s="90"/>
      <c r="BO87" s="90"/>
      <c r="BP87" s="90"/>
      <c r="BQ87" s="90"/>
    </row>
    <row r="88" ht="12.75" hidden="1" customHeight="1" outlineLevel="1">
      <c r="A88" s="316"/>
      <c r="B88" s="67" t="s">
        <v>666</v>
      </c>
      <c r="C88" s="90"/>
      <c r="D88" s="90"/>
      <c r="E88" s="90"/>
      <c r="F88" s="90"/>
      <c r="G88" s="90"/>
      <c r="H88" s="90"/>
      <c r="I88" s="90"/>
      <c r="J88" s="90"/>
      <c r="K88" s="90"/>
      <c r="L88" s="90"/>
      <c r="M88" s="90"/>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c r="AY88" s="90"/>
      <c r="AZ88" s="90"/>
      <c r="BA88" s="90"/>
      <c r="BB88" s="90"/>
      <c r="BC88" s="90"/>
      <c r="BD88" s="90"/>
      <c r="BE88" s="90"/>
      <c r="BF88" s="90"/>
      <c r="BG88" s="90"/>
      <c r="BH88" s="90"/>
      <c r="BI88" s="90"/>
      <c r="BJ88" s="90"/>
      <c r="BK88" s="90"/>
      <c r="BL88" s="90"/>
      <c r="BM88" s="90"/>
      <c r="BN88" s="90"/>
      <c r="BO88" s="90"/>
      <c r="BP88" s="90"/>
      <c r="BQ88" s="90"/>
    </row>
    <row r="89" ht="12.75" hidden="1" customHeight="1" outlineLevel="1">
      <c r="A89" s="316"/>
      <c r="B89" s="90"/>
      <c r="C89" s="90" t="s">
        <v>573</v>
      </c>
      <c r="D89" s="90"/>
      <c r="E89" s="90"/>
      <c r="F89" s="90"/>
      <c r="G89" s="90"/>
      <c r="H89" s="523"/>
      <c r="I89" s="178"/>
      <c r="J89" s="178"/>
      <c r="K89" s="178">
        <f>Assumptions!D57</f>
        <v>0</v>
      </c>
      <c r="L89" s="178">
        <f>Assumptions!E57</f>
        <v>0</v>
      </c>
      <c r="M89" s="178">
        <f>Assumptions!F57</f>
        <v>0.01</v>
      </c>
      <c r="N89" s="178">
        <f>Assumptions!G57</f>
        <v>0.02</v>
      </c>
      <c r="O89" s="178">
        <f>Assumptions!H57</f>
        <v>0.02</v>
      </c>
      <c r="P89" s="178">
        <f>Assumptions!I57</f>
        <v>0.02</v>
      </c>
      <c r="Q89" s="178">
        <f>Assumptions!J57</f>
        <v>0.02</v>
      </c>
      <c r="R89" s="178">
        <f>Assumptions!K57</f>
        <v>0.03013338494</v>
      </c>
      <c r="S89" s="178">
        <f>Assumptions!L57</f>
        <v>0.02</v>
      </c>
      <c r="T89" s="178">
        <f t="shared" ref="T89:AV89" si="61">S89</f>
        <v>0.02</v>
      </c>
      <c r="U89" s="178">
        <f t="shared" si="61"/>
        <v>0.02</v>
      </c>
      <c r="V89" s="178">
        <f t="shared" si="61"/>
        <v>0.02</v>
      </c>
      <c r="W89" s="178">
        <f t="shared" si="61"/>
        <v>0.02</v>
      </c>
      <c r="X89" s="178">
        <f t="shared" si="61"/>
        <v>0.02</v>
      </c>
      <c r="Y89" s="178">
        <f t="shared" si="61"/>
        <v>0.02</v>
      </c>
      <c r="Z89" s="178">
        <f t="shared" si="61"/>
        <v>0.02</v>
      </c>
      <c r="AA89" s="178">
        <f t="shared" si="61"/>
        <v>0.02</v>
      </c>
      <c r="AB89" s="178">
        <f t="shared" si="61"/>
        <v>0.02</v>
      </c>
      <c r="AC89" s="178">
        <f t="shared" si="61"/>
        <v>0.02</v>
      </c>
      <c r="AD89" s="178">
        <f t="shared" si="61"/>
        <v>0.02</v>
      </c>
      <c r="AE89" s="178">
        <f t="shared" si="61"/>
        <v>0.02</v>
      </c>
      <c r="AF89" s="178">
        <f t="shared" si="61"/>
        <v>0.02</v>
      </c>
      <c r="AG89" s="178">
        <f t="shared" si="61"/>
        <v>0.02</v>
      </c>
      <c r="AH89" s="178">
        <f t="shared" si="61"/>
        <v>0.02</v>
      </c>
      <c r="AI89" s="178">
        <f t="shared" si="61"/>
        <v>0.02</v>
      </c>
      <c r="AJ89" s="178">
        <f t="shared" si="61"/>
        <v>0.02</v>
      </c>
      <c r="AK89" s="178">
        <f t="shared" si="61"/>
        <v>0.02</v>
      </c>
      <c r="AL89" s="178">
        <f t="shared" si="61"/>
        <v>0.02</v>
      </c>
      <c r="AM89" s="178">
        <f t="shared" si="61"/>
        <v>0.02</v>
      </c>
      <c r="AN89" s="178">
        <f t="shared" si="61"/>
        <v>0.02</v>
      </c>
      <c r="AO89" s="178">
        <f t="shared" si="61"/>
        <v>0.02</v>
      </c>
      <c r="AP89" s="178">
        <f t="shared" si="61"/>
        <v>0.02</v>
      </c>
      <c r="AQ89" s="178">
        <f t="shared" si="61"/>
        <v>0.02</v>
      </c>
      <c r="AR89" s="178">
        <f t="shared" si="61"/>
        <v>0.02</v>
      </c>
      <c r="AS89" s="178">
        <f t="shared" si="61"/>
        <v>0.02</v>
      </c>
      <c r="AT89" s="178">
        <f t="shared" si="61"/>
        <v>0.02</v>
      </c>
      <c r="AU89" s="178">
        <f t="shared" si="61"/>
        <v>0.02</v>
      </c>
      <c r="AV89" s="178">
        <f t="shared" si="61"/>
        <v>0.02</v>
      </c>
      <c r="AW89" s="90"/>
      <c r="AX89" s="90"/>
      <c r="AY89" s="90"/>
      <c r="AZ89" s="90"/>
      <c r="BA89" s="90"/>
      <c r="BB89" s="90"/>
      <c r="BC89" s="90"/>
      <c r="BD89" s="90"/>
      <c r="BE89" s="90"/>
      <c r="BF89" s="90"/>
      <c r="BG89" s="90"/>
      <c r="BH89" s="90"/>
      <c r="BI89" s="90"/>
      <c r="BJ89" s="90"/>
      <c r="BK89" s="90"/>
      <c r="BL89" s="90"/>
      <c r="BM89" s="90"/>
      <c r="BN89" s="90"/>
      <c r="BO89" s="90"/>
      <c r="BP89" s="90"/>
      <c r="BQ89" s="90"/>
    </row>
    <row r="90" ht="12.75" hidden="1" customHeight="1" outlineLevel="1">
      <c r="A90" s="316"/>
      <c r="B90" s="90"/>
      <c r="C90" s="90" t="s">
        <v>667</v>
      </c>
      <c r="D90" s="90"/>
      <c r="E90" s="90"/>
      <c r="F90" s="90"/>
      <c r="G90" s="90"/>
      <c r="H90" s="523"/>
      <c r="I90" s="178"/>
      <c r="J90" s="99"/>
      <c r="K90" s="99">
        <f>'RSGen 1-7'!I91</f>
        <v>4778</v>
      </c>
      <c r="L90" s="99">
        <f t="shared" ref="L90:AV90" si="62">K90*(1+L$89)</f>
        <v>4778</v>
      </c>
      <c r="M90" s="99">
        <f t="shared" si="62"/>
        <v>4825.78</v>
      </c>
      <c r="N90" s="99">
        <f t="shared" si="62"/>
        <v>4922.2956</v>
      </c>
      <c r="O90" s="99">
        <f t="shared" si="62"/>
        <v>5020.741512</v>
      </c>
      <c r="P90" s="99">
        <f t="shared" si="62"/>
        <v>5121.156342</v>
      </c>
      <c r="Q90" s="99">
        <f t="shared" si="62"/>
        <v>5223.579469</v>
      </c>
      <c r="R90" s="99">
        <f t="shared" si="62"/>
        <v>5380.9836</v>
      </c>
      <c r="S90" s="99">
        <f t="shared" si="62"/>
        <v>5488.603272</v>
      </c>
      <c r="T90" s="99">
        <f t="shared" si="62"/>
        <v>5598.375337</v>
      </c>
      <c r="U90" s="99">
        <f t="shared" si="62"/>
        <v>5710.342844</v>
      </c>
      <c r="V90" s="99">
        <f t="shared" si="62"/>
        <v>5824.549701</v>
      </c>
      <c r="W90" s="99">
        <f t="shared" si="62"/>
        <v>5941.040695</v>
      </c>
      <c r="X90" s="99">
        <f t="shared" si="62"/>
        <v>6059.861509</v>
      </c>
      <c r="Y90" s="99">
        <f t="shared" si="62"/>
        <v>6181.058739</v>
      </c>
      <c r="Z90" s="99">
        <f t="shared" si="62"/>
        <v>6304.679914</v>
      </c>
      <c r="AA90" s="99">
        <f t="shared" si="62"/>
        <v>6430.773512</v>
      </c>
      <c r="AB90" s="99">
        <f t="shared" si="62"/>
        <v>6559.388982</v>
      </c>
      <c r="AC90" s="99">
        <f t="shared" si="62"/>
        <v>6690.576762</v>
      </c>
      <c r="AD90" s="99">
        <f t="shared" si="62"/>
        <v>6824.388297</v>
      </c>
      <c r="AE90" s="99">
        <f t="shared" si="62"/>
        <v>6960.876063</v>
      </c>
      <c r="AF90" s="99">
        <f t="shared" si="62"/>
        <v>7100.093585</v>
      </c>
      <c r="AG90" s="99">
        <f t="shared" si="62"/>
        <v>7242.095456</v>
      </c>
      <c r="AH90" s="99">
        <f t="shared" si="62"/>
        <v>7386.937365</v>
      </c>
      <c r="AI90" s="99">
        <f t="shared" si="62"/>
        <v>7534.676113</v>
      </c>
      <c r="AJ90" s="99">
        <f t="shared" si="62"/>
        <v>7685.369635</v>
      </c>
      <c r="AK90" s="99">
        <f t="shared" si="62"/>
        <v>7839.077028</v>
      </c>
      <c r="AL90" s="99">
        <f t="shared" si="62"/>
        <v>7995.858568</v>
      </c>
      <c r="AM90" s="99">
        <f t="shared" si="62"/>
        <v>8155.77574</v>
      </c>
      <c r="AN90" s="99">
        <f t="shared" si="62"/>
        <v>8318.891254</v>
      </c>
      <c r="AO90" s="99">
        <f t="shared" si="62"/>
        <v>8485.269079</v>
      </c>
      <c r="AP90" s="99">
        <f t="shared" si="62"/>
        <v>8654.974461</v>
      </c>
      <c r="AQ90" s="99">
        <f t="shared" si="62"/>
        <v>8828.07395</v>
      </c>
      <c r="AR90" s="99">
        <f t="shared" si="62"/>
        <v>9004.635429</v>
      </c>
      <c r="AS90" s="99">
        <f t="shared" si="62"/>
        <v>9184.728138</v>
      </c>
      <c r="AT90" s="99">
        <f t="shared" si="62"/>
        <v>9368.422701</v>
      </c>
      <c r="AU90" s="99">
        <f t="shared" si="62"/>
        <v>9555.791155</v>
      </c>
      <c r="AV90" s="99">
        <f t="shared" si="62"/>
        <v>9746.906978</v>
      </c>
      <c r="AW90" s="90" t="s">
        <v>1181</v>
      </c>
      <c r="AX90" s="90"/>
      <c r="AY90" s="90"/>
      <c r="AZ90" s="90"/>
      <c r="BA90" s="90"/>
      <c r="BB90" s="90"/>
      <c r="BC90" s="90"/>
      <c r="BD90" s="90"/>
      <c r="BE90" s="90"/>
      <c r="BF90" s="90"/>
      <c r="BG90" s="90"/>
      <c r="BH90" s="90"/>
      <c r="BI90" s="90"/>
      <c r="BJ90" s="90"/>
      <c r="BK90" s="90"/>
      <c r="BL90" s="90"/>
      <c r="BM90" s="90"/>
      <c r="BN90" s="90"/>
      <c r="BO90" s="90"/>
      <c r="BP90" s="90"/>
      <c r="BQ90" s="90"/>
    </row>
    <row r="91" ht="12.75" hidden="1" customHeight="1" outlineLevel="1">
      <c r="A91" s="316"/>
      <c r="B91" s="90"/>
      <c r="C91" s="90" t="s">
        <v>668</v>
      </c>
      <c r="D91" s="90"/>
      <c r="E91" s="90"/>
      <c r="F91" s="90"/>
      <c r="G91" s="90"/>
      <c r="H91" s="523"/>
      <c r="I91" s="178"/>
      <c r="J91" s="99"/>
      <c r="K91" s="99">
        <f>'RSGen 1-7'!I92</f>
        <v>4855</v>
      </c>
      <c r="L91" s="99">
        <f t="shared" ref="L91:AV91" si="63">K91*(1+L$89)</f>
        <v>4855</v>
      </c>
      <c r="M91" s="99">
        <f t="shared" si="63"/>
        <v>4903.55</v>
      </c>
      <c r="N91" s="99">
        <f t="shared" si="63"/>
        <v>5001.621</v>
      </c>
      <c r="O91" s="99">
        <f t="shared" si="63"/>
        <v>5101.65342</v>
      </c>
      <c r="P91" s="99">
        <f t="shared" si="63"/>
        <v>5203.686488</v>
      </c>
      <c r="Q91" s="99">
        <f t="shared" si="63"/>
        <v>5307.760218</v>
      </c>
      <c r="R91" s="99">
        <f t="shared" si="63"/>
        <v>5467.701</v>
      </c>
      <c r="S91" s="99">
        <f t="shared" si="63"/>
        <v>5577.05502</v>
      </c>
      <c r="T91" s="99">
        <f t="shared" si="63"/>
        <v>5688.59612</v>
      </c>
      <c r="U91" s="99">
        <f t="shared" si="63"/>
        <v>5802.368043</v>
      </c>
      <c r="V91" s="99">
        <f t="shared" si="63"/>
        <v>5918.415404</v>
      </c>
      <c r="W91" s="99">
        <f t="shared" si="63"/>
        <v>6036.783712</v>
      </c>
      <c r="X91" s="99">
        <f t="shared" si="63"/>
        <v>6157.519386</v>
      </c>
      <c r="Y91" s="99">
        <f t="shared" si="63"/>
        <v>6280.669774</v>
      </c>
      <c r="Z91" s="99">
        <f t="shared" si="63"/>
        <v>6406.283169</v>
      </c>
      <c r="AA91" s="99">
        <f t="shared" si="63"/>
        <v>6534.408833</v>
      </c>
      <c r="AB91" s="99">
        <f t="shared" si="63"/>
        <v>6665.097009</v>
      </c>
      <c r="AC91" s="99">
        <f t="shared" si="63"/>
        <v>6798.398949</v>
      </c>
      <c r="AD91" s="99">
        <f t="shared" si="63"/>
        <v>6934.366928</v>
      </c>
      <c r="AE91" s="99">
        <f t="shared" si="63"/>
        <v>7073.054267</v>
      </c>
      <c r="AF91" s="99">
        <f t="shared" si="63"/>
        <v>7214.515352</v>
      </c>
      <c r="AG91" s="99">
        <f t="shared" si="63"/>
        <v>7358.805659</v>
      </c>
      <c r="AH91" s="99">
        <f t="shared" si="63"/>
        <v>7505.981773</v>
      </c>
      <c r="AI91" s="99">
        <f t="shared" si="63"/>
        <v>7656.101408</v>
      </c>
      <c r="AJ91" s="99">
        <f t="shared" si="63"/>
        <v>7809.223436</v>
      </c>
      <c r="AK91" s="99">
        <f t="shared" si="63"/>
        <v>7965.407905</v>
      </c>
      <c r="AL91" s="99">
        <f t="shared" si="63"/>
        <v>8124.716063</v>
      </c>
      <c r="AM91" s="99">
        <f t="shared" si="63"/>
        <v>8287.210384</v>
      </c>
      <c r="AN91" s="99">
        <f t="shared" si="63"/>
        <v>8452.954592</v>
      </c>
      <c r="AO91" s="99">
        <f t="shared" si="63"/>
        <v>8622.013684</v>
      </c>
      <c r="AP91" s="99">
        <f t="shared" si="63"/>
        <v>8794.453957</v>
      </c>
      <c r="AQ91" s="99">
        <f t="shared" si="63"/>
        <v>8970.343037</v>
      </c>
      <c r="AR91" s="99">
        <f t="shared" si="63"/>
        <v>9149.749897</v>
      </c>
      <c r="AS91" s="99">
        <f t="shared" si="63"/>
        <v>9332.744895</v>
      </c>
      <c r="AT91" s="99">
        <f t="shared" si="63"/>
        <v>9519.399793</v>
      </c>
      <c r="AU91" s="99">
        <f t="shared" si="63"/>
        <v>9709.787789</v>
      </c>
      <c r="AV91" s="99">
        <f t="shared" si="63"/>
        <v>9903.983545</v>
      </c>
      <c r="AW91" s="90" t="s">
        <v>1181</v>
      </c>
      <c r="AX91" s="90"/>
      <c r="AY91" s="90"/>
      <c r="AZ91" s="90"/>
      <c r="BA91" s="90"/>
      <c r="BB91" s="90"/>
      <c r="BC91" s="90"/>
      <c r="BD91" s="90"/>
      <c r="BE91" s="90"/>
      <c r="BF91" s="90"/>
      <c r="BG91" s="90"/>
      <c r="BH91" s="90"/>
      <c r="BI91" s="90"/>
      <c r="BJ91" s="90"/>
      <c r="BK91" s="90"/>
      <c r="BL91" s="90"/>
      <c r="BM91" s="90"/>
      <c r="BN91" s="90"/>
      <c r="BO91" s="90"/>
      <c r="BP91" s="90"/>
      <c r="BQ91" s="90"/>
    </row>
    <row r="92" ht="12.75" hidden="1" customHeight="1" outlineLevel="1">
      <c r="A92" s="316"/>
      <c r="B92" s="90"/>
      <c r="C92" s="90" t="s">
        <v>669</v>
      </c>
      <c r="D92" s="90"/>
      <c r="E92" s="90"/>
      <c r="F92" s="90"/>
      <c r="G92" s="90"/>
      <c r="H92" s="523"/>
      <c r="I92" s="178"/>
      <c r="J92" s="99"/>
      <c r="K92" s="99">
        <f>'RSGen 1-7'!I93</f>
        <v>401</v>
      </c>
      <c r="L92" s="99">
        <f t="shared" ref="L92:AV92" si="64">K92*(1+L$89)</f>
        <v>401</v>
      </c>
      <c r="M92" s="99">
        <f t="shared" si="64"/>
        <v>405.01</v>
      </c>
      <c r="N92" s="99">
        <f t="shared" si="64"/>
        <v>413.1102</v>
      </c>
      <c r="O92" s="99">
        <f t="shared" si="64"/>
        <v>421.372404</v>
      </c>
      <c r="P92" s="99">
        <f t="shared" si="64"/>
        <v>429.7998521</v>
      </c>
      <c r="Q92" s="99">
        <f t="shared" si="64"/>
        <v>438.3958491</v>
      </c>
      <c r="R92" s="99">
        <f t="shared" si="64"/>
        <v>451.6062</v>
      </c>
      <c r="S92" s="99">
        <f t="shared" si="64"/>
        <v>460.638324</v>
      </c>
      <c r="T92" s="99">
        <f t="shared" si="64"/>
        <v>469.8510905</v>
      </c>
      <c r="U92" s="99">
        <f t="shared" si="64"/>
        <v>479.2481123</v>
      </c>
      <c r="V92" s="99">
        <f t="shared" si="64"/>
        <v>488.8330745</v>
      </c>
      <c r="W92" s="99">
        <f t="shared" si="64"/>
        <v>498.609736</v>
      </c>
      <c r="X92" s="99">
        <f t="shared" si="64"/>
        <v>508.5819307</v>
      </c>
      <c r="Y92" s="99">
        <f t="shared" si="64"/>
        <v>518.7535694</v>
      </c>
      <c r="Z92" s="99">
        <f t="shared" si="64"/>
        <v>529.1286407</v>
      </c>
      <c r="AA92" s="99">
        <f t="shared" si="64"/>
        <v>539.7112136</v>
      </c>
      <c r="AB92" s="99">
        <f t="shared" si="64"/>
        <v>550.5054378</v>
      </c>
      <c r="AC92" s="99">
        <f t="shared" si="64"/>
        <v>561.5155466</v>
      </c>
      <c r="AD92" s="99">
        <f t="shared" si="64"/>
        <v>572.7458575</v>
      </c>
      <c r="AE92" s="99">
        <f t="shared" si="64"/>
        <v>584.2007747</v>
      </c>
      <c r="AF92" s="99">
        <f t="shared" si="64"/>
        <v>595.8847902</v>
      </c>
      <c r="AG92" s="99">
        <f t="shared" si="64"/>
        <v>607.802486</v>
      </c>
      <c r="AH92" s="99">
        <f t="shared" si="64"/>
        <v>619.9585357</v>
      </c>
      <c r="AI92" s="99">
        <f t="shared" si="64"/>
        <v>632.3577064</v>
      </c>
      <c r="AJ92" s="99">
        <f t="shared" si="64"/>
        <v>645.0048605</v>
      </c>
      <c r="AK92" s="99">
        <f t="shared" si="64"/>
        <v>657.9049577</v>
      </c>
      <c r="AL92" s="99">
        <f t="shared" si="64"/>
        <v>671.0630569</v>
      </c>
      <c r="AM92" s="99">
        <f t="shared" si="64"/>
        <v>684.484318</v>
      </c>
      <c r="AN92" s="99">
        <f t="shared" si="64"/>
        <v>698.1740044</v>
      </c>
      <c r="AO92" s="99">
        <f t="shared" si="64"/>
        <v>712.1374845</v>
      </c>
      <c r="AP92" s="99">
        <f t="shared" si="64"/>
        <v>726.3802342</v>
      </c>
      <c r="AQ92" s="99">
        <f t="shared" si="64"/>
        <v>740.9078389</v>
      </c>
      <c r="AR92" s="99">
        <f t="shared" si="64"/>
        <v>755.7259956</v>
      </c>
      <c r="AS92" s="99">
        <f t="shared" si="64"/>
        <v>770.8405155</v>
      </c>
      <c r="AT92" s="99">
        <f t="shared" si="64"/>
        <v>786.2573259</v>
      </c>
      <c r="AU92" s="99">
        <f t="shared" si="64"/>
        <v>801.9824724</v>
      </c>
      <c r="AV92" s="99">
        <f t="shared" si="64"/>
        <v>818.0221218</v>
      </c>
      <c r="AW92" s="90" t="s">
        <v>1181</v>
      </c>
      <c r="AX92" s="90"/>
      <c r="AY92" s="90"/>
      <c r="AZ92" s="90"/>
      <c r="BA92" s="90"/>
      <c r="BB92" s="90"/>
      <c r="BC92" s="90"/>
      <c r="BD92" s="90"/>
      <c r="BE92" s="90"/>
      <c r="BF92" s="90"/>
      <c r="BG92" s="90"/>
      <c r="BH92" s="90"/>
      <c r="BI92" s="90"/>
      <c r="BJ92" s="90"/>
      <c r="BK92" s="90"/>
      <c r="BL92" s="90"/>
      <c r="BM92" s="90"/>
      <c r="BN92" s="90"/>
      <c r="BO92" s="90"/>
      <c r="BP92" s="90"/>
      <c r="BQ92" s="90"/>
    </row>
    <row r="93" ht="12.75" hidden="1" customHeight="1" outlineLevel="1">
      <c r="A93" s="316"/>
      <c r="B93" s="90"/>
      <c r="C93" s="90" t="s">
        <v>670</v>
      </c>
      <c r="D93" s="90"/>
      <c r="E93" s="90"/>
      <c r="F93" s="90"/>
      <c r="G93" s="90"/>
      <c r="H93" s="523"/>
      <c r="I93" s="178"/>
      <c r="J93" s="99"/>
      <c r="K93" s="99">
        <f>'RSGen 1-7'!I94</f>
        <v>318</v>
      </c>
      <c r="L93" s="99">
        <f t="shared" ref="L93:AV93" si="65">K93*(1+L$89)</f>
        <v>318</v>
      </c>
      <c r="M93" s="99">
        <f t="shared" si="65"/>
        <v>321.18</v>
      </c>
      <c r="N93" s="99">
        <f t="shared" si="65"/>
        <v>327.6036</v>
      </c>
      <c r="O93" s="99">
        <f t="shared" si="65"/>
        <v>334.155672</v>
      </c>
      <c r="P93" s="99">
        <f t="shared" si="65"/>
        <v>340.8387854</v>
      </c>
      <c r="Q93" s="99">
        <f t="shared" si="65"/>
        <v>347.6555611</v>
      </c>
      <c r="R93" s="99">
        <f t="shared" si="65"/>
        <v>358.1316</v>
      </c>
      <c r="S93" s="99">
        <f t="shared" si="65"/>
        <v>365.294232</v>
      </c>
      <c r="T93" s="99">
        <f t="shared" si="65"/>
        <v>372.6001166</v>
      </c>
      <c r="U93" s="99">
        <f t="shared" si="65"/>
        <v>380.052119</v>
      </c>
      <c r="V93" s="99">
        <f t="shared" si="65"/>
        <v>387.6531614</v>
      </c>
      <c r="W93" s="99">
        <f t="shared" si="65"/>
        <v>395.4062246</v>
      </c>
      <c r="X93" s="99">
        <f t="shared" si="65"/>
        <v>403.3143491</v>
      </c>
      <c r="Y93" s="99">
        <f t="shared" si="65"/>
        <v>411.3806361</v>
      </c>
      <c r="Z93" s="99">
        <f t="shared" si="65"/>
        <v>419.6082488</v>
      </c>
      <c r="AA93" s="99">
        <f t="shared" si="65"/>
        <v>428.0004137</v>
      </c>
      <c r="AB93" s="99">
        <f t="shared" si="65"/>
        <v>436.560422</v>
      </c>
      <c r="AC93" s="99">
        <f t="shared" si="65"/>
        <v>445.2916305</v>
      </c>
      <c r="AD93" s="99">
        <f t="shared" si="65"/>
        <v>454.1974631</v>
      </c>
      <c r="AE93" s="99">
        <f t="shared" si="65"/>
        <v>463.2814123</v>
      </c>
      <c r="AF93" s="99">
        <f t="shared" si="65"/>
        <v>472.5470406</v>
      </c>
      <c r="AG93" s="99">
        <f t="shared" si="65"/>
        <v>481.9979814</v>
      </c>
      <c r="AH93" s="99">
        <f t="shared" si="65"/>
        <v>491.637941</v>
      </c>
      <c r="AI93" s="99">
        <f t="shared" si="65"/>
        <v>501.4706998</v>
      </c>
      <c r="AJ93" s="99">
        <f t="shared" si="65"/>
        <v>511.5001138</v>
      </c>
      <c r="AK93" s="99">
        <f t="shared" si="65"/>
        <v>521.7301161</v>
      </c>
      <c r="AL93" s="99">
        <f t="shared" si="65"/>
        <v>532.1647184</v>
      </c>
      <c r="AM93" s="99">
        <f t="shared" si="65"/>
        <v>542.8080128</v>
      </c>
      <c r="AN93" s="99">
        <f t="shared" si="65"/>
        <v>553.6641731</v>
      </c>
      <c r="AO93" s="99">
        <f t="shared" si="65"/>
        <v>564.7374565</v>
      </c>
      <c r="AP93" s="99">
        <f t="shared" si="65"/>
        <v>576.0322057</v>
      </c>
      <c r="AQ93" s="99">
        <f t="shared" si="65"/>
        <v>587.5528498</v>
      </c>
      <c r="AR93" s="99">
        <f t="shared" si="65"/>
        <v>599.3039068</v>
      </c>
      <c r="AS93" s="99">
        <f t="shared" si="65"/>
        <v>611.2899849</v>
      </c>
      <c r="AT93" s="99">
        <f t="shared" si="65"/>
        <v>623.5157846</v>
      </c>
      <c r="AU93" s="99">
        <f t="shared" si="65"/>
        <v>635.9861003</v>
      </c>
      <c r="AV93" s="99">
        <f t="shared" si="65"/>
        <v>648.7058223</v>
      </c>
      <c r="AW93" s="90" t="s">
        <v>1182</v>
      </c>
      <c r="AX93" s="90"/>
      <c r="AY93" s="90"/>
      <c r="AZ93" s="90"/>
      <c r="BA93" s="90"/>
      <c r="BB93" s="90"/>
      <c r="BC93" s="90"/>
      <c r="BD93" s="90"/>
      <c r="BE93" s="90"/>
      <c r="BF93" s="90"/>
      <c r="BG93" s="90"/>
      <c r="BH93" s="90"/>
      <c r="BI93" s="90"/>
      <c r="BJ93" s="90"/>
      <c r="BK93" s="90"/>
      <c r="BL93" s="90"/>
      <c r="BM93" s="90"/>
      <c r="BN93" s="90"/>
      <c r="BO93" s="90"/>
      <c r="BP93" s="90"/>
      <c r="BQ93" s="90"/>
    </row>
    <row r="94" ht="12.75" hidden="1" customHeight="1" outlineLevel="1">
      <c r="A94" s="316"/>
      <c r="B94" s="90"/>
      <c r="C94" s="90" t="s">
        <v>671</v>
      </c>
      <c r="D94" s="90"/>
      <c r="E94" s="90"/>
      <c r="F94" s="90"/>
      <c r="G94" s="90"/>
      <c r="H94" s="523"/>
      <c r="I94" s="178"/>
      <c r="J94" s="99"/>
      <c r="K94" s="99">
        <v>0.0</v>
      </c>
      <c r="L94" s="99">
        <v>0.0</v>
      </c>
      <c r="M94" s="99">
        <v>0.0</v>
      </c>
      <c r="N94" s="99">
        <v>0.0</v>
      </c>
      <c r="O94" s="99">
        <v>0.0</v>
      </c>
      <c r="P94" s="99">
        <v>0.0</v>
      </c>
      <c r="Q94" s="99">
        <v>0.0</v>
      </c>
      <c r="R94" s="99">
        <v>0.0</v>
      </c>
      <c r="S94" s="99">
        <v>0.0</v>
      </c>
      <c r="T94" s="99">
        <v>0.0</v>
      </c>
      <c r="U94" s="99">
        <v>0.0</v>
      </c>
      <c r="V94" s="99">
        <v>0.0</v>
      </c>
      <c r="W94" s="99">
        <v>0.0</v>
      </c>
      <c r="X94" s="99">
        <v>0.0</v>
      </c>
      <c r="Y94" s="99">
        <v>0.0</v>
      </c>
      <c r="Z94" s="99">
        <v>0.0</v>
      </c>
      <c r="AA94" s="99">
        <v>0.0</v>
      </c>
      <c r="AB94" s="99">
        <v>0.0</v>
      </c>
      <c r="AC94" s="99">
        <v>0.0</v>
      </c>
      <c r="AD94" s="99">
        <v>0.0</v>
      </c>
      <c r="AE94" s="99">
        <v>0.0</v>
      </c>
      <c r="AF94" s="99">
        <v>0.0</v>
      </c>
      <c r="AG94" s="99">
        <v>0.0</v>
      </c>
      <c r="AH94" s="99">
        <v>0.0</v>
      </c>
      <c r="AI94" s="99">
        <v>0.0</v>
      </c>
      <c r="AJ94" s="99">
        <v>0.0</v>
      </c>
      <c r="AK94" s="99">
        <v>0.0</v>
      </c>
      <c r="AL94" s="99">
        <v>0.0</v>
      </c>
      <c r="AM94" s="99">
        <v>0.0</v>
      </c>
      <c r="AN94" s="99">
        <v>0.0</v>
      </c>
      <c r="AO94" s="99">
        <v>0.0</v>
      </c>
      <c r="AP94" s="99">
        <v>0.0</v>
      </c>
      <c r="AQ94" s="99">
        <v>0.0</v>
      </c>
      <c r="AR94" s="99">
        <v>0.0</v>
      </c>
      <c r="AS94" s="99">
        <v>0.0</v>
      </c>
      <c r="AT94" s="99">
        <v>0.0</v>
      </c>
      <c r="AU94" s="99">
        <v>0.0</v>
      </c>
      <c r="AV94" s="99">
        <v>0.0</v>
      </c>
      <c r="AW94" s="90" t="s">
        <v>1183</v>
      </c>
      <c r="AX94" s="90" t="s">
        <v>1184</v>
      </c>
      <c r="AY94" s="90" t="s">
        <v>21</v>
      </c>
      <c r="AZ94" s="90"/>
      <c r="BA94" s="90"/>
      <c r="BB94" s="90"/>
      <c r="BC94" s="90"/>
      <c r="BD94" s="90"/>
      <c r="BE94" s="90"/>
      <c r="BF94" s="90"/>
      <c r="BG94" s="90"/>
      <c r="BH94" s="90"/>
      <c r="BI94" s="90"/>
      <c r="BJ94" s="90"/>
      <c r="BK94" s="90"/>
      <c r="BL94" s="90"/>
      <c r="BM94" s="90"/>
      <c r="BN94" s="90"/>
      <c r="BO94" s="90"/>
      <c r="BP94" s="90"/>
      <c r="BQ94" s="90"/>
    </row>
    <row r="95" ht="12.75" hidden="1" customHeight="1" outlineLevel="1">
      <c r="A95" s="316"/>
      <c r="B95" s="90"/>
      <c r="C95" s="90"/>
      <c r="D95" s="90" t="s">
        <v>672</v>
      </c>
      <c r="E95" s="90"/>
      <c r="F95" s="90"/>
      <c r="G95" s="90"/>
      <c r="H95" s="523"/>
      <c r="I95" s="178"/>
      <c r="J95" s="301"/>
      <c r="K95" s="99">
        <v>0.0</v>
      </c>
      <c r="L95" s="99">
        <v>0.0</v>
      </c>
      <c r="M95" s="99">
        <v>0.0</v>
      </c>
      <c r="N95" s="99">
        <v>0.0</v>
      </c>
      <c r="O95" s="99">
        <v>0.0</v>
      </c>
      <c r="P95" s="99">
        <v>0.0</v>
      </c>
      <c r="Q95" s="99">
        <v>0.0</v>
      </c>
      <c r="R95" s="99">
        <v>0.0</v>
      </c>
      <c r="S95" s="99">
        <v>0.0</v>
      </c>
      <c r="T95" s="99">
        <v>0.0</v>
      </c>
      <c r="U95" s="99">
        <v>0.0</v>
      </c>
      <c r="V95" s="99">
        <v>0.0</v>
      </c>
      <c r="W95" s="99">
        <v>0.0</v>
      </c>
      <c r="X95" s="99">
        <v>0.0</v>
      </c>
      <c r="Y95" s="99">
        <v>0.0</v>
      </c>
      <c r="Z95" s="99">
        <v>0.0</v>
      </c>
      <c r="AA95" s="99">
        <v>0.0</v>
      </c>
      <c r="AB95" s="99">
        <v>0.0</v>
      </c>
      <c r="AC95" s="99">
        <v>0.0</v>
      </c>
      <c r="AD95" s="99">
        <v>0.0</v>
      </c>
      <c r="AE95" s="99">
        <v>0.0</v>
      </c>
      <c r="AF95" s="99">
        <v>0.0</v>
      </c>
      <c r="AG95" s="99">
        <v>0.0</v>
      </c>
      <c r="AH95" s="99">
        <v>0.0</v>
      </c>
      <c r="AI95" s="99">
        <v>0.0</v>
      </c>
      <c r="AJ95" s="99">
        <v>0.0</v>
      </c>
      <c r="AK95" s="99">
        <v>0.0</v>
      </c>
      <c r="AL95" s="99">
        <v>0.0</v>
      </c>
      <c r="AM95" s="99">
        <v>0.0</v>
      </c>
      <c r="AN95" s="99">
        <v>0.0</v>
      </c>
      <c r="AO95" s="99">
        <v>0.0</v>
      </c>
      <c r="AP95" s="99">
        <v>0.0</v>
      </c>
      <c r="AQ95" s="99">
        <v>0.0</v>
      </c>
      <c r="AR95" s="99">
        <v>0.0</v>
      </c>
      <c r="AS95" s="99">
        <v>0.0</v>
      </c>
      <c r="AT95" s="99">
        <v>0.0</v>
      </c>
      <c r="AU95" s="99">
        <v>0.0</v>
      </c>
      <c r="AV95" s="99">
        <v>0.0</v>
      </c>
      <c r="AW95" s="90"/>
      <c r="AX95" s="152">
        <v>0.7</v>
      </c>
      <c r="AY95" s="90">
        <v>80.0</v>
      </c>
      <c r="AZ95" s="90"/>
      <c r="BA95" s="90"/>
      <c r="BB95" s="90"/>
      <c r="BC95" s="90"/>
      <c r="BD95" s="90"/>
      <c r="BE95" s="90"/>
      <c r="BF95" s="90"/>
      <c r="BG95" s="90"/>
      <c r="BH95" s="90"/>
      <c r="BI95" s="90"/>
      <c r="BJ95" s="90"/>
      <c r="BK95" s="90"/>
      <c r="BL95" s="90"/>
      <c r="BM95" s="90"/>
      <c r="BN95" s="90"/>
      <c r="BO95" s="90"/>
      <c r="BP95" s="90"/>
      <c r="BQ95" s="90"/>
    </row>
    <row r="96" ht="12.75" hidden="1" customHeight="1" outlineLevel="1">
      <c r="A96" s="316"/>
      <c r="B96" s="90"/>
      <c r="C96" s="90"/>
      <c r="D96" s="90" t="s">
        <v>673</v>
      </c>
      <c r="E96" s="90"/>
      <c r="F96" s="90"/>
      <c r="G96" s="90"/>
      <c r="H96" s="523"/>
      <c r="I96" s="178"/>
      <c r="J96" s="99"/>
      <c r="K96" s="99">
        <v>0.0</v>
      </c>
      <c r="L96" s="99">
        <v>0.0</v>
      </c>
      <c r="M96" s="99">
        <v>0.0</v>
      </c>
      <c r="N96" s="99">
        <v>0.0</v>
      </c>
      <c r="O96" s="99">
        <v>0.0</v>
      </c>
      <c r="P96" s="99">
        <v>0.0</v>
      </c>
      <c r="Q96" s="99">
        <v>0.0</v>
      </c>
      <c r="R96" s="99">
        <v>0.0</v>
      </c>
      <c r="S96" s="99">
        <v>0.0</v>
      </c>
      <c r="T96" s="99">
        <v>0.0</v>
      </c>
      <c r="U96" s="99">
        <v>0.0</v>
      </c>
      <c r="V96" s="99">
        <v>0.0</v>
      </c>
      <c r="W96" s="99">
        <v>0.0</v>
      </c>
      <c r="X96" s="99">
        <v>0.0</v>
      </c>
      <c r="Y96" s="99">
        <v>0.0</v>
      </c>
      <c r="Z96" s="99">
        <v>0.0</v>
      </c>
      <c r="AA96" s="99">
        <v>0.0</v>
      </c>
      <c r="AB96" s="99">
        <v>0.0</v>
      </c>
      <c r="AC96" s="99">
        <v>0.0</v>
      </c>
      <c r="AD96" s="99">
        <v>0.0</v>
      </c>
      <c r="AE96" s="99">
        <v>0.0</v>
      </c>
      <c r="AF96" s="99">
        <v>0.0</v>
      </c>
      <c r="AG96" s="99">
        <v>0.0</v>
      </c>
      <c r="AH96" s="99">
        <v>0.0</v>
      </c>
      <c r="AI96" s="99">
        <v>0.0</v>
      </c>
      <c r="AJ96" s="99">
        <v>0.0</v>
      </c>
      <c r="AK96" s="99">
        <v>0.0</v>
      </c>
      <c r="AL96" s="99">
        <v>0.0</v>
      </c>
      <c r="AM96" s="99">
        <v>0.0</v>
      </c>
      <c r="AN96" s="99">
        <v>0.0</v>
      </c>
      <c r="AO96" s="99">
        <v>0.0</v>
      </c>
      <c r="AP96" s="99">
        <v>0.0</v>
      </c>
      <c r="AQ96" s="99">
        <v>0.0</v>
      </c>
      <c r="AR96" s="99">
        <v>0.0</v>
      </c>
      <c r="AS96" s="99">
        <v>0.0</v>
      </c>
      <c r="AT96" s="99">
        <v>0.0</v>
      </c>
      <c r="AU96" s="99">
        <v>0.0</v>
      </c>
      <c r="AV96" s="99">
        <v>0.0</v>
      </c>
      <c r="AW96" s="90"/>
      <c r="AX96" s="152">
        <v>0.7</v>
      </c>
      <c r="AY96" s="90">
        <v>80.0</v>
      </c>
      <c r="AZ96" s="90"/>
      <c r="BA96" s="90"/>
      <c r="BB96" s="90"/>
      <c r="BC96" s="90"/>
      <c r="BD96" s="90"/>
      <c r="BE96" s="90"/>
      <c r="BF96" s="90"/>
      <c r="BG96" s="90"/>
      <c r="BH96" s="90"/>
      <c r="BI96" s="90"/>
      <c r="BJ96" s="90"/>
      <c r="BK96" s="90"/>
      <c r="BL96" s="90"/>
      <c r="BM96" s="90"/>
      <c r="BN96" s="90"/>
      <c r="BO96" s="90"/>
      <c r="BP96" s="90"/>
      <c r="BQ96" s="90"/>
    </row>
    <row r="97" ht="12.75" hidden="1" customHeight="1" outlineLevel="1">
      <c r="A97" s="316"/>
      <c r="B97" s="90"/>
      <c r="C97" s="90"/>
      <c r="D97" s="90" t="s">
        <v>674</v>
      </c>
      <c r="E97" s="90"/>
      <c r="F97" s="90"/>
      <c r="G97" s="90"/>
      <c r="H97" s="523"/>
      <c r="I97" s="178"/>
      <c r="J97" s="99"/>
      <c r="K97" s="99">
        <v>0.0</v>
      </c>
      <c r="L97" s="99">
        <v>0.0</v>
      </c>
      <c r="M97" s="99">
        <v>0.0</v>
      </c>
      <c r="N97" s="99">
        <v>0.0</v>
      </c>
      <c r="O97" s="99">
        <v>0.0</v>
      </c>
      <c r="P97" s="99">
        <v>0.0</v>
      </c>
      <c r="Q97" s="99">
        <v>0.0</v>
      </c>
      <c r="R97" s="99">
        <v>0.0</v>
      </c>
      <c r="S97" s="99">
        <v>0.0</v>
      </c>
      <c r="T97" s="99">
        <v>0.0</v>
      </c>
      <c r="U97" s="99">
        <v>0.0</v>
      </c>
      <c r="V97" s="99">
        <v>0.0</v>
      </c>
      <c r="W97" s="99">
        <v>0.0</v>
      </c>
      <c r="X97" s="99">
        <v>0.0</v>
      </c>
      <c r="Y97" s="99">
        <v>0.0</v>
      </c>
      <c r="Z97" s="99">
        <v>0.0</v>
      </c>
      <c r="AA97" s="99">
        <v>0.0</v>
      </c>
      <c r="AB97" s="99">
        <v>0.0</v>
      </c>
      <c r="AC97" s="99">
        <v>0.0</v>
      </c>
      <c r="AD97" s="99">
        <v>0.0</v>
      </c>
      <c r="AE97" s="99">
        <v>0.0</v>
      </c>
      <c r="AF97" s="99">
        <v>0.0</v>
      </c>
      <c r="AG97" s="99">
        <v>0.0</v>
      </c>
      <c r="AH97" s="99">
        <v>0.0</v>
      </c>
      <c r="AI97" s="99">
        <v>0.0</v>
      </c>
      <c r="AJ97" s="99">
        <v>0.0</v>
      </c>
      <c r="AK97" s="99">
        <v>0.0</v>
      </c>
      <c r="AL97" s="99">
        <v>0.0</v>
      </c>
      <c r="AM97" s="99">
        <v>0.0</v>
      </c>
      <c r="AN97" s="99">
        <v>0.0</v>
      </c>
      <c r="AO97" s="99">
        <v>0.0</v>
      </c>
      <c r="AP97" s="99">
        <v>0.0</v>
      </c>
      <c r="AQ97" s="99">
        <v>0.0</v>
      </c>
      <c r="AR97" s="99">
        <v>0.0</v>
      </c>
      <c r="AS97" s="99">
        <v>0.0</v>
      </c>
      <c r="AT97" s="99">
        <v>0.0</v>
      </c>
      <c r="AU97" s="99">
        <v>0.0</v>
      </c>
      <c r="AV97" s="99">
        <v>0.0</v>
      </c>
      <c r="AW97" s="90"/>
      <c r="AX97" s="152">
        <v>1.0</v>
      </c>
      <c r="AY97" s="90">
        <v>80.0</v>
      </c>
      <c r="AZ97" s="90"/>
      <c r="BA97" s="90"/>
      <c r="BB97" s="90"/>
      <c r="BC97" s="90"/>
      <c r="BD97" s="90"/>
      <c r="BE97" s="90"/>
      <c r="BF97" s="90"/>
      <c r="BG97" s="90"/>
      <c r="BH97" s="90"/>
      <c r="BI97" s="90"/>
      <c r="BJ97" s="90"/>
      <c r="BK97" s="90"/>
      <c r="BL97" s="90"/>
      <c r="BM97" s="90"/>
      <c r="BN97" s="90"/>
      <c r="BO97" s="90"/>
      <c r="BP97" s="90"/>
      <c r="BQ97" s="90"/>
    </row>
    <row r="98" ht="12.75" hidden="1" customHeight="1" outlineLevel="1">
      <c r="A98" s="316"/>
      <c r="B98" s="90"/>
      <c r="C98" s="90"/>
      <c r="D98" s="90" t="s">
        <v>675</v>
      </c>
      <c r="E98" s="90"/>
      <c r="F98" s="90"/>
      <c r="G98" s="90"/>
      <c r="H98" s="523"/>
      <c r="I98" s="178"/>
      <c r="J98" s="99"/>
      <c r="K98" s="99">
        <v>0.0</v>
      </c>
      <c r="L98" s="99">
        <v>0.0</v>
      </c>
      <c r="M98" s="99">
        <v>0.0</v>
      </c>
      <c r="N98" s="99">
        <v>0.0</v>
      </c>
      <c r="O98" s="99">
        <v>0.0</v>
      </c>
      <c r="P98" s="99">
        <v>0.0</v>
      </c>
      <c r="Q98" s="99">
        <v>0.0</v>
      </c>
      <c r="R98" s="99">
        <v>0.0</v>
      </c>
      <c r="S98" s="99">
        <v>0.0</v>
      </c>
      <c r="T98" s="99">
        <v>0.0</v>
      </c>
      <c r="U98" s="99">
        <v>0.0</v>
      </c>
      <c r="V98" s="99">
        <v>0.0</v>
      </c>
      <c r="W98" s="99">
        <v>0.0</v>
      </c>
      <c r="X98" s="99">
        <v>0.0</v>
      </c>
      <c r="Y98" s="99">
        <v>0.0</v>
      </c>
      <c r="Z98" s="99">
        <v>0.0</v>
      </c>
      <c r="AA98" s="99">
        <v>0.0</v>
      </c>
      <c r="AB98" s="99">
        <v>0.0</v>
      </c>
      <c r="AC98" s="99">
        <v>0.0</v>
      </c>
      <c r="AD98" s="99">
        <v>0.0</v>
      </c>
      <c r="AE98" s="99">
        <v>0.0</v>
      </c>
      <c r="AF98" s="99">
        <v>0.0</v>
      </c>
      <c r="AG98" s="99">
        <v>0.0</v>
      </c>
      <c r="AH98" s="99">
        <v>0.0</v>
      </c>
      <c r="AI98" s="99">
        <v>0.0</v>
      </c>
      <c r="AJ98" s="99">
        <v>0.0</v>
      </c>
      <c r="AK98" s="99">
        <v>0.0</v>
      </c>
      <c r="AL98" s="99">
        <v>0.0</v>
      </c>
      <c r="AM98" s="99">
        <v>0.0</v>
      </c>
      <c r="AN98" s="99">
        <v>0.0</v>
      </c>
      <c r="AO98" s="99">
        <v>0.0</v>
      </c>
      <c r="AP98" s="99">
        <v>0.0</v>
      </c>
      <c r="AQ98" s="99">
        <v>0.0</v>
      </c>
      <c r="AR98" s="99">
        <v>0.0</v>
      </c>
      <c r="AS98" s="99">
        <v>0.0</v>
      </c>
      <c r="AT98" s="99">
        <v>0.0</v>
      </c>
      <c r="AU98" s="99">
        <v>0.0</v>
      </c>
      <c r="AV98" s="99">
        <v>0.0</v>
      </c>
      <c r="AW98" s="90"/>
      <c r="AX98" s="152">
        <v>0.7</v>
      </c>
      <c r="AY98" s="90">
        <v>40.0</v>
      </c>
      <c r="AZ98" s="90"/>
      <c r="BA98" s="90"/>
      <c r="BB98" s="90"/>
      <c r="BC98" s="90"/>
      <c r="BD98" s="90"/>
      <c r="BE98" s="90"/>
      <c r="BF98" s="90"/>
      <c r="BG98" s="90"/>
      <c r="BH98" s="90"/>
      <c r="BI98" s="90"/>
      <c r="BJ98" s="90"/>
      <c r="BK98" s="90"/>
      <c r="BL98" s="90"/>
      <c r="BM98" s="90"/>
      <c r="BN98" s="90"/>
      <c r="BO98" s="90"/>
      <c r="BP98" s="90"/>
      <c r="BQ98" s="90"/>
    </row>
    <row r="99" ht="12.75" hidden="1" customHeight="1" outlineLevel="1">
      <c r="A99" s="316"/>
      <c r="B99" s="90"/>
      <c r="C99" s="90" t="s">
        <v>676</v>
      </c>
      <c r="D99" s="90"/>
      <c r="E99" s="90"/>
      <c r="F99" s="90"/>
      <c r="G99" s="90"/>
      <c r="H99" s="523"/>
      <c r="I99" s="178"/>
      <c r="J99" s="99"/>
      <c r="K99" s="301">
        <v>0.0</v>
      </c>
      <c r="L99" s="563">
        <v>0.0</v>
      </c>
      <c r="M99" s="301">
        <f t="shared" ref="M99:AV99" si="66">L99*(1+M$89)</f>
        <v>0</v>
      </c>
      <c r="N99" s="301">
        <f t="shared" si="66"/>
        <v>0</v>
      </c>
      <c r="O99" s="301">
        <f t="shared" si="66"/>
        <v>0</v>
      </c>
      <c r="P99" s="301">
        <f t="shared" si="66"/>
        <v>0</v>
      </c>
      <c r="Q99" s="301">
        <f t="shared" si="66"/>
        <v>0</v>
      </c>
      <c r="R99" s="301">
        <f t="shared" si="66"/>
        <v>0</v>
      </c>
      <c r="S99" s="301">
        <f t="shared" si="66"/>
        <v>0</v>
      </c>
      <c r="T99" s="301">
        <f t="shared" si="66"/>
        <v>0</v>
      </c>
      <c r="U99" s="301">
        <f t="shared" si="66"/>
        <v>0</v>
      </c>
      <c r="V99" s="301">
        <f t="shared" si="66"/>
        <v>0</v>
      </c>
      <c r="W99" s="301">
        <f t="shared" si="66"/>
        <v>0</v>
      </c>
      <c r="X99" s="301">
        <f t="shared" si="66"/>
        <v>0</v>
      </c>
      <c r="Y99" s="301">
        <f t="shared" si="66"/>
        <v>0</v>
      </c>
      <c r="Z99" s="301">
        <f t="shared" si="66"/>
        <v>0</v>
      </c>
      <c r="AA99" s="301">
        <f t="shared" si="66"/>
        <v>0</v>
      </c>
      <c r="AB99" s="301">
        <f t="shared" si="66"/>
        <v>0</v>
      </c>
      <c r="AC99" s="301">
        <f t="shared" si="66"/>
        <v>0</v>
      </c>
      <c r="AD99" s="301">
        <f t="shared" si="66"/>
        <v>0</v>
      </c>
      <c r="AE99" s="301">
        <f t="shared" si="66"/>
        <v>0</v>
      </c>
      <c r="AF99" s="301">
        <f t="shared" si="66"/>
        <v>0</v>
      </c>
      <c r="AG99" s="301">
        <f t="shared" si="66"/>
        <v>0</v>
      </c>
      <c r="AH99" s="301">
        <f t="shared" si="66"/>
        <v>0</v>
      </c>
      <c r="AI99" s="301">
        <f t="shared" si="66"/>
        <v>0</v>
      </c>
      <c r="AJ99" s="301">
        <f t="shared" si="66"/>
        <v>0</v>
      </c>
      <c r="AK99" s="301">
        <f t="shared" si="66"/>
        <v>0</v>
      </c>
      <c r="AL99" s="301">
        <f t="shared" si="66"/>
        <v>0</v>
      </c>
      <c r="AM99" s="301">
        <f t="shared" si="66"/>
        <v>0</v>
      </c>
      <c r="AN99" s="301">
        <f t="shared" si="66"/>
        <v>0</v>
      </c>
      <c r="AO99" s="301">
        <f t="shared" si="66"/>
        <v>0</v>
      </c>
      <c r="AP99" s="301">
        <f t="shared" si="66"/>
        <v>0</v>
      </c>
      <c r="AQ99" s="301">
        <f t="shared" si="66"/>
        <v>0</v>
      </c>
      <c r="AR99" s="301">
        <f t="shared" si="66"/>
        <v>0</v>
      </c>
      <c r="AS99" s="301">
        <f t="shared" si="66"/>
        <v>0</v>
      </c>
      <c r="AT99" s="301">
        <f t="shared" si="66"/>
        <v>0</v>
      </c>
      <c r="AU99" s="301">
        <f t="shared" si="66"/>
        <v>0</v>
      </c>
      <c r="AV99" s="301">
        <f t="shared" si="66"/>
        <v>0</v>
      </c>
      <c r="AW99" s="90" t="s">
        <v>1185</v>
      </c>
      <c r="AX99" s="90"/>
      <c r="AY99" s="90"/>
      <c r="AZ99" s="90"/>
      <c r="BA99" s="90"/>
      <c r="BB99" s="90"/>
      <c r="BC99" s="90"/>
      <c r="BD99" s="90"/>
      <c r="BE99" s="90"/>
      <c r="BF99" s="90"/>
      <c r="BG99" s="90"/>
      <c r="BH99" s="90"/>
      <c r="BI99" s="90"/>
      <c r="BJ99" s="90"/>
      <c r="BK99" s="90"/>
      <c r="BL99" s="90"/>
      <c r="BM99" s="90"/>
      <c r="BN99" s="90"/>
      <c r="BO99" s="90"/>
      <c r="BP99" s="90"/>
      <c r="BQ99" s="90"/>
    </row>
    <row r="100" ht="12.75" hidden="1" customHeight="1" outlineLevel="1">
      <c r="A100" s="316"/>
      <c r="B100" s="90"/>
      <c r="C100" s="90" t="s">
        <v>677</v>
      </c>
      <c r="D100" s="90"/>
      <c r="E100" s="90"/>
      <c r="F100" s="90"/>
      <c r="G100" s="90"/>
      <c r="H100" s="523"/>
      <c r="I100" s="178"/>
      <c r="J100" s="99"/>
      <c r="K100" s="99">
        <f>'RSGen 1-7'!I101</f>
        <v>111</v>
      </c>
      <c r="L100" s="99">
        <f t="shared" ref="L100:AV100" si="67">K100*(1+L$89)</f>
        <v>111</v>
      </c>
      <c r="M100" s="99">
        <f t="shared" si="67"/>
        <v>112.11</v>
      </c>
      <c r="N100" s="99">
        <f t="shared" si="67"/>
        <v>114.3522</v>
      </c>
      <c r="O100" s="99">
        <f t="shared" si="67"/>
        <v>116.639244</v>
      </c>
      <c r="P100" s="99">
        <f t="shared" si="67"/>
        <v>118.9720289</v>
      </c>
      <c r="Q100" s="99">
        <f t="shared" si="67"/>
        <v>121.3514695</v>
      </c>
      <c r="R100" s="99">
        <f t="shared" si="67"/>
        <v>125.0082</v>
      </c>
      <c r="S100" s="99">
        <f t="shared" si="67"/>
        <v>127.508364</v>
      </c>
      <c r="T100" s="99">
        <f t="shared" si="67"/>
        <v>130.0585313</v>
      </c>
      <c r="U100" s="99">
        <f t="shared" si="67"/>
        <v>132.6597019</v>
      </c>
      <c r="V100" s="99">
        <f t="shared" si="67"/>
        <v>135.3128959</v>
      </c>
      <c r="W100" s="99">
        <f t="shared" si="67"/>
        <v>138.0191539</v>
      </c>
      <c r="X100" s="99">
        <f t="shared" si="67"/>
        <v>140.7795369</v>
      </c>
      <c r="Y100" s="99">
        <f t="shared" si="67"/>
        <v>143.5951277</v>
      </c>
      <c r="Z100" s="99">
        <f t="shared" si="67"/>
        <v>146.4670302</v>
      </c>
      <c r="AA100" s="99">
        <f t="shared" si="67"/>
        <v>149.3963708</v>
      </c>
      <c r="AB100" s="99">
        <f t="shared" si="67"/>
        <v>152.3842983</v>
      </c>
      <c r="AC100" s="99">
        <f t="shared" si="67"/>
        <v>155.4319842</v>
      </c>
      <c r="AD100" s="99">
        <f t="shared" si="67"/>
        <v>158.5406239</v>
      </c>
      <c r="AE100" s="99">
        <f t="shared" si="67"/>
        <v>161.7114364</v>
      </c>
      <c r="AF100" s="99">
        <f t="shared" si="67"/>
        <v>164.9456651</v>
      </c>
      <c r="AG100" s="99">
        <f t="shared" si="67"/>
        <v>168.2445784</v>
      </c>
      <c r="AH100" s="99">
        <f t="shared" si="67"/>
        <v>171.60947</v>
      </c>
      <c r="AI100" s="99">
        <f t="shared" si="67"/>
        <v>175.0416594</v>
      </c>
      <c r="AJ100" s="99">
        <f t="shared" si="67"/>
        <v>178.5424926</v>
      </c>
      <c r="AK100" s="99">
        <f t="shared" si="67"/>
        <v>182.1133424</v>
      </c>
      <c r="AL100" s="99">
        <f t="shared" si="67"/>
        <v>185.7556093</v>
      </c>
      <c r="AM100" s="99">
        <f t="shared" si="67"/>
        <v>189.4707215</v>
      </c>
      <c r="AN100" s="99">
        <f t="shared" si="67"/>
        <v>193.2601359</v>
      </c>
      <c r="AO100" s="99">
        <f t="shared" si="67"/>
        <v>197.1253386</v>
      </c>
      <c r="AP100" s="99">
        <f t="shared" si="67"/>
        <v>201.0678454</v>
      </c>
      <c r="AQ100" s="99">
        <f t="shared" si="67"/>
        <v>205.0892023</v>
      </c>
      <c r="AR100" s="99">
        <f t="shared" si="67"/>
        <v>209.1909863</v>
      </c>
      <c r="AS100" s="99">
        <f t="shared" si="67"/>
        <v>213.374806</v>
      </c>
      <c r="AT100" s="99">
        <f t="shared" si="67"/>
        <v>217.6423022</v>
      </c>
      <c r="AU100" s="99">
        <f t="shared" si="67"/>
        <v>221.9951482</v>
      </c>
      <c r="AV100" s="99">
        <f t="shared" si="67"/>
        <v>226.4350512</v>
      </c>
      <c r="AW100" s="90" t="s">
        <v>1181</v>
      </c>
      <c r="AX100" s="90"/>
      <c r="AY100" s="90"/>
      <c r="AZ100" s="90"/>
      <c r="BA100" s="90"/>
      <c r="BB100" s="90"/>
      <c r="BC100" s="90"/>
      <c r="BD100" s="90"/>
      <c r="BE100" s="90"/>
      <c r="BF100" s="90"/>
      <c r="BG100" s="90"/>
      <c r="BH100" s="90"/>
      <c r="BI100" s="90"/>
      <c r="BJ100" s="90"/>
      <c r="BK100" s="90"/>
      <c r="BL100" s="90"/>
      <c r="BM100" s="90"/>
      <c r="BN100" s="90"/>
      <c r="BO100" s="90"/>
      <c r="BP100" s="90"/>
      <c r="BQ100" s="90"/>
    </row>
    <row r="101" ht="12.75" hidden="1" customHeight="1" outlineLevel="1">
      <c r="A101" s="316"/>
      <c r="B101" s="90"/>
      <c r="C101" s="90" t="s">
        <v>678</v>
      </c>
      <c r="D101" s="90"/>
      <c r="E101" s="90"/>
      <c r="F101" s="90"/>
      <c r="G101" s="90"/>
      <c r="H101" s="523"/>
      <c r="I101" s="178"/>
      <c r="J101" s="99"/>
      <c r="K101" s="99">
        <f>'RSGen 1-7'!I102</f>
        <v>13.3</v>
      </c>
      <c r="L101" s="99">
        <f t="shared" ref="L101:AV101" si="68">K101*(1+L$89)</f>
        <v>13.3</v>
      </c>
      <c r="M101" s="99">
        <f t="shared" si="68"/>
        <v>13.433</v>
      </c>
      <c r="N101" s="99">
        <f t="shared" si="68"/>
        <v>13.70166</v>
      </c>
      <c r="O101" s="99">
        <f t="shared" si="68"/>
        <v>13.9756932</v>
      </c>
      <c r="P101" s="99">
        <f t="shared" si="68"/>
        <v>14.25520706</v>
      </c>
      <c r="Q101" s="99">
        <f t="shared" si="68"/>
        <v>14.54031121</v>
      </c>
      <c r="R101" s="99">
        <f t="shared" si="68"/>
        <v>14.97846</v>
      </c>
      <c r="S101" s="99">
        <f t="shared" si="68"/>
        <v>15.2780292</v>
      </c>
      <c r="T101" s="99">
        <f t="shared" si="68"/>
        <v>15.58358978</v>
      </c>
      <c r="U101" s="99">
        <f t="shared" si="68"/>
        <v>15.89526158</v>
      </c>
      <c r="V101" s="99">
        <f t="shared" si="68"/>
        <v>16.21316681</v>
      </c>
      <c r="W101" s="99">
        <f t="shared" si="68"/>
        <v>16.53743015</v>
      </c>
      <c r="X101" s="99">
        <f t="shared" si="68"/>
        <v>16.86817875</v>
      </c>
      <c r="Y101" s="99">
        <f t="shared" si="68"/>
        <v>17.20554233</v>
      </c>
      <c r="Z101" s="99">
        <f t="shared" si="68"/>
        <v>17.54965317</v>
      </c>
      <c r="AA101" s="99">
        <f t="shared" si="68"/>
        <v>17.90064624</v>
      </c>
      <c r="AB101" s="99">
        <f t="shared" si="68"/>
        <v>18.25865916</v>
      </c>
      <c r="AC101" s="99">
        <f t="shared" si="68"/>
        <v>18.62383234</v>
      </c>
      <c r="AD101" s="99">
        <f t="shared" si="68"/>
        <v>18.99630899</v>
      </c>
      <c r="AE101" s="99">
        <f t="shared" si="68"/>
        <v>19.37623517</v>
      </c>
      <c r="AF101" s="99">
        <f t="shared" si="68"/>
        <v>19.76375987</v>
      </c>
      <c r="AG101" s="99">
        <f t="shared" si="68"/>
        <v>20.15903507</v>
      </c>
      <c r="AH101" s="99">
        <f t="shared" si="68"/>
        <v>20.56221577</v>
      </c>
      <c r="AI101" s="99">
        <f t="shared" si="68"/>
        <v>20.97346009</v>
      </c>
      <c r="AJ101" s="99">
        <f t="shared" si="68"/>
        <v>21.39292929</v>
      </c>
      <c r="AK101" s="99">
        <f t="shared" si="68"/>
        <v>21.82078788</v>
      </c>
      <c r="AL101" s="99">
        <f t="shared" si="68"/>
        <v>22.25720363</v>
      </c>
      <c r="AM101" s="99">
        <f t="shared" si="68"/>
        <v>22.70234771</v>
      </c>
      <c r="AN101" s="99">
        <f t="shared" si="68"/>
        <v>23.15639466</v>
      </c>
      <c r="AO101" s="99">
        <f t="shared" si="68"/>
        <v>23.61952255</v>
      </c>
      <c r="AP101" s="99">
        <f t="shared" si="68"/>
        <v>24.091913</v>
      </c>
      <c r="AQ101" s="99">
        <f t="shared" si="68"/>
        <v>24.57375126</v>
      </c>
      <c r="AR101" s="99">
        <f t="shared" si="68"/>
        <v>25.06522629</v>
      </c>
      <c r="AS101" s="99">
        <f t="shared" si="68"/>
        <v>25.56653081</v>
      </c>
      <c r="AT101" s="99">
        <f t="shared" si="68"/>
        <v>26.07786143</v>
      </c>
      <c r="AU101" s="99">
        <f t="shared" si="68"/>
        <v>26.59941866</v>
      </c>
      <c r="AV101" s="99">
        <f t="shared" si="68"/>
        <v>27.13140703</v>
      </c>
      <c r="AW101" s="90" t="s">
        <v>1181</v>
      </c>
      <c r="AX101" s="90"/>
      <c r="AY101" s="90"/>
      <c r="AZ101" s="90"/>
      <c r="BA101" s="90"/>
      <c r="BB101" s="90"/>
      <c r="BC101" s="90"/>
      <c r="BD101" s="90"/>
      <c r="BE101" s="90"/>
      <c r="BF101" s="90"/>
      <c r="BG101" s="90"/>
      <c r="BH101" s="90"/>
      <c r="BI101" s="90"/>
      <c r="BJ101" s="90"/>
      <c r="BK101" s="90"/>
      <c r="BL101" s="90"/>
      <c r="BM101" s="90"/>
      <c r="BN101" s="90"/>
      <c r="BO101" s="90"/>
      <c r="BP101" s="90"/>
      <c r="BQ101" s="90"/>
    </row>
    <row r="102" ht="12.75" hidden="1" customHeight="1" outlineLevel="1">
      <c r="A102" s="316"/>
      <c r="B102" s="90"/>
      <c r="C102" s="90" t="s">
        <v>679</v>
      </c>
      <c r="D102" s="90"/>
      <c r="E102" s="90"/>
      <c r="F102" s="90"/>
      <c r="G102" s="90"/>
      <c r="H102" s="523"/>
      <c r="I102" s="178"/>
      <c r="J102" s="99"/>
      <c r="K102" s="99" t="str">
        <f>'RS1'!K102</f>
        <v/>
      </c>
      <c r="L102" s="99">
        <f t="shared" ref="L102:AV102" si="69">K102*(1+L$89)</f>
        <v>0</v>
      </c>
      <c r="M102" s="99">
        <f t="shared" si="69"/>
        <v>0</v>
      </c>
      <c r="N102" s="99">
        <f t="shared" si="69"/>
        <v>0</v>
      </c>
      <c r="O102" s="99">
        <f t="shared" si="69"/>
        <v>0</v>
      </c>
      <c r="P102" s="99">
        <f t="shared" si="69"/>
        <v>0</v>
      </c>
      <c r="Q102" s="99">
        <f t="shared" si="69"/>
        <v>0</v>
      </c>
      <c r="R102" s="99">
        <f t="shared" si="69"/>
        <v>0</v>
      </c>
      <c r="S102" s="99">
        <f t="shared" si="69"/>
        <v>0</v>
      </c>
      <c r="T102" s="99">
        <f t="shared" si="69"/>
        <v>0</v>
      </c>
      <c r="U102" s="99">
        <f t="shared" si="69"/>
        <v>0</v>
      </c>
      <c r="V102" s="99">
        <f t="shared" si="69"/>
        <v>0</v>
      </c>
      <c r="W102" s="99">
        <f t="shared" si="69"/>
        <v>0</v>
      </c>
      <c r="X102" s="99">
        <f t="shared" si="69"/>
        <v>0</v>
      </c>
      <c r="Y102" s="99">
        <f t="shared" si="69"/>
        <v>0</v>
      </c>
      <c r="Z102" s="99">
        <f t="shared" si="69"/>
        <v>0</v>
      </c>
      <c r="AA102" s="99">
        <f t="shared" si="69"/>
        <v>0</v>
      </c>
      <c r="AB102" s="99">
        <f t="shared" si="69"/>
        <v>0</v>
      </c>
      <c r="AC102" s="99">
        <f t="shared" si="69"/>
        <v>0</v>
      </c>
      <c r="AD102" s="99">
        <f t="shared" si="69"/>
        <v>0</v>
      </c>
      <c r="AE102" s="99">
        <f t="shared" si="69"/>
        <v>0</v>
      </c>
      <c r="AF102" s="99">
        <f t="shared" si="69"/>
        <v>0</v>
      </c>
      <c r="AG102" s="99">
        <f t="shared" si="69"/>
        <v>0</v>
      </c>
      <c r="AH102" s="99">
        <f t="shared" si="69"/>
        <v>0</v>
      </c>
      <c r="AI102" s="99">
        <f t="shared" si="69"/>
        <v>0</v>
      </c>
      <c r="AJ102" s="99">
        <f t="shared" si="69"/>
        <v>0</v>
      </c>
      <c r="AK102" s="99">
        <f t="shared" si="69"/>
        <v>0</v>
      </c>
      <c r="AL102" s="99">
        <f t="shared" si="69"/>
        <v>0</v>
      </c>
      <c r="AM102" s="99">
        <f t="shared" si="69"/>
        <v>0</v>
      </c>
      <c r="AN102" s="99">
        <f t="shared" si="69"/>
        <v>0</v>
      </c>
      <c r="AO102" s="99">
        <f t="shared" si="69"/>
        <v>0</v>
      </c>
      <c r="AP102" s="99">
        <f t="shared" si="69"/>
        <v>0</v>
      </c>
      <c r="AQ102" s="99">
        <f t="shared" si="69"/>
        <v>0</v>
      </c>
      <c r="AR102" s="99">
        <f t="shared" si="69"/>
        <v>0</v>
      </c>
      <c r="AS102" s="99">
        <f t="shared" si="69"/>
        <v>0</v>
      </c>
      <c r="AT102" s="99">
        <f t="shared" si="69"/>
        <v>0</v>
      </c>
      <c r="AU102" s="99">
        <f t="shared" si="69"/>
        <v>0</v>
      </c>
      <c r="AV102" s="99">
        <f t="shared" si="69"/>
        <v>0</v>
      </c>
      <c r="AW102" s="90" t="s">
        <v>1181</v>
      </c>
      <c r="AX102" s="90"/>
      <c r="AY102" s="90"/>
      <c r="AZ102" s="90"/>
      <c r="BA102" s="90"/>
      <c r="BB102" s="90"/>
      <c r="BC102" s="90"/>
      <c r="BD102" s="90"/>
      <c r="BE102" s="90"/>
      <c r="BF102" s="90"/>
      <c r="BG102" s="90"/>
      <c r="BH102" s="90"/>
      <c r="BI102" s="90"/>
      <c r="BJ102" s="90"/>
      <c r="BK102" s="90"/>
      <c r="BL102" s="90"/>
      <c r="BM102" s="90"/>
      <c r="BN102" s="90"/>
      <c r="BO102" s="90"/>
      <c r="BP102" s="90"/>
      <c r="BQ102" s="90"/>
    </row>
    <row r="103" ht="12.75" hidden="1" customHeight="1" outlineLevel="1">
      <c r="A103" s="316"/>
      <c r="B103" s="90"/>
      <c r="C103" s="90" t="s">
        <v>680</v>
      </c>
      <c r="D103" s="90"/>
      <c r="E103" s="90"/>
      <c r="F103" s="90"/>
      <c r="G103" s="90"/>
      <c r="H103" s="523"/>
      <c r="I103" s="178"/>
      <c r="J103" s="99"/>
      <c r="K103" s="99">
        <f>'RSGen 1-7'!I104</f>
        <v>600</v>
      </c>
      <c r="L103" s="99">
        <f t="shared" ref="L103:AV103" si="70">K103*(1+L$89)</f>
        <v>600</v>
      </c>
      <c r="M103" s="99">
        <f t="shared" si="70"/>
        <v>606</v>
      </c>
      <c r="N103" s="99">
        <f t="shared" si="70"/>
        <v>618.12</v>
      </c>
      <c r="O103" s="99">
        <f t="shared" si="70"/>
        <v>630.4824</v>
      </c>
      <c r="P103" s="99">
        <f t="shared" si="70"/>
        <v>643.092048</v>
      </c>
      <c r="Q103" s="99">
        <f t="shared" si="70"/>
        <v>655.953889</v>
      </c>
      <c r="R103" s="99">
        <f t="shared" si="70"/>
        <v>675.72</v>
      </c>
      <c r="S103" s="99">
        <f t="shared" si="70"/>
        <v>689.2344</v>
      </c>
      <c r="T103" s="99">
        <f t="shared" si="70"/>
        <v>703.019088</v>
      </c>
      <c r="U103" s="99">
        <f t="shared" si="70"/>
        <v>717.0794698</v>
      </c>
      <c r="V103" s="99">
        <f t="shared" si="70"/>
        <v>731.4210592</v>
      </c>
      <c r="W103" s="99">
        <f t="shared" si="70"/>
        <v>746.0494803</v>
      </c>
      <c r="X103" s="99">
        <f t="shared" si="70"/>
        <v>760.9704699</v>
      </c>
      <c r="Y103" s="99">
        <f t="shared" si="70"/>
        <v>776.1898793</v>
      </c>
      <c r="Z103" s="99">
        <f t="shared" si="70"/>
        <v>791.7136769</v>
      </c>
      <c r="AA103" s="99">
        <f t="shared" si="70"/>
        <v>807.5479505</v>
      </c>
      <c r="AB103" s="99">
        <f t="shared" si="70"/>
        <v>823.6989095</v>
      </c>
      <c r="AC103" s="99">
        <f t="shared" si="70"/>
        <v>840.1728877</v>
      </c>
      <c r="AD103" s="99">
        <f t="shared" si="70"/>
        <v>856.9763454</v>
      </c>
      <c r="AE103" s="99">
        <f t="shared" si="70"/>
        <v>874.1158723</v>
      </c>
      <c r="AF103" s="99">
        <f t="shared" si="70"/>
        <v>891.5981898</v>
      </c>
      <c r="AG103" s="99">
        <f t="shared" si="70"/>
        <v>909.4301536</v>
      </c>
      <c r="AH103" s="99">
        <f t="shared" si="70"/>
        <v>927.6187566</v>
      </c>
      <c r="AI103" s="99">
        <f t="shared" si="70"/>
        <v>946.1711318</v>
      </c>
      <c r="AJ103" s="99">
        <f t="shared" si="70"/>
        <v>965.0945544</v>
      </c>
      <c r="AK103" s="99">
        <f t="shared" si="70"/>
        <v>984.3964455</v>
      </c>
      <c r="AL103" s="99">
        <f t="shared" si="70"/>
        <v>1004.084374</v>
      </c>
      <c r="AM103" s="99">
        <f t="shared" si="70"/>
        <v>1024.166062</v>
      </c>
      <c r="AN103" s="99">
        <f t="shared" si="70"/>
        <v>1044.649383</v>
      </c>
      <c r="AO103" s="99">
        <f t="shared" si="70"/>
        <v>1065.542371</v>
      </c>
      <c r="AP103" s="99">
        <f t="shared" si="70"/>
        <v>1086.853218</v>
      </c>
      <c r="AQ103" s="99">
        <f t="shared" si="70"/>
        <v>1108.590283</v>
      </c>
      <c r="AR103" s="99">
        <f t="shared" si="70"/>
        <v>1130.762088</v>
      </c>
      <c r="AS103" s="99">
        <f t="shared" si="70"/>
        <v>1153.37733</v>
      </c>
      <c r="AT103" s="99">
        <f t="shared" si="70"/>
        <v>1176.444877</v>
      </c>
      <c r="AU103" s="99">
        <f t="shared" si="70"/>
        <v>1199.973774</v>
      </c>
      <c r="AV103" s="99">
        <f t="shared" si="70"/>
        <v>1223.97325</v>
      </c>
      <c r="AW103" s="90" t="s">
        <v>1186</v>
      </c>
      <c r="AX103" s="90"/>
      <c r="AY103" s="90"/>
      <c r="AZ103" s="90"/>
      <c r="BA103" s="90"/>
      <c r="BB103" s="90"/>
      <c r="BC103" s="90"/>
      <c r="BD103" s="90"/>
      <c r="BE103" s="90"/>
      <c r="BF103" s="90"/>
      <c r="BG103" s="90"/>
      <c r="BH103" s="90"/>
      <c r="BI103" s="90"/>
      <c r="BJ103" s="90"/>
      <c r="BK103" s="90"/>
      <c r="BL103" s="90"/>
      <c r="BM103" s="90"/>
      <c r="BN103" s="90"/>
      <c r="BO103" s="90"/>
      <c r="BP103" s="90"/>
      <c r="BQ103" s="90"/>
    </row>
    <row r="104" ht="12.75" hidden="1" customHeight="1" outlineLevel="1">
      <c r="A104" s="316"/>
      <c r="B104" s="90"/>
      <c r="C104" s="90" t="s">
        <v>681</v>
      </c>
      <c r="D104" s="90"/>
      <c r="E104" s="90"/>
      <c r="F104" s="90"/>
      <c r="G104" s="90"/>
      <c r="H104" s="523"/>
      <c r="I104" s="178"/>
      <c r="J104" s="99"/>
      <c r="K104" s="99">
        <f>'RS1'!K104</f>
        <v>0</v>
      </c>
      <c r="L104" s="99">
        <f t="shared" ref="L104:AV104" si="71">K104*(1+L$89)</f>
        <v>0</v>
      </c>
      <c r="M104" s="99">
        <f t="shared" si="71"/>
        <v>0</v>
      </c>
      <c r="N104" s="99">
        <f t="shared" si="71"/>
        <v>0</v>
      </c>
      <c r="O104" s="99">
        <f t="shared" si="71"/>
        <v>0</v>
      </c>
      <c r="P104" s="99">
        <f t="shared" si="71"/>
        <v>0</v>
      </c>
      <c r="Q104" s="99">
        <f t="shared" si="71"/>
        <v>0</v>
      </c>
      <c r="R104" s="99">
        <f t="shared" si="71"/>
        <v>0</v>
      </c>
      <c r="S104" s="99">
        <f t="shared" si="71"/>
        <v>0</v>
      </c>
      <c r="T104" s="99">
        <f t="shared" si="71"/>
        <v>0</v>
      </c>
      <c r="U104" s="99">
        <f t="shared" si="71"/>
        <v>0</v>
      </c>
      <c r="V104" s="99">
        <f t="shared" si="71"/>
        <v>0</v>
      </c>
      <c r="W104" s="99">
        <f t="shared" si="71"/>
        <v>0</v>
      </c>
      <c r="X104" s="99">
        <f t="shared" si="71"/>
        <v>0</v>
      </c>
      <c r="Y104" s="99">
        <f t="shared" si="71"/>
        <v>0</v>
      </c>
      <c r="Z104" s="99">
        <f t="shared" si="71"/>
        <v>0</v>
      </c>
      <c r="AA104" s="99">
        <f t="shared" si="71"/>
        <v>0</v>
      </c>
      <c r="AB104" s="99">
        <f t="shared" si="71"/>
        <v>0</v>
      </c>
      <c r="AC104" s="99">
        <f t="shared" si="71"/>
        <v>0</v>
      </c>
      <c r="AD104" s="99">
        <f t="shared" si="71"/>
        <v>0</v>
      </c>
      <c r="AE104" s="99">
        <f t="shared" si="71"/>
        <v>0</v>
      </c>
      <c r="AF104" s="99">
        <f t="shared" si="71"/>
        <v>0</v>
      </c>
      <c r="AG104" s="99">
        <f t="shared" si="71"/>
        <v>0</v>
      </c>
      <c r="AH104" s="99">
        <f t="shared" si="71"/>
        <v>0</v>
      </c>
      <c r="AI104" s="99">
        <f t="shared" si="71"/>
        <v>0</v>
      </c>
      <c r="AJ104" s="99">
        <f t="shared" si="71"/>
        <v>0</v>
      </c>
      <c r="AK104" s="99">
        <f t="shared" si="71"/>
        <v>0</v>
      </c>
      <c r="AL104" s="99">
        <f t="shared" si="71"/>
        <v>0</v>
      </c>
      <c r="AM104" s="99">
        <f t="shared" si="71"/>
        <v>0</v>
      </c>
      <c r="AN104" s="99">
        <f t="shared" si="71"/>
        <v>0</v>
      </c>
      <c r="AO104" s="99">
        <f t="shared" si="71"/>
        <v>0</v>
      </c>
      <c r="AP104" s="99">
        <f t="shared" si="71"/>
        <v>0</v>
      </c>
      <c r="AQ104" s="99">
        <f t="shared" si="71"/>
        <v>0</v>
      </c>
      <c r="AR104" s="99">
        <f t="shared" si="71"/>
        <v>0</v>
      </c>
      <c r="AS104" s="99">
        <f t="shared" si="71"/>
        <v>0</v>
      </c>
      <c r="AT104" s="99">
        <f t="shared" si="71"/>
        <v>0</v>
      </c>
      <c r="AU104" s="99">
        <f t="shared" si="71"/>
        <v>0</v>
      </c>
      <c r="AV104" s="99">
        <f t="shared" si="71"/>
        <v>0</v>
      </c>
      <c r="AW104" s="90" t="s">
        <v>1181</v>
      </c>
      <c r="AX104" s="90"/>
      <c r="AY104" s="90"/>
      <c r="AZ104" s="90"/>
      <c r="BA104" s="90"/>
      <c r="BB104" s="90"/>
      <c r="BC104" s="90"/>
      <c r="BD104" s="90"/>
      <c r="BE104" s="90"/>
      <c r="BF104" s="90"/>
      <c r="BG104" s="90"/>
      <c r="BH104" s="90"/>
      <c r="BI104" s="90"/>
      <c r="BJ104" s="90"/>
      <c r="BK104" s="90"/>
      <c r="BL104" s="90"/>
      <c r="BM104" s="90"/>
      <c r="BN104" s="90"/>
      <c r="BO104" s="90"/>
      <c r="BP104" s="90"/>
      <c r="BQ104" s="90"/>
    </row>
    <row r="105" ht="12.75" hidden="1" customHeight="1" outlineLevel="1">
      <c r="A105" s="316"/>
      <c r="B105" s="90"/>
      <c r="C105" s="90" t="s">
        <v>682</v>
      </c>
      <c r="D105" s="90"/>
      <c r="E105" s="90"/>
      <c r="F105" s="90"/>
      <c r="G105" s="90"/>
      <c r="H105" s="523"/>
      <c r="I105" s="178"/>
      <c r="J105" s="99"/>
      <c r="K105" s="99">
        <f>'RS1'!K105</f>
        <v>0</v>
      </c>
      <c r="L105" s="99">
        <f t="shared" ref="L105:AV105" si="72">K105*(1+L$89)</f>
        <v>0</v>
      </c>
      <c r="M105" s="99">
        <f t="shared" si="72"/>
        <v>0</v>
      </c>
      <c r="N105" s="99">
        <f t="shared" si="72"/>
        <v>0</v>
      </c>
      <c r="O105" s="99">
        <f t="shared" si="72"/>
        <v>0</v>
      </c>
      <c r="P105" s="99">
        <f t="shared" si="72"/>
        <v>0</v>
      </c>
      <c r="Q105" s="99">
        <f t="shared" si="72"/>
        <v>0</v>
      </c>
      <c r="R105" s="99">
        <f t="shared" si="72"/>
        <v>0</v>
      </c>
      <c r="S105" s="99">
        <f t="shared" si="72"/>
        <v>0</v>
      </c>
      <c r="T105" s="99">
        <f t="shared" si="72"/>
        <v>0</v>
      </c>
      <c r="U105" s="99">
        <f t="shared" si="72"/>
        <v>0</v>
      </c>
      <c r="V105" s="99">
        <f t="shared" si="72"/>
        <v>0</v>
      </c>
      <c r="W105" s="99">
        <f t="shared" si="72"/>
        <v>0</v>
      </c>
      <c r="X105" s="99">
        <f t="shared" si="72"/>
        <v>0</v>
      </c>
      <c r="Y105" s="99">
        <f t="shared" si="72"/>
        <v>0</v>
      </c>
      <c r="Z105" s="99">
        <f t="shared" si="72"/>
        <v>0</v>
      </c>
      <c r="AA105" s="99">
        <f t="shared" si="72"/>
        <v>0</v>
      </c>
      <c r="AB105" s="99">
        <f t="shared" si="72"/>
        <v>0</v>
      </c>
      <c r="AC105" s="99">
        <f t="shared" si="72"/>
        <v>0</v>
      </c>
      <c r="AD105" s="99">
        <f t="shared" si="72"/>
        <v>0</v>
      </c>
      <c r="AE105" s="99">
        <f t="shared" si="72"/>
        <v>0</v>
      </c>
      <c r="AF105" s="99">
        <f t="shared" si="72"/>
        <v>0</v>
      </c>
      <c r="AG105" s="99">
        <f t="shared" si="72"/>
        <v>0</v>
      </c>
      <c r="AH105" s="99">
        <f t="shared" si="72"/>
        <v>0</v>
      </c>
      <c r="AI105" s="99">
        <f t="shared" si="72"/>
        <v>0</v>
      </c>
      <c r="AJ105" s="99">
        <f t="shared" si="72"/>
        <v>0</v>
      </c>
      <c r="AK105" s="99">
        <f t="shared" si="72"/>
        <v>0</v>
      </c>
      <c r="AL105" s="99">
        <f t="shared" si="72"/>
        <v>0</v>
      </c>
      <c r="AM105" s="99">
        <f t="shared" si="72"/>
        <v>0</v>
      </c>
      <c r="AN105" s="99">
        <f t="shared" si="72"/>
        <v>0</v>
      </c>
      <c r="AO105" s="99">
        <f t="shared" si="72"/>
        <v>0</v>
      </c>
      <c r="AP105" s="99">
        <f t="shared" si="72"/>
        <v>0</v>
      </c>
      <c r="AQ105" s="99">
        <f t="shared" si="72"/>
        <v>0</v>
      </c>
      <c r="AR105" s="99">
        <f t="shared" si="72"/>
        <v>0</v>
      </c>
      <c r="AS105" s="99">
        <f t="shared" si="72"/>
        <v>0</v>
      </c>
      <c r="AT105" s="99">
        <f t="shared" si="72"/>
        <v>0</v>
      </c>
      <c r="AU105" s="99">
        <f t="shared" si="72"/>
        <v>0</v>
      </c>
      <c r="AV105" s="99">
        <f t="shared" si="72"/>
        <v>0</v>
      </c>
      <c r="AW105" s="90" t="s">
        <v>1181</v>
      </c>
      <c r="AX105" s="90"/>
      <c r="AY105" s="90"/>
      <c r="AZ105" s="90"/>
      <c r="BA105" s="90"/>
      <c r="BB105" s="90"/>
      <c r="BC105" s="90"/>
      <c r="BD105" s="90"/>
      <c r="BE105" s="90"/>
      <c r="BF105" s="90"/>
      <c r="BG105" s="90"/>
      <c r="BH105" s="90"/>
      <c r="BI105" s="90"/>
      <c r="BJ105" s="90"/>
      <c r="BK105" s="90"/>
      <c r="BL105" s="90"/>
      <c r="BM105" s="90"/>
      <c r="BN105" s="90"/>
      <c r="BO105" s="90"/>
      <c r="BP105" s="90"/>
      <c r="BQ105" s="90"/>
    </row>
    <row r="106" ht="12.75" hidden="1" customHeight="1" outlineLevel="1">
      <c r="A106" s="316"/>
      <c r="B106" s="90"/>
      <c r="C106" s="90" t="s">
        <v>683</v>
      </c>
      <c r="D106" s="90"/>
      <c r="E106" s="90"/>
      <c r="F106" s="90"/>
      <c r="G106" s="90"/>
      <c r="H106" s="523"/>
      <c r="I106" s="178"/>
      <c r="J106" s="99"/>
      <c r="K106" s="99">
        <f>'RS1'!K106</f>
        <v>0</v>
      </c>
      <c r="L106" s="99">
        <f t="shared" ref="L106:AV106" si="73">K106*(1+L$89)</f>
        <v>0</v>
      </c>
      <c r="M106" s="99">
        <f t="shared" si="73"/>
        <v>0</v>
      </c>
      <c r="N106" s="99">
        <f t="shared" si="73"/>
        <v>0</v>
      </c>
      <c r="O106" s="99">
        <f t="shared" si="73"/>
        <v>0</v>
      </c>
      <c r="P106" s="99">
        <f t="shared" si="73"/>
        <v>0</v>
      </c>
      <c r="Q106" s="99">
        <f t="shared" si="73"/>
        <v>0</v>
      </c>
      <c r="R106" s="99">
        <f t="shared" si="73"/>
        <v>0</v>
      </c>
      <c r="S106" s="99">
        <f t="shared" si="73"/>
        <v>0</v>
      </c>
      <c r="T106" s="99">
        <f t="shared" si="73"/>
        <v>0</v>
      </c>
      <c r="U106" s="99">
        <f t="shared" si="73"/>
        <v>0</v>
      </c>
      <c r="V106" s="99">
        <f t="shared" si="73"/>
        <v>0</v>
      </c>
      <c r="W106" s="99">
        <f t="shared" si="73"/>
        <v>0</v>
      </c>
      <c r="X106" s="99">
        <f t="shared" si="73"/>
        <v>0</v>
      </c>
      <c r="Y106" s="99">
        <f t="shared" si="73"/>
        <v>0</v>
      </c>
      <c r="Z106" s="99">
        <f t="shared" si="73"/>
        <v>0</v>
      </c>
      <c r="AA106" s="99">
        <f t="shared" si="73"/>
        <v>0</v>
      </c>
      <c r="AB106" s="99">
        <f t="shared" si="73"/>
        <v>0</v>
      </c>
      <c r="AC106" s="99">
        <f t="shared" si="73"/>
        <v>0</v>
      </c>
      <c r="AD106" s="99">
        <f t="shared" si="73"/>
        <v>0</v>
      </c>
      <c r="AE106" s="99">
        <f t="shared" si="73"/>
        <v>0</v>
      </c>
      <c r="AF106" s="99">
        <f t="shared" si="73"/>
        <v>0</v>
      </c>
      <c r="AG106" s="99">
        <f t="shared" si="73"/>
        <v>0</v>
      </c>
      <c r="AH106" s="99">
        <f t="shared" si="73"/>
        <v>0</v>
      </c>
      <c r="AI106" s="99">
        <f t="shared" si="73"/>
        <v>0</v>
      </c>
      <c r="AJ106" s="99">
        <f t="shared" si="73"/>
        <v>0</v>
      </c>
      <c r="AK106" s="99">
        <f t="shared" si="73"/>
        <v>0</v>
      </c>
      <c r="AL106" s="99">
        <f t="shared" si="73"/>
        <v>0</v>
      </c>
      <c r="AM106" s="99">
        <f t="shared" si="73"/>
        <v>0</v>
      </c>
      <c r="AN106" s="99">
        <f t="shared" si="73"/>
        <v>0</v>
      </c>
      <c r="AO106" s="99">
        <f t="shared" si="73"/>
        <v>0</v>
      </c>
      <c r="AP106" s="99">
        <f t="shared" si="73"/>
        <v>0</v>
      </c>
      <c r="AQ106" s="99">
        <f t="shared" si="73"/>
        <v>0</v>
      </c>
      <c r="AR106" s="99">
        <f t="shared" si="73"/>
        <v>0</v>
      </c>
      <c r="AS106" s="99">
        <f t="shared" si="73"/>
        <v>0</v>
      </c>
      <c r="AT106" s="99">
        <f t="shared" si="73"/>
        <v>0</v>
      </c>
      <c r="AU106" s="99">
        <f t="shared" si="73"/>
        <v>0</v>
      </c>
      <c r="AV106" s="99">
        <f t="shared" si="73"/>
        <v>0</v>
      </c>
      <c r="AW106" s="90" t="s">
        <v>1181</v>
      </c>
      <c r="AX106" s="90"/>
      <c r="AY106" s="90"/>
      <c r="AZ106" s="90"/>
      <c r="BA106" s="90"/>
      <c r="BB106" s="90"/>
      <c r="BC106" s="90"/>
      <c r="BD106" s="90"/>
      <c r="BE106" s="90"/>
      <c r="BF106" s="90"/>
      <c r="BG106" s="90"/>
      <c r="BH106" s="90"/>
      <c r="BI106" s="90"/>
      <c r="BJ106" s="90"/>
      <c r="BK106" s="90"/>
      <c r="BL106" s="90"/>
      <c r="BM106" s="90"/>
      <c r="BN106" s="90"/>
      <c r="BO106" s="90"/>
      <c r="BP106" s="90"/>
      <c r="BQ106" s="90"/>
    </row>
    <row r="107" ht="12.75" hidden="1" customHeight="1" outlineLevel="1">
      <c r="A107" s="316"/>
      <c r="B107" s="90"/>
      <c r="C107" s="90" t="s">
        <v>684</v>
      </c>
      <c r="D107" s="90"/>
      <c r="E107" s="90"/>
      <c r="F107" s="90"/>
      <c r="G107" s="90"/>
      <c r="H107" s="523"/>
      <c r="I107" s="178"/>
      <c r="J107" s="99"/>
      <c r="K107" s="99">
        <f>'RS1'!K107</f>
        <v>0</v>
      </c>
      <c r="L107" s="99">
        <f t="shared" ref="L107:AV107" si="74">K107*(1+L$89)</f>
        <v>0</v>
      </c>
      <c r="M107" s="99">
        <f t="shared" si="74"/>
        <v>0</v>
      </c>
      <c r="N107" s="99">
        <f t="shared" si="74"/>
        <v>0</v>
      </c>
      <c r="O107" s="99">
        <f t="shared" si="74"/>
        <v>0</v>
      </c>
      <c r="P107" s="99">
        <f t="shared" si="74"/>
        <v>0</v>
      </c>
      <c r="Q107" s="99">
        <f t="shared" si="74"/>
        <v>0</v>
      </c>
      <c r="R107" s="99">
        <f t="shared" si="74"/>
        <v>0</v>
      </c>
      <c r="S107" s="99">
        <f t="shared" si="74"/>
        <v>0</v>
      </c>
      <c r="T107" s="99">
        <f t="shared" si="74"/>
        <v>0</v>
      </c>
      <c r="U107" s="99">
        <f t="shared" si="74"/>
        <v>0</v>
      </c>
      <c r="V107" s="99">
        <f t="shared" si="74"/>
        <v>0</v>
      </c>
      <c r="W107" s="99">
        <f t="shared" si="74"/>
        <v>0</v>
      </c>
      <c r="X107" s="99">
        <f t="shared" si="74"/>
        <v>0</v>
      </c>
      <c r="Y107" s="99">
        <f t="shared" si="74"/>
        <v>0</v>
      </c>
      <c r="Z107" s="99">
        <f t="shared" si="74"/>
        <v>0</v>
      </c>
      <c r="AA107" s="99">
        <f t="shared" si="74"/>
        <v>0</v>
      </c>
      <c r="AB107" s="99">
        <f t="shared" si="74"/>
        <v>0</v>
      </c>
      <c r="AC107" s="99">
        <f t="shared" si="74"/>
        <v>0</v>
      </c>
      <c r="AD107" s="99">
        <f t="shared" si="74"/>
        <v>0</v>
      </c>
      <c r="AE107" s="99">
        <f t="shared" si="74"/>
        <v>0</v>
      </c>
      <c r="AF107" s="99">
        <f t="shared" si="74"/>
        <v>0</v>
      </c>
      <c r="AG107" s="99">
        <f t="shared" si="74"/>
        <v>0</v>
      </c>
      <c r="AH107" s="99">
        <f t="shared" si="74"/>
        <v>0</v>
      </c>
      <c r="AI107" s="99">
        <f t="shared" si="74"/>
        <v>0</v>
      </c>
      <c r="AJ107" s="99">
        <f t="shared" si="74"/>
        <v>0</v>
      </c>
      <c r="AK107" s="99">
        <f t="shared" si="74"/>
        <v>0</v>
      </c>
      <c r="AL107" s="99">
        <f t="shared" si="74"/>
        <v>0</v>
      </c>
      <c r="AM107" s="99">
        <f t="shared" si="74"/>
        <v>0</v>
      </c>
      <c r="AN107" s="99">
        <f t="shared" si="74"/>
        <v>0</v>
      </c>
      <c r="AO107" s="99">
        <f t="shared" si="74"/>
        <v>0</v>
      </c>
      <c r="AP107" s="99">
        <f t="shared" si="74"/>
        <v>0</v>
      </c>
      <c r="AQ107" s="99">
        <f t="shared" si="74"/>
        <v>0</v>
      </c>
      <c r="AR107" s="99">
        <f t="shared" si="74"/>
        <v>0</v>
      </c>
      <c r="AS107" s="99">
        <f t="shared" si="74"/>
        <v>0</v>
      </c>
      <c r="AT107" s="99">
        <f t="shared" si="74"/>
        <v>0</v>
      </c>
      <c r="AU107" s="99">
        <f t="shared" si="74"/>
        <v>0</v>
      </c>
      <c r="AV107" s="99">
        <f t="shared" si="74"/>
        <v>0</v>
      </c>
      <c r="AW107" s="90" t="s">
        <v>1181</v>
      </c>
      <c r="AX107" s="90"/>
      <c r="AY107" s="90"/>
      <c r="AZ107" s="90"/>
      <c r="BA107" s="90"/>
      <c r="BB107" s="90"/>
      <c r="BC107" s="90"/>
      <c r="BD107" s="90"/>
      <c r="BE107" s="90"/>
      <c r="BF107" s="90"/>
      <c r="BG107" s="90"/>
      <c r="BH107" s="90"/>
      <c r="BI107" s="90"/>
      <c r="BJ107" s="90"/>
      <c r="BK107" s="90"/>
      <c r="BL107" s="90"/>
      <c r="BM107" s="90"/>
      <c r="BN107" s="90"/>
      <c r="BO107" s="90"/>
      <c r="BP107" s="90"/>
      <c r="BQ107" s="90"/>
    </row>
    <row r="108" ht="12.75" hidden="1" customHeight="1" outlineLevel="1">
      <c r="A108" s="316"/>
      <c r="B108" s="90"/>
      <c r="C108" s="90"/>
      <c r="D108" s="90"/>
      <c r="E108" s="90"/>
      <c r="F108" s="90"/>
      <c r="G108" s="90"/>
      <c r="H108" s="523"/>
      <c r="I108" s="178"/>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c r="AL108" s="99"/>
      <c r="AM108" s="99"/>
      <c r="AN108" s="99"/>
      <c r="AO108" s="99"/>
      <c r="AP108" s="99"/>
      <c r="AQ108" s="99"/>
      <c r="AR108" s="99"/>
      <c r="AS108" s="99"/>
      <c r="AT108" s="99"/>
      <c r="AU108" s="99"/>
      <c r="AV108" s="99"/>
      <c r="AW108" s="90"/>
      <c r="AX108" s="90"/>
      <c r="AY108" s="90"/>
      <c r="AZ108" s="90"/>
      <c r="BA108" s="90"/>
      <c r="BB108" s="90"/>
      <c r="BC108" s="90"/>
      <c r="BD108" s="90"/>
      <c r="BE108" s="90"/>
      <c r="BF108" s="90"/>
      <c r="BG108" s="90"/>
      <c r="BH108" s="90"/>
      <c r="BI108" s="90"/>
      <c r="BJ108" s="90"/>
      <c r="BK108" s="90"/>
      <c r="BL108" s="90"/>
      <c r="BM108" s="90"/>
      <c r="BN108" s="90"/>
      <c r="BO108" s="90"/>
      <c r="BP108" s="90"/>
      <c r="BQ108" s="90"/>
    </row>
    <row r="109" ht="12.75" hidden="1" customHeight="1" outlineLevel="1">
      <c r="A109" s="316"/>
      <c r="B109" s="67" t="s">
        <v>685</v>
      </c>
      <c r="C109" s="90"/>
      <c r="D109" s="90"/>
      <c r="E109" s="90"/>
      <c r="F109" s="90"/>
      <c r="G109" s="90"/>
      <c r="H109" s="523"/>
      <c r="I109" s="178"/>
      <c r="J109" s="99"/>
      <c r="K109" s="99"/>
      <c r="L109" s="90"/>
      <c r="M109" s="90"/>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67"/>
      <c r="AX109" s="90"/>
      <c r="AY109" s="90"/>
      <c r="AZ109" s="90"/>
      <c r="BA109" s="90"/>
      <c r="BB109" s="90"/>
      <c r="BC109" s="90"/>
      <c r="BD109" s="90"/>
      <c r="BE109" s="90"/>
      <c r="BF109" s="90"/>
      <c r="BG109" s="90"/>
      <c r="BH109" s="90"/>
      <c r="BI109" s="90"/>
      <c r="BJ109" s="90"/>
      <c r="BK109" s="90"/>
      <c r="BL109" s="90"/>
      <c r="BM109" s="90"/>
      <c r="BN109" s="90"/>
      <c r="BO109" s="90"/>
      <c r="BP109" s="90"/>
      <c r="BQ109" s="90"/>
    </row>
    <row r="110" ht="12.75" hidden="1" customHeight="1" outlineLevel="1">
      <c r="A110" s="316"/>
      <c r="B110" s="90"/>
      <c r="C110" s="90" t="s">
        <v>574</v>
      </c>
      <c r="D110" s="90"/>
      <c r="E110" s="90"/>
      <c r="F110" s="90"/>
      <c r="G110" s="90"/>
      <c r="H110" s="523"/>
      <c r="I110" s="178"/>
      <c r="J110" s="99"/>
      <c r="K110" s="178">
        <f>Assumptions!D58</f>
        <v>0</v>
      </c>
      <c r="L110" s="178">
        <f>Assumptions!E58</f>
        <v>0.02</v>
      </c>
      <c r="M110" s="178">
        <f>Assumptions!F58</f>
        <v>0.02</v>
      </c>
      <c r="N110" s="178">
        <f>Assumptions!G58</f>
        <v>0.02</v>
      </c>
      <c r="O110" s="178">
        <f>Assumptions!H58</f>
        <v>0.02</v>
      </c>
      <c r="P110" s="178">
        <f>Assumptions!I58</f>
        <v>0.02</v>
      </c>
      <c r="Q110" s="178">
        <f t="shared" ref="Q110:AV110" si="75">P110</f>
        <v>0.02</v>
      </c>
      <c r="R110" s="178">
        <f t="shared" si="75"/>
        <v>0.02</v>
      </c>
      <c r="S110" s="178">
        <f t="shared" si="75"/>
        <v>0.02</v>
      </c>
      <c r="T110" s="178">
        <f t="shared" si="75"/>
        <v>0.02</v>
      </c>
      <c r="U110" s="178">
        <f t="shared" si="75"/>
        <v>0.02</v>
      </c>
      <c r="V110" s="178">
        <f t="shared" si="75"/>
        <v>0.02</v>
      </c>
      <c r="W110" s="178">
        <f t="shared" si="75"/>
        <v>0.02</v>
      </c>
      <c r="X110" s="178">
        <f t="shared" si="75"/>
        <v>0.02</v>
      </c>
      <c r="Y110" s="178">
        <f t="shared" si="75"/>
        <v>0.02</v>
      </c>
      <c r="Z110" s="178">
        <f t="shared" si="75"/>
        <v>0.02</v>
      </c>
      <c r="AA110" s="178">
        <f t="shared" si="75"/>
        <v>0.02</v>
      </c>
      <c r="AB110" s="178">
        <f t="shared" si="75"/>
        <v>0.02</v>
      </c>
      <c r="AC110" s="178">
        <f t="shared" si="75"/>
        <v>0.02</v>
      </c>
      <c r="AD110" s="178">
        <f t="shared" si="75"/>
        <v>0.02</v>
      </c>
      <c r="AE110" s="178">
        <f t="shared" si="75"/>
        <v>0.02</v>
      </c>
      <c r="AF110" s="178">
        <f t="shared" si="75"/>
        <v>0.02</v>
      </c>
      <c r="AG110" s="178">
        <f t="shared" si="75"/>
        <v>0.02</v>
      </c>
      <c r="AH110" s="178">
        <f t="shared" si="75"/>
        <v>0.02</v>
      </c>
      <c r="AI110" s="178">
        <f t="shared" si="75"/>
        <v>0.02</v>
      </c>
      <c r="AJ110" s="178">
        <f t="shared" si="75"/>
        <v>0.02</v>
      </c>
      <c r="AK110" s="178">
        <f t="shared" si="75"/>
        <v>0.02</v>
      </c>
      <c r="AL110" s="178">
        <f t="shared" si="75"/>
        <v>0.02</v>
      </c>
      <c r="AM110" s="178">
        <f t="shared" si="75"/>
        <v>0.02</v>
      </c>
      <c r="AN110" s="178">
        <f t="shared" si="75"/>
        <v>0.02</v>
      </c>
      <c r="AO110" s="178">
        <f t="shared" si="75"/>
        <v>0.02</v>
      </c>
      <c r="AP110" s="178">
        <f t="shared" si="75"/>
        <v>0.02</v>
      </c>
      <c r="AQ110" s="178">
        <f t="shared" si="75"/>
        <v>0.02</v>
      </c>
      <c r="AR110" s="178">
        <f t="shared" si="75"/>
        <v>0.02</v>
      </c>
      <c r="AS110" s="178">
        <f t="shared" si="75"/>
        <v>0.02</v>
      </c>
      <c r="AT110" s="178">
        <f t="shared" si="75"/>
        <v>0.02</v>
      </c>
      <c r="AU110" s="178">
        <f t="shared" si="75"/>
        <v>0.02</v>
      </c>
      <c r="AV110" s="178">
        <f t="shared" si="75"/>
        <v>0.02</v>
      </c>
      <c r="AW110" s="90"/>
      <c r="AX110" s="90"/>
      <c r="AY110" s="90"/>
      <c r="AZ110" s="90"/>
      <c r="BA110" s="90"/>
      <c r="BB110" s="90"/>
      <c r="BC110" s="90"/>
      <c r="BD110" s="90"/>
      <c r="BE110" s="90"/>
      <c r="BF110" s="90"/>
      <c r="BG110" s="90"/>
      <c r="BH110" s="90"/>
      <c r="BI110" s="90"/>
      <c r="BJ110" s="90"/>
      <c r="BK110" s="90"/>
      <c r="BL110" s="90"/>
      <c r="BM110" s="90"/>
      <c r="BN110" s="90"/>
      <c r="BO110" s="90"/>
      <c r="BP110" s="90"/>
      <c r="BQ110" s="90"/>
    </row>
    <row r="111" ht="12.75" hidden="1" customHeight="1" outlineLevel="1">
      <c r="A111" s="316"/>
      <c r="B111" s="90"/>
      <c r="C111" s="90" t="s">
        <v>686</v>
      </c>
      <c r="D111" s="90"/>
      <c r="E111" s="90"/>
      <c r="F111" s="90"/>
      <c r="G111" s="90"/>
      <c r="H111" s="523"/>
      <c r="I111" s="178"/>
      <c r="J111" s="99"/>
      <c r="K111" s="99">
        <f>'RSGen 1-7'!I112</f>
        <v>400</v>
      </c>
      <c r="L111" s="99">
        <f t="shared" ref="L111:AV111" si="76">K111*(1+L$110)</f>
        <v>408</v>
      </c>
      <c r="M111" s="99">
        <f t="shared" si="76"/>
        <v>416.16</v>
      </c>
      <c r="N111" s="99">
        <f t="shared" si="76"/>
        <v>424.4832</v>
      </c>
      <c r="O111" s="99">
        <f t="shared" si="76"/>
        <v>432.972864</v>
      </c>
      <c r="P111" s="99">
        <f t="shared" si="76"/>
        <v>441.6323213</v>
      </c>
      <c r="Q111" s="99">
        <f t="shared" si="76"/>
        <v>450.4649677</v>
      </c>
      <c r="R111" s="99">
        <f t="shared" si="76"/>
        <v>459.4742671</v>
      </c>
      <c r="S111" s="99">
        <f t="shared" si="76"/>
        <v>468.6637524</v>
      </c>
      <c r="T111" s="99">
        <f t="shared" si="76"/>
        <v>478.0370274</v>
      </c>
      <c r="U111" s="99">
        <f t="shared" si="76"/>
        <v>487.597768</v>
      </c>
      <c r="V111" s="99">
        <f t="shared" si="76"/>
        <v>497.3497234</v>
      </c>
      <c r="W111" s="99">
        <f t="shared" si="76"/>
        <v>507.2967178</v>
      </c>
      <c r="X111" s="99">
        <f t="shared" si="76"/>
        <v>517.4426522</v>
      </c>
      <c r="Y111" s="99">
        <f t="shared" si="76"/>
        <v>527.7915052</v>
      </c>
      <c r="Z111" s="99">
        <f t="shared" si="76"/>
        <v>538.3473353</v>
      </c>
      <c r="AA111" s="99">
        <f t="shared" si="76"/>
        <v>549.114282</v>
      </c>
      <c r="AB111" s="99">
        <f t="shared" si="76"/>
        <v>560.0965677</v>
      </c>
      <c r="AC111" s="99">
        <f t="shared" si="76"/>
        <v>571.298499</v>
      </c>
      <c r="AD111" s="99">
        <f t="shared" si="76"/>
        <v>582.724469</v>
      </c>
      <c r="AE111" s="99">
        <f t="shared" si="76"/>
        <v>594.3789584</v>
      </c>
      <c r="AF111" s="99">
        <f t="shared" si="76"/>
        <v>606.2665376</v>
      </c>
      <c r="AG111" s="99">
        <f t="shared" si="76"/>
        <v>618.3918683</v>
      </c>
      <c r="AH111" s="99">
        <f t="shared" si="76"/>
        <v>630.7597057</v>
      </c>
      <c r="AI111" s="99">
        <f t="shared" si="76"/>
        <v>643.3748998</v>
      </c>
      <c r="AJ111" s="99">
        <f t="shared" si="76"/>
        <v>656.2423978</v>
      </c>
      <c r="AK111" s="99">
        <f t="shared" si="76"/>
        <v>669.3672457</v>
      </c>
      <c r="AL111" s="99">
        <f t="shared" si="76"/>
        <v>682.7545907</v>
      </c>
      <c r="AM111" s="99">
        <f t="shared" si="76"/>
        <v>696.4096825</v>
      </c>
      <c r="AN111" s="99">
        <f t="shared" si="76"/>
        <v>710.3378761</v>
      </c>
      <c r="AO111" s="99">
        <f t="shared" si="76"/>
        <v>724.5446336</v>
      </c>
      <c r="AP111" s="99">
        <f t="shared" si="76"/>
        <v>739.0355263</v>
      </c>
      <c r="AQ111" s="99">
        <f t="shared" si="76"/>
        <v>753.8162368</v>
      </c>
      <c r="AR111" s="99">
        <f t="shared" si="76"/>
        <v>768.8925616</v>
      </c>
      <c r="AS111" s="99">
        <f t="shared" si="76"/>
        <v>784.2704128</v>
      </c>
      <c r="AT111" s="99">
        <f t="shared" si="76"/>
        <v>799.9558211</v>
      </c>
      <c r="AU111" s="99">
        <f t="shared" si="76"/>
        <v>815.9549375</v>
      </c>
      <c r="AV111" s="99">
        <f t="shared" si="76"/>
        <v>832.2740362</v>
      </c>
      <c r="AW111" s="90" t="s">
        <v>1187</v>
      </c>
      <c r="AX111" s="90"/>
      <c r="AY111" s="90"/>
      <c r="AZ111" s="90"/>
      <c r="BA111" s="90"/>
      <c r="BB111" s="90"/>
      <c r="BC111" s="90"/>
      <c r="BD111" s="90"/>
      <c r="BE111" s="90"/>
      <c r="BF111" s="90"/>
      <c r="BG111" s="90"/>
      <c r="BH111" s="90"/>
      <c r="BI111" s="90"/>
      <c r="BJ111" s="90"/>
      <c r="BK111" s="90"/>
      <c r="BL111" s="90"/>
      <c r="BM111" s="90"/>
      <c r="BN111" s="90"/>
      <c r="BO111" s="90"/>
      <c r="BP111" s="90"/>
      <c r="BQ111" s="90"/>
    </row>
    <row r="112" ht="12.75" hidden="1" customHeight="1" outlineLevel="1">
      <c r="A112" s="316"/>
      <c r="B112" s="90"/>
      <c r="C112" s="90" t="s">
        <v>687</v>
      </c>
      <c r="D112" s="90"/>
      <c r="E112" s="90"/>
      <c r="F112" s="90"/>
      <c r="G112" s="90"/>
      <c r="H112" s="523"/>
      <c r="I112" s="178"/>
      <c r="J112" s="99"/>
      <c r="K112" s="152">
        <f>'RSGen 1-7'!I113</f>
        <v>0.75</v>
      </c>
      <c r="L112" s="152">
        <f>'RSGen 1-7'!J113</f>
        <v>0.75</v>
      </c>
      <c r="M112" s="152">
        <f>'RSGen 1-7'!K113</f>
        <v>0.75</v>
      </c>
      <c r="N112" s="152">
        <f>'RSGen 1-7'!L113</f>
        <v>0.75</v>
      </c>
      <c r="O112" s="152">
        <f>'RSGen 1-7'!M113</f>
        <v>0.75</v>
      </c>
      <c r="P112" s="152">
        <f>'RSGen 1-7'!N113</f>
        <v>0.75</v>
      </c>
      <c r="Q112" s="152">
        <f>'RSGen 1-7'!O113</f>
        <v>0.75</v>
      </c>
      <c r="R112" s="152">
        <f>'RSGen 1-7'!P113</f>
        <v>0.75</v>
      </c>
      <c r="S112" s="152">
        <f>'RSGen 1-7'!Q113</f>
        <v>0.75</v>
      </c>
      <c r="T112" s="152">
        <f>'RSGen 1-7'!R113</f>
        <v>0.75</v>
      </c>
      <c r="U112" s="152">
        <f t="shared" ref="U112:AV112" si="77">T112</f>
        <v>0.75</v>
      </c>
      <c r="V112" s="152">
        <f t="shared" si="77"/>
        <v>0.75</v>
      </c>
      <c r="W112" s="152">
        <f t="shared" si="77"/>
        <v>0.75</v>
      </c>
      <c r="X112" s="152">
        <f t="shared" si="77"/>
        <v>0.75</v>
      </c>
      <c r="Y112" s="152">
        <f t="shared" si="77"/>
        <v>0.75</v>
      </c>
      <c r="Z112" s="152">
        <f t="shared" si="77"/>
        <v>0.75</v>
      </c>
      <c r="AA112" s="152">
        <f t="shared" si="77"/>
        <v>0.75</v>
      </c>
      <c r="AB112" s="152">
        <f t="shared" si="77"/>
        <v>0.75</v>
      </c>
      <c r="AC112" s="152">
        <f t="shared" si="77"/>
        <v>0.75</v>
      </c>
      <c r="AD112" s="152">
        <f t="shared" si="77"/>
        <v>0.75</v>
      </c>
      <c r="AE112" s="152">
        <f t="shared" si="77"/>
        <v>0.75</v>
      </c>
      <c r="AF112" s="152">
        <f t="shared" si="77"/>
        <v>0.75</v>
      </c>
      <c r="AG112" s="152">
        <f t="shared" si="77"/>
        <v>0.75</v>
      </c>
      <c r="AH112" s="152">
        <f t="shared" si="77"/>
        <v>0.75</v>
      </c>
      <c r="AI112" s="152">
        <f t="shared" si="77"/>
        <v>0.75</v>
      </c>
      <c r="AJ112" s="152">
        <f t="shared" si="77"/>
        <v>0.75</v>
      </c>
      <c r="AK112" s="152">
        <f t="shared" si="77"/>
        <v>0.75</v>
      </c>
      <c r="AL112" s="152">
        <f t="shared" si="77"/>
        <v>0.75</v>
      </c>
      <c r="AM112" s="152">
        <f t="shared" si="77"/>
        <v>0.75</v>
      </c>
      <c r="AN112" s="152">
        <f t="shared" si="77"/>
        <v>0.75</v>
      </c>
      <c r="AO112" s="152">
        <f t="shared" si="77"/>
        <v>0.75</v>
      </c>
      <c r="AP112" s="152">
        <f t="shared" si="77"/>
        <v>0.75</v>
      </c>
      <c r="AQ112" s="152">
        <f t="shared" si="77"/>
        <v>0.75</v>
      </c>
      <c r="AR112" s="152">
        <f t="shared" si="77"/>
        <v>0.75</v>
      </c>
      <c r="AS112" s="152">
        <f t="shared" si="77"/>
        <v>0.75</v>
      </c>
      <c r="AT112" s="152">
        <f t="shared" si="77"/>
        <v>0.75</v>
      </c>
      <c r="AU112" s="152">
        <f t="shared" si="77"/>
        <v>0.75</v>
      </c>
      <c r="AV112" s="152">
        <f t="shared" si="77"/>
        <v>0.75</v>
      </c>
      <c r="AW112" s="90" t="s">
        <v>1187</v>
      </c>
      <c r="AX112" s="90"/>
      <c r="AY112" s="90"/>
      <c r="AZ112" s="90"/>
      <c r="BA112" s="90"/>
      <c r="BB112" s="90"/>
      <c r="BC112" s="90"/>
      <c r="BD112" s="90"/>
      <c r="BE112" s="90"/>
      <c r="BF112" s="90"/>
      <c r="BG112" s="90"/>
      <c r="BH112" s="90"/>
      <c r="BI112" s="90"/>
      <c r="BJ112" s="90"/>
      <c r="BK112" s="90"/>
      <c r="BL112" s="90"/>
      <c r="BM112" s="90"/>
      <c r="BN112" s="90"/>
      <c r="BO112" s="90"/>
      <c r="BP112" s="90"/>
      <c r="BQ112" s="90"/>
    </row>
    <row r="113" ht="12.75" hidden="1" customHeight="1" outlineLevel="1">
      <c r="A113" s="316"/>
      <c r="B113" s="90"/>
      <c r="C113" s="90" t="s">
        <v>688</v>
      </c>
      <c r="D113" s="90"/>
      <c r="E113" s="90"/>
      <c r="F113" s="90"/>
      <c r="G113" s="90"/>
      <c r="H113" s="523"/>
      <c r="I113" s="178"/>
      <c r="J113" s="99"/>
      <c r="K113" s="99"/>
      <c r="L113" s="99"/>
      <c r="M113" s="99"/>
      <c r="N113" s="99"/>
      <c r="O113" s="99"/>
      <c r="P113" s="99"/>
      <c r="Q113" s="99"/>
      <c r="R113" s="99"/>
      <c r="S113" s="99"/>
      <c r="T113" s="99"/>
      <c r="U113" s="99"/>
      <c r="V113" s="99"/>
      <c r="W113" s="99"/>
      <c r="X113" s="99"/>
      <c r="Y113" s="99"/>
      <c r="Z113" s="99"/>
      <c r="AA113" s="99"/>
      <c r="AB113" s="99"/>
      <c r="AC113" s="99"/>
      <c r="AD113" s="99"/>
      <c r="AE113" s="99"/>
      <c r="AF113" s="99"/>
      <c r="AG113" s="99"/>
      <c r="AH113" s="99"/>
      <c r="AI113" s="99"/>
      <c r="AJ113" s="99"/>
      <c r="AK113" s="99"/>
      <c r="AL113" s="99"/>
      <c r="AM113" s="99"/>
      <c r="AN113" s="99"/>
      <c r="AO113" s="99"/>
      <c r="AP113" s="99"/>
      <c r="AQ113" s="99"/>
      <c r="AR113" s="99"/>
      <c r="AS113" s="99"/>
      <c r="AT113" s="99"/>
      <c r="AU113" s="99"/>
      <c r="AV113" s="99"/>
      <c r="AW113" s="90"/>
      <c r="AX113" s="90"/>
      <c r="AY113" s="90"/>
      <c r="AZ113" s="90"/>
      <c r="BA113" s="90"/>
      <c r="BB113" s="90"/>
      <c r="BC113" s="90"/>
      <c r="BD113" s="90"/>
      <c r="BE113" s="90"/>
      <c r="BF113" s="90"/>
      <c r="BG113" s="90"/>
      <c r="BH113" s="90"/>
      <c r="BI113" s="90"/>
      <c r="BJ113" s="90"/>
      <c r="BK113" s="90"/>
      <c r="BL113" s="90"/>
      <c r="BM113" s="90"/>
      <c r="BN113" s="90"/>
      <c r="BO113" s="90"/>
      <c r="BP113" s="90"/>
      <c r="BQ113" s="90"/>
    </row>
    <row r="114" ht="12.75" hidden="1" customHeight="1" outlineLevel="1">
      <c r="A114" s="316"/>
      <c r="B114" s="90"/>
      <c r="C114" s="90" t="s">
        <v>689</v>
      </c>
      <c r="D114" s="90"/>
      <c r="E114" s="90"/>
      <c r="F114" s="90"/>
      <c r="G114" s="90"/>
      <c r="H114" s="523"/>
      <c r="I114" s="178"/>
      <c r="J114" s="99"/>
      <c r="K114" s="99">
        <v>0.0</v>
      </c>
      <c r="L114" s="99">
        <f>'RSGen 1-7'!I115</f>
        <v>0</v>
      </c>
      <c r="M114" s="99">
        <f>'RSGen 1-7'!J115</f>
        <v>0</v>
      </c>
      <c r="N114" s="99">
        <f>'RSGen 1-7'!K115</f>
        <v>26.73303835</v>
      </c>
      <c r="O114" s="99">
        <f t="shared" ref="O114:AV114" si="78">N114*(1+O110)</f>
        <v>27.26769912</v>
      </c>
      <c r="P114" s="99">
        <f t="shared" si="78"/>
        <v>27.8130531</v>
      </c>
      <c r="Q114" s="99">
        <f t="shared" si="78"/>
        <v>28.36931416</v>
      </c>
      <c r="R114" s="99">
        <f t="shared" si="78"/>
        <v>28.93670044</v>
      </c>
      <c r="S114" s="99">
        <f t="shared" si="78"/>
        <v>29.51543445</v>
      </c>
      <c r="T114" s="99">
        <f t="shared" si="78"/>
        <v>30.10574314</v>
      </c>
      <c r="U114" s="99">
        <f t="shared" si="78"/>
        <v>30.707858</v>
      </c>
      <c r="V114" s="99">
        <f t="shared" si="78"/>
        <v>31.32201516</v>
      </c>
      <c r="W114" s="99">
        <f t="shared" si="78"/>
        <v>31.94845547</v>
      </c>
      <c r="X114" s="99">
        <f t="shared" si="78"/>
        <v>32.58742458</v>
      </c>
      <c r="Y114" s="99">
        <f t="shared" si="78"/>
        <v>33.23917307</v>
      </c>
      <c r="Z114" s="99">
        <f t="shared" si="78"/>
        <v>33.90395653</v>
      </c>
      <c r="AA114" s="99">
        <f t="shared" si="78"/>
        <v>34.58203566</v>
      </c>
      <c r="AB114" s="99">
        <f t="shared" si="78"/>
        <v>35.27367637</v>
      </c>
      <c r="AC114" s="99">
        <f t="shared" si="78"/>
        <v>35.9791499</v>
      </c>
      <c r="AD114" s="99">
        <f t="shared" si="78"/>
        <v>36.6987329</v>
      </c>
      <c r="AE114" s="99">
        <f t="shared" si="78"/>
        <v>37.43270756</v>
      </c>
      <c r="AF114" s="99">
        <f t="shared" si="78"/>
        <v>38.18136171</v>
      </c>
      <c r="AG114" s="99">
        <f t="shared" si="78"/>
        <v>38.94498894</v>
      </c>
      <c r="AH114" s="99">
        <f t="shared" si="78"/>
        <v>39.72388872</v>
      </c>
      <c r="AI114" s="99">
        <f t="shared" si="78"/>
        <v>40.51836649</v>
      </c>
      <c r="AJ114" s="99">
        <f t="shared" si="78"/>
        <v>41.32873382</v>
      </c>
      <c r="AK114" s="99">
        <f t="shared" si="78"/>
        <v>42.1553085</v>
      </c>
      <c r="AL114" s="99">
        <f t="shared" si="78"/>
        <v>42.99841467</v>
      </c>
      <c r="AM114" s="99">
        <f t="shared" si="78"/>
        <v>43.85838296</v>
      </c>
      <c r="AN114" s="99">
        <f t="shared" si="78"/>
        <v>44.73555062</v>
      </c>
      <c r="AO114" s="99">
        <f t="shared" si="78"/>
        <v>45.63026164</v>
      </c>
      <c r="AP114" s="99">
        <f t="shared" si="78"/>
        <v>46.54286687</v>
      </c>
      <c r="AQ114" s="99">
        <f t="shared" si="78"/>
        <v>47.47372421</v>
      </c>
      <c r="AR114" s="99">
        <f t="shared" si="78"/>
        <v>48.42319869</v>
      </c>
      <c r="AS114" s="99">
        <f t="shared" si="78"/>
        <v>49.39166266</v>
      </c>
      <c r="AT114" s="99">
        <f t="shared" si="78"/>
        <v>50.37949592</v>
      </c>
      <c r="AU114" s="99">
        <f t="shared" si="78"/>
        <v>51.38708584</v>
      </c>
      <c r="AV114" s="99">
        <f t="shared" si="78"/>
        <v>52.41482755</v>
      </c>
      <c r="AW114" s="90" t="s">
        <v>1181</v>
      </c>
      <c r="AX114" s="90"/>
      <c r="AY114" s="90"/>
      <c r="AZ114" s="90"/>
      <c r="BA114" s="90"/>
      <c r="BB114" s="90"/>
      <c r="BC114" s="90"/>
      <c r="BD114" s="90"/>
      <c r="BE114" s="90"/>
      <c r="BF114" s="90"/>
      <c r="BG114" s="90"/>
      <c r="BH114" s="90"/>
      <c r="BI114" s="90"/>
      <c r="BJ114" s="90"/>
      <c r="BK114" s="90"/>
      <c r="BL114" s="90"/>
      <c r="BM114" s="90"/>
      <c r="BN114" s="90"/>
      <c r="BO114" s="90"/>
      <c r="BP114" s="90"/>
      <c r="BQ114" s="90"/>
    </row>
    <row r="115" ht="12.75" hidden="1" customHeight="1" outlineLevel="1">
      <c r="A115" s="316"/>
      <c r="B115" s="90"/>
      <c r="C115" s="90" t="s">
        <v>690</v>
      </c>
      <c r="D115" s="90"/>
      <c r="E115" s="90"/>
      <c r="F115" s="90"/>
      <c r="G115" s="90"/>
      <c r="H115" s="523"/>
      <c r="I115" s="178"/>
      <c r="J115" s="99"/>
      <c r="K115" s="99">
        <f>'RS1'!K115</f>
        <v>0</v>
      </c>
      <c r="L115" s="99">
        <f t="shared" ref="L115:AV115" si="79">K115*(1+L$110)</f>
        <v>0</v>
      </c>
      <c r="M115" s="99">
        <f t="shared" si="79"/>
        <v>0</v>
      </c>
      <c r="N115" s="99">
        <f t="shared" si="79"/>
        <v>0</v>
      </c>
      <c r="O115" s="99">
        <f t="shared" si="79"/>
        <v>0</v>
      </c>
      <c r="P115" s="99">
        <f t="shared" si="79"/>
        <v>0</v>
      </c>
      <c r="Q115" s="99">
        <f t="shared" si="79"/>
        <v>0</v>
      </c>
      <c r="R115" s="99">
        <f t="shared" si="79"/>
        <v>0</v>
      </c>
      <c r="S115" s="99">
        <f t="shared" si="79"/>
        <v>0</v>
      </c>
      <c r="T115" s="99">
        <f t="shared" si="79"/>
        <v>0</v>
      </c>
      <c r="U115" s="99">
        <f t="shared" si="79"/>
        <v>0</v>
      </c>
      <c r="V115" s="99">
        <f t="shared" si="79"/>
        <v>0</v>
      </c>
      <c r="W115" s="99">
        <f t="shared" si="79"/>
        <v>0</v>
      </c>
      <c r="X115" s="99">
        <f t="shared" si="79"/>
        <v>0</v>
      </c>
      <c r="Y115" s="99">
        <f t="shared" si="79"/>
        <v>0</v>
      </c>
      <c r="Z115" s="99">
        <f t="shared" si="79"/>
        <v>0</v>
      </c>
      <c r="AA115" s="99">
        <f t="shared" si="79"/>
        <v>0</v>
      </c>
      <c r="AB115" s="99">
        <f t="shared" si="79"/>
        <v>0</v>
      </c>
      <c r="AC115" s="99">
        <f t="shared" si="79"/>
        <v>0</v>
      </c>
      <c r="AD115" s="99">
        <f t="shared" si="79"/>
        <v>0</v>
      </c>
      <c r="AE115" s="99">
        <f t="shared" si="79"/>
        <v>0</v>
      </c>
      <c r="AF115" s="99">
        <f t="shared" si="79"/>
        <v>0</v>
      </c>
      <c r="AG115" s="99">
        <f t="shared" si="79"/>
        <v>0</v>
      </c>
      <c r="AH115" s="99">
        <f t="shared" si="79"/>
        <v>0</v>
      </c>
      <c r="AI115" s="99">
        <f t="shared" si="79"/>
        <v>0</v>
      </c>
      <c r="AJ115" s="99">
        <f t="shared" si="79"/>
        <v>0</v>
      </c>
      <c r="AK115" s="99">
        <f t="shared" si="79"/>
        <v>0</v>
      </c>
      <c r="AL115" s="99">
        <f t="shared" si="79"/>
        <v>0</v>
      </c>
      <c r="AM115" s="99">
        <f t="shared" si="79"/>
        <v>0</v>
      </c>
      <c r="AN115" s="99">
        <f t="shared" si="79"/>
        <v>0</v>
      </c>
      <c r="AO115" s="99">
        <f t="shared" si="79"/>
        <v>0</v>
      </c>
      <c r="AP115" s="99">
        <f t="shared" si="79"/>
        <v>0</v>
      </c>
      <c r="AQ115" s="99">
        <f t="shared" si="79"/>
        <v>0</v>
      </c>
      <c r="AR115" s="99">
        <f t="shared" si="79"/>
        <v>0</v>
      </c>
      <c r="AS115" s="99">
        <f t="shared" si="79"/>
        <v>0</v>
      </c>
      <c r="AT115" s="99">
        <f t="shared" si="79"/>
        <v>0</v>
      </c>
      <c r="AU115" s="99">
        <f t="shared" si="79"/>
        <v>0</v>
      </c>
      <c r="AV115" s="99">
        <f t="shared" si="79"/>
        <v>0</v>
      </c>
      <c r="AW115" s="90" t="s">
        <v>1181</v>
      </c>
      <c r="AX115" s="90"/>
      <c r="AY115" s="90"/>
      <c r="AZ115" s="90"/>
      <c r="BA115" s="90"/>
      <c r="BB115" s="90"/>
      <c r="BC115" s="90"/>
      <c r="BD115" s="90"/>
      <c r="BE115" s="90"/>
      <c r="BF115" s="90"/>
      <c r="BG115" s="90"/>
      <c r="BH115" s="90"/>
      <c r="BI115" s="90"/>
      <c r="BJ115" s="90"/>
      <c r="BK115" s="90"/>
      <c r="BL115" s="90"/>
      <c r="BM115" s="90"/>
      <c r="BN115" s="90"/>
      <c r="BO115" s="90"/>
      <c r="BP115" s="90"/>
      <c r="BQ115" s="90"/>
    </row>
    <row r="116" ht="12.75" hidden="1" customHeight="1" outlineLevel="1">
      <c r="A116" s="316"/>
      <c r="B116" s="90"/>
      <c r="C116" s="90" t="s">
        <v>691</v>
      </c>
      <c r="D116" s="90"/>
      <c r="E116" s="90"/>
      <c r="F116" s="90"/>
      <c r="G116" s="90"/>
      <c r="H116" s="523"/>
      <c r="I116" s="178"/>
      <c r="J116" s="99"/>
      <c r="K116" s="99">
        <f>'RS1'!K116</f>
        <v>0</v>
      </c>
      <c r="L116" s="99">
        <f t="shared" ref="L116:AV116" si="80">K116*(1+L$110)</f>
        <v>0</v>
      </c>
      <c r="M116" s="99">
        <f t="shared" si="80"/>
        <v>0</v>
      </c>
      <c r="N116" s="99">
        <f t="shared" si="80"/>
        <v>0</v>
      </c>
      <c r="O116" s="99">
        <f t="shared" si="80"/>
        <v>0</v>
      </c>
      <c r="P116" s="99">
        <f t="shared" si="80"/>
        <v>0</v>
      </c>
      <c r="Q116" s="99">
        <f t="shared" si="80"/>
        <v>0</v>
      </c>
      <c r="R116" s="99">
        <f t="shared" si="80"/>
        <v>0</v>
      </c>
      <c r="S116" s="99">
        <f t="shared" si="80"/>
        <v>0</v>
      </c>
      <c r="T116" s="99">
        <f t="shared" si="80"/>
        <v>0</v>
      </c>
      <c r="U116" s="99">
        <f t="shared" si="80"/>
        <v>0</v>
      </c>
      <c r="V116" s="99">
        <f t="shared" si="80"/>
        <v>0</v>
      </c>
      <c r="W116" s="99">
        <f t="shared" si="80"/>
        <v>0</v>
      </c>
      <c r="X116" s="99">
        <f t="shared" si="80"/>
        <v>0</v>
      </c>
      <c r="Y116" s="99">
        <f t="shared" si="80"/>
        <v>0</v>
      </c>
      <c r="Z116" s="99">
        <f t="shared" si="80"/>
        <v>0</v>
      </c>
      <c r="AA116" s="99">
        <f t="shared" si="80"/>
        <v>0</v>
      </c>
      <c r="AB116" s="99">
        <f t="shared" si="80"/>
        <v>0</v>
      </c>
      <c r="AC116" s="99">
        <f t="shared" si="80"/>
        <v>0</v>
      </c>
      <c r="AD116" s="99">
        <f t="shared" si="80"/>
        <v>0</v>
      </c>
      <c r="AE116" s="99">
        <f t="shared" si="80"/>
        <v>0</v>
      </c>
      <c r="AF116" s="99">
        <f t="shared" si="80"/>
        <v>0</v>
      </c>
      <c r="AG116" s="99">
        <f t="shared" si="80"/>
        <v>0</v>
      </c>
      <c r="AH116" s="99">
        <f t="shared" si="80"/>
        <v>0</v>
      </c>
      <c r="AI116" s="99">
        <f t="shared" si="80"/>
        <v>0</v>
      </c>
      <c r="AJ116" s="99">
        <f t="shared" si="80"/>
        <v>0</v>
      </c>
      <c r="AK116" s="99">
        <f t="shared" si="80"/>
        <v>0</v>
      </c>
      <c r="AL116" s="99">
        <f t="shared" si="80"/>
        <v>0</v>
      </c>
      <c r="AM116" s="99">
        <f t="shared" si="80"/>
        <v>0</v>
      </c>
      <c r="AN116" s="99">
        <f t="shared" si="80"/>
        <v>0</v>
      </c>
      <c r="AO116" s="99">
        <f t="shared" si="80"/>
        <v>0</v>
      </c>
      <c r="AP116" s="99">
        <f t="shared" si="80"/>
        <v>0</v>
      </c>
      <c r="AQ116" s="99">
        <f t="shared" si="80"/>
        <v>0</v>
      </c>
      <c r="AR116" s="99">
        <f t="shared" si="80"/>
        <v>0</v>
      </c>
      <c r="AS116" s="99">
        <f t="shared" si="80"/>
        <v>0</v>
      </c>
      <c r="AT116" s="99">
        <f t="shared" si="80"/>
        <v>0</v>
      </c>
      <c r="AU116" s="99">
        <f t="shared" si="80"/>
        <v>0</v>
      </c>
      <c r="AV116" s="99">
        <f t="shared" si="80"/>
        <v>0</v>
      </c>
      <c r="AW116" s="90" t="s">
        <v>1181</v>
      </c>
      <c r="AX116" s="90"/>
      <c r="AY116" s="90"/>
      <c r="AZ116" s="90"/>
      <c r="BA116" s="90"/>
      <c r="BB116" s="90"/>
      <c r="BC116" s="90"/>
      <c r="BD116" s="90"/>
      <c r="BE116" s="90"/>
      <c r="BF116" s="90"/>
      <c r="BG116" s="90"/>
      <c r="BH116" s="90"/>
      <c r="BI116" s="90"/>
      <c r="BJ116" s="90"/>
      <c r="BK116" s="90"/>
      <c r="BL116" s="90"/>
      <c r="BM116" s="90"/>
      <c r="BN116" s="90"/>
      <c r="BO116" s="90"/>
      <c r="BP116" s="90"/>
      <c r="BQ116" s="90"/>
    </row>
    <row r="117" ht="12.75" hidden="1" customHeight="1" outlineLevel="1">
      <c r="A117" s="316"/>
      <c r="B117" s="90"/>
      <c r="C117" s="90"/>
      <c r="D117" s="90"/>
      <c r="E117" s="90"/>
      <c r="F117" s="90"/>
      <c r="G117" s="90"/>
      <c r="H117" s="523"/>
      <c r="I117" s="178"/>
      <c r="J117" s="99"/>
      <c r="K117" s="99"/>
      <c r="L117" s="90"/>
      <c r="M117" s="90"/>
      <c r="N117" s="90"/>
      <c r="O117" s="90"/>
      <c r="P117" s="90"/>
      <c r="Q117" s="90"/>
      <c r="R117" s="90"/>
      <c r="S117" s="90"/>
      <c r="T117" s="90"/>
      <c r="U117" s="90"/>
      <c r="V117" s="90"/>
      <c r="W117" s="90"/>
      <c r="X117" s="90"/>
      <c r="Y117" s="90"/>
      <c r="Z117" s="90"/>
      <c r="AA117" s="90"/>
      <c r="AB117" s="90"/>
      <c r="AC117" s="90"/>
      <c r="AD117" s="90"/>
      <c r="AE117" s="90"/>
      <c r="AF117" s="90"/>
      <c r="AG117" s="90"/>
      <c r="AH117" s="90"/>
      <c r="AI117" s="90"/>
      <c r="AJ117" s="90"/>
      <c r="AK117" s="90"/>
      <c r="AL117" s="90"/>
      <c r="AM117" s="90"/>
      <c r="AN117" s="90"/>
      <c r="AO117" s="90"/>
      <c r="AP117" s="90"/>
      <c r="AQ117" s="90"/>
      <c r="AR117" s="90"/>
      <c r="AS117" s="90"/>
      <c r="AT117" s="90"/>
      <c r="AU117" s="90"/>
      <c r="AV117" s="90"/>
      <c r="AW117" s="90"/>
      <c r="AX117" s="90"/>
      <c r="AY117" s="90"/>
      <c r="AZ117" s="90"/>
      <c r="BA117" s="90"/>
      <c r="BB117" s="90"/>
      <c r="BC117" s="90"/>
      <c r="BD117" s="90"/>
      <c r="BE117" s="90"/>
      <c r="BF117" s="90"/>
      <c r="BG117" s="90"/>
      <c r="BH117" s="90"/>
      <c r="BI117" s="90"/>
      <c r="BJ117" s="90"/>
      <c r="BK117" s="90"/>
      <c r="BL117" s="90"/>
      <c r="BM117" s="90"/>
      <c r="BN117" s="90"/>
      <c r="BO117" s="90"/>
      <c r="BP117" s="90"/>
      <c r="BQ117" s="90"/>
    </row>
    <row r="118" ht="12.75" hidden="1" customHeight="1" outlineLevel="1">
      <c r="A118" s="316"/>
      <c r="B118" s="67" t="s">
        <v>692</v>
      </c>
      <c r="C118" s="90"/>
      <c r="D118" s="90"/>
      <c r="E118" s="90"/>
      <c r="F118" s="90"/>
      <c r="G118" s="90"/>
      <c r="H118" s="523"/>
      <c r="I118" s="178"/>
      <c r="J118" s="99"/>
      <c r="K118" s="99"/>
      <c r="L118" s="90"/>
      <c r="M118" s="90"/>
      <c r="N118" s="90"/>
      <c r="O118" s="90"/>
      <c r="P118" s="90"/>
      <c r="Q118" s="90"/>
      <c r="R118" s="90"/>
      <c r="S118" s="90"/>
      <c r="T118" s="90"/>
      <c r="U118" s="90"/>
      <c r="V118" s="90"/>
      <c r="W118" s="90"/>
      <c r="X118" s="90"/>
      <c r="Y118" s="90"/>
      <c r="Z118" s="90"/>
      <c r="AA118" s="90"/>
      <c r="AB118" s="90"/>
      <c r="AC118" s="90"/>
      <c r="AD118" s="90"/>
      <c r="AE118" s="90"/>
      <c r="AF118" s="90"/>
      <c r="AG118" s="90"/>
      <c r="AH118" s="90"/>
      <c r="AI118" s="90"/>
      <c r="AJ118" s="90"/>
      <c r="AK118" s="90"/>
      <c r="AL118" s="90"/>
      <c r="AM118" s="90"/>
      <c r="AN118" s="90"/>
      <c r="AO118" s="90"/>
      <c r="AP118" s="90"/>
      <c r="AQ118" s="90"/>
      <c r="AR118" s="90"/>
      <c r="AS118" s="90"/>
      <c r="AT118" s="90"/>
      <c r="AU118" s="90"/>
      <c r="AV118" s="90"/>
      <c r="AW118" s="67"/>
      <c r="AX118" s="90"/>
      <c r="AY118" s="90"/>
      <c r="AZ118" s="90"/>
      <c r="BA118" s="90"/>
      <c r="BB118" s="90"/>
      <c r="BC118" s="90"/>
      <c r="BD118" s="90"/>
      <c r="BE118" s="90"/>
      <c r="BF118" s="90"/>
      <c r="BG118" s="90"/>
      <c r="BH118" s="90"/>
      <c r="BI118" s="90"/>
      <c r="BJ118" s="90"/>
      <c r="BK118" s="90"/>
      <c r="BL118" s="90"/>
      <c r="BM118" s="90"/>
      <c r="BN118" s="90"/>
      <c r="BO118" s="90"/>
      <c r="BP118" s="90"/>
      <c r="BQ118" s="90"/>
    </row>
    <row r="119" ht="12.75" hidden="1" customHeight="1" outlineLevel="1">
      <c r="A119" s="316"/>
      <c r="B119" s="90"/>
      <c r="C119" s="90" t="s">
        <v>695</v>
      </c>
      <c r="D119" s="90"/>
      <c r="E119" s="90"/>
      <c r="F119" s="90"/>
      <c r="G119" s="254"/>
      <c r="H119" s="523"/>
      <c r="I119" s="178"/>
      <c r="J119" s="99"/>
      <c r="K119" s="99"/>
      <c r="L119" s="99">
        <f>'RSGen 1-7'!I122</f>
        <v>70</v>
      </c>
      <c r="M119" s="99">
        <f>'RSGen 1-7'!J122</f>
        <v>70</v>
      </c>
      <c r="N119" s="99">
        <f>'RSGen 1-7'!K122</f>
        <v>70</v>
      </c>
      <c r="O119" s="99">
        <f>'RSGen 1-7'!L122</f>
        <v>70</v>
      </c>
      <c r="P119" s="99">
        <f>'RSGen 1-7'!M122</f>
        <v>70</v>
      </c>
      <c r="Q119" s="99">
        <f>'RSGen 1-7'!N122</f>
        <v>70</v>
      </c>
      <c r="R119" s="99">
        <f>'RSGen 1-7'!O122</f>
        <v>70</v>
      </c>
      <c r="S119" s="99">
        <f>'RSGen 1-7'!P122</f>
        <v>70</v>
      </c>
      <c r="T119" s="99">
        <f>'RSGen 1-7'!Q122</f>
        <v>70</v>
      </c>
      <c r="U119" s="99">
        <f>'RSGen 1-7'!R122</f>
        <v>70</v>
      </c>
      <c r="V119" s="99">
        <f t="shared" ref="V119:AV119" si="81">U119</f>
        <v>70</v>
      </c>
      <c r="W119" s="99">
        <f t="shared" si="81"/>
        <v>70</v>
      </c>
      <c r="X119" s="99">
        <f t="shared" si="81"/>
        <v>70</v>
      </c>
      <c r="Y119" s="99">
        <f t="shared" si="81"/>
        <v>70</v>
      </c>
      <c r="Z119" s="99">
        <f t="shared" si="81"/>
        <v>70</v>
      </c>
      <c r="AA119" s="99">
        <f t="shared" si="81"/>
        <v>70</v>
      </c>
      <c r="AB119" s="99">
        <f t="shared" si="81"/>
        <v>70</v>
      </c>
      <c r="AC119" s="99">
        <f t="shared" si="81"/>
        <v>70</v>
      </c>
      <c r="AD119" s="99">
        <f t="shared" si="81"/>
        <v>70</v>
      </c>
      <c r="AE119" s="99">
        <f t="shared" si="81"/>
        <v>70</v>
      </c>
      <c r="AF119" s="99">
        <f t="shared" si="81"/>
        <v>70</v>
      </c>
      <c r="AG119" s="99">
        <f t="shared" si="81"/>
        <v>70</v>
      </c>
      <c r="AH119" s="99">
        <f t="shared" si="81"/>
        <v>70</v>
      </c>
      <c r="AI119" s="99">
        <f t="shared" si="81"/>
        <v>70</v>
      </c>
      <c r="AJ119" s="99">
        <f t="shared" si="81"/>
        <v>70</v>
      </c>
      <c r="AK119" s="99">
        <f t="shared" si="81"/>
        <v>70</v>
      </c>
      <c r="AL119" s="99">
        <f t="shared" si="81"/>
        <v>70</v>
      </c>
      <c r="AM119" s="99">
        <f t="shared" si="81"/>
        <v>70</v>
      </c>
      <c r="AN119" s="99">
        <f t="shared" si="81"/>
        <v>70</v>
      </c>
      <c r="AO119" s="99">
        <f t="shared" si="81"/>
        <v>70</v>
      </c>
      <c r="AP119" s="99">
        <f t="shared" si="81"/>
        <v>70</v>
      </c>
      <c r="AQ119" s="99">
        <f t="shared" si="81"/>
        <v>70</v>
      </c>
      <c r="AR119" s="99">
        <f t="shared" si="81"/>
        <v>70</v>
      </c>
      <c r="AS119" s="99">
        <f t="shared" si="81"/>
        <v>70</v>
      </c>
      <c r="AT119" s="99">
        <f t="shared" si="81"/>
        <v>70</v>
      </c>
      <c r="AU119" s="99">
        <f t="shared" si="81"/>
        <v>70</v>
      </c>
      <c r="AV119" s="99">
        <f t="shared" si="81"/>
        <v>70</v>
      </c>
      <c r="AW119" s="90"/>
      <c r="AX119" s="90"/>
      <c r="AY119" s="90"/>
      <c r="AZ119" s="90"/>
      <c r="BA119" s="90"/>
      <c r="BB119" s="90"/>
      <c r="BC119" s="90"/>
      <c r="BD119" s="90"/>
      <c r="BE119" s="90"/>
      <c r="BF119" s="90"/>
      <c r="BG119" s="90"/>
      <c r="BH119" s="90"/>
      <c r="BI119" s="90"/>
      <c r="BJ119" s="90"/>
      <c r="BK119" s="90"/>
      <c r="BL119" s="90"/>
      <c r="BM119" s="90"/>
      <c r="BN119" s="90"/>
      <c r="BO119" s="90"/>
      <c r="BP119" s="90"/>
      <c r="BQ119" s="90"/>
    </row>
    <row r="120" ht="12.75" hidden="1" customHeight="1" outlineLevel="1">
      <c r="A120" s="316"/>
      <c r="B120" s="90"/>
      <c r="C120" s="90" t="s">
        <v>694</v>
      </c>
      <c r="D120" s="90"/>
      <c r="E120" s="90"/>
      <c r="F120" s="90"/>
      <c r="G120" s="254"/>
      <c r="H120" s="523"/>
      <c r="I120" s="178"/>
      <c r="J120" s="99"/>
      <c r="K120" s="99">
        <v>0.0</v>
      </c>
      <c r="L120" s="99">
        <v>0.0</v>
      </c>
      <c r="M120" s="99">
        <f t="shared" ref="M120:AV120" si="82">L120</f>
        <v>0</v>
      </c>
      <c r="N120" s="99">
        <f t="shared" si="82"/>
        <v>0</v>
      </c>
      <c r="O120" s="99">
        <f t="shared" si="82"/>
        <v>0</v>
      </c>
      <c r="P120" s="99">
        <f t="shared" si="82"/>
        <v>0</v>
      </c>
      <c r="Q120" s="99">
        <f t="shared" si="82"/>
        <v>0</v>
      </c>
      <c r="R120" s="99">
        <f t="shared" si="82"/>
        <v>0</v>
      </c>
      <c r="S120" s="99">
        <f t="shared" si="82"/>
        <v>0</v>
      </c>
      <c r="T120" s="99">
        <f t="shared" si="82"/>
        <v>0</v>
      </c>
      <c r="U120" s="99">
        <f t="shared" si="82"/>
        <v>0</v>
      </c>
      <c r="V120" s="99">
        <f t="shared" si="82"/>
        <v>0</v>
      </c>
      <c r="W120" s="99">
        <f t="shared" si="82"/>
        <v>0</v>
      </c>
      <c r="X120" s="99">
        <f t="shared" si="82"/>
        <v>0</v>
      </c>
      <c r="Y120" s="99">
        <f t="shared" si="82"/>
        <v>0</v>
      </c>
      <c r="Z120" s="99">
        <f t="shared" si="82"/>
        <v>0</v>
      </c>
      <c r="AA120" s="99">
        <f t="shared" si="82"/>
        <v>0</v>
      </c>
      <c r="AB120" s="99">
        <f t="shared" si="82"/>
        <v>0</v>
      </c>
      <c r="AC120" s="99">
        <f t="shared" si="82"/>
        <v>0</v>
      </c>
      <c r="AD120" s="99">
        <f t="shared" si="82"/>
        <v>0</v>
      </c>
      <c r="AE120" s="99">
        <f t="shared" si="82"/>
        <v>0</v>
      </c>
      <c r="AF120" s="99">
        <f t="shared" si="82"/>
        <v>0</v>
      </c>
      <c r="AG120" s="99">
        <f t="shared" si="82"/>
        <v>0</v>
      </c>
      <c r="AH120" s="99">
        <f t="shared" si="82"/>
        <v>0</v>
      </c>
      <c r="AI120" s="99">
        <f t="shared" si="82"/>
        <v>0</v>
      </c>
      <c r="AJ120" s="99">
        <f t="shared" si="82"/>
        <v>0</v>
      </c>
      <c r="AK120" s="99">
        <f t="shared" si="82"/>
        <v>0</v>
      </c>
      <c r="AL120" s="99">
        <f t="shared" si="82"/>
        <v>0</v>
      </c>
      <c r="AM120" s="99">
        <f t="shared" si="82"/>
        <v>0</v>
      </c>
      <c r="AN120" s="99">
        <f t="shared" si="82"/>
        <v>0</v>
      </c>
      <c r="AO120" s="99">
        <f t="shared" si="82"/>
        <v>0</v>
      </c>
      <c r="AP120" s="99">
        <f t="shared" si="82"/>
        <v>0</v>
      </c>
      <c r="AQ120" s="99">
        <f t="shared" si="82"/>
        <v>0</v>
      </c>
      <c r="AR120" s="99">
        <f t="shared" si="82"/>
        <v>0</v>
      </c>
      <c r="AS120" s="99">
        <f t="shared" si="82"/>
        <v>0</v>
      </c>
      <c r="AT120" s="99">
        <f t="shared" si="82"/>
        <v>0</v>
      </c>
      <c r="AU120" s="99">
        <f t="shared" si="82"/>
        <v>0</v>
      </c>
      <c r="AV120" s="99">
        <f t="shared" si="82"/>
        <v>0</v>
      </c>
      <c r="AW120" s="90"/>
      <c r="AX120" s="90"/>
      <c r="AY120" s="90"/>
      <c r="AZ120" s="90"/>
      <c r="BA120" s="90"/>
      <c r="BB120" s="90"/>
      <c r="BC120" s="90"/>
      <c r="BD120" s="90"/>
      <c r="BE120" s="90"/>
      <c r="BF120" s="90"/>
      <c r="BG120" s="90"/>
      <c r="BH120" s="90"/>
      <c r="BI120" s="90"/>
      <c r="BJ120" s="90"/>
      <c r="BK120" s="90"/>
      <c r="BL120" s="90"/>
      <c r="BM120" s="90"/>
      <c r="BN120" s="90"/>
      <c r="BO120" s="90"/>
      <c r="BP120" s="90"/>
      <c r="BQ120" s="90"/>
    </row>
    <row r="121" ht="12.75" hidden="1" customHeight="1" outlineLevel="1">
      <c r="A121" s="316"/>
      <c r="B121" s="90"/>
      <c r="C121" s="90" t="s">
        <v>1250</v>
      </c>
      <c r="D121" s="90"/>
      <c r="E121" s="90"/>
      <c r="F121" s="90"/>
      <c r="G121" s="254"/>
      <c r="H121" s="523"/>
      <c r="I121" s="99"/>
      <c r="J121" s="99"/>
      <c r="K121" s="99">
        <v>0.0</v>
      </c>
      <c r="L121" s="99">
        <f>'RSGen 1-7'!I120</f>
        <v>10000</v>
      </c>
      <c r="M121" s="99">
        <f>'RSGen 1-7'!J120</f>
        <v>10000</v>
      </c>
      <c r="N121" s="99">
        <f>'RSGen 1-7'!K120</f>
        <v>5000</v>
      </c>
      <c r="O121" s="99">
        <f>'RSGen 1-7'!L120</f>
        <v>5000</v>
      </c>
      <c r="P121" s="99">
        <f>'RSGen 1-7'!M120</f>
        <v>5000</v>
      </c>
      <c r="Q121" s="99">
        <f>'RSGen 1-7'!N120</f>
        <v>5000</v>
      </c>
      <c r="R121" s="99">
        <f>'RSGen 1-7'!O120</f>
        <v>5000</v>
      </c>
      <c r="S121" s="99">
        <f>'RSGen 1-7'!P120</f>
        <v>5000</v>
      </c>
      <c r="T121" s="99">
        <f t="shared" ref="T121:AV121" si="83">S121</f>
        <v>5000</v>
      </c>
      <c r="U121" s="99">
        <f t="shared" si="83"/>
        <v>5000</v>
      </c>
      <c r="V121" s="99">
        <f t="shared" si="83"/>
        <v>5000</v>
      </c>
      <c r="W121" s="99">
        <f t="shared" si="83"/>
        <v>5000</v>
      </c>
      <c r="X121" s="99">
        <f t="shared" si="83"/>
        <v>5000</v>
      </c>
      <c r="Y121" s="99">
        <f t="shared" si="83"/>
        <v>5000</v>
      </c>
      <c r="Z121" s="99">
        <f t="shared" si="83"/>
        <v>5000</v>
      </c>
      <c r="AA121" s="99">
        <f t="shared" si="83"/>
        <v>5000</v>
      </c>
      <c r="AB121" s="99">
        <f t="shared" si="83"/>
        <v>5000</v>
      </c>
      <c r="AC121" s="99">
        <f t="shared" si="83"/>
        <v>5000</v>
      </c>
      <c r="AD121" s="99">
        <f t="shared" si="83"/>
        <v>5000</v>
      </c>
      <c r="AE121" s="99">
        <f t="shared" si="83"/>
        <v>5000</v>
      </c>
      <c r="AF121" s="99">
        <f t="shared" si="83"/>
        <v>5000</v>
      </c>
      <c r="AG121" s="99">
        <f t="shared" si="83"/>
        <v>5000</v>
      </c>
      <c r="AH121" s="99">
        <f t="shared" si="83"/>
        <v>5000</v>
      </c>
      <c r="AI121" s="99">
        <f t="shared" si="83"/>
        <v>5000</v>
      </c>
      <c r="AJ121" s="99">
        <f t="shared" si="83"/>
        <v>5000</v>
      </c>
      <c r="AK121" s="99">
        <f t="shared" si="83"/>
        <v>5000</v>
      </c>
      <c r="AL121" s="99">
        <f t="shared" si="83"/>
        <v>5000</v>
      </c>
      <c r="AM121" s="99">
        <f t="shared" si="83"/>
        <v>5000</v>
      </c>
      <c r="AN121" s="99">
        <f t="shared" si="83"/>
        <v>5000</v>
      </c>
      <c r="AO121" s="99">
        <f t="shared" si="83"/>
        <v>5000</v>
      </c>
      <c r="AP121" s="99">
        <f t="shared" si="83"/>
        <v>5000</v>
      </c>
      <c r="AQ121" s="99">
        <f t="shared" si="83"/>
        <v>5000</v>
      </c>
      <c r="AR121" s="99">
        <f t="shared" si="83"/>
        <v>5000</v>
      </c>
      <c r="AS121" s="99">
        <f t="shared" si="83"/>
        <v>5000</v>
      </c>
      <c r="AT121" s="99">
        <f t="shared" si="83"/>
        <v>5000</v>
      </c>
      <c r="AU121" s="99">
        <f t="shared" si="83"/>
        <v>5000</v>
      </c>
      <c r="AV121" s="99">
        <f t="shared" si="83"/>
        <v>5000</v>
      </c>
      <c r="AW121" s="90"/>
      <c r="AX121" s="90"/>
      <c r="AY121" s="90"/>
      <c r="AZ121" s="90"/>
      <c r="BA121" s="90"/>
      <c r="BB121" s="90"/>
      <c r="BC121" s="90"/>
      <c r="BD121" s="90"/>
      <c r="BE121" s="90"/>
      <c r="BF121" s="90"/>
      <c r="BG121" s="90"/>
      <c r="BH121" s="90"/>
      <c r="BI121" s="90"/>
      <c r="BJ121" s="90"/>
      <c r="BK121" s="90"/>
      <c r="BL121" s="90"/>
      <c r="BM121" s="90"/>
      <c r="BN121" s="90"/>
      <c r="BO121" s="90"/>
      <c r="BP121" s="90"/>
      <c r="BQ121" s="90"/>
    </row>
    <row r="122" ht="12.75" hidden="1" customHeight="1" outlineLevel="1">
      <c r="A122" s="316"/>
      <c r="B122" s="90"/>
      <c r="C122" s="90" t="s">
        <v>696</v>
      </c>
      <c r="D122" s="90"/>
      <c r="E122" s="90"/>
      <c r="F122" s="90"/>
      <c r="G122" s="523"/>
      <c r="H122" s="523"/>
      <c r="I122" s="178"/>
      <c r="J122" s="178"/>
      <c r="K122" s="178">
        <f>'RS1'!K122</f>
        <v>0.041</v>
      </c>
      <c r="L122" s="178">
        <f t="shared" ref="L122:AV122" si="84">K122</f>
        <v>0.041</v>
      </c>
      <c r="M122" s="178">
        <f t="shared" si="84"/>
        <v>0.041</v>
      </c>
      <c r="N122" s="178">
        <f t="shared" si="84"/>
        <v>0.041</v>
      </c>
      <c r="O122" s="178">
        <f t="shared" si="84"/>
        <v>0.041</v>
      </c>
      <c r="P122" s="178">
        <f t="shared" si="84"/>
        <v>0.041</v>
      </c>
      <c r="Q122" s="178">
        <f t="shared" si="84"/>
        <v>0.041</v>
      </c>
      <c r="R122" s="178">
        <f t="shared" si="84"/>
        <v>0.041</v>
      </c>
      <c r="S122" s="178">
        <f t="shared" si="84"/>
        <v>0.041</v>
      </c>
      <c r="T122" s="178">
        <f t="shared" si="84"/>
        <v>0.041</v>
      </c>
      <c r="U122" s="178">
        <f t="shared" si="84"/>
        <v>0.041</v>
      </c>
      <c r="V122" s="178">
        <f t="shared" si="84"/>
        <v>0.041</v>
      </c>
      <c r="W122" s="178">
        <f t="shared" si="84"/>
        <v>0.041</v>
      </c>
      <c r="X122" s="178">
        <f t="shared" si="84"/>
        <v>0.041</v>
      </c>
      <c r="Y122" s="178">
        <f t="shared" si="84"/>
        <v>0.041</v>
      </c>
      <c r="Z122" s="178">
        <f t="shared" si="84"/>
        <v>0.041</v>
      </c>
      <c r="AA122" s="178">
        <f t="shared" si="84"/>
        <v>0.041</v>
      </c>
      <c r="AB122" s="178">
        <f t="shared" si="84"/>
        <v>0.041</v>
      </c>
      <c r="AC122" s="178">
        <f t="shared" si="84"/>
        <v>0.041</v>
      </c>
      <c r="AD122" s="178">
        <f t="shared" si="84"/>
        <v>0.041</v>
      </c>
      <c r="AE122" s="178">
        <f t="shared" si="84"/>
        <v>0.041</v>
      </c>
      <c r="AF122" s="178">
        <f t="shared" si="84"/>
        <v>0.041</v>
      </c>
      <c r="AG122" s="178">
        <f t="shared" si="84"/>
        <v>0.041</v>
      </c>
      <c r="AH122" s="178">
        <f t="shared" si="84"/>
        <v>0.041</v>
      </c>
      <c r="AI122" s="178">
        <f t="shared" si="84"/>
        <v>0.041</v>
      </c>
      <c r="AJ122" s="178">
        <f t="shared" si="84"/>
        <v>0.041</v>
      </c>
      <c r="AK122" s="178">
        <f t="shared" si="84"/>
        <v>0.041</v>
      </c>
      <c r="AL122" s="178">
        <f t="shared" si="84"/>
        <v>0.041</v>
      </c>
      <c r="AM122" s="178">
        <f t="shared" si="84"/>
        <v>0.041</v>
      </c>
      <c r="AN122" s="178">
        <f t="shared" si="84"/>
        <v>0.041</v>
      </c>
      <c r="AO122" s="178">
        <f t="shared" si="84"/>
        <v>0.041</v>
      </c>
      <c r="AP122" s="178">
        <f t="shared" si="84"/>
        <v>0.041</v>
      </c>
      <c r="AQ122" s="178">
        <f t="shared" si="84"/>
        <v>0.041</v>
      </c>
      <c r="AR122" s="178">
        <f t="shared" si="84"/>
        <v>0.041</v>
      </c>
      <c r="AS122" s="178">
        <f t="shared" si="84"/>
        <v>0.041</v>
      </c>
      <c r="AT122" s="178">
        <f t="shared" si="84"/>
        <v>0.041</v>
      </c>
      <c r="AU122" s="178">
        <f t="shared" si="84"/>
        <v>0.041</v>
      </c>
      <c r="AV122" s="178">
        <f t="shared" si="84"/>
        <v>0.041</v>
      </c>
      <c r="AW122" s="90"/>
      <c r="AX122" s="90"/>
      <c r="AY122" s="90"/>
      <c r="AZ122" s="90"/>
      <c r="BA122" s="90"/>
      <c r="BB122" s="90"/>
      <c r="BC122" s="90"/>
      <c r="BD122" s="90"/>
      <c r="BE122" s="90"/>
      <c r="BF122" s="90"/>
      <c r="BG122" s="90"/>
      <c r="BH122" s="90"/>
      <c r="BI122" s="90"/>
      <c r="BJ122" s="90"/>
      <c r="BK122" s="90"/>
      <c r="BL122" s="90"/>
      <c r="BM122" s="90"/>
      <c r="BN122" s="90"/>
      <c r="BO122" s="90"/>
      <c r="BP122" s="90"/>
      <c r="BQ122" s="90"/>
    </row>
    <row r="123" ht="12.75" customHeight="1">
      <c r="A123" s="316"/>
      <c r="B123" s="90"/>
      <c r="C123" s="90"/>
      <c r="D123" s="90"/>
      <c r="E123" s="90"/>
      <c r="F123" s="90"/>
      <c r="G123" s="90"/>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c r="AF123" s="90"/>
      <c r="AG123" s="90"/>
      <c r="AH123" s="90"/>
      <c r="AI123" s="90"/>
      <c r="AJ123" s="90"/>
      <c r="AK123" s="90"/>
      <c r="AL123" s="90"/>
      <c r="AM123" s="90"/>
      <c r="AN123" s="90"/>
      <c r="AO123" s="90"/>
      <c r="AP123" s="90"/>
      <c r="AQ123" s="90"/>
      <c r="AR123" s="90"/>
      <c r="AS123" s="90"/>
      <c r="AT123" s="90"/>
      <c r="AU123" s="90"/>
      <c r="AV123" s="90"/>
      <c r="AW123" s="90"/>
      <c r="AX123" s="90"/>
      <c r="AY123" s="90"/>
      <c r="AZ123" s="90"/>
      <c r="BA123" s="90"/>
      <c r="BB123" s="90"/>
      <c r="BC123" s="90"/>
      <c r="BD123" s="90"/>
      <c r="BE123" s="90"/>
      <c r="BF123" s="90"/>
      <c r="BG123" s="90"/>
      <c r="BH123" s="90"/>
      <c r="BI123" s="90"/>
      <c r="BJ123" s="90"/>
      <c r="BK123" s="90"/>
      <c r="BL123" s="90"/>
      <c r="BM123" s="90"/>
      <c r="BN123" s="90"/>
      <c r="BO123" s="90"/>
      <c r="BP123" s="90"/>
      <c r="BQ123" s="90"/>
    </row>
    <row r="124" ht="12.75" customHeight="1">
      <c r="A124" s="105" t="s">
        <v>697</v>
      </c>
      <c r="B124" s="253"/>
      <c r="C124" s="253"/>
      <c r="D124" s="253"/>
      <c r="E124" s="253"/>
      <c r="F124" s="253"/>
      <c r="G124" s="253"/>
      <c r="H124" s="253"/>
      <c r="I124" s="253"/>
      <c r="J124" s="253"/>
      <c r="K124" s="253"/>
      <c r="L124" s="253"/>
      <c r="M124" s="253"/>
      <c r="N124" s="253"/>
      <c r="O124" s="253"/>
      <c r="P124" s="253"/>
      <c r="Q124" s="253"/>
      <c r="R124" s="253"/>
      <c r="S124" s="253"/>
      <c r="T124" s="253"/>
      <c r="U124" s="253"/>
      <c r="V124" s="253"/>
      <c r="W124" s="253"/>
      <c r="X124" s="253"/>
      <c r="Y124" s="253"/>
      <c r="Z124" s="253"/>
      <c r="AA124" s="253"/>
      <c r="AB124" s="253"/>
      <c r="AC124" s="253"/>
      <c r="AD124" s="253"/>
      <c r="AE124" s="253"/>
      <c r="AF124" s="253"/>
      <c r="AG124" s="253"/>
      <c r="AH124" s="253"/>
      <c r="AI124" s="253"/>
      <c r="AJ124" s="253"/>
      <c r="AK124" s="253"/>
      <c r="AL124" s="253"/>
      <c r="AM124" s="253"/>
      <c r="AN124" s="253"/>
      <c r="AO124" s="253"/>
      <c r="AP124" s="253"/>
      <c r="AQ124" s="253"/>
      <c r="AR124" s="253"/>
      <c r="AS124" s="253"/>
      <c r="AT124" s="253"/>
      <c r="AU124" s="253"/>
      <c r="AV124" s="253"/>
      <c r="AW124" s="253"/>
      <c r="AX124" s="90"/>
      <c r="AY124" s="90"/>
      <c r="AZ124" s="90"/>
      <c r="BA124" s="90"/>
      <c r="BB124" s="90"/>
      <c r="BC124" s="90"/>
      <c r="BD124" s="90"/>
      <c r="BE124" s="90"/>
      <c r="BF124" s="90"/>
      <c r="BG124" s="90"/>
      <c r="BH124" s="90"/>
      <c r="BI124" s="90"/>
      <c r="BJ124" s="90"/>
      <c r="BK124" s="90"/>
      <c r="BL124" s="90"/>
      <c r="BM124" s="90"/>
      <c r="BN124" s="90"/>
      <c r="BO124" s="90"/>
      <c r="BP124" s="90"/>
      <c r="BQ124" s="90"/>
    </row>
    <row r="125" ht="12.75" hidden="1" customHeight="1" outlineLevel="1">
      <c r="A125" s="316"/>
      <c r="B125" s="90"/>
      <c r="C125" s="90"/>
      <c r="D125" s="90"/>
      <c r="E125" s="90"/>
      <c r="F125" s="90"/>
      <c r="G125" s="90"/>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c r="AF125" s="90"/>
      <c r="AG125" s="90"/>
      <c r="AH125" s="90"/>
      <c r="AI125" s="90"/>
      <c r="AJ125" s="90"/>
      <c r="AK125" s="90"/>
      <c r="AL125" s="90"/>
      <c r="AM125" s="90"/>
      <c r="AN125" s="90"/>
      <c r="AO125" s="90"/>
      <c r="AP125" s="90"/>
      <c r="AQ125" s="90"/>
      <c r="AR125" s="90"/>
      <c r="AS125" s="90"/>
      <c r="AT125" s="90"/>
      <c r="AU125" s="90"/>
      <c r="AV125" s="90"/>
      <c r="AW125" s="90"/>
      <c r="AX125" s="90"/>
      <c r="AY125" s="90"/>
      <c r="AZ125" s="90"/>
      <c r="BA125" s="90"/>
      <c r="BB125" s="90"/>
      <c r="BC125" s="90"/>
      <c r="BD125" s="90"/>
      <c r="BE125" s="90"/>
      <c r="BF125" s="90"/>
      <c r="BG125" s="90"/>
      <c r="BH125" s="90"/>
      <c r="BI125" s="90"/>
      <c r="BJ125" s="90"/>
      <c r="BK125" s="90"/>
      <c r="BL125" s="90"/>
      <c r="BM125" s="90"/>
      <c r="BN125" s="90"/>
      <c r="BO125" s="90"/>
      <c r="BP125" s="90"/>
      <c r="BQ125" s="90"/>
    </row>
    <row r="126" ht="12.75" hidden="1" customHeight="1" outlineLevel="1">
      <c r="A126" s="316"/>
      <c r="B126" s="67" t="s">
        <v>698</v>
      </c>
      <c r="C126" s="90"/>
      <c r="D126" s="90"/>
      <c r="E126" s="90"/>
      <c r="F126" s="90"/>
      <c r="G126" s="90"/>
      <c r="H126" s="102"/>
      <c r="I126" s="102"/>
      <c r="J126" s="223"/>
      <c r="K126" s="223"/>
      <c r="L126" s="223"/>
      <c r="M126" s="223"/>
      <c r="N126" s="223"/>
      <c r="O126" s="223"/>
      <c r="P126" s="223"/>
      <c r="Q126" s="223"/>
      <c r="R126" s="223"/>
      <c r="S126" s="223"/>
      <c r="T126" s="223"/>
      <c r="U126" s="223"/>
      <c r="V126" s="223"/>
      <c r="W126" s="223"/>
      <c r="X126" s="223"/>
      <c r="Y126" s="223"/>
      <c r="Z126" s="223"/>
      <c r="AA126" s="223"/>
      <c r="AB126" s="223"/>
      <c r="AC126" s="223"/>
      <c r="AD126" s="223"/>
      <c r="AE126" s="223"/>
      <c r="AF126" s="223"/>
      <c r="AG126" s="223"/>
      <c r="AH126" s="223"/>
      <c r="AI126" s="223"/>
      <c r="AJ126" s="223"/>
      <c r="AK126" s="223"/>
      <c r="AL126" s="223"/>
      <c r="AM126" s="223"/>
      <c r="AN126" s="223"/>
      <c r="AO126" s="223"/>
      <c r="AP126" s="223"/>
      <c r="AQ126" s="223"/>
      <c r="AR126" s="223"/>
      <c r="AS126" s="223"/>
      <c r="AT126" s="223"/>
      <c r="AU126" s="223"/>
      <c r="AV126" s="223"/>
      <c r="AW126" s="90"/>
      <c r="AX126" s="90"/>
      <c r="AY126" s="90"/>
      <c r="AZ126" s="90"/>
      <c r="BA126" s="90"/>
      <c r="BB126" s="90"/>
      <c r="BC126" s="90"/>
      <c r="BD126" s="90"/>
      <c r="BE126" s="90"/>
      <c r="BF126" s="90"/>
      <c r="BG126" s="90"/>
      <c r="BH126" s="90"/>
      <c r="BI126" s="90"/>
      <c r="BJ126" s="90"/>
      <c r="BK126" s="90"/>
      <c r="BL126" s="90"/>
      <c r="BM126" s="90"/>
      <c r="BN126" s="90"/>
      <c r="BO126" s="90"/>
      <c r="BP126" s="90"/>
      <c r="BQ126" s="90"/>
    </row>
    <row r="127" ht="12.75" hidden="1" customHeight="1" outlineLevel="1">
      <c r="A127" s="316"/>
      <c r="B127" s="90"/>
      <c r="C127" s="90"/>
      <c r="D127" s="90"/>
      <c r="E127" s="90"/>
      <c r="F127" s="90"/>
      <c r="G127" s="90"/>
      <c r="H127" s="102"/>
      <c r="I127" s="102"/>
      <c r="J127" s="526"/>
      <c r="K127" s="223"/>
      <c r="L127" s="223"/>
      <c r="M127" s="223"/>
      <c r="N127" s="223"/>
      <c r="O127" s="223"/>
      <c r="P127" s="223"/>
      <c r="Q127" s="223"/>
      <c r="R127" s="223"/>
      <c r="S127" s="223"/>
      <c r="T127" s="223"/>
      <c r="U127" s="223"/>
      <c r="V127" s="223"/>
      <c r="W127" s="223"/>
      <c r="X127" s="223"/>
      <c r="Y127" s="223"/>
      <c r="Z127" s="223"/>
      <c r="AA127" s="223"/>
      <c r="AB127" s="223"/>
      <c r="AC127" s="223"/>
      <c r="AD127" s="223"/>
      <c r="AE127" s="223"/>
      <c r="AF127" s="223"/>
      <c r="AG127" s="223"/>
      <c r="AH127" s="223"/>
      <c r="AI127" s="223"/>
      <c r="AJ127" s="223"/>
      <c r="AK127" s="223"/>
      <c r="AL127" s="223"/>
      <c r="AM127" s="223"/>
      <c r="AN127" s="223"/>
      <c r="AO127" s="223"/>
      <c r="AP127" s="223"/>
      <c r="AQ127" s="223"/>
      <c r="AR127" s="223"/>
      <c r="AS127" s="223"/>
      <c r="AT127" s="223"/>
      <c r="AU127" s="223"/>
      <c r="AV127" s="223"/>
      <c r="AW127" s="90"/>
      <c r="AX127" s="90"/>
      <c r="AY127" s="90"/>
      <c r="AZ127" s="90"/>
      <c r="BA127" s="90"/>
      <c r="BB127" s="90"/>
      <c r="BC127" s="90"/>
      <c r="BD127" s="90"/>
      <c r="BE127" s="90"/>
      <c r="BF127" s="90"/>
      <c r="BG127" s="90"/>
      <c r="BH127" s="90"/>
      <c r="BI127" s="90"/>
      <c r="BJ127" s="90"/>
      <c r="BK127" s="90"/>
      <c r="BL127" s="90"/>
      <c r="BM127" s="90"/>
      <c r="BN127" s="90"/>
      <c r="BO127" s="90"/>
      <c r="BP127" s="90"/>
      <c r="BQ127" s="90"/>
    </row>
    <row r="128" ht="12.75" hidden="1" customHeight="1" outlineLevel="1">
      <c r="A128" s="316"/>
      <c r="B128" s="90"/>
      <c r="C128" s="90" t="s">
        <v>173</v>
      </c>
      <c r="D128" s="90"/>
      <c r="E128" s="90"/>
      <c r="F128" s="90"/>
      <c r="G128" s="90"/>
      <c r="H128" s="102"/>
      <c r="I128" s="102"/>
      <c r="J128" s="526"/>
      <c r="K128" s="223"/>
      <c r="L128" s="223"/>
      <c r="M128" s="223"/>
      <c r="N128" s="223"/>
      <c r="O128" s="223"/>
      <c r="P128" s="223"/>
      <c r="Q128" s="223"/>
      <c r="R128" s="223"/>
      <c r="S128" s="223"/>
      <c r="T128" s="223"/>
      <c r="U128" s="223"/>
      <c r="V128" s="223"/>
      <c r="W128" s="223"/>
      <c r="X128" s="223"/>
      <c r="Y128" s="223"/>
      <c r="Z128" s="223"/>
      <c r="AA128" s="223"/>
      <c r="AB128" s="223"/>
      <c r="AC128" s="223"/>
      <c r="AD128" s="223"/>
      <c r="AE128" s="223"/>
      <c r="AF128" s="223"/>
      <c r="AG128" s="223"/>
      <c r="AH128" s="223"/>
      <c r="AI128" s="223"/>
      <c r="AJ128" s="223"/>
      <c r="AK128" s="223"/>
      <c r="AL128" s="223"/>
      <c r="AM128" s="223"/>
      <c r="AN128" s="223"/>
      <c r="AO128" s="223"/>
      <c r="AP128" s="223"/>
      <c r="AQ128" s="223"/>
      <c r="AR128" s="223"/>
      <c r="AS128" s="223"/>
      <c r="AT128" s="223"/>
      <c r="AU128" s="223"/>
      <c r="AV128" s="223"/>
      <c r="AW128" s="90"/>
      <c r="AX128" s="90"/>
      <c r="AY128" s="90"/>
      <c r="AZ128" s="90"/>
      <c r="BA128" s="90"/>
      <c r="BB128" s="90"/>
      <c r="BC128" s="90"/>
      <c r="BD128" s="90"/>
      <c r="BE128" s="90"/>
      <c r="BF128" s="90"/>
      <c r="BG128" s="90"/>
      <c r="BH128" s="90"/>
      <c r="BI128" s="90"/>
      <c r="BJ128" s="90"/>
      <c r="BK128" s="90"/>
      <c r="BL128" s="90"/>
      <c r="BM128" s="90"/>
      <c r="BN128" s="90"/>
      <c r="BO128" s="90"/>
      <c r="BP128" s="90"/>
      <c r="BQ128" s="90"/>
    </row>
    <row r="129" ht="12.75" hidden="1" customHeight="1" outlineLevel="1">
      <c r="A129" s="316"/>
      <c r="B129" s="90"/>
      <c r="C129" s="90"/>
      <c r="D129" s="90" t="s">
        <v>699</v>
      </c>
      <c r="E129" s="90"/>
      <c r="F129" s="90"/>
      <c r="G129" s="313"/>
      <c r="H129" s="306"/>
      <c r="I129" s="306"/>
      <c r="J129" s="361"/>
      <c r="K129" s="361"/>
      <c r="L129" s="223">
        <f>'RSGen 1-7'!I130</f>
        <v>3</v>
      </c>
      <c r="M129" s="223">
        <f>'RSGen 1-7'!J130</f>
        <v>3</v>
      </c>
      <c r="N129" s="223">
        <f>'RSGen 1-7'!K130</f>
        <v>3</v>
      </c>
      <c r="O129" s="223">
        <f>'RSGen 1-7'!L130</f>
        <v>3</v>
      </c>
      <c r="P129" s="223">
        <f>'RSGen 1-7'!M130</f>
        <v>3</v>
      </c>
      <c r="Q129" s="223">
        <f>'RSGen 1-7'!N130</f>
        <v>3</v>
      </c>
      <c r="R129" s="223">
        <f>'RSGen 1-7'!O130</f>
        <v>3</v>
      </c>
      <c r="S129" s="223">
        <f>'RSGen 1-7'!P130</f>
        <v>3</v>
      </c>
      <c r="T129" s="223">
        <f>'RSGen 1-7'!Q130</f>
        <v>3</v>
      </c>
      <c r="U129" s="223">
        <f>'RSGen 1-7'!R130</f>
        <v>3</v>
      </c>
      <c r="V129" s="223">
        <f t="shared" ref="V129:AV129" si="85">U129</f>
        <v>3</v>
      </c>
      <c r="W129" s="223">
        <f t="shared" si="85"/>
        <v>3</v>
      </c>
      <c r="X129" s="223">
        <f t="shared" si="85"/>
        <v>3</v>
      </c>
      <c r="Y129" s="223">
        <f t="shared" si="85"/>
        <v>3</v>
      </c>
      <c r="Z129" s="223">
        <f t="shared" si="85"/>
        <v>3</v>
      </c>
      <c r="AA129" s="223">
        <f t="shared" si="85"/>
        <v>3</v>
      </c>
      <c r="AB129" s="223">
        <f t="shared" si="85"/>
        <v>3</v>
      </c>
      <c r="AC129" s="223">
        <f t="shared" si="85"/>
        <v>3</v>
      </c>
      <c r="AD129" s="223">
        <f t="shared" si="85"/>
        <v>3</v>
      </c>
      <c r="AE129" s="223">
        <f t="shared" si="85"/>
        <v>3</v>
      </c>
      <c r="AF129" s="223">
        <f t="shared" si="85"/>
        <v>3</v>
      </c>
      <c r="AG129" s="223">
        <f t="shared" si="85"/>
        <v>3</v>
      </c>
      <c r="AH129" s="223">
        <f t="shared" si="85"/>
        <v>3</v>
      </c>
      <c r="AI129" s="223">
        <f t="shared" si="85"/>
        <v>3</v>
      </c>
      <c r="AJ129" s="223">
        <f t="shared" si="85"/>
        <v>3</v>
      </c>
      <c r="AK129" s="223">
        <f t="shared" si="85"/>
        <v>3</v>
      </c>
      <c r="AL129" s="223">
        <f t="shared" si="85"/>
        <v>3</v>
      </c>
      <c r="AM129" s="223">
        <f t="shared" si="85"/>
        <v>3</v>
      </c>
      <c r="AN129" s="223">
        <f t="shared" si="85"/>
        <v>3</v>
      </c>
      <c r="AO129" s="223">
        <f t="shared" si="85"/>
        <v>3</v>
      </c>
      <c r="AP129" s="223">
        <f t="shared" si="85"/>
        <v>3</v>
      </c>
      <c r="AQ129" s="223">
        <f t="shared" si="85"/>
        <v>3</v>
      </c>
      <c r="AR129" s="223">
        <f t="shared" si="85"/>
        <v>3</v>
      </c>
      <c r="AS129" s="223">
        <f t="shared" si="85"/>
        <v>3</v>
      </c>
      <c r="AT129" s="223">
        <f t="shared" si="85"/>
        <v>3</v>
      </c>
      <c r="AU129" s="223">
        <f t="shared" si="85"/>
        <v>3</v>
      </c>
      <c r="AV129" s="223">
        <f t="shared" si="85"/>
        <v>3</v>
      </c>
      <c r="AW129" s="90"/>
      <c r="AX129" s="90"/>
      <c r="AY129" s="90"/>
      <c r="AZ129" s="90"/>
      <c r="BA129" s="90"/>
      <c r="BB129" s="90"/>
      <c r="BC129" s="90"/>
      <c r="BD129" s="90"/>
      <c r="BE129" s="90"/>
      <c r="BF129" s="90"/>
      <c r="BG129" s="90"/>
      <c r="BH129" s="90"/>
      <c r="BI129" s="90"/>
      <c r="BJ129" s="90"/>
      <c r="BK129" s="90"/>
      <c r="BL129" s="90"/>
      <c r="BM129" s="90"/>
      <c r="BN129" s="90"/>
      <c r="BO129" s="90"/>
      <c r="BP129" s="90"/>
      <c r="BQ129" s="90"/>
    </row>
    <row r="130" ht="12.75" hidden="1" customHeight="1" outlineLevel="1">
      <c r="A130" s="316"/>
      <c r="B130" s="90"/>
      <c r="C130" s="90"/>
      <c r="D130" s="64">
        <v>1.0</v>
      </c>
      <c r="E130" s="90"/>
      <c r="F130" s="90"/>
      <c r="G130" s="313"/>
      <c r="H130" s="306"/>
      <c r="I130" s="306"/>
      <c r="J130" s="361"/>
      <c r="K130" s="361"/>
      <c r="L130" s="223">
        <f>'RSGen 1-7'!I131</f>
        <v>3</v>
      </c>
      <c r="M130" s="223">
        <f>'RSGen 1-7'!J131</f>
        <v>3</v>
      </c>
      <c r="N130" s="223">
        <f>'RSGen 1-7'!K131</f>
        <v>3</v>
      </c>
      <c r="O130" s="223">
        <f>'RSGen 1-7'!L131</f>
        <v>3</v>
      </c>
      <c r="P130" s="223">
        <f>'RSGen 1-7'!M131</f>
        <v>3</v>
      </c>
      <c r="Q130" s="223">
        <f>'RSGen 1-7'!N131</f>
        <v>3</v>
      </c>
      <c r="R130" s="223">
        <f>'RSGen 1-7'!O131</f>
        <v>3</v>
      </c>
      <c r="S130" s="223">
        <f>'RSGen 1-7'!P131</f>
        <v>3</v>
      </c>
      <c r="T130" s="223">
        <f>'RSGen 1-7'!Q131</f>
        <v>3</v>
      </c>
      <c r="U130" s="223">
        <f>'RSGen 1-7'!R131</f>
        <v>3</v>
      </c>
      <c r="V130" s="223">
        <f t="shared" ref="V130:AV130" si="86">U130</f>
        <v>3</v>
      </c>
      <c r="W130" s="223">
        <f t="shared" si="86"/>
        <v>3</v>
      </c>
      <c r="X130" s="223">
        <f t="shared" si="86"/>
        <v>3</v>
      </c>
      <c r="Y130" s="223">
        <f t="shared" si="86"/>
        <v>3</v>
      </c>
      <c r="Z130" s="223">
        <f t="shared" si="86"/>
        <v>3</v>
      </c>
      <c r="AA130" s="223">
        <f t="shared" si="86"/>
        <v>3</v>
      </c>
      <c r="AB130" s="223">
        <f t="shared" si="86"/>
        <v>3</v>
      </c>
      <c r="AC130" s="223">
        <f t="shared" si="86"/>
        <v>3</v>
      </c>
      <c r="AD130" s="223">
        <f t="shared" si="86"/>
        <v>3</v>
      </c>
      <c r="AE130" s="223">
        <f t="shared" si="86"/>
        <v>3</v>
      </c>
      <c r="AF130" s="223">
        <f t="shared" si="86"/>
        <v>3</v>
      </c>
      <c r="AG130" s="223">
        <f t="shared" si="86"/>
        <v>3</v>
      </c>
      <c r="AH130" s="223">
        <f t="shared" si="86"/>
        <v>3</v>
      </c>
      <c r="AI130" s="223">
        <f t="shared" si="86"/>
        <v>3</v>
      </c>
      <c r="AJ130" s="223">
        <f t="shared" si="86"/>
        <v>3</v>
      </c>
      <c r="AK130" s="223">
        <f t="shared" si="86"/>
        <v>3</v>
      </c>
      <c r="AL130" s="223">
        <f t="shared" si="86"/>
        <v>3</v>
      </c>
      <c r="AM130" s="223">
        <f t="shared" si="86"/>
        <v>3</v>
      </c>
      <c r="AN130" s="223">
        <f t="shared" si="86"/>
        <v>3</v>
      </c>
      <c r="AO130" s="223">
        <f t="shared" si="86"/>
        <v>3</v>
      </c>
      <c r="AP130" s="223">
        <f t="shared" si="86"/>
        <v>3</v>
      </c>
      <c r="AQ130" s="223">
        <f t="shared" si="86"/>
        <v>3</v>
      </c>
      <c r="AR130" s="223">
        <f t="shared" si="86"/>
        <v>3</v>
      </c>
      <c r="AS130" s="223">
        <f t="shared" si="86"/>
        <v>3</v>
      </c>
      <c r="AT130" s="223">
        <f t="shared" si="86"/>
        <v>3</v>
      </c>
      <c r="AU130" s="223">
        <f t="shared" si="86"/>
        <v>3</v>
      </c>
      <c r="AV130" s="223">
        <f t="shared" si="86"/>
        <v>3</v>
      </c>
      <c r="AW130" s="90"/>
      <c r="AX130" s="90"/>
      <c r="AY130" s="90"/>
      <c r="AZ130" s="90"/>
      <c r="BA130" s="90"/>
      <c r="BB130" s="90"/>
      <c r="BC130" s="90"/>
      <c r="BD130" s="90"/>
      <c r="BE130" s="90"/>
      <c r="BF130" s="90"/>
      <c r="BG130" s="90"/>
      <c r="BH130" s="90"/>
      <c r="BI130" s="90"/>
      <c r="BJ130" s="90"/>
      <c r="BK130" s="90"/>
      <c r="BL130" s="90"/>
      <c r="BM130" s="90"/>
      <c r="BN130" s="90"/>
      <c r="BO130" s="90"/>
      <c r="BP130" s="90"/>
      <c r="BQ130" s="90"/>
    </row>
    <row r="131" ht="12.75" hidden="1" customHeight="1" outlineLevel="1">
      <c r="A131" s="316"/>
      <c r="B131" s="90"/>
      <c r="C131" s="90"/>
      <c r="D131" s="64">
        <v>2.0</v>
      </c>
      <c r="E131" s="90"/>
      <c r="F131" s="90"/>
      <c r="G131" s="313"/>
      <c r="H131" s="306"/>
      <c r="I131" s="306"/>
      <c r="J131" s="361"/>
      <c r="K131" s="361"/>
      <c r="L131" s="223">
        <f>'RSGen 1-7'!I132</f>
        <v>3</v>
      </c>
      <c r="M131" s="223">
        <f>'RSGen 1-7'!J132</f>
        <v>3</v>
      </c>
      <c r="N131" s="223">
        <f>'RSGen 1-7'!K132</f>
        <v>3</v>
      </c>
      <c r="O131" s="223">
        <f>'RSGen 1-7'!L132</f>
        <v>3</v>
      </c>
      <c r="P131" s="223">
        <f>'RSGen 1-7'!M132</f>
        <v>3</v>
      </c>
      <c r="Q131" s="223">
        <f>'RSGen 1-7'!N132</f>
        <v>3</v>
      </c>
      <c r="R131" s="223">
        <f>'RSGen 1-7'!O132</f>
        <v>3</v>
      </c>
      <c r="S131" s="223">
        <f>'RSGen 1-7'!P132</f>
        <v>3</v>
      </c>
      <c r="T131" s="223">
        <f>'RSGen 1-7'!Q132</f>
        <v>3</v>
      </c>
      <c r="U131" s="223">
        <f>'RSGen 1-7'!R132</f>
        <v>3</v>
      </c>
      <c r="V131" s="223">
        <f t="shared" ref="V131:AV131" si="87">U131</f>
        <v>3</v>
      </c>
      <c r="W131" s="223">
        <f t="shared" si="87"/>
        <v>3</v>
      </c>
      <c r="X131" s="223">
        <f t="shared" si="87"/>
        <v>3</v>
      </c>
      <c r="Y131" s="223">
        <f t="shared" si="87"/>
        <v>3</v>
      </c>
      <c r="Z131" s="223">
        <f t="shared" si="87"/>
        <v>3</v>
      </c>
      <c r="AA131" s="223">
        <f t="shared" si="87"/>
        <v>3</v>
      </c>
      <c r="AB131" s="223">
        <f t="shared" si="87"/>
        <v>3</v>
      </c>
      <c r="AC131" s="223">
        <f t="shared" si="87"/>
        <v>3</v>
      </c>
      <c r="AD131" s="223">
        <f t="shared" si="87"/>
        <v>3</v>
      </c>
      <c r="AE131" s="223">
        <f t="shared" si="87"/>
        <v>3</v>
      </c>
      <c r="AF131" s="223">
        <f t="shared" si="87"/>
        <v>3</v>
      </c>
      <c r="AG131" s="223">
        <f t="shared" si="87"/>
        <v>3</v>
      </c>
      <c r="AH131" s="223">
        <f t="shared" si="87"/>
        <v>3</v>
      </c>
      <c r="AI131" s="223">
        <f t="shared" si="87"/>
        <v>3</v>
      </c>
      <c r="AJ131" s="223">
        <f t="shared" si="87"/>
        <v>3</v>
      </c>
      <c r="AK131" s="223">
        <f t="shared" si="87"/>
        <v>3</v>
      </c>
      <c r="AL131" s="223">
        <f t="shared" si="87"/>
        <v>3</v>
      </c>
      <c r="AM131" s="223">
        <f t="shared" si="87"/>
        <v>3</v>
      </c>
      <c r="AN131" s="223">
        <f t="shared" si="87"/>
        <v>3</v>
      </c>
      <c r="AO131" s="223">
        <f t="shared" si="87"/>
        <v>3</v>
      </c>
      <c r="AP131" s="223">
        <f t="shared" si="87"/>
        <v>3</v>
      </c>
      <c r="AQ131" s="223">
        <f t="shared" si="87"/>
        <v>3</v>
      </c>
      <c r="AR131" s="223">
        <f t="shared" si="87"/>
        <v>3</v>
      </c>
      <c r="AS131" s="223">
        <f t="shared" si="87"/>
        <v>3</v>
      </c>
      <c r="AT131" s="223">
        <f t="shared" si="87"/>
        <v>3</v>
      </c>
      <c r="AU131" s="223">
        <f t="shared" si="87"/>
        <v>3</v>
      </c>
      <c r="AV131" s="223">
        <f t="shared" si="87"/>
        <v>3</v>
      </c>
      <c r="AW131" s="90"/>
      <c r="AX131" s="90"/>
      <c r="AY131" s="90"/>
      <c r="AZ131" s="90"/>
      <c r="BA131" s="90"/>
      <c r="BB131" s="90"/>
      <c r="BC131" s="90"/>
      <c r="BD131" s="90"/>
      <c r="BE131" s="90"/>
      <c r="BF131" s="90"/>
      <c r="BG131" s="90"/>
      <c r="BH131" s="90"/>
      <c r="BI131" s="90"/>
      <c r="BJ131" s="90"/>
      <c r="BK131" s="90"/>
      <c r="BL131" s="90"/>
      <c r="BM131" s="90"/>
      <c r="BN131" s="90"/>
      <c r="BO131" s="90"/>
      <c r="BP131" s="90"/>
      <c r="BQ131" s="90"/>
    </row>
    <row r="132" ht="12.75" hidden="1" customHeight="1" outlineLevel="1">
      <c r="A132" s="316"/>
      <c r="B132" s="90"/>
      <c r="C132" s="90"/>
      <c r="D132" s="64">
        <v>3.0</v>
      </c>
      <c r="E132" s="90"/>
      <c r="F132" s="90"/>
      <c r="G132" s="313"/>
      <c r="H132" s="306"/>
      <c r="I132" s="306"/>
      <c r="J132" s="361"/>
      <c r="K132" s="361"/>
      <c r="L132" s="223">
        <f>'RSGen 1-7'!I133</f>
        <v>3</v>
      </c>
      <c r="M132" s="223">
        <f>'RSGen 1-7'!J133</f>
        <v>3</v>
      </c>
      <c r="N132" s="223">
        <f>'RSGen 1-7'!K133</f>
        <v>3</v>
      </c>
      <c r="O132" s="223">
        <f>'RSGen 1-7'!L133</f>
        <v>3</v>
      </c>
      <c r="P132" s="223">
        <f>'RSGen 1-7'!M133</f>
        <v>3</v>
      </c>
      <c r="Q132" s="223">
        <f>'RSGen 1-7'!N133</f>
        <v>3</v>
      </c>
      <c r="R132" s="223">
        <f>'RSGen 1-7'!O133</f>
        <v>3</v>
      </c>
      <c r="S132" s="223">
        <f>'RSGen 1-7'!P133</f>
        <v>3</v>
      </c>
      <c r="T132" s="223">
        <f>'RSGen 1-7'!Q133</f>
        <v>3</v>
      </c>
      <c r="U132" s="223">
        <f>'RSGen 1-7'!R133</f>
        <v>3</v>
      </c>
      <c r="V132" s="223">
        <f t="shared" ref="V132:AV132" si="88">U132</f>
        <v>3</v>
      </c>
      <c r="W132" s="223">
        <f t="shared" si="88"/>
        <v>3</v>
      </c>
      <c r="X132" s="223">
        <f t="shared" si="88"/>
        <v>3</v>
      </c>
      <c r="Y132" s="223">
        <f t="shared" si="88"/>
        <v>3</v>
      </c>
      <c r="Z132" s="223">
        <f t="shared" si="88"/>
        <v>3</v>
      </c>
      <c r="AA132" s="223">
        <f t="shared" si="88"/>
        <v>3</v>
      </c>
      <c r="AB132" s="223">
        <f t="shared" si="88"/>
        <v>3</v>
      </c>
      <c r="AC132" s="223">
        <f t="shared" si="88"/>
        <v>3</v>
      </c>
      <c r="AD132" s="223">
        <f t="shared" si="88"/>
        <v>3</v>
      </c>
      <c r="AE132" s="223">
        <f t="shared" si="88"/>
        <v>3</v>
      </c>
      <c r="AF132" s="223">
        <f t="shared" si="88"/>
        <v>3</v>
      </c>
      <c r="AG132" s="223">
        <f t="shared" si="88"/>
        <v>3</v>
      </c>
      <c r="AH132" s="223">
        <f t="shared" si="88"/>
        <v>3</v>
      </c>
      <c r="AI132" s="223">
        <f t="shared" si="88"/>
        <v>3</v>
      </c>
      <c r="AJ132" s="223">
        <f t="shared" si="88"/>
        <v>3</v>
      </c>
      <c r="AK132" s="223">
        <f t="shared" si="88"/>
        <v>3</v>
      </c>
      <c r="AL132" s="223">
        <f t="shared" si="88"/>
        <v>3</v>
      </c>
      <c r="AM132" s="223">
        <f t="shared" si="88"/>
        <v>3</v>
      </c>
      <c r="AN132" s="223">
        <f t="shared" si="88"/>
        <v>3</v>
      </c>
      <c r="AO132" s="223">
        <f t="shared" si="88"/>
        <v>3</v>
      </c>
      <c r="AP132" s="223">
        <f t="shared" si="88"/>
        <v>3</v>
      </c>
      <c r="AQ132" s="223">
        <f t="shared" si="88"/>
        <v>3</v>
      </c>
      <c r="AR132" s="223">
        <f t="shared" si="88"/>
        <v>3</v>
      </c>
      <c r="AS132" s="223">
        <f t="shared" si="88"/>
        <v>3</v>
      </c>
      <c r="AT132" s="223">
        <f t="shared" si="88"/>
        <v>3</v>
      </c>
      <c r="AU132" s="223">
        <f t="shared" si="88"/>
        <v>3</v>
      </c>
      <c r="AV132" s="223">
        <f t="shared" si="88"/>
        <v>3</v>
      </c>
      <c r="AW132" s="90"/>
      <c r="AX132" s="90"/>
      <c r="AY132" s="90"/>
      <c r="AZ132" s="90"/>
      <c r="BA132" s="90"/>
      <c r="BB132" s="90"/>
      <c r="BC132" s="90"/>
      <c r="BD132" s="90"/>
      <c r="BE132" s="90"/>
      <c r="BF132" s="90"/>
      <c r="BG132" s="90"/>
      <c r="BH132" s="90"/>
      <c r="BI132" s="90"/>
      <c r="BJ132" s="90"/>
      <c r="BK132" s="90"/>
      <c r="BL132" s="90"/>
      <c r="BM132" s="90"/>
      <c r="BN132" s="90"/>
      <c r="BO132" s="90"/>
      <c r="BP132" s="90"/>
      <c r="BQ132" s="90"/>
    </row>
    <row r="133" ht="12.75" hidden="1" customHeight="1" outlineLevel="1">
      <c r="A133" s="316"/>
      <c r="B133" s="90"/>
      <c r="C133" s="90"/>
      <c r="D133" s="64">
        <v>4.0</v>
      </c>
      <c r="E133" s="90"/>
      <c r="F133" s="90"/>
      <c r="G133" s="313"/>
      <c r="H133" s="306"/>
      <c r="I133" s="306"/>
      <c r="J133" s="361"/>
      <c r="K133" s="361"/>
      <c r="L133" s="223">
        <f>'RSGen 1-7'!I134</f>
        <v>0</v>
      </c>
      <c r="M133" s="223">
        <f>'RSGen 1-7'!J134</f>
        <v>3</v>
      </c>
      <c r="N133" s="223">
        <f>'RSGen 1-7'!K134</f>
        <v>3</v>
      </c>
      <c r="O133" s="223">
        <f>'RSGen 1-7'!L134</f>
        <v>3</v>
      </c>
      <c r="P133" s="223">
        <f>'RSGen 1-7'!M134</f>
        <v>3</v>
      </c>
      <c r="Q133" s="223">
        <f>'RSGen 1-7'!N134</f>
        <v>3</v>
      </c>
      <c r="R133" s="223">
        <f>'RSGen 1-7'!O134</f>
        <v>3</v>
      </c>
      <c r="S133" s="223">
        <f>'RSGen 1-7'!P134</f>
        <v>3</v>
      </c>
      <c r="T133" s="223">
        <f>'RSGen 1-7'!Q134</f>
        <v>3</v>
      </c>
      <c r="U133" s="223">
        <f>'RSGen 1-7'!R134</f>
        <v>3</v>
      </c>
      <c r="V133" s="223">
        <f t="shared" ref="V133:AV133" si="89">U133</f>
        <v>3</v>
      </c>
      <c r="W133" s="223">
        <f t="shared" si="89"/>
        <v>3</v>
      </c>
      <c r="X133" s="223">
        <f t="shared" si="89"/>
        <v>3</v>
      </c>
      <c r="Y133" s="223">
        <f t="shared" si="89"/>
        <v>3</v>
      </c>
      <c r="Z133" s="223">
        <f t="shared" si="89"/>
        <v>3</v>
      </c>
      <c r="AA133" s="223">
        <f t="shared" si="89"/>
        <v>3</v>
      </c>
      <c r="AB133" s="223">
        <f t="shared" si="89"/>
        <v>3</v>
      </c>
      <c r="AC133" s="223">
        <f t="shared" si="89"/>
        <v>3</v>
      </c>
      <c r="AD133" s="223">
        <f t="shared" si="89"/>
        <v>3</v>
      </c>
      <c r="AE133" s="223">
        <f t="shared" si="89"/>
        <v>3</v>
      </c>
      <c r="AF133" s="223">
        <f t="shared" si="89"/>
        <v>3</v>
      </c>
      <c r="AG133" s="223">
        <f t="shared" si="89"/>
        <v>3</v>
      </c>
      <c r="AH133" s="223">
        <f t="shared" si="89"/>
        <v>3</v>
      </c>
      <c r="AI133" s="223">
        <f t="shared" si="89"/>
        <v>3</v>
      </c>
      <c r="AJ133" s="223">
        <f t="shared" si="89"/>
        <v>3</v>
      </c>
      <c r="AK133" s="223">
        <f t="shared" si="89"/>
        <v>3</v>
      </c>
      <c r="AL133" s="223">
        <f t="shared" si="89"/>
        <v>3</v>
      </c>
      <c r="AM133" s="223">
        <f t="shared" si="89"/>
        <v>3</v>
      </c>
      <c r="AN133" s="223">
        <f t="shared" si="89"/>
        <v>3</v>
      </c>
      <c r="AO133" s="223">
        <f t="shared" si="89"/>
        <v>3</v>
      </c>
      <c r="AP133" s="223">
        <f t="shared" si="89"/>
        <v>3</v>
      </c>
      <c r="AQ133" s="223">
        <f t="shared" si="89"/>
        <v>3</v>
      </c>
      <c r="AR133" s="223">
        <f t="shared" si="89"/>
        <v>3</v>
      </c>
      <c r="AS133" s="223">
        <f t="shared" si="89"/>
        <v>3</v>
      </c>
      <c r="AT133" s="223">
        <f t="shared" si="89"/>
        <v>3</v>
      </c>
      <c r="AU133" s="223">
        <f t="shared" si="89"/>
        <v>3</v>
      </c>
      <c r="AV133" s="223">
        <f t="shared" si="89"/>
        <v>3</v>
      </c>
      <c r="AW133" s="90"/>
      <c r="AX133" s="90"/>
      <c r="AY133" s="90"/>
      <c r="AZ133" s="90"/>
      <c r="BA133" s="90"/>
      <c r="BB133" s="90"/>
      <c r="BC133" s="90"/>
      <c r="BD133" s="90"/>
      <c r="BE133" s="90"/>
      <c r="BF133" s="90"/>
      <c r="BG133" s="90"/>
      <c r="BH133" s="90"/>
      <c r="BI133" s="90"/>
      <c r="BJ133" s="90"/>
      <c r="BK133" s="90"/>
      <c r="BL133" s="90"/>
      <c r="BM133" s="90"/>
      <c r="BN133" s="90"/>
      <c r="BO133" s="90"/>
      <c r="BP133" s="90"/>
      <c r="BQ133" s="90"/>
    </row>
    <row r="134" ht="12.75" hidden="1" customHeight="1" outlineLevel="1">
      <c r="A134" s="316"/>
      <c r="B134" s="90"/>
      <c r="C134" s="90"/>
      <c r="D134" s="64">
        <v>5.0</v>
      </c>
      <c r="E134" s="90"/>
      <c r="F134" s="90"/>
      <c r="G134" s="313"/>
      <c r="H134" s="306"/>
      <c r="I134" s="306"/>
      <c r="J134" s="361"/>
      <c r="K134" s="361"/>
      <c r="L134" s="223">
        <f>'RSGen 1-7'!I135</f>
        <v>0</v>
      </c>
      <c r="M134" s="223">
        <f>'RSGen 1-7'!J135</f>
        <v>0</v>
      </c>
      <c r="N134" s="223">
        <f>'RSGen 1-7'!K135</f>
        <v>1</v>
      </c>
      <c r="O134" s="223">
        <f>'RSGen 1-7'!L135</f>
        <v>1</v>
      </c>
      <c r="P134" s="223">
        <f>'RSGen 1-7'!M135</f>
        <v>1</v>
      </c>
      <c r="Q134" s="223">
        <f>'RSGen 1-7'!N135</f>
        <v>1</v>
      </c>
      <c r="R134" s="223">
        <f>'RSGen 1-7'!O135</f>
        <v>1</v>
      </c>
      <c r="S134" s="223">
        <f>'RSGen 1-7'!P135</f>
        <v>1</v>
      </c>
      <c r="T134" s="223">
        <f>'RSGen 1-7'!Q135</f>
        <v>1</v>
      </c>
      <c r="U134" s="223">
        <f>'RSGen 1-7'!R135</f>
        <v>1</v>
      </c>
      <c r="V134" s="223">
        <f t="shared" ref="V134:AV134" si="90">U134</f>
        <v>1</v>
      </c>
      <c r="W134" s="223">
        <f t="shared" si="90"/>
        <v>1</v>
      </c>
      <c r="X134" s="223">
        <f t="shared" si="90"/>
        <v>1</v>
      </c>
      <c r="Y134" s="223">
        <f t="shared" si="90"/>
        <v>1</v>
      </c>
      <c r="Z134" s="223">
        <f t="shared" si="90"/>
        <v>1</v>
      </c>
      <c r="AA134" s="223">
        <f t="shared" si="90"/>
        <v>1</v>
      </c>
      <c r="AB134" s="223">
        <f t="shared" si="90"/>
        <v>1</v>
      </c>
      <c r="AC134" s="223">
        <f t="shared" si="90"/>
        <v>1</v>
      </c>
      <c r="AD134" s="223">
        <f t="shared" si="90"/>
        <v>1</v>
      </c>
      <c r="AE134" s="223">
        <f t="shared" si="90"/>
        <v>1</v>
      </c>
      <c r="AF134" s="223">
        <f t="shared" si="90"/>
        <v>1</v>
      </c>
      <c r="AG134" s="223">
        <f t="shared" si="90"/>
        <v>1</v>
      </c>
      <c r="AH134" s="223">
        <f t="shared" si="90"/>
        <v>1</v>
      </c>
      <c r="AI134" s="223">
        <f t="shared" si="90"/>
        <v>1</v>
      </c>
      <c r="AJ134" s="223">
        <f t="shared" si="90"/>
        <v>1</v>
      </c>
      <c r="AK134" s="223">
        <f t="shared" si="90"/>
        <v>1</v>
      </c>
      <c r="AL134" s="223">
        <f t="shared" si="90"/>
        <v>1</v>
      </c>
      <c r="AM134" s="223">
        <f t="shared" si="90"/>
        <v>1</v>
      </c>
      <c r="AN134" s="223">
        <f t="shared" si="90"/>
        <v>1</v>
      </c>
      <c r="AO134" s="223">
        <f t="shared" si="90"/>
        <v>1</v>
      </c>
      <c r="AP134" s="223">
        <f t="shared" si="90"/>
        <v>1</v>
      </c>
      <c r="AQ134" s="223">
        <f t="shared" si="90"/>
        <v>1</v>
      </c>
      <c r="AR134" s="223">
        <f t="shared" si="90"/>
        <v>1</v>
      </c>
      <c r="AS134" s="223">
        <f t="shared" si="90"/>
        <v>1</v>
      </c>
      <c r="AT134" s="223">
        <f t="shared" si="90"/>
        <v>1</v>
      </c>
      <c r="AU134" s="223">
        <f t="shared" si="90"/>
        <v>1</v>
      </c>
      <c r="AV134" s="223">
        <f t="shared" si="90"/>
        <v>1</v>
      </c>
      <c r="AW134" s="90"/>
      <c r="AX134" s="90"/>
      <c r="AY134" s="90"/>
      <c r="AZ134" s="90"/>
      <c r="BA134" s="90"/>
      <c r="BB134" s="90"/>
      <c r="BC134" s="90"/>
      <c r="BD134" s="90"/>
      <c r="BE134" s="90"/>
      <c r="BF134" s="90"/>
      <c r="BG134" s="90"/>
      <c r="BH134" s="90"/>
      <c r="BI134" s="90"/>
      <c r="BJ134" s="90"/>
      <c r="BK134" s="90"/>
      <c r="BL134" s="90"/>
      <c r="BM134" s="90"/>
      <c r="BN134" s="90"/>
      <c r="BO134" s="90"/>
      <c r="BP134" s="90"/>
      <c r="BQ134" s="90"/>
    </row>
    <row r="135" ht="12.75" hidden="1" customHeight="1" outlineLevel="1">
      <c r="A135" s="316"/>
      <c r="B135" s="90"/>
      <c r="C135" s="148" t="s">
        <v>173</v>
      </c>
      <c r="D135" s="362"/>
      <c r="E135" s="148"/>
      <c r="F135" s="148"/>
      <c r="G135" s="148"/>
      <c r="H135" s="285"/>
      <c r="I135" s="285"/>
      <c r="J135" s="363"/>
      <c r="K135" s="363"/>
      <c r="L135" s="364">
        <f t="shared" ref="L135:AV135" si="91">SUM(L129:L134)</f>
        <v>12</v>
      </c>
      <c r="M135" s="364">
        <f t="shared" si="91"/>
        <v>15</v>
      </c>
      <c r="N135" s="364">
        <f t="shared" si="91"/>
        <v>16</v>
      </c>
      <c r="O135" s="364">
        <f t="shared" si="91"/>
        <v>16</v>
      </c>
      <c r="P135" s="364">
        <f t="shared" si="91"/>
        <v>16</v>
      </c>
      <c r="Q135" s="364">
        <f t="shared" si="91"/>
        <v>16</v>
      </c>
      <c r="R135" s="364">
        <f t="shared" si="91"/>
        <v>16</v>
      </c>
      <c r="S135" s="364">
        <f t="shared" si="91"/>
        <v>16</v>
      </c>
      <c r="T135" s="364">
        <f t="shared" si="91"/>
        <v>16</v>
      </c>
      <c r="U135" s="364">
        <f t="shared" si="91"/>
        <v>16</v>
      </c>
      <c r="V135" s="364">
        <f t="shared" si="91"/>
        <v>16</v>
      </c>
      <c r="W135" s="364">
        <f t="shared" si="91"/>
        <v>16</v>
      </c>
      <c r="X135" s="364">
        <f t="shared" si="91"/>
        <v>16</v>
      </c>
      <c r="Y135" s="364">
        <f t="shared" si="91"/>
        <v>16</v>
      </c>
      <c r="Z135" s="364">
        <f t="shared" si="91"/>
        <v>16</v>
      </c>
      <c r="AA135" s="364">
        <f t="shared" si="91"/>
        <v>16</v>
      </c>
      <c r="AB135" s="364">
        <f t="shared" si="91"/>
        <v>16</v>
      </c>
      <c r="AC135" s="364">
        <f t="shared" si="91"/>
        <v>16</v>
      </c>
      <c r="AD135" s="364">
        <f t="shared" si="91"/>
        <v>16</v>
      </c>
      <c r="AE135" s="364">
        <f t="shared" si="91"/>
        <v>16</v>
      </c>
      <c r="AF135" s="364">
        <f t="shared" si="91"/>
        <v>16</v>
      </c>
      <c r="AG135" s="364">
        <f t="shared" si="91"/>
        <v>16</v>
      </c>
      <c r="AH135" s="364">
        <f t="shared" si="91"/>
        <v>16</v>
      </c>
      <c r="AI135" s="364">
        <f t="shared" si="91"/>
        <v>16</v>
      </c>
      <c r="AJ135" s="364">
        <f t="shared" si="91"/>
        <v>16</v>
      </c>
      <c r="AK135" s="364">
        <f t="shared" si="91"/>
        <v>16</v>
      </c>
      <c r="AL135" s="364">
        <f t="shared" si="91"/>
        <v>16</v>
      </c>
      <c r="AM135" s="364">
        <f t="shared" si="91"/>
        <v>16</v>
      </c>
      <c r="AN135" s="364">
        <f t="shared" si="91"/>
        <v>16</v>
      </c>
      <c r="AO135" s="364">
        <f t="shared" si="91"/>
        <v>16</v>
      </c>
      <c r="AP135" s="364">
        <f t="shared" si="91"/>
        <v>16</v>
      </c>
      <c r="AQ135" s="364">
        <f t="shared" si="91"/>
        <v>16</v>
      </c>
      <c r="AR135" s="364">
        <f t="shared" si="91"/>
        <v>16</v>
      </c>
      <c r="AS135" s="364">
        <f t="shared" si="91"/>
        <v>16</v>
      </c>
      <c r="AT135" s="364">
        <f t="shared" si="91"/>
        <v>16</v>
      </c>
      <c r="AU135" s="364">
        <f t="shared" si="91"/>
        <v>16</v>
      </c>
      <c r="AV135" s="364">
        <f t="shared" si="91"/>
        <v>16</v>
      </c>
      <c r="AW135" s="90"/>
      <c r="AX135" s="90"/>
      <c r="AY135" s="90"/>
      <c r="AZ135" s="90"/>
      <c r="BA135" s="90"/>
      <c r="BB135" s="90"/>
      <c r="BC135" s="90"/>
      <c r="BD135" s="90"/>
      <c r="BE135" s="90"/>
      <c r="BF135" s="90"/>
      <c r="BG135" s="90"/>
      <c r="BH135" s="90"/>
      <c r="BI135" s="90"/>
      <c r="BJ135" s="90"/>
      <c r="BK135" s="90"/>
      <c r="BL135" s="90"/>
      <c r="BM135" s="90"/>
      <c r="BN135" s="90"/>
      <c r="BO135" s="90"/>
      <c r="BP135" s="90"/>
      <c r="BQ135" s="90"/>
    </row>
    <row r="136" ht="12.75" hidden="1" customHeight="1" outlineLevel="1"/>
    <row r="137" ht="12.75" hidden="1" customHeight="1" outlineLevel="1">
      <c r="A137" s="316"/>
      <c r="B137" s="195"/>
      <c r="C137" s="90" t="s">
        <v>700</v>
      </c>
      <c r="D137" s="90"/>
      <c r="E137" s="90"/>
      <c r="F137" s="90"/>
      <c r="G137" s="90"/>
      <c r="H137" s="223"/>
      <c r="I137" s="223"/>
      <c r="J137" s="223"/>
      <c r="K137" s="223"/>
      <c r="L137" s="223"/>
      <c r="M137" s="223"/>
      <c r="N137" s="223"/>
      <c r="O137" s="223"/>
      <c r="P137" s="223"/>
      <c r="Q137" s="223"/>
      <c r="R137" s="223"/>
      <c r="S137" s="223"/>
      <c r="T137" s="223"/>
      <c r="U137" s="223"/>
      <c r="V137" s="223"/>
      <c r="W137" s="223"/>
      <c r="X137" s="223"/>
      <c r="Y137" s="223"/>
      <c r="Z137" s="223"/>
      <c r="AA137" s="223"/>
      <c r="AB137" s="223"/>
      <c r="AC137" s="223"/>
      <c r="AD137" s="223"/>
      <c r="AE137" s="223"/>
      <c r="AF137" s="223"/>
      <c r="AG137" s="223"/>
      <c r="AH137" s="223"/>
      <c r="AI137" s="223"/>
      <c r="AJ137" s="223"/>
      <c r="AK137" s="223"/>
      <c r="AL137" s="223"/>
      <c r="AM137" s="223"/>
      <c r="AN137" s="223"/>
      <c r="AO137" s="223"/>
      <c r="AP137" s="223"/>
      <c r="AQ137" s="223"/>
      <c r="AR137" s="223"/>
      <c r="AS137" s="223"/>
      <c r="AT137" s="223"/>
      <c r="AU137" s="223"/>
      <c r="AV137" s="223"/>
      <c r="AW137" s="90"/>
      <c r="AX137" s="90"/>
      <c r="AY137" s="90"/>
      <c r="AZ137" s="90"/>
      <c r="BA137" s="90"/>
      <c r="BB137" s="90"/>
      <c r="BC137" s="90"/>
      <c r="BD137" s="90"/>
      <c r="BE137" s="90"/>
      <c r="BF137" s="90"/>
      <c r="BG137" s="90"/>
      <c r="BH137" s="90"/>
      <c r="BI137" s="90"/>
      <c r="BJ137" s="90"/>
      <c r="BK137" s="90"/>
      <c r="BL137" s="90"/>
      <c r="BM137" s="90"/>
      <c r="BN137" s="90"/>
      <c r="BO137" s="90"/>
      <c r="BP137" s="90"/>
      <c r="BQ137" s="90"/>
    </row>
    <row r="138" ht="12.75" hidden="1" customHeight="1" outlineLevel="1">
      <c r="A138" s="316"/>
      <c r="B138" s="195"/>
      <c r="C138" s="90"/>
      <c r="D138" s="90" t="s">
        <v>701</v>
      </c>
      <c r="E138" s="90"/>
      <c r="F138" s="90"/>
      <c r="G138" s="527"/>
      <c r="H138" s="527"/>
      <c r="I138" s="527"/>
      <c r="J138" s="527"/>
      <c r="K138" s="223">
        <f>'RSGen 1-7'!H139</f>
        <v>1</v>
      </c>
      <c r="L138" s="223">
        <f>'RSGen 1-7'!I139</f>
        <v>1</v>
      </c>
      <c r="M138" s="223">
        <f>'RSGen 1-7'!J139</f>
        <v>1</v>
      </c>
      <c r="N138" s="223">
        <f>'RSGen 1-7'!K139</f>
        <v>1</v>
      </c>
      <c r="O138" s="223">
        <f>'RSGen 1-7'!L139</f>
        <v>1</v>
      </c>
      <c r="P138" s="223">
        <f>'RSGen 1-7'!M139</f>
        <v>1</v>
      </c>
      <c r="Q138" s="223">
        <f>'RSGen 1-7'!N139</f>
        <v>1</v>
      </c>
      <c r="R138" s="223">
        <f>'RSGen 1-7'!O139</f>
        <v>1</v>
      </c>
      <c r="S138" s="223">
        <f>'RSGen 1-7'!P139</f>
        <v>1</v>
      </c>
      <c r="T138" s="223">
        <f>'RSGen 1-7'!Q139</f>
        <v>1</v>
      </c>
      <c r="U138" s="223">
        <f>'RSGen 1-7'!R139</f>
        <v>1</v>
      </c>
      <c r="V138" s="223">
        <f t="shared" ref="V138:AV138" si="92">U138</f>
        <v>1</v>
      </c>
      <c r="W138" s="223">
        <f t="shared" si="92"/>
        <v>1</v>
      </c>
      <c r="X138" s="223">
        <f t="shared" si="92"/>
        <v>1</v>
      </c>
      <c r="Y138" s="223">
        <f t="shared" si="92"/>
        <v>1</v>
      </c>
      <c r="Z138" s="223">
        <f t="shared" si="92"/>
        <v>1</v>
      </c>
      <c r="AA138" s="223">
        <f t="shared" si="92"/>
        <v>1</v>
      </c>
      <c r="AB138" s="223">
        <f t="shared" si="92"/>
        <v>1</v>
      </c>
      <c r="AC138" s="223">
        <f t="shared" si="92"/>
        <v>1</v>
      </c>
      <c r="AD138" s="223">
        <f t="shared" si="92"/>
        <v>1</v>
      </c>
      <c r="AE138" s="223">
        <f t="shared" si="92"/>
        <v>1</v>
      </c>
      <c r="AF138" s="223">
        <f t="shared" si="92"/>
        <v>1</v>
      </c>
      <c r="AG138" s="223">
        <f t="shared" si="92"/>
        <v>1</v>
      </c>
      <c r="AH138" s="223">
        <f t="shared" si="92"/>
        <v>1</v>
      </c>
      <c r="AI138" s="223">
        <f t="shared" si="92"/>
        <v>1</v>
      </c>
      <c r="AJ138" s="223">
        <f t="shared" si="92"/>
        <v>1</v>
      </c>
      <c r="AK138" s="223">
        <f t="shared" si="92"/>
        <v>1</v>
      </c>
      <c r="AL138" s="223">
        <f t="shared" si="92"/>
        <v>1</v>
      </c>
      <c r="AM138" s="223">
        <f t="shared" si="92"/>
        <v>1</v>
      </c>
      <c r="AN138" s="223">
        <f t="shared" si="92"/>
        <v>1</v>
      </c>
      <c r="AO138" s="223">
        <f t="shared" si="92"/>
        <v>1</v>
      </c>
      <c r="AP138" s="223">
        <f t="shared" si="92"/>
        <v>1</v>
      </c>
      <c r="AQ138" s="223">
        <f t="shared" si="92"/>
        <v>1</v>
      </c>
      <c r="AR138" s="223">
        <f t="shared" si="92"/>
        <v>1</v>
      </c>
      <c r="AS138" s="223">
        <f t="shared" si="92"/>
        <v>1</v>
      </c>
      <c r="AT138" s="223">
        <f t="shared" si="92"/>
        <v>1</v>
      </c>
      <c r="AU138" s="223">
        <f t="shared" si="92"/>
        <v>1</v>
      </c>
      <c r="AV138" s="223">
        <f t="shared" si="92"/>
        <v>1</v>
      </c>
      <c r="AW138" s="90" t="s">
        <v>1192</v>
      </c>
      <c r="AX138" s="90"/>
      <c r="AY138" s="90"/>
      <c r="AZ138" s="90"/>
      <c r="BA138" s="90"/>
      <c r="BB138" s="90"/>
      <c r="BC138" s="90"/>
      <c r="BD138" s="90"/>
      <c r="BE138" s="90"/>
      <c r="BF138" s="90"/>
      <c r="BG138" s="90"/>
      <c r="BH138" s="90"/>
      <c r="BI138" s="90"/>
      <c r="BJ138" s="90"/>
      <c r="BK138" s="90"/>
      <c r="BL138" s="90"/>
      <c r="BM138" s="90"/>
      <c r="BN138" s="90"/>
      <c r="BO138" s="90"/>
      <c r="BP138" s="90"/>
      <c r="BQ138" s="90"/>
    </row>
    <row r="139" ht="12.75" hidden="1" customHeight="1" outlineLevel="1">
      <c r="A139" s="316"/>
      <c r="B139" s="195"/>
      <c r="C139" s="90"/>
      <c r="D139" s="90" t="s">
        <v>702</v>
      </c>
      <c r="E139" s="90"/>
      <c r="F139" s="90"/>
      <c r="G139" s="527"/>
      <c r="H139" s="527"/>
      <c r="I139" s="527"/>
      <c r="J139" s="527"/>
      <c r="K139" s="223">
        <f>'RS2'!J138</f>
        <v>0</v>
      </c>
      <c r="L139" s="223">
        <f>'RSGen 1-7'!I140</f>
        <v>1</v>
      </c>
      <c r="M139" s="223">
        <f>'RSGen 1-7'!J140</f>
        <v>1</v>
      </c>
      <c r="N139" s="223">
        <f>'RSGen 1-7'!K140</f>
        <v>1</v>
      </c>
      <c r="O139" s="223">
        <f>'RSGen 1-7'!L140</f>
        <v>1</v>
      </c>
      <c r="P139" s="223">
        <f>'RSGen 1-7'!M140</f>
        <v>1</v>
      </c>
      <c r="Q139" s="223">
        <f>'RSGen 1-7'!N140</f>
        <v>1</v>
      </c>
      <c r="R139" s="223">
        <f>'RSGen 1-7'!O140</f>
        <v>1</v>
      </c>
      <c r="S139" s="223">
        <f>'RSGen 1-7'!P140</f>
        <v>1</v>
      </c>
      <c r="T139" s="223">
        <f>'RSGen 1-7'!Q140</f>
        <v>1</v>
      </c>
      <c r="U139" s="223">
        <f>'RSGen 1-7'!R140</f>
        <v>1</v>
      </c>
      <c r="V139" s="223">
        <f t="shared" ref="V139:AV139" si="93">U139</f>
        <v>1</v>
      </c>
      <c r="W139" s="223">
        <f t="shared" si="93"/>
        <v>1</v>
      </c>
      <c r="X139" s="223">
        <f t="shared" si="93"/>
        <v>1</v>
      </c>
      <c r="Y139" s="223">
        <f t="shared" si="93"/>
        <v>1</v>
      </c>
      <c r="Z139" s="223">
        <f t="shared" si="93"/>
        <v>1</v>
      </c>
      <c r="AA139" s="223">
        <f t="shared" si="93"/>
        <v>1</v>
      </c>
      <c r="AB139" s="223">
        <f t="shared" si="93"/>
        <v>1</v>
      </c>
      <c r="AC139" s="223">
        <f t="shared" si="93"/>
        <v>1</v>
      </c>
      <c r="AD139" s="223">
        <f t="shared" si="93"/>
        <v>1</v>
      </c>
      <c r="AE139" s="223">
        <f t="shared" si="93"/>
        <v>1</v>
      </c>
      <c r="AF139" s="223">
        <f t="shared" si="93"/>
        <v>1</v>
      </c>
      <c r="AG139" s="223">
        <f t="shared" si="93"/>
        <v>1</v>
      </c>
      <c r="AH139" s="223">
        <f t="shared" si="93"/>
        <v>1</v>
      </c>
      <c r="AI139" s="223">
        <f t="shared" si="93"/>
        <v>1</v>
      </c>
      <c r="AJ139" s="223">
        <f t="shared" si="93"/>
        <v>1</v>
      </c>
      <c r="AK139" s="223">
        <f t="shared" si="93"/>
        <v>1</v>
      </c>
      <c r="AL139" s="223">
        <f t="shared" si="93"/>
        <v>1</v>
      </c>
      <c r="AM139" s="223">
        <f t="shared" si="93"/>
        <v>1</v>
      </c>
      <c r="AN139" s="223">
        <f t="shared" si="93"/>
        <v>1</v>
      </c>
      <c r="AO139" s="223">
        <f t="shared" si="93"/>
        <v>1</v>
      </c>
      <c r="AP139" s="223">
        <f t="shared" si="93"/>
        <v>1</v>
      </c>
      <c r="AQ139" s="223">
        <f t="shared" si="93"/>
        <v>1</v>
      </c>
      <c r="AR139" s="223">
        <f t="shared" si="93"/>
        <v>1</v>
      </c>
      <c r="AS139" s="223">
        <f t="shared" si="93"/>
        <v>1</v>
      </c>
      <c r="AT139" s="223">
        <f t="shared" si="93"/>
        <v>1</v>
      </c>
      <c r="AU139" s="223">
        <f t="shared" si="93"/>
        <v>1</v>
      </c>
      <c r="AV139" s="223">
        <f t="shared" si="93"/>
        <v>1</v>
      </c>
      <c r="AW139" s="90"/>
      <c r="AX139" s="90"/>
      <c r="AY139" s="90"/>
      <c r="AZ139" s="90"/>
      <c r="BA139" s="90"/>
      <c r="BB139" s="90"/>
      <c r="BC139" s="90"/>
      <c r="BD139" s="90"/>
      <c r="BE139" s="90"/>
      <c r="BF139" s="90"/>
      <c r="BG139" s="90"/>
      <c r="BH139" s="90"/>
      <c r="BI139" s="90"/>
      <c r="BJ139" s="90"/>
      <c r="BK139" s="90"/>
      <c r="BL139" s="90"/>
      <c r="BM139" s="90"/>
      <c r="BN139" s="90"/>
      <c r="BO139" s="90"/>
      <c r="BP139" s="90"/>
      <c r="BQ139" s="90"/>
    </row>
    <row r="140" ht="12.75" hidden="1" customHeight="1" outlineLevel="1">
      <c r="A140" s="316"/>
      <c r="B140" s="195"/>
      <c r="C140" s="87"/>
      <c r="D140" s="87" t="s">
        <v>703</v>
      </c>
      <c r="E140" s="87"/>
      <c r="F140" s="87"/>
      <c r="G140" s="528"/>
      <c r="H140" s="528"/>
      <c r="I140" s="528"/>
      <c r="J140" s="527"/>
      <c r="K140" s="223">
        <f>'RS2'!J139</f>
        <v>0</v>
      </c>
      <c r="L140" s="223">
        <f>'RSGen 1-7'!I141</f>
        <v>0</v>
      </c>
      <c r="M140" s="223">
        <f>'RSGen 1-7'!J141</f>
        <v>0</v>
      </c>
      <c r="N140" s="223">
        <f>'RSGen 1-7'!K141</f>
        <v>0</v>
      </c>
      <c r="O140" s="223">
        <f>'RSGen 1-7'!L141</f>
        <v>0</v>
      </c>
      <c r="P140" s="223">
        <f>'RSGen 1-7'!M141</f>
        <v>0</v>
      </c>
      <c r="Q140" s="223">
        <f>'RSGen 1-7'!N141</f>
        <v>0</v>
      </c>
      <c r="R140" s="223">
        <f>'RSGen 1-7'!O141</f>
        <v>0</v>
      </c>
      <c r="S140" s="223">
        <f>'RSGen 1-7'!P141</f>
        <v>0</v>
      </c>
      <c r="T140" s="223">
        <f>'RSGen 1-7'!Q141</f>
        <v>0</v>
      </c>
      <c r="U140" s="223">
        <f>'RSGen 1-7'!R141</f>
        <v>0</v>
      </c>
      <c r="V140" s="223" t="str">
        <f>'RSGen 1-7'!S141</f>
        <v/>
      </c>
      <c r="W140" s="223" t="str">
        <f>'RSGen 1-7'!T141</f>
        <v/>
      </c>
      <c r="X140" s="223" t="str">
        <f>'RSGen 1-7'!U141</f>
        <v/>
      </c>
      <c r="Y140" s="223" t="str">
        <f>'RSGen 1-7'!V141</f>
        <v/>
      </c>
      <c r="Z140" s="223" t="str">
        <f>'RSGen 1-7'!W141</f>
        <v/>
      </c>
      <c r="AA140" s="223" t="str">
        <f>'RSGen 1-7'!X141</f>
        <v/>
      </c>
      <c r="AB140" s="223" t="str">
        <f>'RSGen 1-7'!Y141</f>
        <v/>
      </c>
      <c r="AC140" s="223" t="str">
        <f>'RSGen 1-7'!Z141</f>
        <v/>
      </c>
      <c r="AD140" s="223" t="str">
        <f>'RSGen 1-7'!AA141</f>
        <v/>
      </c>
      <c r="AE140" s="223" t="str">
        <f>'RSGen 1-7'!AB141</f>
        <v/>
      </c>
      <c r="AF140" s="223" t="str">
        <f>'RSGen 1-7'!AC141</f>
        <v/>
      </c>
      <c r="AG140" s="223" t="str">
        <f>'RSGen 1-7'!AD141</f>
        <v/>
      </c>
      <c r="AH140" s="223" t="str">
        <f>'RSGen 1-7'!AE141</f>
        <v/>
      </c>
      <c r="AI140" s="223" t="str">
        <f>'RSGen 1-7'!AF141</f>
        <v/>
      </c>
      <c r="AJ140" s="223" t="str">
        <f>'RSGen 1-7'!AG141</f>
        <v/>
      </c>
      <c r="AK140" s="223" t="str">
        <f>'RSGen 1-7'!AH141</f>
        <v/>
      </c>
      <c r="AL140" s="223" t="str">
        <f>'RSGen 1-7'!AI141</f>
        <v/>
      </c>
      <c r="AM140" s="223" t="str">
        <f>'RSGen 1-7'!AJ141</f>
        <v/>
      </c>
      <c r="AN140" s="223" t="str">
        <f>'RSGen 1-7'!AK141</f>
        <v/>
      </c>
      <c r="AO140" s="223" t="str">
        <f>'RSGen 1-7'!AL141</f>
        <v/>
      </c>
      <c r="AP140" s="223" t="str">
        <f>'RSGen 1-7'!AM141</f>
        <v/>
      </c>
      <c r="AQ140" s="223" t="str">
        <f>'RSGen 1-7'!AN141</f>
        <v/>
      </c>
      <c r="AR140" s="223" t="str">
        <f>'RSGen 1-7'!AO141</f>
        <v/>
      </c>
      <c r="AS140" s="223" t="str">
        <f>'RSGen 1-7'!AP141</f>
        <v/>
      </c>
      <c r="AT140" s="223" t="str">
        <f>'RSGen 1-7'!AQ141</f>
        <v/>
      </c>
      <c r="AU140" s="223" t="str">
        <f>'RSGen 1-7'!AR141</f>
        <v/>
      </c>
      <c r="AV140" s="223" t="str">
        <f>'RSGen 1-7'!AS141</f>
        <v/>
      </c>
      <c r="AW140" s="90"/>
      <c r="AX140" s="90"/>
      <c r="AY140" s="90"/>
      <c r="AZ140" s="90"/>
      <c r="BA140" s="90"/>
      <c r="BB140" s="90"/>
      <c r="BC140" s="90"/>
      <c r="BD140" s="90"/>
      <c r="BE140" s="90"/>
      <c r="BF140" s="90"/>
      <c r="BG140" s="90"/>
      <c r="BH140" s="90"/>
      <c r="BI140" s="90"/>
      <c r="BJ140" s="90"/>
      <c r="BK140" s="90"/>
      <c r="BL140" s="90"/>
      <c r="BM140" s="90"/>
      <c r="BN140" s="90"/>
      <c r="BO140" s="90"/>
      <c r="BP140" s="90"/>
      <c r="BQ140" s="90"/>
    </row>
    <row r="141" ht="12.75" hidden="1" customHeight="1" outlineLevel="1">
      <c r="A141" s="316"/>
      <c r="B141" s="195"/>
      <c r="C141" s="90" t="s">
        <v>704</v>
      </c>
      <c r="D141" s="90"/>
      <c r="E141" s="90"/>
      <c r="F141" s="90"/>
      <c r="G141" s="223"/>
      <c r="H141" s="223"/>
      <c r="I141" s="223"/>
      <c r="J141" s="364"/>
      <c r="K141" s="364">
        <f t="shared" ref="K141:AV141" si="94">SUM(K138:K140)</f>
        <v>1</v>
      </c>
      <c r="L141" s="364">
        <f t="shared" si="94"/>
        <v>2</v>
      </c>
      <c r="M141" s="364">
        <f t="shared" si="94"/>
        <v>2</v>
      </c>
      <c r="N141" s="364">
        <f t="shared" si="94"/>
        <v>2</v>
      </c>
      <c r="O141" s="364">
        <f t="shared" si="94"/>
        <v>2</v>
      </c>
      <c r="P141" s="364">
        <f t="shared" si="94"/>
        <v>2</v>
      </c>
      <c r="Q141" s="364">
        <f t="shared" si="94"/>
        <v>2</v>
      </c>
      <c r="R141" s="364">
        <f t="shared" si="94"/>
        <v>2</v>
      </c>
      <c r="S141" s="364">
        <f t="shared" si="94"/>
        <v>2</v>
      </c>
      <c r="T141" s="364">
        <f t="shared" si="94"/>
        <v>2</v>
      </c>
      <c r="U141" s="364">
        <f t="shared" si="94"/>
        <v>2</v>
      </c>
      <c r="V141" s="364">
        <f t="shared" si="94"/>
        <v>2</v>
      </c>
      <c r="W141" s="364">
        <f t="shared" si="94"/>
        <v>2</v>
      </c>
      <c r="X141" s="364">
        <f t="shared" si="94"/>
        <v>2</v>
      </c>
      <c r="Y141" s="364">
        <f t="shared" si="94"/>
        <v>2</v>
      </c>
      <c r="Z141" s="364">
        <f t="shared" si="94"/>
        <v>2</v>
      </c>
      <c r="AA141" s="364">
        <f t="shared" si="94"/>
        <v>2</v>
      </c>
      <c r="AB141" s="364">
        <f t="shared" si="94"/>
        <v>2</v>
      </c>
      <c r="AC141" s="364">
        <f t="shared" si="94"/>
        <v>2</v>
      </c>
      <c r="AD141" s="364">
        <f t="shared" si="94"/>
        <v>2</v>
      </c>
      <c r="AE141" s="364">
        <f t="shared" si="94"/>
        <v>2</v>
      </c>
      <c r="AF141" s="364">
        <f t="shared" si="94"/>
        <v>2</v>
      </c>
      <c r="AG141" s="364">
        <f t="shared" si="94"/>
        <v>2</v>
      </c>
      <c r="AH141" s="364">
        <f t="shared" si="94"/>
        <v>2</v>
      </c>
      <c r="AI141" s="364">
        <f t="shared" si="94"/>
        <v>2</v>
      </c>
      <c r="AJ141" s="364">
        <f t="shared" si="94"/>
        <v>2</v>
      </c>
      <c r="AK141" s="364">
        <f t="shared" si="94"/>
        <v>2</v>
      </c>
      <c r="AL141" s="364">
        <f t="shared" si="94"/>
        <v>2</v>
      </c>
      <c r="AM141" s="364">
        <f t="shared" si="94"/>
        <v>2</v>
      </c>
      <c r="AN141" s="364">
        <f t="shared" si="94"/>
        <v>2</v>
      </c>
      <c r="AO141" s="364">
        <f t="shared" si="94"/>
        <v>2</v>
      </c>
      <c r="AP141" s="364">
        <f t="shared" si="94"/>
        <v>2</v>
      </c>
      <c r="AQ141" s="364">
        <f t="shared" si="94"/>
        <v>2</v>
      </c>
      <c r="AR141" s="364">
        <f t="shared" si="94"/>
        <v>2</v>
      </c>
      <c r="AS141" s="364">
        <f t="shared" si="94"/>
        <v>2</v>
      </c>
      <c r="AT141" s="364">
        <f t="shared" si="94"/>
        <v>2</v>
      </c>
      <c r="AU141" s="364">
        <f t="shared" si="94"/>
        <v>2</v>
      </c>
      <c r="AV141" s="364">
        <f t="shared" si="94"/>
        <v>2</v>
      </c>
      <c r="AW141" s="90"/>
      <c r="AX141" s="90"/>
      <c r="AY141" s="90"/>
      <c r="AZ141" s="90"/>
      <c r="BA141" s="90"/>
      <c r="BB141" s="90"/>
      <c r="BC141" s="90"/>
      <c r="BD141" s="90"/>
      <c r="BE141" s="90"/>
      <c r="BF141" s="90"/>
      <c r="BG141" s="90"/>
      <c r="BH141" s="90"/>
      <c r="BI141" s="90"/>
      <c r="BJ141" s="90"/>
      <c r="BK141" s="90"/>
      <c r="BL141" s="90"/>
      <c r="BM141" s="90"/>
      <c r="BN141" s="90"/>
      <c r="BO141" s="90"/>
      <c r="BP141" s="90"/>
      <c r="BQ141" s="90"/>
    </row>
    <row r="142" ht="12.75" hidden="1" customHeight="1" outlineLevel="1">
      <c r="A142" s="316"/>
      <c r="B142" s="195"/>
      <c r="C142" s="90"/>
      <c r="D142" s="90"/>
      <c r="E142" s="90"/>
      <c r="F142" s="90"/>
      <c r="G142" s="90"/>
      <c r="H142" s="223"/>
      <c r="I142" s="223"/>
      <c r="J142" s="223"/>
      <c r="K142" s="223"/>
      <c r="L142" s="223"/>
      <c r="M142" s="223"/>
      <c r="N142" s="223"/>
      <c r="O142" s="223"/>
      <c r="P142" s="223"/>
      <c r="Q142" s="223"/>
      <c r="R142" s="223"/>
      <c r="S142" s="223"/>
      <c r="T142" s="223"/>
      <c r="U142" s="223"/>
      <c r="V142" s="223"/>
      <c r="W142" s="223"/>
      <c r="X142" s="223"/>
      <c r="Y142" s="223"/>
      <c r="Z142" s="223"/>
      <c r="AA142" s="223"/>
      <c r="AB142" s="223"/>
      <c r="AC142" s="223"/>
      <c r="AD142" s="223"/>
      <c r="AE142" s="223"/>
      <c r="AF142" s="223"/>
      <c r="AG142" s="223"/>
      <c r="AH142" s="223"/>
      <c r="AI142" s="223"/>
      <c r="AJ142" s="223"/>
      <c r="AK142" s="223"/>
      <c r="AL142" s="223"/>
      <c r="AM142" s="223"/>
      <c r="AN142" s="223"/>
      <c r="AO142" s="223"/>
      <c r="AP142" s="223"/>
      <c r="AQ142" s="223"/>
      <c r="AR142" s="223"/>
      <c r="AS142" s="223"/>
      <c r="AT142" s="223"/>
      <c r="AU142" s="223"/>
      <c r="AV142" s="223"/>
      <c r="AW142" s="90"/>
      <c r="AX142" s="90"/>
      <c r="AY142" s="90"/>
      <c r="AZ142" s="90"/>
      <c r="BA142" s="90"/>
      <c r="BB142" s="90"/>
      <c r="BC142" s="90"/>
      <c r="BD142" s="90"/>
      <c r="BE142" s="90"/>
      <c r="BF142" s="90"/>
      <c r="BG142" s="90"/>
      <c r="BH142" s="90"/>
      <c r="BI142" s="90"/>
      <c r="BJ142" s="90"/>
      <c r="BK142" s="90"/>
      <c r="BL142" s="90"/>
      <c r="BM142" s="90"/>
      <c r="BN142" s="90"/>
      <c r="BO142" s="90"/>
      <c r="BP142" s="90"/>
      <c r="BQ142" s="90"/>
    </row>
    <row r="143" ht="12.75" hidden="1" customHeight="1" outlineLevel="1">
      <c r="A143" s="316"/>
      <c r="B143" s="195"/>
      <c r="C143" s="90" t="s">
        <v>705</v>
      </c>
      <c r="D143" s="90"/>
      <c r="E143" s="90"/>
      <c r="F143" s="90"/>
      <c r="G143" s="90"/>
      <c r="H143" s="223"/>
      <c r="I143" s="223"/>
      <c r="J143" s="223"/>
      <c r="K143" s="223"/>
      <c r="L143" s="223"/>
      <c r="M143" s="223"/>
      <c r="N143" s="223"/>
      <c r="O143" s="223"/>
      <c r="P143" s="223"/>
      <c r="Q143" s="223"/>
      <c r="R143" s="223"/>
      <c r="S143" s="223"/>
      <c r="T143" s="223"/>
      <c r="U143" s="223"/>
      <c r="V143" s="223"/>
      <c r="W143" s="223"/>
      <c r="X143" s="223"/>
      <c r="Y143" s="223"/>
      <c r="Z143" s="223"/>
      <c r="AA143" s="223"/>
      <c r="AB143" s="223"/>
      <c r="AC143" s="223"/>
      <c r="AD143" s="223"/>
      <c r="AE143" s="223"/>
      <c r="AF143" s="223"/>
      <c r="AG143" s="223"/>
      <c r="AH143" s="223"/>
      <c r="AI143" s="223"/>
      <c r="AJ143" s="223"/>
      <c r="AK143" s="223"/>
      <c r="AL143" s="223"/>
      <c r="AM143" s="223"/>
      <c r="AN143" s="223"/>
      <c r="AO143" s="223"/>
      <c r="AP143" s="223"/>
      <c r="AQ143" s="223"/>
      <c r="AR143" s="223"/>
      <c r="AS143" s="223"/>
      <c r="AT143" s="223"/>
      <c r="AU143" s="223"/>
      <c r="AV143" s="223"/>
      <c r="AW143" s="90"/>
      <c r="AX143" s="90"/>
      <c r="AY143" s="90"/>
      <c r="AZ143" s="90"/>
      <c r="BA143" s="90"/>
      <c r="BB143" s="90"/>
      <c r="BC143" s="90"/>
      <c r="BD143" s="90"/>
      <c r="BE143" s="90"/>
      <c r="BF143" s="90"/>
      <c r="BG143" s="90"/>
      <c r="BH143" s="90"/>
      <c r="BI143" s="90"/>
      <c r="BJ143" s="90"/>
      <c r="BK143" s="90"/>
      <c r="BL143" s="90"/>
      <c r="BM143" s="90"/>
      <c r="BN143" s="90"/>
      <c r="BO143" s="90"/>
      <c r="BP143" s="90"/>
      <c r="BQ143" s="90"/>
    </row>
    <row r="144" ht="12.75" hidden="1" customHeight="1" outlineLevel="1">
      <c r="A144" s="316"/>
      <c r="B144" s="195"/>
      <c r="C144" s="90"/>
      <c r="D144" s="90" t="s">
        <v>706</v>
      </c>
      <c r="E144" s="90"/>
      <c r="F144" s="90"/>
      <c r="G144" s="527"/>
      <c r="H144" s="527"/>
      <c r="I144" s="527"/>
      <c r="J144" s="527"/>
      <c r="K144" s="223">
        <f>'RS2'!J143</f>
        <v>0</v>
      </c>
      <c r="L144" s="527">
        <v>4.0</v>
      </c>
      <c r="M144" s="527">
        <v>8.0</v>
      </c>
      <c r="N144" s="527">
        <v>8.0</v>
      </c>
      <c r="O144" s="527">
        <v>7.0</v>
      </c>
      <c r="P144" s="223">
        <v>7.0</v>
      </c>
      <c r="Q144" s="223">
        <v>5.0</v>
      </c>
      <c r="R144" s="223">
        <v>5.0</v>
      </c>
      <c r="S144" s="223">
        <v>5.0</v>
      </c>
      <c r="T144" s="223">
        <v>5.0</v>
      </c>
      <c r="U144" s="223">
        <v>5.0</v>
      </c>
      <c r="V144" s="223">
        <v>5.0</v>
      </c>
      <c r="W144" s="223">
        <v>5.0</v>
      </c>
      <c r="X144" s="223">
        <v>5.0</v>
      </c>
      <c r="Y144" s="223">
        <v>5.0</v>
      </c>
      <c r="Z144" s="223">
        <v>5.0</v>
      </c>
      <c r="AA144" s="223">
        <v>5.0</v>
      </c>
      <c r="AB144" s="223">
        <v>5.0</v>
      </c>
      <c r="AC144" s="223">
        <v>5.0</v>
      </c>
      <c r="AD144" s="223">
        <v>5.0</v>
      </c>
      <c r="AE144" s="223">
        <v>5.0</v>
      </c>
      <c r="AF144" s="223">
        <v>5.0</v>
      </c>
      <c r="AG144" s="223">
        <v>5.0</v>
      </c>
      <c r="AH144" s="223">
        <v>5.0</v>
      </c>
      <c r="AI144" s="223">
        <v>5.0</v>
      </c>
      <c r="AJ144" s="223">
        <v>5.0</v>
      </c>
      <c r="AK144" s="223">
        <v>5.0</v>
      </c>
      <c r="AL144" s="223">
        <v>5.0</v>
      </c>
      <c r="AM144" s="223">
        <v>5.0</v>
      </c>
      <c r="AN144" s="223">
        <v>5.0</v>
      </c>
      <c r="AO144" s="223">
        <v>5.0</v>
      </c>
      <c r="AP144" s="223">
        <v>5.0</v>
      </c>
      <c r="AQ144" s="223">
        <v>5.0</v>
      </c>
      <c r="AR144" s="223">
        <v>5.0</v>
      </c>
      <c r="AS144" s="223">
        <v>5.0</v>
      </c>
      <c r="AT144" s="223">
        <v>5.0</v>
      </c>
      <c r="AU144" s="223">
        <v>5.0</v>
      </c>
      <c r="AV144" s="223">
        <v>5.0</v>
      </c>
      <c r="AW144" s="90" t="s">
        <v>1193</v>
      </c>
      <c r="AX144" s="90"/>
      <c r="AY144" s="90"/>
      <c r="AZ144" s="90"/>
      <c r="BA144" s="90"/>
      <c r="BB144" s="90"/>
      <c r="BC144" s="90"/>
      <c r="BD144" s="90"/>
      <c r="BE144" s="90"/>
      <c r="BF144" s="90"/>
      <c r="BG144" s="90"/>
      <c r="BH144" s="90"/>
      <c r="BI144" s="90"/>
      <c r="BJ144" s="90"/>
      <c r="BK144" s="90"/>
      <c r="BL144" s="90"/>
      <c r="BM144" s="90"/>
      <c r="BN144" s="90"/>
      <c r="BO144" s="90"/>
      <c r="BP144" s="90"/>
      <c r="BQ144" s="90"/>
    </row>
    <row r="145" ht="12.75" hidden="1" customHeight="1" outlineLevel="1">
      <c r="A145" s="316"/>
      <c r="B145" s="195"/>
      <c r="C145" s="90"/>
      <c r="D145" s="90" t="s">
        <v>707</v>
      </c>
      <c r="E145" s="90"/>
      <c r="F145" s="90"/>
      <c r="G145" s="527"/>
      <c r="H145" s="527"/>
      <c r="I145" s="527"/>
      <c r="J145" s="527"/>
      <c r="K145" s="223">
        <f>'RS2'!J144</f>
        <v>0</v>
      </c>
      <c r="L145" s="223">
        <f t="shared" ref="L145:N145" si="95">L135-L144</f>
        <v>8</v>
      </c>
      <c r="M145" s="223">
        <f t="shared" si="95"/>
        <v>7</v>
      </c>
      <c r="N145" s="223">
        <f t="shared" si="95"/>
        <v>8</v>
      </c>
      <c r="O145" s="223">
        <v>7.0</v>
      </c>
      <c r="P145" s="223">
        <v>7.0</v>
      </c>
      <c r="Q145" s="223">
        <v>5.0</v>
      </c>
      <c r="R145" s="223">
        <v>5.0</v>
      </c>
      <c r="S145" s="223">
        <v>5.0</v>
      </c>
      <c r="T145" s="223">
        <v>5.0</v>
      </c>
      <c r="U145" s="223">
        <v>5.0</v>
      </c>
      <c r="V145" s="223">
        <v>5.0</v>
      </c>
      <c r="W145" s="223">
        <v>5.0</v>
      </c>
      <c r="X145" s="223">
        <v>5.0</v>
      </c>
      <c r="Y145" s="223">
        <v>5.0</v>
      </c>
      <c r="Z145" s="223">
        <v>5.0</v>
      </c>
      <c r="AA145" s="223">
        <v>5.0</v>
      </c>
      <c r="AB145" s="223">
        <v>5.0</v>
      </c>
      <c r="AC145" s="223">
        <v>5.0</v>
      </c>
      <c r="AD145" s="223">
        <v>5.0</v>
      </c>
      <c r="AE145" s="223">
        <v>5.0</v>
      </c>
      <c r="AF145" s="223">
        <v>5.0</v>
      </c>
      <c r="AG145" s="223">
        <v>5.0</v>
      </c>
      <c r="AH145" s="223">
        <v>5.0</v>
      </c>
      <c r="AI145" s="223">
        <v>5.0</v>
      </c>
      <c r="AJ145" s="223">
        <v>5.0</v>
      </c>
      <c r="AK145" s="223">
        <v>5.0</v>
      </c>
      <c r="AL145" s="223">
        <v>5.0</v>
      </c>
      <c r="AM145" s="223">
        <v>5.0</v>
      </c>
      <c r="AN145" s="223">
        <v>5.0</v>
      </c>
      <c r="AO145" s="223">
        <v>5.0</v>
      </c>
      <c r="AP145" s="223">
        <v>5.0</v>
      </c>
      <c r="AQ145" s="223">
        <v>5.0</v>
      </c>
      <c r="AR145" s="223">
        <v>5.0</v>
      </c>
      <c r="AS145" s="223">
        <v>5.0</v>
      </c>
      <c r="AT145" s="223">
        <v>5.0</v>
      </c>
      <c r="AU145" s="223">
        <v>5.0</v>
      </c>
      <c r="AV145" s="223">
        <v>5.0</v>
      </c>
      <c r="AW145" s="223">
        <v>2.0</v>
      </c>
      <c r="AX145" s="90"/>
      <c r="AY145" s="90"/>
      <c r="AZ145" s="90"/>
      <c r="BA145" s="90"/>
      <c r="BB145" s="90"/>
      <c r="BC145" s="90"/>
      <c r="BD145" s="90"/>
      <c r="BE145" s="90"/>
      <c r="BF145" s="90"/>
      <c r="BG145" s="90"/>
      <c r="BH145" s="90"/>
      <c r="BI145" s="90"/>
      <c r="BJ145" s="90"/>
      <c r="BK145" s="90"/>
      <c r="BL145" s="90"/>
      <c r="BM145" s="90"/>
      <c r="BN145" s="90"/>
      <c r="BO145" s="90"/>
      <c r="BP145" s="90"/>
      <c r="BQ145" s="90"/>
    </row>
    <row r="146" ht="12.75" hidden="1" customHeight="1" outlineLevel="1">
      <c r="A146" s="316"/>
      <c r="B146" s="195"/>
      <c r="C146" s="90"/>
      <c r="D146" s="90" t="s">
        <v>708</v>
      </c>
      <c r="E146" s="90"/>
      <c r="F146" s="90"/>
      <c r="G146" s="527"/>
      <c r="H146" s="527"/>
      <c r="I146" s="527"/>
      <c r="J146" s="527"/>
      <c r="K146" s="223">
        <f>'RS2'!J145</f>
        <v>0</v>
      </c>
      <c r="L146" s="223">
        <f>'RSGen 1-7'!I147</f>
        <v>0</v>
      </c>
      <c r="M146" s="223">
        <f>'RSGen 1-7'!J147</f>
        <v>0</v>
      </c>
      <c r="N146" s="223">
        <f>'RSGen 1-7'!K147</f>
        <v>0</v>
      </c>
      <c r="O146" s="223">
        <f>'RSGen 1-7'!L147</f>
        <v>0</v>
      </c>
      <c r="P146" s="223">
        <f>'RSGen 1-7'!M147</f>
        <v>0</v>
      </c>
      <c r="Q146" s="223">
        <f>'RSGen 1-7'!N147</f>
        <v>0</v>
      </c>
      <c r="R146" s="223">
        <f>'RSGen 1-7'!O147</f>
        <v>0</v>
      </c>
      <c r="S146" s="223">
        <f>'RSGen 1-7'!P147</f>
        <v>0</v>
      </c>
      <c r="T146" s="223">
        <f>'RSGen 1-7'!Q147</f>
        <v>0</v>
      </c>
      <c r="U146" s="223">
        <f>'RSGen 1-7'!R147</f>
        <v>0</v>
      </c>
      <c r="V146" s="223" t="str">
        <f>'RSGen 1-7'!S147</f>
        <v/>
      </c>
      <c r="W146" s="223" t="str">
        <f>'RSGen 1-7'!T147</f>
        <v/>
      </c>
      <c r="X146" s="223" t="str">
        <f>'RSGen 1-7'!U147</f>
        <v/>
      </c>
      <c r="Y146" s="223" t="str">
        <f>'RSGen 1-7'!V147</f>
        <v/>
      </c>
      <c r="Z146" s="223" t="str">
        <f>'RSGen 1-7'!W147</f>
        <v/>
      </c>
      <c r="AA146" s="223" t="str">
        <f>'RSGen 1-7'!X147</f>
        <v/>
      </c>
      <c r="AB146" s="223" t="str">
        <f>'RSGen 1-7'!Y147</f>
        <v/>
      </c>
      <c r="AC146" s="223" t="str">
        <f>'RSGen 1-7'!Z147</f>
        <v/>
      </c>
      <c r="AD146" s="223" t="str">
        <f>'RSGen 1-7'!AA147</f>
        <v/>
      </c>
      <c r="AE146" s="223" t="str">
        <f>'RSGen 1-7'!AB147</f>
        <v/>
      </c>
      <c r="AF146" s="223" t="str">
        <f>'RSGen 1-7'!AC147</f>
        <v/>
      </c>
      <c r="AG146" s="223" t="str">
        <f>'RSGen 1-7'!AD147</f>
        <v/>
      </c>
      <c r="AH146" s="223" t="str">
        <f>'RSGen 1-7'!AE147</f>
        <v/>
      </c>
      <c r="AI146" s="223" t="str">
        <f>'RSGen 1-7'!AF147</f>
        <v/>
      </c>
      <c r="AJ146" s="223" t="str">
        <f>'RSGen 1-7'!AG147</f>
        <v/>
      </c>
      <c r="AK146" s="223" t="str">
        <f>'RSGen 1-7'!AH147</f>
        <v/>
      </c>
      <c r="AL146" s="223" t="str">
        <f>'RSGen 1-7'!AI147</f>
        <v/>
      </c>
      <c r="AM146" s="223" t="str">
        <f>'RSGen 1-7'!AJ147</f>
        <v/>
      </c>
      <c r="AN146" s="223" t="str">
        <f>'RSGen 1-7'!AK147</f>
        <v/>
      </c>
      <c r="AO146" s="223" t="str">
        <f>'RSGen 1-7'!AL147</f>
        <v/>
      </c>
      <c r="AP146" s="223" t="str">
        <f>'RSGen 1-7'!AM147</f>
        <v/>
      </c>
      <c r="AQ146" s="223" t="str">
        <f>'RSGen 1-7'!AN147</f>
        <v/>
      </c>
      <c r="AR146" s="223" t="str">
        <f>'RSGen 1-7'!AO147</f>
        <v/>
      </c>
      <c r="AS146" s="223" t="str">
        <f>'RSGen 1-7'!AP147</f>
        <v/>
      </c>
      <c r="AT146" s="223" t="str">
        <f>'RSGen 1-7'!AQ147</f>
        <v/>
      </c>
      <c r="AU146" s="223" t="str">
        <f>'RSGen 1-7'!AR147</f>
        <v/>
      </c>
      <c r="AV146" s="223" t="str">
        <f>'RSGen 1-7'!AS147</f>
        <v/>
      </c>
      <c r="AW146" s="90" t="s">
        <v>1195</v>
      </c>
      <c r="AX146" s="90"/>
      <c r="AY146" s="90"/>
      <c r="AZ146" s="90"/>
      <c r="BA146" s="90"/>
      <c r="BB146" s="90"/>
      <c r="BC146" s="90"/>
      <c r="BD146" s="90"/>
      <c r="BE146" s="90"/>
      <c r="BF146" s="90"/>
      <c r="BG146" s="90"/>
      <c r="BH146" s="90"/>
      <c r="BI146" s="90"/>
      <c r="BJ146" s="90"/>
      <c r="BK146" s="90"/>
      <c r="BL146" s="90"/>
      <c r="BM146" s="90"/>
      <c r="BN146" s="90"/>
      <c r="BO146" s="90"/>
      <c r="BP146" s="90"/>
      <c r="BQ146" s="90"/>
    </row>
    <row r="147" ht="12.75" hidden="1" customHeight="1" outlineLevel="1">
      <c r="A147" s="316"/>
      <c r="B147" s="195"/>
      <c r="C147" s="148" t="s">
        <v>709</v>
      </c>
      <c r="D147" s="148"/>
      <c r="E147" s="148"/>
      <c r="F147" s="148"/>
      <c r="G147" s="364"/>
      <c r="H147" s="364"/>
      <c r="I147" s="364"/>
      <c r="J147" s="364"/>
      <c r="K147" s="364">
        <f t="shared" ref="K147:AV147" si="96">SUM(K144:K146)</f>
        <v>0</v>
      </c>
      <c r="L147" s="364">
        <f t="shared" si="96"/>
        <v>12</v>
      </c>
      <c r="M147" s="364">
        <f t="shared" si="96"/>
        <v>15</v>
      </c>
      <c r="N147" s="364">
        <f t="shared" si="96"/>
        <v>16</v>
      </c>
      <c r="O147" s="364">
        <f t="shared" si="96"/>
        <v>14</v>
      </c>
      <c r="P147" s="364">
        <f t="shared" si="96"/>
        <v>14</v>
      </c>
      <c r="Q147" s="364">
        <f t="shared" si="96"/>
        <v>10</v>
      </c>
      <c r="R147" s="364">
        <f t="shared" si="96"/>
        <v>10</v>
      </c>
      <c r="S147" s="364">
        <f t="shared" si="96"/>
        <v>10</v>
      </c>
      <c r="T147" s="364">
        <f t="shared" si="96"/>
        <v>10</v>
      </c>
      <c r="U147" s="364">
        <f t="shared" si="96"/>
        <v>10</v>
      </c>
      <c r="V147" s="364">
        <f t="shared" si="96"/>
        <v>10</v>
      </c>
      <c r="W147" s="364">
        <f t="shared" si="96"/>
        <v>10</v>
      </c>
      <c r="X147" s="364">
        <f t="shared" si="96"/>
        <v>10</v>
      </c>
      <c r="Y147" s="364">
        <f t="shared" si="96"/>
        <v>10</v>
      </c>
      <c r="Z147" s="364">
        <f t="shared" si="96"/>
        <v>10</v>
      </c>
      <c r="AA147" s="364">
        <f t="shared" si="96"/>
        <v>10</v>
      </c>
      <c r="AB147" s="364">
        <f t="shared" si="96"/>
        <v>10</v>
      </c>
      <c r="AC147" s="364">
        <f t="shared" si="96"/>
        <v>10</v>
      </c>
      <c r="AD147" s="364">
        <f t="shared" si="96"/>
        <v>10</v>
      </c>
      <c r="AE147" s="364">
        <f t="shared" si="96"/>
        <v>10</v>
      </c>
      <c r="AF147" s="364">
        <f t="shared" si="96"/>
        <v>10</v>
      </c>
      <c r="AG147" s="364">
        <f t="shared" si="96"/>
        <v>10</v>
      </c>
      <c r="AH147" s="364">
        <f t="shared" si="96"/>
        <v>10</v>
      </c>
      <c r="AI147" s="364">
        <f t="shared" si="96"/>
        <v>10</v>
      </c>
      <c r="AJ147" s="364">
        <f t="shared" si="96"/>
        <v>10</v>
      </c>
      <c r="AK147" s="364">
        <f t="shared" si="96"/>
        <v>10</v>
      </c>
      <c r="AL147" s="364">
        <f t="shared" si="96"/>
        <v>10</v>
      </c>
      <c r="AM147" s="364">
        <f t="shared" si="96"/>
        <v>10</v>
      </c>
      <c r="AN147" s="364">
        <f t="shared" si="96"/>
        <v>10</v>
      </c>
      <c r="AO147" s="364">
        <f t="shared" si="96"/>
        <v>10</v>
      </c>
      <c r="AP147" s="364">
        <f t="shared" si="96"/>
        <v>10</v>
      </c>
      <c r="AQ147" s="364">
        <f t="shared" si="96"/>
        <v>10</v>
      </c>
      <c r="AR147" s="364">
        <f t="shared" si="96"/>
        <v>10</v>
      </c>
      <c r="AS147" s="364">
        <f t="shared" si="96"/>
        <v>10</v>
      </c>
      <c r="AT147" s="364">
        <f t="shared" si="96"/>
        <v>10</v>
      </c>
      <c r="AU147" s="364">
        <f t="shared" si="96"/>
        <v>10</v>
      </c>
      <c r="AV147" s="364">
        <f t="shared" si="96"/>
        <v>10</v>
      </c>
      <c r="AW147" s="90"/>
      <c r="AX147" s="90"/>
      <c r="AY147" s="90"/>
      <c r="AZ147" s="90"/>
      <c r="BA147" s="90"/>
      <c r="BB147" s="90"/>
      <c r="BC147" s="90"/>
      <c r="BD147" s="90"/>
      <c r="BE147" s="90"/>
      <c r="BF147" s="90"/>
      <c r="BG147" s="90"/>
      <c r="BH147" s="90"/>
      <c r="BI147" s="90"/>
      <c r="BJ147" s="90"/>
      <c r="BK147" s="90"/>
      <c r="BL147" s="90"/>
      <c r="BM147" s="90"/>
      <c r="BN147" s="90"/>
      <c r="BO147" s="90"/>
      <c r="BP147" s="90"/>
      <c r="BQ147" s="90"/>
    </row>
    <row r="148" ht="12.75" hidden="1" customHeight="1" outlineLevel="1">
      <c r="A148" s="316"/>
      <c r="B148" s="195"/>
      <c r="C148" s="90"/>
      <c r="D148" s="90"/>
      <c r="E148" s="90"/>
      <c r="F148" s="90"/>
      <c r="G148" s="223"/>
      <c r="H148" s="223"/>
      <c r="I148" s="223"/>
      <c r="J148" s="223"/>
      <c r="K148" s="223"/>
      <c r="L148" s="223"/>
      <c r="M148" s="223"/>
      <c r="N148" s="223"/>
      <c r="O148" s="223"/>
      <c r="P148" s="223"/>
      <c r="Q148" s="223"/>
      <c r="R148" s="223"/>
      <c r="S148" s="223"/>
      <c r="T148" s="223"/>
      <c r="U148" s="223"/>
      <c r="V148" s="223"/>
      <c r="W148" s="223"/>
      <c r="X148" s="223"/>
      <c r="Y148" s="223"/>
      <c r="Z148" s="223"/>
      <c r="AA148" s="223"/>
      <c r="AB148" s="223"/>
      <c r="AC148" s="223"/>
      <c r="AD148" s="223"/>
      <c r="AE148" s="223"/>
      <c r="AF148" s="223"/>
      <c r="AG148" s="223"/>
      <c r="AH148" s="223"/>
      <c r="AI148" s="223"/>
      <c r="AJ148" s="223"/>
      <c r="AK148" s="223"/>
      <c r="AL148" s="223"/>
      <c r="AM148" s="223"/>
      <c r="AN148" s="223"/>
      <c r="AO148" s="223"/>
      <c r="AP148" s="223"/>
      <c r="AQ148" s="223"/>
      <c r="AR148" s="223"/>
      <c r="AS148" s="223"/>
      <c r="AT148" s="223"/>
      <c r="AU148" s="223"/>
      <c r="AV148" s="223"/>
      <c r="AW148" s="90"/>
      <c r="AX148" s="90"/>
      <c r="AY148" s="90"/>
      <c r="AZ148" s="90"/>
      <c r="BA148" s="90"/>
      <c r="BB148" s="90"/>
      <c r="BC148" s="90"/>
      <c r="BD148" s="90"/>
      <c r="BE148" s="90"/>
      <c r="BF148" s="90"/>
      <c r="BG148" s="90"/>
      <c r="BH148" s="90"/>
      <c r="BI148" s="90"/>
      <c r="BJ148" s="90"/>
      <c r="BK148" s="90"/>
      <c r="BL148" s="90"/>
      <c r="BM148" s="90"/>
      <c r="BN148" s="90"/>
      <c r="BO148" s="90"/>
      <c r="BP148" s="90"/>
      <c r="BQ148" s="90"/>
    </row>
    <row r="149" ht="12.75" hidden="1" customHeight="1" outlineLevel="1">
      <c r="A149" s="316"/>
      <c r="B149" s="195"/>
      <c r="C149" s="90" t="s">
        <v>710</v>
      </c>
      <c r="D149" s="90"/>
      <c r="E149" s="90"/>
      <c r="F149" s="90"/>
      <c r="G149" s="223"/>
      <c r="H149" s="223"/>
      <c r="I149" s="223"/>
      <c r="J149" s="223"/>
      <c r="K149" s="223"/>
      <c r="L149" s="223"/>
      <c r="M149" s="223"/>
      <c r="N149" s="223"/>
      <c r="O149" s="223"/>
      <c r="P149" s="223"/>
      <c r="Q149" s="223"/>
      <c r="R149" s="223"/>
      <c r="S149" s="223"/>
      <c r="T149" s="223"/>
      <c r="U149" s="223"/>
      <c r="V149" s="223"/>
      <c r="W149" s="223"/>
      <c r="X149" s="223"/>
      <c r="Y149" s="223"/>
      <c r="Z149" s="223"/>
      <c r="AA149" s="223"/>
      <c r="AB149" s="223"/>
      <c r="AC149" s="223"/>
      <c r="AD149" s="223"/>
      <c r="AE149" s="223"/>
      <c r="AF149" s="223"/>
      <c r="AG149" s="223"/>
      <c r="AH149" s="223"/>
      <c r="AI149" s="223"/>
      <c r="AJ149" s="223"/>
      <c r="AK149" s="223"/>
      <c r="AL149" s="223"/>
      <c r="AM149" s="223"/>
      <c r="AN149" s="223"/>
      <c r="AO149" s="223"/>
      <c r="AP149" s="223"/>
      <c r="AQ149" s="223"/>
      <c r="AR149" s="223"/>
      <c r="AS149" s="223"/>
      <c r="AT149" s="223"/>
      <c r="AU149" s="223"/>
      <c r="AV149" s="223"/>
      <c r="AW149" s="90"/>
      <c r="AX149" s="90"/>
      <c r="AY149" s="90"/>
      <c r="AZ149" s="90"/>
      <c r="BA149" s="90"/>
      <c r="BB149" s="90"/>
      <c r="BC149" s="90"/>
      <c r="BD149" s="90"/>
      <c r="BE149" s="90"/>
      <c r="BF149" s="90"/>
      <c r="BG149" s="90"/>
      <c r="BH149" s="90"/>
      <c r="BI149" s="90"/>
      <c r="BJ149" s="90"/>
      <c r="BK149" s="90"/>
      <c r="BL149" s="90"/>
      <c r="BM149" s="90"/>
      <c r="BN149" s="90"/>
      <c r="BO149" s="90"/>
      <c r="BP149" s="90"/>
      <c r="BQ149" s="90"/>
    </row>
    <row r="150" ht="12.75" hidden="1" customHeight="1" outlineLevel="1">
      <c r="A150" s="316"/>
      <c r="B150" s="195"/>
      <c r="C150" s="90"/>
      <c r="D150" s="90" t="s">
        <v>711</v>
      </c>
      <c r="E150" s="90"/>
      <c r="F150" s="90"/>
      <c r="G150" s="527"/>
      <c r="H150" s="527"/>
      <c r="I150" s="527"/>
      <c r="J150" s="527"/>
      <c r="K150" s="527">
        <f>'RSGen 1-7'!H151</f>
        <v>0.5</v>
      </c>
      <c r="L150" s="527">
        <f>'RSGen 1-7'!I151</f>
        <v>1</v>
      </c>
      <c r="M150" s="527">
        <f>'RSGen 1-7'!J151</f>
        <v>1</v>
      </c>
      <c r="N150" s="527">
        <f>'RSGen 1-7'!K151</f>
        <v>1</v>
      </c>
      <c r="O150" s="527">
        <f>'RSGen 1-7'!L151</f>
        <v>1</v>
      </c>
      <c r="P150" s="527">
        <f>'RSGen 1-7'!M151</f>
        <v>1</v>
      </c>
      <c r="Q150" s="527">
        <f>'RSGen 1-7'!N151</f>
        <v>1</v>
      </c>
      <c r="R150" s="527">
        <f>'RSGen 1-7'!O151</f>
        <v>1</v>
      </c>
      <c r="S150" s="527">
        <f>'RSGen 1-7'!P151</f>
        <v>1</v>
      </c>
      <c r="T150" s="527">
        <f>'RSGen 1-7'!Q151</f>
        <v>1</v>
      </c>
      <c r="U150" s="527">
        <f>'RSGen 1-7'!R151</f>
        <v>1</v>
      </c>
      <c r="V150" s="527">
        <f t="shared" ref="V150:AV150" si="97">U150</f>
        <v>1</v>
      </c>
      <c r="W150" s="527">
        <f t="shared" si="97"/>
        <v>1</v>
      </c>
      <c r="X150" s="527">
        <f t="shared" si="97"/>
        <v>1</v>
      </c>
      <c r="Y150" s="527">
        <f t="shared" si="97"/>
        <v>1</v>
      </c>
      <c r="Z150" s="527">
        <f t="shared" si="97"/>
        <v>1</v>
      </c>
      <c r="AA150" s="527">
        <f t="shared" si="97"/>
        <v>1</v>
      </c>
      <c r="AB150" s="527">
        <f t="shared" si="97"/>
        <v>1</v>
      </c>
      <c r="AC150" s="527">
        <f t="shared" si="97"/>
        <v>1</v>
      </c>
      <c r="AD150" s="527">
        <f t="shared" si="97"/>
        <v>1</v>
      </c>
      <c r="AE150" s="527">
        <f t="shared" si="97"/>
        <v>1</v>
      </c>
      <c r="AF150" s="527">
        <f t="shared" si="97"/>
        <v>1</v>
      </c>
      <c r="AG150" s="527">
        <f t="shared" si="97"/>
        <v>1</v>
      </c>
      <c r="AH150" s="527">
        <f t="shared" si="97"/>
        <v>1</v>
      </c>
      <c r="AI150" s="527">
        <f t="shared" si="97"/>
        <v>1</v>
      </c>
      <c r="AJ150" s="527">
        <f t="shared" si="97"/>
        <v>1</v>
      </c>
      <c r="AK150" s="527">
        <f t="shared" si="97"/>
        <v>1</v>
      </c>
      <c r="AL150" s="527">
        <f t="shared" si="97"/>
        <v>1</v>
      </c>
      <c r="AM150" s="527">
        <f t="shared" si="97"/>
        <v>1</v>
      </c>
      <c r="AN150" s="527">
        <f t="shared" si="97"/>
        <v>1</v>
      </c>
      <c r="AO150" s="527">
        <f t="shared" si="97"/>
        <v>1</v>
      </c>
      <c r="AP150" s="527">
        <f t="shared" si="97"/>
        <v>1</v>
      </c>
      <c r="AQ150" s="527">
        <f t="shared" si="97"/>
        <v>1</v>
      </c>
      <c r="AR150" s="527">
        <f t="shared" si="97"/>
        <v>1</v>
      </c>
      <c r="AS150" s="527">
        <f t="shared" si="97"/>
        <v>1</v>
      </c>
      <c r="AT150" s="527">
        <f t="shared" si="97"/>
        <v>1</v>
      </c>
      <c r="AU150" s="527">
        <f t="shared" si="97"/>
        <v>1</v>
      </c>
      <c r="AV150" s="527">
        <f t="shared" si="97"/>
        <v>1</v>
      </c>
      <c r="AW150" s="90"/>
      <c r="AX150" s="90"/>
      <c r="AY150" s="90"/>
      <c r="AZ150" s="90"/>
      <c r="BA150" s="90"/>
      <c r="BB150" s="90"/>
      <c r="BC150" s="90"/>
      <c r="BD150" s="90"/>
      <c r="BE150" s="90"/>
      <c r="BF150" s="90"/>
      <c r="BG150" s="90"/>
      <c r="BH150" s="90"/>
      <c r="BI150" s="90"/>
      <c r="BJ150" s="90"/>
      <c r="BK150" s="90"/>
      <c r="BL150" s="90"/>
      <c r="BM150" s="90"/>
      <c r="BN150" s="90"/>
      <c r="BO150" s="90"/>
      <c r="BP150" s="90"/>
      <c r="BQ150" s="90"/>
    </row>
    <row r="151" ht="12.75" hidden="1" customHeight="1" outlineLevel="1">
      <c r="A151" s="316"/>
      <c r="B151" s="195"/>
      <c r="C151" s="90"/>
      <c r="D151" s="90" t="s">
        <v>712</v>
      </c>
      <c r="E151" s="90"/>
      <c r="F151" s="90"/>
      <c r="G151" s="527"/>
      <c r="H151" s="527"/>
      <c r="I151" s="527"/>
      <c r="J151" s="527"/>
      <c r="K151" s="223">
        <f>'RS2'!J150</f>
        <v>0</v>
      </c>
      <c r="L151" s="223">
        <f>'RSGen 1-7'!I152</f>
        <v>2</v>
      </c>
      <c r="M151" s="223">
        <f>'RSGen 1-7'!J152</f>
        <v>2</v>
      </c>
      <c r="N151" s="223">
        <f>'RSGen 1-7'!K152</f>
        <v>2</v>
      </c>
      <c r="O151" s="223">
        <f>'RSGen 1-7'!L152</f>
        <v>2</v>
      </c>
      <c r="P151" s="223">
        <f>'RSGen 1-7'!M152</f>
        <v>2</v>
      </c>
      <c r="Q151" s="223">
        <f>'RSGen 1-7'!N152</f>
        <v>2</v>
      </c>
      <c r="R151" s="223">
        <f>'RSGen 1-7'!O152</f>
        <v>2</v>
      </c>
      <c r="S151" s="223">
        <f>'RSGen 1-7'!P152</f>
        <v>2</v>
      </c>
      <c r="T151" s="223">
        <f>'RSGen 1-7'!Q152</f>
        <v>2</v>
      </c>
      <c r="U151" s="223">
        <f>'RSGen 1-7'!R152</f>
        <v>2</v>
      </c>
      <c r="V151" s="223">
        <f t="shared" ref="V151:AV151" si="98">U151</f>
        <v>2</v>
      </c>
      <c r="W151" s="223">
        <f t="shared" si="98"/>
        <v>2</v>
      </c>
      <c r="X151" s="223">
        <f t="shared" si="98"/>
        <v>2</v>
      </c>
      <c r="Y151" s="223">
        <f t="shared" si="98"/>
        <v>2</v>
      </c>
      <c r="Z151" s="223">
        <f t="shared" si="98"/>
        <v>2</v>
      </c>
      <c r="AA151" s="223">
        <f t="shared" si="98"/>
        <v>2</v>
      </c>
      <c r="AB151" s="223">
        <f t="shared" si="98"/>
        <v>2</v>
      </c>
      <c r="AC151" s="223">
        <f t="shared" si="98"/>
        <v>2</v>
      </c>
      <c r="AD151" s="223">
        <f t="shared" si="98"/>
        <v>2</v>
      </c>
      <c r="AE151" s="223">
        <f t="shared" si="98"/>
        <v>2</v>
      </c>
      <c r="AF151" s="223">
        <f t="shared" si="98"/>
        <v>2</v>
      </c>
      <c r="AG151" s="223">
        <f t="shared" si="98"/>
        <v>2</v>
      </c>
      <c r="AH151" s="223">
        <f t="shared" si="98"/>
        <v>2</v>
      </c>
      <c r="AI151" s="223">
        <f t="shared" si="98"/>
        <v>2</v>
      </c>
      <c r="AJ151" s="223">
        <f t="shared" si="98"/>
        <v>2</v>
      </c>
      <c r="AK151" s="223">
        <f t="shared" si="98"/>
        <v>2</v>
      </c>
      <c r="AL151" s="223">
        <f t="shared" si="98"/>
        <v>2</v>
      </c>
      <c r="AM151" s="223">
        <f t="shared" si="98"/>
        <v>2</v>
      </c>
      <c r="AN151" s="223">
        <f t="shared" si="98"/>
        <v>2</v>
      </c>
      <c r="AO151" s="223">
        <f t="shared" si="98"/>
        <v>2</v>
      </c>
      <c r="AP151" s="223">
        <f t="shared" si="98"/>
        <v>2</v>
      </c>
      <c r="AQ151" s="223">
        <f t="shared" si="98"/>
        <v>2</v>
      </c>
      <c r="AR151" s="223">
        <f t="shared" si="98"/>
        <v>2</v>
      </c>
      <c r="AS151" s="223">
        <f t="shared" si="98"/>
        <v>2</v>
      </c>
      <c r="AT151" s="223">
        <f t="shared" si="98"/>
        <v>2</v>
      </c>
      <c r="AU151" s="223">
        <f t="shared" si="98"/>
        <v>2</v>
      </c>
      <c r="AV151" s="223">
        <f t="shared" si="98"/>
        <v>2</v>
      </c>
      <c r="AW151" s="90"/>
      <c r="AX151" s="90"/>
      <c r="AY151" s="90"/>
      <c r="AZ151" s="90"/>
      <c r="BA151" s="90"/>
      <c r="BB151" s="90"/>
      <c r="BC151" s="90"/>
      <c r="BD151" s="90"/>
      <c r="BE151" s="90"/>
      <c r="BF151" s="90"/>
      <c r="BG151" s="90"/>
      <c r="BH151" s="90"/>
      <c r="BI151" s="90"/>
      <c r="BJ151" s="90"/>
      <c r="BK151" s="90"/>
      <c r="BL151" s="90"/>
      <c r="BM151" s="90"/>
      <c r="BN151" s="90"/>
      <c r="BO151" s="90"/>
      <c r="BP151" s="90"/>
      <c r="BQ151" s="90"/>
    </row>
    <row r="152" ht="12.75" hidden="1" customHeight="1" outlineLevel="1">
      <c r="A152" s="316"/>
      <c r="B152" s="195"/>
      <c r="C152" s="90"/>
      <c r="D152" s="90" t="s">
        <v>713</v>
      </c>
      <c r="E152" s="90"/>
      <c r="F152" s="90"/>
      <c r="G152" s="527"/>
      <c r="H152" s="527"/>
      <c r="I152" s="527"/>
      <c r="J152" s="527"/>
      <c r="K152" s="223" t="str">
        <f>'RS2'!J151</f>
        <v/>
      </c>
      <c r="L152" s="223">
        <f>'RSGen 1-7'!I153</f>
        <v>1.5</v>
      </c>
      <c r="M152" s="223">
        <f>'RSGen 1-7'!J153</f>
        <v>1.5</v>
      </c>
      <c r="N152" s="223">
        <f>'RSGen 1-7'!K153</f>
        <v>1.5</v>
      </c>
      <c r="O152" s="223">
        <f>'RSGen 1-7'!L153</f>
        <v>1.5</v>
      </c>
      <c r="P152" s="223">
        <f>'RSGen 1-7'!M153</f>
        <v>1.5</v>
      </c>
      <c r="Q152" s="223">
        <f>'RSGen 1-7'!N153</f>
        <v>1.5</v>
      </c>
      <c r="R152" s="223">
        <f>'RSGen 1-7'!O153</f>
        <v>1.5</v>
      </c>
      <c r="S152" s="223">
        <f>'RSGen 1-7'!P153</f>
        <v>1.5</v>
      </c>
      <c r="T152" s="223">
        <f>'RSGen 1-7'!Q153</f>
        <v>1.5</v>
      </c>
      <c r="U152" s="223">
        <f>'RSGen 1-7'!R153</f>
        <v>1.5</v>
      </c>
      <c r="V152" s="223">
        <f t="shared" ref="V152:AV152" si="99">U152</f>
        <v>1.5</v>
      </c>
      <c r="W152" s="223">
        <f t="shared" si="99"/>
        <v>1.5</v>
      </c>
      <c r="X152" s="223">
        <f t="shared" si="99"/>
        <v>1.5</v>
      </c>
      <c r="Y152" s="223">
        <f t="shared" si="99"/>
        <v>1.5</v>
      </c>
      <c r="Z152" s="223">
        <f t="shared" si="99"/>
        <v>1.5</v>
      </c>
      <c r="AA152" s="223">
        <f t="shared" si="99"/>
        <v>1.5</v>
      </c>
      <c r="AB152" s="223">
        <f t="shared" si="99"/>
        <v>1.5</v>
      </c>
      <c r="AC152" s="223">
        <f t="shared" si="99"/>
        <v>1.5</v>
      </c>
      <c r="AD152" s="223">
        <f t="shared" si="99"/>
        <v>1.5</v>
      </c>
      <c r="AE152" s="223">
        <f t="shared" si="99"/>
        <v>1.5</v>
      </c>
      <c r="AF152" s="223">
        <f t="shared" si="99"/>
        <v>1.5</v>
      </c>
      <c r="AG152" s="223">
        <f t="shared" si="99"/>
        <v>1.5</v>
      </c>
      <c r="AH152" s="223">
        <f t="shared" si="99"/>
        <v>1.5</v>
      </c>
      <c r="AI152" s="223">
        <f t="shared" si="99"/>
        <v>1.5</v>
      </c>
      <c r="AJ152" s="223">
        <f t="shared" si="99"/>
        <v>1.5</v>
      </c>
      <c r="AK152" s="223">
        <f t="shared" si="99"/>
        <v>1.5</v>
      </c>
      <c r="AL152" s="223">
        <f t="shared" si="99"/>
        <v>1.5</v>
      </c>
      <c r="AM152" s="223">
        <f t="shared" si="99"/>
        <v>1.5</v>
      </c>
      <c r="AN152" s="223">
        <f t="shared" si="99"/>
        <v>1.5</v>
      </c>
      <c r="AO152" s="223">
        <f t="shared" si="99"/>
        <v>1.5</v>
      </c>
      <c r="AP152" s="223">
        <f t="shared" si="99"/>
        <v>1.5</v>
      </c>
      <c r="AQ152" s="223">
        <f t="shared" si="99"/>
        <v>1.5</v>
      </c>
      <c r="AR152" s="223">
        <f t="shared" si="99"/>
        <v>1.5</v>
      </c>
      <c r="AS152" s="223">
        <f t="shared" si="99"/>
        <v>1.5</v>
      </c>
      <c r="AT152" s="223">
        <f t="shared" si="99"/>
        <v>1.5</v>
      </c>
      <c r="AU152" s="223">
        <f t="shared" si="99"/>
        <v>1.5</v>
      </c>
      <c r="AV152" s="223">
        <f t="shared" si="99"/>
        <v>1.5</v>
      </c>
      <c r="AW152" s="90" t="s">
        <v>1196</v>
      </c>
      <c r="AX152" s="90"/>
      <c r="AY152" s="90"/>
      <c r="AZ152" s="90"/>
      <c r="BA152" s="90"/>
      <c r="BB152" s="90"/>
      <c r="BC152" s="90"/>
      <c r="BD152" s="90"/>
      <c r="BE152" s="90"/>
      <c r="BF152" s="90"/>
      <c r="BG152" s="90"/>
      <c r="BH152" s="90"/>
      <c r="BI152" s="90"/>
      <c r="BJ152" s="90"/>
      <c r="BK152" s="90"/>
      <c r="BL152" s="90"/>
      <c r="BM152" s="90"/>
      <c r="BN152" s="90"/>
      <c r="BO152" s="90"/>
      <c r="BP152" s="90"/>
      <c r="BQ152" s="90"/>
    </row>
    <row r="153" ht="12.75" hidden="1" customHeight="1" outlineLevel="1">
      <c r="A153" s="316"/>
      <c r="B153" s="195"/>
      <c r="C153" s="87"/>
      <c r="D153" s="87" t="s">
        <v>714</v>
      </c>
      <c r="E153" s="87"/>
      <c r="F153" s="87"/>
      <c r="G153" s="528"/>
      <c r="H153" s="528"/>
      <c r="I153" s="528"/>
      <c r="J153" s="527"/>
      <c r="K153" s="223" t="str">
        <f>'RS2'!J152</f>
        <v/>
      </c>
      <c r="L153" s="223">
        <f>'RSGen 1-7'!I154</f>
        <v>2.75</v>
      </c>
      <c r="M153" s="223">
        <f>'RSGen 1-7'!J154</f>
        <v>2.75</v>
      </c>
      <c r="N153" s="223">
        <f>'RSGen 1-7'!K154</f>
        <v>2.75</v>
      </c>
      <c r="O153" s="223">
        <f>'RSGen 1-7'!L154</f>
        <v>2.75</v>
      </c>
      <c r="P153" s="223">
        <f>'RSGen 1-7'!M154</f>
        <v>2.75</v>
      </c>
      <c r="Q153" s="223">
        <f>'RSGen 1-7'!N154</f>
        <v>2.75</v>
      </c>
      <c r="R153" s="223">
        <f>'RSGen 1-7'!O154</f>
        <v>2.75</v>
      </c>
      <c r="S153" s="223">
        <f>'RSGen 1-7'!P154</f>
        <v>2.75</v>
      </c>
      <c r="T153" s="223">
        <f>'RSGen 1-7'!Q154</f>
        <v>2.75</v>
      </c>
      <c r="U153" s="223">
        <f>'RSGen 1-7'!R154</f>
        <v>2.75</v>
      </c>
      <c r="V153" s="223">
        <f t="shared" ref="V153:AV153" si="100">U153</f>
        <v>2.75</v>
      </c>
      <c r="W153" s="223">
        <f t="shared" si="100"/>
        <v>2.75</v>
      </c>
      <c r="X153" s="223">
        <f t="shared" si="100"/>
        <v>2.75</v>
      </c>
      <c r="Y153" s="223">
        <f t="shared" si="100"/>
        <v>2.75</v>
      </c>
      <c r="Z153" s="223">
        <f t="shared" si="100"/>
        <v>2.75</v>
      </c>
      <c r="AA153" s="223">
        <f t="shared" si="100"/>
        <v>2.75</v>
      </c>
      <c r="AB153" s="223">
        <f t="shared" si="100"/>
        <v>2.75</v>
      </c>
      <c r="AC153" s="223">
        <f t="shared" si="100"/>
        <v>2.75</v>
      </c>
      <c r="AD153" s="223">
        <f t="shared" si="100"/>
        <v>2.75</v>
      </c>
      <c r="AE153" s="223">
        <f t="shared" si="100"/>
        <v>2.75</v>
      </c>
      <c r="AF153" s="223">
        <f t="shared" si="100"/>
        <v>2.75</v>
      </c>
      <c r="AG153" s="223">
        <f t="shared" si="100"/>
        <v>2.75</v>
      </c>
      <c r="AH153" s="223">
        <f t="shared" si="100"/>
        <v>2.75</v>
      </c>
      <c r="AI153" s="223">
        <f t="shared" si="100"/>
        <v>2.75</v>
      </c>
      <c r="AJ153" s="223">
        <f t="shared" si="100"/>
        <v>2.75</v>
      </c>
      <c r="AK153" s="223">
        <f t="shared" si="100"/>
        <v>2.75</v>
      </c>
      <c r="AL153" s="223">
        <f t="shared" si="100"/>
        <v>2.75</v>
      </c>
      <c r="AM153" s="223">
        <f t="shared" si="100"/>
        <v>2.75</v>
      </c>
      <c r="AN153" s="223">
        <f t="shared" si="100"/>
        <v>2.75</v>
      </c>
      <c r="AO153" s="223">
        <f t="shared" si="100"/>
        <v>2.75</v>
      </c>
      <c r="AP153" s="223">
        <f t="shared" si="100"/>
        <v>2.75</v>
      </c>
      <c r="AQ153" s="223">
        <f t="shared" si="100"/>
        <v>2.75</v>
      </c>
      <c r="AR153" s="223">
        <f t="shared" si="100"/>
        <v>2.75</v>
      </c>
      <c r="AS153" s="223">
        <f t="shared" si="100"/>
        <v>2.75</v>
      </c>
      <c r="AT153" s="223">
        <f t="shared" si="100"/>
        <v>2.75</v>
      </c>
      <c r="AU153" s="223">
        <f t="shared" si="100"/>
        <v>2.75</v>
      </c>
      <c r="AV153" s="223">
        <f t="shared" si="100"/>
        <v>2.75</v>
      </c>
      <c r="AW153" s="90"/>
      <c r="AX153" s="90"/>
      <c r="AY153" s="90"/>
      <c r="AZ153" s="90"/>
      <c r="BA153" s="90"/>
      <c r="BB153" s="90"/>
      <c r="BC153" s="90"/>
      <c r="BD153" s="90"/>
      <c r="BE153" s="90"/>
      <c r="BF153" s="90"/>
      <c r="BG153" s="90"/>
      <c r="BH153" s="90"/>
      <c r="BI153" s="90"/>
      <c r="BJ153" s="90"/>
      <c r="BK153" s="90"/>
      <c r="BL153" s="90"/>
      <c r="BM153" s="90"/>
      <c r="BN153" s="90"/>
      <c r="BO153" s="90"/>
      <c r="BP153" s="90"/>
      <c r="BQ153" s="90"/>
    </row>
    <row r="154" ht="12.75" hidden="1" customHeight="1" outlineLevel="1">
      <c r="A154" s="316"/>
      <c r="B154" s="195"/>
      <c r="C154" s="90" t="s">
        <v>715</v>
      </c>
      <c r="D154" s="90"/>
      <c r="E154" s="90"/>
      <c r="F154" s="90"/>
      <c r="G154" s="223"/>
      <c r="H154" s="223"/>
      <c r="I154" s="223"/>
      <c r="J154" s="364"/>
      <c r="K154" s="364">
        <f t="shared" ref="K154:AV154" si="101">SUM(K149:K153)</f>
        <v>0.5</v>
      </c>
      <c r="L154" s="364">
        <f t="shared" si="101"/>
        <v>7.25</v>
      </c>
      <c r="M154" s="364">
        <f t="shared" si="101"/>
        <v>7.25</v>
      </c>
      <c r="N154" s="364">
        <f t="shared" si="101"/>
        <v>7.25</v>
      </c>
      <c r="O154" s="364">
        <f t="shared" si="101"/>
        <v>7.25</v>
      </c>
      <c r="P154" s="364">
        <f t="shared" si="101"/>
        <v>7.25</v>
      </c>
      <c r="Q154" s="364">
        <f t="shared" si="101"/>
        <v>7.25</v>
      </c>
      <c r="R154" s="364">
        <f t="shared" si="101"/>
        <v>7.25</v>
      </c>
      <c r="S154" s="364">
        <f t="shared" si="101"/>
        <v>7.25</v>
      </c>
      <c r="T154" s="364">
        <f t="shared" si="101"/>
        <v>7.25</v>
      </c>
      <c r="U154" s="364">
        <f t="shared" si="101"/>
        <v>7.25</v>
      </c>
      <c r="V154" s="364">
        <f t="shared" si="101"/>
        <v>7.25</v>
      </c>
      <c r="W154" s="364">
        <f t="shared" si="101"/>
        <v>7.25</v>
      </c>
      <c r="X154" s="364">
        <f t="shared" si="101"/>
        <v>7.25</v>
      </c>
      <c r="Y154" s="364">
        <f t="shared" si="101"/>
        <v>7.25</v>
      </c>
      <c r="Z154" s="364">
        <f t="shared" si="101"/>
        <v>7.25</v>
      </c>
      <c r="AA154" s="364">
        <f t="shared" si="101"/>
        <v>7.25</v>
      </c>
      <c r="AB154" s="364">
        <f t="shared" si="101"/>
        <v>7.25</v>
      </c>
      <c r="AC154" s="364">
        <f t="shared" si="101"/>
        <v>7.25</v>
      </c>
      <c r="AD154" s="364">
        <f t="shared" si="101"/>
        <v>7.25</v>
      </c>
      <c r="AE154" s="364">
        <f t="shared" si="101"/>
        <v>7.25</v>
      </c>
      <c r="AF154" s="364">
        <f t="shared" si="101"/>
        <v>7.25</v>
      </c>
      <c r="AG154" s="364">
        <f t="shared" si="101"/>
        <v>7.25</v>
      </c>
      <c r="AH154" s="364">
        <f t="shared" si="101"/>
        <v>7.25</v>
      </c>
      <c r="AI154" s="364">
        <f t="shared" si="101"/>
        <v>7.25</v>
      </c>
      <c r="AJ154" s="364">
        <f t="shared" si="101"/>
        <v>7.25</v>
      </c>
      <c r="AK154" s="364">
        <f t="shared" si="101"/>
        <v>7.25</v>
      </c>
      <c r="AL154" s="364">
        <f t="shared" si="101"/>
        <v>7.25</v>
      </c>
      <c r="AM154" s="364">
        <f t="shared" si="101"/>
        <v>7.25</v>
      </c>
      <c r="AN154" s="364">
        <f t="shared" si="101"/>
        <v>7.25</v>
      </c>
      <c r="AO154" s="364">
        <f t="shared" si="101"/>
        <v>7.25</v>
      </c>
      <c r="AP154" s="364">
        <f t="shared" si="101"/>
        <v>7.25</v>
      </c>
      <c r="AQ154" s="364">
        <f t="shared" si="101"/>
        <v>7.25</v>
      </c>
      <c r="AR154" s="364">
        <f t="shared" si="101"/>
        <v>7.25</v>
      </c>
      <c r="AS154" s="364">
        <f t="shared" si="101"/>
        <v>7.25</v>
      </c>
      <c r="AT154" s="364">
        <f t="shared" si="101"/>
        <v>7.25</v>
      </c>
      <c r="AU154" s="364">
        <f t="shared" si="101"/>
        <v>7.25</v>
      </c>
      <c r="AV154" s="364">
        <f t="shared" si="101"/>
        <v>7.25</v>
      </c>
      <c r="AW154" s="90"/>
      <c r="AX154" s="90"/>
      <c r="AY154" s="90"/>
      <c r="AZ154" s="90"/>
      <c r="BA154" s="90"/>
      <c r="BB154" s="90"/>
      <c r="BC154" s="90"/>
      <c r="BD154" s="90"/>
      <c r="BE154" s="90"/>
      <c r="BF154" s="90"/>
      <c r="BG154" s="90"/>
      <c r="BH154" s="90"/>
      <c r="BI154" s="90"/>
      <c r="BJ154" s="90"/>
      <c r="BK154" s="90"/>
      <c r="BL154" s="90"/>
      <c r="BM154" s="90"/>
      <c r="BN154" s="90"/>
      <c r="BO154" s="90"/>
      <c r="BP154" s="90"/>
      <c r="BQ154" s="90"/>
    </row>
    <row r="155" ht="12.75" hidden="1" customHeight="1" outlineLevel="1">
      <c r="A155" s="316"/>
      <c r="B155" s="195"/>
      <c r="C155" s="90"/>
      <c r="D155" s="90"/>
      <c r="E155" s="90"/>
      <c r="F155" s="90"/>
      <c r="G155" s="223"/>
      <c r="H155" s="223"/>
      <c r="I155" s="223"/>
      <c r="J155" s="223"/>
      <c r="K155" s="223"/>
      <c r="L155" s="223"/>
      <c r="M155" s="223"/>
      <c r="N155" s="223"/>
      <c r="O155" s="223"/>
      <c r="P155" s="223"/>
      <c r="Q155" s="223"/>
      <c r="R155" s="223"/>
      <c r="S155" s="223"/>
      <c r="T155" s="223"/>
      <c r="U155" s="223"/>
      <c r="V155" s="223"/>
      <c r="W155" s="223"/>
      <c r="X155" s="223"/>
      <c r="Y155" s="223"/>
      <c r="Z155" s="223"/>
      <c r="AA155" s="223"/>
      <c r="AB155" s="223"/>
      <c r="AC155" s="223"/>
      <c r="AD155" s="223"/>
      <c r="AE155" s="223"/>
      <c r="AF155" s="223"/>
      <c r="AG155" s="223"/>
      <c r="AH155" s="223"/>
      <c r="AI155" s="223"/>
      <c r="AJ155" s="223"/>
      <c r="AK155" s="223"/>
      <c r="AL155" s="223"/>
      <c r="AM155" s="223"/>
      <c r="AN155" s="223"/>
      <c r="AO155" s="223"/>
      <c r="AP155" s="223"/>
      <c r="AQ155" s="223"/>
      <c r="AR155" s="223"/>
      <c r="AS155" s="223"/>
      <c r="AT155" s="223"/>
      <c r="AU155" s="223"/>
      <c r="AV155" s="223"/>
      <c r="AW155" s="90"/>
      <c r="AX155" s="90"/>
      <c r="AY155" s="90"/>
      <c r="AZ155" s="90"/>
      <c r="BA155" s="90"/>
      <c r="BB155" s="90"/>
      <c r="BC155" s="90"/>
      <c r="BD155" s="90"/>
      <c r="BE155" s="90"/>
      <c r="BF155" s="90"/>
      <c r="BG155" s="90"/>
      <c r="BH155" s="90"/>
      <c r="BI155" s="90"/>
      <c r="BJ155" s="90"/>
      <c r="BK155" s="90"/>
      <c r="BL155" s="90"/>
      <c r="BM155" s="90"/>
      <c r="BN155" s="90"/>
      <c r="BO155" s="90"/>
      <c r="BP155" s="90"/>
      <c r="BQ155" s="90"/>
    </row>
    <row r="156" ht="12.75" hidden="1" customHeight="1" outlineLevel="1">
      <c r="A156" s="316"/>
      <c r="B156" s="195"/>
      <c r="C156" s="90" t="s">
        <v>716</v>
      </c>
      <c r="D156" s="90"/>
      <c r="E156" s="90"/>
      <c r="F156" s="90"/>
      <c r="G156" s="223"/>
      <c r="H156" s="223"/>
      <c r="I156" s="223"/>
      <c r="J156" s="223"/>
      <c r="K156" s="223">
        <f t="shared" ref="K156:AV156" si="102">K141+K147</f>
        <v>1</v>
      </c>
      <c r="L156" s="223">
        <f t="shared" si="102"/>
        <v>14</v>
      </c>
      <c r="M156" s="223">
        <f t="shared" si="102"/>
        <v>17</v>
      </c>
      <c r="N156" s="223">
        <f t="shared" si="102"/>
        <v>18</v>
      </c>
      <c r="O156" s="223">
        <f t="shared" si="102"/>
        <v>16</v>
      </c>
      <c r="P156" s="223">
        <f t="shared" si="102"/>
        <v>16</v>
      </c>
      <c r="Q156" s="223">
        <f t="shared" si="102"/>
        <v>12</v>
      </c>
      <c r="R156" s="223">
        <f t="shared" si="102"/>
        <v>12</v>
      </c>
      <c r="S156" s="223">
        <f t="shared" si="102"/>
        <v>12</v>
      </c>
      <c r="T156" s="223">
        <f t="shared" si="102"/>
        <v>12</v>
      </c>
      <c r="U156" s="223">
        <f t="shared" si="102"/>
        <v>12</v>
      </c>
      <c r="V156" s="223">
        <f t="shared" si="102"/>
        <v>12</v>
      </c>
      <c r="W156" s="223">
        <f t="shared" si="102"/>
        <v>12</v>
      </c>
      <c r="X156" s="223">
        <f t="shared" si="102"/>
        <v>12</v>
      </c>
      <c r="Y156" s="223">
        <f t="shared" si="102"/>
        <v>12</v>
      </c>
      <c r="Z156" s="223">
        <f t="shared" si="102"/>
        <v>12</v>
      </c>
      <c r="AA156" s="223">
        <f t="shared" si="102"/>
        <v>12</v>
      </c>
      <c r="AB156" s="223">
        <f t="shared" si="102"/>
        <v>12</v>
      </c>
      <c r="AC156" s="223">
        <f t="shared" si="102"/>
        <v>12</v>
      </c>
      <c r="AD156" s="223">
        <f t="shared" si="102"/>
        <v>12</v>
      </c>
      <c r="AE156" s="223">
        <f t="shared" si="102"/>
        <v>12</v>
      </c>
      <c r="AF156" s="223">
        <f t="shared" si="102"/>
        <v>12</v>
      </c>
      <c r="AG156" s="223">
        <f t="shared" si="102"/>
        <v>12</v>
      </c>
      <c r="AH156" s="223">
        <f t="shared" si="102"/>
        <v>12</v>
      </c>
      <c r="AI156" s="223">
        <f t="shared" si="102"/>
        <v>12</v>
      </c>
      <c r="AJ156" s="223">
        <f t="shared" si="102"/>
        <v>12</v>
      </c>
      <c r="AK156" s="223">
        <f t="shared" si="102"/>
        <v>12</v>
      </c>
      <c r="AL156" s="223">
        <f t="shared" si="102"/>
        <v>12</v>
      </c>
      <c r="AM156" s="223">
        <f t="shared" si="102"/>
        <v>12</v>
      </c>
      <c r="AN156" s="223">
        <f t="shared" si="102"/>
        <v>12</v>
      </c>
      <c r="AO156" s="223">
        <f t="shared" si="102"/>
        <v>12</v>
      </c>
      <c r="AP156" s="223">
        <f t="shared" si="102"/>
        <v>12</v>
      </c>
      <c r="AQ156" s="223">
        <f t="shared" si="102"/>
        <v>12</v>
      </c>
      <c r="AR156" s="223">
        <f t="shared" si="102"/>
        <v>12</v>
      </c>
      <c r="AS156" s="223">
        <f t="shared" si="102"/>
        <v>12</v>
      </c>
      <c r="AT156" s="223">
        <f t="shared" si="102"/>
        <v>12</v>
      </c>
      <c r="AU156" s="223">
        <f t="shared" si="102"/>
        <v>12</v>
      </c>
      <c r="AV156" s="223">
        <f t="shared" si="102"/>
        <v>12</v>
      </c>
      <c r="AW156" s="90" t="s">
        <v>1197</v>
      </c>
      <c r="AX156" s="90"/>
      <c r="AY156" s="90"/>
      <c r="AZ156" s="90"/>
      <c r="BA156" s="90"/>
      <c r="BB156" s="90"/>
      <c r="BC156" s="90"/>
      <c r="BD156" s="90"/>
      <c r="BE156" s="90"/>
      <c r="BF156" s="90"/>
      <c r="BG156" s="90"/>
      <c r="BH156" s="90"/>
      <c r="BI156" s="90"/>
      <c r="BJ156" s="90"/>
      <c r="BK156" s="90"/>
      <c r="BL156" s="90"/>
      <c r="BM156" s="90"/>
      <c r="BN156" s="90"/>
      <c r="BO156" s="90"/>
      <c r="BP156" s="90"/>
      <c r="BQ156" s="90"/>
    </row>
    <row r="157" ht="12.75" hidden="1" customHeight="1" outlineLevel="1">
      <c r="A157" s="316"/>
      <c r="B157" s="195"/>
      <c r="C157" s="87" t="s">
        <v>717</v>
      </c>
      <c r="D157" s="87"/>
      <c r="E157" s="87"/>
      <c r="F157" s="87"/>
      <c r="G157" s="367"/>
      <c r="H157" s="367"/>
      <c r="I157" s="367"/>
      <c r="J157" s="367"/>
      <c r="K157" s="367">
        <f t="shared" ref="K157:AV157" si="103">K154</f>
        <v>0.5</v>
      </c>
      <c r="L157" s="367">
        <f t="shared" si="103"/>
        <v>7.25</v>
      </c>
      <c r="M157" s="367">
        <f t="shared" si="103"/>
        <v>7.25</v>
      </c>
      <c r="N157" s="367">
        <f t="shared" si="103"/>
        <v>7.25</v>
      </c>
      <c r="O157" s="367">
        <f t="shared" si="103"/>
        <v>7.25</v>
      </c>
      <c r="P157" s="367">
        <f t="shared" si="103"/>
        <v>7.25</v>
      </c>
      <c r="Q157" s="367">
        <f t="shared" si="103"/>
        <v>7.25</v>
      </c>
      <c r="R157" s="367">
        <f t="shared" si="103"/>
        <v>7.25</v>
      </c>
      <c r="S157" s="367">
        <f t="shared" si="103"/>
        <v>7.25</v>
      </c>
      <c r="T157" s="367">
        <f t="shared" si="103"/>
        <v>7.25</v>
      </c>
      <c r="U157" s="367">
        <f t="shared" si="103"/>
        <v>7.25</v>
      </c>
      <c r="V157" s="367">
        <f t="shared" si="103"/>
        <v>7.25</v>
      </c>
      <c r="W157" s="367">
        <f t="shared" si="103"/>
        <v>7.25</v>
      </c>
      <c r="X157" s="367">
        <f t="shared" si="103"/>
        <v>7.25</v>
      </c>
      <c r="Y157" s="367">
        <f t="shared" si="103"/>
        <v>7.25</v>
      </c>
      <c r="Z157" s="367">
        <f t="shared" si="103"/>
        <v>7.25</v>
      </c>
      <c r="AA157" s="367">
        <f t="shared" si="103"/>
        <v>7.25</v>
      </c>
      <c r="AB157" s="367">
        <f t="shared" si="103"/>
        <v>7.25</v>
      </c>
      <c r="AC157" s="367">
        <f t="shared" si="103"/>
        <v>7.25</v>
      </c>
      <c r="AD157" s="367">
        <f t="shared" si="103"/>
        <v>7.25</v>
      </c>
      <c r="AE157" s="367">
        <f t="shared" si="103"/>
        <v>7.25</v>
      </c>
      <c r="AF157" s="367">
        <f t="shared" si="103"/>
        <v>7.25</v>
      </c>
      <c r="AG157" s="367">
        <f t="shared" si="103"/>
        <v>7.25</v>
      </c>
      <c r="AH157" s="367">
        <f t="shared" si="103"/>
        <v>7.25</v>
      </c>
      <c r="AI157" s="367">
        <f t="shared" si="103"/>
        <v>7.25</v>
      </c>
      <c r="AJ157" s="367">
        <f t="shared" si="103"/>
        <v>7.25</v>
      </c>
      <c r="AK157" s="367">
        <f t="shared" si="103"/>
        <v>7.25</v>
      </c>
      <c r="AL157" s="367">
        <f t="shared" si="103"/>
        <v>7.25</v>
      </c>
      <c r="AM157" s="367">
        <f t="shared" si="103"/>
        <v>7.25</v>
      </c>
      <c r="AN157" s="367">
        <f t="shared" si="103"/>
        <v>7.25</v>
      </c>
      <c r="AO157" s="367">
        <f t="shared" si="103"/>
        <v>7.25</v>
      </c>
      <c r="AP157" s="367">
        <f t="shared" si="103"/>
        <v>7.25</v>
      </c>
      <c r="AQ157" s="367">
        <f t="shared" si="103"/>
        <v>7.25</v>
      </c>
      <c r="AR157" s="367">
        <f t="shared" si="103"/>
        <v>7.25</v>
      </c>
      <c r="AS157" s="367">
        <f t="shared" si="103"/>
        <v>7.25</v>
      </c>
      <c r="AT157" s="367">
        <f t="shared" si="103"/>
        <v>7.25</v>
      </c>
      <c r="AU157" s="367">
        <f t="shared" si="103"/>
        <v>7.25</v>
      </c>
      <c r="AV157" s="367">
        <f t="shared" si="103"/>
        <v>7.25</v>
      </c>
      <c r="AW157" s="90"/>
      <c r="AX157" s="90"/>
      <c r="AY157" s="90"/>
      <c r="AZ157" s="90"/>
      <c r="BA157" s="90"/>
      <c r="BB157" s="90"/>
      <c r="BC157" s="90"/>
      <c r="BD157" s="90"/>
      <c r="BE157" s="90"/>
      <c r="BF157" s="90"/>
      <c r="BG157" s="90"/>
      <c r="BH157" s="90"/>
      <c r="BI157" s="90"/>
      <c r="BJ157" s="90"/>
      <c r="BK157" s="90"/>
      <c r="BL157" s="90"/>
      <c r="BM157" s="90"/>
      <c r="BN157" s="90"/>
      <c r="BO157" s="90"/>
      <c r="BP157" s="90"/>
      <c r="BQ157" s="90"/>
    </row>
    <row r="158" ht="12.75" hidden="1" customHeight="1" outlineLevel="1">
      <c r="A158" s="316"/>
      <c r="B158" s="195"/>
      <c r="C158" s="90" t="s">
        <v>718</v>
      </c>
      <c r="D158" s="67"/>
      <c r="E158" s="67"/>
      <c r="F158" s="67"/>
      <c r="G158" s="223"/>
      <c r="H158" s="223"/>
      <c r="I158" s="223"/>
      <c r="J158" s="223"/>
      <c r="K158" s="223">
        <f t="shared" ref="K158:AV158" si="104">K156+K157</f>
        <v>1.5</v>
      </c>
      <c r="L158" s="223">
        <f t="shared" si="104"/>
        <v>21.25</v>
      </c>
      <c r="M158" s="223">
        <f t="shared" si="104"/>
        <v>24.25</v>
      </c>
      <c r="N158" s="223">
        <f t="shared" si="104"/>
        <v>25.25</v>
      </c>
      <c r="O158" s="223">
        <f t="shared" si="104"/>
        <v>23.25</v>
      </c>
      <c r="P158" s="223">
        <f t="shared" si="104"/>
        <v>23.25</v>
      </c>
      <c r="Q158" s="223">
        <f t="shared" si="104"/>
        <v>19.25</v>
      </c>
      <c r="R158" s="223">
        <f t="shared" si="104"/>
        <v>19.25</v>
      </c>
      <c r="S158" s="223">
        <f t="shared" si="104"/>
        <v>19.25</v>
      </c>
      <c r="T158" s="223">
        <f t="shared" si="104"/>
        <v>19.25</v>
      </c>
      <c r="U158" s="223">
        <f t="shared" si="104"/>
        <v>19.25</v>
      </c>
      <c r="V158" s="223">
        <f t="shared" si="104"/>
        <v>19.25</v>
      </c>
      <c r="W158" s="223">
        <f t="shared" si="104"/>
        <v>19.25</v>
      </c>
      <c r="X158" s="223">
        <f t="shared" si="104"/>
        <v>19.25</v>
      </c>
      <c r="Y158" s="223">
        <f t="shared" si="104"/>
        <v>19.25</v>
      </c>
      <c r="Z158" s="223">
        <f t="shared" si="104"/>
        <v>19.25</v>
      </c>
      <c r="AA158" s="223">
        <f t="shared" si="104"/>
        <v>19.25</v>
      </c>
      <c r="AB158" s="223">
        <f t="shared" si="104"/>
        <v>19.25</v>
      </c>
      <c r="AC158" s="223">
        <f t="shared" si="104"/>
        <v>19.25</v>
      </c>
      <c r="AD158" s="223">
        <f t="shared" si="104"/>
        <v>19.25</v>
      </c>
      <c r="AE158" s="223">
        <f t="shared" si="104"/>
        <v>19.25</v>
      </c>
      <c r="AF158" s="223">
        <f t="shared" si="104"/>
        <v>19.25</v>
      </c>
      <c r="AG158" s="223">
        <f t="shared" si="104"/>
        <v>19.25</v>
      </c>
      <c r="AH158" s="223">
        <f t="shared" si="104"/>
        <v>19.25</v>
      </c>
      <c r="AI158" s="223">
        <f t="shared" si="104"/>
        <v>19.25</v>
      </c>
      <c r="AJ158" s="223">
        <f t="shared" si="104"/>
        <v>19.25</v>
      </c>
      <c r="AK158" s="223">
        <f t="shared" si="104"/>
        <v>19.25</v>
      </c>
      <c r="AL158" s="223">
        <f t="shared" si="104"/>
        <v>19.25</v>
      </c>
      <c r="AM158" s="223">
        <f t="shared" si="104"/>
        <v>19.25</v>
      </c>
      <c r="AN158" s="223">
        <f t="shared" si="104"/>
        <v>19.25</v>
      </c>
      <c r="AO158" s="223">
        <f t="shared" si="104"/>
        <v>19.25</v>
      </c>
      <c r="AP158" s="223">
        <f t="shared" si="104"/>
        <v>19.25</v>
      </c>
      <c r="AQ158" s="223">
        <f t="shared" si="104"/>
        <v>19.25</v>
      </c>
      <c r="AR158" s="223">
        <f t="shared" si="104"/>
        <v>19.25</v>
      </c>
      <c r="AS158" s="223">
        <f t="shared" si="104"/>
        <v>19.25</v>
      </c>
      <c r="AT158" s="223">
        <f t="shared" si="104"/>
        <v>19.25</v>
      </c>
      <c r="AU158" s="223">
        <f t="shared" si="104"/>
        <v>19.25</v>
      </c>
      <c r="AV158" s="223">
        <f t="shared" si="104"/>
        <v>19.25</v>
      </c>
      <c r="AW158" s="90"/>
      <c r="AX158" s="90"/>
      <c r="AY158" s="90"/>
      <c r="AZ158" s="90"/>
      <c r="BA158" s="90"/>
      <c r="BB158" s="90"/>
      <c r="BC158" s="90"/>
      <c r="BD158" s="90"/>
      <c r="BE158" s="90"/>
      <c r="BF158" s="90"/>
      <c r="BG158" s="90"/>
      <c r="BH158" s="90"/>
      <c r="BI158" s="90"/>
      <c r="BJ158" s="90"/>
      <c r="BK158" s="90"/>
      <c r="BL158" s="90"/>
      <c r="BM158" s="90"/>
      <c r="BN158" s="90"/>
      <c r="BO158" s="90"/>
      <c r="BP158" s="90"/>
      <c r="BQ158" s="90"/>
    </row>
    <row r="159" ht="12.75" hidden="1" customHeight="1" outlineLevel="1">
      <c r="A159" s="316"/>
      <c r="B159" s="195"/>
      <c r="C159" s="90" t="s">
        <v>719</v>
      </c>
      <c r="D159" s="67"/>
      <c r="E159" s="67"/>
      <c r="F159" s="67"/>
      <c r="G159" s="223"/>
      <c r="H159" s="223"/>
      <c r="I159" s="223"/>
      <c r="J159" s="223"/>
      <c r="K159" s="223">
        <f t="shared" ref="K159:AV159" si="105">K158-J158</f>
        <v>1.5</v>
      </c>
      <c r="L159" s="223">
        <f t="shared" si="105"/>
        <v>19.75</v>
      </c>
      <c r="M159" s="223">
        <f t="shared" si="105"/>
        <v>3</v>
      </c>
      <c r="N159" s="223">
        <f t="shared" si="105"/>
        <v>1</v>
      </c>
      <c r="O159" s="223">
        <f t="shared" si="105"/>
        <v>-2</v>
      </c>
      <c r="P159" s="223">
        <f t="shared" si="105"/>
        <v>0</v>
      </c>
      <c r="Q159" s="223">
        <f t="shared" si="105"/>
        <v>-4</v>
      </c>
      <c r="R159" s="223">
        <f t="shared" si="105"/>
        <v>0</v>
      </c>
      <c r="S159" s="223">
        <f t="shared" si="105"/>
        <v>0</v>
      </c>
      <c r="T159" s="223">
        <f t="shared" si="105"/>
        <v>0</v>
      </c>
      <c r="U159" s="223">
        <f t="shared" si="105"/>
        <v>0</v>
      </c>
      <c r="V159" s="223">
        <f t="shared" si="105"/>
        <v>0</v>
      </c>
      <c r="W159" s="223">
        <f t="shared" si="105"/>
        <v>0</v>
      </c>
      <c r="X159" s="223">
        <f t="shared" si="105"/>
        <v>0</v>
      </c>
      <c r="Y159" s="223">
        <f t="shared" si="105"/>
        <v>0</v>
      </c>
      <c r="Z159" s="223">
        <f t="shared" si="105"/>
        <v>0</v>
      </c>
      <c r="AA159" s="223">
        <f t="shared" si="105"/>
        <v>0</v>
      </c>
      <c r="AB159" s="223">
        <f t="shared" si="105"/>
        <v>0</v>
      </c>
      <c r="AC159" s="223">
        <f t="shared" si="105"/>
        <v>0</v>
      </c>
      <c r="AD159" s="223">
        <f t="shared" si="105"/>
        <v>0</v>
      </c>
      <c r="AE159" s="223">
        <f t="shared" si="105"/>
        <v>0</v>
      </c>
      <c r="AF159" s="223">
        <f t="shared" si="105"/>
        <v>0</v>
      </c>
      <c r="AG159" s="223">
        <f t="shared" si="105"/>
        <v>0</v>
      </c>
      <c r="AH159" s="223">
        <f t="shared" si="105"/>
        <v>0</v>
      </c>
      <c r="AI159" s="223">
        <f t="shared" si="105"/>
        <v>0</v>
      </c>
      <c r="AJ159" s="223">
        <f t="shared" si="105"/>
        <v>0</v>
      </c>
      <c r="AK159" s="223">
        <f t="shared" si="105"/>
        <v>0</v>
      </c>
      <c r="AL159" s="223">
        <f t="shared" si="105"/>
        <v>0</v>
      </c>
      <c r="AM159" s="223">
        <f t="shared" si="105"/>
        <v>0</v>
      </c>
      <c r="AN159" s="223">
        <f t="shared" si="105"/>
        <v>0</v>
      </c>
      <c r="AO159" s="223">
        <f t="shared" si="105"/>
        <v>0</v>
      </c>
      <c r="AP159" s="223">
        <f t="shared" si="105"/>
        <v>0</v>
      </c>
      <c r="AQ159" s="223">
        <f t="shared" si="105"/>
        <v>0</v>
      </c>
      <c r="AR159" s="223">
        <f t="shared" si="105"/>
        <v>0</v>
      </c>
      <c r="AS159" s="223">
        <f t="shared" si="105"/>
        <v>0</v>
      </c>
      <c r="AT159" s="223">
        <f t="shared" si="105"/>
        <v>0</v>
      </c>
      <c r="AU159" s="223">
        <f t="shared" si="105"/>
        <v>0</v>
      </c>
      <c r="AV159" s="223">
        <f t="shared" si="105"/>
        <v>0</v>
      </c>
      <c r="AW159" s="90"/>
      <c r="AX159" s="90"/>
      <c r="AY159" s="90"/>
      <c r="AZ159" s="90"/>
      <c r="BA159" s="90"/>
      <c r="BB159" s="90"/>
      <c r="BC159" s="90"/>
      <c r="BD159" s="90"/>
      <c r="BE159" s="90"/>
      <c r="BF159" s="90"/>
      <c r="BG159" s="90"/>
      <c r="BH159" s="90"/>
      <c r="BI159" s="90"/>
      <c r="BJ159" s="90"/>
      <c r="BK159" s="90"/>
      <c r="BL159" s="90"/>
      <c r="BM159" s="90"/>
      <c r="BN159" s="90"/>
      <c r="BO159" s="90"/>
      <c r="BP159" s="90"/>
      <c r="BQ159" s="90"/>
    </row>
    <row r="160" ht="12.75" hidden="1" customHeight="1" outlineLevel="1">
      <c r="A160" s="316"/>
      <c r="B160" s="195"/>
      <c r="C160" s="90"/>
      <c r="D160" s="67"/>
      <c r="E160" s="67"/>
      <c r="F160" s="67"/>
      <c r="G160" s="67"/>
      <c r="H160" s="369"/>
      <c r="I160" s="369"/>
      <c r="J160" s="369"/>
      <c r="K160" s="369"/>
      <c r="L160" s="369"/>
      <c r="M160" s="369"/>
      <c r="N160" s="369"/>
      <c r="O160" s="369"/>
      <c r="P160" s="369"/>
      <c r="Q160" s="369"/>
      <c r="R160" s="369"/>
      <c r="S160" s="369"/>
      <c r="T160" s="369"/>
      <c r="U160" s="369"/>
      <c r="V160" s="369"/>
      <c r="W160" s="369"/>
      <c r="X160" s="369"/>
      <c r="Y160" s="369"/>
      <c r="Z160" s="369"/>
      <c r="AA160" s="369"/>
      <c r="AB160" s="369"/>
      <c r="AC160" s="369"/>
      <c r="AD160" s="369"/>
      <c r="AE160" s="369"/>
      <c r="AF160" s="369"/>
      <c r="AG160" s="369"/>
      <c r="AH160" s="369"/>
      <c r="AI160" s="369"/>
      <c r="AJ160" s="369"/>
      <c r="AK160" s="369"/>
      <c r="AL160" s="369"/>
      <c r="AM160" s="369"/>
      <c r="AN160" s="369"/>
      <c r="AO160" s="369"/>
      <c r="AP160" s="369"/>
      <c r="AQ160" s="369"/>
      <c r="AR160" s="369"/>
      <c r="AS160" s="369"/>
      <c r="AT160" s="369"/>
      <c r="AU160" s="369"/>
      <c r="AV160" s="369"/>
      <c r="AW160" s="90"/>
      <c r="AX160" s="90"/>
      <c r="AY160" s="90"/>
      <c r="AZ160" s="90"/>
      <c r="BA160" s="90"/>
      <c r="BB160" s="90"/>
      <c r="BC160" s="90"/>
      <c r="BD160" s="90"/>
      <c r="BE160" s="90"/>
      <c r="BF160" s="90"/>
      <c r="BG160" s="90"/>
      <c r="BH160" s="90"/>
      <c r="BI160" s="90"/>
      <c r="BJ160" s="90"/>
      <c r="BK160" s="90"/>
      <c r="BL160" s="90"/>
      <c r="BM160" s="90"/>
      <c r="BN160" s="90"/>
      <c r="BO160" s="90"/>
      <c r="BP160" s="90"/>
      <c r="BQ160" s="90"/>
    </row>
    <row r="161" ht="12.75" hidden="1" customHeight="1" outlineLevel="1">
      <c r="A161" s="316"/>
      <c r="B161" s="67" t="s">
        <v>278</v>
      </c>
      <c r="C161" s="90"/>
      <c r="D161" s="90"/>
      <c r="E161" s="90"/>
      <c r="F161" s="90"/>
      <c r="G161" s="90"/>
      <c r="H161" s="195"/>
      <c r="I161" s="195"/>
      <c r="J161" s="195"/>
      <c r="K161" s="90"/>
      <c r="L161" s="90"/>
      <c r="M161" s="90"/>
      <c r="N161" s="90"/>
      <c r="O161" s="90"/>
      <c r="P161" s="90"/>
      <c r="Q161" s="90"/>
      <c r="R161" s="90"/>
      <c r="S161" s="90"/>
      <c r="T161" s="90"/>
      <c r="U161" s="90"/>
      <c r="V161" s="90"/>
      <c r="W161" s="90"/>
      <c r="X161" s="90"/>
      <c r="Y161" s="90"/>
      <c r="Z161" s="90"/>
      <c r="AA161" s="90"/>
      <c r="AB161" s="90"/>
      <c r="AC161" s="90"/>
      <c r="AD161" s="90"/>
      <c r="AE161" s="90"/>
      <c r="AF161" s="90"/>
      <c r="AG161" s="90"/>
      <c r="AH161" s="90"/>
      <c r="AI161" s="90"/>
      <c r="AJ161" s="90"/>
      <c r="AK161" s="90"/>
      <c r="AL161" s="90"/>
      <c r="AM161" s="90"/>
      <c r="AN161" s="90"/>
      <c r="AO161" s="90"/>
      <c r="AP161" s="90"/>
      <c r="AQ161" s="90"/>
      <c r="AR161" s="90"/>
      <c r="AS161" s="90"/>
      <c r="AT161" s="90"/>
      <c r="AU161" s="90"/>
      <c r="AV161" s="90"/>
      <c r="AW161" s="90"/>
      <c r="AX161" s="90"/>
      <c r="AY161" s="90"/>
      <c r="AZ161" s="90"/>
      <c r="BA161" s="90"/>
      <c r="BB161" s="90"/>
      <c r="BC161" s="90"/>
      <c r="BD161" s="90"/>
      <c r="BE161" s="90"/>
      <c r="BF161" s="90"/>
      <c r="BG161" s="90"/>
      <c r="BH161" s="90"/>
      <c r="BI161" s="90"/>
      <c r="BJ161" s="90"/>
      <c r="BK161" s="90"/>
      <c r="BL161" s="90"/>
      <c r="BM161" s="90"/>
      <c r="BN161" s="90"/>
      <c r="BO161" s="90"/>
      <c r="BP161" s="90"/>
      <c r="BQ161" s="90"/>
    </row>
    <row r="162" ht="12.75" hidden="1" customHeight="1" outlineLevel="1">
      <c r="A162" s="316"/>
      <c r="B162" s="90"/>
      <c r="C162" s="90" t="s">
        <v>720</v>
      </c>
      <c r="D162" s="90"/>
      <c r="E162" s="90"/>
      <c r="F162" s="90"/>
      <c r="G162" s="90"/>
      <c r="H162" s="523"/>
      <c r="I162" s="523"/>
      <c r="J162" s="178"/>
      <c r="K162" s="178">
        <f>Assumptions!D59</f>
        <v>0</v>
      </c>
      <c r="L162" s="178">
        <f>Assumptions!E59</f>
        <v>0.02</v>
      </c>
      <c r="M162" s="178">
        <f>Assumptions!F59</f>
        <v>0.02</v>
      </c>
      <c r="N162" s="178">
        <f>Assumptions!G59</f>
        <v>0.02</v>
      </c>
      <c r="O162" s="178">
        <f>Assumptions!H59</f>
        <v>0.02</v>
      </c>
      <c r="P162" s="178">
        <f>Assumptions!I59</f>
        <v>0.02</v>
      </c>
      <c r="Q162" s="178">
        <f t="shared" ref="Q162:AV162" si="106">P162</f>
        <v>0.02</v>
      </c>
      <c r="R162" s="178">
        <f t="shared" si="106"/>
        <v>0.02</v>
      </c>
      <c r="S162" s="178">
        <f t="shared" si="106"/>
        <v>0.02</v>
      </c>
      <c r="T162" s="178">
        <f t="shared" si="106"/>
        <v>0.02</v>
      </c>
      <c r="U162" s="178">
        <f t="shared" si="106"/>
        <v>0.02</v>
      </c>
      <c r="V162" s="178">
        <f t="shared" si="106"/>
        <v>0.02</v>
      </c>
      <c r="W162" s="178">
        <f t="shared" si="106"/>
        <v>0.02</v>
      </c>
      <c r="X162" s="178">
        <f t="shared" si="106"/>
        <v>0.02</v>
      </c>
      <c r="Y162" s="178">
        <f t="shared" si="106"/>
        <v>0.02</v>
      </c>
      <c r="Z162" s="178">
        <f t="shared" si="106"/>
        <v>0.02</v>
      </c>
      <c r="AA162" s="178">
        <f t="shared" si="106"/>
        <v>0.02</v>
      </c>
      <c r="AB162" s="178">
        <f t="shared" si="106"/>
        <v>0.02</v>
      </c>
      <c r="AC162" s="178">
        <f t="shared" si="106"/>
        <v>0.02</v>
      </c>
      <c r="AD162" s="178">
        <f t="shared" si="106"/>
        <v>0.02</v>
      </c>
      <c r="AE162" s="178">
        <f t="shared" si="106"/>
        <v>0.02</v>
      </c>
      <c r="AF162" s="178">
        <f t="shared" si="106"/>
        <v>0.02</v>
      </c>
      <c r="AG162" s="178">
        <f t="shared" si="106"/>
        <v>0.02</v>
      </c>
      <c r="AH162" s="178">
        <f t="shared" si="106"/>
        <v>0.02</v>
      </c>
      <c r="AI162" s="178">
        <f t="shared" si="106"/>
        <v>0.02</v>
      </c>
      <c r="AJ162" s="178">
        <f t="shared" si="106"/>
        <v>0.02</v>
      </c>
      <c r="AK162" s="178">
        <f t="shared" si="106"/>
        <v>0.02</v>
      </c>
      <c r="AL162" s="178">
        <f t="shared" si="106"/>
        <v>0.02</v>
      </c>
      <c r="AM162" s="178">
        <f t="shared" si="106"/>
        <v>0.02</v>
      </c>
      <c r="AN162" s="178">
        <f t="shared" si="106"/>
        <v>0.02</v>
      </c>
      <c r="AO162" s="178">
        <f t="shared" si="106"/>
        <v>0.02</v>
      </c>
      <c r="AP162" s="178">
        <f t="shared" si="106"/>
        <v>0.02</v>
      </c>
      <c r="AQ162" s="178">
        <f t="shared" si="106"/>
        <v>0.02</v>
      </c>
      <c r="AR162" s="178">
        <f t="shared" si="106"/>
        <v>0.02</v>
      </c>
      <c r="AS162" s="178">
        <f t="shared" si="106"/>
        <v>0.02</v>
      </c>
      <c r="AT162" s="178">
        <f t="shared" si="106"/>
        <v>0.02</v>
      </c>
      <c r="AU162" s="178">
        <f t="shared" si="106"/>
        <v>0.02</v>
      </c>
      <c r="AV162" s="178">
        <f t="shared" si="106"/>
        <v>0.02</v>
      </c>
      <c r="AW162" s="90"/>
      <c r="AX162" s="90"/>
      <c r="AY162" s="90"/>
      <c r="AZ162" s="90"/>
      <c r="BA162" s="90"/>
      <c r="BB162" s="90"/>
      <c r="BC162" s="90"/>
      <c r="BD162" s="90"/>
      <c r="BE162" s="90"/>
      <c r="BF162" s="90"/>
      <c r="BG162" s="90"/>
      <c r="BH162" s="90"/>
      <c r="BI162" s="90"/>
      <c r="BJ162" s="90"/>
      <c r="BK162" s="90"/>
      <c r="BL162" s="90"/>
      <c r="BM162" s="90"/>
      <c r="BN162" s="90"/>
      <c r="BO162" s="90"/>
      <c r="BP162" s="90"/>
      <c r="BQ162" s="90"/>
    </row>
    <row r="163" ht="12.75" hidden="1" customHeight="1" outlineLevel="1">
      <c r="A163" s="316"/>
      <c r="B163" s="90"/>
      <c r="C163" s="90"/>
      <c r="D163" s="90"/>
      <c r="E163" s="90"/>
      <c r="F163" s="90"/>
      <c r="G163" s="90"/>
      <c r="H163" s="195"/>
      <c r="I163" s="195"/>
      <c r="J163" s="195"/>
      <c r="K163" s="90"/>
      <c r="L163" s="99"/>
      <c r="M163" s="99"/>
      <c r="N163" s="99"/>
      <c r="O163" s="99"/>
      <c r="P163" s="99"/>
      <c r="Q163" s="90"/>
      <c r="R163" s="90"/>
      <c r="S163" s="90"/>
      <c r="T163" s="90"/>
      <c r="U163" s="90"/>
      <c r="V163" s="90"/>
      <c r="W163" s="90"/>
      <c r="X163" s="90"/>
      <c r="Y163" s="90"/>
      <c r="Z163" s="90"/>
      <c r="AA163" s="90"/>
      <c r="AB163" s="90"/>
      <c r="AC163" s="90"/>
      <c r="AD163" s="90"/>
      <c r="AE163" s="90"/>
      <c r="AF163" s="90"/>
      <c r="AG163" s="90"/>
      <c r="AH163" s="90"/>
      <c r="AI163" s="90"/>
      <c r="AJ163" s="90"/>
      <c r="AK163" s="90"/>
      <c r="AL163" s="90"/>
      <c r="AM163" s="90"/>
      <c r="AN163" s="90"/>
      <c r="AO163" s="90"/>
      <c r="AP163" s="90"/>
      <c r="AQ163" s="90"/>
      <c r="AR163" s="90"/>
      <c r="AS163" s="90"/>
      <c r="AT163" s="90"/>
      <c r="AU163" s="90"/>
      <c r="AV163" s="90"/>
      <c r="AW163" s="90"/>
      <c r="AX163" s="90"/>
      <c r="AY163" s="90"/>
      <c r="AZ163" s="90"/>
      <c r="BA163" s="90"/>
      <c r="BB163" s="90"/>
      <c r="BC163" s="90"/>
      <c r="BD163" s="90"/>
      <c r="BE163" s="90"/>
      <c r="BF163" s="90"/>
      <c r="BG163" s="90"/>
      <c r="BH163" s="90"/>
      <c r="BI163" s="90"/>
      <c r="BJ163" s="90"/>
      <c r="BK163" s="90"/>
      <c r="BL163" s="90"/>
      <c r="BM163" s="90"/>
      <c r="BN163" s="90"/>
      <c r="BO163" s="90"/>
      <c r="BP163" s="90"/>
      <c r="BQ163" s="90"/>
    </row>
    <row r="164" ht="12.75" hidden="1" customHeight="1" outlineLevel="1">
      <c r="A164" s="316"/>
      <c r="B164" s="371"/>
      <c r="C164" s="90" t="s">
        <v>701</v>
      </c>
      <c r="D164" s="90"/>
      <c r="E164" s="90"/>
      <c r="F164" s="90"/>
      <c r="G164" s="254"/>
      <c r="H164" s="254"/>
      <c r="I164" s="254"/>
      <c r="J164" s="99"/>
      <c r="K164" s="99">
        <f>100000/1.2</f>
        <v>83333.33333</v>
      </c>
      <c r="L164" s="99">
        <f>'RSGen 1-7'!I165</f>
        <v>83333.33333</v>
      </c>
      <c r="M164" s="99">
        <f>'RSGen 1-7'!J165</f>
        <v>100000</v>
      </c>
      <c r="N164" s="99">
        <f>'RS2'!M163</f>
        <v>102000</v>
      </c>
      <c r="O164" s="99">
        <f t="shared" ref="O164:AV164" si="107">N164*(1+O$162)</f>
        <v>104040</v>
      </c>
      <c r="P164" s="99">
        <f t="shared" si="107"/>
        <v>106120.8</v>
      </c>
      <c r="Q164" s="99">
        <f t="shared" si="107"/>
        <v>108243.216</v>
      </c>
      <c r="R164" s="99">
        <f t="shared" si="107"/>
        <v>110408.0803</v>
      </c>
      <c r="S164" s="99">
        <f t="shared" si="107"/>
        <v>112616.2419</v>
      </c>
      <c r="T164" s="99">
        <f t="shared" si="107"/>
        <v>114868.5668</v>
      </c>
      <c r="U164" s="99">
        <f t="shared" si="107"/>
        <v>117165.9381</v>
      </c>
      <c r="V164" s="99">
        <f t="shared" si="107"/>
        <v>119509.2569</v>
      </c>
      <c r="W164" s="99">
        <f t="shared" si="107"/>
        <v>121899.442</v>
      </c>
      <c r="X164" s="99">
        <f t="shared" si="107"/>
        <v>124337.4308</v>
      </c>
      <c r="Y164" s="99">
        <f t="shared" si="107"/>
        <v>126824.1795</v>
      </c>
      <c r="Z164" s="99">
        <f t="shared" si="107"/>
        <v>129360.663</v>
      </c>
      <c r="AA164" s="99">
        <f t="shared" si="107"/>
        <v>131947.8763</v>
      </c>
      <c r="AB164" s="99">
        <f t="shared" si="107"/>
        <v>134586.8338</v>
      </c>
      <c r="AC164" s="99">
        <f t="shared" si="107"/>
        <v>137278.5705</v>
      </c>
      <c r="AD164" s="99">
        <f t="shared" si="107"/>
        <v>140024.1419</v>
      </c>
      <c r="AE164" s="99">
        <f t="shared" si="107"/>
        <v>142824.6248</v>
      </c>
      <c r="AF164" s="99">
        <f t="shared" si="107"/>
        <v>145681.1173</v>
      </c>
      <c r="AG164" s="99">
        <f t="shared" si="107"/>
        <v>148594.7396</v>
      </c>
      <c r="AH164" s="99">
        <f t="shared" si="107"/>
        <v>151566.6344</v>
      </c>
      <c r="AI164" s="99">
        <f t="shared" si="107"/>
        <v>154597.9671</v>
      </c>
      <c r="AJ164" s="99">
        <f t="shared" si="107"/>
        <v>157689.9264</v>
      </c>
      <c r="AK164" s="99">
        <f t="shared" si="107"/>
        <v>160843.7249</v>
      </c>
      <c r="AL164" s="99">
        <f t="shared" si="107"/>
        <v>164060.5994</v>
      </c>
      <c r="AM164" s="99">
        <f t="shared" si="107"/>
        <v>167341.8114</v>
      </c>
      <c r="AN164" s="99">
        <f t="shared" si="107"/>
        <v>170688.6477</v>
      </c>
      <c r="AO164" s="99">
        <f t="shared" si="107"/>
        <v>174102.4206</v>
      </c>
      <c r="AP164" s="99">
        <f t="shared" si="107"/>
        <v>177584.469</v>
      </c>
      <c r="AQ164" s="99">
        <f t="shared" si="107"/>
        <v>181136.1584</v>
      </c>
      <c r="AR164" s="99">
        <f t="shared" si="107"/>
        <v>184758.8816</v>
      </c>
      <c r="AS164" s="99">
        <f t="shared" si="107"/>
        <v>188454.0592</v>
      </c>
      <c r="AT164" s="99">
        <f t="shared" si="107"/>
        <v>192223.1404</v>
      </c>
      <c r="AU164" s="99">
        <f t="shared" si="107"/>
        <v>196067.6032</v>
      </c>
      <c r="AV164" s="99">
        <f t="shared" si="107"/>
        <v>199988.9553</v>
      </c>
      <c r="AW164" s="90"/>
      <c r="AX164" s="90"/>
      <c r="AY164" s="90"/>
      <c r="AZ164" s="90"/>
      <c r="BA164" s="90"/>
      <c r="BB164" s="90"/>
      <c r="BC164" s="90"/>
      <c r="BD164" s="90"/>
      <c r="BE164" s="90"/>
      <c r="BF164" s="90"/>
      <c r="BG164" s="90"/>
      <c r="BH164" s="90"/>
      <c r="BI164" s="90"/>
      <c r="BJ164" s="90"/>
      <c r="BK164" s="90"/>
      <c r="BL164" s="90"/>
      <c r="BM164" s="90"/>
      <c r="BN164" s="90"/>
      <c r="BO164" s="90"/>
      <c r="BP164" s="90"/>
      <c r="BQ164" s="90"/>
    </row>
    <row r="165" ht="12.75" hidden="1" customHeight="1" outlineLevel="1">
      <c r="A165" s="316"/>
      <c r="B165" s="195"/>
      <c r="C165" s="90" t="s">
        <v>721</v>
      </c>
      <c r="D165" s="90"/>
      <c r="E165" s="90"/>
      <c r="F165" s="90"/>
      <c r="G165" s="254"/>
      <c r="H165" s="254"/>
      <c r="I165" s="99"/>
      <c r="J165" s="99"/>
      <c r="K165" s="99">
        <f>'RS2'!J164</f>
        <v>0</v>
      </c>
      <c r="L165" s="99">
        <f>'RSGen 1-7'!I166</f>
        <v>0</v>
      </c>
      <c r="M165" s="99">
        <f t="shared" ref="M165:AV165" si="108">L165*(1+M$162)</f>
        <v>0</v>
      </c>
      <c r="N165" s="99">
        <f t="shared" si="108"/>
        <v>0</v>
      </c>
      <c r="O165" s="99">
        <f t="shared" si="108"/>
        <v>0</v>
      </c>
      <c r="P165" s="99">
        <f t="shared" si="108"/>
        <v>0</v>
      </c>
      <c r="Q165" s="99">
        <f t="shared" si="108"/>
        <v>0</v>
      </c>
      <c r="R165" s="99">
        <f t="shared" si="108"/>
        <v>0</v>
      </c>
      <c r="S165" s="99">
        <f t="shared" si="108"/>
        <v>0</v>
      </c>
      <c r="T165" s="99">
        <f t="shared" si="108"/>
        <v>0</v>
      </c>
      <c r="U165" s="99">
        <f t="shared" si="108"/>
        <v>0</v>
      </c>
      <c r="V165" s="99">
        <f t="shared" si="108"/>
        <v>0</v>
      </c>
      <c r="W165" s="99">
        <f t="shared" si="108"/>
        <v>0</v>
      </c>
      <c r="X165" s="99">
        <f t="shared" si="108"/>
        <v>0</v>
      </c>
      <c r="Y165" s="99">
        <f t="shared" si="108"/>
        <v>0</v>
      </c>
      <c r="Z165" s="99">
        <f t="shared" si="108"/>
        <v>0</v>
      </c>
      <c r="AA165" s="99">
        <f t="shared" si="108"/>
        <v>0</v>
      </c>
      <c r="AB165" s="99">
        <f t="shared" si="108"/>
        <v>0</v>
      </c>
      <c r="AC165" s="99">
        <f t="shared" si="108"/>
        <v>0</v>
      </c>
      <c r="AD165" s="99">
        <f t="shared" si="108"/>
        <v>0</v>
      </c>
      <c r="AE165" s="99">
        <f t="shared" si="108"/>
        <v>0</v>
      </c>
      <c r="AF165" s="99">
        <f t="shared" si="108"/>
        <v>0</v>
      </c>
      <c r="AG165" s="99">
        <f t="shared" si="108"/>
        <v>0</v>
      </c>
      <c r="AH165" s="99">
        <f t="shared" si="108"/>
        <v>0</v>
      </c>
      <c r="AI165" s="99">
        <f t="shared" si="108"/>
        <v>0</v>
      </c>
      <c r="AJ165" s="99">
        <f t="shared" si="108"/>
        <v>0</v>
      </c>
      <c r="AK165" s="99">
        <f t="shared" si="108"/>
        <v>0</v>
      </c>
      <c r="AL165" s="99">
        <f t="shared" si="108"/>
        <v>0</v>
      </c>
      <c r="AM165" s="99">
        <f t="shared" si="108"/>
        <v>0</v>
      </c>
      <c r="AN165" s="99">
        <f t="shared" si="108"/>
        <v>0</v>
      </c>
      <c r="AO165" s="99">
        <f t="shared" si="108"/>
        <v>0</v>
      </c>
      <c r="AP165" s="99">
        <f t="shared" si="108"/>
        <v>0</v>
      </c>
      <c r="AQ165" s="99">
        <f t="shared" si="108"/>
        <v>0</v>
      </c>
      <c r="AR165" s="99">
        <f t="shared" si="108"/>
        <v>0</v>
      </c>
      <c r="AS165" s="99">
        <f t="shared" si="108"/>
        <v>0</v>
      </c>
      <c r="AT165" s="99">
        <f t="shared" si="108"/>
        <v>0</v>
      </c>
      <c r="AU165" s="99">
        <f t="shared" si="108"/>
        <v>0</v>
      </c>
      <c r="AV165" s="99">
        <f t="shared" si="108"/>
        <v>0</v>
      </c>
      <c r="AW165" s="90"/>
      <c r="AX165" s="90"/>
      <c r="AY165" s="90"/>
      <c r="AZ165" s="90"/>
      <c r="BA165" s="90"/>
      <c r="BB165" s="90"/>
      <c r="BC165" s="90"/>
      <c r="BD165" s="90"/>
      <c r="BE165" s="90"/>
      <c r="BF165" s="90"/>
      <c r="BG165" s="90"/>
      <c r="BH165" s="90"/>
      <c r="BI165" s="90"/>
      <c r="BJ165" s="90"/>
      <c r="BK165" s="90"/>
      <c r="BL165" s="90"/>
      <c r="BM165" s="90"/>
      <c r="BN165" s="90"/>
      <c r="BO165" s="90"/>
      <c r="BP165" s="90"/>
      <c r="BQ165" s="90"/>
    </row>
    <row r="166" ht="12.75" hidden="1" customHeight="1" outlineLevel="1">
      <c r="A166" s="316"/>
      <c r="B166" s="195"/>
      <c r="C166" s="90" t="s">
        <v>703</v>
      </c>
      <c r="D166" s="90"/>
      <c r="E166" s="90"/>
      <c r="F166" s="90"/>
      <c r="G166" s="254"/>
      <c r="H166" s="254"/>
      <c r="I166" s="99"/>
      <c r="J166" s="99"/>
      <c r="K166" s="99">
        <f>'RS2'!J165</f>
        <v>0</v>
      </c>
      <c r="L166" s="99">
        <f>'RSGen 1-7'!I167</f>
        <v>0</v>
      </c>
      <c r="M166" s="99">
        <f t="shared" ref="M166:AV166" si="109">L166*(1+M$162)</f>
        <v>0</v>
      </c>
      <c r="N166" s="99">
        <f t="shared" si="109"/>
        <v>0</v>
      </c>
      <c r="O166" s="99">
        <f t="shared" si="109"/>
        <v>0</v>
      </c>
      <c r="P166" s="99">
        <f t="shared" si="109"/>
        <v>0</v>
      </c>
      <c r="Q166" s="99">
        <f t="shared" si="109"/>
        <v>0</v>
      </c>
      <c r="R166" s="99">
        <f t="shared" si="109"/>
        <v>0</v>
      </c>
      <c r="S166" s="99">
        <f t="shared" si="109"/>
        <v>0</v>
      </c>
      <c r="T166" s="99">
        <f t="shared" si="109"/>
        <v>0</v>
      </c>
      <c r="U166" s="99">
        <f t="shared" si="109"/>
        <v>0</v>
      </c>
      <c r="V166" s="99">
        <f t="shared" si="109"/>
        <v>0</v>
      </c>
      <c r="W166" s="99">
        <f t="shared" si="109"/>
        <v>0</v>
      </c>
      <c r="X166" s="99">
        <f t="shared" si="109"/>
        <v>0</v>
      </c>
      <c r="Y166" s="99">
        <f t="shared" si="109"/>
        <v>0</v>
      </c>
      <c r="Z166" s="99">
        <f t="shared" si="109"/>
        <v>0</v>
      </c>
      <c r="AA166" s="99">
        <f t="shared" si="109"/>
        <v>0</v>
      </c>
      <c r="AB166" s="99">
        <f t="shared" si="109"/>
        <v>0</v>
      </c>
      <c r="AC166" s="99">
        <f t="shared" si="109"/>
        <v>0</v>
      </c>
      <c r="AD166" s="99">
        <f t="shared" si="109"/>
        <v>0</v>
      </c>
      <c r="AE166" s="99">
        <f t="shared" si="109"/>
        <v>0</v>
      </c>
      <c r="AF166" s="99">
        <f t="shared" si="109"/>
        <v>0</v>
      </c>
      <c r="AG166" s="99">
        <f t="shared" si="109"/>
        <v>0</v>
      </c>
      <c r="AH166" s="99">
        <f t="shared" si="109"/>
        <v>0</v>
      </c>
      <c r="AI166" s="99">
        <f t="shared" si="109"/>
        <v>0</v>
      </c>
      <c r="AJ166" s="99">
        <f t="shared" si="109"/>
        <v>0</v>
      </c>
      <c r="AK166" s="99">
        <f t="shared" si="109"/>
        <v>0</v>
      </c>
      <c r="AL166" s="99">
        <f t="shared" si="109"/>
        <v>0</v>
      </c>
      <c r="AM166" s="99">
        <f t="shared" si="109"/>
        <v>0</v>
      </c>
      <c r="AN166" s="99">
        <f t="shared" si="109"/>
        <v>0</v>
      </c>
      <c r="AO166" s="99">
        <f t="shared" si="109"/>
        <v>0</v>
      </c>
      <c r="AP166" s="99">
        <f t="shared" si="109"/>
        <v>0</v>
      </c>
      <c r="AQ166" s="99">
        <f t="shared" si="109"/>
        <v>0</v>
      </c>
      <c r="AR166" s="99">
        <f t="shared" si="109"/>
        <v>0</v>
      </c>
      <c r="AS166" s="99">
        <f t="shared" si="109"/>
        <v>0</v>
      </c>
      <c r="AT166" s="99">
        <f t="shared" si="109"/>
        <v>0</v>
      </c>
      <c r="AU166" s="99">
        <f t="shared" si="109"/>
        <v>0</v>
      </c>
      <c r="AV166" s="99">
        <f t="shared" si="109"/>
        <v>0</v>
      </c>
      <c r="AW166" s="90"/>
      <c r="AX166" s="90"/>
      <c r="AY166" s="90"/>
      <c r="AZ166" s="90"/>
      <c r="BA166" s="90"/>
      <c r="BB166" s="90"/>
      <c r="BC166" s="90"/>
      <c r="BD166" s="90"/>
      <c r="BE166" s="90"/>
      <c r="BF166" s="90"/>
      <c r="BG166" s="90"/>
      <c r="BH166" s="90"/>
      <c r="BI166" s="90"/>
      <c r="BJ166" s="90"/>
      <c r="BK166" s="90"/>
      <c r="BL166" s="90"/>
      <c r="BM166" s="90"/>
      <c r="BN166" s="90"/>
      <c r="BO166" s="90"/>
      <c r="BP166" s="90"/>
      <c r="BQ166" s="90"/>
    </row>
    <row r="167" ht="12.75" hidden="1" customHeight="1" outlineLevel="1">
      <c r="A167" s="316"/>
      <c r="B167" s="195"/>
      <c r="C167" s="90" t="s">
        <v>722</v>
      </c>
      <c r="D167" s="90"/>
      <c r="E167" s="90"/>
      <c r="F167" s="90"/>
      <c r="G167" s="254"/>
      <c r="H167" s="254"/>
      <c r="I167" s="99"/>
      <c r="J167" s="99"/>
      <c r="K167" s="99">
        <f>'RS2'!J166</f>
        <v>0</v>
      </c>
      <c r="L167" s="99">
        <f>'RSGen 1-7'!I168</f>
        <v>47000</v>
      </c>
      <c r="M167" s="99">
        <f>'RSGen 1-7'!J168</f>
        <v>48250</v>
      </c>
      <c r="N167" s="99">
        <f t="shared" ref="N167:AV167" si="110">M167*(1+N162)</f>
        <v>49215</v>
      </c>
      <c r="O167" s="99">
        <f t="shared" si="110"/>
        <v>50199.3</v>
      </c>
      <c r="P167" s="99">
        <f t="shared" si="110"/>
        <v>51203.286</v>
      </c>
      <c r="Q167" s="99">
        <f t="shared" si="110"/>
        <v>52227.35172</v>
      </c>
      <c r="R167" s="99">
        <f t="shared" si="110"/>
        <v>53271.89875</v>
      </c>
      <c r="S167" s="99">
        <f t="shared" si="110"/>
        <v>54337.33673</v>
      </c>
      <c r="T167" s="99">
        <f t="shared" si="110"/>
        <v>55424.08346</v>
      </c>
      <c r="U167" s="99">
        <f t="shared" si="110"/>
        <v>56532.56513</v>
      </c>
      <c r="V167" s="99">
        <f t="shared" si="110"/>
        <v>57663.21644</v>
      </c>
      <c r="W167" s="99">
        <f t="shared" si="110"/>
        <v>58816.48076</v>
      </c>
      <c r="X167" s="99">
        <f t="shared" si="110"/>
        <v>59992.81038</v>
      </c>
      <c r="Y167" s="99">
        <f t="shared" si="110"/>
        <v>61192.66659</v>
      </c>
      <c r="Z167" s="99">
        <f t="shared" si="110"/>
        <v>62416.51992</v>
      </c>
      <c r="AA167" s="99">
        <f t="shared" si="110"/>
        <v>63664.85032</v>
      </c>
      <c r="AB167" s="99">
        <f t="shared" si="110"/>
        <v>64938.14732</v>
      </c>
      <c r="AC167" s="99">
        <f t="shared" si="110"/>
        <v>66236.91027</v>
      </c>
      <c r="AD167" s="99">
        <f t="shared" si="110"/>
        <v>67561.64848</v>
      </c>
      <c r="AE167" s="99">
        <f t="shared" si="110"/>
        <v>68912.88145</v>
      </c>
      <c r="AF167" s="99">
        <f t="shared" si="110"/>
        <v>70291.13907</v>
      </c>
      <c r="AG167" s="99">
        <f t="shared" si="110"/>
        <v>71696.96186</v>
      </c>
      <c r="AH167" s="99">
        <f t="shared" si="110"/>
        <v>73130.90109</v>
      </c>
      <c r="AI167" s="99">
        <f t="shared" si="110"/>
        <v>74593.51911</v>
      </c>
      <c r="AJ167" s="99">
        <f t="shared" si="110"/>
        <v>76085.3895</v>
      </c>
      <c r="AK167" s="99">
        <f t="shared" si="110"/>
        <v>77607.09729</v>
      </c>
      <c r="AL167" s="99">
        <f t="shared" si="110"/>
        <v>79159.23923</v>
      </c>
      <c r="AM167" s="99">
        <f t="shared" si="110"/>
        <v>80742.42402</v>
      </c>
      <c r="AN167" s="99">
        <f t="shared" si="110"/>
        <v>82357.2725</v>
      </c>
      <c r="AO167" s="99">
        <f t="shared" si="110"/>
        <v>84004.41795</v>
      </c>
      <c r="AP167" s="99">
        <f t="shared" si="110"/>
        <v>85684.50631</v>
      </c>
      <c r="AQ167" s="99">
        <f t="shared" si="110"/>
        <v>87398.19643</v>
      </c>
      <c r="AR167" s="99">
        <f t="shared" si="110"/>
        <v>89146.16036</v>
      </c>
      <c r="AS167" s="99">
        <f t="shared" si="110"/>
        <v>90929.08357</v>
      </c>
      <c r="AT167" s="99">
        <f t="shared" si="110"/>
        <v>92747.66524</v>
      </c>
      <c r="AU167" s="99">
        <f t="shared" si="110"/>
        <v>94602.61855</v>
      </c>
      <c r="AV167" s="99">
        <f t="shared" si="110"/>
        <v>96494.67092</v>
      </c>
      <c r="AW167" s="90"/>
      <c r="AX167" s="90"/>
      <c r="AY167" s="90"/>
      <c r="AZ167" s="90"/>
      <c r="BA167" s="90"/>
      <c r="BB167" s="90"/>
      <c r="BC167" s="90"/>
      <c r="BD167" s="90"/>
      <c r="BE167" s="90"/>
      <c r="BF167" s="90"/>
      <c r="BG167" s="90"/>
      <c r="BH167" s="90"/>
      <c r="BI167" s="90"/>
      <c r="BJ167" s="90"/>
      <c r="BK167" s="90"/>
      <c r="BL167" s="90"/>
      <c r="BM167" s="90"/>
      <c r="BN167" s="90"/>
      <c r="BO167" s="90"/>
      <c r="BP167" s="90"/>
      <c r="BQ167" s="90"/>
    </row>
    <row r="168" ht="12.75" hidden="1" customHeight="1" outlineLevel="1">
      <c r="A168" s="316"/>
      <c r="B168" s="195"/>
      <c r="C168" s="90" t="s">
        <v>707</v>
      </c>
      <c r="D168" s="90"/>
      <c r="E168" s="90"/>
      <c r="F168" s="90"/>
      <c r="G168" s="254"/>
      <c r="H168" s="254"/>
      <c r="I168" s="99"/>
      <c r="J168" s="99"/>
      <c r="K168" s="99">
        <f>'RS2'!J167</f>
        <v>0</v>
      </c>
      <c r="L168" s="99">
        <f>'RSGen 1-7'!I169</f>
        <v>58000</v>
      </c>
      <c r="M168" s="99">
        <f t="shared" ref="M168:AV168" si="111">L168*(1+M$162)</f>
        <v>59160</v>
      </c>
      <c r="N168" s="99">
        <f t="shared" si="111"/>
        <v>60343.2</v>
      </c>
      <c r="O168" s="99">
        <f t="shared" si="111"/>
        <v>61550.064</v>
      </c>
      <c r="P168" s="99">
        <f t="shared" si="111"/>
        <v>62781.06528</v>
      </c>
      <c r="Q168" s="99">
        <f t="shared" si="111"/>
        <v>64036.68659</v>
      </c>
      <c r="R168" s="99">
        <f t="shared" si="111"/>
        <v>65317.42032</v>
      </c>
      <c r="S168" s="99">
        <f t="shared" si="111"/>
        <v>66623.76872</v>
      </c>
      <c r="T168" s="99">
        <f t="shared" si="111"/>
        <v>67956.2441</v>
      </c>
      <c r="U168" s="99">
        <f t="shared" si="111"/>
        <v>69315.36898</v>
      </c>
      <c r="V168" s="99">
        <f t="shared" si="111"/>
        <v>70701.67636</v>
      </c>
      <c r="W168" s="99">
        <f t="shared" si="111"/>
        <v>72115.70989</v>
      </c>
      <c r="X168" s="99">
        <f t="shared" si="111"/>
        <v>73558.02408</v>
      </c>
      <c r="Y168" s="99">
        <f t="shared" si="111"/>
        <v>75029.18457</v>
      </c>
      <c r="Z168" s="99">
        <f t="shared" si="111"/>
        <v>76529.76826</v>
      </c>
      <c r="AA168" s="99">
        <f t="shared" si="111"/>
        <v>78060.36362</v>
      </c>
      <c r="AB168" s="99">
        <f t="shared" si="111"/>
        <v>79621.5709</v>
      </c>
      <c r="AC168" s="99">
        <f t="shared" si="111"/>
        <v>81214.00231</v>
      </c>
      <c r="AD168" s="99">
        <f t="shared" si="111"/>
        <v>82838.28236</v>
      </c>
      <c r="AE168" s="99">
        <f t="shared" si="111"/>
        <v>84495.04801</v>
      </c>
      <c r="AF168" s="99">
        <f t="shared" si="111"/>
        <v>86184.94897</v>
      </c>
      <c r="AG168" s="99">
        <f t="shared" si="111"/>
        <v>87908.64795</v>
      </c>
      <c r="AH168" s="99">
        <f t="shared" si="111"/>
        <v>89666.82091</v>
      </c>
      <c r="AI168" s="99">
        <f t="shared" si="111"/>
        <v>91460.15732</v>
      </c>
      <c r="AJ168" s="99">
        <f t="shared" si="111"/>
        <v>93289.36047</v>
      </c>
      <c r="AK168" s="99">
        <f t="shared" si="111"/>
        <v>95155.14768</v>
      </c>
      <c r="AL168" s="99">
        <f t="shared" si="111"/>
        <v>97058.25063</v>
      </c>
      <c r="AM168" s="99">
        <f t="shared" si="111"/>
        <v>98999.41565</v>
      </c>
      <c r="AN168" s="99">
        <f t="shared" si="111"/>
        <v>100979.404</v>
      </c>
      <c r="AO168" s="99">
        <f t="shared" si="111"/>
        <v>102998.992</v>
      </c>
      <c r="AP168" s="99">
        <f t="shared" si="111"/>
        <v>105058.9719</v>
      </c>
      <c r="AQ168" s="99">
        <f t="shared" si="111"/>
        <v>107160.1513</v>
      </c>
      <c r="AR168" s="99">
        <f t="shared" si="111"/>
        <v>109303.3543</v>
      </c>
      <c r="AS168" s="99">
        <f t="shared" si="111"/>
        <v>111489.4214</v>
      </c>
      <c r="AT168" s="99">
        <f t="shared" si="111"/>
        <v>113719.2099</v>
      </c>
      <c r="AU168" s="99">
        <f t="shared" si="111"/>
        <v>115993.5941</v>
      </c>
      <c r="AV168" s="99">
        <f t="shared" si="111"/>
        <v>118313.4659</v>
      </c>
      <c r="AW168" s="90"/>
      <c r="AX168" s="90"/>
      <c r="AY168" s="90"/>
      <c r="AZ168" s="90"/>
      <c r="BA168" s="90"/>
      <c r="BB168" s="90"/>
      <c r="BC168" s="90"/>
      <c r="BD168" s="90"/>
      <c r="BE168" s="90"/>
      <c r="BF168" s="90"/>
      <c r="BG168" s="90"/>
      <c r="BH168" s="90"/>
      <c r="BI168" s="90"/>
      <c r="BJ168" s="90"/>
      <c r="BK168" s="90"/>
      <c r="BL168" s="90"/>
      <c r="BM168" s="90"/>
      <c r="BN168" s="90"/>
      <c r="BO168" s="90"/>
      <c r="BP168" s="90"/>
      <c r="BQ168" s="90"/>
    </row>
    <row r="169" ht="12.75" hidden="1" customHeight="1" outlineLevel="1">
      <c r="A169" s="316"/>
      <c r="B169" s="195"/>
      <c r="C169" s="90" t="s">
        <v>702</v>
      </c>
      <c r="D169" s="90"/>
      <c r="E169" s="90"/>
      <c r="F169" s="90"/>
      <c r="G169" s="254"/>
      <c r="H169" s="254"/>
      <c r="I169" s="99"/>
      <c r="J169" s="99"/>
      <c r="K169" s="99">
        <f>'RS2'!J168</f>
        <v>0</v>
      </c>
      <c r="L169" s="99">
        <f>'RSGen 1-7'!I170</f>
        <v>67000</v>
      </c>
      <c r="M169" s="99">
        <f>'RSGen 1-7'!J170</f>
        <v>83333.33333</v>
      </c>
      <c r="N169" s="99">
        <f t="shared" ref="N169:AV169" si="112">M169*(1+N$162)</f>
        <v>85000</v>
      </c>
      <c r="O169" s="99">
        <f t="shared" si="112"/>
        <v>86700</v>
      </c>
      <c r="P169" s="99">
        <f t="shared" si="112"/>
        <v>88434</v>
      </c>
      <c r="Q169" s="99">
        <f t="shared" si="112"/>
        <v>90202.68</v>
      </c>
      <c r="R169" s="99">
        <f t="shared" si="112"/>
        <v>92006.7336</v>
      </c>
      <c r="S169" s="99">
        <f t="shared" si="112"/>
        <v>93846.86827</v>
      </c>
      <c r="T169" s="99">
        <f t="shared" si="112"/>
        <v>95723.80564</v>
      </c>
      <c r="U169" s="99">
        <f t="shared" si="112"/>
        <v>97638.28175</v>
      </c>
      <c r="V169" s="99">
        <f t="shared" si="112"/>
        <v>99591.04739</v>
      </c>
      <c r="W169" s="99">
        <f t="shared" si="112"/>
        <v>101582.8683</v>
      </c>
      <c r="X169" s="99">
        <f t="shared" si="112"/>
        <v>103614.5257</v>
      </c>
      <c r="Y169" s="99">
        <f t="shared" si="112"/>
        <v>105686.8162</v>
      </c>
      <c r="Z169" s="99">
        <f t="shared" si="112"/>
        <v>107800.5525</v>
      </c>
      <c r="AA169" s="99">
        <f t="shared" si="112"/>
        <v>109956.5636</v>
      </c>
      <c r="AB169" s="99">
        <f t="shared" si="112"/>
        <v>112155.6949</v>
      </c>
      <c r="AC169" s="99">
        <f t="shared" si="112"/>
        <v>114398.8088</v>
      </c>
      <c r="AD169" s="99">
        <f t="shared" si="112"/>
        <v>116686.7849</v>
      </c>
      <c r="AE169" s="99">
        <f t="shared" si="112"/>
        <v>119020.5206</v>
      </c>
      <c r="AF169" s="99">
        <f t="shared" si="112"/>
        <v>121400.931</v>
      </c>
      <c r="AG169" s="99">
        <f t="shared" si="112"/>
        <v>123828.9497</v>
      </c>
      <c r="AH169" s="99">
        <f t="shared" si="112"/>
        <v>126305.5287</v>
      </c>
      <c r="AI169" s="99">
        <f t="shared" si="112"/>
        <v>128831.6392</v>
      </c>
      <c r="AJ169" s="99">
        <f t="shared" si="112"/>
        <v>131408.272</v>
      </c>
      <c r="AK169" s="99">
        <f t="shared" si="112"/>
        <v>134036.4375</v>
      </c>
      <c r="AL169" s="99">
        <f t="shared" si="112"/>
        <v>136717.1662</v>
      </c>
      <c r="AM169" s="99">
        <f t="shared" si="112"/>
        <v>139451.5095</v>
      </c>
      <c r="AN169" s="99">
        <f t="shared" si="112"/>
        <v>142240.5397</v>
      </c>
      <c r="AO169" s="99">
        <f t="shared" si="112"/>
        <v>145085.3505</v>
      </c>
      <c r="AP169" s="99">
        <f t="shared" si="112"/>
        <v>147987.0575</v>
      </c>
      <c r="AQ169" s="99">
        <f t="shared" si="112"/>
        <v>150946.7987</v>
      </c>
      <c r="AR169" s="99">
        <f t="shared" si="112"/>
        <v>153965.7346</v>
      </c>
      <c r="AS169" s="99">
        <f t="shared" si="112"/>
        <v>157045.0493</v>
      </c>
      <c r="AT169" s="99">
        <f t="shared" si="112"/>
        <v>160185.9503</v>
      </c>
      <c r="AU169" s="99">
        <f t="shared" si="112"/>
        <v>163389.6693</v>
      </c>
      <c r="AV169" s="99">
        <f t="shared" si="112"/>
        <v>166657.4627</v>
      </c>
      <c r="AW169" s="90"/>
      <c r="AX169" s="90"/>
      <c r="AY169" s="90"/>
      <c r="AZ169" s="90"/>
      <c r="BA169" s="90"/>
      <c r="BB169" s="90"/>
      <c r="BC169" s="90"/>
      <c r="BD169" s="90"/>
      <c r="BE169" s="90"/>
      <c r="BF169" s="90"/>
      <c r="BG169" s="90"/>
      <c r="BH169" s="90"/>
      <c r="BI169" s="90"/>
      <c r="BJ169" s="90"/>
      <c r="BK169" s="90"/>
      <c r="BL169" s="90"/>
      <c r="BM169" s="90"/>
      <c r="BN169" s="90"/>
      <c r="BO169" s="90"/>
      <c r="BP169" s="90"/>
      <c r="BQ169" s="90"/>
    </row>
    <row r="170" ht="12.75" hidden="1" customHeight="1" outlineLevel="1">
      <c r="A170" s="316"/>
      <c r="B170" s="195"/>
      <c r="C170" s="90" t="s">
        <v>723</v>
      </c>
      <c r="D170" s="90"/>
      <c r="E170" s="90"/>
      <c r="F170" s="90"/>
      <c r="G170" s="254"/>
      <c r="H170" s="254"/>
      <c r="I170" s="99"/>
      <c r="J170" s="99"/>
      <c r="K170" s="99" t="str">
        <f>'RS2'!J169</f>
        <v/>
      </c>
      <c r="L170" s="99" t="str">
        <f>'RS2'!K169</f>
        <v/>
      </c>
      <c r="M170" s="99">
        <f t="shared" ref="M170:AV170" si="113">L170*(1+M$162)</f>
        <v>0</v>
      </c>
      <c r="N170" s="99">
        <f t="shared" si="113"/>
        <v>0</v>
      </c>
      <c r="O170" s="99">
        <f t="shared" si="113"/>
        <v>0</v>
      </c>
      <c r="P170" s="99">
        <f t="shared" si="113"/>
        <v>0</v>
      </c>
      <c r="Q170" s="99">
        <f t="shared" si="113"/>
        <v>0</v>
      </c>
      <c r="R170" s="99">
        <f t="shared" si="113"/>
        <v>0</v>
      </c>
      <c r="S170" s="99">
        <f t="shared" si="113"/>
        <v>0</v>
      </c>
      <c r="T170" s="99">
        <f t="shared" si="113"/>
        <v>0</v>
      </c>
      <c r="U170" s="99">
        <f t="shared" si="113"/>
        <v>0</v>
      </c>
      <c r="V170" s="99">
        <f t="shared" si="113"/>
        <v>0</v>
      </c>
      <c r="W170" s="99">
        <f t="shared" si="113"/>
        <v>0</v>
      </c>
      <c r="X170" s="99">
        <f t="shared" si="113"/>
        <v>0</v>
      </c>
      <c r="Y170" s="99">
        <f t="shared" si="113"/>
        <v>0</v>
      </c>
      <c r="Z170" s="99">
        <f t="shared" si="113"/>
        <v>0</v>
      </c>
      <c r="AA170" s="99">
        <f t="shared" si="113"/>
        <v>0</v>
      </c>
      <c r="AB170" s="99">
        <f t="shared" si="113"/>
        <v>0</v>
      </c>
      <c r="AC170" s="99">
        <f t="shared" si="113"/>
        <v>0</v>
      </c>
      <c r="AD170" s="99">
        <f t="shared" si="113"/>
        <v>0</v>
      </c>
      <c r="AE170" s="99">
        <f t="shared" si="113"/>
        <v>0</v>
      </c>
      <c r="AF170" s="99">
        <f t="shared" si="113"/>
        <v>0</v>
      </c>
      <c r="AG170" s="99">
        <f t="shared" si="113"/>
        <v>0</v>
      </c>
      <c r="AH170" s="99">
        <f t="shared" si="113"/>
        <v>0</v>
      </c>
      <c r="AI170" s="99">
        <f t="shared" si="113"/>
        <v>0</v>
      </c>
      <c r="AJ170" s="99">
        <f t="shared" si="113"/>
        <v>0</v>
      </c>
      <c r="AK170" s="99">
        <f t="shared" si="113"/>
        <v>0</v>
      </c>
      <c r="AL170" s="99">
        <f t="shared" si="113"/>
        <v>0</v>
      </c>
      <c r="AM170" s="99">
        <f t="shared" si="113"/>
        <v>0</v>
      </c>
      <c r="AN170" s="99">
        <f t="shared" si="113"/>
        <v>0</v>
      </c>
      <c r="AO170" s="99">
        <f t="shared" si="113"/>
        <v>0</v>
      </c>
      <c r="AP170" s="99">
        <f t="shared" si="113"/>
        <v>0</v>
      </c>
      <c r="AQ170" s="99">
        <f t="shared" si="113"/>
        <v>0</v>
      </c>
      <c r="AR170" s="99">
        <f t="shared" si="113"/>
        <v>0</v>
      </c>
      <c r="AS170" s="99">
        <f t="shared" si="113"/>
        <v>0</v>
      </c>
      <c r="AT170" s="99">
        <f t="shared" si="113"/>
        <v>0</v>
      </c>
      <c r="AU170" s="99">
        <f t="shared" si="113"/>
        <v>0</v>
      </c>
      <c r="AV170" s="99">
        <f t="shared" si="113"/>
        <v>0</v>
      </c>
      <c r="AW170" s="90"/>
      <c r="AX170" s="90"/>
      <c r="AY170" s="90"/>
      <c r="AZ170" s="90"/>
      <c r="BA170" s="90"/>
      <c r="BB170" s="90"/>
      <c r="BC170" s="90"/>
      <c r="BD170" s="90"/>
      <c r="BE170" s="90"/>
      <c r="BF170" s="90"/>
      <c r="BG170" s="90"/>
      <c r="BH170" s="90"/>
      <c r="BI170" s="90"/>
      <c r="BJ170" s="90"/>
      <c r="BK170" s="90"/>
      <c r="BL170" s="90"/>
      <c r="BM170" s="90"/>
      <c r="BN170" s="90"/>
      <c r="BO170" s="90"/>
      <c r="BP170" s="90"/>
      <c r="BQ170" s="90"/>
    </row>
    <row r="171" ht="12.75" hidden="1" customHeight="1" outlineLevel="1">
      <c r="A171" s="316"/>
      <c r="B171" s="195"/>
      <c r="C171" s="90" t="s">
        <v>711</v>
      </c>
      <c r="D171" s="90"/>
      <c r="E171" s="90"/>
      <c r="F171" s="90"/>
      <c r="G171" s="254"/>
      <c r="H171" s="254"/>
      <c r="I171" s="254"/>
      <c r="J171" s="99"/>
      <c r="K171" s="564">
        <v>24000.0</v>
      </c>
      <c r="L171" s="99">
        <f>'RSGen 1-7'!I172</f>
        <v>48000</v>
      </c>
      <c r="M171" s="99">
        <f t="shared" ref="M171:AV171" si="114">L171*(1+M$162)</f>
        <v>48960</v>
      </c>
      <c r="N171" s="99">
        <f t="shared" si="114"/>
        <v>49939.2</v>
      </c>
      <c r="O171" s="99">
        <f t="shared" si="114"/>
        <v>50937.984</v>
      </c>
      <c r="P171" s="99">
        <f t="shared" si="114"/>
        <v>51956.74368</v>
      </c>
      <c r="Q171" s="99">
        <f t="shared" si="114"/>
        <v>52995.87855</v>
      </c>
      <c r="R171" s="99">
        <f t="shared" si="114"/>
        <v>54055.79612</v>
      </c>
      <c r="S171" s="99">
        <f t="shared" si="114"/>
        <v>55136.91205</v>
      </c>
      <c r="T171" s="99">
        <f t="shared" si="114"/>
        <v>56239.65029</v>
      </c>
      <c r="U171" s="99">
        <f t="shared" si="114"/>
        <v>57364.44329</v>
      </c>
      <c r="V171" s="99">
        <f t="shared" si="114"/>
        <v>58511.73216</v>
      </c>
      <c r="W171" s="99">
        <f t="shared" si="114"/>
        <v>59681.9668</v>
      </c>
      <c r="X171" s="99">
        <f t="shared" si="114"/>
        <v>60875.60614</v>
      </c>
      <c r="Y171" s="99">
        <f t="shared" si="114"/>
        <v>62093.11826</v>
      </c>
      <c r="Z171" s="99">
        <f t="shared" si="114"/>
        <v>63334.98063</v>
      </c>
      <c r="AA171" s="99">
        <f t="shared" si="114"/>
        <v>64601.68024</v>
      </c>
      <c r="AB171" s="99">
        <f t="shared" si="114"/>
        <v>65893.71384</v>
      </c>
      <c r="AC171" s="99">
        <f t="shared" si="114"/>
        <v>67211.58812</v>
      </c>
      <c r="AD171" s="99">
        <f t="shared" si="114"/>
        <v>68555.81988</v>
      </c>
      <c r="AE171" s="99">
        <f t="shared" si="114"/>
        <v>69926.93628</v>
      </c>
      <c r="AF171" s="99">
        <f t="shared" si="114"/>
        <v>71325.47501</v>
      </c>
      <c r="AG171" s="99">
        <f t="shared" si="114"/>
        <v>72751.98451</v>
      </c>
      <c r="AH171" s="99">
        <f t="shared" si="114"/>
        <v>74207.0242</v>
      </c>
      <c r="AI171" s="99">
        <f t="shared" si="114"/>
        <v>75691.16468</v>
      </c>
      <c r="AJ171" s="99">
        <f t="shared" si="114"/>
        <v>77204.98797</v>
      </c>
      <c r="AK171" s="99">
        <f t="shared" si="114"/>
        <v>78749.08773</v>
      </c>
      <c r="AL171" s="99">
        <f t="shared" si="114"/>
        <v>80324.06949</v>
      </c>
      <c r="AM171" s="99">
        <f t="shared" si="114"/>
        <v>81930.55088</v>
      </c>
      <c r="AN171" s="99">
        <f t="shared" si="114"/>
        <v>83569.1619</v>
      </c>
      <c r="AO171" s="99">
        <f t="shared" si="114"/>
        <v>85240.54513</v>
      </c>
      <c r="AP171" s="99">
        <f t="shared" si="114"/>
        <v>86945.35604</v>
      </c>
      <c r="AQ171" s="99">
        <f t="shared" si="114"/>
        <v>88684.26316</v>
      </c>
      <c r="AR171" s="99">
        <f t="shared" si="114"/>
        <v>90457.94842</v>
      </c>
      <c r="AS171" s="99">
        <f t="shared" si="114"/>
        <v>92267.10739</v>
      </c>
      <c r="AT171" s="99">
        <f t="shared" si="114"/>
        <v>94112.44954</v>
      </c>
      <c r="AU171" s="99">
        <f t="shared" si="114"/>
        <v>95994.69853</v>
      </c>
      <c r="AV171" s="99">
        <f t="shared" si="114"/>
        <v>97914.5925</v>
      </c>
      <c r="AW171" s="90"/>
      <c r="AX171" s="90"/>
      <c r="AY171" s="90"/>
      <c r="AZ171" s="90"/>
      <c r="BA171" s="90"/>
      <c r="BB171" s="90"/>
      <c r="BC171" s="90"/>
      <c r="BD171" s="90"/>
      <c r="BE171" s="90"/>
      <c r="BF171" s="90"/>
      <c r="BG171" s="90"/>
      <c r="BH171" s="90"/>
      <c r="BI171" s="90"/>
      <c r="BJ171" s="90"/>
      <c r="BK171" s="90"/>
      <c r="BL171" s="90"/>
      <c r="BM171" s="90"/>
      <c r="BN171" s="90"/>
      <c r="BO171" s="90"/>
      <c r="BP171" s="90"/>
      <c r="BQ171" s="90"/>
    </row>
    <row r="172" ht="12.75" hidden="1" customHeight="1" outlineLevel="1">
      <c r="A172" s="316"/>
      <c r="B172" s="195"/>
      <c r="C172" s="90" t="s">
        <v>724</v>
      </c>
      <c r="D172" s="90"/>
      <c r="E172" s="90"/>
      <c r="F172" s="90"/>
      <c r="G172" s="254"/>
      <c r="H172" s="254"/>
      <c r="I172" s="99"/>
      <c r="J172" s="99"/>
      <c r="K172" s="99">
        <f>'RS2'!J171</f>
        <v>0</v>
      </c>
      <c r="L172" s="99">
        <f>'RSGen 1-7'!I173</f>
        <v>25000</v>
      </c>
      <c r="M172" s="99">
        <f t="shared" ref="M172:AV172" si="115">L172*(1+M$162)</f>
        <v>25500</v>
      </c>
      <c r="N172" s="99">
        <f t="shared" si="115"/>
        <v>26010</v>
      </c>
      <c r="O172" s="99">
        <f t="shared" si="115"/>
        <v>26530.2</v>
      </c>
      <c r="P172" s="99">
        <f t="shared" si="115"/>
        <v>27060.804</v>
      </c>
      <c r="Q172" s="99">
        <f t="shared" si="115"/>
        <v>27602.02008</v>
      </c>
      <c r="R172" s="99">
        <f t="shared" si="115"/>
        <v>28154.06048</v>
      </c>
      <c r="S172" s="99">
        <f t="shared" si="115"/>
        <v>28717.14169</v>
      </c>
      <c r="T172" s="99">
        <f t="shared" si="115"/>
        <v>29291.48453</v>
      </c>
      <c r="U172" s="99">
        <f t="shared" si="115"/>
        <v>29877.31422</v>
      </c>
      <c r="V172" s="99">
        <f t="shared" si="115"/>
        <v>30474.8605</v>
      </c>
      <c r="W172" s="99">
        <f t="shared" si="115"/>
        <v>31084.35771</v>
      </c>
      <c r="X172" s="99">
        <f t="shared" si="115"/>
        <v>31706.04486</v>
      </c>
      <c r="Y172" s="99">
        <f t="shared" si="115"/>
        <v>32340.16576</v>
      </c>
      <c r="Z172" s="99">
        <f t="shared" si="115"/>
        <v>32986.96908</v>
      </c>
      <c r="AA172" s="99">
        <f t="shared" si="115"/>
        <v>33646.70846</v>
      </c>
      <c r="AB172" s="99">
        <f t="shared" si="115"/>
        <v>34319.64263</v>
      </c>
      <c r="AC172" s="99">
        <f t="shared" si="115"/>
        <v>35006.03548</v>
      </c>
      <c r="AD172" s="99">
        <f t="shared" si="115"/>
        <v>35706.15619</v>
      </c>
      <c r="AE172" s="99">
        <f t="shared" si="115"/>
        <v>36420.27931</v>
      </c>
      <c r="AF172" s="99">
        <f t="shared" si="115"/>
        <v>37148.6849</v>
      </c>
      <c r="AG172" s="99">
        <f t="shared" si="115"/>
        <v>37891.6586</v>
      </c>
      <c r="AH172" s="99">
        <f t="shared" si="115"/>
        <v>38649.49177</v>
      </c>
      <c r="AI172" s="99">
        <f t="shared" si="115"/>
        <v>39422.4816</v>
      </c>
      <c r="AJ172" s="99">
        <f t="shared" si="115"/>
        <v>40210.93124</v>
      </c>
      <c r="AK172" s="99">
        <f t="shared" si="115"/>
        <v>41015.14986</v>
      </c>
      <c r="AL172" s="99">
        <f t="shared" si="115"/>
        <v>41835.45286</v>
      </c>
      <c r="AM172" s="99">
        <f t="shared" si="115"/>
        <v>42672.16192</v>
      </c>
      <c r="AN172" s="99">
        <f t="shared" si="115"/>
        <v>43525.60515</v>
      </c>
      <c r="AO172" s="99">
        <f t="shared" si="115"/>
        <v>44396.11726</v>
      </c>
      <c r="AP172" s="99">
        <f t="shared" si="115"/>
        <v>45284.0396</v>
      </c>
      <c r="AQ172" s="99">
        <f t="shared" si="115"/>
        <v>46189.72039</v>
      </c>
      <c r="AR172" s="99">
        <f t="shared" si="115"/>
        <v>47113.5148</v>
      </c>
      <c r="AS172" s="99">
        <f t="shared" si="115"/>
        <v>48055.7851</v>
      </c>
      <c r="AT172" s="99">
        <f t="shared" si="115"/>
        <v>49016.9008</v>
      </c>
      <c r="AU172" s="99">
        <f t="shared" si="115"/>
        <v>49997.23882</v>
      </c>
      <c r="AV172" s="99">
        <f t="shared" si="115"/>
        <v>50997.18359</v>
      </c>
      <c r="AW172" s="90"/>
      <c r="AX172" s="90"/>
      <c r="AY172" s="90"/>
      <c r="AZ172" s="90"/>
      <c r="BA172" s="90"/>
      <c r="BB172" s="90"/>
      <c r="BC172" s="90"/>
      <c r="BD172" s="90"/>
      <c r="BE172" s="90"/>
      <c r="BF172" s="90"/>
      <c r="BG172" s="90"/>
      <c r="BH172" s="90"/>
      <c r="BI172" s="90"/>
      <c r="BJ172" s="90"/>
      <c r="BK172" s="90"/>
      <c r="BL172" s="90"/>
      <c r="BM172" s="90"/>
      <c r="BN172" s="90"/>
      <c r="BO172" s="90"/>
      <c r="BP172" s="90"/>
      <c r="BQ172" s="90"/>
    </row>
    <row r="173" ht="12.75" hidden="1" customHeight="1" outlineLevel="1">
      <c r="A173" s="316"/>
      <c r="B173" s="195"/>
      <c r="C173" s="90" t="s">
        <v>713</v>
      </c>
      <c r="D173" s="90"/>
      <c r="E173" s="90"/>
      <c r="F173" s="90"/>
      <c r="G173" s="254"/>
      <c r="H173" s="254"/>
      <c r="I173" s="99"/>
      <c r="J173" s="99"/>
      <c r="K173" s="99">
        <f>'RS2'!J172</f>
        <v>0</v>
      </c>
      <c r="L173" s="99">
        <f>'RSGen 1-7'!I174</f>
        <v>14400</v>
      </c>
      <c r="M173" s="99">
        <f t="shared" ref="M173:AV173" si="116">L173*(1+M$162)</f>
        <v>14688</v>
      </c>
      <c r="N173" s="99">
        <f t="shared" si="116"/>
        <v>14981.76</v>
      </c>
      <c r="O173" s="99">
        <f t="shared" si="116"/>
        <v>15281.3952</v>
      </c>
      <c r="P173" s="99">
        <f t="shared" si="116"/>
        <v>15587.0231</v>
      </c>
      <c r="Q173" s="99">
        <f t="shared" si="116"/>
        <v>15898.76357</v>
      </c>
      <c r="R173" s="99">
        <f t="shared" si="116"/>
        <v>16216.73884</v>
      </c>
      <c r="S173" s="99">
        <f t="shared" si="116"/>
        <v>16541.07361</v>
      </c>
      <c r="T173" s="99">
        <f t="shared" si="116"/>
        <v>16871.89509</v>
      </c>
      <c r="U173" s="99">
        <f t="shared" si="116"/>
        <v>17209.33299</v>
      </c>
      <c r="V173" s="99">
        <f t="shared" si="116"/>
        <v>17553.51965</v>
      </c>
      <c r="W173" s="99">
        <f t="shared" si="116"/>
        <v>17904.59004</v>
      </c>
      <c r="X173" s="99">
        <f t="shared" si="116"/>
        <v>18262.68184</v>
      </c>
      <c r="Y173" s="99">
        <f t="shared" si="116"/>
        <v>18627.93548</v>
      </c>
      <c r="Z173" s="99">
        <f t="shared" si="116"/>
        <v>19000.49419</v>
      </c>
      <c r="AA173" s="99">
        <f t="shared" si="116"/>
        <v>19380.50407</v>
      </c>
      <c r="AB173" s="99">
        <f t="shared" si="116"/>
        <v>19768.11415</v>
      </c>
      <c r="AC173" s="99">
        <f t="shared" si="116"/>
        <v>20163.47644</v>
      </c>
      <c r="AD173" s="99">
        <f t="shared" si="116"/>
        <v>20566.74597</v>
      </c>
      <c r="AE173" s="99">
        <f t="shared" si="116"/>
        <v>20978.08088</v>
      </c>
      <c r="AF173" s="99">
        <f t="shared" si="116"/>
        <v>21397.6425</v>
      </c>
      <c r="AG173" s="99">
        <f t="shared" si="116"/>
        <v>21825.59535</v>
      </c>
      <c r="AH173" s="99">
        <f t="shared" si="116"/>
        <v>22262.10726</v>
      </c>
      <c r="AI173" s="99">
        <f t="shared" si="116"/>
        <v>22707.3494</v>
      </c>
      <c r="AJ173" s="99">
        <f t="shared" si="116"/>
        <v>23161.49639</v>
      </c>
      <c r="AK173" s="99">
        <f t="shared" si="116"/>
        <v>23624.72632</v>
      </c>
      <c r="AL173" s="99">
        <f t="shared" si="116"/>
        <v>24097.22085</v>
      </c>
      <c r="AM173" s="99">
        <f t="shared" si="116"/>
        <v>24579.16526</v>
      </c>
      <c r="AN173" s="99">
        <f t="shared" si="116"/>
        <v>25070.74857</v>
      </c>
      <c r="AO173" s="99">
        <f t="shared" si="116"/>
        <v>25572.16354</v>
      </c>
      <c r="AP173" s="99">
        <f t="shared" si="116"/>
        <v>26083.60681</v>
      </c>
      <c r="AQ173" s="99">
        <f t="shared" si="116"/>
        <v>26605.27895</v>
      </c>
      <c r="AR173" s="99">
        <f t="shared" si="116"/>
        <v>27137.38453</v>
      </c>
      <c r="AS173" s="99">
        <f t="shared" si="116"/>
        <v>27680.13222</v>
      </c>
      <c r="AT173" s="99">
        <f t="shared" si="116"/>
        <v>28233.73486</v>
      </c>
      <c r="AU173" s="99">
        <f t="shared" si="116"/>
        <v>28798.40956</v>
      </c>
      <c r="AV173" s="99">
        <f t="shared" si="116"/>
        <v>29374.37775</v>
      </c>
      <c r="AW173" s="90"/>
      <c r="AX173" s="90"/>
      <c r="AY173" s="90"/>
      <c r="AZ173" s="90"/>
      <c r="BA173" s="90"/>
      <c r="BB173" s="90"/>
      <c r="BC173" s="90"/>
      <c r="BD173" s="90"/>
      <c r="BE173" s="90"/>
      <c r="BF173" s="90"/>
      <c r="BG173" s="90"/>
      <c r="BH173" s="90"/>
      <c r="BI173" s="90"/>
      <c r="BJ173" s="90"/>
      <c r="BK173" s="90"/>
      <c r="BL173" s="90"/>
      <c r="BM173" s="90"/>
      <c r="BN173" s="90"/>
      <c r="BO173" s="90"/>
      <c r="BP173" s="90"/>
      <c r="BQ173" s="90"/>
    </row>
    <row r="174" ht="12.75" hidden="1" customHeight="1" outlineLevel="1">
      <c r="A174" s="316"/>
      <c r="B174" s="195"/>
      <c r="C174" s="90" t="s">
        <v>714</v>
      </c>
      <c r="D174" s="90"/>
      <c r="E174" s="90"/>
      <c r="F174" s="90"/>
      <c r="G174" s="254"/>
      <c r="H174" s="254"/>
      <c r="I174" s="99"/>
      <c r="J174" s="99"/>
      <c r="K174" s="99">
        <f>'RS2'!J173</f>
        <v>0</v>
      </c>
      <c r="L174" s="99">
        <f>'RSGen 1-7'!I175</f>
        <v>14400</v>
      </c>
      <c r="M174" s="99">
        <f t="shared" ref="M174:AV174" si="117">L174*(1+M$162)</f>
        <v>14688</v>
      </c>
      <c r="N174" s="99">
        <f t="shared" si="117"/>
        <v>14981.76</v>
      </c>
      <c r="O174" s="99">
        <f t="shared" si="117"/>
        <v>15281.3952</v>
      </c>
      <c r="P174" s="99">
        <f t="shared" si="117"/>
        <v>15587.0231</v>
      </c>
      <c r="Q174" s="99">
        <f t="shared" si="117"/>
        <v>15898.76357</v>
      </c>
      <c r="R174" s="99">
        <f t="shared" si="117"/>
        <v>16216.73884</v>
      </c>
      <c r="S174" s="99">
        <f t="shared" si="117"/>
        <v>16541.07361</v>
      </c>
      <c r="T174" s="99">
        <f t="shared" si="117"/>
        <v>16871.89509</v>
      </c>
      <c r="U174" s="99">
        <f t="shared" si="117"/>
        <v>17209.33299</v>
      </c>
      <c r="V174" s="99">
        <f t="shared" si="117"/>
        <v>17553.51965</v>
      </c>
      <c r="W174" s="99">
        <f t="shared" si="117"/>
        <v>17904.59004</v>
      </c>
      <c r="X174" s="99">
        <f t="shared" si="117"/>
        <v>18262.68184</v>
      </c>
      <c r="Y174" s="99">
        <f t="shared" si="117"/>
        <v>18627.93548</v>
      </c>
      <c r="Z174" s="99">
        <f t="shared" si="117"/>
        <v>19000.49419</v>
      </c>
      <c r="AA174" s="99">
        <f t="shared" si="117"/>
        <v>19380.50407</v>
      </c>
      <c r="AB174" s="99">
        <f t="shared" si="117"/>
        <v>19768.11415</v>
      </c>
      <c r="AC174" s="99">
        <f t="shared" si="117"/>
        <v>20163.47644</v>
      </c>
      <c r="AD174" s="99">
        <f t="shared" si="117"/>
        <v>20566.74597</v>
      </c>
      <c r="AE174" s="99">
        <f t="shared" si="117"/>
        <v>20978.08088</v>
      </c>
      <c r="AF174" s="99">
        <f t="shared" si="117"/>
        <v>21397.6425</v>
      </c>
      <c r="AG174" s="99">
        <f t="shared" si="117"/>
        <v>21825.59535</v>
      </c>
      <c r="AH174" s="99">
        <f t="shared" si="117"/>
        <v>22262.10726</v>
      </c>
      <c r="AI174" s="99">
        <f t="shared" si="117"/>
        <v>22707.3494</v>
      </c>
      <c r="AJ174" s="99">
        <f t="shared" si="117"/>
        <v>23161.49639</v>
      </c>
      <c r="AK174" s="99">
        <f t="shared" si="117"/>
        <v>23624.72632</v>
      </c>
      <c r="AL174" s="99">
        <f t="shared" si="117"/>
        <v>24097.22085</v>
      </c>
      <c r="AM174" s="99">
        <f t="shared" si="117"/>
        <v>24579.16526</v>
      </c>
      <c r="AN174" s="99">
        <f t="shared" si="117"/>
        <v>25070.74857</v>
      </c>
      <c r="AO174" s="99">
        <f t="shared" si="117"/>
        <v>25572.16354</v>
      </c>
      <c r="AP174" s="99">
        <f t="shared" si="117"/>
        <v>26083.60681</v>
      </c>
      <c r="AQ174" s="99">
        <f t="shared" si="117"/>
        <v>26605.27895</v>
      </c>
      <c r="AR174" s="99">
        <f t="shared" si="117"/>
        <v>27137.38453</v>
      </c>
      <c r="AS174" s="99">
        <f t="shared" si="117"/>
        <v>27680.13222</v>
      </c>
      <c r="AT174" s="99">
        <f t="shared" si="117"/>
        <v>28233.73486</v>
      </c>
      <c r="AU174" s="99">
        <f t="shared" si="117"/>
        <v>28798.40956</v>
      </c>
      <c r="AV174" s="99">
        <f t="shared" si="117"/>
        <v>29374.37775</v>
      </c>
      <c r="AW174" s="90"/>
      <c r="AX174" s="90"/>
      <c r="AY174" s="90"/>
      <c r="AZ174" s="90"/>
      <c r="BA174" s="90"/>
      <c r="BB174" s="90"/>
      <c r="BC174" s="90"/>
      <c r="BD174" s="90"/>
      <c r="BE174" s="90"/>
      <c r="BF174" s="90"/>
      <c r="BG174" s="90"/>
      <c r="BH174" s="90"/>
      <c r="BI174" s="90"/>
      <c r="BJ174" s="90"/>
      <c r="BK174" s="90"/>
      <c r="BL174" s="90"/>
      <c r="BM174" s="90"/>
      <c r="BN174" s="90"/>
      <c r="BO174" s="90"/>
      <c r="BP174" s="90"/>
      <c r="BQ174" s="90"/>
    </row>
    <row r="175" ht="12.75" hidden="1" customHeight="1" outlineLevel="1">
      <c r="A175" s="316"/>
      <c r="B175" s="195"/>
      <c r="C175" s="90"/>
      <c r="D175" s="90"/>
      <c r="E175" s="90"/>
      <c r="F175" s="90"/>
      <c r="G175" s="254"/>
      <c r="H175" s="254"/>
      <c r="I175" s="99"/>
      <c r="J175" s="99"/>
      <c r="K175" s="99"/>
      <c r="L175" s="99"/>
      <c r="M175" s="99"/>
      <c r="N175" s="99"/>
      <c r="O175" s="99"/>
      <c r="P175" s="99"/>
      <c r="Q175" s="99"/>
      <c r="R175" s="99"/>
      <c r="S175" s="99"/>
      <c r="T175" s="99"/>
      <c r="U175" s="99"/>
      <c r="V175" s="99"/>
      <c r="W175" s="99"/>
      <c r="X175" s="99"/>
      <c r="Y175" s="99"/>
      <c r="Z175" s="99"/>
      <c r="AA175" s="99"/>
      <c r="AB175" s="99"/>
      <c r="AC175" s="99"/>
      <c r="AD175" s="99"/>
      <c r="AE175" s="99"/>
      <c r="AF175" s="99"/>
      <c r="AG175" s="99"/>
      <c r="AH175" s="99"/>
      <c r="AI175" s="99"/>
      <c r="AJ175" s="99"/>
      <c r="AK175" s="99"/>
      <c r="AL175" s="99"/>
      <c r="AM175" s="99"/>
      <c r="AN175" s="99"/>
      <c r="AO175" s="99"/>
      <c r="AP175" s="99"/>
      <c r="AQ175" s="99"/>
      <c r="AR175" s="99"/>
      <c r="AS175" s="99"/>
      <c r="AT175" s="99"/>
      <c r="AU175" s="99"/>
      <c r="AV175" s="99"/>
      <c r="AW175" s="90"/>
      <c r="AX175" s="90"/>
      <c r="AY175" s="90"/>
      <c r="AZ175" s="90"/>
      <c r="BA175" s="90"/>
      <c r="BB175" s="90"/>
      <c r="BC175" s="90"/>
      <c r="BD175" s="90"/>
      <c r="BE175" s="90"/>
      <c r="BF175" s="90"/>
      <c r="BG175" s="90"/>
      <c r="BH175" s="90"/>
      <c r="BI175" s="90"/>
      <c r="BJ175" s="90"/>
      <c r="BK175" s="90"/>
      <c r="BL175" s="90"/>
      <c r="BM175" s="90"/>
      <c r="BN175" s="90"/>
      <c r="BO175" s="90"/>
      <c r="BP175" s="90"/>
      <c r="BQ175" s="90"/>
    </row>
    <row r="176" ht="12.75" hidden="1" customHeight="1" outlineLevel="1">
      <c r="A176" s="316"/>
      <c r="B176" s="67" t="s">
        <v>725</v>
      </c>
      <c r="C176" s="90"/>
      <c r="D176" s="90"/>
      <c r="E176" s="90"/>
      <c r="F176" s="90"/>
      <c r="G176" s="254"/>
      <c r="H176" s="254"/>
      <c r="I176" s="99"/>
      <c r="J176" s="99"/>
      <c r="K176" s="99"/>
      <c r="L176" s="99"/>
      <c r="M176" s="99"/>
      <c r="N176" s="99"/>
      <c r="O176" s="99"/>
      <c r="P176" s="99"/>
      <c r="Q176" s="99"/>
      <c r="R176" s="99"/>
      <c r="S176" s="99"/>
      <c r="T176" s="99"/>
      <c r="U176" s="99"/>
      <c r="V176" s="99"/>
      <c r="W176" s="99"/>
      <c r="X176" s="99"/>
      <c r="Y176" s="99"/>
      <c r="Z176" s="99"/>
      <c r="AA176" s="99"/>
      <c r="AB176" s="99"/>
      <c r="AC176" s="99"/>
      <c r="AD176" s="99"/>
      <c r="AE176" s="99"/>
      <c r="AF176" s="99"/>
      <c r="AG176" s="99"/>
      <c r="AH176" s="99"/>
      <c r="AI176" s="99"/>
      <c r="AJ176" s="99"/>
      <c r="AK176" s="99"/>
      <c r="AL176" s="99"/>
      <c r="AM176" s="99"/>
      <c r="AN176" s="99"/>
      <c r="AO176" s="99"/>
      <c r="AP176" s="99"/>
      <c r="AQ176" s="99"/>
      <c r="AR176" s="99"/>
      <c r="AS176" s="99"/>
      <c r="AT176" s="99"/>
      <c r="AU176" s="99"/>
      <c r="AV176" s="99"/>
      <c r="AW176" s="90"/>
      <c r="AX176" s="90"/>
      <c r="AY176" s="90"/>
      <c r="AZ176" s="90"/>
      <c r="BA176" s="90"/>
      <c r="BB176" s="90"/>
      <c r="BC176" s="90"/>
      <c r="BD176" s="90"/>
      <c r="BE176" s="90"/>
      <c r="BF176" s="90"/>
      <c r="BG176" s="90"/>
      <c r="BH176" s="90"/>
      <c r="BI176" s="90"/>
      <c r="BJ176" s="90"/>
      <c r="BK176" s="90"/>
      <c r="BL176" s="90"/>
      <c r="BM176" s="90"/>
      <c r="BN176" s="90"/>
      <c r="BO176" s="90"/>
      <c r="BP176" s="90"/>
      <c r="BQ176" s="90"/>
    </row>
    <row r="177" ht="12.75" hidden="1" customHeight="1" outlineLevel="1">
      <c r="A177" s="316"/>
      <c r="B177" s="195"/>
      <c r="C177" s="90" t="s">
        <v>726</v>
      </c>
      <c r="D177" s="90"/>
      <c r="E177" s="90"/>
      <c r="F177" s="90"/>
      <c r="G177" s="254"/>
      <c r="H177" s="254"/>
      <c r="I177" s="157"/>
      <c r="J177" s="152"/>
      <c r="K177" s="152">
        <f>'RS2'!J176</f>
        <v>0.1</v>
      </c>
      <c r="L177" s="152">
        <f>'RS2'!K176</f>
        <v>0.1</v>
      </c>
      <c r="M177" s="152">
        <f>'RS2'!L176</f>
        <v>0.1</v>
      </c>
      <c r="N177" s="152">
        <f>'RS2'!M176</f>
        <v>0.1</v>
      </c>
      <c r="O177" s="152">
        <f>'RS2'!N176</f>
        <v>0.1</v>
      </c>
      <c r="P177" s="152">
        <f>'RS2'!O176</f>
        <v>0.1</v>
      </c>
      <c r="Q177" s="152">
        <f>'RS2'!P176</f>
        <v>0.1</v>
      </c>
      <c r="R177" s="152">
        <f>'RS2'!Q176</f>
        <v>0.1</v>
      </c>
      <c r="S177" s="152">
        <f>'RS2'!R176</f>
        <v>0.1</v>
      </c>
      <c r="T177" s="152">
        <f>'RS2'!S176</f>
        <v>0.1</v>
      </c>
      <c r="U177" s="152">
        <f>'RS2'!T176</f>
        <v>0.1</v>
      </c>
      <c r="V177" s="152">
        <f>'RS2'!U176</f>
        <v>0.1</v>
      </c>
      <c r="W177" s="152">
        <f>'RS2'!V176</f>
        <v>0.1</v>
      </c>
      <c r="X177" s="152">
        <f>'RS2'!W176</f>
        <v>0.1</v>
      </c>
      <c r="Y177" s="152">
        <f>'RS2'!X176</f>
        <v>0.1</v>
      </c>
      <c r="Z177" s="152">
        <f>'RS2'!Y176</f>
        <v>0.1</v>
      </c>
      <c r="AA177" s="152">
        <f>'RS2'!Z176</f>
        <v>0.1</v>
      </c>
      <c r="AB177" s="152">
        <f>'RS2'!AA176</f>
        <v>0.1</v>
      </c>
      <c r="AC177" s="152">
        <f>'RS2'!AB176</f>
        <v>0.1</v>
      </c>
      <c r="AD177" s="152">
        <f>'RS2'!AC176</f>
        <v>0.1</v>
      </c>
      <c r="AE177" s="152">
        <f>'RS2'!AD176</f>
        <v>0.1</v>
      </c>
      <c r="AF177" s="152">
        <f>'RS2'!AE176</f>
        <v>0.1</v>
      </c>
      <c r="AG177" s="152">
        <f>'RS2'!AF176</f>
        <v>0.1</v>
      </c>
      <c r="AH177" s="152">
        <f>'RS2'!AG176</f>
        <v>0.1</v>
      </c>
      <c r="AI177" s="152">
        <f>'RS2'!AH176</f>
        <v>0.1</v>
      </c>
      <c r="AJ177" s="152">
        <f>'RS2'!AI176</f>
        <v>0.1</v>
      </c>
      <c r="AK177" s="152">
        <f>'RS2'!AJ176</f>
        <v>0.1</v>
      </c>
      <c r="AL177" s="152">
        <f>'RS2'!AK176</f>
        <v>0.1</v>
      </c>
      <c r="AM177" s="152">
        <f>'RS2'!AL176</f>
        <v>0.1</v>
      </c>
      <c r="AN177" s="152">
        <f>'RS2'!AM176</f>
        <v>0.1</v>
      </c>
      <c r="AO177" s="152">
        <f>'RS2'!AN176</f>
        <v>0.1</v>
      </c>
      <c r="AP177" s="152">
        <f>'RS2'!AO176</f>
        <v>0.1</v>
      </c>
      <c r="AQ177" s="152">
        <f>'RS2'!AP176</f>
        <v>0.1</v>
      </c>
      <c r="AR177" s="152">
        <f>'RS2'!AQ176</f>
        <v>0.1</v>
      </c>
      <c r="AS177" s="152">
        <f>'RS2'!AR176</f>
        <v>0.1</v>
      </c>
      <c r="AT177" s="152">
        <f>'RS2'!AS176</f>
        <v>0.1</v>
      </c>
      <c r="AU177" s="152">
        <f>'RS2'!AT176</f>
        <v>0.1</v>
      </c>
      <c r="AV177" s="152">
        <f>'RS2'!AU176</f>
        <v>0.1</v>
      </c>
      <c r="AW177" s="90"/>
      <c r="AX177" s="90"/>
      <c r="AY177" s="90"/>
      <c r="AZ177" s="90"/>
      <c r="BA177" s="90"/>
      <c r="BB177" s="90"/>
      <c r="BC177" s="90"/>
      <c r="BD177" s="90"/>
      <c r="BE177" s="90"/>
      <c r="BF177" s="90"/>
      <c r="BG177" s="90"/>
      <c r="BH177" s="90"/>
      <c r="BI177" s="90"/>
      <c r="BJ177" s="90"/>
      <c r="BK177" s="90"/>
      <c r="BL177" s="90"/>
      <c r="BM177" s="90"/>
      <c r="BN177" s="90"/>
      <c r="BO177" s="90"/>
      <c r="BP177" s="90"/>
      <c r="BQ177" s="90"/>
    </row>
    <row r="178" ht="12.75" hidden="1" customHeight="1" outlineLevel="1">
      <c r="A178" s="316"/>
      <c r="B178" s="195"/>
      <c r="C178" s="90" t="s">
        <v>727</v>
      </c>
      <c r="D178" s="90"/>
      <c r="E178" s="90"/>
      <c r="F178" s="90"/>
      <c r="G178" s="254"/>
      <c r="H178" s="254"/>
      <c r="I178" s="157"/>
      <c r="J178" s="152"/>
      <c r="K178" s="152">
        <v>1.0</v>
      </c>
      <c r="L178" s="152">
        <v>1.0</v>
      </c>
      <c r="M178" s="152">
        <v>1.0</v>
      </c>
      <c r="N178" s="152">
        <v>1.0</v>
      </c>
      <c r="O178" s="152">
        <v>1.0</v>
      </c>
      <c r="P178" s="152">
        <v>1.0</v>
      </c>
      <c r="Q178" s="152">
        <v>1.0</v>
      </c>
      <c r="R178" s="152">
        <v>1.0</v>
      </c>
      <c r="S178" s="152">
        <v>1.0</v>
      </c>
      <c r="T178" s="152">
        <v>1.0</v>
      </c>
      <c r="U178" s="152">
        <v>1.0</v>
      </c>
      <c r="V178" s="152">
        <v>1.0</v>
      </c>
      <c r="W178" s="152">
        <v>1.0</v>
      </c>
      <c r="X178" s="152">
        <v>1.0</v>
      </c>
      <c r="Y178" s="152">
        <v>1.0</v>
      </c>
      <c r="Z178" s="152">
        <v>1.0</v>
      </c>
      <c r="AA178" s="152">
        <v>1.0</v>
      </c>
      <c r="AB178" s="152">
        <v>1.0</v>
      </c>
      <c r="AC178" s="152">
        <v>1.0</v>
      </c>
      <c r="AD178" s="152">
        <v>1.0</v>
      </c>
      <c r="AE178" s="152">
        <v>1.0</v>
      </c>
      <c r="AF178" s="152">
        <v>1.0</v>
      </c>
      <c r="AG178" s="152">
        <v>1.0</v>
      </c>
      <c r="AH178" s="152">
        <v>1.0</v>
      </c>
      <c r="AI178" s="152">
        <v>1.0</v>
      </c>
      <c r="AJ178" s="152">
        <v>1.0</v>
      </c>
      <c r="AK178" s="152">
        <v>1.0</v>
      </c>
      <c r="AL178" s="152">
        <v>1.0</v>
      </c>
      <c r="AM178" s="152">
        <v>1.0</v>
      </c>
      <c r="AN178" s="152">
        <v>1.0</v>
      </c>
      <c r="AO178" s="152">
        <v>1.0</v>
      </c>
      <c r="AP178" s="152">
        <v>1.0</v>
      </c>
      <c r="AQ178" s="152">
        <v>1.0</v>
      </c>
      <c r="AR178" s="152">
        <v>1.0</v>
      </c>
      <c r="AS178" s="152">
        <v>1.0</v>
      </c>
      <c r="AT178" s="152">
        <v>1.0</v>
      </c>
      <c r="AU178" s="152">
        <v>1.0</v>
      </c>
      <c r="AV178" s="152">
        <v>1.0</v>
      </c>
      <c r="AW178" s="90"/>
      <c r="AX178" s="90"/>
      <c r="AY178" s="90"/>
      <c r="AZ178" s="90"/>
      <c r="BA178" s="90"/>
      <c r="BB178" s="90"/>
      <c r="BC178" s="90"/>
      <c r="BD178" s="90"/>
      <c r="BE178" s="90"/>
      <c r="BF178" s="90"/>
      <c r="BG178" s="90"/>
      <c r="BH178" s="90"/>
      <c r="BI178" s="90"/>
      <c r="BJ178" s="90"/>
      <c r="BK178" s="90"/>
      <c r="BL178" s="90"/>
      <c r="BM178" s="90"/>
      <c r="BN178" s="90"/>
      <c r="BO178" s="90"/>
      <c r="BP178" s="90"/>
      <c r="BQ178" s="90"/>
    </row>
    <row r="179" ht="12.75" hidden="1" customHeight="1" outlineLevel="1">
      <c r="A179" s="538"/>
      <c r="B179" s="372"/>
      <c r="C179" s="353" t="s">
        <v>728</v>
      </c>
      <c r="D179" s="353"/>
      <c r="E179" s="353"/>
      <c r="F179" s="353"/>
      <c r="G179" s="353"/>
      <c r="H179" s="518"/>
      <c r="I179" s="254"/>
      <c r="J179" s="99"/>
      <c r="K179" s="99">
        <f t="shared" ref="K179:AV179" si="118">0.1*(K164+K169)</f>
        <v>8333.333333</v>
      </c>
      <c r="L179" s="99">
        <f t="shared" si="118"/>
        <v>15033.33333</v>
      </c>
      <c r="M179" s="99">
        <f t="shared" si="118"/>
        <v>18333.33333</v>
      </c>
      <c r="N179" s="99">
        <f t="shared" si="118"/>
        <v>18700</v>
      </c>
      <c r="O179" s="99">
        <f t="shared" si="118"/>
        <v>19074</v>
      </c>
      <c r="P179" s="99">
        <f t="shared" si="118"/>
        <v>19455.48</v>
      </c>
      <c r="Q179" s="99">
        <f t="shared" si="118"/>
        <v>19844.5896</v>
      </c>
      <c r="R179" s="99">
        <f t="shared" si="118"/>
        <v>20241.48139</v>
      </c>
      <c r="S179" s="99">
        <f t="shared" si="118"/>
        <v>20646.31102</v>
      </c>
      <c r="T179" s="99">
        <f t="shared" si="118"/>
        <v>21059.23724</v>
      </c>
      <c r="U179" s="99">
        <f t="shared" si="118"/>
        <v>21480.42199</v>
      </c>
      <c r="V179" s="99">
        <f t="shared" si="118"/>
        <v>21910.03042</v>
      </c>
      <c r="W179" s="99">
        <f t="shared" si="118"/>
        <v>22348.23103</v>
      </c>
      <c r="X179" s="99">
        <f t="shared" si="118"/>
        <v>22795.19565</v>
      </c>
      <c r="Y179" s="99">
        <f t="shared" si="118"/>
        <v>23251.09957</v>
      </c>
      <c r="Z179" s="99">
        <f t="shared" si="118"/>
        <v>23716.12156</v>
      </c>
      <c r="AA179" s="99">
        <f t="shared" si="118"/>
        <v>24190.44399</v>
      </c>
      <c r="AB179" s="99">
        <f t="shared" si="118"/>
        <v>24674.25287</v>
      </c>
      <c r="AC179" s="99">
        <f t="shared" si="118"/>
        <v>25167.73793</v>
      </c>
      <c r="AD179" s="99">
        <f t="shared" si="118"/>
        <v>25671.09269</v>
      </c>
      <c r="AE179" s="99">
        <f t="shared" si="118"/>
        <v>26184.51454</v>
      </c>
      <c r="AF179" s="99">
        <f t="shared" si="118"/>
        <v>26708.20483</v>
      </c>
      <c r="AG179" s="99">
        <f t="shared" si="118"/>
        <v>27242.36893</v>
      </c>
      <c r="AH179" s="99">
        <f t="shared" si="118"/>
        <v>27787.2163</v>
      </c>
      <c r="AI179" s="99">
        <f t="shared" si="118"/>
        <v>28342.96063</v>
      </c>
      <c r="AJ179" s="99">
        <f t="shared" si="118"/>
        <v>28909.81984</v>
      </c>
      <c r="AK179" s="99">
        <f t="shared" si="118"/>
        <v>29488.01624</v>
      </c>
      <c r="AL179" s="99">
        <f t="shared" si="118"/>
        <v>30077.77657</v>
      </c>
      <c r="AM179" s="99">
        <f t="shared" si="118"/>
        <v>30679.3321</v>
      </c>
      <c r="AN179" s="99">
        <f t="shared" si="118"/>
        <v>31292.91874</v>
      </c>
      <c r="AO179" s="99">
        <f t="shared" si="118"/>
        <v>31918.77711</v>
      </c>
      <c r="AP179" s="99">
        <f t="shared" si="118"/>
        <v>32557.15266</v>
      </c>
      <c r="AQ179" s="99">
        <f t="shared" si="118"/>
        <v>33208.29571</v>
      </c>
      <c r="AR179" s="99">
        <f t="shared" si="118"/>
        <v>33872.46162</v>
      </c>
      <c r="AS179" s="99">
        <f t="shared" si="118"/>
        <v>34549.91086</v>
      </c>
      <c r="AT179" s="99">
        <f t="shared" si="118"/>
        <v>35240.90907</v>
      </c>
      <c r="AU179" s="99">
        <f t="shared" si="118"/>
        <v>35945.72725</v>
      </c>
      <c r="AV179" s="99">
        <f t="shared" si="118"/>
        <v>36664.6418</v>
      </c>
      <c r="AW179" s="353"/>
      <c r="AX179" s="90"/>
      <c r="AY179" s="90"/>
      <c r="AZ179" s="90"/>
      <c r="BA179" s="90"/>
      <c r="BB179" s="90"/>
      <c r="BC179" s="90"/>
      <c r="BD179" s="90"/>
      <c r="BE179" s="353"/>
      <c r="BF179" s="353"/>
      <c r="BG179" s="353"/>
      <c r="BH179" s="353"/>
      <c r="BI179" s="353"/>
      <c r="BJ179" s="353"/>
      <c r="BK179" s="353"/>
      <c r="BL179" s="353"/>
      <c r="BM179" s="353"/>
      <c r="BN179" s="353"/>
      <c r="BO179" s="353"/>
      <c r="BP179" s="353"/>
      <c r="BQ179" s="353"/>
    </row>
    <row r="180" ht="12.75" hidden="1" customHeight="1" outlineLevel="1">
      <c r="A180" s="538"/>
      <c r="B180" s="372"/>
      <c r="C180" s="353"/>
      <c r="D180" s="353"/>
      <c r="E180" s="353"/>
      <c r="F180" s="353"/>
      <c r="G180" s="353"/>
      <c r="H180" s="518"/>
      <c r="I180" s="254"/>
      <c r="J180" s="99"/>
      <c r="K180" s="99"/>
      <c r="L180" s="99"/>
      <c r="M180" s="99"/>
      <c r="N180" s="99"/>
      <c r="O180" s="99"/>
      <c r="P180" s="99"/>
      <c r="Q180" s="99"/>
      <c r="R180" s="99"/>
      <c r="S180" s="99"/>
      <c r="T180" s="99"/>
      <c r="U180" s="99"/>
      <c r="V180" s="99"/>
      <c r="W180" s="99"/>
      <c r="X180" s="99"/>
      <c r="Y180" s="99"/>
      <c r="Z180" s="99"/>
      <c r="AA180" s="99"/>
      <c r="AB180" s="99"/>
      <c r="AC180" s="99"/>
      <c r="AD180" s="99"/>
      <c r="AE180" s="99"/>
      <c r="AF180" s="99"/>
      <c r="AG180" s="99"/>
      <c r="AH180" s="99"/>
      <c r="AI180" s="99"/>
      <c r="AJ180" s="99"/>
      <c r="AK180" s="99"/>
      <c r="AL180" s="99"/>
      <c r="AM180" s="99"/>
      <c r="AN180" s="99"/>
      <c r="AO180" s="99"/>
      <c r="AP180" s="99"/>
      <c r="AQ180" s="99"/>
      <c r="AR180" s="99"/>
      <c r="AS180" s="99"/>
      <c r="AT180" s="99"/>
      <c r="AU180" s="99"/>
      <c r="AV180" s="99"/>
      <c r="AW180" s="353"/>
      <c r="AX180" s="90"/>
      <c r="AY180" s="90"/>
      <c r="AZ180" s="90"/>
      <c r="BA180" s="90"/>
      <c r="BB180" s="90"/>
      <c r="BC180" s="90"/>
      <c r="BD180" s="90"/>
      <c r="BE180" s="353"/>
      <c r="BF180" s="353"/>
      <c r="BG180" s="353"/>
      <c r="BH180" s="353"/>
      <c r="BI180" s="353"/>
      <c r="BJ180" s="353"/>
      <c r="BK180" s="353"/>
      <c r="BL180" s="353"/>
      <c r="BM180" s="353"/>
      <c r="BN180" s="353"/>
      <c r="BO180" s="353"/>
      <c r="BP180" s="353"/>
      <c r="BQ180" s="353"/>
    </row>
    <row r="181" ht="12.75" hidden="1" customHeight="1" outlineLevel="1">
      <c r="A181" s="316"/>
      <c r="B181" s="67" t="s">
        <v>133</v>
      </c>
      <c r="C181" s="67"/>
      <c r="D181" s="67"/>
      <c r="E181" s="67"/>
      <c r="F181" s="67"/>
      <c r="G181" s="67"/>
      <c r="H181" s="99"/>
      <c r="I181" s="99"/>
      <c r="J181" s="99"/>
      <c r="K181" s="90"/>
      <c r="L181" s="90"/>
      <c r="M181" s="90"/>
      <c r="N181" s="90"/>
      <c r="O181" s="90"/>
      <c r="P181" s="90"/>
      <c r="Q181" s="90"/>
      <c r="R181" s="90"/>
      <c r="S181" s="90"/>
      <c r="T181" s="90"/>
      <c r="U181" s="90"/>
      <c r="V181" s="90"/>
      <c r="W181" s="90"/>
      <c r="X181" s="90"/>
      <c r="Y181" s="90"/>
      <c r="Z181" s="90"/>
      <c r="AA181" s="90"/>
      <c r="AB181" s="90"/>
      <c r="AC181" s="90"/>
      <c r="AD181" s="90"/>
      <c r="AE181" s="90"/>
      <c r="AF181" s="90"/>
      <c r="AG181" s="90"/>
      <c r="AH181" s="90"/>
      <c r="AI181" s="90"/>
      <c r="AJ181" s="90"/>
      <c r="AK181" s="90"/>
      <c r="AL181" s="90"/>
      <c r="AM181" s="90"/>
      <c r="AN181" s="90"/>
      <c r="AO181" s="90"/>
      <c r="AP181" s="90"/>
      <c r="AQ181" s="90"/>
      <c r="AR181" s="90"/>
      <c r="AS181" s="90"/>
      <c r="AT181" s="90"/>
      <c r="AU181" s="90"/>
      <c r="AV181" s="90"/>
      <c r="AW181" s="90"/>
      <c r="AX181" s="90"/>
      <c r="AY181" s="90"/>
      <c r="AZ181" s="90"/>
      <c r="BA181" s="90"/>
      <c r="BB181" s="90"/>
      <c r="BC181" s="90"/>
      <c r="BD181" s="90"/>
      <c r="BE181" s="90"/>
      <c r="BF181" s="90"/>
      <c r="BG181" s="90"/>
      <c r="BH181" s="90"/>
      <c r="BI181" s="90"/>
      <c r="BJ181" s="90"/>
      <c r="BK181" s="90"/>
      <c r="BL181" s="90"/>
      <c r="BM181" s="90"/>
      <c r="BN181" s="90"/>
      <c r="BO181" s="90"/>
      <c r="BP181" s="90"/>
      <c r="BQ181" s="90"/>
    </row>
    <row r="182" ht="12.75" hidden="1" customHeight="1" outlineLevel="1">
      <c r="A182" s="316"/>
      <c r="B182" s="90"/>
      <c r="C182" s="90" t="s">
        <v>577</v>
      </c>
      <c r="D182" s="90"/>
      <c r="E182" s="90"/>
      <c r="F182" s="90"/>
      <c r="G182" s="90"/>
      <c r="H182" s="523"/>
      <c r="I182" s="178"/>
      <c r="J182" s="178"/>
      <c r="K182" s="178">
        <f>'RS2'!J181</f>
        <v>0</v>
      </c>
      <c r="L182" s="178">
        <f>'RS2'!K181</f>
        <v>0.01</v>
      </c>
      <c r="M182" s="178">
        <f>'RS2'!L181</f>
        <v>0.01</v>
      </c>
      <c r="N182" s="178">
        <f>'RS2'!M181</f>
        <v>0.01</v>
      </c>
      <c r="O182" s="178">
        <f>'RS2'!N181</f>
        <v>0.01</v>
      </c>
      <c r="P182" s="178">
        <f>'RS2'!O181</f>
        <v>0.01</v>
      </c>
      <c r="Q182" s="178">
        <f>'RS2'!P181</f>
        <v>0.01</v>
      </c>
      <c r="R182" s="178">
        <f>'RS2'!Q181</f>
        <v>0.01</v>
      </c>
      <c r="S182" s="178">
        <f>'RS2'!R181</f>
        <v>0.01</v>
      </c>
      <c r="T182" s="178">
        <f>'RS2'!S181</f>
        <v>0.01</v>
      </c>
      <c r="U182" s="178">
        <f>'RS2'!T181</f>
        <v>0.01</v>
      </c>
      <c r="V182" s="178">
        <f>'RS2'!U181</f>
        <v>0.01</v>
      </c>
      <c r="W182" s="178">
        <f>'RS2'!V181</f>
        <v>0.01</v>
      </c>
      <c r="X182" s="178">
        <f>'RS2'!W181</f>
        <v>0.01</v>
      </c>
      <c r="Y182" s="178">
        <f>'RS2'!X181</f>
        <v>0.01</v>
      </c>
      <c r="Z182" s="178">
        <f>'RS2'!Y181</f>
        <v>0.01</v>
      </c>
      <c r="AA182" s="178">
        <f>'RS2'!Z181</f>
        <v>0.01</v>
      </c>
      <c r="AB182" s="178">
        <f>'RS2'!AA181</f>
        <v>0.01</v>
      </c>
      <c r="AC182" s="178">
        <f>'RS2'!AB181</f>
        <v>0.01</v>
      </c>
      <c r="AD182" s="178">
        <f>'RS2'!AC181</f>
        <v>0.01</v>
      </c>
      <c r="AE182" s="178">
        <f>'RS2'!AD181</f>
        <v>0.01</v>
      </c>
      <c r="AF182" s="178">
        <f>'RS2'!AE181</f>
        <v>0.01</v>
      </c>
      <c r="AG182" s="178">
        <f>'RS2'!AF181</f>
        <v>0.01</v>
      </c>
      <c r="AH182" s="178">
        <f>'RS2'!AG181</f>
        <v>0.01</v>
      </c>
      <c r="AI182" s="178">
        <f>'RS2'!AH181</f>
        <v>0.01</v>
      </c>
      <c r="AJ182" s="178">
        <f>'RS2'!AI181</f>
        <v>0.01</v>
      </c>
      <c r="AK182" s="178">
        <f>'RS2'!AJ181</f>
        <v>0.01</v>
      </c>
      <c r="AL182" s="178">
        <f>'RS2'!AK181</f>
        <v>0.01</v>
      </c>
      <c r="AM182" s="178">
        <f>'RS2'!AL181</f>
        <v>0.01</v>
      </c>
      <c r="AN182" s="178">
        <f>'RS2'!AM181</f>
        <v>0.01</v>
      </c>
      <c r="AO182" s="178">
        <f>'RS2'!AN181</f>
        <v>0.01</v>
      </c>
      <c r="AP182" s="178">
        <f>'RS2'!AO181</f>
        <v>0.01</v>
      </c>
      <c r="AQ182" s="178">
        <f>'RS2'!AP181</f>
        <v>0.01</v>
      </c>
      <c r="AR182" s="178">
        <f>'RS2'!AQ181</f>
        <v>0.01</v>
      </c>
      <c r="AS182" s="178">
        <f>'RS2'!AR181</f>
        <v>0.01</v>
      </c>
      <c r="AT182" s="178">
        <f>'RS2'!AS181</f>
        <v>0.01</v>
      </c>
      <c r="AU182" s="178">
        <f>'RS2'!AT181</f>
        <v>0.01</v>
      </c>
      <c r="AV182" s="178">
        <f>'RS2'!AU181</f>
        <v>0.01</v>
      </c>
      <c r="AW182" s="90"/>
      <c r="AX182" s="90"/>
      <c r="AY182" s="90"/>
      <c r="AZ182" s="90"/>
      <c r="BA182" s="90"/>
      <c r="BB182" s="90"/>
      <c r="BC182" s="90"/>
      <c r="BD182" s="90"/>
      <c r="BE182" s="90"/>
      <c r="BF182" s="90"/>
      <c r="BG182" s="90"/>
      <c r="BH182" s="90"/>
      <c r="BI182" s="90"/>
      <c r="BJ182" s="90"/>
      <c r="BK182" s="90"/>
      <c r="BL182" s="90"/>
      <c r="BM182" s="90"/>
      <c r="BN182" s="90"/>
      <c r="BO182" s="90"/>
      <c r="BP182" s="90"/>
      <c r="BQ182" s="90"/>
    </row>
    <row r="183" ht="12.75" hidden="1" customHeight="1" outlineLevel="1">
      <c r="A183" s="316"/>
      <c r="B183" s="195"/>
      <c r="C183" s="90" t="s">
        <v>729</v>
      </c>
      <c r="D183" s="90"/>
      <c r="E183" s="90"/>
      <c r="F183" s="90"/>
      <c r="G183" s="254"/>
      <c r="H183" s="254"/>
      <c r="I183" s="254"/>
      <c r="J183" s="99"/>
      <c r="K183" s="99">
        <f>'RSGen 1-7'!H184</f>
        <v>7200</v>
      </c>
      <c r="L183" s="99">
        <f>'RSGen 1-7'!I184</f>
        <v>7200</v>
      </c>
      <c r="M183" s="99">
        <f>'RSGen 1-7'!J184</f>
        <v>7200</v>
      </c>
      <c r="N183" s="99">
        <f>'RSGen 1-7'!K184</f>
        <v>7200</v>
      </c>
      <c r="O183" s="99">
        <f>'RSGen 1-7'!L184</f>
        <v>7200</v>
      </c>
      <c r="P183" s="99">
        <f>'RSGen 1-7'!M184</f>
        <v>7200</v>
      </c>
      <c r="Q183" s="99">
        <f>'RSGen 1-7'!N184</f>
        <v>7200</v>
      </c>
      <c r="R183" s="99">
        <f>'RSGen 1-7'!O184</f>
        <v>7200</v>
      </c>
      <c r="S183" s="99">
        <f>'RSGen 1-7'!P184</f>
        <v>7200</v>
      </c>
      <c r="T183" s="99">
        <f>'RSGen 1-7'!Q184</f>
        <v>7200</v>
      </c>
      <c r="U183" s="99">
        <f>'RSGen 1-7'!R184</f>
        <v>7200</v>
      </c>
      <c r="V183" s="99">
        <f t="shared" ref="V183:AV183" si="119">U183</f>
        <v>7200</v>
      </c>
      <c r="W183" s="99">
        <f t="shared" si="119"/>
        <v>7200</v>
      </c>
      <c r="X183" s="99">
        <f t="shared" si="119"/>
        <v>7200</v>
      </c>
      <c r="Y183" s="99">
        <f t="shared" si="119"/>
        <v>7200</v>
      </c>
      <c r="Z183" s="99">
        <f t="shared" si="119"/>
        <v>7200</v>
      </c>
      <c r="AA183" s="99">
        <f t="shared" si="119"/>
        <v>7200</v>
      </c>
      <c r="AB183" s="99">
        <f t="shared" si="119"/>
        <v>7200</v>
      </c>
      <c r="AC183" s="99">
        <f t="shared" si="119"/>
        <v>7200</v>
      </c>
      <c r="AD183" s="99">
        <f t="shared" si="119"/>
        <v>7200</v>
      </c>
      <c r="AE183" s="99">
        <f t="shared" si="119"/>
        <v>7200</v>
      </c>
      <c r="AF183" s="99">
        <f t="shared" si="119"/>
        <v>7200</v>
      </c>
      <c r="AG183" s="99">
        <f t="shared" si="119"/>
        <v>7200</v>
      </c>
      <c r="AH183" s="99">
        <f t="shared" si="119"/>
        <v>7200</v>
      </c>
      <c r="AI183" s="99">
        <f t="shared" si="119"/>
        <v>7200</v>
      </c>
      <c r="AJ183" s="99">
        <f t="shared" si="119"/>
        <v>7200</v>
      </c>
      <c r="AK183" s="99">
        <f t="shared" si="119"/>
        <v>7200</v>
      </c>
      <c r="AL183" s="99">
        <f t="shared" si="119"/>
        <v>7200</v>
      </c>
      <c r="AM183" s="99">
        <f t="shared" si="119"/>
        <v>7200</v>
      </c>
      <c r="AN183" s="99">
        <f t="shared" si="119"/>
        <v>7200</v>
      </c>
      <c r="AO183" s="99">
        <f t="shared" si="119"/>
        <v>7200</v>
      </c>
      <c r="AP183" s="99">
        <f t="shared" si="119"/>
        <v>7200</v>
      </c>
      <c r="AQ183" s="99">
        <f t="shared" si="119"/>
        <v>7200</v>
      </c>
      <c r="AR183" s="99">
        <f t="shared" si="119"/>
        <v>7200</v>
      </c>
      <c r="AS183" s="99">
        <f t="shared" si="119"/>
        <v>7200</v>
      </c>
      <c r="AT183" s="99">
        <f t="shared" si="119"/>
        <v>7200</v>
      </c>
      <c r="AU183" s="99">
        <f t="shared" si="119"/>
        <v>7200</v>
      </c>
      <c r="AV183" s="99">
        <f t="shared" si="119"/>
        <v>7200</v>
      </c>
      <c r="AW183" s="90" t="s">
        <v>1202</v>
      </c>
      <c r="AX183" s="90"/>
      <c r="AY183" s="90"/>
      <c r="AZ183" s="90"/>
      <c r="BA183" s="90"/>
      <c r="BB183" s="90"/>
      <c r="BC183" s="90"/>
      <c r="BD183" s="90"/>
      <c r="BE183" s="90"/>
      <c r="BF183" s="90"/>
      <c r="BG183" s="90"/>
      <c r="BH183" s="90"/>
      <c r="BI183" s="90"/>
      <c r="BJ183" s="90"/>
      <c r="BK183" s="90"/>
      <c r="BL183" s="90"/>
      <c r="BM183" s="90"/>
      <c r="BN183" s="90"/>
      <c r="BO183" s="90"/>
      <c r="BP183" s="90"/>
      <c r="BQ183" s="90"/>
    </row>
    <row r="184" ht="12.75" hidden="1" customHeight="1" outlineLevel="1">
      <c r="A184" s="316"/>
      <c r="B184" s="195"/>
      <c r="C184" s="90" t="s">
        <v>730</v>
      </c>
      <c r="D184" s="90"/>
      <c r="E184" s="90"/>
      <c r="F184" s="90"/>
      <c r="G184" s="102"/>
      <c r="H184" s="102"/>
      <c r="I184" s="102"/>
      <c r="J184" s="102"/>
      <c r="K184" s="102">
        <f t="shared" ref="K184:AV184" si="120">K151+K150+K147+K141</f>
        <v>1.5</v>
      </c>
      <c r="L184" s="102">
        <f t="shared" si="120"/>
        <v>17</v>
      </c>
      <c r="M184" s="102">
        <f t="shared" si="120"/>
        <v>20</v>
      </c>
      <c r="N184" s="102">
        <f t="shared" si="120"/>
        <v>21</v>
      </c>
      <c r="O184" s="102">
        <f t="shared" si="120"/>
        <v>19</v>
      </c>
      <c r="P184" s="102">
        <f t="shared" si="120"/>
        <v>19</v>
      </c>
      <c r="Q184" s="102">
        <f t="shared" si="120"/>
        <v>15</v>
      </c>
      <c r="R184" s="102">
        <f t="shared" si="120"/>
        <v>15</v>
      </c>
      <c r="S184" s="102">
        <f t="shared" si="120"/>
        <v>15</v>
      </c>
      <c r="T184" s="102">
        <f t="shared" si="120"/>
        <v>15</v>
      </c>
      <c r="U184" s="102">
        <f t="shared" si="120"/>
        <v>15</v>
      </c>
      <c r="V184" s="102">
        <f t="shared" si="120"/>
        <v>15</v>
      </c>
      <c r="W184" s="102">
        <f t="shared" si="120"/>
        <v>15</v>
      </c>
      <c r="X184" s="102">
        <f t="shared" si="120"/>
        <v>15</v>
      </c>
      <c r="Y184" s="102">
        <f t="shared" si="120"/>
        <v>15</v>
      </c>
      <c r="Z184" s="102">
        <f t="shared" si="120"/>
        <v>15</v>
      </c>
      <c r="AA184" s="102">
        <f t="shared" si="120"/>
        <v>15</v>
      </c>
      <c r="AB184" s="102">
        <f t="shared" si="120"/>
        <v>15</v>
      </c>
      <c r="AC184" s="102">
        <f t="shared" si="120"/>
        <v>15</v>
      </c>
      <c r="AD184" s="102">
        <f t="shared" si="120"/>
        <v>15</v>
      </c>
      <c r="AE184" s="102">
        <f t="shared" si="120"/>
        <v>15</v>
      </c>
      <c r="AF184" s="102">
        <f t="shared" si="120"/>
        <v>15</v>
      </c>
      <c r="AG184" s="102">
        <f t="shared" si="120"/>
        <v>15</v>
      </c>
      <c r="AH184" s="102">
        <f t="shared" si="120"/>
        <v>15</v>
      </c>
      <c r="AI184" s="102">
        <f t="shared" si="120"/>
        <v>15</v>
      </c>
      <c r="AJ184" s="102">
        <f t="shared" si="120"/>
        <v>15</v>
      </c>
      <c r="AK184" s="102">
        <f t="shared" si="120"/>
        <v>15</v>
      </c>
      <c r="AL184" s="102">
        <f t="shared" si="120"/>
        <v>15</v>
      </c>
      <c r="AM184" s="102">
        <f t="shared" si="120"/>
        <v>15</v>
      </c>
      <c r="AN184" s="102">
        <f t="shared" si="120"/>
        <v>15</v>
      </c>
      <c r="AO184" s="102">
        <f t="shared" si="120"/>
        <v>15</v>
      </c>
      <c r="AP184" s="102">
        <f t="shared" si="120"/>
        <v>15</v>
      </c>
      <c r="AQ184" s="102">
        <f t="shared" si="120"/>
        <v>15</v>
      </c>
      <c r="AR184" s="102">
        <f t="shared" si="120"/>
        <v>15</v>
      </c>
      <c r="AS184" s="102">
        <f t="shared" si="120"/>
        <v>15</v>
      </c>
      <c r="AT184" s="102">
        <f t="shared" si="120"/>
        <v>15</v>
      </c>
      <c r="AU184" s="102">
        <f t="shared" si="120"/>
        <v>15</v>
      </c>
      <c r="AV184" s="102">
        <f t="shared" si="120"/>
        <v>15</v>
      </c>
      <c r="AW184" s="90"/>
      <c r="AX184" s="90"/>
      <c r="AY184" s="90"/>
      <c r="AZ184" s="90"/>
      <c r="BA184" s="90"/>
      <c r="BB184" s="90"/>
      <c r="BC184" s="90"/>
      <c r="BD184" s="90"/>
      <c r="BE184" s="90"/>
      <c r="BF184" s="90"/>
      <c r="BG184" s="90"/>
      <c r="BH184" s="90"/>
      <c r="BI184" s="90"/>
      <c r="BJ184" s="90"/>
      <c r="BK184" s="90"/>
      <c r="BL184" s="90"/>
      <c r="BM184" s="90"/>
      <c r="BN184" s="90"/>
      <c r="BO184" s="90"/>
      <c r="BP184" s="90"/>
      <c r="BQ184" s="90"/>
    </row>
    <row r="185" ht="12.75" hidden="1" customHeight="1" outlineLevel="1">
      <c r="A185" s="316"/>
      <c r="B185" s="195"/>
      <c r="C185" s="90" t="s">
        <v>731</v>
      </c>
      <c r="D185" s="90"/>
      <c r="E185" s="90"/>
      <c r="F185" s="90"/>
      <c r="G185" s="539"/>
      <c r="H185" s="89"/>
      <c r="I185" s="89"/>
      <c r="J185" s="89"/>
      <c r="K185" s="89">
        <f>'RSGen 1-7'!H186</f>
        <v>0.016</v>
      </c>
      <c r="L185" s="89">
        <f>'RSGen 1-7'!I186</f>
        <v>0.016</v>
      </c>
      <c r="M185" s="89">
        <f>'RSGen 1-7'!J186</f>
        <v>0.016</v>
      </c>
      <c r="N185" s="89">
        <f>'RSGen 1-7'!K186</f>
        <v>0.016</v>
      </c>
      <c r="O185" s="89">
        <f>'RSGen 1-7'!L186</f>
        <v>0.016</v>
      </c>
      <c r="P185" s="89">
        <f>'RSGen 1-7'!M186</f>
        <v>0.016</v>
      </c>
      <c r="Q185" s="89">
        <f>'RSGen 1-7'!N186</f>
        <v>0.016</v>
      </c>
      <c r="R185" s="89">
        <f>'RSGen 1-7'!O186</f>
        <v>0.016</v>
      </c>
      <c r="S185" s="89">
        <f>'RSGen 1-7'!P186</f>
        <v>0.016</v>
      </c>
      <c r="T185" s="89">
        <f>'RSGen 1-7'!Q186</f>
        <v>0.016</v>
      </c>
      <c r="U185" s="89">
        <f>'RSGen 1-7'!R186</f>
        <v>0.016</v>
      </c>
      <c r="V185" s="89">
        <f t="shared" ref="V185:AV185" si="121">U185</f>
        <v>0.016</v>
      </c>
      <c r="W185" s="89">
        <f t="shared" si="121"/>
        <v>0.016</v>
      </c>
      <c r="X185" s="89">
        <f t="shared" si="121"/>
        <v>0.016</v>
      </c>
      <c r="Y185" s="89">
        <f t="shared" si="121"/>
        <v>0.016</v>
      </c>
      <c r="Z185" s="89">
        <f t="shared" si="121"/>
        <v>0.016</v>
      </c>
      <c r="AA185" s="89">
        <f t="shared" si="121"/>
        <v>0.016</v>
      </c>
      <c r="AB185" s="89">
        <f t="shared" si="121"/>
        <v>0.016</v>
      </c>
      <c r="AC185" s="89">
        <f t="shared" si="121"/>
        <v>0.016</v>
      </c>
      <c r="AD185" s="89">
        <f t="shared" si="121"/>
        <v>0.016</v>
      </c>
      <c r="AE185" s="89">
        <f t="shared" si="121"/>
        <v>0.016</v>
      </c>
      <c r="AF185" s="89">
        <f t="shared" si="121"/>
        <v>0.016</v>
      </c>
      <c r="AG185" s="89">
        <f t="shared" si="121"/>
        <v>0.016</v>
      </c>
      <c r="AH185" s="89">
        <f t="shared" si="121"/>
        <v>0.016</v>
      </c>
      <c r="AI185" s="89">
        <f t="shared" si="121"/>
        <v>0.016</v>
      </c>
      <c r="AJ185" s="89">
        <f t="shared" si="121"/>
        <v>0.016</v>
      </c>
      <c r="AK185" s="89">
        <f t="shared" si="121"/>
        <v>0.016</v>
      </c>
      <c r="AL185" s="89">
        <f t="shared" si="121"/>
        <v>0.016</v>
      </c>
      <c r="AM185" s="89">
        <f t="shared" si="121"/>
        <v>0.016</v>
      </c>
      <c r="AN185" s="89">
        <f t="shared" si="121"/>
        <v>0.016</v>
      </c>
      <c r="AO185" s="89">
        <f t="shared" si="121"/>
        <v>0.016</v>
      </c>
      <c r="AP185" s="89">
        <f t="shared" si="121"/>
        <v>0.016</v>
      </c>
      <c r="AQ185" s="89">
        <f t="shared" si="121"/>
        <v>0.016</v>
      </c>
      <c r="AR185" s="89">
        <f t="shared" si="121"/>
        <v>0.016</v>
      </c>
      <c r="AS185" s="89">
        <f t="shared" si="121"/>
        <v>0.016</v>
      </c>
      <c r="AT185" s="89">
        <f t="shared" si="121"/>
        <v>0.016</v>
      </c>
      <c r="AU185" s="89">
        <f t="shared" si="121"/>
        <v>0.016</v>
      </c>
      <c r="AV185" s="89">
        <f t="shared" si="121"/>
        <v>0.016</v>
      </c>
      <c r="AW185" s="90"/>
      <c r="AX185" s="90"/>
      <c r="AY185" s="90"/>
      <c r="AZ185" s="90"/>
      <c r="BA185" s="90"/>
      <c r="BB185" s="90"/>
      <c r="BC185" s="90"/>
      <c r="BD185" s="90"/>
      <c r="BE185" s="90"/>
      <c r="BF185" s="90"/>
      <c r="BG185" s="90"/>
      <c r="BH185" s="90"/>
      <c r="BI185" s="90"/>
      <c r="BJ185" s="90"/>
      <c r="BK185" s="90"/>
      <c r="BL185" s="90"/>
      <c r="BM185" s="90"/>
      <c r="BN185" s="90"/>
      <c r="BO185" s="90"/>
      <c r="BP185" s="90"/>
      <c r="BQ185" s="90"/>
    </row>
    <row r="186" ht="12.75" hidden="1" customHeight="1" outlineLevel="1">
      <c r="A186" s="316"/>
      <c r="B186" s="195"/>
      <c r="C186" s="90" t="s">
        <v>732</v>
      </c>
      <c r="D186" s="90"/>
      <c r="E186" s="90"/>
      <c r="F186" s="90"/>
      <c r="G186" s="539"/>
      <c r="H186" s="89"/>
      <c r="I186" s="89"/>
      <c r="J186" s="89"/>
      <c r="K186" s="89">
        <f>'RSGen 1-7'!H187</f>
        <v>0.011</v>
      </c>
      <c r="L186" s="89">
        <f>'RSGen 1-7'!I187</f>
        <v>0.011</v>
      </c>
      <c r="M186" s="89">
        <f>'RSGen 1-7'!J187</f>
        <v>0.011</v>
      </c>
      <c r="N186" s="89">
        <f>'RSGen 1-7'!K187</f>
        <v>0.011</v>
      </c>
      <c r="O186" s="89">
        <f>'RSGen 1-7'!L187</f>
        <v>0.011</v>
      </c>
      <c r="P186" s="89">
        <f>'RSGen 1-7'!M187</f>
        <v>0.011</v>
      </c>
      <c r="Q186" s="89">
        <f>'RSGen 1-7'!N187</f>
        <v>0.011</v>
      </c>
      <c r="R186" s="89">
        <f>'RSGen 1-7'!O187</f>
        <v>0.011</v>
      </c>
      <c r="S186" s="89">
        <f>'RSGen 1-7'!P187</f>
        <v>0.011</v>
      </c>
      <c r="T186" s="89">
        <f>'RSGen 1-7'!Q187</f>
        <v>0.011</v>
      </c>
      <c r="U186" s="89">
        <f>'RSGen 1-7'!R187</f>
        <v>0.011</v>
      </c>
      <c r="V186" s="89">
        <f t="shared" ref="V186:AV186" si="122">U186</f>
        <v>0.011</v>
      </c>
      <c r="W186" s="89">
        <f t="shared" si="122"/>
        <v>0.011</v>
      </c>
      <c r="X186" s="89">
        <f t="shared" si="122"/>
        <v>0.011</v>
      </c>
      <c r="Y186" s="89">
        <f t="shared" si="122"/>
        <v>0.011</v>
      </c>
      <c r="Z186" s="89">
        <f t="shared" si="122"/>
        <v>0.011</v>
      </c>
      <c r="AA186" s="89">
        <f t="shared" si="122"/>
        <v>0.011</v>
      </c>
      <c r="AB186" s="89">
        <f t="shared" si="122"/>
        <v>0.011</v>
      </c>
      <c r="AC186" s="89">
        <f t="shared" si="122"/>
        <v>0.011</v>
      </c>
      <c r="AD186" s="89">
        <f t="shared" si="122"/>
        <v>0.011</v>
      </c>
      <c r="AE186" s="89">
        <f t="shared" si="122"/>
        <v>0.011</v>
      </c>
      <c r="AF186" s="89">
        <f t="shared" si="122"/>
        <v>0.011</v>
      </c>
      <c r="AG186" s="89">
        <f t="shared" si="122"/>
        <v>0.011</v>
      </c>
      <c r="AH186" s="89">
        <f t="shared" si="122"/>
        <v>0.011</v>
      </c>
      <c r="AI186" s="89">
        <f t="shared" si="122"/>
        <v>0.011</v>
      </c>
      <c r="AJ186" s="89">
        <f t="shared" si="122"/>
        <v>0.011</v>
      </c>
      <c r="AK186" s="89">
        <f t="shared" si="122"/>
        <v>0.011</v>
      </c>
      <c r="AL186" s="89">
        <f t="shared" si="122"/>
        <v>0.011</v>
      </c>
      <c r="AM186" s="89">
        <f t="shared" si="122"/>
        <v>0.011</v>
      </c>
      <c r="AN186" s="89">
        <f t="shared" si="122"/>
        <v>0.011</v>
      </c>
      <c r="AO186" s="89">
        <f t="shared" si="122"/>
        <v>0.011</v>
      </c>
      <c r="AP186" s="89">
        <f t="shared" si="122"/>
        <v>0.011</v>
      </c>
      <c r="AQ186" s="89">
        <f t="shared" si="122"/>
        <v>0.011</v>
      </c>
      <c r="AR186" s="89">
        <f t="shared" si="122"/>
        <v>0.011</v>
      </c>
      <c r="AS186" s="89">
        <f t="shared" si="122"/>
        <v>0.011</v>
      </c>
      <c r="AT186" s="89">
        <f t="shared" si="122"/>
        <v>0.011</v>
      </c>
      <c r="AU186" s="89">
        <f t="shared" si="122"/>
        <v>0.011</v>
      </c>
      <c r="AV186" s="89">
        <f t="shared" si="122"/>
        <v>0.011</v>
      </c>
      <c r="AW186" s="90"/>
      <c r="AX186" s="90"/>
      <c r="AY186" s="90"/>
      <c r="AZ186" s="90"/>
      <c r="BA186" s="90"/>
      <c r="BB186" s="90"/>
      <c r="BC186" s="90"/>
      <c r="BD186" s="90"/>
      <c r="BE186" s="90"/>
      <c r="BF186" s="90"/>
      <c r="BG186" s="90"/>
      <c r="BH186" s="90"/>
      <c r="BI186" s="90"/>
      <c r="BJ186" s="90"/>
      <c r="BK186" s="90"/>
      <c r="BL186" s="90"/>
      <c r="BM186" s="90"/>
      <c r="BN186" s="90"/>
      <c r="BO186" s="90"/>
      <c r="BP186" s="90"/>
      <c r="BQ186" s="90"/>
    </row>
    <row r="187" ht="12.75" hidden="1" customHeight="1" outlineLevel="1">
      <c r="A187" s="316"/>
      <c r="B187" s="195"/>
      <c r="C187" s="90" t="s">
        <v>733</v>
      </c>
      <c r="D187" s="90"/>
      <c r="E187" s="90"/>
      <c r="F187" s="90"/>
      <c r="G187" s="539"/>
      <c r="H187" s="89"/>
      <c r="I187" s="89"/>
      <c r="J187" s="89"/>
      <c r="K187" s="89">
        <f>'RSGen 1-7'!H188</f>
        <v>0.0145</v>
      </c>
      <c r="L187" s="89">
        <f>'RSGen 1-7'!I188</f>
        <v>0.0145</v>
      </c>
      <c r="M187" s="89">
        <f>'RSGen 1-7'!J188</f>
        <v>0.0145</v>
      </c>
      <c r="N187" s="89">
        <f>'RSGen 1-7'!K188</f>
        <v>0.0145</v>
      </c>
      <c r="O187" s="89">
        <f>'RSGen 1-7'!L188</f>
        <v>0.0145</v>
      </c>
      <c r="P187" s="89">
        <f>'RSGen 1-7'!M188</f>
        <v>0.0145</v>
      </c>
      <c r="Q187" s="89">
        <f>'RSGen 1-7'!N188</f>
        <v>0.0145</v>
      </c>
      <c r="R187" s="89">
        <f>'RSGen 1-7'!O188</f>
        <v>0.0145</v>
      </c>
      <c r="S187" s="89">
        <f>'RSGen 1-7'!P188</f>
        <v>0.0145</v>
      </c>
      <c r="T187" s="89">
        <f>'RSGen 1-7'!Q188</f>
        <v>0.0145</v>
      </c>
      <c r="U187" s="89">
        <f>'RSGen 1-7'!R188</f>
        <v>0.0145</v>
      </c>
      <c r="V187" s="89">
        <f t="shared" ref="V187:AV187" si="123">U187</f>
        <v>0.0145</v>
      </c>
      <c r="W187" s="89">
        <f t="shared" si="123"/>
        <v>0.0145</v>
      </c>
      <c r="X187" s="89">
        <f t="shared" si="123"/>
        <v>0.0145</v>
      </c>
      <c r="Y187" s="89">
        <f t="shared" si="123"/>
        <v>0.0145</v>
      </c>
      <c r="Z187" s="89">
        <f t="shared" si="123"/>
        <v>0.0145</v>
      </c>
      <c r="AA187" s="89">
        <f t="shared" si="123"/>
        <v>0.0145</v>
      </c>
      <c r="AB187" s="89">
        <f t="shared" si="123"/>
        <v>0.0145</v>
      </c>
      <c r="AC187" s="89">
        <f t="shared" si="123"/>
        <v>0.0145</v>
      </c>
      <c r="AD187" s="89">
        <f t="shared" si="123"/>
        <v>0.0145</v>
      </c>
      <c r="AE187" s="89">
        <f t="shared" si="123"/>
        <v>0.0145</v>
      </c>
      <c r="AF187" s="89">
        <f t="shared" si="123"/>
        <v>0.0145</v>
      </c>
      <c r="AG187" s="89">
        <f t="shared" si="123"/>
        <v>0.0145</v>
      </c>
      <c r="AH187" s="89">
        <f t="shared" si="123"/>
        <v>0.0145</v>
      </c>
      <c r="AI187" s="89">
        <f t="shared" si="123"/>
        <v>0.0145</v>
      </c>
      <c r="AJ187" s="89">
        <f t="shared" si="123"/>
        <v>0.0145</v>
      </c>
      <c r="AK187" s="89">
        <f t="shared" si="123"/>
        <v>0.0145</v>
      </c>
      <c r="AL187" s="89">
        <f t="shared" si="123"/>
        <v>0.0145</v>
      </c>
      <c r="AM187" s="89">
        <f t="shared" si="123"/>
        <v>0.0145</v>
      </c>
      <c r="AN187" s="89">
        <f t="shared" si="123"/>
        <v>0.0145</v>
      </c>
      <c r="AO187" s="89">
        <f t="shared" si="123"/>
        <v>0.0145</v>
      </c>
      <c r="AP187" s="89">
        <f t="shared" si="123"/>
        <v>0.0145</v>
      </c>
      <c r="AQ187" s="89">
        <f t="shared" si="123"/>
        <v>0.0145</v>
      </c>
      <c r="AR187" s="89">
        <f t="shared" si="123"/>
        <v>0.0145</v>
      </c>
      <c r="AS187" s="89">
        <f t="shared" si="123"/>
        <v>0.0145</v>
      </c>
      <c r="AT187" s="89">
        <f t="shared" si="123"/>
        <v>0.0145</v>
      </c>
      <c r="AU187" s="89">
        <f t="shared" si="123"/>
        <v>0.0145</v>
      </c>
      <c r="AV187" s="89">
        <f t="shared" si="123"/>
        <v>0.0145</v>
      </c>
      <c r="AW187" s="90"/>
      <c r="AX187" s="90"/>
      <c r="AY187" s="90"/>
      <c r="AZ187" s="90"/>
      <c r="BA187" s="90"/>
      <c r="BB187" s="90"/>
      <c r="BC187" s="90"/>
      <c r="BD187" s="90"/>
      <c r="BE187" s="90"/>
      <c r="BF187" s="90"/>
      <c r="BG187" s="90"/>
      <c r="BH187" s="90"/>
      <c r="BI187" s="90"/>
      <c r="BJ187" s="90"/>
      <c r="BK187" s="90"/>
      <c r="BL187" s="90"/>
      <c r="BM187" s="90"/>
      <c r="BN187" s="90"/>
      <c r="BO187" s="90"/>
      <c r="BP187" s="90"/>
      <c r="BQ187" s="90"/>
    </row>
    <row r="188" ht="12.75" hidden="1" customHeight="1" outlineLevel="1">
      <c r="A188" s="540"/>
      <c r="B188" s="374"/>
      <c r="C188" s="90" t="s">
        <v>734</v>
      </c>
      <c r="D188" s="230"/>
      <c r="E188" s="230"/>
      <c r="F188" s="230"/>
      <c r="G188" s="539"/>
      <c r="H188" s="89"/>
      <c r="I188" s="89"/>
      <c r="J188" s="89"/>
      <c r="K188" s="89">
        <f>'RSGen 1-7'!H189</f>
        <v>0.0825</v>
      </c>
      <c r="L188" s="89">
        <f>'RSGen 1-7'!I189</f>
        <v>0.0825</v>
      </c>
      <c r="M188" s="89">
        <f>'RSGen 1-7'!J189</f>
        <v>0.0825</v>
      </c>
      <c r="N188" s="89">
        <f>'RSGen 1-7'!K189</f>
        <v>0.0825</v>
      </c>
      <c r="O188" s="89">
        <f>'RSGen 1-7'!L189</f>
        <v>0.0825</v>
      </c>
      <c r="P188" s="89">
        <f>'RSGen 1-7'!M189</f>
        <v>0.0825</v>
      </c>
      <c r="Q188" s="89">
        <f>'RSGen 1-7'!N189</f>
        <v>0.0825</v>
      </c>
      <c r="R188" s="89">
        <f>'RSGen 1-7'!O189</f>
        <v>0.0825</v>
      </c>
      <c r="S188" s="89">
        <f>'RSGen 1-7'!P189</f>
        <v>0.0825</v>
      </c>
      <c r="T188" s="89">
        <f>'RSGen 1-7'!Q189</f>
        <v>0.0825</v>
      </c>
      <c r="U188" s="89">
        <f>'RSGen 1-7'!R189</f>
        <v>0.0825</v>
      </c>
      <c r="V188" s="89">
        <f t="shared" ref="V188:AV188" si="124">U188</f>
        <v>0.0825</v>
      </c>
      <c r="W188" s="89">
        <f t="shared" si="124"/>
        <v>0.0825</v>
      </c>
      <c r="X188" s="89">
        <f t="shared" si="124"/>
        <v>0.0825</v>
      </c>
      <c r="Y188" s="89">
        <f t="shared" si="124"/>
        <v>0.0825</v>
      </c>
      <c r="Z188" s="89">
        <f t="shared" si="124"/>
        <v>0.0825</v>
      </c>
      <c r="AA188" s="89">
        <f t="shared" si="124"/>
        <v>0.0825</v>
      </c>
      <c r="AB188" s="89">
        <f t="shared" si="124"/>
        <v>0.0825</v>
      </c>
      <c r="AC188" s="89">
        <f t="shared" si="124"/>
        <v>0.0825</v>
      </c>
      <c r="AD188" s="89">
        <f t="shared" si="124"/>
        <v>0.0825</v>
      </c>
      <c r="AE188" s="89">
        <f t="shared" si="124"/>
        <v>0.0825</v>
      </c>
      <c r="AF188" s="89">
        <f t="shared" si="124"/>
        <v>0.0825</v>
      </c>
      <c r="AG188" s="89">
        <f t="shared" si="124"/>
        <v>0.0825</v>
      </c>
      <c r="AH188" s="89">
        <f t="shared" si="124"/>
        <v>0.0825</v>
      </c>
      <c r="AI188" s="89">
        <f t="shared" si="124"/>
        <v>0.0825</v>
      </c>
      <c r="AJ188" s="89">
        <f t="shared" si="124"/>
        <v>0.0825</v>
      </c>
      <c r="AK188" s="89">
        <f t="shared" si="124"/>
        <v>0.0825</v>
      </c>
      <c r="AL188" s="89">
        <f t="shared" si="124"/>
        <v>0.0825</v>
      </c>
      <c r="AM188" s="89">
        <f t="shared" si="124"/>
        <v>0.0825</v>
      </c>
      <c r="AN188" s="89">
        <f t="shared" si="124"/>
        <v>0.0825</v>
      </c>
      <c r="AO188" s="89">
        <f t="shared" si="124"/>
        <v>0.0825</v>
      </c>
      <c r="AP188" s="89">
        <f t="shared" si="124"/>
        <v>0.0825</v>
      </c>
      <c r="AQ188" s="89">
        <f t="shared" si="124"/>
        <v>0.0825</v>
      </c>
      <c r="AR188" s="89">
        <f t="shared" si="124"/>
        <v>0.0825</v>
      </c>
      <c r="AS188" s="89">
        <f t="shared" si="124"/>
        <v>0.0825</v>
      </c>
      <c r="AT188" s="89">
        <f t="shared" si="124"/>
        <v>0.0825</v>
      </c>
      <c r="AU188" s="89">
        <f t="shared" si="124"/>
        <v>0.0825</v>
      </c>
      <c r="AV188" s="89">
        <f t="shared" si="124"/>
        <v>0.0825</v>
      </c>
      <c r="AW188" s="230"/>
      <c r="AX188" s="90"/>
      <c r="AY188" s="90"/>
      <c r="AZ188" s="90"/>
      <c r="BA188" s="90"/>
      <c r="BB188" s="90"/>
      <c r="BC188" s="90"/>
      <c r="BD188" s="90"/>
      <c r="BE188" s="230"/>
      <c r="BF188" s="230"/>
      <c r="BG188" s="230"/>
      <c r="BH188" s="230"/>
      <c r="BI188" s="230"/>
      <c r="BJ188" s="230"/>
      <c r="BK188" s="230"/>
      <c r="BL188" s="230"/>
      <c r="BM188" s="230"/>
      <c r="BN188" s="230"/>
      <c r="BO188" s="230"/>
      <c r="BP188" s="230"/>
      <c r="BQ188" s="230"/>
    </row>
    <row r="189" ht="12.75" hidden="1" customHeight="1" outlineLevel="1">
      <c r="A189" s="316"/>
      <c r="B189" s="195"/>
      <c r="C189" s="90" t="s">
        <v>735</v>
      </c>
      <c r="D189" s="90"/>
      <c r="E189" s="90"/>
      <c r="F189" s="90"/>
      <c r="G189" s="539"/>
      <c r="H189" s="89"/>
      <c r="I189" s="89"/>
      <c r="J189" s="89"/>
      <c r="K189" s="89">
        <f>'RSGen 1-7'!H190</f>
        <v>0.102</v>
      </c>
      <c r="L189" s="89">
        <f>'RSGen 1-7'!I190</f>
        <v>0.102</v>
      </c>
      <c r="M189" s="89">
        <f>'RSGen 1-7'!J190</f>
        <v>0.102</v>
      </c>
      <c r="N189" s="89">
        <f>'RSGen 1-7'!K190</f>
        <v>0.102</v>
      </c>
      <c r="O189" s="89">
        <f>'RSGen 1-7'!L190</f>
        <v>0.102</v>
      </c>
      <c r="P189" s="89">
        <f>'RSGen 1-7'!M190</f>
        <v>0.102</v>
      </c>
      <c r="Q189" s="89">
        <f>'RSGen 1-7'!N190</f>
        <v>0.102</v>
      </c>
      <c r="R189" s="89">
        <f>'RSGen 1-7'!O190</f>
        <v>0.102</v>
      </c>
      <c r="S189" s="89">
        <f>'RSGen 1-7'!P190</f>
        <v>0.102</v>
      </c>
      <c r="T189" s="89">
        <f>'RSGen 1-7'!Q190</f>
        <v>0.102</v>
      </c>
      <c r="U189" s="89">
        <f>'RSGen 1-7'!R190</f>
        <v>0.102</v>
      </c>
      <c r="V189" s="89">
        <f t="shared" ref="V189:AV189" si="125">U189</f>
        <v>0.102</v>
      </c>
      <c r="W189" s="89">
        <f t="shared" si="125"/>
        <v>0.102</v>
      </c>
      <c r="X189" s="89">
        <f t="shared" si="125"/>
        <v>0.102</v>
      </c>
      <c r="Y189" s="89">
        <f t="shared" si="125"/>
        <v>0.102</v>
      </c>
      <c r="Z189" s="89">
        <f t="shared" si="125"/>
        <v>0.102</v>
      </c>
      <c r="AA189" s="89">
        <f t="shared" si="125"/>
        <v>0.102</v>
      </c>
      <c r="AB189" s="89">
        <f t="shared" si="125"/>
        <v>0.102</v>
      </c>
      <c r="AC189" s="89">
        <f t="shared" si="125"/>
        <v>0.102</v>
      </c>
      <c r="AD189" s="89">
        <f t="shared" si="125"/>
        <v>0.102</v>
      </c>
      <c r="AE189" s="89">
        <f t="shared" si="125"/>
        <v>0.102</v>
      </c>
      <c r="AF189" s="89">
        <f t="shared" si="125"/>
        <v>0.102</v>
      </c>
      <c r="AG189" s="89">
        <f t="shared" si="125"/>
        <v>0.102</v>
      </c>
      <c r="AH189" s="89">
        <f t="shared" si="125"/>
        <v>0.102</v>
      </c>
      <c r="AI189" s="89">
        <f t="shared" si="125"/>
        <v>0.102</v>
      </c>
      <c r="AJ189" s="89">
        <f t="shared" si="125"/>
        <v>0.102</v>
      </c>
      <c r="AK189" s="89">
        <f t="shared" si="125"/>
        <v>0.102</v>
      </c>
      <c r="AL189" s="89">
        <f t="shared" si="125"/>
        <v>0.102</v>
      </c>
      <c r="AM189" s="89">
        <f t="shared" si="125"/>
        <v>0.102</v>
      </c>
      <c r="AN189" s="89">
        <f t="shared" si="125"/>
        <v>0.102</v>
      </c>
      <c r="AO189" s="89">
        <f t="shared" si="125"/>
        <v>0.102</v>
      </c>
      <c r="AP189" s="89">
        <f t="shared" si="125"/>
        <v>0.102</v>
      </c>
      <c r="AQ189" s="89">
        <f t="shared" si="125"/>
        <v>0.102</v>
      </c>
      <c r="AR189" s="89">
        <f t="shared" si="125"/>
        <v>0.102</v>
      </c>
      <c r="AS189" s="89">
        <f t="shared" si="125"/>
        <v>0.102</v>
      </c>
      <c r="AT189" s="89">
        <f t="shared" si="125"/>
        <v>0.102</v>
      </c>
      <c r="AU189" s="89">
        <f t="shared" si="125"/>
        <v>0.102</v>
      </c>
      <c r="AV189" s="89">
        <f t="shared" si="125"/>
        <v>0.102</v>
      </c>
      <c r="AW189" s="90" t="s">
        <v>1203</v>
      </c>
      <c r="AX189" s="90"/>
      <c r="AY189" s="90"/>
      <c r="AZ189" s="90"/>
      <c r="BA189" s="90"/>
      <c r="BB189" s="90"/>
      <c r="BC189" s="90"/>
      <c r="BD189" s="90"/>
      <c r="BE189" s="90"/>
      <c r="BF189" s="90"/>
      <c r="BG189" s="90"/>
      <c r="BH189" s="90"/>
      <c r="BI189" s="90"/>
      <c r="BJ189" s="90"/>
      <c r="BK189" s="90"/>
      <c r="BL189" s="90"/>
      <c r="BM189" s="90"/>
      <c r="BN189" s="90"/>
      <c r="BO189" s="90"/>
      <c r="BP189" s="90"/>
      <c r="BQ189" s="90"/>
    </row>
    <row r="190" ht="12.75" hidden="1" customHeight="1" outlineLevel="1">
      <c r="A190" s="316"/>
      <c r="B190" s="90"/>
      <c r="C190" s="90" t="s">
        <v>736</v>
      </c>
      <c r="D190" s="90"/>
      <c r="E190" s="90"/>
      <c r="F190" s="90"/>
      <c r="G190" s="539"/>
      <c r="H190" s="89"/>
      <c r="I190" s="89"/>
      <c r="J190" s="89"/>
      <c r="K190" s="89">
        <f>'RSGen 1-7'!H191</f>
        <v>0.005</v>
      </c>
      <c r="L190" s="89">
        <f>'RSGen 1-7'!I191</f>
        <v>0.005</v>
      </c>
      <c r="M190" s="89">
        <f>'RSGen 1-7'!J191</f>
        <v>0.005</v>
      </c>
      <c r="N190" s="89">
        <f>'RSGen 1-7'!K191</f>
        <v>0.005</v>
      </c>
      <c r="O190" s="89">
        <f>'RSGen 1-7'!L191</f>
        <v>0.005</v>
      </c>
      <c r="P190" s="89">
        <f>'RSGen 1-7'!M191</f>
        <v>0.005</v>
      </c>
      <c r="Q190" s="89">
        <f>'RSGen 1-7'!N191</f>
        <v>0.005</v>
      </c>
      <c r="R190" s="89">
        <f>'RSGen 1-7'!O191</f>
        <v>0.005</v>
      </c>
      <c r="S190" s="89">
        <f>'RSGen 1-7'!P191</f>
        <v>0.005</v>
      </c>
      <c r="T190" s="89">
        <f>'RSGen 1-7'!Q191</f>
        <v>0.005</v>
      </c>
      <c r="U190" s="89">
        <f>'RSGen 1-7'!R191</f>
        <v>0.005</v>
      </c>
      <c r="V190" s="89">
        <f t="shared" ref="V190:AV190" si="126">U190</f>
        <v>0.005</v>
      </c>
      <c r="W190" s="89">
        <f t="shared" si="126"/>
        <v>0.005</v>
      </c>
      <c r="X190" s="89">
        <f t="shared" si="126"/>
        <v>0.005</v>
      </c>
      <c r="Y190" s="89">
        <f t="shared" si="126"/>
        <v>0.005</v>
      </c>
      <c r="Z190" s="89">
        <f t="shared" si="126"/>
        <v>0.005</v>
      </c>
      <c r="AA190" s="89">
        <f t="shared" si="126"/>
        <v>0.005</v>
      </c>
      <c r="AB190" s="89">
        <f t="shared" si="126"/>
        <v>0.005</v>
      </c>
      <c r="AC190" s="89">
        <f t="shared" si="126"/>
        <v>0.005</v>
      </c>
      <c r="AD190" s="89">
        <f t="shared" si="126"/>
        <v>0.005</v>
      </c>
      <c r="AE190" s="89">
        <f t="shared" si="126"/>
        <v>0.005</v>
      </c>
      <c r="AF190" s="89">
        <f t="shared" si="126"/>
        <v>0.005</v>
      </c>
      <c r="AG190" s="89">
        <f t="shared" si="126"/>
        <v>0.005</v>
      </c>
      <c r="AH190" s="89">
        <f t="shared" si="126"/>
        <v>0.005</v>
      </c>
      <c r="AI190" s="89">
        <f t="shared" si="126"/>
        <v>0.005</v>
      </c>
      <c r="AJ190" s="89">
        <f t="shared" si="126"/>
        <v>0.005</v>
      </c>
      <c r="AK190" s="89">
        <f t="shared" si="126"/>
        <v>0.005</v>
      </c>
      <c r="AL190" s="89">
        <f t="shared" si="126"/>
        <v>0.005</v>
      </c>
      <c r="AM190" s="89">
        <f t="shared" si="126"/>
        <v>0.005</v>
      </c>
      <c r="AN190" s="89">
        <f t="shared" si="126"/>
        <v>0.005</v>
      </c>
      <c r="AO190" s="89">
        <f t="shared" si="126"/>
        <v>0.005</v>
      </c>
      <c r="AP190" s="89">
        <f t="shared" si="126"/>
        <v>0.005</v>
      </c>
      <c r="AQ190" s="89">
        <f t="shared" si="126"/>
        <v>0.005</v>
      </c>
      <c r="AR190" s="89">
        <f t="shared" si="126"/>
        <v>0.005</v>
      </c>
      <c r="AS190" s="89">
        <f t="shared" si="126"/>
        <v>0.005</v>
      </c>
      <c r="AT190" s="89">
        <f t="shared" si="126"/>
        <v>0.005</v>
      </c>
      <c r="AU190" s="89">
        <f t="shared" si="126"/>
        <v>0.005</v>
      </c>
      <c r="AV190" s="89">
        <f t="shared" si="126"/>
        <v>0.005</v>
      </c>
      <c r="AW190" s="90"/>
      <c r="AX190" s="90"/>
      <c r="AY190" s="90"/>
      <c r="AZ190" s="90"/>
      <c r="BA190" s="90"/>
      <c r="BB190" s="90"/>
      <c r="BC190" s="90"/>
      <c r="BD190" s="90"/>
      <c r="BE190" s="90"/>
      <c r="BF190" s="90"/>
      <c r="BG190" s="90"/>
      <c r="BH190" s="90"/>
      <c r="BI190" s="90"/>
      <c r="BJ190" s="90"/>
      <c r="BK190" s="90"/>
      <c r="BL190" s="90"/>
      <c r="BM190" s="90"/>
      <c r="BN190" s="90"/>
      <c r="BO190" s="90"/>
      <c r="BP190" s="90"/>
      <c r="BQ190" s="90"/>
    </row>
    <row r="191" ht="12.75" hidden="1" customHeight="1" outlineLevel="1">
      <c r="A191" s="316"/>
      <c r="B191" s="90"/>
      <c r="C191" s="90" t="s">
        <v>737</v>
      </c>
      <c r="D191" s="90"/>
      <c r="E191" s="90"/>
      <c r="F191" s="90"/>
      <c r="G191" s="539"/>
      <c r="H191" s="89"/>
      <c r="I191" s="89"/>
      <c r="J191" s="89"/>
      <c r="K191" s="89">
        <f>'RSGen 1-7'!H192</f>
        <v>0.005</v>
      </c>
      <c r="L191" s="89">
        <f>'RSGen 1-7'!I192</f>
        <v>0.005</v>
      </c>
      <c r="M191" s="89">
        <f>'RSGen 1-7'!J192</f>
        <v>0.005</v>
      </c>
      <c r="N191" s="89">
        <f>'RSGen 1-7'!K192</f>
        <v>0.005</v>
      </c>
      <c r="O191" s="89">
        <f>'RSGen 1-7'!L192</f>
        <v>0.005</v>
      </c>
      <c r="P191" s="89">
        <f>'RSGen 1-7'!M192</f>
        <v>0.005</v>
      </c>
      <c r="Q191" s="89">
        <f>'RSGen 1-7'!N192</f>
        <v>0.005</v>
      </c>
      <c r="R191" s="89">
        <f>'RSGen 1-7'!O192</f>
        <v>0.005</v>
      </c>
      <c r="S191" s="89">
        <f>'RSGen 1-7'!P192</f>
        <v>0.005</v>
      </c>
      <c r="T191" s="89">
        <f>'RSGen 1-7'!Q192</f>
        <v>0.005</v>
      </c>
      <c r="U191" s="89">
        <f>'RSGen 1-7'!R192</f>
        <v>0.005</v>
      </c>
      <c r="V191" s="89">
        <f t="shared" ref="V191:AV191" si="127">U191</f>
        <v>0.005</v>
      </c>
      <c r="W191" s="89">
        <f t="shared" si="127"/>
        <v>0.005</v>
      </c>
      <c r="X191" s="89">
        <f t="shared" si="127"/>
        <v>0.005</v>
      </c>
      <c r="Y191" s="89">
        <f t="shared" si="127"/>
        <v>0.005</v>
      </c>
      <c r="Z191" s="89">
        <f t="shared" si="127"/>
        <v>0.005</v>
      </c>
      <c r="AA191" s="89">
        <f t="shared" si="127"/>
        <v>0.005</v>
      </c>
      <c r="AB191" s="89">
        <f t="shared" si="127"/>
        <v>0.005</v>
      </c>
      <c r="AC191" s="89">
        <f t="shared" si="127"/>
        <v>0.005</v>
      </c>
      <c r="AD191" s="89">
        <f t="shared" si="127"/>
        <v>0.005</v>
      </c>
      <c r="AE191" s="89">
        <f t="shared" si="127"/>
        <v>0.005</v>
      </c>
      <c r="AF191" s="89">
        <f t="shared" si="127"/>
        <v>0.005</v>
      </c>
      <c r="AG191" s="89">
        <f t="shared" si="127"/>
        <v>0.005</v>
      </c>
      <c r="AH191" s="89">
        <f t="shared" si="127"/>
        <v>0.005</v>
      </c>
      <c r="AI191" s="89">
        <f t="shared" si="127"/>
        <v>0.005</v>
      </c>
      <c r="AJ191" s="89">
        <f t="shared" si="127"/>
        <v>0.005</v>
      </c>
      <c r="AK191" s="89">
        <f t="shared" si="127"/>
        <v>0.005</v>
      </c>
      <c r="AL191" s="89">
        <f t="shared" si="127"/>
        <v>0.005</v>
      </c>
      <c r="AM191" s="89">
        <f t="shared" si="127"/>
        <v>0.005</v>
      </c>
      <c r="AN191" s="89">
        <f t="shared" si="127"/>
        <v>0.005</v>
      </c>
      <c r="AO191" s="89">
        <f t="shared" si="127"/>
        <v>0.005</v>
      </c>
      <c r="AP191" s="89">
        <f t="shared" si="127"/>
        <v>0.005</v>
      </c>
      <c r="AQ191" s="89">
        <f t="shared" si="127"/>
        <v>0.005</v>
      </c>
      <c r="AR191" s="89">
        <f t="shared" si="127"/>
        <v>0.005</v>
      </c>
      <c r="AS191" s="89">
        <f t="shared" si="127"/>
        <v>0.005</v>
      </c>
      <c r="AT191" s="89">
        <f t="shared" si="127"/>
        <v>0.005</v>
      </c>
      <c r="AU191" s="89">
        <f t="shared" si="127"/>
        <v>0.005</v>
      </c>
      <c r="AV191" s="89">
        <f t="shared" si="127"/>
        <v>0.005</v>
      </c>
      <c r="AW191" s="90"/>
      <c r="AX191" s="90"/>
      <c r="AY191" s="90"/>
      <c r="AZ191" s="90"/>
      <c r="BA191" s="90"/>
      <c r="BB191" s="90"/>
      <c r="BC191" s="90"/>
      <c r="BD191" s="90"/>
      <c r="BE191" s="90"/>
      <c r="BF191" s="90"/>
      <c r="BG191" s="90"/>
      <c r="BH191" s="90"/>
      <c r="BI191" s="90"/>
      <c r="BJ191" s="90"/>
      <c r="BK191" s="90"/>
      <c r="BL191" s="90"/>
      <c r="BM191" s="90"/>
      <c r="BN191" s="90"/>
      <c r="BO191" s="90"/>
      <c r="BP191" s="90"/>
      <c r="BQ191" s="90"/>
    </row>
    <row r="192" ht="12.75" customHeight="1">
      <c r="A192" s="316"/>
      <c r="B192" s="90"/>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c r="AA192" s="90"/>
      <c r="AB192" s="90"/>
      <c r="AC192" s="90"/>
      <c r="AD192" s="90"/>
      <c r="AE192" s="90"/>
      <c r="AF192" s="90"/>
      <c r="AG192" s="90"/>
      <c r="AH192" s="90"/>
      <c r="AI192" s="90"/>
      <c r="AJ192" s="90"/>
      <c r="AK192" s="90"/>
      <c r="AL192" s="90"/>
      <c r="AM192" s="90"/>
      <c r="AN192" s="90"/>
      <c r="AO192" s="90"/>
      <c r="AP192" s="90"/>
      <c r="AQ192" s="90"/>
      <c r="AR192" s="90"/>
      <c r="AS192" s="90"/>
      <c r="AT192" s="90"/>
      <c r="AU192" s="90"/>
      <c r="AV192" s="90"/>
      <c r="AW192" s="90"/>
      <c r="AX192" s="90"/>
      <c r="AY192" s="90"/>
      <c r="AZ192" s="90"/>
      <c r="BA192" s="90"/>
      <c r="BB192" s="90"/>
      <c r="BC192" s="90"/>
      <c r="BD192" s="90"/>
      <c r="BE192" s="90"/>
      <c r="BF192" s="90"/>
      <c r="BG192" s="90"/>
      <c r="BH192" s="90"/>
      <c r="BI192" s="90"/>
      <c r="BJ192" s="90"/>
      <c r="BK192" s="90"/>
      <c r="BL192" s="90"/>
      <c r="BM192" s="90"/>
      <c r="BN192" s="90"/>
      <c r="BO192" s="90"/>
      <c r="BP192" s="90"/>
      <c r="BQ192" s="90"/>
    </row>
    <row r="193" ht="12.75" customHeight="1">
      <c r="A193" s="105" t="s">
        <v>738</v>
      </c>
      <c r="B193" s="253"/>
      <c r="C193" s="253"/>
      <c r="D193" s="253"/>
      <c r="E193" s="253"/>
      <c r="F193" s="253"/>
      <c r="G193" s="253"/>
      <c r="H193" s="253"/>
      <c r="I193" s="253"/>
      <c r="J193" s="253"/>
      <c r="K193" s="253"/>
      <c r="L193" s="253"/>
      <c r="M193" s="253"/>
      <c r="N193" s="253"/>
      <c r="O193" s="253"/>
      <c r="P193" s="253"/>
      <c r="Q193" s="253"/>
      <c r="R193" s="253"/>
      <c r="S193" s="253"/>
      <c r="T193" s="253"/>
      <c r="U193" s="253"/>
      <c r="V193" s="253"/>
      <c r="W193" s="253"/>
      <c r="X193" s="253"/>
      <c r="Y193" s="253"/>
      <c r="Z193" s="253"/>
      <c r="AA193" s="253"/>
      <c r="AB193" s="253"/>
      <c r="AC193" s="253"/>
      <c r="AD193" s="253"/>
      <c r="AE193" s="253"/>
      <c r="AF193" s="253"/>
      <c r="AG193" s="253"/>
      <c r="AH193" s="253"/>
      <c r="AI193" s="253"/>
      <c r="AJ193" s="253"/>
      <c r="AK193" s="253"/>
      <c r="AL193" s="253"/>
      <c r="AM193" s="253"/>
      <c r="AN193" s="253"/>
      <c r="AO193" s="253"/>
      <c r="AP193" s="253"/>
      <c r="AQ193" s="253"/>
      <c r="AR193" s="253"/>
      <c r="AS193" s="253"/>
      <c r="AT193" s="253"/>
      <c r="AU193" s="253"/>
      <c r="AV193" s="253"/>
      <c r="AW193" s="253"/>
      <c r="AX193" s="90"/>
      <c r="AY193" s="90"/>
      <c r="AZ193" s="90"/>
      <c r="BA193" s="90"/>
      <c r="BB193" s="90"/>
      <c r="BC193" s="90"/>
      <c r="BD193" s="90"/>
      <c r="BE193" s="90"/>
      <c r="BF193" s="90"/>
      <c r="BG193" s="90"/>
      <c r="BH193" s="90"/>
      <c r="BI193" s="90"/>
      <c r="BJ193" s="90"/>
      <c r="BK193" s="90"/>
      <c r="BL193" s="90"/>
      <c r="BM193" s="90"/>
      <c r="BN193" s="90"/>
      <c r="BO193" s="90"/>
      <c r="BP193" s="90"/>
      <c r="BQ193" s="90"/>
    </row>
    <row r="194" ht="12.75" hidden="1" customHeight="1" outlineLevel="1">
      <c r="A194" s="515"/>
      <c r="B194" s="90"/>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c r="AA194" s="90"/>
      <c r="AB194" s="90"/>
      <c r="AC194" s="90"/>
      <c r="AD194" s="90"/>
      <c r="AE194" s="90"/>
      <c r="AF194" s="90"/>
      <c r="AG194" s="90"/>
      <c r="AH194" s="90"/>
      <c r="AI194" s="90"/>
      <c r="AJ194" s="90"/>
      <c r="AK194" s="90"/>
      <c r="AL194" s="90"/>
      <c r="AM194" s="90"/>
      <c r="AN194" s="90"/>
      <c r="AO194" s="90"/>
      <c r="AP194" s="90"/>
      <c r="AQ194" s="90"/>
      <c r="AR194" s="90"/>
      <c r="AS194" s="90"/>
      <c r="AT194" s="90"/>
      <c r="AU194" s="90"/>
      <c r="AV194" s="90"/>
      <c r="AW194" s="90"/>
      <c r="AX194" s="90"/>
      <c r="AY194" s="90"/>
      <c r="AZ194" s="90"/>
      <c r="BA194" s="90"/>
      <c r="BB194" s="90"/>
      <c r="BC194" s="90"/>
      <c r="BD194" s="90"/>
      <c r="BE194" s="90"/>
      <c r="BF194" s="90"/>
      <c r="BG194" s="90"/>
      <c r="BH194" s="90"/>
      <c r="BI194" s="90"/>
      <c r="BJ194" s="90"/>
      <c r="BK194" s="90"/>
      <c r="BL194" s="90"/>
      <c r="BM194" s="90"/>
      <c r="BN194" s="90"/>
      <c r="BO194" s="90"/>
      <c r="BP194" s="90"/>
      <c r="BQ194" s="90"/>
    </row>
    <row r="195" ht="12.75" hidden="1" customHeight="1" outlineLevel="1">
      <c r="A195" s="316"/>
      <c r="B195" s="90" t="s">
        <v>739</v>
      </c>
      <c r="C195" s="90"/>
      <c r="D195" s="90"/>
      <c r="E195" s="90"/>
      <c r="F195" s="90"/>
      <c r="G195" s="90"/>
      <c r="H195" s="178"/>
      <c r="I195" s="178"/>
      <c r="J195" s="178"/>
      <c r="K195" s="178">
        <f>Assumptions!D59</f>
        <v>0</v>
      </c>
      <c r="L195" s="178">
        <f>Assumptions!E59</f>
        <v>0.02</v>
      </c>
      <c r="M195" s="178">
        <f>Assumptions!F59</f>
        <v>0.02</v>
      </c>
      <c r="N195" s="178">
        <f>Assumptions!G59</f>
        <v>0.02</v>
      </c>
      <c r="O195" s="178">
        <f>Assumptions!H59</f>
        <v>0.02</v>
      </c>
      <c r="P195" s="178">
        <f>Assumptions!I59</f>
        <v>0.02</v>
      </c>
      <c r="Q195" s="178">
        <f t="shared" ref="Q195:AV195" si="128">P195</f>
        <v>0.02</v>
      </c>
      <c r="R195" s="178">
        <f t="shared" si="128"/>
        <v>0.02</v>
      </c>
      <c r="S195" s="178">
        <f t="shared" si="128"/>
        <v>0.02</v>
      </c>
      <c r="T195" s="178">
        <f t="shared" si="128"/>
        <v>0.02</v>
      </c>
      <c r="U195" s="178">
        <f t="shared" si="128"/>
        <v>0.02</v>
      </c>
      <c r="V195" s="178">
        <f t="shared" si="128"/>
        <v>0.02</v>
      </c>
      <c r="W195" s="178">
        <f t="shared" si="128"/>
        <v>0.02</v>
      </c>
      <c r="X195" s="178">
        <f t="shared" si="128"/>
        <v>0.02</v>
      </c>
      <c r="Y195" s="178">
        <f t="shared" si="128"/>
        <v>0.02</v>
      </c>
      <c r="Z195" s="178">
        <f t="shared" si="128"/>
        <v>0.02</v>
      </c>
      <c r="AA195" s="178">
        <f t="shared" si="128"/>
        <v>0.02</v>
      </c>
      <c r="AB195" s="178">
        <f t="shared" si="128"/>
        <v>0.02</v>
      </c>
      <c r="AC195" s="178">
        <f t="shared" si="128"/>
        <v>0.02</v>
      </c>
      <c r="AD195" s="178">
        <f t="shared" si="128"/>
        <v>0.02</v>
      </c>
      <c r="AE195" s="178">
        <f t="shared" si="128"/>
        <v>0.02</v>
      </c>
      <c r="AF195" s="178">
        <f t="shared" si="128"/>
        <v>0.02</v>
      </c>
      <c r="AG195" s="178">
        <f t="shared" si="128"/>
        <v>0.02</v>
      </c>
      <c r="AH195" s="178">
        <f t="shared" si="128"/>
        <v>0.02</v>
      </c>
      <c r="AI195" s="178">
        <f t="shared" si="128"/>
        <v>0.02</v>
      </c>
      <c r="AJ195" s="178">
        <f t="shared" si="128"/>
        <v>0.02</v>
      </c>
      <c r="AK195" s="178">
        <f t="shared" si="128"/>
        <v>0.02</v>
      </c>
      <c r="AL195" s="178">
        <f t="shared" si="128"/>
        <v>0.02</v>
      </c>
      <c r="AM195" s="178">
        <f t="shared" si="128"/>
        <v>0.02</v>
      </c>
      <c r="AN195" s="178">
        <f t="shared" si="128"/>
        <v>0.02</v>
      </c>
      <c r="AO195" s="178">
        <f t="shared" si="128"/>
        <v>0.02</v>
      </c>
      <c r="AP195" s="178">
        <f t="shared" si="128"/>
        <v>0.02</v>
      </c>
      <c r="AQ195" s="178">
        <f t="shared" si="128"/>
        <v>0.02</v>
      </c>
      <c r="AR195" s="178">
        <f t="shared" si="128"/>
        <v>0.02</v>
      </c>
      <c r="AS195" s="178">
        <f t="shared" si="128"/>
        <v>0.02</v>
      </c>
      <c r="AT195" s="178">
        <f t="shared" si="128"/>
        <v>0.02</v>
      </c>
      <c r="AU195" s="178">
        <f t="shared" si="128"/>
        <v>0.02</v>
      </c>
      <c r="AV195" s="178">
        <f t="shared" si="128"/>
        <v>0.02</v>
      </c>
      <c r="AW195" s="90"/>
      <c r="AX195" s="90"/>
      <c r="AY195" s="90"/>
      <c r="AZ195" s="90"/>
      <c r="BA195" s="90"/>
      <c r="BB195" s="90"/>
      <c r="BC195" s="90"/>
      <c r="BD195" s="90"/>
      <c r="BE195" s="90"/>
      <c r="BF195" s="90"/>
      <c r="BG195" s="90"/>
      <c r="BH195" s="90"/>
      <c r="BI195" s="90"/>
      <c r="BJ195" s="90"/>
      <c r="BK195" s="90"/>
      <c r="BL195" s="90"/>
      <c r="BM195" s="90"/>
      <c r="BN195" s="90"/>
      <c r="BO195" s="90"/>
      <c r="BP195" s="90"/>
      <c r="BQ195" s="90"/>
    </row>
    <row r="196" ht="12.75" hidden="1" customHeight="1" outlineLevel="1">
      <c r="A196" s="316"/>
      <c r="B196" s="90"/>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c r="AA196" s="90"/>
      <c r="AB196" s="90"/>
      <c r="AC196" s="90"/>
      <c r="AD196" s="90"/>
      <c r="AE196" s="90"/>
      <c r="AF196" s="90"/>
      <c r="AG196" s="90"/>
      <c r="AH196" s="90"/>
      <c r="AI196" s="90"/>
      <c r="AJ196" s="90"/>
      <c r="AK196" s="90"/>
      <c r="AL196" s="90"/>
      <c r="AM196" s="90"/>
      <c r="AN196" s="90"/>
      <c r="AO196" s="90"/>
      <c r="AP196" s="90"/>
      <c r="AQ196" s="90"/>
      <c r="AR196" s="90"/>
      <c r="AS196" s="90"/>
      <c r="AT196" s="90"/>
      <c r="AU196" s="90"/>
      <c r="AV196" s="90"/>
      <c r="AW196" s="90"/>
      <c r="AX196" s="90"/>
      <c r="AY196" s="90"/>
      <c r="AZ196" s="90"/>
      <c r="BA196" s="90"/>
      <c r="BB196" s="90"/>
      <c r="BC196" s="90"/>
      <c r="BD196" s="90"/>
      <c r="BE196" s="90"/>
      <c r="BF196" s="90"/>
      <c r="BG196" s="90"/>
      <c r="BH196" s="90"/>
      <c r="BI196" s="90"/>
      <c r="BJ196" s="90"/>
      <c r="BK196" s="90"/>
      <c r="BL196" s="90"/>
      <c r="BM196" s="90"/>
      <c r="BN196" s="90"/>
      <c r="BO196" s="90"/>
      <c r="BP196" s="90"/>
      <c r="BQ196" s="90"/>
    </row>
    <row r="197" ht="12.75" hidden="1" customHeight="1" outlineLevel="1">
      <c r="A197" s="316"/>
      <c r="B197" s="67" t="s">
        <v>550</v>
      </c>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c r="AA197" s="90"/>
      <c r="AB197" s="90"/>
      <c r="AC197" s="90"/>
      <c r="AD197" s="90"/>
      <c r="AE197" s="90"/>
      <c r="AF197" s="90"/>
      <c r="AG197" s="90"/>
      <c r="AH197" s="90"/>
      <c r="AI197" s="90"/>
      <c r="AJ197" s="90"/>
      <c r="AK197" s="90"/>
      <c r="AL197" s="90"/>
      <c r="AM197" s="90"/>
      <c r="AN197" s="90"/>
      <c r="AO197" s="90"/>
      <c r="AP197" s="90"/>
      <c r="AQ197" s="90"/>
      <c r="AR197" s="90"/>
      <c r="AS197" s="90"/>
      <c r="AT197" s="90"/>
      <c r="AU197" s="90"/>
      <c r="AV197" s="90"/>
      <c r="AW197" s="90"/>
      <c r="AX197" s="90"/>
      <c r="AY197" s="90"/>
      <c r="AZ197" s="90"/>
      <c r="BA197" s="90"/>
      <c r="BB197" s="90"/>
      <c r="BC197" s="90"/>
      <c r="BD197" s="90"/>
      <c r="BE197" s="90"/>
      <c r="BF197" s="90"/>
      <c r="BG197" s="90"/>
      <c r="BH197" s="90"/>
      <c r="BI197" s="90"/>
      <c r="BJ197" s="90"/>
      <c r="BK197" s="90"/>
      <c r="BL197" s="90"/>
      <c r="BM197" s="90"/>
      <c r="BN197" s="90"/>
      <c r="BO197" s="90"/>
      <c r="BP197" s="90"/>
      <c r="BQ197" s="90"/>
    </row>
    <row r="198" ht="12.75" hidden="1" customHeight="1" outlineLevel="1">
      <c r="A198" s="316"/>
      <c r="B198" s="90"/>
      <c r="C198" s="90" t="s">
        <v>740</v>
      </c>
      <c r="D198" s="90"/>
      <c r="E198" s="90"/>
      <c r="F198" s="90"/>
      <c r="G198" s="90"/>
      <c r="H198" s="254"/>
      <c r="I198" s="99"/>
      <c r="J198" s="99"/>
      <c r="K198" s="99">
        <v>0.0</v>
      </c>
      <c r="L198" s="99">
        <f>'RSGen 1-7'!I199</f>
        <v>65</v>
      </c>
      <c r="M198" s="99">
        <f t="shared" ref="M198:AV198" si="129">L198*(1+M$195)</f>
        <v>66.3</v>
      </c>
      <c r="N198" s="99">
        <f t="shared" si="129"/>
        <v>67.626</v>
      </c>
      <c r="O198" s="99">
        <f t="shared" si="129"/>
        <v>68.97852</v>
      </c>
      <c r="P198" s="99">
        <f t="shared" si="129"/>
        <v>70.3580904</v>
      </c>
      <c r="Q198" s="99">
        <f t="shared" si="129"/>
        <v>71.76525221</v>
      </c>
      <c r="R198" s="99">
        <f t="shared" si="129"/>
        <v>73.20055725</v>
      </c>
      <c r="S198" s="99">
        <f t="shared" si="129"/>
        <v>74.6645684</v>
      </c>
      <c r="T198" s="99">
        <f t="shared" si="129"/>
        <v>76.15785977</v>
      </c>
      <c r="U198" s="99">
        <f t="shared" si="129"/>
        <v>77.68101696</v>
      </c>
      <c r="V198" s="99">
        <f t="shared" si="129"/>
        <v>79.2346373</v>
      </c>
      <c r="W198" s="99">
        <f t="shared" si="129"/>
        <v>80.81933005</v>
      </c>
      <c r="X198" s="99">
        <f t="shared" si="129"/>
        <v>82.43571665</v>
      </c>
      <c r="Y198" s="99">
        <f t="shared" si="129"/>
        <v>84.08443098</v>
      </c>
      <c r="Z198" s="99">
        <f t="shared" si="129"/>
        <v>85.7661196</v>
      </c>
      <c r="AA198" s="99">
        <f t="shared" si="129"/>
        <v>87.48144199</v>
      </c>
      <c r="AB198" s="99">
        <f t="shared" si="129"/>
        <v>89.23107083</v>
      </c>
      <c r="AC198" s="99">
        <f t="shared" si="129"/>
        <v>91.01569225</v>
      </c>
      <c r="AD198" s="99">
        <f t="shared" si="129"/>
        <v>92.83600609</v>
      </c>
      <c r="AE198" s="99">
        <f t="shared" si="129"/>
        <v>94.69272621</v>
      </c>
      <c r="AF198" s="99">
        <f t="shared" si="129"/>
        <v>96.58658074</v>
      </c>
      <c r="AG198" s="99">
        <f t="shared" si="129"/>
        <v>98.51831235</v>
      </c>
      <c r="AH198" s="99">
        <f t="shared" si="129"/>
        <v>100.4886786</v>
      </c>
      <c r="AI198" s="99">
        <f t="shared" si="129"/>
        <v>102.4984522</v>
      </c>
      <c r="AJ198" s="99">
        <f t="shared" si="129"/>
        <v>104.5484212</v>
      </c>
      <c r="AK198" s="99">
        <f t="shared" si="129"/>
        <v>106.6393896</v>
      </c>
      <c r="AL198" s="99">
        <f t="shared" si="129"/>
        <v>108.7721774</v>
      </c>
      <c r="AM198" s="99">
        <f t="shared" si="129"/>
        <v>110.947621</v>
      </c>
      <c r="AN198" s="99">
        <f t="shared" si="129"/>
        <v>113.1665734</v>
      </c>
      <c r="AO198" s="99">
        <f t="shared" si="129"/>
        <v>115.4299049</v>
      </c>
      <c r="AP198" s="99">
        <f t="shared" si="129"/>
        <v>117.738503</v>
      </c>
      <c r="AQ198" s="99">
        <f t="shared" si="129"/>
        <v>120.093273</v>
      </c>
      <c r="AR198" s="99">
        <f t="shared" si="129"/>
        <v>122.4951385</v>
      </c>
      <c r="AS198" s="99">
        <f t="shared" si="129"/>
        <v>124.9450413</v>
      </c>
      <c r="AT198" s="99">
        <f t="shared" si="129"/>
        <v>127.4439421</v>
      </c>
      <c r="AU198" s="99">
        <f t="shared" si="129"/>
        <v>129.9928209</v>
      </c>
      <c r="AV198" s="99">
        <f t="shared" si="129"/>
        <v>132.5926773</v>
      </c>
      <c r="AW198" s="67"/>
      <c r="AX198" s="90"/>
      <c r="AY198" s="90"/>
      <c r="AZ198" s="90"/>
      <c r="BA198" s="90"/>
      <c r="BB198" s="90"/>
      <c r="BC198" s="90"/>
      <c r="BD198" s="90"/>
      <c r="BE198" s="90"/>
      <c r="BF198" s="90"/>
      <c r="BG198" s="90"/>
      <c r="BH198" s="90"/>
      <c r="BI198" s="90"/>
      <c r="BJ198" s="90"/>
      <c r="BK198" s="90"/>
      <c r="BL198" s="90"/>
      <c r="BM198" s="90"/>
      <c r="BN198" s="90"/>
      <c r="BO198" s="90"/>
      <c r="BP198" s="90"/>
      <c r="BQ198" s="90"/>
    </row>
    <row r="199" ht="12.75" hidden="1" customHeight="1" outlineLevel="1">
      <c r="A199" s="316"/>
      <c r="B199" s="90"/>
      <c r="C199" s="90" t="s">
        <v>741</v>
      </c>
      <c r="D199" s="90"/>
      <c r="E199" s="90"/>
      <c r="F199" s="90"/>
      <c r="G199" s="90"/>
      <c r="H199" s="254"/>
      <c r="I199" s="99"/>
      <c r="J199" s="99"/>
      <c r="K199" s="99">
        <v>0.0</v>
      </c>
      <c r="L199" s="99">
        <f>'RSGen 1-7'!I200</f>
        <v>25</v>
      </c>
      <c r="M199" s="99">
        <f t="shared" ref="M199:AV199" si="130">L199*(1+M$195)</f>
        <v>25.5</v>
      </c>
      <c r="N199" s="99">
        <f t="shared" si="130"/>
        <v>26.01</v>
      </c>
      <c r="O199" s="99">
        <f t="shared" si="130"/>
        <v>26.5302</v>
      </c>
      <c r="P199" s="99">
        <f t="shared" si="130"/>
        <v>27.060804</v>
      </c>
      <c r="Q199" s="99">
        <f t="shared" si="130"/>
        <v>27.60202008</v>
      </c>
      <c r="R199" s="99">
        <f t="shared" si="130"/>
        <v>28.15406048</v>
      </c>
      <c r="S199" s="99">
        <f t="shared" si="130"/>
        <v>28.71714169</v>
      </c>
      <c r="T199" s="99">
        <f t="shared" si="130"/>
        <v>29.29148453</v>
      </c>
      <c r="U199" s="99">
        <f t="shared" si="130"/>
        <v>29.87731422</v>
      </c>
      <c r="V199" s="99">
        <f t="shared" si="130"/>
        <v>30.4748605</v>
      </c>
      <c r="W199" s="99">
        <f t="shared" si="130"/>
        <v>31.08435771</v>
      </c>
      <c r="X199" s="99">
        <f t="shared" si="130"/>
        <v>31.70604486</v>
      </c>
      <c r="Y199" s="99">
        <f t="shared" si="130"/>
        <v>32.34016576</v>
      </c>
      <c r="Z199" s="99">
        <f t="shared" si="130"/>
        <v>32.98696908</v>
      </c>
      <c r="AA199" s="99">
        <f t="shared" si="130"/>
        <v>33.64670846</v>
      </c>
      <c r="AB199" s="99">
        <f t="shared" si="130"/>
        <v>34.31964263</v>
      </c>
      <c r="AC199" s="99">
        <f t="shared" si="130"/>
        <v>35.00603548</v>
      </c>
      <c r="AD199" s="99">
        <f t="shared" si="130"/>
        <v>35.70615619</v>
      </c>
      <c r="AE199" s="99">
        <f t="shared" si="130"/>
        <v>36.42027931</v>
      </c>
      <c r="AF199" s="99">
        <f t="shared" si="130"/>
        <v>37.1486849</v>
      </c>
      <c r="AG199" s="99">
        <f t="shared" si="130"/>
        <v>37.8916586</v>
      </c>
      <c r="AH199" s="99">
        <f t="shared" si="130"/>
        <v>38.64949177</v>
      </c>
      <c r="AI199" s="99">
        <f t="shared" si="130"/>
        <v>39.4224816</v>
      </c>
      <c r="AJ199" s="99">
        <f t="shared" si="130"/>
        <v>40.21093124</v>
      </c>
      <c r="AK199" s="99">
        <f t="shared" si="130"/>
        <v>41.01514986</v>
      </c>
      <c r="AL199" s="99">
        <f t="shared" si="130"/>
        <v>41.83545286</v>
      </c>
      <c r="AM199" s="99">
        <f t="shared" si="130"/>
        <v>42.67216192</v>
      </c>
      <c r="AN199" s="99">
        <f t="shared" si="130"/>
        <v>43.52560515</v>
      </c>
      <c r="AO199" s="99">
        <f t="shared" si="130"/>
        <v>44.39611726</v>
      </c>
      <c r="AP199" s="99">
        <f t="shared" si="130"/>
        <v>45.2840396</v>
      </c>
      <c r="AQ199" s="99">
        <f t="shared" si="130"/>
        <v>46.18972039</v>
      </c>
      <c r="AR199" s="99">
        <f t="shared" si="130"/>
        <v>47.1135148</v>
      </c>
      <c r="AS199" s="99">
        <f t="shared" si="130"/>
        <v>48.0557851</v>
      </c>
      <c r="AT199" s="99">
        <f t="shared" si="130"/>
        <v>49.0169008</v>
      </c>
      <c r="AU199" s="99">
        <f t="shared" si="130"/>
        <v>49.99723882</v>
      </c>
      <c r="AV199" s="99">
        <f t="shared" si="130"/>
        <v>50.99718359</v>
      </c>
      <c r="AW199" s="67"/>
      <c r="AX199" s="90"/>
      <c r="AY199" s="90"/>
      <c r="AZ199" s="90"/>
      <c r="BA199" s="90"/>
      <c r="BB199" s="90"/>
      <c r="BC199" s="90"/>
      <c r="BD199" s="90"/>
      <c r="BE199" s="90"/>
      <c r="BF199" s="90"/>
      <c r="BG199" s="90"/>
      <c r="BH199" s="90"/>
      <c r="BI199" s="90"/>
      <c r="BJ199" s="90"/>
      <c r="BK199" s="90"/>
      <c r="BL199" s="90"/>
      <c r="BM199" s="90"/>
      <c r="BN199" s="90"/>
      <c r="BO199" s="90"/>
      <c r="BP199" s="90"/>
      <c r="BQ199" s="90"/>
    </row>
    <row r="200" ht="12.75" hidden="1" customHeight="1" outlineLevel="1">
      <c r="A200" s="316"/>
      <c r="B200" s="90"/>
      <c r="C200" s="90" t="s">
        <v>742</v>
      </c>
      <c r="D200" s="90"/>
      <c r="E200" s="90"/>
      <c r="F200" s="90"/>
      <c r="G200" s="90"/>
      <c r="H200" s="254"/>
      <c r="I200" s="99"/>
      <c r="J200" s="99"/>
      <c r="K200" s="99">
        <v>0.0</v>
      </c>
      <c r="L200" s="99">
        <f>'RSGen 1-7'!I201</f>
        <v>1000</v>
      </c>
      <c r="M200" s="99">
        <f>'RSGen 1-7'!J201</f>
        <v>1000</v>
      </c>
      <c r="N200" s="99">
        <f>'RSGen 1-7'!K201</f>
        <v>1000</v>
      </c>
      <c r="O200" s="99">
        <f>'RSGen 1-7'!L201</f>
        <v>1000</v>
      </c>
      <c r="P200" s="99">
        <f>'RSGen 1-7'!M201</f>
        <v>1000</v>
      </c>
      <c r="Q200" s="99">
        <f>'RSGen 1-7'!N201</f>
        <v>1000</v>
      </c>
      <c r="R200" s="99">
        <f>'RSGen 1-7'!O201</f>
        <v>1000</v>
      </c>
      <c r="S200" s="99">
        <f>'RSGen 1-7'!P201</f>
        <v>1000</v>
      </c>
      <c r="T200" s="99">
        <f>'RSGen 1-7'!Q201</f>
        <v>1000</v>
      </c>
      <c r="U200" s="99">
        <f>'RSGen 1-7'!R201</f>
        <v>1000</v>
      </c>
      <c r="V200" s="99">
        <f t="shared" ref="V200:AV200" si="131">U200</f>
        <v>1000</v>
      </c>
      <c r="W200" s="99">
        <f t="shared" si="131"/>
        <v>1000</v>
      </c>
      <c r="X200" s="99">
        <f t="shared" si="131"/>
        <v>1000</v>
      </c>
      <c r="Y200" s="99">
        <f t="shared" si="131"/>
        <v>1000</v>
      </c>
      <c r="Z200" s="99">
        <f t="shared" si="131"/>
        <v>1000</v>
      </c>
      <c r="AA200" s="99">
        <f t="shared" si="131"/>
        <v>1000</v>
      </c>
      <c r="AB200" s="99">
        <f t="shared" si="131"/>
        <v>1000</v>
      </c>
      <c r="AC200" s="99">
        <f t="shared" si="131"/>
        <v>1000</v>
      </c>
      <c r="AD200" s="99">
        <f t="shared" si="131"/>
        <v>1000</v>
      </c>
      <c r="AE200" s="99">
        <f t="shared" si="131"/>
        <v>1000</v>
      </c>
      <c r="AF200" s="99">
        <f t="shared" si="131"/>
        <v>1000</v>
      </c>
      <c r="AG200" s="99">
        <f t="shared" si="131"/>
        <v>1000</v>
      </c>
      <c r="AH200" s="99">
        <f t="shared" si="131"/>
        <v>1000</v>
      </c>
      <c r="AI200" s="99">
        <f t="shared" si="131"/>
        <v>1000</v>
      </c>
      <c r="AJ200" s="99">
        <f t="shared" si="131"/>
        <v>1000</v>
      </c>
      <c r="AK200" s="99">
        <f t="shared" si="131"/>
        <v>1000</v>
      </c>
      <c r="AL200" s="99">
        <f t="shared" si="131"/>
        <v>1000</v>
      </c>
      <c r="AM200" s="99">
        <f t="shared" si="131"/>
        <v>1000</v>
      </c>
      <c r="AN200" s="99">
        <f t="shared" si="131"/>
        <v>1000</v>
      </c>
      <c r="AO200" s="99">
        <f t="shared" si="131"/>
        <v>1000</v>
      </c>
      <c r="AP200" s="99">
        <f t="shared" si="131"/>
        <v>1000</v>
      </c>
      <c r="AQ200" s="99">
        <f t="shared" si="131"/>
        <v>1000</v>
      </c>
      <c r="AR200" s="99">
        <f t="shared" si="131"/>
        <v>1000</v>
      </c>
      <c r="AS200" s="99">
        <f t="shared" si="131"/>
        <v>1000</v>
      </c>
      <c r="AT200" s="99">
        <f t="shared" si="131"/>
        <v>1000</v>
      </c>
      <c r="AU200" s="99">
        <f t="shared" si="131"/>
        <v>1000</v>
      </c>
      <c r="AV200" s="99">
        <f t="shared" si="131"/>
        <v>1000</v>
      </c>
      <c r="AW200" s="67"/>
      <c r="AX200" s="90"/>
      <c r="AY200" s="90"/>
      <c r="AZ200" s="90"/>
      <c r="BA200" s="90"/>
      <c r="BB200" s="90"/>
      <c r="BC200" s="90"/>
      <c r="BD200" s="90"/>
      <c r="BE200" s="90"/>
      <c r="BF200" s="90"/>
      <c r="BG200" s="90"/>
      <c r="BH200" s="90"/>
      <c r="BI200" s="90"/>
      <c r="BJ200" s="90"/>
      <c r="BK200" s="90"/>
      <c r="BL200" s="90"/>
      <c r="BM200" s="90"/>
      <c r="BN200" s="90"/>
      <c r="BO200" s="90"/>
      <c r="BP200" s="90"/>
      <c r="BQ200" s="90"/>
    </row>
    <row r="201" ht="12.75" hidden="1" customHeight="1" outlineLevel="1">
      <c r="A201" s="316"/>
      <c r="B201" s="90"/>
      <c r="C201" s="90" t="s">
        <v>743</v>
      </c>
      <c r="D201" s="90"/>
      <c r="E201" s="90"/>
      <c r="F201" s="90"/>
      <c r="G201" s="90"/>
      <c r="H201" s="254"/>
      <c r="I201" s="99"/>
      <c r="J201" s="99"/>
      <c r="K201" s="99">
        <v>0.0</v>
      </c>
      <c r="L201" s="99" t="str">
        <f>'RSGen 1-7'!I202</f>
        <v/>
      </c>
      <c r="M201" s="99" t="str">
        <f>'RSGen 1-7'!J202</f>
        <v/>
      </c>
      <c r="N201" s="99" t="str">
        <f>'RSGen 1-7'!K202</f>
        <v/>
      </c>
      <c r="O201" s="99" t="str">
        <f>'RSGen 1-7'!L202</f>
        <v/>
      </c>
      <c r="P201" s="99" t="str">
        <f>'RSGen 1-7'!M202</f>
        <v/>
      </c>
      <c r="Q201" s="99" t="str">
        <f>'RSGen 1-7'!N202</f>
        <v/>
      </c>
      <c r="R201" s="99" t="str">
        <f>'RSGen 1-7'!O202</f>
        <v/>
      </c>
      <c r="S201" s="99" t="str">
        <f>'RSGen 1-7'!P202</f>
        <v/>
      </c>
      <c r="T201" s="99" t="str">
        <f>'RSGen 1-7'!Q202</f>
        <v/>
      </c>
      <c r="U201" s="99" t="str">
        <f>'RSGen 1-7'!R202</f>
        <v/>
      </c>
      <c r="V201" s="99" t="str">
        <f>'RSGen 1-7'!S202</f>
        <v/>
      </c>
      <c r="W201" s="99" t="str">
        <f>'RSGen 1-7'!T202</f>
        <v/>
      </c>
      <c r="X201" s="99" t="str">
        <f>'RSGen 1-7'!U202</f>
        <v/>
      </c>
      <c r="Y201" s="99" t="str">
        <f>'RSGen 1-7'!V202</f>
        <v/>
      </c>
      <c r="Z201" s="99" t="str">
        <f>'RSGen 1-7'!W202</f>
        <v/>
      </c>
      <c r="AA201" s="99" t="str">
        <f>'RSGen 1-7'!X202</f>
        <v/>
      </c>
      <c r="AB201" s="99" t="str">
        <f>'RSGen 1-7'!Y202</f>
        <v/>
      </c>
      <c r="AC201" s="99" t="str">
        <f>'RSGen 1-7'!Z202</f>
        <v/>
      </c>
      <c r="AD201" s="99" t="str">
        <f>'RSGen 1-7'!AA202</f>
        <v/>
      </c>
      <c r="AE201" s="99" t="str">
        <f>'RSGen 1-7'!AB202</f>
        <v/>
      </c>
      <c r="AF201" s="99" t="str">
        <f>'RSGen 1-7'!AC202</f>
        <v/>
      </c>
      <c r="AG201" s="99" t="str">
        <f>'RSGen 1-7'!AD202</f>
        <v/>
      </c>
      <c r="AH201" s="99" t="str">
        <f>'RSGen 1-7'!AE202</f>
        <v/>
      </c>
      <c r="AI201" s="99" t="str">
        <f>'RSGen 1-7'!AF202</f>
        <v/>
      </c>
      <c r="AJ201" s="99" t="str">
        <f>'RSGen 1-7'!AG202</f>
        <v/>
      </c>
      <c r="AK201" s="99" t="str">
        <f>'RSGen 1-7'!AH202</f>
        <v/>
      </c>
      <c r="AL201" s="99" t="str">
        <f>'RSGen 1-7'!AI202</f>
        <v/>
      </c>
      <c r="AM201" s="99" t="str">
        <f>'RSGen 1-7'!AJ202</f>
        <v/>
      </c>
      <c r="AN201" s="99" t="str">
        <f>'RSGen 1-7'!AK202</f>
        <v/>
      </c>
      <c r="AO201" s="99" t="str">
        <f>'RSGen 1-7'!AL202</f>
        <v/>
      </c>
      <c r="AP201" s="99" t="str">
        <f>'RSGen 1-7'!AM202</f>
        <v/>
      </c>
      <c r="AQ201" s="99" t="str">
        <f>'RSGen 1-7'!AN202</f>
        <v/>
      </c>
      <c r="AR201" s="99" t="str">
        <f>'RSGen 1-7'!AO202</f>
        <v/>
      </c>
      <c r="AS201" s="99" t="str">
        <f>'RSGen 1-7'!AP202</f>
        <v/>
      </c>
      <c r="AT201" s="99" t="str">
        <f>'RSGen 1-7'!AQ202</f>
        <v/>
      </c>
      <c r="AU201" s="99" t="str">
        <f>'RSGen 1-7'!AR202</f>
        <v/>
      </c>
      <c r="AV201" s="99" t="str">
        <f>'RSGen 1-7'!AS202</f>
        <v/>
      </c>
      <c r="AW201" s="67"/>
      <c r="AX201" s="90"/>
      <c r="AY201" s="90"/>
      <c r="AZ201" s="90"/>
      <c r="BA201" s="90"/>
      <c r="BB201" s="90"/>
      <c r="BC201" s="90"/>
      <c r="BD201" s="90"/>
      <c r="BE201" s="90"/>
      <c r="BF201" s="90"/>
      <c r="BG201" s="90"/>
      <c r="BH201" s="90"/>
      <c r="BI201" s="90"/>
      <c r="BJ201" s="90"/>
      <c r="BK201" s="90"/>
      <c r="BL201" s="90"/>
      <c r="BM201" s="90"/>
      <c r="BN201" s="90"/>
      <c r="BO201" s="90"/>
      <c r="BP201" s="90"/>
      <c r="BQ201" s="90"/>
    </row>
    <row r="202" ht="12.75" hidden="1" customHeight="1" outlineLevel="1">
      <c r="A202" s="316"/>
      <c r="B202" s="90"/>
      <c r="C202" s="90" t="s">
        <v>744</v>
      </c>
      <c r="D202" s="90"/>
      <c r="E202" s="90"/>
      <c r="F202" s="90"/>
      <c r="G202" s="90"/>
      <c r="H202" s="254"/>
      <c r="I202" s="99"/>
      <c r="J202" s="99"/>
      <c r="K202" s="99">
        <v>0.0</v>
      </c>
      <c r="L202" s="99">
        <f>'RSGen 1-7'!I203</f>
        <v>150</v>
      </c>
      <c r="M202" s="99">
        <f t="shared" ref="M202:AV202" si="132">L202*(1+M$195)</f>
        <v>153</v>
      </c>
      <c r="N202" s="99">
        <f t="shared" si="132"/>
        <v>156.06</v>
      </c>
      <c r="O202" s="99">
        <f t="shared" si="132"/>
        <v>159.1812</v>
      </c>
      <c r="P202" s="99">
        <f t="shared" si="132"/>
        <v>162.364824</v>
      </c>
      <c r="Q202" s="99">
        <f t="shared" si="132"/>
        <v>165.6121205</v>
      </c>
      <c r="R202" s="99">
        <f t="shared" si="132"/>
        <v>168.9243629</v>
      </c>
      <c r="S202" s="99">
        <f t="shared" si="132"/>
        <v>172.3028501</v>
      </c>
      <c r="T202" s="99">
        <f t="shared" si="132"/>
        <v>175.7489072</v>
      </c>
      <c r="U202" s="99">
        <f t="shared" si="132"/>
        <v>179.2638853</v>
      </c>
      <c r="V202" s="99">
        <f t="shared" si="132"/>
        <v>182.849163</v>
      </c>
      <c r="W202" s="99">
        <f t="shared" si="132"/>
        <v>186.5061463</v>
      </c>
      <c r="X202" s="99">
        <f t="shared" si="132"/>
        <v>190.2362692</v>
      </c>
      <c r="Y202" s="99">
        <f t="shared" si="132"/>
        <v>194.0409946</v>
      </c>
      <c r="Z202" s="99">
        <f t="shared" si="132"/>
        <v>197.9218145</v>
      </c>
      <c r="AA202" s="99">
        <f t="shared" si="132"/>
        <v>201.8802507</v>
      </c>
      <c r="AB202" s="99">
        <f t="shared" si="132"/>
        <v>205.9178558</v>
      </c>
      <c r="AC202" s="99">
        <f t="shared" si="132"/>
        <v>210.0362129</v>
      </c>
      <c r="AD202" s="99">
        <f t="shared" si="132"/>
        <v>214.2369371</v>
      </c>
      <c r="AE202" s="99">
        <f t="shared" si="132"/>
        <v>218.5216759</v>
      </c>
      <c r="AF202" s="99">
        <f t="shared" si="132"/>
        <v>222.8921094</v>
      </c>
      <c r="AG202" s="99">
        <f t="shared" si="132"/>
        <v>227.3499516</v>
      </c>
      <c r="AH202" s="99">
        <f t="shared" si="132"/>
        <v>231.8969506</v>
      </c>
      <c r="AI202" s="99">
        <f t="shared" si="132"/>
        <v>236.5348896</v>
      </c>
      <c r="AJ202" s="99">
        <f t="shared" si="132"/>
        <v>241.2655874</v>
      </c>
      <c r="AK202" s="99">
        <f t="shared" si="132"/>
        <v>246.0908992</v>
      </c>
      <c r="AL202" s="99">
        <f t="shared" si="132"/>
        <v>251.0127172</v>
      </c>
      <c r="AM202" s="99">
        <f t="shared" si="132"/>
        <v>256.0329715</v>
      </c>
      <c r="AN202" s="99">
        <f t="shared" si="132"/>
        <v>261.1536309</v>
      </c>
      <c r="AO202" s="99">
        <f t="shared" si="132"/>
        <v>266.3767035</v>
      </c>
      <c r="AP202" s="99">
        <f t="shared" si="132"/>
        <v>271.7042376</v>
      </c>
      <c r="AQ202" s="99">
        <f t="shared" si="132"/>
        <v>277.1383224</v>
      </c>
      <c r="AR202" s="99">
        <f t="shared" si="132"/>
        <v>282.6810888</v>
      </c>
      <c r="AS202" s="99">
        <f t="shared" si="132"/>
        <v>288.3347106</v>
      </c>
      <c r="AT202" s="99">
        <f t="shared" si="132"/>
        <v>294.1014048</v>
      </c>
      <c r="AU202" s="99">
        <f t="shared" si="132"/>
        <v>299.9834329</v>
      </c>
      <c r="AV202" s="99">
        <f t="shared" si="132"/>
        <v>305.9831016</v>
      </c>
      <c r="AW202" s="67"/>
      <c r="AX202" s="90"/>
      <c r="AY202" s="90"/>
      <c r="AZ202" s="90"/>
      <c r="BA202" s="90"/>
      <c r="BB202" s="90"/>
      <c r="BC202" s="90"/>
      <c r="BD202" s="90"/>
      <c r="BE202" s="90"/>
      <c r="BF202" s="90"/>
      <c r="BG202" s="90"/>
      <c r="BH202" s="90"/>
      <c r="BI202" s="90"/>
      <c r="BJ202" s="90"/>
      <c r="BK202" s="90"/>
      <c r="BL202" s="90"/>
      <c r="BM202" s="90"/>
      <c r="BN202" s="90"/>
      <c r="BO202" s="90"/>
      <c r="BP202" s="90"/>
      <c r="BQ202" s="90"/>
    </row>
    <row r="203" ht="12.75" hidden="1" customHeight="1" outlineLevel="1">
      <c r="A203" s="316"/>
      <c r="B203" s="90"/>
      <c r="C203" s="90" t="s">
        <v>745</v>
      </c>
      <c r="D203" s="90"/>
      <c r="E203" s="90"/>
      <c r="F203" s="90"/>
      <c r="G203" s="90"/>
      <c r="H203" s="254"/>
      <c r="I203" s="99"/>
      <c r="J203" s="99"/>
      <c r="K203" s="99">
        <v>0.0</v>
      </c>
      <c r="L203" s="99">
        <f>'RSGen 1-7'!I204</f>
        <v>50000</v>
      </c>
      <c r="M203" s="99">
        <f>'RSGen 1-7'!J204</f>
        <v>5000</v>
      </c>
      <c r="N203" s="99">
        <f>'RSGen 1-7'!K204</f>
        <v>5000</v>
      </c>
      <c r="O203" s="99">
        <f>'RSGen 1-7'!L204</f>
        <v>0</v>
      </c>
      <c r="P203" s="99">
        <f>'RSGen 1-7'!M204</f>
        <v>0</v>
      </c>
      <c r="Q203" s="99">
        <f>'RSGen 1-7'!N204</f>
        <v>0</v>
      </c>
      <c r="R203" s="99">
        <f>'RSGen 1-7'!O204</f>
        <v>0</v>
      </c>
      <c r="S203" s="99">
        <f>'RSGen 1-7'!P204</f>
        <v>0</v>
      </c>
      <c r="T203" s="99">
        <f>'RSGen 1-7'!Q204</f>
        <v>0</v>
      </c>
      <c r="U203" s="99">
        <f>'RSGen 1-7'!R204</f>
        <v>0</v>
      </c>
      <c r="V203" s="99" t="str">
        <f>'RSGen 1-7'!S204</f>
        <v/>
      </c>
      <c r="W203" s="99" t="str">
        <f>'RSGen 1-7'!T204</f>
        <v/>
      </c>
      <c r="X203" s="99" t="str">
        <f>'RSGen 1-7'!U204</f>
        <v/>
      </c>
      <c r="Y203" s="99" t="str">
        <f>'RSGen 1-7'!V204</f>
        <v/>
      </c>
      <c r="Z203" s="99" t="str">
        <f>'RSGen 1-7'!W204</f>
        <v/>
      </c>
      <c r="AA203" s="99" t="str">
        <f>'RSGen 1-7'!X204</f>
        <v/>
      </c>
      <c r="AB203" s="99" t="str">
        <f>'RSGen 1-7'!Y204</f>
        <v/>
      </c>
      <c r="AC203" s="99" t="str">
        <f>'RSGen 1-7'!Z204</f>
        <v/>
      </c>
      <c r="AD203" s="99" t="str">
        <f>'RSGen 1-7'!AA204</f>
        <v/>
      </c>
      <c r="AE203" s="99" t="str">
        <f>'RSGen 1-7'!AB204</f>
        <v/>
      </c>
      <c r="AF203" s="99" t="str">
        <f>'RSGen 1-7'!AC204</f>
        <v/>
      </c>
      <c r="AG203" s="99" t="str">
        <f>'RSGen 1-7'!AD204</f>
        <v/>
      </c>
      <c r="AH203" s="99" t="str">
        <f>'RSGen 1-7'!AE204</f>
        <v/>
      </c>
      <c r="AI203" s="99" t="str">
        <f>'RSGen 1-7'!AF204</f>
        <v/>
      </c>
      <c r="AJ203" s="99" t="str">
        <f>'RSGen 1-7'!AG204</f>
        <v/>
      </c>
      <c r="AK203" s="99" t="str">
        <f>'RSGen 1-7'!AH204</f>
        <v/>
      </c>
      <c r="AL203" s="99" t="str">
        <f>'RSGen 1-7'!AI204</f>
        <v/>
      </c>
      <c r="AM203" s="99" t="str">
        <f>'RSGen 1-7'!AJ204</f>
        <v/>
      </c>
      <c r="AN203" s="99" t="str">
        <f>'RSGen 1-7'!AK204</f>
        <v/>
      </c>
      <c r="AO203" s="99" t="str">
        <f>'RSGen 1-7'!AL204</f>
        <v/>
      </c>
      <c r="AP203" s="99" t="str">
        <f>'RSGen 1-7'!AM204</f>
        <v/>
      </c>
      <c r="AQ203" s="99" t="str">
        <f>'RSGen 1-7'!AN204</f>
        <v/>
      </c>
      <c r="AR203" s="99" t="str">
        <f>'RSGen 1-7'!AO204</f>
        <v/>
      </c>
      <c r="AS203" s="99" t="str">
        <f>'RSGen 1-7'!AP204</f>
        <v/>
      </c>
      <c r="AT203" s="99" t="str">
        <f>'RSGen 1-7'!AQ204</f>
        <v/>
      </c>
      <c r="AU203" s="99" t="str">
        <f>'RSGen 1-7'!AR204</f>
        <v/>
      </c>
      <c r="AV203" s="99" t="str">
        <f>'RSGen 1-7'!AS204</f>
        <v/>
      </c>
      <c r="AW203" s="67"/>
      <c r="AX203" s="90"/>
      <c r="AY203" s="90"/>
      <c r="AZ203" s="90"/>
      <c r="BA203" s="90"/>
      <c r="BB203" s="90"/>
      <c r="BC203" s="90"/>
      <c r="BD203" s="90"/>
      <c r="BE203" s="90"/>
      <c r="BF203" s="90"/>
      <c r="BG203" s="90"/>
      <c r="BH203" s="90"/>
      <c r="BI203" s="90"/>
      <c r="BJ203" s="90"/>
      <c r="BK203" s="90"/>
      <c r="BL203" s="90"/>
      <c r="BM203" s="90"/>
      <c r="BN203" s="90"/>
      <c r="BO203" s="90"/>
      <c r="BP203" s="90"/>
      <c r="BQ203" s="90"/>
    </row>
    <row r="204" ht="12.75" hidden="1" customHeight="1" outlineLevel="1">
      <c r="A204" s="316"/>
      <c r="B204" s="90"/>
      <c r="C204" s="90" t="s">
        <v>746</v>
      </c>
      <c r="D204" s="90"/>
      <c r="E204" s="90"/>
      <c r="F204" s="90"/>
      <c r="G204" s="90"/>
      <c r="H204" s="254"/>
      <c r="I204" s="99"/>
      <c r="J204" s="99"/>
      <c r="K204" s="99">
        <v>0.0</v>
      </c>
      <c r="L204" s="99">
        <f>'RSGen 1-7'!I205</f>
        <v>15000</v>
      </c>
      <c r="M204" s="99">
        <f t="shared" ref="M204:AV204" si="133">L204*(1+M$195)</f>
        <v>15300</v>
      </c>
      <c r="N204" s="99">
        <f t="shared" si="133"/>
        <v>15606</v>
      </c>
      <c r="O204" s="99">
        <f t="shared" si="133"/>
        <v>15918.12</v>
      </c>
      <c r="P204" s="99">
        <f t="shared" si="133"/>
        <v>16236.4824</v>
      </c>
      <c r="Q204" s="99">
        <f t="shared" si="133"/>
        <v>16561.21205</v>
      </c>
      <c r="R204" s="99">
        <f t="shared" si="133"/>
        <v>16892.43629</v>
      </c>
      <c r="S204" s="99">
        <f t="shared" si="133"/>
        <v>17230.28501</v>
      </c>
      <c r="T204" s="99">
        <f t="shared" si="133"/>
        <v>17574.89072</v>
      </c>
      <c r="U204" s="99">
        <f t="shared" si="133"/>
        <v>17926.38853</v>
      </c>
      <c r="V204" s="99">
        <f t="shared" si="133"/>
        <v>18284.9163</v>
      </c>
      <c r="W204" s="99">
        <f t="shared" si="133"/>
        <v>18650.61463</v>
      </c>
      <c r="X204" s="99">
        <f t="shared" si="133"/>
        <v>19023.62692</v>
      </c>
      <c r="Y204" s="99">
        <f t="shared" si="133"/>
        <v>19404.09946</v>
      </c>
      <c r="Z204" s="99">
        <f t="shared" si="133"/>
        <v>19792.18145</v>
      </c>
      <c r="AA204" s="99">
        <f t="shared" si="133"/>
        <v>20188.02507</v>
      </c>
      <c r="AB204" s="99">
        <f t="shared" si="133"/>
        <v>20591.78558</v>
      </c>
      <c r="AC204" s="99">
        <f t="shared" si="133"/>
        <v>21003.62129</v>
      </c>
      <c r="AD204" s="99">
        <f t="shared" si="133"/>
        <v>21423.69371</v>
      </c>
      <c r="AE204" s="99">
        <f t="shared" si="133"/>
        <v>21852.16759</v>
      </c>
      <c r="AF204" s="99">
        <f t="shared" si="133"/>
        <v>22289.21094</v>
      </c>
      <c r="AG204" s="99">
        <f t="shared" si="133"/>
        <v>22734.99516</v>
      </c>
      <c r="AH204" s="99">
        <f t="shared" si="133"/>
        <v>23189.69506</v>
      </c>
      <c r="AI204" s="99">
        <f t="shared" si="133"/>
        <v>23653.48896</v>
      </c>
      <c r="AJ204" s="99">
        <f t="shared" si="133"/>
        <v>24126.55874</v>
      </c>
      <c r="AK204" s="99">
        <f t="shared" si="133"/>
        <v>24609.08992</v>
      </c>
      <c r="AL204" s="99">
        <f t="shared" si="133"/>
        <v>25101.27172</v>
      </c>
      <c r="AM204" s="99">
        <f t="shared" si="133"/>
        <v>25603.29715</v>
      </c>
      <c r="AN204" s="99">
        <f t="shared" si="133"/>
        <v>26115.36309</v>
      </c>
      <c r="AO204" s="99">
        <f t="shared" si="133"/>
        <v>26637.67035</v>
      </c>
      <c r="AP204" s="99">
        <f t="shared" si="133"/>
        <v>27170.42376</v>
      </c>
      <c r="AQ204" s="99">
        <f t="shared" si="133"/>
        <v>27713.83224</v>
      </c>
      <c r="AR204" s="99">
        <f t="shared" si="133"/>
        <v>28268.10888</v>
      </c>
      <c r="AS204" s="99">
        <f t="shared" si="133"/>
        <v>28833.47106</v>
      </c>
      <c r="AT204" s="99">
        <f t="shared" si="133"/>
        <v>29410.14048</v>
      </c>
      <c r="AU204" s="99">
        <f t="shared" si="133"/>
        <v>29998.34329</v>
      </c>
      <c r="AV204" s="99">
        <f t="shared" si="133"/>
        <v>30598.31016</v>
      </c>
      <c r="AW204" s="67"/>
      <c r="AX204" s="90"/>
      <c r="AY204" s="90"/>
      <c r="AZ204" s="90"/>
      <c r="BA204" s="90"/>
      <c r="BB204" s="90"/>
      <c r="BC204" s="90"/>
      <c r="BD204" s="90"/>
      <c r="BE204" s="90"/>
      <c r="BF204" s="90"/>
      <c r="BG204" s="90"/>
      <c r="BH204" s="90"/>
      <c r="BI204" s="90"/>
      <c r="BJ204" s="90"/>
      <c r="BK204" s="90"/>
      <c r="BL204" s="90"/>
      <c r="BM204" s="90"/>
      <c r="BN204" s="90"/>
      <c r="BO204" s="90"/>
      <c r="BP204" s="90"/>
      <c r="BQ204" s="90"/>
    </row>
    <row r="205" ht="12.75" hidden="1" customHeight="1" outlineLevel="1">
      <c r="A205" s="316"/>
      <c r="B205" s="90"/>
      <c r="C205" s="90" t="s">
        <v>747</v>
      </c>
      <c r="D205" s="90"/>
      <c r="E205" s="90"/>
      <c r="F205" s="90"/>
      <c r="G205" s="90"/>
      <c r="H205" s="254"/>
      <c r="I205" s="99"/>
      <c r="J205" s="99"/>
      <c r="K205" s="99"/>
      <c r="L205" s="99">
        <f>'RSGen 1-7'!I206</f>
        <v>100</v>
      </c>
      <c r="M205" s="99">
        <f t="shared" ref="M205:AV205" si="134">L205*(1+M195)</f>
        <v>102</v>
      </c>
      <c r="N205" s="99">
        <f t="shared" si="134"/>
        <v>104.04</v>
      </c>
      <c r="O205" s="99">
        <f t="shared" si="134"/>
        <v>106.1208</v>
      </c>
      <c r="P205" s="99">
        <f t="shared" si="134"/>
        <v>108.243216</v>
      </c>
      <c r="Q205" s="99">
        <f t="shared" si="134"/>
        <v>110.4080803</v>
      </c>
      <c r="R205" s="99">
        <f t="shared" si="134"/>
        <v>112.6162419</v>
      </c>
      <c r="S205" s="99">
        <f t="shared" si="134"/>
        <v>114.8685668</v>
      </c>
      <c r="T205" s="99">
        <f t="shared" si="134"/>
        <v>117.1659381</v>
      </c>
      <c r="U205" s="99">
        <f t="shared" si="134"/>
        <v>119.5092569</v>
      </c>
      <c r="V205" s="99">
        <f t="shared" si="134"/>
        <v>121.899442</v>
      </c>
      <c r="W205" s="99">
        <f t="shared" si="134"/>
        <v>124.3374308</v>
      </c>
      <c r="X205" s="99">
        <f t="shared" si="134"/>
        <v>126.8241795</v>
      </c>
      <c r="Y205" s="99">
        <f t="shared" si="134"/>
        <v>129.360663</v>
      </c>
      <c r="Z205" s="99">
        <f t="shared" si="134"/>
        <v>131.9478763</v>
      </c>
      <c r="AA205" s="99">
        <f t="shared" si="134"/>
        <v>134.5868338</v>
      </c>
      <c r="AB205" s="99">
        <f t="shared" si="134"/>
        <v>137.2785705</v>
      </c>
      <c r="AC205" s="99">
        <f t="shared" si="134"/>
        <v>140.0241419</v>
      </c>
      <c r="AD205" s="99">
        <f t="shared" si="134"/>
        <v>142.8246248</v>
      </c>
      <c r="AE205" s="99">
        <f t="shared" si="134"/>
        <v>145.6811173</v>
      </c>
      <c r="AF205" s="99">
        <f t="shared" si="134"/>
        <v>148.5947396</v>
      </c>
      <c r="AG205" s="99">
        <f t="shared" si="134"/>
        <v>151.5666344</v>
      </c>
      <c r="AH205" s="99">
        <f t="shared" si="134"/>
        <v>154.5979671</v>
      </c>
      <c r="AI205" s="99">
        <f t="shared" si="134"/>
        <v>157.6899264</v>
      </c>
      <c r="AJ205" s="99">
        <f t="shared" si="134"/>
        <v>160.8437249</v>
      </c>
      <c r="AK205" s="99">
        <f t="shared" si="134"/>
        <v>164.0605994</v>
      </c>
      <c r="AL205" s="99">
        <f t="shared" si="134"/>
        <v>167.3418114</v>
      </c>
      <c r="AM205" s="99">
        <f t="shared" si="134"/>
        <v>170.6886477</v>
      </c>
      <c r="AN205" s="99">
        <f t="shared" si="134"/>
        <v>174.1024206</v>
      </c>
      <c r="AO205" s="99">
        <f t="shared" si="134"/>
        <v>177.584469</v>
      </c>
      <c r="AP205" s="99">
        <f t="shared" si="134"/>
        <v>181.1361584</v>
      </c>
      <c r="AQ205" s="99">
        <f t="shared" si="134"/>
        <v>184.7588816</v>
      </c>
      <c r="AR205" s="99">
        <f t="shared" si="134"/>
        <v>188.4540592</v>
      </c>
      <c r="AS205" s="99">
        <f t="shared" si="134"/>
        <v>192.2231404</v>
      </c>
      <c r="AT205" s="99">
        <f t="shared" si="134"/>
        <v>196.0676032</v>
      </c>
      <c r="AU205" s="99">
        <f t="shared" si="134"/>
        <v>199.9889553</v>
      </c>
      <c r="AV205" s="99">
        <f t="shared" si="134"/>
        <v>203.9887344</v>
      </c>
      <c r="AW205" s="67"/>
      <c r="AX205" s="90"/>
      <c r="AY205" s="90"/>
      <c r="AZ205" s="90"/>
      <c r="BA205" s="90"/>
      <c r="BB205" s="90"/>
      <c r="BC205" s="90"/>
      <c r="BD205" s="90"/>
      <c r="BE205" s="90"/>
      <c r="BF205" s="90"/>
      <c r="BG205" s="90"/>
      <c r="BH205" s="90"/>
      <c r="BI205" s="90"/>
      <c r="BJ205" s="90"/>
      <c r="BK205" s="90"/>
      <c r="BL205" s="90"/>
      <c r="BM205" s="90"/>
      <c r="BN205" s="90"/>
      <c r="BO205" s="90"/>
      <c r="BP205" s="90"/>
      <c r="BQ205" s="90"/>
    </row>
    <row r="206" ht="12.75" hidden="1" customHeight="1" outlineLevel="1">
      <c r="A206" s="316"/>
      <c r="B206" s="90"/>
      <c r="C206" s="90" t="s">
        <v>748</v>
      </c>
      <c r="D206" s="90"/>
      <c r="E206" s="90"/>
      <c r="F206" s="90"/>
      <c r="G206" s="90"/>
      <c r="H206" s="254"/>
      <c r="I206" s="99"/>
      <c r="J206" s="99"/>
      <c r="K206" s="99"/>
      <c r="L206" s="99">
        <f>'RSGen 1-7'!I207</f>
        <v>110000</v>
      </c>
      <c r="M206" s="99">
        <f>'RSGen 1-7'!J207</f>
        <v>10000</v>
      </c>
      <c r="N206" s="99">
        <f>'RSGen 1-7'!K207</f>
        <v>10000</v>
      </c>
      <c r="O206" s="99">
        <f>'RSGen 1-7'!L207</f>
        <v>10000</v>
      </c>
      <c r="P206" s="99">
        <f>'RSGen 1-7'!M207</f>
        <v>10000</v>
      </c>
      <c r="Q206" s="99">
        <f>'RSGen 1-7'!N207</f>
        <v>10000</v>
      </c>
      <c r="R206" s="99">
        <f>'RSGen 1-7'!O207</f>
        <v>10000</v>
      </c>
      <c r="S206" s="99">
        <f>'RSGen 1-7'!P207</f>
        <v>10000</v>
      </c>
      <c r="T206" s="99">
        <f>'RSGen 1-7'!Q207</f>
        <v>10000</v>
      </c>
      <c r="U206" s="99">
        <f>'RSGen 1-7'!R207</f>
        <v>10000</v>
      </c>
      <c r="V206" s="99">
        <f t="shared" ref="V206:AV206" si="135">U206</f>
        <v>10000</v>
      </c>
      <c r="W206" s="99">
        <f t="shared" si="135"/>
        <v>10000</v>
      </c>
      <c r="X206" s="99">
        <f t="shared" si="135"/>
        <v>10000</v>
      </c>
      <c r="Y206" s="99">
        <f t="shared" si="135"/>
        <v>10000</v>
      </c>
      <c r="Z206" s="99">
        <f t="shared" si="135"/>
        <v>10000</v>
      </c>
      <c r="AA206" s="99">
        <f t="shared" si="135"/>
        <v>10000</v>
      </c>
      <c r="AB206" s="99">
        <f t="shared" si="135"/>
        <v>10000</v>
      </c>
      <c r="AC206" s="99">
        <f t="shared" si="135"/>
        <v>10000</v>
      </c>
      <c r="AD206" s="99">
        <f t="shared" si="135"/>
        <v>10000</v>
      </c>
      <c r="AE206" s="99">
        <f t="shared" si="135"/>
        <v>10000</v>
      </c>
      <c r="AF206" s="99">
        <f t="shared" si="135"/>
        <v>10000</v>
      </c>
      <c r="AG206" s="99">
        <f t="shared" si="135"/>
        <v>10000</v>
      </c>
      <c r="AH206" s="99">
        <f t="shared" si="135"/>
        <v>10000</v>
      </c>
      <c r="AI206" s="99">
        <f t="shared" si="135"/>
        <v>10000</v>
      </c>
      <c r="AJ206" s="99">
        <f t="shared" si="135"/>
        <v>10000</v>
      </c>
      <c r="AK206" s="99">
        <f t="shared" si="135"/>
        <v>10000</v>
      </c>
      <c r="AL206" s="99">
        <f t="shared" si="135"/>
        <v>10000</v>
      </c>
      <c r="AM206" s="99">
        <f t="shared" si="135"/>
        <v>10000</v>
      </c>
      <c r="AN206" s="99">
        <f t="shared" si="135"/>
        <v>10000</v>
      </c>
      <c r="AO206" s="99">
        <f t="shared" si="135"/>
        <v>10000</v>
      </c>
      <c r="AP206" s="99">
        <f t="shared" si="135"/>
        <v>10000</v>
      </c>
      <c r="AQ206" s="99">
        <f t="shared" si="135"/>
        <v>10000</v>
      </c>
      <c r="AR206" s="99">
        <f t="shared" si="135"/>
        <v>10000</v>
      </c>
      <c r="AS206" s="99">
        <f t="shared" si="135"/>
        <v>10000</v>
      </c>
      <c r="AT206" s="99">
        <f t="shared" si="135"/>
        <v>10000</v>
      </c>
      <c r="AU206" s="99">
        <f t="shared" si="135"/>
        <v>10000</v>
      </c>
      <c r="AV206" s="99">
        <f t="shared" si="135"/>
        <v>10000</v>
      </c>
      <c r="AW206" s="67"/>
      <c r="AX206" s="90"/>
      <c r="AY206" s="90"/>
      <c r="AZ206" s="90"/>
      <c r="BA206" s="90"/>
      <c r="BB206" s="90"/>
      <c r="BC206" s="90"/>
      <c r="BD206" s="90"/>
      <c r="BE206" s="90"/>
      <c r="BF206" s="90"/>
      <c r="BG206" s="90"/>
      <c r="BH206" s="90"/>
      <c r="BI206" s="90"/>
      <c r="BJ206" s="90"/>
      <c r="BK206" s="90"/>
      <c r="BL206" s="90"/>
      <c r="BM206" s="90"/>
      <c r="BN206" s="90"/>
      <c r="BO206" s="90"/>
      <c r="BP206" s="90"/>
      <c r="BQ206" s="90"/>
    </row>
    <row r="207" ht="12.75" hidden="1" customHeight="1" outlineLevel="1">
      <c r="A207" s="316"/>
      <c r="B207" s="90"/>
      <c r="C207" s="90" t="s">
        <v>749</v>
      </c>
      <c r="D207" s="90"/>
      <c r="E207" s="90"/>
      <c r="F207" s="90"/>
      <c r="G207" s="90"/>
      <c r="H207" s="254"/>
      <c r="I207" s="99"/>
      <c r="J207" s="99"/>
      <c r="K207" s="99"/>
      <c r="L207" s="99">
        <f>'RSGen 1-7'!I208</f>
        <v>750</v>
      </c>
      <c r="M207" s="99">
        <f>'RSGen 1-7'!J208</f>
        <v>750</v>
      </c>
      <c r="N207" s="99">
        <f>'RSGen 1-7'!K208</f>
        <v>750</v>
      </c>
      <c r="O207" s="99">
        <f>'RSGen 1-7'!L208</f>
        <v>750</v>
      </c>
      <c r="P207" s="99">
        <f>'RSGen 1-7'!M208</f>
        <v>750</v>
      </c>
      <c r="Q207" s="99">
        <f>'RSGen 1-7'!N208</f>
        <v>750</v>
      </c>
      <c r="R207" s="99">
        <f>'RSGen 1-7'!O208</f>
        <v>750</v>
      </c>
      <c r="S207" s="99">
        <f>'RSGen 1-7'!P208</f>
        <v>750</v>
      </c>
      <c r="T207" s="99">
        <f>'RSGen 1-7'!Q208</f>
        <v>750</v>
      </c>
      <c r="U207" s="99">
        <f>'RSGen 1-7'!R208</f>
        <v>750</v>
      </c>
      <c r="V207" s="99">
        <f t="shared" ref="V207:AV207" si="136">U207</f>
        <v>750</v>
      </c>
      <c r="W207" s="99">
        <f t="shared" si="136"/>
        <v>750</v>
      </c>
      <c r="X207" s="99">
        <f t="shared" si="136"/>
        <v>750</v>
      </c>
      <c r="Y207" s="99">
        <f t="shared" si="136"/>
        <v>750</v>
      </c>
      <c r="Z207" s="99">
        <f t="shared" si="136"/>
        <v>750</v>
      </c>
      <c r="AA207" s="99">
        <f t="shared" si="136"/>
        <v>750</v>
      </c>
      <c r="AB207" s="99">
        <f t="shared" si="136"/>
        <v>750</v>
      </c>
      <c r="AC207" s="99">
        <f t="shared" si="136"/>
        <v>750</v>
      </c>
      <c r="AD207" s="99">
        <f t="shared" si="136"/>
        <v>750</v>
      </c>
      <c r="AE207" s="99">
        <f t="shared" si="136"/>
        <v>750</v>
      </c>
      <c r="AF207" s="99">
        <f t="shared" si="136"/>
        <v>750</v>
      </c>
      <c r="AG207" s="99">
        <f t="shared" si="136"/>
        <v>750</v>
      </c>
      <c r="AH207" s="99">
        <f t="shared" si="136"/>
        <v>750</v>
      </c>
      <c r="AI207" s="99">
        <f t="shared" si="136"/>
        <v>750</v>
      </c>
      <c r="AJ207" s="99">
        <f t="shared" si="136"/>
        <v>750</v>
      </c>
      <c r="AK207" s="99">
        <f t="shared" si="136"/>
        <v>750</v>
      </c>
      <c r="AL207" s="99">
        <f t="shared" si="136"/>
        <v>750</v>
      </c>
      <c r="AM207" s="99">
        <f t="shared" si="136"/>
        <v>750</v>
      </c>
      <c r="AN207" s="99">
        <f t="shared" si="136"/>
        <v>750</v>
      </c>
      <c r="AO207" s="99">
        <f t="shared" si="136"/>
        <v>750</v>
      </c>
      <c r="AP207" s="99">
        <f t="shared" si="136"/>
        <v>750</v>
      </c>
      <c r="AQ207" s="99">
        <f t="shared" si="136"/>
        <v>750</v>
      </c>
      <c r="AR207" s="99">
        <f t="shared" si="136"/>
        <v>750</v>
      </c>
      <c r="AS207" s="99">
        <f t="shared" si="136"/>
        <v>750</v>
      </c>
      <c r="AT207" s="99">
        <f t="shared" si="136"/>
        <v>750</v>
      </c>
      <c r="AU207" s="99">
        <f t="shared" si="136"/>
        <v>750</v>
      </c>
      <c r="AV207" s="99">
        <f t="shared" si="136"/>
        <v>750</v>
      </c>
      <c r="AW207" s="67"/>
      <c r="AX207" s="90"/>
      <c r="AY207" s="90"/>
      <c r="AZ207" s="90"/>
      <c r="BA207" s="90"/>
      <c r="BB207" s="90"/>
      <c r="BC207" s="90"/>
      <c r="BD207" s="90"/>
      <c r="BE207" s="90"/>
      <c r="BF207" s="90"/>
      <c r="BG207" s="90"/>
      <c r="BH207" s="90"/>
      <c r="BI207" s="90"/>
      <c r="BJ207" s="90"/>
      <c r="BK207" s="90"/>
      <c r="BL207" s="90"/>
      <c r="BM207" s="90"/>
      <c r="BN207" s="90"/>
      <c r="BO207" s="90"/>
      <c r="BP207" s="90"/>
      <c r="BQ207" s="90"/>
    </row>
    <row r="208" ht="12.75" hidden="1" customHeight="1" outlineLevel="1">
      <c r="A208" s="316"/>
      <c r="B208" s="90"/>
      <c r="C208" s="90" t="s">
        <v>750</v>
      </c>
      <c r="D208" s="90"/>
      <c r="E208" s="90"/>
      <c r="F208" s="90"/>
      <c r="G208" s="90"/>
      <c r="H208" s="254"/>
      <c r="I208" s="99"/>
      <c r="J208" s="99"/>
      <c r="K208" s="99"/>
      <c r="L208" s="99">
        <f>'RSGen 1-7'!I209</f>
        <v>440</v>
      </c>
      <c r="M208" s="99">
        <f t="shared" ref="M208:AV208" si="137">L208*(1+M195)</f>
        <v>448.8</v>
      </c>
      <c r="N208" s="99">
        <f t="shared" si="137"/>
        <v>457.776</v>
      </c>
      <c r="O208" s="99">
        <f t="shared" si="137"/>
        <v>466.93152</v>
      </c>
      <c r="P208" s="99">
        <f t="shared" si="137"/>
        <v>476.2701504</v>
      </c>
      <c r="Q208" s="99">
        <f t="shared" si="137"/>
        <v>485.7955534</v>
      </c>
      <c r="R208" s="99">
        <f t="shared" si="137"/>
        <v>495.5114645</v>
      </c>
      <c r="S208" s="99">
        <f t="shared" si="137"/>
        <v>505.4216938</v>
      </c>
      <c r="T208" s="99">
        <f t="shared" si="137"/>
        <v>515.5301276</v>
      </c>
      <c r="U208" s="99">
        <f t="shared" si="137"/>
        <v>525.8407302</v>
      </c>
      <c r="V208" s="99">
        <f t="shared" si="137"/>
        <v>536.3575448</v>
      </c>
      <c r="W208" s="99">
        <f t="shared" si="137"/>
        <v>547.0846957</v>
      </c>
      <c r="X208" s="99">
        <f t="shared" si="137"/>
        <v>558.0263896</v>
      </c>
      <c r="Y208" s="99">
        <f t="shared" si="137"/>
        <v>569.1869174</v>
      </c>
      <c r="Z208" s="99">
        <f t="shared" si="137"/>
        <v>580.5706557</v>
      </c>
      <c r="AA208" s="99">
        <f t="shared" si="137"/>
        <v>592.1820689</v>
      </c>
      <c r="AB208" s="99">
        <f t="shared" si="137"/>
        <v>604.0257102</v>
      </c>
      <c r="AC208" s="99">
        <f t="shared" si="137"/>
        <v>616.1062244</v>
      </c>
      <c r="AD208" s="99">
        <f t="shared" si="137"/>
        <v>628.4283489</v>
      </c>
      <c r="AE208" s="99">
        <f t="shared" si="137"/>
        <v>640.9969159</v>
      </c>
      <c r="AF208" s="99">
        <f t="shared" si="137"/>
        <v>653.8168542</v>
      </c>
      <c r="AG208" s="99">
        <f t="shared" si="137"/>
        <v>666.8931913</v>
      </c>
      <c r="AH208" s="99">
        <f t="shared" si="137"/>
        <v>680.2310551</v>
      </c>
      <c r="AI208" s="99">
        <f t="shared" si="137"/>
        <v>693.8356762</v>
      </c>
      <c r="AJ208" s="99">
        <f t="shared" si="137"/>
        <v>707.7123898</v>
      </c>
      <c r="AK208" s="99">
        <f t="shared" si="137"/>
        <v>721.8666376</v>
      </c>
      <c r="AL208" s="99">
        <f t="shared" si="137"/>
        <v>736.3039703</v>
      </c>
      <c r="AM208" s="99">
        <f t="shared" si="137"/>
        <v>751.0300497</v>
      </c>
      <c r="AN208" s="99">
        <f t="shared" si="137"/>
        <v>766.0506507</v>
      </c>
      <c r="AO208" s="99">
        <f t="shared" si="137"/>
        <v>781.3716637</v>
      </c>
      <c r="AP208" s="99">
        <f t="shared" si="137"/>
        <v>796.999097</v>
      </c>
      <c r="AQ208" s="99">
        <f t="shared" si="137"/>
        <v>812.9390789</v>
      </c>
      <c r="AR208" s="99">
        <f t="shared" si="137"/>
        <v>829.1978605</v>
      </c>
      <c r="AS208" s="99">
        <f t="shared" si="137"/>
        <v>845.7818177</v>
      </c>
      <c r="AT208" s="99">
        <f t="shared" si="137"/>
        <v>862.6974541</v>
      </c>
      <c r="AU208" s="99">
        <f t="shared" si="137"/>
        <v>879.9514032</v>
      </c>
      <c r="AV208" s="99">
        <f t="shared" si="137"/>
        <v>897.5504312</v>
      </c>
      <c r="AW208" s="67"/>
      <c r="AX208" s="90"/>
      <c r="AY208" s="90"/>
      <c r="AZ208" s="90"/>
      <c r="BA208" s="90"/>
      <c r="BB208" s="90"/>
      <c r="BC208" s="90"/>
      <c r="BD208" s="90"/>
      <c r="BE208" s="90"/>
      <c r="BF208" s="90"/>
      <c r="BG208" s="90"/>
      <c r="BH208" s="90"/>
      <c r="BI208" s="90"/>
      <c r="BJ208" s="90"/>
      <c r="BK208" s="90"/>
      <c r="BL208" s="90"/>
      <c r="BM208" s="90"/>
      <c r="BN208" s="90"/>
      <c r="BO208" s="90"/>
      <c r="BP208" s="90"/>
      <c r="BQ208" s="90"/>
    </row>
    <row r="209" ht="12.75" hidden="1" customHeight="1" outlineLevel="1">
      <c r="A209" s="316"/>
      <c r="B209" s="90"/>
      <c r="C209" s="90"/>
      <c r="D209" s="90"/>
      <c r="E209" s="90"/>
      <c r="F209" s="90"/>
      <c r="G209" s="90"/>
      <c r="H209" s="254"/>
      <c r="I209" s="99"/>
      <c r="J209" s="99"/>
      <c r="K209" s="99"/>
      <c r="L209" s="99"/>
      <c r="M209" s="99"/>
      <c r="N209" s="99"/>
      <c r="O209" s="99"/>
      <c r="P209" s="99"/>
      <c r="Q209" s="99"/>
      <c r="R209" s="99"/>
      <c r="S209" s="99"/>
      <c r="T209" s="99"/>
      <c r="U209" s="99"/>
      <c r="V209" s="99"/>
      <c r="W209" s="99"/>
      <c r="X209" s="99"/>
      <c r="Y209" s="99"/>
      <c r="Z209" s="99"/>
      <c r="AA209" s="99"/>
      <c r="AB209" s="99"/>
      <c r="AC209" s="99"/>
      <c r="AD209" s="99"/>
      <c r="AE209" s="99"/>
      <c r="AF209" s="99"/>
      <c r="AG209" s="99"/>
      <c r="AH209" s="99"/>
      <c r="AI209" s="99"/>
      <c r="AJ209" s="99"/>
      <c r="AK209" s="99"/>
      <c r="AL209" s="99"/>
      <c r="AM209" s="99"/>
      <c r="AN209" s="99"/>
      <c r="AO209" s="99"/>
      <c r="AP209" s="99"/>
      <c r="AQ209" s="99"/>
      <c r="AR209" s="99"/>
      <c r="AS209" s="99"/>
      <c r="AT209" s="99"/>
      <c r="AU209" s="99"/>
      <c r="AV209" s="99"/>
      <c r="AW209" s="67"/>
      <c r="AX209" s="90"/>
      <c r="AY209" s="90"/>
      <c r="AZ209" s="90"/>
      <c r="BA209" s="90"/>
      <c r="BB209" s="90"/>
      <c r="BC209" s="90"/>
      <c r="BD209" s="90"/>
      <c r="BE209" s="90"/>
      <c r="BF209" s="90"/>
      <c r="BG209" s="90"/>
      <c r="BH209" s="90"/>
      <c r="BI209" s="90"/>
      <c r="BJ209" s="90"/>
      <c r="BK209" s="90"/>
      <c r="BL209" s="90"/>
      <c r="BM209" s="90"/>
      <c r="BN209" s="90"/>
      <c r="BO209" s="90"/>
      <c r="BP209" s="90"/>
      <c r="BQ209" s="90"/>
    </row>
    <row r="210" ht="12.75" hidden="1" customHeight="1" outlineLevel="1">
      <c r="A210" s="316"/>
      <c r="B210" s="67" t="s">
        <v>626</v>
      </c>
      <c r="C210" s="90"/>
      <c r="D210" s="90"/>
      <c r="E210" s="90"/>
      <c r="F210" s="90"/>
      <c r="G210" s="254"/>
      <c r="H210" s="99"/>
      <c r="I210" s="99"/>
      <c r="J210" s="99"/>
      <c r="K210" s="99"/>
      <c r="L210" s="99"/>
      <c r="M210" s="99"/>
      <c r="N210" s="99"/>
      <c r="O210" s="99"/>
      <c r="P210" s="99"/>
      <c r="Q210" s="99"/>
      <c r="R210" s="99"/>
      <c r="S210" s="99"/>
      <c r="T210" s="99"/>
      <c r="U210" s="99"/>
      <c r="V210" s="99"/>
      <c r="W210" s="99"/>
      <c r="X210" s="99"/>
      <c r="Y210" s="99"/>
      <c r="Z210" s="99"/>
      <c r="AA210" s="99"/>
      <c r="AB210" s="99"/>
      <c r="AC210" s="99"/>
      <c r="AD210" s="99"/>
      <c r="AE210" s="99"/>
      <c r="AF210" s="99"/>
      <c r="AG210" s="99"/>
      <c r="AH210" s="99"/>
      <c r="AI210" s="99"/>
      <c r="AJ210" s="99"/>
      <c r="AK210" s="99"/>
      <c r="AL210" s="99"/>
      <c r="AM210" s="99"/>
      <c r="AN210" s="99"/>
      <c r="AO210" s="99"/>
      <c r="AP210" s="99"/>
      <c r="AQ210" s="99"/>
      <c r="AR210" s="99"/>
      <c r="AS210" s="99"/>
      <c r="AT210" s="99"/>
      <c r="AU210" s="99"/>
      <c r="AV210" s="99"/>
      <c r="AW210" s="90"/>
      <c r="AX210" s="90"/>
      <c r="AY210" s="90"/>
      <c r="AZ210" s="90"/>
      <c r="BA210" s="90"/>
      <c r="BB210" s="90"/>
      <c r="BC210" s="90"/>
      <c r="BD210" s="90"/>
      <c r="BE210" s="90"/>
      <c r="BF210" s="90"/>
      <c r="BG210" s="90"/>
      <c r="BH210" s="90"/>
      <c r="BI210" s="90"/>
      <c r="BJ210" s="90"/>
      <c r="BK210" s="90"/>
      <c r="BL210" s="90"/>
      <c r="BM210" s="90"/>
      <c r="BN210" s="90"/>
      <c r="BO210" s="90"/>
      <c r="BP210" s="90"/>
      <c r="BQ210" s="90"/>
    </row>
    <row r="211" ht="12.75" hidden="1" customHeight="1" outlineLevel="1">
      <c r="A211" s="316"/>
      <c r="B211" s="90"/>
      <c r="C211" s="90" t="s">
        <v>751</v>
      </c>
      <c r="D211" s="90"/>
      <c r="E211" s="90"/>
      <c r="F211" s="90"/>
      <c r="G211" s="254"/>
      <c r="H211" s="99"/>
      <c r="I211" s="254"/>
      <c r="J211" s="254"/>
      <c r="K211" s="99">
        <f>'RSGen 1-7'!H212</f>
        <v>0</v>
      </c>
      <c r="L211" s="99">
        <f>'RSGen 1-7'!I212</f>
        <v>3500</v>
      </c>
      <c r="M211" s="99">
        <f t="shared" ref="M211:AV211" si="138">L211*(1+M$195)</f>
        <v>3570</v>
      </c>
      <c r="N211" s="99">
        <f t="shared" si="138"/>
        <v>3641.4</v>
      </c>
      <c r="O211" s="99">
        <f t="shared" si="138"/>
        <v>3714.228</v>
      </c>
      <c r="P211" s="99">
        <f t="shared" si="138"/>
        <v>3788.51256</v>
      </c>
      <c r="Q211" s="99">
        <f t="shared" si="138"/>
        <v>3864.282811</v>
      </c>
      <c r="R211" s="99">
        <f t="shared" si="138"/>
        <v>3941.568467</v>
      </c>
      <c r="S211" s="99">
        <f t="shared" si="138"/>
        <v>4020.399837</v>
      </c>
      <c r="T211" s="99">
        <f t="shared" si="138"/>
        <v>4100.807834</v>
      </c>
      <c r="U211" s="99">
        <f t="shared" si="138"/>
        <v>4182.82399</v>
      </c>
      <c r="V211" s="99">
        <f t="shared" si="138"/>
        <v>4266.48047</v>
      </c>
      <c r="W211" s="99">
        <f t="shared" si="138"/>
        <v>4351.810079</v>
      </c>
      <c r="X211" s="99">
        <f t="shared" si="138"/>
        <v>4438.846281</v>
      </c>
      <c r="Y211" s="99">
        <f t="shared" si="138"/>
        <v>4527.623207</v>
      </c>
      <c r="Z211" s="99">
        <f t="shared" si="138"/>
        <v>4618.175671</v>
      </c>
      <c r="AA211" s="99">
        <f t="shared" si="138"/>
        <v>4710.539184</v>
      </c>
      <c r="AB211" s="99">
        <f t="shared" si="138"/>
        <v>4804.749968</v>
      </c>
      <c r="AC211" s="99">
        <f t="shared" si="138"/>
        <v>4900.844967</v>
      </c>
      <c r="AD211" s="99">
        <f t="shared" si="138"/>
        <v>4998.861867</v>
      </c>
      <c r="AE211" s="99">
        <f t="shared" si="138"/>
        <v>5098.839104</v>
      </c>
      <c r="AF211" s="99">
        <f t="shared" si="138"/>
        <v>5200.815886</v>
      </c>
      <c r="AG211" s="99">
        <f t="shared" si="138"/>
        <v>5304.832204</v>
      </c>
      <c r="AH211" s="99">
        <f t="shared" si="138"/>
        <v>5410.928848</v>
      </c>
      <c r="AI211" s="99">
        <f t="shared" si="138"/>
        <v>5519.147425</v>
      </c>
      <c r="AJ211" s="99">
        <f t="shared" si="138"/>
        <v>5629.530373</v>
      </c>
      <c r="AK211" s="99">
        <f t="shared" si="138"/>
        <v>5742.120981</v>
      </c>
      <c r="AL211" s="99">
        <f t="shared" si="138"/>
        <v>5856.9634</v>
      </c>
      <c r="AM211" s="99">
        <f t="shared" si="138"/>
        <v>5974.102668</v>
      </c>
      <c r="AN211" s="99">
        <f t="shared" si="138"/>
        <v>6093.584722</v>
      </c>
      <c r="AO211" s="99">
        <f t="shared" si="138"/>
        <v>6215.456416</v>
      </c>
      <c r="AP211" s="99">
        <f t="shared" si="138"/>
        <v>6339.765544</v>
      </c>
      <c r="AQ211" s="99">
        <f t="shared" si="138"/>
        <v>6466.560855</v>
      </c>
      <c r="AR211" s="99">
        <f t="shared" si="138"/>
        <v>6595.892072</v>
      </c>
      <c r="AS211" s="99">
        <f t="shared" si="138"/>
        <v>6727.809914</v>
      </c>
      <c r="AT211" s="99">
        <f t="shared" si="138"/>
        <v>6862.366112</v>
      </c>
      <c r="AU211" s="99">
        <f t="shared" si="138"/>
        <v>6999.613434</v>
      </c>
      <c r="AV211" s="99">
        <f t="shared" si="138"/>
        <v>7139.605703</v>
      </c>
      <c r="AW211" s="67"/>
      <c r="AX211" s="90"/>
      <c r="AY211" s="90"/>
      <c r="AZ211" s="90"/>
      <c r="BA211" s="90"/>
      <c r="BB211" s="90"/>
      <c r="BC211" s="90"/>
      <c r="BD211" s="90"/>
      <c r="BE211" s="90"/>
      <c r="BF211" s="90"/>
      <c r="BG211" s="90"/>
      <c r="BH211" s="90"/>
      <c r="BI211" s="90"/>
      <c r="BJ211" s="90"/>
      <c r="BK211" s="90"/>
      <c r="BL211" s="90"/>
      <c r="BM211" s="90"/>
      <c r="BN211" s="90"/>
      <c r="BO211" s="90"/>
      <c r="BP211" s="90"/>
      <c r="BQ211" s="90"/>
    </row>
    <row r="212" ht="12.75" hidden="1" customHeight="1" outlineLevel="1">
      <c r="A212" s="316"/>
      <c r="B212" s="90"/>
      <c r="C212" s="90" t="s">
        <v>752</v>
      </c>
      <c r="D212" s="90"/>
      <c r="E212" s="90"/>
      <c r="F212" s="90"/>
      <c r="G212" s="90"/>
      <c r="H212" s="254"/>
      <c r="I212" s="254"/>
      <c r="J212" s="254"/>
      <c r="K212" s="99">
        <f>'RSGen 1-7'!H213</f>
        <v>700</v>
      </c>
      <c r="L212" s="99">
        <f>'RSGen 1-7'!I213</f>
        <v>700</v>
      </c>
      <c r="M212" s="99">
        <f t="shared" ref="M212:AV212" si="139">L212*(1+M$195)</f>
        <v>714</v>
      </c>
      <c r="N212" s="99">
        <f t="shared" si="139"/>
        <v>728.28</v>
      </c>
      <c r="O212" s="99">
        <f t="shared" si="139"/>
        <v>742.8456</v>
      </c>
      <c r="P212" s="99">
        <f t="shared" si="139"/>
        <v>757.702512</v>
      </c>
      <c r="Q212" s="99">
        <f t="shared" si="139"/>
        <v>772.8565622</v>
      </c>
      <c r="R212" s="99">
        <f t="shared" si="139"/>
        <v>788.3136935</v>
      </c>
      <c r="S212" s="99">
        <f t="shared" si="139"/>
        <v>804.0799674</v>
      </c>
      <c r="T212" s="99">
        <f t="shared" si="139"/>
        <v>820.1615667</v>
      </c>
      <c r="U212" s="99">
        <f t="shared" si="139"/>
        <v>836.564798</v>
      </c>
      <c r="V212" s="99">
        <f t="shared" si="139"/>
        <v>853.296094</v>
      </c>
      <c r="W212" s="99">
        <f t="shared" si="139"/>
        <v>870.3620159</v>
      </c>
      <c r="X212" s="99">
        <f t="shared" si="139"/>
        <v>887.7692562</v>
      </c>
      <c r="Y212" s="99">
        <f t="shared" si="139"/>
        <v>905.5246413</v>
      </c>
      <c r="Z212" s="99">
        <f t="shared" si="139"/>
        <v>923.6351341</v>
      </c>
      <c r="AA212" s="99">
        <f t="shared" si="139"/>
        <v>942.1078368</v>
      </c>
      <c r="AB212" s="99">
        <f t="shared" si="139"/>
        <v>960.9499936</v>
      </c>
      <c r="AC212" s="99">
        <f t="shared" si="139"/>
        <v>980.1689934</v>
      </c>
      <c r="AD212" s="99">
        <f t="shared" si="139"/>
        <v>999.7723733</v>
      </c>
      <c r="AE212" s="99">
        <f t="shared" si="139"/>
        <v>1019.767821</v>
      </c>
      <c r="AF212" s="99">
        <f t="shared" si="139"/>
        <v>1040.163177</v>
      </c>
      <c r="AG212" s="99">
        <f t="shared" si="139"/>
        <v>1060.966441</v>
      </c>
      <c r="AH212" s="99">
        <f t="shared" si="139"/>
        <v>1082.18577</v>
      </c>
      <c r="AI212" s="99">
        <f t="shared" si="139"/>
        <v>1103.829485</v>
      </c>
      <c r="AJ212" s="99">
        <f t="shared" si="139"/>
        <v>1125.906075</v>
      </c>
      <c r="AK212" s="99">
        <f t="shared" si="139"/>
        <v>1148.424196</v>
      </c>
      <c r="AL212" s="99">
        <f t="shared" si="139"/>
        <v>1171.39268</v>
      </c>
      <c r="AM212" s="99">
        <f t="shared" si="139"/>
        <v>1194.820534</v>
      </c>
      <c r="AN212" s="99">
        <f t="shared" si="139"/>
        <v>1218.716944</v>
      </c>
      <c r="AO212" s="99">
        <f t="shared" si="139"/>
        <v>1243.091283</v>
      </c>
      <c r="AP212" s="99">
        <f t="shared" si="139"/>
        <v>1267.953109</v>
      </c>
      <c r="AQ212" s="99">
        <f t="shared" si="139"/>
        <v>1293.312171</v>
      </c>
      <c r="AR212" s="99">
        <f t="shared" si="139"/>
        <v>1319.178414</v>
      </c>
      <c r="AS212" s="99">
        <f t="shared" si="139"/>
        <v>1345.561983</v>
      </c>
      <c r="AT212" s="99">
        <f t="shared" si="139"/>
        <v>1372.473222</v>
      </c>
      <c r="AU212" s="99">
        <f t="shared" si="139"/>
        <v>1399.922687</v>
      </c>
      <c r="AV212" s="99">
        <f t="shared" si="139"/>
        <v>1427.921141</v>
      </c>
      <c r="AW212" s="67"/>
      <c r="AX212" s="90"/>
      <c r="AY212" s="90"/>
      <c r="AZ212" s="90"/>
      <c r="BA212" s="90"/>
      <c r="BB212" s="90"/>
      <c r="BC212" s="90"/>
      <c r="BD212" s="90"/>
      <c r="BE212" s="90"/>
      <c r="BF212" s="90"/>
      <c r="BG212" s="90"/>
      <c r="BH212" s="90"/>
      <c r="BI212" s="90"/>
      <c r="BJ212" s="90"/>
      <c r="BK212" s="90"/>
      <c r="BL212" s="90"/>
      <c r="BM212" s="90"/>
      <c r="BN212" s="90"/>
      <c r="BO212" s="90"/>
      <c r="BP212" s="90"/>
      <c r="BQ212" s="90"/>
    </row>
    <row r="213" ht="12.75" hidden="1" customHeight="1" outlineLevel="1">
      <c r="A213" s="316"/>
      <c r="B213" s="90"/>
      <c r="C213" s="90" t="s">
        <v>753</v>
      </c>
      <c r="D213" s="90"/>
      <c r="E213" s="90"/>
      <c r="F213" s="90"/>
      <c r="G213" s="90"/>
      <c r="H213" s="254"/>
      <c r="I213" s="254"/>
      <c r="J213" s="254"/>
      <c r="K213" s="99" t="str">
        <f>'RSGen 1-7'!H214</f>
        <v/>
      </c>
      <c r="L213" s="99" t="str">
        <f>'RSGen 1-7'!I214</f>
        <v/>
      </c>
      <c r="M213" s="99">
        <f t="shared" ref="M213:AV213" si="140">L213*(1+M$195)</f>
        <v>0</v>
      </c>
      <c r="N213" s="99">
        <f t="shared" si="140"/>
        <v>0</v>
      </c>
      <c r="O213" s="99">
        <f t="shared" si="140"/>
        <v>0</v>
      </c>
      <c r="P213" s="99">
        <f t="shared" si="140"/>
        <v>0</v>
      </c>
      <c r="Q213" s="99">
        <f t="shared" si="140"/>
        <v>0</v>
      </c>
      <c r="R213" s="99">
        <f t="shared" si="140"/>
        <v>0</v>
      </c>
      <c r="S213" s="99">
        <f t="shared" si="140"/>
        <v>0</v>
      </c>
      <c r="T213" s="99">
        <f t="shared" si="140"/>
        <v>0</v>
      </c>
      <c r="U213" s="99">
        <f t="shared" si="140"/>
        <v>0</v>
      </c>
      <c r="V213" s="99">
        <f t="shared" si="140"/>
        <v>0</v>
      </c>
      <c r="W213" s="99">
        <f t="shared" si="140"/>
        <v>0</v>
      </c>
      <c r="X213" s="99">
        <f t="shared" si="140"/>
        <v>0</v>
      </c>
      <c r="Y213" s="99">
        <f t="shared" si="140"/>
        <v>0</v>
      </c>
      <c r="Z213" s="99">
        <f t="shared" si="140"/>
        <v>0</v>
      </c>
      <c r="AA213" s="99">
        <f t="shared" si="140"/>
        <v>0</v>
      </c>
      <c r="AB213" s="99">
        <f t="shared" si="140"/>
        <v>0</v>
      </c>
      <c r="AC213" s="99">
        <f t="shared" si="140"/>
        <v>0</v>
      </c>
      <c r="AD213" s="99">
        <f t="shared" si="140"/>
        <v>0</v>
      </c>
      <c r="AE213" s="99">
        <f t="shared" si="140"/>
        <v>0</v>
      </c>
      <c r="AF213" s="99">
        <f t="shared" si="140"/>
        <v>0</v>
      </c>
      <c r="AG213" s="99">
        <f t="shared" si="140"/>
        <v>0</v>
      </c>
      <c r="AH213" s="99">
        <f t="shared" si="140"/>
        <v>0</v>
      </c>
      <c r="AI213" s="99">
        <f t="shared" si="140"/>
        <v>0</v>
      </c>
      <c r="AJ213" s="99">
        <f t="shared" si="140"/>
        <v>0</v>
      </c>
      <c r="AK213" s="99">
        <f t="shared" si="140"/>
        <v>0</v>
      </c>
      <c r="AL213" s="99">
        <f t="shared" si="140"/>
        <v>0</v>
      </c>
      <c r="AM213" s="99">
        <f t="shared" si="140"/>
        <v>0</v>
      </c>
      <c r="AN213" s="99">
        <f t="shared" si="140"/>
        <v>0</v>
      </c>
      <c r="AO213" s="99">
        <f t="shared" si="140"/>
        <v>0</v>
      </c>
      <c r="AP213" s="99">
        <f t="shared" si="140"/>
        <v>0</v>
      </c>
      <c r="AQ213" s="99">
        <f t="shared" si="140"/>
        <v>0</v>
      </c>
      <c r="AR213" s="99">
        <f t="shared" si="140"/>
        <v>0</v>
      </c>
      <c r="AS213" s="99">
        <f t="shared" si="140"/>
        <v>0</v>
      </c>
      <c r="AT213" s="99">
        <f t="shared" si="140"/>
        <v>0</v>
      </c>
      <c r="AU213" s="99">
        <f t="shared" si="140"/>
        <v>0</v>
      </c>
      <c r="AV213" s="99">
        <f t="shared" si="140"/>
        <v>0</v>
      </c>
      <c r="AW213" s="67" t="s">
        <v>1204</v>
      </c>
      <c r="AX213" s="90"/>
      <c r="AY213" s="90"/>
      <c r="AZ213" s="90"/>
      <c r="BA213" s="90"/>
      <c r="BB213" s="90"/>
      <c r="BC213" s="90"/>
      <c r="BD213" s="90"/>
      <c r="BE213" s="90"/>
      <c r="BF213" s="90"/>
      <c r="BG213" s="90"/>
      <c r="BH213" s="90"/>
      <c r="BI213" s="90"/>
      <c r="BJ213" s="90"/>
      <c r="BK213" s="90"/>
      <c r="BL213" s="90"/>
      <c r="BM213" s="90"/>
      <c r="BN213" s="90"/>
      <c r="BO213" s="90"/>
      <c r="BP213" s="90"/>
      <c r="BQ213" s="90"/>
    </row>
    <row r="214" ht="12.75" hidden="1" customHeight="1" outlineLevel="1">
      <c r="A214" s="316"/>
      <c r="B214" s="90"/>
      <c r="C214" s="90" t="s">
        <v>754</v>
      </c>
      <c r="D214" s="90"/>
      <c r="E214" s="90"/>
      <c r="F214" s="90"/>
      <c r="G214" s="90"/>
      <c r="H214" s="254"/>
      <c r="I214" s="254"/>
      <c r="J214" s="254"/>
      <c r="K214" s="99">
        <f>'RSGen 1-7'!H215</f>
        <v>0</v>
      </c>
      <c r="L214" s="99">
        <f>'RSGen 1-7'!I215</f>
        <v>25000</v>
      </c>
      <c r="M214" s="99">
        <f t="shared" ref="M214:AV214" si="141">L214*(1+M$195)</f>
        <v>25500</v>
      </c>
      <c r="N214" s="99">
        <f t="shared" si="141"/>
        <v>26010</v>
      </c>
      <c r="O214" s="99">
        <f t="shared" si="141"/>
        <v>26530.2</v>
      </c>
      <c r="P214" s="99">
        <f t="shared" si="141"/>
        <v>27060.804</v>
      </c>
      <c r="Q214" s="99">
        <f t="shared" si="141"/>
        <v>27602.02008</v>
      </c>
      <c r="R214" s="99">
        <f t="shared" si="141"/>
        <v>28154.06048</v>
      </c>
      <c r="S214" s="99">
        <f t="shared" si="141"/>
        <v>28717.14169</v>
      </c>
      <c r="T214" s="99">
        <f t="shared" si="141"/>
        <v>29291.48453</v>
      </c>
      <c r="U214" s="99">
        <f t="shared" si="141"/>
        <v>29877.31422</v>
      </c>
      <c r="V214" s="99">
        <f t="shared" si="141"/>
        <v>30474.8605</v>
      </c>
      <c r="W214" s="99">
        <f t="shared" si="141"/>
        <v>31084.35771</v>
      </c>
      <c r="X214" s="99">
        <f t="shared" si="141"/>
        <v>31706.04486</v>
      </c>
      <c r="Y214" s="99">
        <f t="shared" si="141"/>
        <v>32340.16576</v>
      </c>
      <c r="Z214" s="99">
        <f t="shared" si="141"/>
        <v>32986.96908</v>
      </c>
      <c r="AA214" s="99">
        <f t="shared" si="141"/>
        <v>33646.70846</v>
      </c>
      <c r="AB214" s="99">
        <f t="shared" si="141"/>
        <v>34319.64263</v>
      </c>
      <c r="AC214" s="99">
        <f t="shared" si="141"/>
        <v>35006.03548</v>
      </c>
      <c r="AD214" s="99">
        <f t="shared" si="141"/>
        <v>35706.15619</v>
      </c>
      <c r="AE214" s="99">
        <f t="shared" si="141"/>
        <v>36420.27931</v>
      </c>
      <c r="AF214" s="99">
        <f t="shared" si="141"/>
        <v>37148.6849</v>
      </c>
      <c r="AG214" s="99">
        <f t="shared" si="141"/>
        <v>37891.6586</v>
      </c>
      <c r="AH214" s="99">
        <f t="shared" si="141"/>
        <v>38649.49177</v>
      </c>
      <c r="AI214" s="99">
        <f t="shared" si="141"/>
        <v>39422.4816</v>
      </c>
      <c r="AJ214" s="99">
        <f t="shared" si="141"/>
        <v>40210.93124</v>
      </c>
      <c r="AK214" s="99">
        <f t="shared" si="141"/>
        <v>41015.14986</v>
      </c>
      <c r="AL214" s="99">
        <f t="shared" si="141"/>
        <v>41835.45286</v>
      </c>
      <c r="AM214" s="99">
        <f t="shared" si="141"/>
        <v>42672.16192</v>
      </c>
      <c r="AN214" s="99">
        <f t="shared" si="141"/>
        <v>43525.60515</v>
      </c>
      <c r="AO214" s="99">
        <f t="shared" si="141"/>
        <v>44396.11726</v>
      </c>
      <c r="AP214" s="99">
        <f t="shared" si="141"/>
        <v>45284.0396</v>
      </c>
      <c r="AQ214" s="99">
        <f t="shared" si="141"/>
        <v>46189.72039</v>
      </c>
      <c r="AR214" s="99">
        <f t="shared" si="141"/>
        <v>47113.5148</v>
      </c>
      <c r="AS214" s="99">
        <f t="shared" si="141"/>
        <v>48055.7851</v>
      </c>
      <c r="AT214" s="99">
        <f t="shared" si="141"/>
        <v>49016.9008</v>
      </c>
      <c r="AU214" s="99">
        <f t="shared" si="141"/>
        <v>49997.23882</v>
      </c>
      <c r="AV214" s="99">
        <f t="shared" si="141"/>
        <v>50997.18359</v>
      </c>
      <c r="AW214" s="67"/>
      <c r="AX214" s="90"/>
      <c r="AY214" s="90"/>
      <c r="AZ214" s="90"/>
      <c r="BA214" s="90"/>
      <c r="BB214" s="90"/>
      <c r="BC214" s="90"/>
      <c r="BD214" s="90"/>
      <c r="BE214" s="90"/>
      <c r="BF214" s="90"/>
      <c r="BG214" s="90"/>
      <c r="BH214" s="90"/>
      <c r="BI214" s="90"/>
      <c r="BJ214" s="90"/>
      <c r="BK214" s="90"/>
      <c r="BL214" s="90"/>
      <c r="BM214" s="90"/>
      <c r="BN214" s="90"/>
      <c r="BO214" s="90"/>
      <c r="BP214" s="90"/>
      <c r="BQ214" s="90"/>
    </row>
    <row r="215" ht="12.75" hidden="1" customHeight="1" outlineLevel="1">
      <c r="A215" s="316"/>
      <c r="B215" s="90"/>
      <c r="C215" s="90" t="s">
        <v>755</v>
      </c>
      <c r="D215" s="90"/>
      <c r="E215" s="90"/>
      <c r="F215" s="90"/>
      <c r="G215" s="254"/>
      <c r="H215" s="254"/>
      <c r="I215" s="254"/>
      <c r="J215" s="254"/>
      <c r="K215" s="99">
        <f>'RSGen 1-7'!H216</f>
        <v>0</v>
      </c>
      <c r="L215" s="99">
        <f>'RSGen 1-7'!I216</f>
        <v>55000</v>
      </c>
      <c r="M215" s="99">
        <f>'RSGen 1-7'!J216</f>
        <v>65000</v>
      </c>
      <c r="N215" s="99">
        <f t="shared" ref="N215:AV215" si="142">M215*(1+N$195)</f>
        <v>66300</v>
      </c>
      <c r="O215" s="99">
        <f t="shared" si="142"/>
        <v>67626</v>
      </c>
      <c r="P215" s="99">
        <f t="shared" si="142"/>
        <v>68978.52</v>
      </c>
      <c r="Q215" s="99">
        <f t="shared" si="142"/>
        <v>70358.0904</v>
      </c>
      <c r="R215" s="99">
        <f t="shared" si="142"/>
        <v>71765.25221</v>
      </c>
      <c r="S215" s="99">
        <f t="shared" si="142"/>
        <v>73200.55725</v>
      </c>
      <c r="T215" s="99">
        <f t="shared" si="142"/>
        <v>74664.5684</v>
      </c>
      <c r="U215" s="99">
        <f t="shared" si="142"/>
        <v>76157.85977</v>
      </c>
      <c r="V215" s="99">
        <f t="shared" si="142"/>
        <v>77681.01696</v>
      </c>
      <c r="W215" s="99">
        <f t="shared" si="142"/>
        <v>79234.6373</v>
      </c>
      <c r="X215" s="99">
        <f t="shared" si="142"/>
        <v>80819.33005</v>
      </c>
      <c r="Y215" s="99">
        <f t="shared" si="142"/>
        <v>82435.71665</v>
      </c>
      <c r="Z215" s="99">
        <f t="shared" si="142"/>
        <v>84084.43098</v>
      </c>
      <c r="AA215" s="99">
        <f t="shared" si="142"/>
        <v>85766.1196</v>
      </c>
      <c r="AB215" s="99">
        <f t="shared" si="142"/>
        <v>87481.44199</v>
      </c>
      <c r="AC215" s="99">
        <f t="shared" si="142"/>
        <v>89231.07083</v>
      </c>
      <c r="AD215" s="99">
        <f t="shared" si="142"/>
        <v>91015.69225</v>
      </c>
      <c r="AE215" s="99">
        <f t="shared" si="142"/>
        <v>92836.00609</v>
      </c>
      <c r="AF215" s="99">
        <f t="shared" si="142"/>
        <v>94692.72621</v>
      </c>
      <c r="AG215" s="99">
        <f t="shared" si="142"/>
        <v>96586.58074</v>
      </c>
      <c r="AH215" s="99">
        <f t="shared" si="142"/>
        <v>98518.31235</v>
      </c>
      <c r="AI215" s="99">
        <f t="shared" si="142"/>
        <v>100488.6786</v>
      </c>
      <c r="AJ215" s="99">
        <f t="shared" si="142"/>
        <v>102498.4522</v>
      </c>
      <c r="AK215" s="99">
        <f t="shared" si="142"/>
        <v>104548.4212</v>
      </c>
      <c r="AL215" s="99">
        <f t="shared" si="142"/>
        <v>106639.3896</v>
      </c>
      <c r="AM215" s="99">
        <f t="shared" si="142"/>
        <v>108772.1774</v>
      </c>
      <c r="AN215" s="99">
        <f t="shared" si="142"/>
        <v>110947.621</v>
      </c>
      <c r="AO215" s="99">
        <f t="shared" si="142"/>
        <v>113166.5734</v>
      </c>
      <c r="AP215" s="99">
        <f t="shared" si="142"/>
        <v>115429.9049</v>
      </c>
      <c r="AQ215" s="99">
        <f t="shared" si="142"/>
        <v>117738.503</v>
      </c>
      <c r="AR215" s="99">
        <f t="shared" si="142"/>
        <v>120093.273</v>
      </c>
      <c r="AS215" s="99">
        <f t="shared" si="142"/>
        <v>122495.1385</v>
      </c>
      <c r="AT215" s="99">
        <f t="shared" si="142"/>
        <v>124945.0413</v>
      </c>
      <c r="AU215" s="99">
        <f t="shared" si="142"/>
        <v>127443.9421</v>
      </c>
      <c r="AV215" s="99">
        <f t="shared" si="142"/>
        <v>129992.8209</v>
      </c>
      <c r="AW215" s="67"/>
      <c r="AX215" s="90"/>
      <c r="AY215" s="90"/>
      <c r="AZ215" s="90"/>
      <c r="BA215" s="90"/>
      <c r="BB215" s="90"/>
      <c r="BC215" s="90"/>
      <c r="BD215" s="90"/>
      <c r="BE215" s="90"/>
      <c r="BF215" s="90"/>
      <c r="BG215" s="90"/>
      <c r="BH215" s="90"/>
      <c r="BI215" s="90"/>
      <c r="BJ215" s="90"/>
      <c r="BK215" s="90"/>
      <c r="BL215" s="90"/>
      <c r="BM215" s="90"/>
      <c r="BN215" s="90"/>
      <c r="BO215" s="90"/>
      <c r="BP215" s="90"/>
      <c r="BQ215" s="90"/>
    </row>
    <row r="216" ht="12.75" hidden="1" customHeight="1" outlineLevel="1">
      <c r="A216" s="316"/>
      <c r="B216" s="90"/>
      <c r="C216" s="90" t="s">
        <v>756</v>
      </c>
      <c r="D216" s="90"/>
      <c r="E216" s="90"/>
      <c r="F216" s="90"/>
      <c r="G216" s="99"/>
      <c r="H216" s="99"/>
      <c r="I216" s="99"/>
      <c r="J216" s="99"/>
      <c r="K216" s="254"/>
      <c r="L216" s="99">
        <f>'RSGen 1-7'!I217</f>
        <v>2000</v>
      </c>
      <c r="M216" s="99">
        <f t="shared" ref="M216:AV216" si="143">L216*(1+M$195)</f>
        <v>2040</v>
      </c>
      <c r="N216" s="99">
        <f t="shared" si="143"/>
        <v>2080.8</v>
      </c>
      <c r="O216" s="99">
        <f t="shared" si="143"/>
        <v>2122.416</v>
      </c>
      <c r="P216" s="99">
        <f t="shared" si="143"/>
        <v>2164.86432</v>
      </c>
      <c r="Q216" s="99">
        <f t="shared" si="143"/>
        <v>2208.161606</v>
      </c>
      <c r="R216" s="99">
        <f t="shared" si="143"/>
        <v>2252.324839</v>
      </c>
      <c r="S216" s="99">
        <f t="shared" si="143"/>
        <v>2297.371335</v>
      </c>
      <c r="T216" s="99">
        <f t="shared" si="143"/>
        <v>2343.318762</v>
      </c>
      <c r="U216" s="99">
        <f t="shared" si="143"/>
        <v>2390.185137</v>
      </c>
      <c r="V216" s="99">
        <f t="shared" si="143"/>
        <v>2437.98884</v>
      </c>
      <c r="W216" s="99">
        <f t="shared" si="143"/>
        <v>2486.748617</v>
      </c>
      <c r="X216" s="99">
        <f t="shared" si="143"/>
        <v>2536.483589</v>
      </c>
      <c r="Y216" s="99">
        <f t="shared" si="143"/>
        <v>2587.213261</v>
      </c>
      <c r="Z216" s="99">
        <f t="shared" si="143"/>
        <v>2638.957526</v>
      </c>
      <c r="AA216" s="99">
        <f t="shared" si="143"/>
        <v>2691.736677</v>
      </c>
      <c r="AB216" s="99">
        <f t="shared" si="143"/>
        <v>2745.57141</v>
      </c>
      <c r="AC216" s="99">
        <f t="shared" si="143"/>
        <v>2800.482838</v>
      </c>
      <c r="AD216" s="99">
        <f t="shared" si="143"/>
        <v>2856.492495</v>
      </c>
      <c r="AE216" s="99">
        <f t="shared" si="143"/>
        <v>2913.622345</v>
      </c>
      <c r="AF216" s="99">
        <f t="shared" si="143"/>
        <v>2971.894792</v>
      </c>
      <c r="AG216" s="99">
        <f t="shared" si="143"/>
        <v>3031.332688</v>
      </c>
      <c r="AH216" s="99">
        <f t="shared" si="143"/>
        <v>3091.959342</v>
      </c>
      <c r="AI216" s="99">
        <f t="shared" si="143"/>
        <v>3153.798528</v>
      </c>
      <c r="AJ216" s="99">
        <f t="shared" si="143"/>
        <v>3216.874499</v>
      </c>
      <c r="AK216" s="99">
        <f t="shared" si="143"/>
        <v>3281.211989</v>
      </c>
      <c r="AL216" s="99">
        <f t="shared" si="143"/>
        <v>3346.836229</v>
      </c>
      <c r="AM216" s="99">
        <f t="shared" si="143"/>
        <v>3413.772953</v>
      </c>
      <c r="AN216" s="99">
        <f t="shared" si="143"/>
        <v>3482.048412</v>
      </c>
      <c r="AO216" s="99">
        <f t="shared" si="143"/>
        <v>3551.689381</v>
      </c>
      <c r="AP216" s="99">
        <f t="shared" si="143"/>
        <v>3622.723168</v>
      </c>
      <c r="AQ216" s="99">
        <f t="shared" si="143"/>
        <v>3695.177632</v>
      </c>
      <c r="AR216" s="99">
        <f t="shared" si="143"/>
        <v>3769.081184</v>
      </c>
      <c r="AS216" s="99">
        <f t="shared" si="143"/>
        <v>3844.462808</v>
      </c>
      <c r="AT216" s="99">
        <f t="shared" si="143"/>
        <v>3921.352064</v>
      </c>
      <c r="AU216" s="99">
        <f t="shared" si="143"/>
        <v>3999.779105</v>
      </c>
      <c r="AV216" s="99">
        <f t="shared" si="143"/>
        <v>4079.774687</v>
      </c>
      <c r="AW216" s="90"/>
      <c r="AX216" s="90"/>
      <c r="AY216" s="90"/>
      <c r="AZ216" s="90"/>
      <c r="BA216" s="90"/>
      <c r="BB216" s="90"/>
      <c r="BC216" s="90"/>
      <c r="BD216" s="90"/>
      <c r="BE216" s="90"/>
      <c r="BF216" s="90"/>
      <c r="BG216" s="90"/>
      <c r="BH216" s="90"/>
      <c r="BI216" s="90"/>
      <c r="BJ216" s="90"/>
      <c r="BK216" s="90"/>
      <c r="BL216" s="90"/>
      <c r="BM216" s="90"/>
      <c r="BN216" s="90"/>
      <c r="BO216" s="90"/>
      <c r="BP216" s="90"/>
      <c r="BQ216" s="90"/>
    </row>
    <row r="217" ht="12.75" hidden="1" customHeight="1" outlineLevel="1">
      <c r="A217" s="316"/>
      <c r="B217" s="90"/>
      <c r="C217" s="90" t="s">
        <v>757</v>
      </c>
      <c r="D217" s="90"/>
      <c r="E217" s="90"/>
      <c r="F217" s="90"/>
      <c r="G217" s="254"/>
      <c r="H217" s="254"/>
      <c r="I217" s="254"/>
      <c r="J217" s="254"/>
      <c r="K217" s="99"/>
      <c r="L217" s="99"/>
      <c r="M217" s="99"/>
      <c r="N217" s="99"/>
      <c r="O217" s="99"/>
      <c r="P217" s="99"/>
      <c r="Q217" s="99"/>
      <c r="R217" s="99"/>
      <c r="S217" s="99"/>
      <c r="T217" s="99"/>
      <c r="U217" s="99"/>
      <c r="V217" s="99"/>
      <c r="W217" s="99"/>
      <c r="X217" s="99"/>
      <c r="Y217" s="99"/>
      <c r="Z217" s="99"/>
      <c r="AA217" s="99"/>
      <c r="AB217" s="99"/>
      <c r="AC217" s="99"/>
      <c r="AD217" s="99"/>
      <c r="AE217" s="99"/>
      <c r="AF217" s="99"/>
      <c r="AG217" s="99"/>
      <c r="AH217" s="99"/>
      <c r="AI217" s="99"/>
      <c r="AJ217" s="99"/>
      <c r="AK217" s="99"/>
      <c r="AL217" s="99"/>
      <c r="AM217" s="99"/>
      <c r="AN217" s="99"/>
      <c r="AO217" s="99"/>
      <c r="AP217" s="99"/>
      <c r="AQ217" s="99"/>
      <c r="AR217" s="99"/>
      <c r="AS217" s="99"/>
      <c r="AT217" s="99"/>
      <c r="AU217" s="99"/>
      <c r="AV217" s="99"/>
      <c r="AW217" s="67"/>
      <c r="AX217" s="90"/>
      <c r="AY217" s="90"/>
      <c r="AZ217" s="90"/>
      <c r="BA217" s="90"/>
      <c r="BB217" s="90"/>
      <c r="BC217" s="90"/>
      <c r="BD217" s="90"/>
      <c r="BE217" s="90"/>
      <c r="BF217" s="90"/>
      <c r="BG217" s="90"/>
      <c r="BH217" s="90"/>
      <c r="BI217" s="90"/>
      <c r="BJ217" s="90"/>
      <c r="BK217" s="90"/>
      <c r="BL217" s="90"/>
      <c r="BM217" s="90"/>
      <c r="BN217" s="90"/>
      <c r="BO217" s="90"/>
      <c r="BP217" s="90"/>
      <c r="BQ217" s="90"/>
    </row>
    <row r="218" ht="12.75" hidden="1" customHeight="1" outlineLevel="1">
      <c r="A218" s="316"/>
      <c r="B218" s="90"/>
      <c r="C218" s="90"/>
      <c r="D218" s="90" t="s">
        <v>339</v>
      </c>
      <c r="E218" s="90"/>
      <c r="F218" s="90"/>
      <c r="G218" s="254"/>
      <c r="H218" s="254"/>
      <c r="I218" s="254"/>
      <c r="J218" s="254"/>
      <c r="K218" s="99">
        <v>3280.0</v>
      </c>
      <c r="L218" s="99">
        <f>'RSGen 1-7'!I219</f>
        <v>3280</v>
      </c>
      <c r="M218" s="99">
        <f>'RSGen 1-7'!J219</f>
        <v>600</v>
      </c>
      <c r="N218" s="99">
        <f t="shared" ref="N218:AV218" si="144">M218*(1+N$195)</f>
        <v>612</v>
      </c>
      <c r="O218" s="99">
        <f t="shared" si="144"/>
        <v>624.24</v>
      </c>
      <c r="P218" s="99">
        <f t="shared" si="144"/>
        <v>636.7248</v>
      </c>
      <c r="Q218" s="99">
        <f t="shared" si="144"/>
        <v>649.459296</v>
      </c>
      <c r="R218" s="99">
        <f t="shared" si="144"/>
        <v>662.4484819</v>
      </c>
      <c r="S218" s="99">
        <f t="shared" si="144"/>
        <v>675.6974516</v>
      </c>
      <c r="T218" s="99">
        <f t="shared" si="144"/>
        <v>689.2114006</v>
      </c>
      <c r="U218" s="99">
        <f t="shared" si="144"/>
        <v>702.9956286</v>
      </c>
      <c r="V218" s="99">
        <f t="shared" si="144"/>
        <v>717.0555412</v>
      </c>
      <c r="W218" s="99">
        <f t="shared" si="144"/>
        <v>731.396652</v>
      </c>
      <c r="X218" s="99">
        <f t="shared" si="144"/>
        <v>746.024585</v>
      </c>
      <c r="Y218" s="99">
        <f t="shared" si="144"/>
        <v>760.9450767</v>
      </c>
      <c r="Z218" s="99">
        <f t="shared" si="144"/>
        <v>776.1639783</v>
      </c>
      <c r="AA218" s="99">
        <f t="shared" si="144"/>
        <v>791.6872578</v>
      </c>
      <c r="AB218" s="99">
        <f t="shared" si="144"/>
        <v>807.521003</v>
      </c>
      <c r="AC218" s="99">
        <f t="shared" si="144"/>
        <v>823.6714231</v>
      </c>
      <c r="AD218" s="99">
        <f t="shared" si="144"/>
        <v>840.1448515</v>
      </c>
      <c r="AE218" s="99">
        <f t="shared" si="144"/>
        <v>856.9477485</v>
      </c>
      <c r="AF218" s="99">
        <f t="shared" si="144"/>
        <v>874.0867035</v>
      </c>
      <c r="AG218" s="99">
        <f t="shared" si="144"/>
        <v>891.5684376</v>
      </c>
      <c r="AH218" s="99">
        <f t="shared" si="144"/>
        <v>909.3998063</v>
      </c>
      <c r="AI218" s="99">
        <f t="shared" si="144"/>
        <v>927.5878025</v>
      </c>
      <c r="AJ218" s="99">
        <f t="shared" si="144"/>
        <v>946.1395585</v>
      </c>
      <c r="AK218" s="99">
        <f t="shared" si="144"/>
        <v>965.0623497</v>
      </c>
      <c r="AL218" s="99">
        <f t="shared" si="144"/>
        <v>984.3635967</v>
      </c>
      <c r="AM218" s="99">
        <f t="shared" si="144"/>
        <v>1004.050869</v>
      </c>
      <c r="AN218" s="99">
        <f t="shared" si="144"/>
        <v>1024.131886</v>
      </c>
      <c r="AO218" s="99">
        <f t="shared" si="144"/>
        <v>1044.614524</v>
      </c>
      <c r="AP218" s="99">
        <f t="shared" si="144"/>
        <v>1065.506814</v>
      </c>
      <c r="AQ218" s="99">
        <f t="shared" si="144"/>
        <v>1086.81695</v>
      </c>
      <c r="AR218" s="99">
        <f t="shared" si="144"/>
        <v>1108.553289</v>
      </c>
      <c r="AS218" s="99">
        <f t="shared" si="144"/>
        <v>1130.724355</v>
      </c>
      <c r="AT218" s="99">
        <f t="shared" si="144"/>
        <v>1153.338842</v>
      </c>
      <c r="AU218" s="99">
        <f t="shared" si="144"/>
        <v>1176.405619</v>
      </c>
      <c r="AV218" s="99">
        <f t="shared" si="144"/>
        <v>1199.933732</v>
      </c>
      <c r="AW218" s="67"/>
      <c r="AX218" s="90"/>
      <c r="AY218" s="90"/>
      <c r="AZ218" s="90"/>
      <c r="BA218" s="90"/>
      <c r="BB218" s="90"/>
      <c r="BC218" s="90"/>
      <c r="BD218" s="90"/>
      <c r="BE218" s="90"/>
      <c r="BF218" s="90"/>
      <c r="BG218" s="90"/>
      <c r="BH218" s="90"/>
      <c r="BI218" s="90"/>
      <c r="BJ218" s="90"/>
      <c r="BK218" s="90"/>
      <c r="BL218" s="90"/>
      <c r="BM218" s="90"/>
      <c r="BN218" s="90"/>
      <c r="BO218" s="90"/>
      <c r="BP218" s="90"/>
      <c r="BQ218" s="90"/>
    </row>
    <row r="219" ht="12.75" hidden="1" customHeight="1" outlineLevel="1">
      <c r="A219" s="316"/>
      <c r="B219" s="90"/>
      <c r="C219" s="90"/>
      <c r="D219" s="90" t="s">
        <v>758</v>
      </c>
      <c r="E219" s="90"/>
      <c r="F219" s="90"/>
      <c r="G219" s="254"/>
      <c r="H219" s="254"/>
      <c r="I219" s="254"/>
      <c r="J219" s="254"/>
      <c r="K219" s="99">
        <v>0.0</v>
      </c>
      <c r="L219" s="99">
        <f>'RSGen 1-7'!I220</f>
        <v>20000</v>
      </c>
      <c r="M219" s="99">
        <f>'RSGen 1-7'!J220</f>
        <v>30000</v>
      </c>
      <c r="N219" s="99">
        <f t="shared" ref="N219:AV219" si="145">M219*(1+N$195)</f>
        <v>30600</v>
      </c>
      <c r="O219" s="99">
        <f t="shared" si="145"/>
        <v>31212</v>
      </c>
      <c r="P219" s="99">
        <f t="shared" si="145"/>
        <v>31836.24</v>
      </c>
      <c r="Q219" s="99">
        <f t="shared" si="145"/>
        <v>32472.9648</v>
      </c>
      <c r="R219" s="99">
        <f t="shared" si="145"/>
        <v>33122.4241</v>
      </c>
      <c r="S219" s="99">
        <f t="shared" si="145"/>
        <v>33784.87258</v>
      </c>
      <c r="T219" s="99">
        <f t="shared" si="145"/>
        <v>34460.57003</v>
      </c>
      <c r="U219" s="99">
        <f t="shared" si="145"/>
        <v>35149.78143</v>
      </c>
      <c r="V219" s="99">
        <f t="shared" si="145"/>
        <v>35852.77706</v>
      </c>
      <c r="W219" s="99">
        <f t="shared" si="145"/>
        <v>36569.8326</v>
      </c>
      <c r="X219" s="99">
        <f t="shared" si="145"/>
        <v>37301.22925</v>
      </c>
      <c r="Y219" s="99">
        <f t="shared" si="145"/>
        <v>38047.25384</v>
      </c>
      <c r="Z219" s="99">
        <f t="shared" si="145"/>
        <v>38808.19891</v>
      </c>
      <c r="AA219" s="99">
        <f t="shared" si="145"/>
        <v>39584.36289</v>
      </c>
      <c r="AB219" s="99">
        <f t="shared" si="145"/>
        <v>40376.05015</v>
      </c>
      <c r="AC219" s="99">
        <f t="shared" si="145"/>
        <v>41183.57115</v>
      </c>
      <c r="AD219" s="99">
        <f t="shared" si="145"/>
        <v>42007.24258</v>
      </c>
      <c r="AE219" s="99">
        <f t="shared" si="145"/>
        <v>42847.38743</v>
      </c>
      <c r="AF219" s="99">
        <f t="shared" si="145"/>
        <v>43704.33518</v>
      </c>
      <c r="AG219" s="99">
        <f t="shared" si="145"/>
        <v>44578.42188</v>
      </c>
      <c r="AH219" s="99">
        <f t="shared" si="145"/>
        <v>45469.99032</v>
      </c>
      <c r="AI219" s="99">
        <f t="shared" si="145"/>
        <v>46379.39012</v>
      </c>
      <c r="AJ219" s="99">
        <f t="shared" si="145"/>
        <v>47306.97793</v>
      </c>
      <c r="AK219" s="99">
        <f t="shared" si="145"/>
        <v>48253.11748</v>
      </c>
      <c r="AL219" s="99">
        <f t="shared" si="145"/>
        <v>49218.17983</v>
      </c>
      <c r="AM219" s="99">
        <f t="shared" si="145"/>
        <v>50202.54343</v>
      </c>
      <c r="AN219" s="99">
        <f t="shared" si="145"/>
        <v>51206.5943</v>
      </c>
      <c r="AO219" s="99">
        <f t="shared" si="145"/>
        <v>52230.72619</v>
      </c>
      <c r="AP219" s="99">
        <f t="shared" si="145"/>
        <v>53275.34071</v>
      </c>
      <c r="AQ219" s="99">
        <f t="shared" si="145"/>
        <v>54340.84752</v>
      </c>
      <c r="AR219" s="99">
        <f t="shared" si="145"/>
        <v>55427.66447</v>
      </c>
      <c r="AS219" s="99">
        <f t="shared" si="145"/>
        <v>56536.21776</v>
      </c>
      <c r="AT219" s="99">
        <f t="shared" si="145"/>
        <v>57666.94212</v>
      </c>
      <c r="AU219" s="99">
        <f t="shared" si="145"/>
        <v>58820.28096</v>
      </c>
      <c r="AV219" s="99">
        <f t="shared" si="145"/>
        <v>59996.68658</v>
      </c>
      <c r="AW219" s="67"/>
      <c r="AX219" s="90"/>
      <c r="AY219" s="90"/>
      <c r="AZ219" s="90"/>
      <c r="BA219" s="90"/>
      <c r="BB219" s="90"/>
      <c r="BC219" s="90"/>
      <c r="BD219" s="90"/>
      <c r="BE219" s="90"/>
      <c r="BF219" s="90"/>
      <c r="BG219" s="90"/>
      <c r="BH219" s="90"/>
      <c r="BI219" s="90"/>
      <c r="BJ219" s="90"/>
      <c r="BK219" s="90"/>
      <c r="BL219" s="90"/>
      <c r="BM219" s="90"/>
      <c r="BN219" s="90"/>
      <c r="BO219" s="90"/>
      <c r="BP219" s="90"/>
      <c r="BQ219" s="90"/>
    </row>
    <row r="220" ht="12.75" hidden="1" customHeight="1" outlineLevel="1">
      <c r="A220" s="316"/>
      <c r="B220" s="90"/>
      <c r="C220" s="90"/>
      <c r="D220" s="90" t="s">
        <v>376</v>
      </c>
      <c r="E220" s="90"/>
      <c r="F220" s="90"/>
      <c r="G220" s="254"/>
      <c r="H220" s="254"/>
      <c r="I220" s="254"/>
      <c r="J220" s="254"/>
      <c r="K220" s="99">
        <v>0.0</v>
      </c>
      <c r="L220" s="99">
        <f>'RSGen 1-7'!I221</f>
        <v>8000</v>
      </c>
      <c r="M220" s="99">
        <f t="shared" ref="M220:AV220" si="146">L220*(1+M$195)</f>
        <v>8160</v>
      </c>
      <c r="N220" s="99">
        <f t="shared" si="146"/>
        <v>8323.2</v>
      </c>
      <c r="O220" s="99">
        <f t="shared" si="146"/>
        <v>8489.664</v>
      </c>
      <c r="P220" s="93">
        <f t="shared" si="146"/>
        <v>8659.45728</v>
      </c>
      <c r="Q220" s="93">
        <f t="shared" si="146"/>
        <v>8832.646426</v>
      </c>
      <c r="R220" s="93">
        <f t="shared" si="146"/>
        <v>9009.299354</v>
      </c>
      <c r="S220" s="93">
        <f t="shared" si="146"/>
        <v>9189.485341</v>
      </c>
      <c r="T220" s="93">
        <f t="shared" si="146"/>
        <v>9373.275048</v>
      </c>
      <c r="U220" s="93">
        <f t="shared" si="146"/>
        <v>9560.740549</v>
      </c>
      <c r="V220" s="93">
        <f t="shared" si="146"/>
        <v>9751.95536</v>
      </c>
      <c r="W220" s="93">
        <f t="shared" si="146"/>
        <v>9946.994467</v>
      </c>
      <c r="X220" s="93">
        <f t="shared" si="146"/>
        <v>10145.93436</v>
      </c>
      <c r="Y220" s="93">
        <f t="shared" si="146"/>
        <v>10348.85304</v>
      </c>
      <c r="Z220" s="93">
        <f t="shared" si="146"/>
        <v>10555.8301</v>
      </c>
      <c r="AA220" s="93">
        <f t="shared" si="146"/>
        <v>10766.94671</v>
      </c>
      <c r="AB220" s="93">
        <f t="shared" si="146"/>
        <v>10982.28564</v>
      </c>
      <c r="AC220" s="93">
        <f t="shared" si="146"/>
        <v>11201.93135</v>
      </c>
      <c r="AD220" s="93">
        <f t="shared" si="146"/>
        <v>11425.96998</v>
      </c>
      <c r="AE220" s="93">
        <f t="shared" si="146"/>
        <v>11654.48938</v>
      </c>
      <c r="AF220" s="93">
        <f t="shared" si="146"/>
        <v>11887.57917</v>
      </c>
      <c r="AG220" s="93">
        <f t="shared" si="146"/>
        <v>12125.33075</v>
      </c>
      <c r="AH220" s="93">
        <f t="shared" si="146"/>
        <v>12367.83737</v>
      </c>
      <c r="AI220" s="93">
        <f t="shared" si="146"/>
        <v>12615.19411</v>
      </c>
      <c r="AJ220" s="93">
        <f t="shared" si="146"/>
        <v>12867.498</v>
      </c>
      <c r="AK220" s="93">
        <f t="shared" si="146"/>
        <v>13124.84796</v>
      </c>
      <c r="AL220" s="93">
        <f t="shared" si="146"/>
        <v>13387.34491</v>
      </c>
      <c r="AM220" s="93">
        <f t="shared" si="146"/>
        <v>13655.09181</v>
      </c>
      <c r="AN220" s="93">
        <f t="shared" si="146"/>
        <v>13928.19365</v>
      </c>
      <c r="AO220" s="93">
        <f t="shared" si="146"/>
        <v>14206.75752</v>
      </c>
      <c r="AP220" s="93">
        <f t="shared" si="146"/>
        <v>14490.89267</v>
      </c>
      <c r="AQ220" s="93">
        <f t="shared" si="146"/>
        <v>14780.71053</v>
      </c>
      <c r="AR220" s="93">
        <f t="shared" si="146"/>
        <v>15076.32474</v>
      </c>
      <c r="AS220" s="93">
        <f t="shared" si="146"/>
        <v>15377.85123</v>
      </c>
      <c r="AT220" s="93">
        <f t="shared" si="146"/>
        <v>15685.40826</v>
      </c>
      <c r="AU220" s="93">
        <f t="shared" si="146"/>
        <v>15999.11642</v>
      </c>
      <c r="AV220" s="93">
        <f t="shared" si="146"/>
        <v>16319.09875</v>
      </c>
      <c r="AW220" s="115"/>
      <c r="AX220" s="93"/>
      <c r="AY220" s="93"/>
      <c r="AZ220" s="90"/>
      <c r="BA220" s="90"/>
      <c r="BB220" s="90"/>
      <c r="BC220" s="90"/>
      <c r="BD220" s="90"/>
      <c r="BE220" s="90"/>
      <c r="BF220" s="90"/>
      <c r="BG220" s="90"/>
      <c r="BH220" s="90"/>
      <c r="BI220" s="90"/>
      <c r="BJ220" s="90"/>
      <c r="BK220" s="90"/>
      <c r="BL220" s="90"/>
      <c r="BM220" s="90"/>
      <c r="BN220" s="90"/>
      <c r="BO220" s="90"/>
      <c r="BP220" s="90"/>
      <c r="BQ220" s="90"/>
    </row>
    <row r="221" ht="12.75" hidden="1" customHeight="1" outlineLevel="1">
      <c r="A221" s="316"/>
      <c r="B221" s="90"/>
      <c r="C221" s="90"/>
      <c r="D221" s="90" t="s">
        <v>759</v>
      </c>
      <c r="E221" s="90"/>
      <c r="F221" s="90"/>
      <c r="G221" s="254"/>
      <c r="H221" s="254"/>
      <c r="I221" s="254"/>
      <c r="J221" s="254"/>
      <c r="K221" s="99">
        <v>2500.0</v>
      </c>
      <c r="L221" s="99">
        <f>'RSGen 1-7'!I222</f>
        <v>1000</v>
      </c>
      <c r="M221" s="99">
        <f>'RSGen 1-7'!J222</f>
        <v>1000</v>
      </c>
      <c r="N221" s="99">
        <f t="shared" ref="N221:AV221" si="147">M221*(1+N$195)</f>
        <v>1020</v>
      </c>
      <c r="O221" s="99">
        <f t="shared" si="147"/>
        <v>1040.4</v>
      </c>
      <c r="P221" s="93">
        <f t="shared" si="147"/>
        <v>1061.208</v>
      </c>
      <c r="Q221" s="93">
        <f t="shared" si="147"/>
        <v>1082.43216</v>
      </c>
      <c r="R221" s="93">
        <f t="shared" si="147"/>
        <v>1104.080803</v>
      </c>
      <c r="S221" s="93">
        <f t="shared" si="147"/>
        <v>1126.162419</v>
      </c>
      <c r="T221" s="93">
        <f t="shared" si="147"/>
        <v>1148.685668</v>
      </c>
      <c r="U221" s="93">
        <f t="shared" si="147"/>
        <v>1171.659381</v>
      </c>
      <c r="V221" s="93">
        <f t="shared" si="147"/>
        <v>1195.092569</v>
      </c>
      <c r="W221" s="93">
        <f t="shared" si="147"/>
        <v>1218.99442</v>
      </c>
      <c r="X221" s="93">
        <f t="shared" si="147"/>
        <v>1243.374308</v>
      </c>
      <c r="Y221" s="93">
        <f t="shared" si="147"/>
        <v>1268.241795</v>
      </c>
      <c r="Z221" s="93">
        <f t="shared" si="147"/>
        <v>1293.60663</v>
      </c>
      <c r="AA221" s="93">
        <f t="shared" si="147"/>
        <v>1319.478763</v>
      </c>
      <c r="AB221" s="93">
        <f t="shared" si="147"/>
        <v>1345.868338</v>
      </c>
      <c r="AC221" s="93">
        <f t="shared" si="147"/>
        <v>1372.785705</v>
      </c>
      <c r="AD221" s="93">
        <f t="shared" si="147"/>
        <v>1400.241419</v>
      </c>
      <c r="AE221" s="93">
        <f t="shared" si="147"/>
        <v>1428.246248</v>
      </c>
      <c r="AF221" s="93">
        <f t="shared" si="147"/>
        <v>1456.811173</v>
      </c>
      <c r="AG221" s="93">
        <f t="shared" si="147"/>
        <v>1485.947396</v>
      </c>
      <c r="AH221" s="93">
        <f t="shared" si="147"/>
        <v>1515.666344</v>
      </c>
      <c r="AI221" s="93">
        <f t="shared" si="147"/>
        <v>1545.979671</v>
      </c>
      <c r="AJ221" s="93">
        <f t="shared" si="147"/>
        <v>1576.899264</v>
      </c>
      <c r="AK221" s="93">
        <f t="shared" si="147"/>
        <v>1608.437249</v>
      </c>
      <c r="AL221" s="93">
        <f t="shared" si="147"/>
        <v>1640.605994</v>
      </c>
      <c r="AM221" s="93">
        <f t="shared" si="147"/>
        <v>1673.418114</v>
      </c>
      <c r="AN221" s="93">
        <f t="shared" si="147"/>
        <v>1706.886477</v>
      </c>
      <c r="AO221" s="93">
        <f t="shared" si="147"/>
        <v>1741.024206</v>
      </c>
      <c r="AP221" s="93">
        <f t="shared" si="147"/>
        <v>1775.84469</v>
      </c>
      <c r="AQ221" s="93">
        <f t="shared" si="147"/>
        <v>1811.361584</v>
      </c>
      <c r="AR221" s="93">
        <f t="shared" si="147"/>
        <v>1847.588816</v>
      </c>
      <c r="AS221" s="93">
        <f t="shared" si="147"/>
        <v>1884.540592</v>
      </c>
      <c r="AT221" s="93">
        <f t="shared" si="147"/>
        <v>1922.231404</v>
      </c>
      <c r="AU221" s="93">
        <f t="shared" si="147"/>
        <v>1960.676032</v>
      </c>
      <c r="AV221" s="93">
        <f t="shared" si="147"/>
        <v>1999.889553</v>
      </c>
      <c r="AW221" s="115"/>
      <c r="AX221" s="93"/>
      <c r="AY221" s="93"/>
      <c r="AZ221" s="90"/>
      <c r="BA221" s="90"/>
      <c r="BB221" s="90"/>
      <c r="BC221" s="90"/>
      <c r="BD221" s="90"/>
      <c r="BE221" s="90"/>
      <c r="BF221" s="90"/>
      <c r="BG221" s="90"/>
      <c r="BH221" s="90"/>
      <c r="BI221" s="90"/>
      <c r="BJ221" s="90"/>
      <c r="BK221" s="90"/>
      <c r="BL221" s="90"/>
      <c r="BM221" s="90"/>
      <c r="BN221" s="90"/>
      <c r="BO221" s="90"/>
      <c r="BP221" s="90"/>
      <c r="BQ221" s="90"/>
    </row>
    <row r="222" ht="12.75" hidden="1" customHeight="1" outlineLevel="1">
      <c r="A222" s="316"/>
      <c r="B222" s="90"/>
      <c r="C222" s="90"/>
      <c r="D222" s="90" t="s">
        <v>760</v>
      </c>
      <c r="E222" s="90"/>
      <c r="F222" s="90"/>
      <c r="G222" s="254"/>
      <c r="H222" s="254"/>
      <c r="I222" s="254"/>
      <c r="J222" s="254"/>
      <c r="K222" s="99">
        <v>15000.0</v>
      </c>
      <c r="L222" s="99">
        <f>'RSGen 1-7'!I223</f>
        <v>5000</v>
      </c>
      <c r="M222" s="99">
        <f>'RSGen 1-7'!J223</f>
        <v>5000</v>
      </c>
      <c r="N222" s="99">
        <f t="shared" ref="N222:AV222" si="148">M222*(1+N$195)</f>
        <v>5100</v>
      </c>
      <c r="O222" s="99">
        <f t="shared" si="148"/>
        <v>5202</v>
      </c>
      <c r="P222" s="93">
        <f t="shared" si="148"/>
        <v>5306.04</v>
      </c>
      <c r="Q222" s="93">
        <f t="shared" si="148"/>
        <v>5412.1608</v>
      </c>
      <c r="R222" s="93">
        <f t="shared" si="148"/>
        <v>5520.404016</v>
      </c>
      <c r="S222" s="93">
        <f t="shared" si="148"/>
        <v>5630.812096</v>
      </c>
      <c r="T222" s="93">
        <f t="shared" si="148"/>
        <v>5743.428338</v>
      </c>
      <c r="U222" s="93">
        <f t="shared" si="148"/>
        <v>5858.296905</v>
      </c>
      <c r="V222" s="93">
        <f t="shared" si="148"/>
        <v>5975.462843</v>
      </c>
      <c r="W222" s="93">
        <f t="shared" si="148"/>
        <v>6094.9721</v>
      </c>
      <c r="X222" s="93">
        <f t="shared" si="148"/>
        <v>6216.871542</v>
      </c>
      <c r="Y222" s="93">
        <f t="shared" si="148"/>
        <v>6341.208973</v>
      </c>
      <c r="Z222" s="93">
        <f t="shared" si="148"/>
        <v>6468.033152</v>
      </c>
      <c r="AA222" s="93">
        <f t="shared" si="148"/>
        <v>6597.393815</v>
      </c>
      <c r="AB222" s="93">
        <f t="shared" si="148"/>
        <v>6729.341692</v>
      </c>
      <c r="AC222" s="93">
        <f t="shared" si="148"/>
        <v>6863.928525</v>
      </c>
      <c r="AD222" s="93">
        <f t="shared" si="148"/>
        <v>7001.207096</v>
      </c>
      <c r="AE222" s="93">
        <f t="shared" si="148"/>
        <v>7141.231238</v>
      </c>
      <c r="AF222" s="93">
        <f t="shared" si="148"/>
        <v>7284.055863</v>
      </c>
      <c r="AG222" s="93">
        <f t="shared" si="148"/>
        <v>7429.73698</v>
      </c>
      <c r="AH222" s="93">
        <f t="shared" si="148"/>
        <v>7578.331719</v>
      </c>
      <c r="AI222" s="93">
        <f t="shared" si="148"/>
        <v>7729.898354</v>
      </c>
      <c r="AJ222" s="93">
        <f t="shared" si="148"/>
        <v>7884.496321</v>
      </c>
      <c r="AK222" s="93">
        <f t="shared" si="148"/>
        <v>8042.186247</v>
      </c>
      <c r="AL222" s="93">
        <f t="shared" si="148"/>
        <v>8203.029972</v>
      </c>
      <c r="AM222" s="93">
        <f t="shared" si="148"/>
        <v>8367.090572</v>
      </c>
      <c r="AN222" s="93">
        <f t="shared" si="148"/>
        <v>8534.432383</v>
      </c>
      <c r="AO222" s="93">
        <f t="shared" si="148"/>
        <v>8705.121031</v>
      </c>
      <c r="AP222" s="93">
        <f t="shared" si="148"/>
        <v>8879.223451</v>
      </c>
      <c r="AQ222" s="93">
        <f t="shared" si="148"/>
        <v>9056.807921</v>
      </c>
      <c r="AR222" s="93">
        <f t="shared" si="148"/>
        <v>9237.944079</v>
      </c>
      <c r="AS222" s="93">
        <f t="shared" si="148"/>
        <v>9422.702961</v>
      </c>
      <c r="AT222" s="93">
        <f t="shared" si="148"/>
        <v>9611.15702</v>
      </c>
      <c r="AU222" s="93">
        <f t="shared" si="148"/>
        <v>9803.38016</v>
      </c>
      <c r="AV222" s="93">
        <f t="shared" si="148"/>
        <v>9999.447763</v>
      </c>
      <c r="AW222" s="115"/>
      <c r="AX222" s="93"/>
      <c r="AY222" s="93"/>
      <c r="AZ222" s="90"/>
      <c r="BA222" s="90"/>
      <c r="BB222" s="90"/>
      <c r="BC222" s="90"/>
      <c r="BD222" s="90"/>
      <c r="BE222" s="90"/>
      <c r="BF222" s="90"/>
      <c r="BG222" s="90"/>
      <c r="BH222" s="90"/>
      <c r="BI222" s="90"/>
      <c r="BJ222" s="90"/>
      <c r="BK222" s="90"/>
      <c r="BL222" s="90"/>
      <c r="BM222" s="90"/>
      <c r="BN222" s="90"/>
      <c r="BO222" s="90"/>
      <c r="BP222" s="90"/>
      <c r="BQ222" s="90"/>
    </row>
    <row r="223" ht="12.75" hidden="1" customHeight="1" outlineLevel="1">
      <c r="A223" s="316"/>
      <c r="B223" s="90"/>
      <c r="C223" s="90"/>
      <c r="D223" s="90" t="s">
        <v>761</v>
      </c>
      <c r="E223" s="90"/>
      <c r="F223" s="90"/>
      <c r="G223" s="254"/>
      <c r="H223" s="254"/>
      <c r="I223" s="254"/>
      <c r="J223" s="254"/>
      <c r="K223" s="99">
        <v>2000.0</v>
      </c>
      <c r="L223" s="99" t="str">
        <f>'RSGen 1-7'!I224</f>
        <v/>
      </c>
      <c r="M223" s="99" t="str">
        <f>'RSGen 1-7'!J224</f>
        <v/>
      </c>
      <c r="N223" s="99">
        <f t="shared" ref="N223:AV223" si="149">M223*(1+N$195)</f>
        <v>0</v>
      </c>
      <c r="O223" s="99">
        <f t="shared" si="149"/>
        <v>0</v>
      </c>
      <c r="P223" s="93">
        <f t="shared" si="149"/>
        <v>0</v>
      </c>
      <c r="Q223" s="93">
        <f t="shared" si="149"/>
        <v>0</v>
      </c>
      <c r="R223" s="93">
        <f t="shared" si="149"/>
        <v>0</v>
      </c>
      <c r="S223" s="93">
        <f t="shared" si="149"/>
        <v>0</v>
      </c>
      <c r="T223" s="93">
        <f t="shared" si="149"/>
        <v>0</v>
      </c>
      <c r="U223" s="93">
        <f t="shared" si="149"/>
        <v>0</v>
      </c>
      <c r="V223" s="93">
        <f t="shared" si="149"/>
        <v>0</v>
      </c>
      <c r="W223" s="93">
        <f t="shared" si="149"/>
        <v>0</v>
      </c>
      <c r="X223" s="93">
        <f t="shared" si="149"/>
        <v>0</v>
      </c>
      <c r="Y223" s="93">
        <f t="shared" si="149"/>
        <v>0</v>
      </c>
      <c r="Z223" s="93">
        <f t="shared" si="149"/>
        <v>0</v>
      </c>
      <c r="AA223" s="93">
        <f t="shared" si="149"/>
        <v>0</v>
      </c>
      <c r="AB223" s="93">
        <f t="shared" si="149"/>
        <v>0</v>
      </c>
      <c r="AC223" s="93">
        <f t="shared" si="149"/>
        <v>0</v>
      </c>
      <c r="AD223" s="93">
        <f t="shared" si="149"/>
        <v>0</v>
      </c>
      <c r="AE223" s="93">
        <f t="shared" si="149"/>
        <v>0</v>
      </c>
      <c r="AF223" s="93">
        <f t="shared" si="149"/>
        <v>0</v>
      </c>
      <c r="AG223" s="93">
        <f t="shared" si="149"/>
        <v>0</v>
      </c>
      <c r="AH223" s="93">
        <f t="shared" si="149"/>
        <v>0</v>
      </c>
      <c r="AI223" s="93">
        <f t="shared" si="149"/>
        <v>0</v>
      </c>
      <c r="AJ223" s="93">
        <f t="shared" si="149"/>
        <v>0</v>
      </c>
      <c r="AK223" s="93">
        <f t="shared" si="149"/>
        <v>0</v>
      </c>
      <c r="AL223" s="93">
        <f t="shared" si="149"/>
        <v>0</v>
      </c>
      <c r="AM223" s="93">
        <f t="shared" si="149"/>
        <v>0</v>
      </c>
      <c r="AN223" s="93">
        <f t="shared" si="149"/>
        <v>0</v>
      </c>
      <c r="AO223" s="93">
        <f t="shared" si="149"/>
        <v>0</v>
      </c>
      <c r="AP223" s="93">
        <f t="shared" si="149"/>
        <v>0</v>
      </c>
      <c r="AQ223" s="93">
        <f t="shared" si="149"/>
        <v>0</v>
      </c>
      <c r="AR223" s="93">
        <f t="shared" si="149"/>
        <v>0</v>
      </c>
      <c r="AS223" s="93">
        <f t="shared" si="149"/>
        <v>0</v>
      </c>
      <c r="AT223" s="93">
        <f t="shared" si="149"/>
        <v>0</v>
      </c>
      <c r="AU223" s="93">
        <f t="shared" si="149"/>
        <v>0</v>
      </c>
      <c r="AV223" s="93">
        <f t="shared" si="149"/>
        <v>0</v>
      </c>
      <c r="AW223" s="115"/>
      <c r="AX223" s="93"/>
      <c r="AY223" s="93"/>
      <c r="AZ223" s="90"/>
      <c r="BA223" s="90"/>
      <c r="BB223" s="90"/>
      <c r="BC223" s="90"/>
      <c r="BD223" s="90"/>
      <c r="BE223" s="90"/>
      <c r="BF223" s="90"/>
      <c r="BG223" s="90"/>
      <c r="BH223" s="90"/>
      <c r="BI223" s="90"/>
      <c r="BJ223" s="90"/>
      <c r="BK223" s="90"/>
      <c r="BL223" s="90"/>
      <c r="BM223" s="90"/>
      <c r="BN223" s="90"/>
      <c r="BO223" s="90"/>
      <c r="BP223" s="90"/>
      <c r="BQ223" s="90"/>
    </row>
    <row r="224" ht="12.75" hidden="1" customHeight="1" outlineLevel="1">
      <c r="A224" s="316"/>
      <c r="B224" s="90"/>
      <c r="C224" s="90"/>
      <c r="D224" s="90" t="s">
        <v>762</v>
      </c>
      <c r="E224" s="90"/>
      <c r="F224" s="90"/>
      <c r="G224" s="254"/>
      <c r="H224" s="254"/>
      <c r="I224" s="254"/>
      <c r="J224" s="254"/>
      <c r="K224" s="99">
        <v>0.0</v>
      </c>
      <c r="L224" s="99">
        <f>'RSGen 1-7'!I225</f>
        <v>6000</v>
      </c>
      <c r="M224" s="99">
        <f>'RSGen 1-7'!J225</f>
        <v>6000</v>
      </c>
      <c r="N224" s="99">
        <f t="shared" ref="N224:AV224" si="150">M224*(1+N$195)</f>
        <v>6120</v>
      </c>
      <c r="O224" s="99">
        <f t="shared" si="150"/>
        <v>6242.4</v>
      </c>
      <c r="P224" s="93">
        <f t="shared" si="150"/>
        <v>6367.248</v>
      </c>
      <c r="Q224" s="93">
        <f t="shared" si="150"/>
        <v>6494.59296</v>
      </c>
      <c r="R224" s="93">
        <f t="shared" si="150"/>
        <v>6624.484819</v>
      </c>
      <c r="S224" s="93">
        <f t="shared" si="150"/>
        <v>6756.974516</v>
      </c>
      <c r="T224" s="93">
        <f t="shared" si="150"/>
        <v>6892.114006</v>
      </c>
      <c r="U224" s="93">
        <f t="shared" si="150"/>
        <v>7029.956286</v>
      </c>
      <c r="V224" s="93">
        <f t="shared" si="150"/>
        <v>7170.555412</v>
      </c>
      <c r="W224" s="93">
        <f t="shared" si="150"/>
        <v>7313.96652</v>
      </c>
      <c r="X224" s="93">
        <f t="shared" si="150"/>
        <v>7460.24585</v>
      </c>
      <c r="Y224" s="93">
        <f t="shared" si="150"/>
        <v>7609.450767</v>
      </c>
      <c r="Z224" s="93">
        <f t="shared" si="150"/>
        <v>7761.639783</v>
      </c>
      <c r="AA224" s="93">
        <f t="shared" si="150"/>
        <v>7916.872578</v>
      </c>
      <c r="AB224" s="93">
        <f t="shared" si="150"/>
        <v>8075.21003</v>
      </c>
      <c r="AC224" s="93">
        <f t="shared" si="150"/>
        <v>8236.714231</v>
      </c>
      <c r="AD224" s="93">
        <f t="shared" si="150"/>
        <v>8401.448515</v>
      </c>
      <c r="AE224" s="93">
        <f t="shared" si="150"/>
        <v>8569.477485</v>
      </c>
      <c r="AF224" s="93">
        <f t="shared" si="150"/>
        <v>8740.867035</v>
      </c>
      <c r="AG224" s="93">
        <f t="shared" si="150"/>
        <v>8915.684376</v>
      </c>
      <c r="AH224" s="93">
        <f t="shared" si="150"/>
        <v>9093.998063</v>
      </c>
      <c r="AI224" s="93">
        <f t="shared" si="150"/>
        <v>9275.878025</v>
      </c>
      <c r="AJ224" s="93">
        <f t="shared" si="150"/>
        <v>9461.395585</v>
      </c>
      <c r="AK224" s="93">
        <f t="shared" si="150"/>
        <v>9650.623497</v>
      </c>
      <c r="AL224" s="93">
        <f t="shared" si="150"/>
        <v>9843.635967</v>
      </c>
      <c r="AM224" s="93">
        <f t="shared" si="150"/>
        <v>10040.50869</v>
      </c>
      <c r="AN224" s="93">
        <f t="shared" si="150"/>
        <v>10241.31886</v>
      </c>
      <c r="AO224" s="93">
        <f t="shared" si="150"/>
        <v>10446.14524</v>
      </c>
      <c r="AP224" s="93">
        <f t="shared" si="150"/>
        <v>10655.06814</v>
      </c>
      <c r="AQ224" s="93">
        <f t="shared" si="150"/>
        <v>10868.1695</v>
      </c>
      <c r="AR224" s="93">
        <f t="shared" si="150"/>
        <v>11085.53289</v>
      </c>
      <c r="AS224" s="93">
        <f t="shared" si="150"/>
        <v>11307.24355</v>
      </c>
      <c r="AT224" s="93">
        <f t="shared" si="150"/>
        <v>11533.38842</v>
      </c>
      <c r="AU224" s="93">
        <f t="shared" si="150"/>
        <v>11764.05619</v>
      </c>
      <c r="AV224" s="93">
        <f t="shared" si="150"/>
        <v>11999.33732</v>
      </c>
      <c r="AW224" s="115"/>
      <c r="AX224" s="93"/>
      <c r="AY224" s="93"/>
      <c r="AZ224" s="90"/>
      <c r="BA224" s="90"/>
      <c r="BB224" s="90"/>
      <c r="BC224" s="90"/>
      <c r="BD224" s="90"/>
      <c r="BE224" s="90"/>
      <c r="BF224" s="90"/>
      <c r="BG224" s="90"/>
      <c r="BH224" s="90"/>
      <c r="BI224" s="90"/>
      <c r="BJ224" s="90"/>
      <c r="BK224" s="90"/>
      <c r="BL224" s="90"/>
      <c r="BM224" s="90"/>
      <c r="BN224" s="90"/>
      <c r="BO224" s="90"/>
      <c r="BP224" s="90"/>
      <c r="BQ224" s="90"/>
    </row>
    <row r="225" ht="12.75" hidden="1" customHeight="1" outlineLevel="1">
      <c r="A225" s="316"/>
      <c r="B225" s="90"/>
      <c r="C225" s="90"/>
      <c r="D225" s="90" t="s">
        <v>763</v>
      </c>
      <c r="E225" s="90"/>
      <c r="F225" s="90"/>
      <c r="G225" s="254"/>
      <c r="H225" s="254"/>
      <c r="I225" s="254"/>
      <c r="J225" s="254"/>
      <c r="K225" s="99">
        <v>400.0</v>
      </c>
      <c r="L225" s="99" t="str">
        <f>'RSGen 1-7'!I226</f>
        <v/>
      </c>
      <c r="M225" s="99" t="str">
        <f>'RSGen 1-7'!J226</f>
        <v/>
      </c>
      <c r="N225" s="99">
        <f t="shared" ref="N225:AV225" si="151">M225*(1+N$195)</f>
        <v>0</v>
      </c>
      <c r="O225" s="99">
        <f t="shared" si="151"/>
        <v>0</v>
      </c>
      <c r="P225" s="93">
        <f t="shared" si="151"/>
        <v>0</v>
      </c>
      <c r="Q225" s="93">
        <f t="shared" si="151"/>
        <v>0</v>
      </c>
      <c r="R225" s="93">
        <f t="shared" si="151"/>
        <v>0</v>
      </c>
      <c r="S225" s="93">
        <f t="shared" si="151"/>
        <v>0</v>
      </c>
      <c r="T225" s="93">
        <f t="shared" si="151"/>
        <v>0</v>
      </c>
      <c r="U225" s="93">
        <f t="shared" si="151"/>
        <v>0</v>
      </c>
      <c r="V225" s="93">
        <f t="shared" si="151"/>
        <v>0</v>
      </c>
      <c r="W225" s="93">
        <f t="shared" si="151"/>
        <v>0</v>
      </c>
      <c r="X225" s="93">
        <f t="shared" si="151"/>
        <v>0</v>
      </c>
      <c r="Y225" s="93">
        <f t="shared" si="151"/>
        <v>0</v>
      </c>
      <c r="Z225" s="93">
        <f t="shared" si="151"/>
        <v>0</v>
      </c>
      <c r="AA225" s="93">
        <f t="shared" si="151"/>
        <v>0</v>
      </c>
      <c r="AB225" s="93">
        <f t="shared" si="151"/>
        <v>0</v>
      </c>
      <c r="AC225" s="93">
        <f t="shared" si="151"/>
        <v>0</v>
      </c>
      <c r="AD225" s="93">
        <f t="shared" si="151"/>
        <v>0</v>
      </c>
      <c r="AE225" s="93">
        <f t="shared" si="151"/>
        <v>0</v>
      </c>
      <c r="AF225" s="93">
        <f t="shared" si="151"/>
        <v>0</v>
      </c>
      <c r="AG225" s="93">
        <f t="shared" si="151"/>
        <v>0</v>
      </c>
      <c r="AH225" s="93">
        <f t="shared" si="151"/>
        <v>0</v>
      </c>
      <c r="AI225" s="93">
        <f t="shared" si="151"/>
        <v>0</v>
      </c>
      <c r="AJ225" s="93">
        <f t="shared" si="151"/>
        <v>0</v>
      </c>
      <c r="AK225" s="93">
        <f t="shared" si="151"/>
        <v>0</v>
      </c>
      <c r="AL225" s="93">
        <f t="shared" si="151"/>
        <v>0</v>
      </c>
      <c r="AM225" s="93">
        <f t="shared" si="151"/>
        <v>0</v>
      </c>
      <c r="AN225" s="93">
        <f t="shared" si="151"/>
        <v>0</v>
      </c>
      <c r="AO225" s="93">
        <f t="shared" si="151"/>
        <v>0</v>
      </c>
      <c r="AP225" s="93">
        <f t="shared" si="151"/>
        <v>0</v>
      </c>
      <c r="AQ225" s="93">
        <f t="shared" si="151"/>
        <v>0</v>
      </c>
      <c r="AR225" s="93">
        <f t="shared" si="151"/>
        <v>0</v>
      </c>
      <c r="AS225" s="93">
        <f t="shared" si="151"/>
        <v>0</v>
      </c>
      <c r="AT225" s="93">
        <f t="shared" si="151"/>
        <v>0</v>
      </c>
      <c r="AU225" s="93">
        <f t="shared" si="151"/>
        <v>0</v>
      </c>
      <c r="AV225" s="93">
        <f t="shared" si="151"/>
        <v>0</v>
      </c>
      <c r="AW225" s="115"/>
      <c r="AX225" s="93"/>
      <c r="AY225" s="93"/>
      <c r="AZ225" s="90"/>
      <c r="BA225" s="90"/>
      <c r="BB225" s="90"/>
      <c r="BC225" s="90"/>
      <c r="BD225" s="90"/>
      <c r="BE225" s="90"/>
      <c r="BF225" s="90"/>
      <c r="BG225" s="90"/>
      <c r="BH225" s="90"/>
      <c r="BI225" s="90"/>
      <c r="BJ225" s="90"/>
      <c r="BK225" s="90"/>
      <c r="BL225" s="90"/>
      <c r="BM225" s="90"/>
      <c r="BN225" s="90"/>
      <c r="BO225" s="90"/>
      <c r="BP225" s="90"/>
      <c r="BQ225" s="90"/>
    </row>
    <row r="226" ht="12.75" hidden="1" customHeight="1" outlineLevel="1">
      <c r="A226" s="316"/>
      <c r="B226" s="90"/>
      <c r="C226" s="90"/>
      <c r="D226" s="90" t="s">
        <v>764</v>
      </c>
      <c r="E226" s="90"/>
      <c r="F226" s="90"/>
      <c r="G226" s="254"/>
      <c r="H226" s="254"/>
      <c r="I226" s="254"/>
      <c r="J226" s="254"/>
      <c r="K226" s="99">
        <v>0.0</v>
      </c>
      <c r="L226" s="99">
        <f>'RSGen 1-7'!I227</f>
        <v>300</v>
      </c>
      <c r="M226" s="99">
        <f>'RSGen 1-7'!J227</f>
        <v>300</v>
      </c>
      <c r="N226" s="99">
        <f t="shared" ref="N226:AV226" si="152">M226*(1+N$195)</f>
        <v>306</v>
      </c>
      <c r="O226" s="99">
        <f t="shared" si="152"/>
        <v>312.12</v>
      </c>
      <c r="P226" s="93">
        <f t="shared" si="152"/>
        <v>318.3624</v>
      </c>
      <c r="Q226" s="93">
        <f t="shared" si="152"/>
        <v>324.729648</v>
      </c>
      <c r="R226" s="93">
        <f t="shared" si="152"/>
        <v>331.224241</v>
      </c>
      <c r="S226" s="93">
        <f t="shared" si="152"/>
        <v>337.8487258</v>
      </c>
      <c r="T226" s="93">
        <f t="shared" si="152"/>
        <v>344.6057003</v>
      </c>
      <c r="U226" s="93">
        <f t="shared" si="152"/>
        <v>351.4978143</v>
      </c>
      <c r="V226" s="93">
        <f t="shared" si="152"/>
        <v>358.5277706</v>
      </c>
      <c r="W226" s="93">
        <f t="shared" si="152"/>
        <v>365.698326</v>
      </c>
      <c r="X226" s="93">
        <f t="shared" si="152"/>
        <v>373.0122925</v>
      </c>
      <c r="Y226" s="93">
        <f t="shared" si="152"/>
        <v>380.4725384</v>
      </c>
      <c r="Z226" s="93">
        <f t="shared" si="152"/>
        <v>388.0819891</v>
      </c>
      <c r="AA226" s="93">
        <f t="shared" si="152"/>
        <v>395.8436289</v>
      </c>
      <c r="AB226" s="93">
        <f t="shared" si="152"/>
        <v>403.7605015</v>
      </c>
      <c r="AC226" s="93">
        <f t="shared" si="152"/>
        <v>411.8357115</v>
      </c>
      <c r="AD226" s="93">
        <f t="shared" si="152"/>
        <v>420.0724258</v>
      </c>
      <c r="AE226" s="93">
        <f t="shared" si="152"/>
        <v>428.4738743</v>
      </c>
      <c r="AF226" s="93">
        <f t="shared" si="152"/>
        <v>437.0433518</v>
      </c>
      <c r="AG226" s="93">
        <f t="shared" si="152"/>
        <v>445.7842188</v>
      </c>
      <c r="AH226" s="93">
        <f t="shared" si="152"/>
        <v>454.6999032</v>
      </c>
      <c r="AI226" s="93">
        <f t="shared" si="152"/>
        <v>463.7939012</v>
      </c>
      <c r="AJ226" s="93">
        <f t="shared" si="152"/>
        <v>473.0697793</v>
      </c>
      <c r="AK226" s="93">
        <f t="shared" si="152"/>
        <v>482.5311748</v>
      </c>
      <c r="AL226" s="93">
        <f t="shared" si="152"/>
        <v>492.1817983</v>
      </c>
      <c r="AM226" s="93">
        <f t="shared" si="152"/>
        <v>502.0254343</v>
      </c>
      <c r="AN226" s="93">
        <f t="shared" si="152"/>
        <v>512.065943</v>
      </c>
      <c r="AO226" s="93">
        <f t="shared" si="152"/>
        <v>522.3072619</v>
      </c>
      <c r="AP226" s="93">
        <f t="shared" si="152"/>
        <v>532.7534071</v>
      </c>
      <c r="AQ226" s="93">
        <f t="shared" si="152"/>
        <v>543.4084752</v>
      </c>
      <c r="AR226" s="93">
        <f t="shared" si="152"/>
        <v>554.2766447</v>
      </c>
      <c r="AS226" s="93">
        <f t="shared" si="152"/>
        <v>565.3621776</v>
      </c>
      <c r="AT226" s="93">
        <f t="shared" si="152"/>
        <v>576.6694212</v>
      </c>
      <c r="AU226" s="93">
        <f t="shared" si="152"/>
        <v>588.2028096</v>
      </c>
      <c r="AV226" s="93">
        <f t="shared" si="152"/>
        <v>599.9668658</v>
      </c>
      <c r="AW226" s="115"/>
      <c r="AX226" s="93"/>
      <c r="AY226" s="93"/>
      <c r="AZ226" s="90"/>
      <c r="BA226" s="90"/>
      <c r="BB226" s="90"/>
      <c r="BC226" s="90"/>
      <c r="BD226" s="90"/>
      <c r="BE226" s="90"/>
      <c r="BF226" s="90"/>
      <c r="BG226" s="90"/>
      <c r="BH226" s="90"/>
      <c r="BI226" s="90"/>
      <c r="BJ226" s="90"/>
      <c r="BK226" s="90"/>
      <c r="BL226" s="90"/>
      <c r="BM226" s="90"/>
      <c r="BN226" s="90"/>
      <c r="BO226" s="90"/>
      <c r="BP226" s="90"/>
      <c r="BQ226" s="90"/>
    </row>
    <row r="227" ht="12.75" hidden="1" customHeight="1" outlineLevel="1">
      <c r="A227" s="316"/>
      <c r="B227" s="90"/>
      <c r="C227" s="90"/>
      <c r="D227" s="90" t="s">
        <v>765</v>
      </c>
      <c r="E227" s="90"/>
      <c r="F227" s="90"/>
      <c r="G227" s="254"/>
      <c r="H227" s="254"/>
      <c r="I227" s="254"/>
      <c r="J227" s="254"/>
      <c r="K227" s="99">
        <v>0.0</v>
      </c>
      <c r="L227" s="99">
        <f>'RSGen 1-7'!I228</f>
        <v>1500</v>
      </c>
      <c r="M227" s="99">
        <f>'RSGen 1-7'!J228</f>
        <v>1500</v>
      </c>
      <c r="N227" s="99">
        <f t="shared" ref="N227:AV227" si="153">M227*(1+N$195)</f>
        <v>1530</v>
      </c>
      <c r="O227" s="99">
        <f t="shared" si="153"/>
        <v>1560.6</v>
      </c>
      <c r="P227" s="93">
        <f t="shared" si="153"/>
        <v>1591.812</v>
      </c>
      <c r="Q227" s="93">
        <f t="shared" si="153"/>
        <v>1623.64824</v>
      </c>
      <c r="R227" s="93">
        <f t="shared" si="153"/>
        <v>1656.121205</v>
      </c>
      <c r="S227" s="93">
        <f t="shared" si="153"/>
        <v>1689.243629</v>
      </c>
      <c r="T227" s="93">
        <f t="shared" si="153"/>
        <v>1723.028501</v>
      </c>
      <c r="U227" s="93">
        <f t="shared" si="153"/>
        <v>1757.489072</v>
      </c>
      <c r="V227" s="93">
        <f t="shared" si="153"/>
        <v>1792.638853</v>
      </c>
      <c r="W227" s="93">
        <f t="shared" si="153"/>
        <v>1828.49163</v>
      </c>
      <c r="X227" s="93">
        <f t="shared" si="153"/>
        <v>1865.061463</v>
      </c>
      <c r="Y227" s="93">
        <f t="shared" si="153"/>
        <v>1902.362692</v>
      </c>
      <c r="Z227" s="93">
        <f t="shared" si="153"/>
        <v>1940.409946</v>
      </c>
      <c r="AA227" s="93">
        <f t="shared" si="153"/>
        <v>1979.218145</v>
      </c>
      <c r="AB227" s="93">
        <f t="shared" si="153"/>
        <v>2018.802507</v>
      </c>
      <c r="AC227" s="93">
        <f t="shared" si="153"/>
        <v>2059.178558</v>
      </c>
      <c r="AD227" s="93">
        <f t="shared" si="153"/>
        <v>2100.362129</v>
      </c>
      <c r="AE227" s="93">
        <f t="shared" si="153"/>
        <v>2142.369371</v>
      </c>
      <c r="AF227" s="93">
        <f t="shared" si="153"/>
        <v>2185.216759</v>
      </c>
      <c r="AG227" s="93">
        <f t="shared" si="153"/>
        <v>2228.921094</v>
      </c>
      <c r="AH227" s="93">
        <f t="shared" si="153"/>
        <v>2273.499516</v>
      </c>
      <c r="AI227" s="93">
        <f t="shared" si="153"/>
        <v>2318.969506</v>
      </c>
      <c r="AJ227" s="93">
        <f t="shared" si="153"/>
        <v>2365.348896</v>
      </c>
      <c r="AK227" s="93">
        <f t="shared" si="153"/>
        <v>2412.655874</v>
      </c>
      <c r="AL227" s="93">
        <f t="shared" si="153"/>
        <v>2460.908992</v>
      </c>
      <c r="AM227" s="93">
        <f t="shared" si="153"/>
        <v>2510.127172</v>
      </c>
      <c r="AN227" s="93">
        <f t="shared" si="153"/>
        <v>2560.329715</v>
      </c>
      <c r="AO227" s="93">
        <f t="shared" si="153"/>
        <v>2611.536309</v>
      </c>
      <c r="AP227" s="93">
        <f t="shared" si="153"/>
        <v>2663.767035</v>
      </c>
      <c r="AQ227" s="93">
        <f t="shared" si="153"/>
        <v>2717.042376</v>
      </c>
      <c r="AR227" s="93">
        <f t="shared" si="153"/>
        <v>2771.383224</v>
      </c>
      <c r="AS227" s="93">
        <f t="shared" si="153"/>
        <v>2826.810888</v>
      </c>
      <c r="AT227" s="93">
        <f t="shared" si="153"/>
        <v>2883.347106</v>
      </c>
      <c r="AU227" s="93">
        <f t="shared" si="153"/>
        <v>2941.014048</v>
      </c>
      <c r="AV227" s="93">
        <f t="shared" si="153"/>
        <v>2999.834329</v>
      </c>
      <c r="AW227" s="115"/>
      <c r="AX227" s="93"/>
      <c r="AY227" s="93"/>
      <c r="AZ227" s="90"/>
      <c r="BA227" s="90"/>
      <c r="BB227" s="90"/>
      <c r="BC227" s="90"/>
      <c r="BD227" s="90"/>
      <c r="BE227" s="90"/>
      <c r="BF227" s="90"/>
      <c r="BG227" s="90"/>
      <c r="BH227" s="90"/>
      <c r="BI227" s="90"/>
      <c r="BJ227" s="90"/>
      <c r="BK227" s="90"/>
      <c r="BL227" s="90"/>
      <c r="BM227" s="90"/>
      <c r="BN227" s="90"/>
      <c r="BO227" s="90"/>
      <c r="BP227" s="90"/>
      <c r="BQ227" s="90"/>
    </row>
    <row r="228" ht="12.75" hidden="1" customHeight="1" outlineLevel="1">
      <c r="A228" s="316"/>
      <c r="B228" s="90"/>
      <c r="C228" s="90"/>
      <c r="D228" s="90" t="s">
        <v>766</v>
      </c>
      <c r="E228" s="90"/>
      <c r="F228" s="90"/>
      <c r="G228" s="254"/>
      <c r="H228" s="254"/>
      <c r="I228" s="254"/>
      <c r="J228" s="254"/>
      <c r="K228" s="99">
        <v>0.0</v>
      </c>
      <c r="L228" s="99">
        <f>'RSGen 1-7'!I229</f>
        <v>0</v>
      </c>
      <c r="M228" s="99">
        <f>'RSGen 1-7'!J229</f>
        <v>0</v>
      </c>
      <c r="N228" s="99">
        <f t="shared" ref="N228:AV228" si="154">M228*(1+N$195)</f>
        <v>0</v>
      </c>
      <c r="O228" s="99">
        <f t="shared" si="154"/>
        <v>0</v>
      </c>
      <c r="P228" s="93">
        <f t="shared" si="154"/>
        <v>0</v>
      </c>
      <c r="Q228" s="93">
        <f t="shared" si="154"/>
        <v>0</v>
      </c>
      <c r="R228" s="93">
        <f t="shared" si="154"/>
        <v>0</v>
      </c>
      <c r="S228" s="93">
        <f t="shared" si="154"/>
        <v>0</v>
      </c>
      <c r="T228" s="93">
        <f t="shared" si="154"/>
        <v>0</v>
      </c>
      <c r="U228" s="93">
        <f t="shared" si="154"/>
        <v>0</v>
      </c>
      <c r="V228" s="93">
        <f t="shared" si="154"/>
        <v>0</v>
      </c>
      <c r="W228" s="93">
        <f t="shared" si="154"/>
        <v>0</v>
      </c>
      <c r="X228" s="93">
        <f t="shared" si="154"/>
        <v>0</v>
      </c>
      <c r="Y228" s="93">
        <f t="shared" si="154"/>
        <v>0</v>
      </c>
      <c r="Z228" s="93">
        <f t="shared" si="154"/>
        <v>0</v>
      </c>
      <c r="AA228" s="93">
        <f t="shared" si="154"/>
        <v>0</v>
      </c>
      <c r="AB228" s="93">
        <f t="shared" si="154"/>
        <v>0</v>
      </c>
      <c r="AC228" s="93">
        <f t="shared" si="154"/>
        <v>0</v>
      </c>
      <c r="AD228" s="93">
        <f t="shared" si="154"/>
        <v>0</v>
      </c>
      <c r="AE228" s="93">
        <f t="shared" si="154"/>
        <v>0</v>
      </c>
      <c r="AF228" s="93">
        <f t="shared" si="154"/>
        <v>0</v>
      </c>
      <c r="AG228" s="93">
        <f t="shared" si="154"/>
        <v>0</v>
      </c>
      <c r="AH228" s="93">
        <f t="shared" si="154"/>
        <v>0</v>
      </c>
      <c r="AI228" s="93">
        <f t="shared" si="154"/>
        <v>0</v>
      </c>
      <c r="AJ228" s="93">
        <f t="shared" si="154"/>
        <v>0</v>
      </c>
      <c r="AK228" s="93">
        <f t="shared" si="154"/>
        <v>0</v>
      </c>
      <c r="AL228" s="93">
        <f t="shared" si="154"/>
        <v>0</v>
      </c>
      <c r="AM228" s="93">
        <f t="shared" si="154"/>
        <v>0</v>
      </c>
      <c r="AN228" s="93">
        <f t="shared" si="154"/>
        <v>0</v>
      </c>
      <c r="AO228" s="93">
        <f t="shared" si="154"/>
        <v>0</v>
      </c>
      <c r="AP228" s="93">
        <f t="shared" si="154"/>
        <v>0</v>
      </c>
      <c r="AQ228" s="93">
        <f t="shared" si="154"/>
        <v>0</v>
      </c>
      <c r="AR228" s="93">
        <f t="shared" si="154"/>
        <v>0</v>
      </c>
      <c r="AS228" s="93">
        <f t="shared" si="154"/>
        <v>0</v>
      </c>
      <c r="AT228" s="93">
        <f t="shared" si="154"/>
        <v>0</v>
      </c>
      <c r="AU228" s="93">
        <f t="shared" si="154"/>
        <v>0</v>
      </c>
      <c r="AV228" s="93">
        <f t="shared" si="154"/>
        <v>0</v>
      </c>
      <c r="AW228" s="115"/>
      <c r="AX228" s="93"/>
      <c r="AY228" s="93"/>
      <c r="AZ228" s="90"/>
      <c r="BA228" s="90"/>
      <c r="BB228" s="90"/>
      <c r="BC228" s="90"/>
      <c r="BD228" s="90"/>
      <c r="BE228" s="90"/>
      <c r="BF228" s="90"/>
      <c r="BG228" s="90"/>
      <c r="BH228" s="90"/>
      <c r="BI228" s="90"/>
      <c r="BJ228" s="90"/>
      <c r="BK228" s="90"/>
      <c r="BL228" s="90"/>
      <c r="BM228" s="90"/>
      <c r="BN228" s="90"/>
      <c r="BO228" s="90"/>
      <c r="BP228" s="90"/>
      <c r="BQ228" s="90"/>
    </row>
    <row r="229" ht="12.75" hidden="1" customHeight="1" outlineLevel="1">
      <c r="A229" s="316"/>
      <c r="B229" s="90"/>
      <c r="C229" s="90" t="s">
        <v>767</v>
      </c>
      <c r="D229" s="90"/>
      <c r="E229" s="90"/>
      <c r="F229" s="90"/>
      <c r="G229" s="254"/>
      <c r="H229" s="254"/>
      <c r="I229" s="254"/>
      <c r="J229" s="254"/>
      <c r="K229" s="99"/>
      <c r="L229" s="99"/>
      <c r="M229" s="99"/>
      <c r="N229" s="99"/>
      <c r="O229" s="99"/>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93"/>
      <c r="AU229" s="93"/>
      <c r="AV229" s="93"/>
      <c r="AW229" s="115"/>
      <c r="AX229" s="93"/>
      <c r="AY229" s="93"/>
      <c r="AZ229" s="90"/>
      <c r="BA229" s="90"/>
      <c r="BB229" s="90"/>
      <c r="BC229" s="90"/>
      <c r="BD229" s="90"/>
      <c r="BE229" s="90"/>
      <c r="BF229" s="90"/>
      <c r="BG229" s="90"/>
      <c r="BH229" s="90"/>
      <c r="BI229" s="90"/>
      <c r="BJ229" s="90"/>
      <c r="BK229" s="90"/>
      <c r="BL229" s="90"/>
      <c r="BM229" s="90"/>
      <c r="BN229" s="90"/>
      <c r="BO229" s="90"/>
      <c r="BP229" s="90"/>
      <c r="BQ229" s="90"/>
    </row>
    <row r="230" ht="12.75" hidden="1" customHeight="1" outlineLevel="1">
      <c r="A230" s="316"/>
      <c r="B230" s="90"/>
      <c r="C230" s="90"/>
      <c r="D230" s="90" t="s">
        <v>768</v>
      </c>
      <c r="E230" s="90"/>
      <c r="F230" s="90"/>
      <c r="G230" s="254"/>
      <c r="H230" s="254"/>
      <c r="I230" s="254"/>
      <c r="J230" s="254"/>
      <c r="K230" s="99">
        <v>3.0</v>
      </c>
      <c r="L230" s="99">
        <f>'RSGen 1-7'!I231</f>
        <v>3.825</v>
      </c>
      <c r="M230" s="99">
        <f t="shared" ref="M230:AV230" si="155">L230*(1+M$195)</f>
        <v>3.9015</v>
      </c>
      <c r="N230" s="99">
        <f t="shared" si="155"/>
        <v>3.97953</v>
      </c>
      <c r="O230" s="99">
        <f t="shared" si="155"/>
        <v>4.0591206</v>
      </c>
      <c r="P230" s="99">
        <f t="shared" si="155"/>
        <v>4.140303012</v>
      </c>
      <c r="Q230" s="99">
        <f t="shared" si="155"/>
        <v>4.223109072</v>
      </c>
      <c r="R230" s="99">
        <f t="shared" si="155"/>
        <v>4.307571254</v>
      </c>
      <c r="S230" s="99">
        <f t="shared" si="155"/>
        <v>4.393722679</v>
      </c>
      <c r="T230" s="99">
        <f t="shared" si="155"/>
        <v>4.481597132</v>
      </c>
      <c r="U230" s="99">
        <f t="shared" si="155"/>
        <v>4.571229075</v>
      </c>
      <c r="V230" s="99">
        <f t="shared" si="155"/>
        <v>4.662653656</v>
      </c>
      <c r="W230" s="99">
        <f t="shared" si="155"/>
        <v>4.75590673</v>
      </c>
      <c r="X230" s="99">
        <f t="shared" si="155"/>
        <v>4.851024864</v>
      </c>
      <c r="Y230" s="99">
        <f t="shared" si="155"/>
        <v>4.948045361</v>
      </c>
      <c r="Z230" s="99">
        <f t="shared" si="155"/>
        <v>5.047006269</v>
      </c>
      <c r="AA230" s="99">
        <f t="shared" si="155"/>
        <v>5.147946394</v>
      </c>
      <c r="AB230" s="99">
        <f t="shared" si="155"/>
        <v>5.250905322</v>
      </c>
      <c r="AC230" s="99">
        <f t="shared" si="155"/>
        <v>5.355923428</v>
      </c>
      <c r="AD230" s="99">
        <f t="shared" si="155"/>
        <v>5.463041897</v>
      </c>
      <c r="AE230" s="99">
        <f t="shared" si="155"/>
        <v>5.572302735</v>
      </c>
      <c r="AF230" s="99">
        <f t="shared" si="155"/>
        <v>5.68374879</v>
      </c>
      <c r="AG230" s="99">
        <f t="shared" si="155"/>
        <v>5.797423765</v>
      </c>
      <c r="AH230" s="99">
        <f t="shared" si="155"/>
        <v>5.913372241</v>
      </c>
      <c r="AI230" s="99">
        <f t="shared" si="155"/>
        <v>6.031639686</v>
      </c>
      <c r="AJ230" s="99">
        <f t="shared" si="155"/>
        <v>6.152272479</v>
      </c>
      <c r="AK230" s="99">
        <f t="shared" si="155"/>
        <v>6.275317929</v>
      </c>
      <c r="AL230" s="99">
        <f t="shared" si="155"/>
        <v>6.400824287</v>
      </c>
      <c r="AM230" s="99">
        <f t="shared" si="155"/>
        <v>6.528840773</v>
      </c>
      <c r="AN230" s="99">
        <f t="shared" si="155"/>
        <v>6.659417589</v>
      </c>
      <c r="AO230" s="99">
        <f t="shared" si="155"/>
        <v>6.79260594</v>
      </c>
      <c r="AP230" s="99">
        <f t="shared" si="155"/>
        <v>6.928458059</v>
      </c>
      <c r="AQ230" s="99">
        <f t="shared" si="155"/>
        <v>7.06702722</v>
      </c>
      <c r="AR230" s="99">
        <f t="shared" si="155"/>
        <v>7.208367765</v>
      </c>
      <c r="AS230" s="99">
        <f t="shared" si="155"/>
        <v>7.35253512</v>
      </c>
      <c r="AT230" s="99">
        <f t="shared" si="155"/>
        <v>7.499585822</v>
      </c>
      <c r="AU230" s="99">
        <f t="shared" si="155"/>
        <v>7.649577539</v>
      </c>
      <c r="AV230" s="99">
        <f t="shared" si="155"/>
        <v>7.80256909</v>
      </c>
      <c r="AW230" s="67"/>
      <c r="AX230" s="90"/>
      <c r="AY230" s="90"/>
      <c r="AZ230" s="90"/>
      <c r="BA230" s="90"/>
      <c r="BB230" s="90"/>
      <c r="BC230" s="90"/>
      <c r="BD230" s="90"/>
      <c r="BE230" s="90"/>
      <c r="BF230" s="90"/>
      <c r="BG230" s="90"/>
      <c r="BH230" s="90"/>
      <c r="BI230" s="90"/>
      <c r="BJ230" s="90"/>
      <c r="BK230" s="90"/>
      <c r="BL230" s="90"/>
      <c r="BM230" s="90"/>
      <c r="BN230" s="90"/>
      <c r="BO230" s="90"/>
      <c r="BP230" s="90"/>
      <c r="BQ230" s="90"/>
    </row>
    <row r="231" ht="12.75" hidden="1" customHeight="1" outlineLevel="1">
      <c r="A231" s="316"/>
      <c r="B231" s="90"/>
      <c r="C231" s="90"/>
      <c r="D231" s="90" t="s">
        <v>769</v>
      </c>
      <c r="E231" s="90"/>
      <c r="F231" s="90"/>
      <c r="G231" s="254"/>
      <c r="H231" s="254"/>
      <c r="I231" s="254"/>
      <c r="J231" s="254"/>
      <c r="K231" s="99">
        <v>0.0</v>
      </c>
      <c r="L231" s="99">
        <f>'RSGen 1-7'!I232</f>
        <v>52</v>
      </c>
      <c r="M231" s="99">
        <f t="shared" ref="M231:AV231" si="156">L231*(1+M$195)</f>
        <v>53.04</v>
      </c>
      <c r="N231" s="99">
        <f t="shared" si="156"/>
        <v>54.1008</v>
      </c>
      <c r="O231" s="99">
        <f t="shared" si="156"/>
        <v>55.182816</v>
      </c>
      <c r="P231" s="99">
        <f t="shared" si="156"/>
        <v>56.28647232</v>
      </c>
      <c r="Q231" s="99">
        <f t="shared" si="156"/>
        <v>57.41220177</v>
      </c>
      <c r="R231" s="99">
        <f t="shared" si="156"/>
        <v>58.5604458</v>
      </c>
      <c r="S231" s="99">
        <f t="shared" si="156"/>
        <v>59.73165472</v>
      </c>
      <c r="T231" s="99">
        <f t="shared" si="156"/>
        <v>60.92628781</v>
      </c>
      <c r="U231" s="99">
        <f t="shared" si="156"/>
        <v>62.14481357</v>
      </c>
      <c r="V231" s="99">
        <f t="shared" si="156"/>
        <v>63.38770984</v>
      </c>
      <c r="W231" s="99">
        <f t="shared" si="156"/>
        <v>64.65546404</v>
      </c>
      <c r="X231" s="99">
        <f t="shared" si="156"/>
        <v>65.94857332</v>
      </c>
      <c r="Y231" s="99">
        <f t="shared" si="156"/>
        <v>67.26754478</v>
      </c>
      <c r="Z231" s="99">
        <f t="shared" si="156"/>
        <v>68.61289568</v>
      </c>
      <c r="AA231" s="99">
        <f t="shared" si="156"/>
        <v>69.98515359</v>
      </c>
      <c r="AB231" s="99">
        <f t="shared" si="156"/>
        <v>71.38485666</v>
      </c>
      <c r="AC231" s="99">
        <f t="shared" si="156"/>
        <v>72.8125538</v>
      </c>
      <c r="AD231" s="99">
        <f t="shared" si="156"/>
        <v>74.26880487</v>
      </c>
      <c r="AE231" s="99">
        <f t="shared" si="156"/>
        <v>75.75418097</v>
      </c>
      <c r="AF231" s="99">
        <f t="shared" si="156"/>
        <v>77.26926459</v>
      </c>
      <c r="AG231" s="99">
        <f t="shared" si="156"/>
        <v>78.81464988</v>
      </c>
      <c r="AH231" s="99">
        <f t="shared" si="156"/>
        <v>80.39094288</v>
      </c>
      <c r="AI231" s="99">
        <f t="shared" si="156"/>
        <v>81.99876174</v>
      </c>
      <c r="AJ231" s="99">
        <f t="shared" si="156"/>
        <v>83.63873697</v>
      </c>
      <c r="AK231" s="99">
        <f t="shared" si="156"/>
        <v>85.31151171</v>
      </c>
      <c r="AL231" s="99">
        <f t="shared" si="156"/>
        <v>87.01774195</v>
      </c>
      <c r="AM231" s="99">
        <f t="shared" si="156"/>
        <v>88.75809679</v>
      </c>
      <c r="AN231" s="99">
        <f t="shared" si="156"/>
        <v>90.53325872</v>
      </c>
      <c r="AO231" s="99">
        <f t="shared" si="156"/>
        <v>92.3439239</v>
      </c>
      <c r="AP231" s="99">
        <f t="shared" si="156"/>
        <v>94.19080237</v>
      </c>
      <c r="AQ231" s="99">
        <f t="shared" si="156"/>
        <v>96.07461842</v>
      </c>
      <c r="AR231" s="99">
        <f t="shared" si="156"/>
        <v>97.99611079</v>
      </c>
      <c r="AS231" s="99">
        <f t="shared" si="156"/>
        <v>99.95603301</v>
      </c>
      <c r="AT231" s="99">
        <f t="shared" si="156"/>
        <v>101.9551537</v>
      </c>
      <c r="AU231" s="99">
        <f t="shared" si="156"/>
        <v>103.9942567</v>
      </c>
      <c r="AV231" s="99">
        <f t="shared" si="156"/>
        <v>106.0741419</v>
      </c>
      <c r="AW231" s="67"/>
      <c r="AX231" s="90"/>
      <c r="AY231" s="90"/>
      <c r="AZ231" s="90"/>
      <c r="BA231" s="90"/>
      <c r="BB231" s="90"/>
      <c r="BC231" s="90"/>
      <c r="BD231" s="90"/>
      <c r="BE231" s="90"/>
      <c r="BF231" s="90"/>
      <c r="BG231" s="90"/>
      <c r="BH231" s="90"/>
      <c r="BI231" s="90"/>
      <c r="BJ231" s="90"/>
      <c r="BK231" s="90"/>
      <c r="BL231" s="90"/>
      <c r="BM231" s="90"/>
      <c r="BN231" s="90"/>
      <c r="BO231" s="90"/>
      <c r="BP231" s="90"/>
      <c r="BQ231" s="90"/>
    </row>
    <row r="232" ht="12.75" hidden="1" customHeight="1" outlineLevel="1">
      <c r="A232" s="316"/>
      <c r="B232" s="90"/>
      <c r="C232" s="90"/>
      <c r="D232" s="90" t="s">
        <v>770</v>
      </c>
      <c r="E232" s="90"/>
      <c r="F232" s="90"/>
      <c r="G232" s="254"/>
      <c r="H232" s="254"/>
      <c r="I232" s="254"/>
      <c r="J232" s="254"/>
      <c r="K232" s="99">
        <v>0.0</v>
      </c>
      <c r="L232" s="99">
        <f>'RSGen 1-7'!I233</f>
        <v>9.5625</v>
      </c>
      <c r="M232" s="99">
        <f t="shared" ref="M232:AV232" si="157">L232*(1+M$195)</f>
        <v>9.75375</v>
      </c>
      <c r="N232" s="99">
        <f t="shared" si="157"/>
        <v>9.948825</v>
      </c>
      <c r="O232" s="99">
        <f t="shared" si="157"/>
        <v>10.1478015</v>
      </c>
      <c r="P232" s="99">
        <f t="shared" si="157"/>
        <v>10.35075753</v>
      </c>
      <c r="Q232" s="99">
        <f t="shared" si="157"/>
        <v>10.55777268</v>
      </c>
      <c r="R232" s="99">
        <f t="shared" si="157"/>
        <v>10.76892813</v>
      </c>
      <c r="S232" s="99">
        <f t="shared" si="157"/>
        <v>10.9843067</v>
      </c>
      <c r="T232" s="99">
        <f t="shared" si="157"/>
        <v>11.20399283</v>
      </c>
      <c r="U232" s="99">
        <f t="shared" si="157"/>
        <v>11.42807269</v>
      </c>
      <c r="V232" s="99">
        <f t="shared" si="157"/>
        <v>11.65663414</v>
      </c>
      <c r="W232" s="99">
        <f t="shared" si="157"/>
        <v>11.88976682</v>
      </c>
      <c r="X232" s="99">
        <f t="shared" si="157"/>
        <v>12.12756216</v>
      </c>
      <c r="Y232" s="99">
        <f t="shared" si="157"/>
        <v>12.3701134</v>
      </c>
      <c r="Z232" s="99">
        <f t="shared" si="157"/>
        <v>12.61751567</v>
      </c>
      <c r="AA232" s="99">
        <f t="shared" si="157"/>
        <v>12.86986599</v>
      </c>
      <c r="AB232" s="99">
        <f t="shared" si="157"/>
        <v>13.1272633</v>
      </c>
      <c r="AC232" s="99">
        <f t="shared" si="157"/>
        <v>13.38980857</v>
      </c>
      <c r="AD232" s="99">
        <f t="shared" si="157"/>
        <v>13.65760474</v>
      </c>
      <c r="AE232" s="99">
        <f t="shared" si="157"/>
        <v>13.93075684</v>
      </c>
      <c r="AF232" s="99">
        <f t="shared" si="157"/>
        <v>14.20937197</v>
      </c>
      <c r="AG232" s="99">
        <f t="shared" si="157"/>
        <v>14.49355941</v>
      </c>
      <c r="AH232" s="99">
        <f t="shared" si="157"/>
        <v>14.7834306</v>
      </c>
      <c r="AI232" s="99">
        <f t="shared" si="157"/>
        <v>15.07909921</v>
      </c>
      <c r="AJ232" s="99">
        <f t="shared" si="157"/>
        <v>15.3806812</v>
      </c>
      <c r="AK232" s="99">
        <f t="shared" si="157"/>
        <v>15.68829482</v>
      </c>
      <c r="AL232" s="99">
        <f t="shared" si="157"/>
        <v>16.00206072</v>
      </c>
      <c r="AM232" s="99">
        <f t="shared" si="157"/>
        <v>16.32210193</v>
      </c>
      <c r="AN232" s="99">
        <f t="shared" si="157"/>
        <v>16.64854397</v>
      </c>
      <c r="AO232" s="99">
        <f t="shared" si="157"/>
        <v>16.98151485</v>
      </c>
      <c r="AP232" s="99">
        <f t="shared" si="157"/>
        <v>17.32114515</v>
      </c>
      <c r="AQ232" s="99">
        <f t="shared" si="157"/>
        <v>17.66756805</v>
      </c>
      <c r="AR232" s="99">
        <f t="shared" si="157"/>
        <v>18.02091941</v>
      </c>
      <c r="AS232" s="99">
        <f t="shared" si="157"/>
        <v>18.3813378</v>
      </c>
      <c r="AT232" s="99">
        <f t="shared" si="157"/>
        <v>18.74896456</v>
      </c>
      <c r="AU232" s="99">
        <f t="shared" si="157"/>
        <v>19.12394385</v>
      </c>
      <c r="AV232" s="99">
        <f t="shared" si="157"/>
        <v>19.50642272</v>
      </c>
      <c r="AW232" s="67"/>
      <c r="AX232" s="90"/>
      <c r="AY232" s="90"/>
      <c r="AZ232" s="90"/>
      <c r="BA232" s="90"/>
      <c r="BB232" s="90"/>
      <c r="BC232" s="90"/>
      <c r="BD232" s="90"/>
      <c r="BE232" s="90"/>
      <c r="BF232" s="90"/>
      <c r="BG232" s="90"/>
      <c r="BH232" s="90"/>
      <c r="BI232" s="90"/>
      <c r="BJ232" s="90"/>
      <c r="BK232" s="90"/>
      <c r="BL232" s="90"/>
      <c r="BM232" s="90"/>
      <c r="BN232" s="90"/>
      <c r="BO232" s="90"/>
      <c r="BP232" s="90"/>
      <c r="BQ232" s="90"/>
    </row>
    <row r="233" ht="12.75" hidden="1" customHeight="1" outlineLevel="1">
      <c r="A233" s="316"/>
      <c r="B233" s="90"/>
      <c r="C233" s="90"/>
      <c r="D233" s="90" t="s">
        <v>771</v>
      </c>
      <c r="E233" s="90"/>
      <c r="F233" s="90"/>
      <c r="G233" s="254"/>
      <c r="H233" s="254"/>
      <c r="I233" s="254"/>
      <c r="J233" s="254"/>
      <c r="K233" s="99">
        <v>0.0</v>
      </c>
      <c r="L233" s="99">
        <f>'RSGen 1-7'!I234</f>
        <v>3.1875</v>
      </c>
      <c r="M233" s="99">
        <f t="shared" ref="M233:AV233" si="158">L233*(1+M$195)</f>
        <v>3.25125</v>
      </c>
      <c r="N233" s="99">
        <f t="shared" si="158"/>
        <v>3.316275</v>
      </c>
      <c r="O233" s="99">
        <f t="shared" si="158"/>
        <v>3.3826005</v>
      </c>
      <c r="P233" s="99">
        <f t="shared" si="158"/>
        <v>3.45025251</v>
      </c>
      <c r="Q233" s="99">
        <f t="shared" si="158"/>
        <v>3.51925756</v>
      </c>
      <c r="R233" s="99">
        <f t="shared" si="158"/>
        <v>3.589642711</v>
      </c>
      <c r="S233" s="99">
        <f t="shared" si="158"/>
        <v>3.661435566</v>
      </c>
      <c r="T233" s="99">
        <f t="shared" si="158"/>
        <v>3.734664277</v>
      </c>
      <c r="U233" s="99">
        <f t="shared" si="158"/>
        <v>3.809357562</v>
      </c>
      <c r="V233" s="99">
        <f t="shared" si="158"/>
        <v>3.885544714</v>
      </c>
      <c r="W233" s="99">
        <f t="shared" si="158"/>
        <v>3.963255608</v>
      </c>
      <c r="X233" s="99">
        <f t="shared" si="158"/>
        <v>4.04252072</v>
      </c>
      <c r="Y233" s="99">
        <f t="shared" si="158"/>
        <v>4.123371135</v>
      </c>
      <c r="Z233" s="99">
        <f t="shared" si="158"/>
        <v>4.205838557</v>
      </c>
      <c r="AA233" s="99">
        <f t="shared" si="158"/>
        <v>4.289955328</v>
      </c>
      <c r="AB233" s="99">
        <f t="shared" si="158"/>
        <v>4.375754435</v>
      </c>
      <c r="AC233" s="99">
        <f t="shared" si="158"/>
        <v>4.463269524</v>
      </c>
      <c r="AD233" s="99">
        <f t="shared" si="158"/>
        <v>4.552534914</v>
      </c>
      <c r="AE233" s="99">
        <f t="shared" si="158"/>
        <v>4.643585612</v>
      </c>
      <c r="AF233" s="99">
        <f t="shared" si="158"/>
        <v>4.736457325</v>
      </c>
      <c r="AG233" s="99">
        <f t="shared" si="158"/>
        <v>4.831186471</v>
      </c>
      <c r="AH233" s="99">
        <f t="shared" si="158"/>
        <v>4.927810201</v>
      </c>
      <c r="AI233" s="99">
        <f t="shared" si="158"/>
        <v>5.026366405</v>
      </c>
      <c r="AJ233" s="99">
        <f t="shared" si="158"/>
        <v>5.126893733</v>
      </c>
      <c r="AK233" s="99">
        <f t="shared" si="158"/>
        <v>5.229431607</v>
      </c>
      <c r="AL233" s="99">
        <f t="shared" si="158"/>
        <v>5.33402024</v>
      </c>
      <c r="AM233" s="99">
        <f t="shared" si="158"/>
        <v>5.440700644</v>
      </c>
      <c r="AN233" s="99">
        <f t="shared" si="158"/>
        <v>5.549514657</v>
      </c>
      <c r="AO233" s="99">
        <f t="shared" si="158"/>
        <v>5.66050495</v>
      </c>
      <c r="AP233" s="99">
        <f t="shared" si="158"/>
        <v>5.773715049</v>
      </c>
      <c r="AQ233" s="99">
        <f t="shared" si="158"/>
        <v>5.88918935</v>
      </c>
      <c r="AR233" s="99">
        <f t="shared" si="158"/>
        <v>6.006973137</v>
      </c>
      <c r="AS233" s="99">
        <f t="shared" si="158"/>
        <v>6.1271126</v>
      </c>
      <c r="AT233" s="99">
        <f t="shared" si="158"/>
        <v>6.249654852</v>
      </c>
      <c r="AU233" s="99">
        <f t="shared" si="158"/>
        <v>6.374647949</v>
      </c>
      <c r="AV233" s="99">
        <f t="shared" si="158"/>
        <v>6.502140908</v>
      </c>
      <c r="AW233" s="67"/>
      <c r="AX233" s="90"/>
      <c r="AY233" s="90"/>
      <c r="AZ233" s="90"/>
      <c r="BA233" s="90"/>
      <c r="BB233" s="90"/>
      <c r="BC233" s="90"/>
      <c r="BD233" s="90"/>
      <c r="BE233" s="90"/>
      <c r="BF233" s="90"/>
      <c r="BG233" s="90"/>
      <c r="BH233" s="90"/>
      <c r="BI233" s="90"/>
      <c r="BJ233" s="90"/>
      <c r="BK233" s="90"/>
      <c r="BL233" s="90"/>
      <c r="BM233" s="90"/>
      <c r="BN233" s="90"/>
      <c r="BO233" s="90"/>
      <c r="BP233" s="90"/>
      <c r="BQ233" s="90"/>
    </row>
    <row r="234" ht="12.75" hidden="1" customHeight="1" outlineLevel="1">
      <c r="A234" s="316"/>
      <c r="B234" s="90"/>
      <c r="C234" s="90"/>
      <c r="D234" s="90" t="s">
        <v>772</v>
      </c>
      <c r="E234" s="90"/>
      <c r="F234" s="90"/>
      <c r="G234" s="254"/>
      <c r="H234" s="254"/>
      <c r="I234" s="254"/>
      <c r="J234" s="254"/>
      <c r="K234" s="99">
        <v>9.375</v>
      </c>
      <c r="L234" s="99" t="str">
        <f>'RSGen 1-7'!I235</f>
        <v/>
      </c>
      <c r="M234" s="99">
        <f t="shared" ref="M234:AV234" si="159">L234*(1+M$195)</f>
        <v>0</v>
      </c>
      <c r="N234" s="99">
        <f t="shared" si="159"/>
        <v>0</v>
      </c>
      <c r="O234" s="99">
        <f t="shared" si="159"/>
        <v>0</v>
      </c>
      <c r="P234" s="99">
        <f t="shared" si="159"/>
        <v>0</v>
      </c>
      <c r="Q234" s="99">
        <f t="shared" si="159"/>
        <v>0</v>
      </c>
      <c r="R234" s="99">
        <f t="shared" si="159"/>
        <v>0</v>
      </c>
      <c r="S234" s="99">
        <f t="shared" si="159"/>
        <v>0</v>
      </c>
      <c r="T234" s="99">
        <f t="shared" si="159"/>
        <v>0</v>
      </c>
      <c r="U234" s="99">
        <f t="shared" si="159"/>
        <v>0</v>
      </c>
      <c r="V234" s="99">
        <f t="shared" si="159"/>
        <v>0</v>
      </c>
      <c r="W234" s="99">
        <f t="shared" si="159"/>
        <v>0</v>
      </c>
      <c r="X234" s="99">
        <f t="shared" si="159"/>
        <v>0</v>
      </c>
      <c r="Y234" s="99">
        <f t="shared" si="159"/>
        <v>0</v>
      </c>
      <c r="Z234" s="99">
        <f t="shared" si="159"/>
        <v>0</v>
      </c>
      <c r="AA234" s="99">
        <f t="shared" si="159"/>
        <v>0</v>
      </c>
      <c r="AB234" s="99">
        <f t="shared" si="159"/>
        <v>0</v>
      </c>
      <c r="AC234" s="99">
        <f t="shared" si="159"/>
        <v>0</v>
      </c>
      <c r="AD234" s="99">
        <f t="shared" si="159"/>
        <v>0</v>
      </c>
      <c r="AE234" s="99">
        <f t="shared" si="159"/>
        <v>0</v>
      </c>
      <c r="AF234" s="99">
        <f t="shared" si="159"/>
        <v>0</v>
      </c>
      <c r="AG234" s="99">
        <f t="shared" si="159"/>
        <v>0</v>
      </c>
      <c r="AH234" s="99">
        <f t="shared" si="159"/>
        <v>0</v>
      </c>
      <c r="AI234" s="99">
        <f t="shared" si="159"/>
        <v>0</v>
      </c>
      <c r="AJ234" s="99">
        <f t="shared" si="159"/>
        <v>0</v>
      </c>
      <c r="AK234" s="99">
        <f t="shared" si="159"/>
        <v>0</v>
      </c>
      <c r="AL234" s="99">
        <f t="shared" si="159"/>
        <v>0</v>
      </c>
      <c r="AM234" s="99">
        <f t="shared" si="159"/>
        <v>0</v>
      </c>
      <c r="AN234" s="99">
        <f t="shared" si="159"/>
        <v>0</v>
      </c>
      <c r="AO234" s="99">
        <f t="shared" si="159"/>
        <v>0</v>
      </c>
      <c r="AP234" s="99">
        <f t="shared" si="159"/>
        <v>0</v>
      </c>
      <c r="AQ234" s="99">
        <f t="shared" si="159"/>
        <v>0</v>
      </c>
      <c r="AR234" s="99">
        <f t="shared" si="159"/>
        <v>0</v>
      </c>
      <c r="AS234" s="99">
        <f t="shared" si="159"/>
        <v>0</v>
      </c>
      <c r="AT234" s="99">
        <f t="shared" si="159"/>
        <v>0</v>
      </c>
      <c r="AU234" s="99">
        <f t="shared" si="159"/>
        <v>0</v>
      </c>
      <c r="AV234" s="99">
        <f t="shared" si="159"/>
        <v>0</v>
      </c>
      <c r="AW234" s="67"/>
      <c r="AX234" s="90"/>
      <c r="AY234" s="90"/>
      <c r="AZ234" s="90"/>
      <c r="BA234" s="90"/>
      <c r="BB234" s="90"/>
      <c r="BC234" s="90"/>
      <c r="BD234" s="90"/>
      <c r="BE234" s="90"/>
      <c r="BF234" s="90"/>
      <c r="BG234" s="90"/>
      <c r="BH234" s="90"/>
      <c r="BI234" s="90"/>
      <c r="BJ234" s="90"/>
      <c r="BK234" s="90"/>
      <c r="BL234" s="90"/>
      <c r="BM234" s="90"/>
      <c r="BN234" s="90"/>
      <c r="BO234" s="90"/>
      <c r="BP234" s="90"/>
      <c r="BQ234" s="90"/>
    </row>
    <row r="235" ht="12.75" hidden="1" customHeight="1" outlineLevel="1">
      <c r="A235" s="316"/>
      <c r="B235" s="90"/>
      <c r="C235" s="90"/>
      <c r="D235" s="90" t="s">
        <v>773</v>
      </c>
      <c r="E235" s="90"/>
      <c r="F235" s="90"/>
      <c r="G235" s="254"/>
      <c r="H235" s="254"/>
      <c r="I235" s="254"/>
      <c r="J235" s="254"/>
      <c r="K235" s="99">
        <v>0.0</v>
      </c>
      <c r="L235" s="99">
        <f>'RSGen 1-7'!I236</f>
        <v>5</v>
      </c>
      <c r="M235" s="99">
        <f t="shared" ref="M235:AV235" si="160">L235*(1+M$195)</f>
        <v>5.1</v>
      </c>
      <c r="N235" s="99">
        <f t="shared" si="160"/>
        <v>5.202</v>
      </c>
      <c r="O235" s="99">
        <f t="shared" si="160"/>
        <v>5.30604</v>
      </c>
      <c r="P235" s="99">
        <f t="shared" si="160"/>
        <v>5.4121608</v>
      </c>
      <c r="Q235" s="99">
        <f t="shared" si="160"/>
        <v>5.520404016</v>
      </c>
      <c r="R235" s="99">
        <f t="shared" si="160"/>
        <v>5.630812096</v>
      </c>
      <c r="S235" s="99">
        <f t="shared" si="160"/>
        <v>5.743428338</v>
      </c>
      <c r="T235" s="99">
        <f t="shared" si="160"/>
        <v>5.858296905</v>
      </c>
      <c r="U235" s="99">
        <f t="shared" si="160"/>
        <v>5.975462843</v>
      </c>
      <c r="V235" s="99">
        <f t="shared" si="160"/>
        <v>6.0949721</v>
      </c>
      <c r="W235" s="99">
        <f t="shared" si="160"/>
        <v>6.216871542</v>
      </c>
      <c r="X235" s="99">
        <f t="shared" si="160"/>
        <v>6.341208973</v>
      </c>
      <c r="Y235" s="99">
        <f t="shared" si="160"/>
        <v>6.468033152</v>
      </c>
      <c r="Z235" s="99">
        <f t="shared" si="160"/>
        <v>6.597393815</v>
      </c>
      <c r="AA235" s="99">
        <f t="shared" si="160"/>
        <v>6.729341692</v>
      </c>
      <c r="AB235" s="99">
        <f t="shared" si="160"/>
        <v>6.863928525</v>
      </c>
      <c r="AC235" s="99">
        <f t="shared" si="160"/>
        <v>7.001207096</v>
      </c>
      <c r="AD235" s="99">
        <f t="shared" si="160"/>
        <v>7.141231238</v>
      </c>
      <c r="AE235" s="99">
        <f t="shared" si="160"/>
        <v>7.284055863</v>
      </c>
      <c r="AF235" s="99">
        <f t="shared" si="160"/>
        <v>7.42973698</v>
      </c>
      <c r="AG235" s="99">
        <f t="shared" si="160"/>
        <v>7.578331719</v>
      </c>
      <c r="AH235" s="99">
        <f t="shared" si="160"/>
        <v>7.729898354</v>
      </c>
      <c r="AI235" s="99">
        <f t="shared" si="160"/>
        <v>7.884496321</v>
      </c>
      <c r="AJ235" s="99">
        <f t="shared" si="160"/>
        <v>8.042186247</v>
      </c>
      <c r="AK235" s="99">
        <f t="shared" si="160"/>
        <v>8.203029972</v>
      </c>
      <c r="AL235" s="99">
        <f t="shared" si="160"/>
        <v>8.367090572</v>
      </c>
      <c r="AM235" s="99">
        <f t="shared" si="160"/>
        <v>8.534432383</v>
      </c>
      <c r="AN235" s="99">
        <f t="shared" si="160"/>
        <v>8.705121031</v>
      </c>
      <c r="AO235" s="99">
        <f t="shared" si="160"/>
        <v>8.879223451</v>
      </c>
      <c r="AP235" s="99">
        <f t="shared" si="160"/>
        <v>9.056807921</v>
      </c>
      <c r="AQ235" s="99">
        <f t="shared" si="160"/>
        <v>9.237944079</v>
      </c>
      <c r="AR235" s="99">
        <f t="shared" si="160"/>
        <v>9.422702961</v>
      </c>
      <c r="AS235" s="99">
        <f t="shared" si="160"/>
        <v>9.61115702</v>
      </c>
      <c r="AT235" s="99">
        <f t="shared" si="160"/>
        <v>9.80338016</v>
      </c>
      <c r="AU235" s="99">
        <f t="shared" si="160"/>
        <v>9.999447763</v>
      </c>
      <c r="AV235" s="99">
        <f t="shared" si="160"/>
        <v>10.19943672</v>
      </c>
      <c r="AW235" s="67"/>
      <c r="AX235" s="90"/>
      <c r="AY235" s="90"/>
      <c r="AZ235" s="90"/>
      <c r="BA235" s="90"/>
      <c r="BB235" s="90"/>
      <c r="BC235" s="90"/>
      <c r="BD235" s="90"/>
      <c r="BE235" s="90"/>
      <c r="BF235" s="90"/>
      <c r="BG235" s="90"/>
      <c r="BH235" s="90"/>
      <c r="BI235" s="90"/>
      <c r="BJ235" s="90"/>
      <c r="BK235" s="90"/>
      <c r="BL235" s="90"/>
      <c r="BM235" s="90"/>
      <c r="BN235" s="90"/>
      <c r="BO235" s="90"/>
      <c r="BP235" s="90"/>
      <c r="BQ235" s="90"/>
    </row>
    <row r="236" ht="12.75" hidden="1" customHeight="1" outlineLevel="1">
      <c r="A236" s="316"/>
      <c r="B236" s="90"/>
      <c r="C236" s="90"/>
      <c r="D236" s="90" t="s">
        <v>774</v>
      </c>
      <c r="E236" s="90"/>
      <c r="F236" s="90"/>
      <c r="G236" s="254"/>
      <c r="H236" s="254"/>
      <c r="I236" s="254"/>
      <c r="J236" s="254"/>
      <c r="K236" s="99">
        <v>1.5625</v>
      </c>
      <c r="L236" s="99" t="str">
        <f>'RSGen 1-7'!I237</f>
        <v/>
      </c>
      <c r="M236" s="99">
        <f t="shared" ref="M236:AV236" si="161">L236*(1+M$195)</f>
        <v>0</v>
      </c>
      <c r="N236" s="99">
        <f t="shared" si="161"/>
        <v>0</v>
      </c>
      <c r="O236" s="99">
        <f t="shared" si="161"/>
        <v>0</v>
      </c>
      <c r="P236" s="99">
        <f t="shared" si="161"/>
        <v>0</v>
      </c>
      <c r="Q236" s="99">
        <f t="shared" si="161"/>
        <v>0</v>
      </c>
      <c r="R236" s="99">
        <f t="shared" si="161"/>
        <v>0</v>
      </c>
      <c r="S236" s="99">
        <f t="shared" si="161"/>
        <v>0</v>
      </c>
      <c r="T236" s="99">
        <f t="shared" si="161"/>
        <v>0</v>
      </c>
      <c r="U236" s="99">
        <f t="shared" si="161"/>
        <v>0</v>
      </c>
      <c r="V236" s="99">
        <f t="shared" si="161"/>
        <v>0</v>
      </c>
      <c r="W236" s="99">
        <f t="shared" si="161"/>
        <v>0</v>
      </c>
      <c r="X236" s="99">
        <f t="shared" si="161"/>
        <v>0</v>
      </c>
      <c r="Y236" s="99">
        <f t="shared" si="161"/>
        <v>0</v>
      </c>
      <c r="Z236" s="99">
        <f t="shared" si="161"/>
        <v>0</v>
      </c>
      <c r="AA236" s="99">
        <f t="shared" si="161"/>
        <v>0</v>
      </c>
      <c r="AB236" s="99">
        <f t="shared" si="161"/>
        <v>0</v>
      </c>
      <c r="AC236" s="99">
        <f t="shared" si="161"/>
        <v>0</v>
      </c>
      <c r="AD236" s="99">
        <f t="shared" si="161"/>
        <v>0</v>
      </c>
      <c r="AE236" s="99">
        <f t="shared" si="161"/>
        <v>0</v>
      </c>
      <c r="AF236" s="99">
        <f t="shared" si="161"/>
        <v>0</v>
      </c>
      <c r="AG236" s="99">
        <f t="shared" si="161"/>
        <v>0</v>
      </c>
      <c r="AH236" s="99">
        <f t="shared" si="161"/>
        <v>0</v>
      </c>
      <c r="AI236" s="99">
        <f t="shared" si="161"/>
        <v>0</v>
      </c>
      <c r="AJ236" s="99">
        <f t="shared" si="161"/>
        <v>0</v>
      </c>
      <c r="AK236" s="99">
        <f t="shared" si="161"/>
        <v>0</v>
      </c>
      <c r="AL236" s="99">
        <f t="shared" si="161"/>
        <v>0</v>
      </c>
      <c r="AM236" s="99">
        <f t="shared" si="161"/>
        <v>0</v>
      </c>
      <c r="AN236" s="99">
        <f t="shared" si="161"/>
        <v>0</v>
      </c>
      <c r="AO236" s="99">
        <f t="shared" si="161"/>
        <v>0</v>
      </c>
      <c r="AP236" s="99">
        <f t="shared" si="161"/>
        <v>0</v>
      </c>
      <c r="AQ236" s="99">
        <f t="shared" si="161"/>
        <v>0</v>
      </c>
      <c r="AR236" s="99">
        <f t="shared" si="161"/>
        <v>0</v>
      </c>
      <c r="AS236" s="99">
        <f t="shared" si="161"/>
        <v>0</v>
      </c>
      <c r="AT236" s="99">
        <f t="shared" si="161"/>
        <v>0</v>
      </c>
      <c r="AU236" s="99">
        <f t="shared" si="161"/>
        <v>0</v>
      </c>
      <c r="AV236" s="99">
        <f t="shared" si="161"/>
        <v>0</v>
      </c>
      <c r="AW236" s="67"/>
      <c r="AX236" s="90"/>
      <c r="AY236" s="90"/>
      <c r="AZ236" s="90"/>
      <c r="BA236" s="90"/>
      <c r="BB236" s="90"/>
      <c r="BC236" s="90"/>
      <c r="BD236" s="90"/>
      <c r="BE236" s="90"/>
      <c r="BF236" s="90"/>
      <c r="BG236" s="90"/>
      <c r="BH236" s="90"/>
      <c r="BI236" s="90"/>
      <c r="BJ236" s="90"/>
      <c r="BK236" s="90"/>
      <c r="BL236" s="90"/>
      <c r="BM236" s="90"/>
      <c r="BN236" s="90"/>
      <c r="BO236" s="90"/>
      <c r="BP236" s="90"/>
      <c r="BQ236" s="90"/>
    </row>
    <row r="237" ht="12.75" hidden="1" customHeight="1" outlineLevel="1">
      <c r="A237" s="316"/>
      <c r="B237" s="90"/>
      <c r="C237" s="90"/>
      <c r="D237" s="90"/>
      <c r="E237" s="90"/>
      <c r="F237" s="90"/>
      <c r="G237" s="90"/>
      <c r="H237" s="99"/>
      <c r="I237" s="99"/>
      <c r="J237" s="99"/>
      <c r="K237" s="99"/>
      <c r="L237" s="99"/>
      <c r="M237" s="99"/>
      <c r="N237" s="99"/>
      <c r="O237" s="99"/>
      <c r="P237" s="99"/>
      <c r="Q237" s="99"/>
      <c r="R237" s="99"/>
      <c r="S237" s="99"/>
      <c r="T237" s="99"/>
      <c r="U237" s="99"/>
      <c r="V237" s="99"/>
      <c r="W237" s="99"/>
      <c r="X237" s="99"/>
      <c r="Y237" s="99"/>
      <c r="Z237" s="99"/>
      <c r="AA237" s="99"/>
      <c r="AB237" s="99"/>
      <c r="AC237" s="99"/>
      <c r="AD237" s="99"/>
      <c r="AE237" s="99"/>
      <c r="AF237" s="99"/>
      <c r="AG237" s="99"/>
      <c r="AH237" s="99"/>
      <c r="AI237" s="99"/>
      <c r="AJ237" s="99"/>
      <c r="AK237" s="99"/>
      <c r="AL237" s="99"/>
      <c r="AM237" s="99"/>
      <c r="AN237" s="99"/>
      <c r="AO237" s="99"/>
      <c r="AP237" s="99"/>
      <c r="AQ237" s="99"/>
      <c r="AR237" s="99"/>
      <c r="AS237" s="99"/>
      <c r="AT237" s="99"/>
      <c r="AU237" s="99"/>
      <c r="AV237" s="99"/>
      <c r="AW237" s="90"/>
      <c r="AX237" s="90"/>
      <c r="AY237" s="90"/>
      <c r="AZ237" s="90"/>
      <c r="BA237" s="90"/>
      <c r="BB237" s="90"/>
      <c r="BC237" s="90"/>
      <c r="BD237" s="90"/>
      <c r="BE237" s="90"/>
      <c r="BF237" s="90"/>
      <c r="BG237" s="90"/>
      <c r="BH237" s="90"/>
      <c r="BI237" s="90"/>
      <c r="BJ237" s="90"/>
      <c r="BK237" s="90"/>
      <c r="BL237" s="90"/>
      <c r="BM237" s="90"/>
      <c r="BN237" s="90"/>
      <c r="BO237" s="90"/>
      <c r="BP237" s="90"/>
      <c r="BQ237" s="90"/>
    </row>
    <row r="238" ht="12.75" hidden="1" customHeight="1" outlineLevel="1">
      <c r="A238" s="316"/>
      <c r="B238" s="67" t="s">
        <v>775</v>
      </c>
      <c r="C238" s="90"/>
      <c r="D238" s="90"/>
      <c r="E238" s="90"/>
      <c r="F238" s="90"/>
      <c r="G238" s="254"/>
      <c r="H238" s="254"/>
      <c r="I238" s="254"/>
      <c r="J238" s="254"/>
      <c r="K238" s="99">
        <f>'RS2'!J237</f>
        <v>0</v>
      </c>
      <c r="L238" s="99">
        <f>'RS2'!K237</f>
        <v>0</v>
      </c>
      <c r="M238" s="99">
        <f>'RS2'!L237</f>
        <v>0</v>
      </c>
      <c r="N238" s="99">
        <f>'RS2'!M237</f>
        <v>0</v>
      </c>
      <c r="O238" s="99">
        <f>'RS2'!N237</f>
        <v>0</v>
      </c>
      <c r="P238" s="99">
        <f>'RS2'!O237</f>
        <v>0</v>
      </c>
      <c r="Q238" s="99">
        <f>'RS2'!P237</f>
        <v>0</v>
      </c>
      <c r="R238" s="99">
        <f>'RS2'!Q237</f>
        <v>0</v>
      </c>
      <c r="S238" s="99">
        <f>'RS2'!R237</f>
        <v>0</v>
      </c>
      <c r="T238" s="99">
        <f>'RS2'!S237</f>
        <v>0</v>
      </c>
      <c r="U238" s="99">
        <f>'RS2'!T237</f>
        <v>0</v>
      </c>
      <c r="V238" s="99">
        <f>'RS2'!U237</f>
        <v>0</v>
      </c>
      <c r="W238" s="99">
        <f>'RS2'!V237</f>
        <v>0</v>
      </c>
      <c r="X238" s="99">
        <f>'RS2'!W237</f>
        <v>0</v>
      </c>
      <c r="Y238" s="99">
        <f>'RS2'!X237</f>
        <v>0</v>
      </c>
      <c r="Z238" s="99">
        <f>'RS2'!Y237</f>
        <v>0</v>
      </c>
      <c r="AA238" s="99">
        <f>'RS2'!Z237</f>
        <v>0</v>
      </c>
      <c r="AB238" s="99">
        <f>'RS2'!AA237</f>
        <v>0</v>
      </c>
      <c r="AC238" s="99">
        <f>'RS2'!AB237</f>
        <v>0</v>
      </c>
      <c r="AD238" s="99">
        <f>'RS2'!AC237</f>
        <v>0</v>
      </c>
      <c r="AE238" s="99">
        <f>'RS2'!AD237</f>
        <v>0</v>
      </c>
      <c r="AF238" s="99">
        <f>'RS2'!AE237</f>
        <v>0</v>
      </c>
      <c r="AG238" s="99">
        <f>'RS2'!AF237</f>
        <v>0</v>
      </c>
      <c r="AH238" s="99">
        <f>'RS2'!AG237</f>
        <v>0</v>
      </c>
      <c r="AI238" s="99">
        <f>'RS2'!AH237</f>
        <v>0</v>
      </c>
      <c r="AJ238" s="99">
        <f>'RS2'!AI237</f>
        <v>0</v>
      </c>
      <c r="AK238" s="99">
        <f>'RS2'!AJ237</f>
        <v>0</v>
      </c>
      <c r="AL238" s="99">
        <f>'RS2'!AK237</f>
        <v>0</v>
      </c>
      <c r="AM238" s="99">
        <f>'RS2'!AL237</f>
        <v>0</v>
      </c>
      <c r="AN238" s="99">
        <f>'RS2'!AM237</f>
        <v>0</v>
      </c>
      <c r="AO238" s="99">
        <f>'RS2'!AN237</f>
        <v>0</v>
      </c>
      <c r="AP238" s="99">
        <f>'RS2'!AO237</f>
        <v>0</v>
      </c>
      <c r="AQ238" s="99">
        <f>'RS2'!AP237</f>
        <v>0</v>
      </c>
      <c r="AR238" s="99">
        <f>'RS2'!AQ237</f>
        <v>0</v>
      </c>
      <c r="AS238" s="99">
        <f>'RS2'!AR237</f>
        <v>0</v>
      </c>
      <c r="AT238" s="99">
        <f>'RS2'!AS237</f>
        <v>0</v>
      </c>
      <c r="AU238" s="99">
        <f>'RS2'!AT237</f>
        <v>0</v>
      </c>
      <c r="AV238" s="99">
        <f>'RS2'!AU237</f>
        <v>0</v>
      </c>
      <c r="AW238" s="90"/>
      <c r="AX238" s="90"/>
      <c r="AY238" s="90"/>
      <c r="AZ238" s="90"/>
      <c r="BA238" s="90"/>
      <c r="BB238" s="90"/>
      <c r="BC238" s="90"/>
      <c r="BD238" s="90"/>
      <c r="BE238" s="90"/>
      <c r="BF238" s="90"/>
      <c r="BG238" s="90"/>
      <c r="BH238" s="90"/>
      <c r="BI238" s="90"/>
      <c r="BJ238" s="90"/>
      <c r="BK238" s="90"/>
      <c r="BL238" s="90"/>
      <c r="BM238" s="90"/>
      <c r="BN238" s="90"/>
      <c r="BO238" s="90"/>
      <c r="BP238" s="90"/>
      <c r="BQ238" s="90"/>
    </row>
    <row r="239" ht="12.75" hidden="1" customHeight="1" outlineLevel="1">
      <c r="A239" s="316"/>
      <c r="B239" s="90"/>
      <c r="C239" s="90"/>
      <c r="D239" s="90"/>
      <c r="E239" s="90"/>
      <c r="F239" s="90"/>
      <c r="G239" s="90"/>
      <c r="H239" s="99"/>
      <c r="I239" s="99"/>
      <c r="J239" s="99"/>
      <c r="K239" s="99"/>
      <c r="L239" s="99"/>
      <c r="M239" s="99"/>
      <c r="N239" s="99"/>
      <c r="O239" s="99"/>
      <c r="P239" s="99"/>
      <c r="Q239" s="99"/>
      <c r="R239" s="99"/>
      <c r="S239" s="99"/>
      <c r="T239" s="99"/>
      <c r="U239" s="99"/>
      <c r="V239" s="99"/>
      <c r="W239" s="99"/>
      <c r="X239" s="99"/>
      <c r="Y239" s="99"/>
      <c r="Z239" s="99"/>
      <c r="AA239" s="99"/>
      <c r="AB239" s="99"/>
      <c r="AC239" s="99"/>
      <c r="AD239" s="99"/>
      <c r="AE239" s="99"/>
      <c r="AF239" s="99"/>
      <c r="AG239" s="99"/>
      <c r="AH239" s="99"/>
      <c r="AI239" s="99"/>
      <c r="AJ239" s="99"/>
      <c r="AK239" s="99"/>
      <c r="AL239" s="99"/>
      <c r="AM239" s="99"/>
      <c r="AN239" s="99"/>
      <c r="AO239" s="99"/>
      <c r="AP239" s="99"/>
      <c r="AQ239" s="99"/>
      <c r="AR239" s="99"/>
      <c r="AS239" s="99"/>
      <c r="AT239" s="99"/>
      <c r="AU239" s="99"/>
      <c r="AV239" s="99"/>
      <c r="AW239" s="90"/>
      <c r="AX239" s="90"/>
      <c r="AY239" s="90"/>
      <c r="AZ239" s="90"/>
      <c r="BA239" s="90"/>
      <c r="BB239" s="90"/>
      <c r="BC239" s="90"/>
      <c r="BD239" s="90"/>
      <c r="BE239" s="90"/>
      <c r="BF239" s="90"/>
      <c r="BG239" s="90"/>
      <c r="BH239" s="90"/>
      <c r="BI239" s="90"/>
      <c r="BJ239" s="90"/>
      <c r="BK239" s="90"/>
      <c r="BL239" s="90"/>
      <c r="BM239" s="90"/>
      <c r="BN239" s="90"/>
      <c r="BO239" s="90"/>
      <c r="BP239" s="90"/>
      <c r="BQ239" s="90"/>
    </row>
    <row r="240" ht="12.75" hidden="1" customHeight="1" outlineLevel="1">
      <c r="A240" s="316"/>
      <c r="B240" s="67" t="s">
        <v>555</v>
      </c>
      <c r="C240" s="90"/>
      <c r="D240" s="90"/>
      <c r="E240" s="90"/>
      <c r="F240" s="90"/>
      <c r="G240" s="90"/>
      <c r="H240" s="90"/>
      <c r="I240" s="90"/>
      <c r="J240" s="90"/>
      <c r="K240" s="90"/>
      <c r="L240" s="90"/>
      <c r="M240" s="90"/>
      <c r="N240" s="90"/>
      <c r="O240" s="90"/>
      <c r="P240" s="90"/>
      <c r="Q240" s="90"/>
      <c r="R240" s="90"/>
      <c r="S240" s="90"/>
      <c r="T240" s="90"/>
      <c r="U240" s="90"/>
      <c r="V240" s="90"/>
      <c r="W240" s="90"/>
      <c r="X240" s="90"/>
      <c r="Y240" s="90"/>
      <c r="Z240" s="90"/>
      <c r="AA240" s="90"/>
      <c r="AB240" s="90"/>
      <c r="AC240" s="90"/>
      <c r="AD240" s="90"/>
      <c r="AE240" s="90"/>
      <c r="AF240" s="90"/>
      <c r="AG240" s="90"/>
      <c r="AH240" s="90"/>
      <c r="AI240" s="90"/>
      <c r="AJ240" s="90"/>
      <c r="AK240" s="90"/>
      <c r="AL240" s="90"/>
      <c r="AM240" s="90"/>
      <c r="AN240" s="90"/>
      <c r="AO240" s="90"/>
      <c r="AP240" s="90"/>
      <c r="AQ240" s="90"/>
      <c r="AR240" s="90"/>
      <c r="AS240" s="90"/>
      <c r="AT240" s="90"/>
      <c r="AU240" s="90"/>
      <c r="AV240" s="90"/>
      <c r="AW240" s="90"/>
      <c r="AX240" s="90"/>
      <c r="AY240" s="90"/>
      <c r="AZ240" s="90"/>
      <c r="BA240" s="90"/>
      <c r="BB240" s="90"/>
      <c r="BC240" s="90"/>
      <c r="BD240" s="90"/>
      <c r="BE240" s="90"/>
      <c r="BF240" s="90"/>
      <c r="BG240" s="90"/>
      <c r="BH240" s="90"/>
      <c r="BI240" s="90"/>
      <c r="BJ240" s="90"/>
      <c r="BK240" s="90"/>
      <c r="BL240" s="90"/>
      <c r="BM240" s="90"/>
      <c r="BN240" s="90"/>
      <c r="BO240" s="90"/>
      <c r="BP240" s="90"/>
      <c r="BQ240" s="90"/>
    </row>
    <row r="241" ht="12.75" hidden="1" customHeight="1" outlineLevel="1">
      <c r="A241" s="316"/>
      <c r="B241" s="67"/>
      <c r="C241" s="90" t="s">
        <v>776</v>
      </c>
      <c r="D241" s="90"/>
      <c r="E241" s="90"/>
      <c r="F241" s="90"/>
      <c r="G241" s="90"/>
      <c r="H241" s="90"/>
      <c r="I241" s="90"/>
      <c r="J241" s="90"/>
      <c r="K241" s="90"/>
      <c r="L241" s="90"/>
      <c r="M241" s="90"/>
      <c r="N241" s="90"/>
      <c r="O241" s="90"/>
      <c r="P241" s="90"/>
      <c r="Q241" s="90"/>
      <c r="R241" s="90"/>
      <c r="S241" s="90"/>
      <c r="T241" s="90"/>
      <c r="U241" s="90"/>
      <c r="V241" s="90"/>
      <c r="W241" s="90"/>
      <c r="X241" s="90"/>
      <c r="Y241" s="90"/>
      <c r="Z241" s="90"/>
      <c r="AA241" s="90"/>
      <c r="AB241" s="90"/>
      <c r="AC241" s="90"/>
      <c r="AD241" s="90"/>
      <c r="AE241" s="90"/>
      <c r="AF241" s="90"/>
      <c r="AG241" s="90"/>
      <c r="AH241" s="90"/>
      <c r="AI241" s="90"/>
      <c r="AJ241" s="90"/>
      <c r="AK241" s="90"/>
      <c r="AL241" s="90"/>
      <c r="AM241" s="90"/>
      <c r="AN241" s="90"/>
      <c r="AO241" s="90"/>
      <c r="AP241" s="90"/>
      <c r="AQ241" s="90"/>
      <c r="AR241" s="90"/>
      <c r="AS241" s="90"/>
      <c r="AT241" s="90"/>
      <c r="AU241" s="90"/>
      <c r="AV241" s="90"/>
      <c r="AW241" s="90"/>
      <c r="AX241" s="90"/>
      <c r="AY241" s="90"/>
      <c r="AZ241" s="90"/>
      <c r="BA241" s="90"/>
      <c r="BB241" s="90"/>
      <c r="BC241" s="90"/>
      <c r="BD241" s="90"/>
      <c r="BE241" s="90"/>
      <c r="BF241" s="90"/>
      <c r="BG241" s="90"/>
      <c r="BH241" s="90"/>
      <c r="BI241" s="90"/>
      <c r="BJ241" s="90"/>
      <c r="BK241" s="90"/>
      <c r="BL241" s="90"/>
      <c r="BM241" s="90"/>
      <c r="BN241" s="90"/>
      <c r="BO241" s="90"/>
      <c r="BP241" s="90"/>
      <c r="BQ241" s="90"/>
    </row>
    <row r="242" ht="12.75" hidden="1" customHeight="1" outlineLevel="1">
      <c r="A242" s="316"/>
      <c r="B242" s="90"/>
      <c r="C242" s="90"/>
      <c r="D242" s="90" t="s">
        <v>1251</v>
      </c>
      <c r="E242" s="90"/>
      <c r="F242" s="90"/>
      <c r="G242" s="157"/>
      <c r="H242" s="152"/>
      <c r="I242" s="157"/>
      <c r="J242" s="157"/>
      <c r="K242" s="302">
        <f>'RSGen 1-7'!H243</f>
        <v>0.12</v>
      </c>
      <c r="L242" s="302">
        <f>'RSGen 1-7'!I243</f>
        <v>0.12</v>
      </c>
      <c r="M242" s="302">
        <v>0.115</v>
      </c>
      <c r="N242" s="302">
        <f>'RSGen 1-7'!K243</f>
        <v>0.12</v>
      </c>
      <c r="O242" s="302">
        <f>'RSGen 1-7'!L243</f>
        <v>0.12</v>
      </c>
      <c r="P242" s="302">
        <f>'RSGen 1-7'!M243</f>
        <v>0.12</v>
      </c>
      <c r="Q242" s="302">
        <f>'RSGen 1-7'!N243</f>
        <v>0.12</v>
      </c>
      <c r="R242" s="302">
        <f>'RSGen 1-7'!O243</f>
        <v>0.12</v>
      </c>
      <c r="S242" s="302">
        <f>'RSGen 1-7'!P243</f>
        <v>0.12</v>
      </c>
      <c r="T242" s="302">
        <f>'RSGen 1-7'!Q243</f>
        <v>0.12</v>
      </c>
      <c r="U242" s="302">
        <f>'RSGen 1-7'!R243</f>
        <v>0.12</v>
      </c>
      <c r="V242" s="302">
        <f t="shared" ref="V242:AV242" si="162">U242</f>
        <v>0.12</v>
      </c>
      <c r="W242" s="302">
        <f t="shared" si="162"/>
        <v>0.12</v>
      </c>
      <c r="X242" s="302">
        <f t="shared" si="162"/>
        <v>0.12</v>
      </c>
      <c r="Y242" s="302">
        <f t="shared" si="162"/>
        <v>0.12</v>
      </c>
      <c r="Z242" s="302">
        <f t="shared" si="162"/>
        <v>0.12</v>
      </c>
      <c r="AA242" s="302">
        <f t="shared" si="162"/>
        <v>0.12</v>
      </c>
      <c r="AB242" s="302">
        <f t="shared" si="162"/>
        <v>0.12</v>
      </c>
      <c r="AC242" s="302">
        <f t="shared" si="162"/>
        <v>0.12</v>
      </c>
      <c r="AD242" s="302">
        <f t="shared" si="162"/>
        <v>0.12</v>
      </c>
      <c r="AE242" s="302">
        <f t="shared" si="162"/>
        <v>0.12</v>
      </c>
      <c r="AF242" s="302">
        <f t="shared" si="162"/>
        <v>0.12</v>
      </c>
      <c r="AG242" s="302">
        <f t="shared" si="162"/>
        <v>0.12</v>
      </c>
      <c r="AH242" s="302">
        <f t="shared" si="162"/>
        <v>0.12</v>
      </c>
      <c r="AI242" s="302">
        <f t="shared" si="162"/>
        <v>0.12</v>
      </c>
      <c r="AJ242" s="302">
        <f t="shared" si="162"/>
        <v>0.12</v>
      </c>
      <c r="AK242" s="302">
        <f t="shared" si="162"/>
        <v>0.12</v>
      </c>
      <c r="AL242" s="302">
        <f t="shared" si="162"/>
        <v>0.12</v>
      </c>
      <c r="AM242" s="302">
        <f t="shared" si="162"/>
        <v>0.12</v>
      </c>
      <c r="AN242" s="302">
        <f t="shared" si="162"/>
        <v>0.12</v>
      </c>
      <c r="AO242" s="302">
        <f t="shared" si="162"/>
        <v>0.12</v>
      </c>
      <c r="AP242" s="302">
        <f t="shared" si="162"/>
        <v>0.12</v>
      </c>
      <c r="AQ242" s="302">
        <f t="shared" si="162"/>
        <v>0.12</v>
      </c>
      <c r="AR242" s="302">
        <f t="shared" si="162"/>
        <v>0.12</v>
      </c>
      <c r="AS242" s="302">
        <f t="shared" si="162"/>
        <v>0.12</v>
      </c>
      <c r="AT242" s="302">
        <f t="shared" si="162"/>
        <v>0.12</v>
      </c>
      <c r="AU242" s="302">
        <f t="shared" si="162"/>
        <v>0.12</v>
      </c>
      <c r="AV242" s="302">
        <f t="shared" si="162"/>
        <v>0.12</v>
      </c>
      <c r="AW242" s="90" t="s">
        <v>1205</v>
      </c>
      <c r="AX242" s="90"/>
      <c r="AY242" s="90"/>
      <c r="AZ242" s="90"/>
      <c r="BA242" s="90"/>
      <c r="BB242" s="90"/>
      <c r="BC242" s="90"/>
      <c r="BD242" s="90"/>
      <c r="BE242" s="90"/>
      <c r="BF242" s="90"/>
      <c r="BG242" s="90"/>
      <c r="BH242" s="90"/>
      <c r="BI242" s="90"/>
      <c r="BJ242" s="90"/>
      <c r="BK242" s="90"/>
      <c r="BL242" s="90"/>
      <c r="BM242" s="90"/>
      <c r="BN242" s="90"/>
      <c r="BO242" s="90"/>
      <c r="BP242" s="90"/>
      <c r="BQ242" s="90"/>
    </row>
    <row r="243" ht="12.75" hidden="1" customHeight="1" outlineLevel="1">
      <c r="A243" s="316"/>
      <c r="B243" s="90"/>
      <c r="C243" s="90"/>
      <c r="D243" s="90" t="s">
        <v>183</v>
      </c>
      <c r="E243" s="90"/>
      <c r="F243" s="90"/>
      <c r="G243" s="157"/>
      <c r="H243" s="152"/>
      <c r="I243" s="157"/>
      <c r="J243" s="157"/>
      <c r="K243" s="302">
        <f>'RSGen 1-7'!H244</f>
        <v>0</v>
      </c>
      <c r="L243" s="302">
        <f>'RSGen 1-7'!I244</f>
        <v>0.2</v>
      </c>
      <c r="M243" s="302">
        <f>'RSGen 1-7'!J244</f>
        <v>0.2</v>
      </c>
      <c r="N243" s="302">
        <f>'RSGen 1-7'!K244</f>
        <v>0.2</v>
      </c>
      <c r="O243" s="302">
        <f>'RSGen 1-7'!L244</f>
        <v>0.2</v>
      </c>
      <c r="P243" s="302">
        <f>'RSGen 1-7'!M244</f>
        <v>0.2</v>
      </c>
      <c r="Q243" s="302">
        <f>'RSGen 1-7'!N244</f>
        <v>0.2</v>
      </c>
      <c r="R243" s="302">
        <f>'RSGen 1-7'!O244</f>
        <v>0.2</v>
      </c>
      <c r="S243" s="302">
        <f>'RSGen 1-7'!P244</f>
        <v>0.2</v>
      </c>
      <c r="T243" s="302">
        <f>'RSGen 1-7'!Q244</f>
        <v>0.2</v>
      </c>
      <c r="U243" s="302">
        <f>'RSGen 1-7'!R244</f>
        <v>0.2</v>
      </c>
      <c r="V243" s="302">
        <f t="shared" ref="V243:AV243" si="163">U243</f>
        <v>0.2</v>
      </c>
      <c r="W243" s="302">
        <f t="shared" si="163"/>
        <v>0.2</v>
      </c>
      <c r="X243" s="302">
        <f t="shared" si="163"/>
        <v>0.2</v>
      </c>
      <c r="Y243" s="302">
        <f t="shared" si="163"/>
        <v>0.2</v>
      </c>
      <c r="Z243" s="302">
        <f t="shared" si="163"/>
        <v>0.2</v>
      </c>
      <c r="AA243" s="302">
        <f t="shared" si="163"/>
        <v>0.2</v>
      </c>
      <c r="AB243" s="302">
        <f t="shared" si="163"/>
        <v>0.2</v>
      </c>
      <c r="AC243" s="302">
        <f t="shared" si="163"/>
        <v>0.2</v>
      </c>
      <c r="AD243" s="302">
        <f t="shared" si="163"/>
        <v>0.2</v>
      </c>
      <c r="AE243" s="302">
        <f t="shared" si="163"/>
        <v>0.2</v>
      </c>
      <c r="AF243" s="302">
        <f t="shared" si="163"/>
        <v>0.2</v>
      </c>
      <c r="AG243" s="302">
        <f t="shared" si="163"/>
        <v>0.2</v>
      </c>
      <c r="AH243" s="302">
        <f t="shared" si="163"/>
        <v>0.2</v>
      </c>
      <c r="AI243" s="302">
        <f t="shared" si="163"/>
        <v>0.2</v>
      </c>
      <c r="AJ243" s="302">
        <f t="shared" si="163"/>
        <v>0.2</v>
      </c>
      <c r="AK243" s="302">
        <f t="shared" si="163"/>
        <v>0.2</v>
      </c>
      <c r="AL243" s="302">
        <f t="shared" si="163"/>
        <v>0.2</v>
      </c>
      <c r="AM243" s="302">
        <f t="shared" si="163"/>
        <v>0.2</v>
      </c>
      <c r="AN243" s="302">
        <f t="shared" si="163"/>
        <v>0.2</v>
      </c>
      <c r="AO243" s="302">
        <f t="shared" si="163"/>
        <v>0.2</v>
      </c>
      <c r="AP243" s="302">
        <f t="shared" si="163"/>
        <v>0.2</v>
      </c>
      <c r="AQ243" s="302">
        <f t="shared" si="163"/>
        <v>0.2</v>
      </c>
      <c r="AR243" s="302">
        <f t="shared" si="163"/>
        <v>0.2</v>
      </c>
      <c r="AS243" s="302">
        <f t="shared" si="163"/>
        <v>0.2</v>
      </c>
      <c r="AT243" s="302">
        <f t="shared" si="163"/>
        <v>0.2</v>
      </c>
      <c r="AU243" s="302">
        <f t="shared" si="163"/>
        <v>0.2</v>
      </c>
      <c r="AV243" s="302">
        <f t="shared" si="163"/>
        <v>0.2</v>
      </c>
      <c r="AW243" s="90" t="s">
        <v>1205</v>
      </c>
      <c r="AX243" s="90"/>
      <c r="AY243" s="90"/>
      <c r="AZ243" s="90"/>
      <c r="BA243" s="90"/>
      <c r="BB243" s="90"/>
      <c r="BC243" s="90"/>
      <c r="BD243" s="90"/>
      <c r="BE243" s="90"/>
      <c r="BF243" s="90"/>
      <c r="BG243" s="90"/>
      <c r="BH243" s="90"/>
      <c r="BI243" s="90"/>
      <c r="BJ243" s="90"/>
      <c r="BK243" s="90"/>
      <c r="BL243" s="90"/>
      <c r="BM243" s="90"/>
      <c r="BN243" s="90"/>
      <c r="BO243" s="90"/>
      <c r="BP243" s="90"/>
      <c r="BQ243" s="90"/>
    </row>
    <row r="244" ht="12.75" hidden="1" customHeight="1" outlineLevel="1">
      <c r="A244" s="316"/>
      <c r="B244" s="90"/>
      <c r="C244" s="90"/>
      <c r="D244" s="90" t="s">
        <v>1252</v>
      </c>
      <c r="E244" s="90"/>
      <c r="F244" s="90"/>
      <c r="G244" s="157"/>
      <c r="H244" s="152"/>
      <c r="I244" s="157"/>
      <c r="J244" s="157"/>
      <c r="K244" s="302">
        <f>'RSGen 1-7'!H245</f>
        <v>0.03</v>
      </c>
      <c r="L244" s="302">
        <f>'RSGen 1-7'!I245</f>
        <v>0.03</v>
      </c>
      <c r="M244" s="302">
        <f>'RSGen 1-7'!J245</f>
        <v>0.03</v>
      </c>
      <c r="N244" s="302">
        <f>'RSGen 1-7'!K245</f>
        <v>0.03</v>
      </c>
      <c r="O244" s="302">
        <f>'RSGen 1-7'!L245</f>
        <v>0.03</v>
      </c>
      <c r="P244" s="302">
        <f>'RSGen 1-7'!M245</f>
        <v>0.03</v>
      </c>
      <c r="Q244" s="302">
        <f>'RSGen 1-7'!N245</f>
        <v>0.03</v>
      </c>
      <c r="R244" s="302">
        <f>'RSGen 1-7'!O245</f>
        <v>0.03</v>
      </c>
      <c r="S244" s="302">
        <f>'RSGen 1-7'!P245</f>
        <v>0.03</v>
      </c>
      <c r="T244" s="302">
        <f>'RSGen 1-7'!Q245</f>
        <v>0.03</v>
      </c>
      <c r="U244" s="302">
        <f>'RSGen 1-7'!R245</f>
        <v>0.03</v>
      </c>
      <c r="V244" s="302">
        <f t="shared" ref="V244:AV244" si="164">U244</f>
        <v>0.03</v>
      </c>
      <c r="W244" s="302">
        <f t="shared" si="164"/>
        <v>0.03</v>
      </c>
      <c r="X244" s="302">
        <f t="shared" si="164"/>
        <v>0.03</v>
      </c>
      <c r="Y244" s="302">
        <f t="shared" si="164"/>
        <v>0.03</v>
      </c>
      <c r="Z244" s="302">
        <f t="shared" si="164"/>
        <v>0.03</v>
      </c>
      <c r="AA244" s="302">
        <f t="shared" si="164"/>
        <v>0.03</v>
      </c>
      <c r="AB244" s="302">
        <f t="shared" si="164"/>
        <v>0.03</v>
      </c>
      <c r="AC244" s="302">
        <f t="shared" si="164"/>
        <v>0.03</v>
      </c>
      <c r="AD244" s="302">
        <f t="shared" si="164"/>
        <v>0.03</v>
      </c>
      <c r="AE244" s="302">
        <f t="shared" si="164"/>
        <v>0.03</v>
      </c>
      <c r="AF244" s="302">
        <f t="shared" si="164"/>
        <v>0.03</v>
      </c>
      <c r="AG244" s="302">
        <f t="shared" si="164"/>
        <v>0.03</v>
      </c>
      <c r="AH244" s="302">
        <f t="shared" si="164"/>
        <v>0.03</v>
      </c>
      <c r="AI244" s="302">
        <f t="shared" si="164"/>
        <v>0.03</v>
      </c>
      <c r="AJ244" s="302">
        <f t="shared" si="164"/>
        <v>0.03</v>
      </c>
      <c r="AK244" s="302">
        <f t="shared" si="164"/>
        <v>0.03</v>
      </c>
      <c r="AL244" s="302">
        <f t="shared" si="164"/>
        <v>0.03</v>
      </c>
      <c r="AM244" s="302">
        <f t="shared" si="164"/>
        <v>0.03</v>
      </c>
      <c r="AN244" s="302">
        <f t="shared" si="164"/>
        <v>0.03</v>
      </c>
      <c r="AO244" s="302">
        <f t="shared" si="164"/>
        <v>0.03</v>
      </c>
      <c r="AP244" s="302">
        <f t="shared" si="164"/>
        <v>0.03</v>
      </c>
      <c r="AQ244" s="302">
        <f t="shared" si="164"/>
        <v>0.03</v>
      </c>
      <c r="AR244" s="302">
        <f t="shared" si="164"/>
        <v>0.03</v>
      </c>
      <c r="AS244" s="302">
        <f t="shared" si="164"/>
        <v>0.03</v>
      </c>
      <c r="AT244" s="302">
        <f t="shared" si="164"/>
        <v>0.03</v>
      </c>
      <c r="AU244" s="302">
        <f t="shared" si="164"/>
        <v>0.03</v>
      </c>
      <c r="AV244" s="302">
        <f t="shared" si="164"/>
        <v>0.03</v>
      </c>
      <c r="AW244" s="90" t="s">
        <v>1205</v>
      </c>
      <c r="AX244" s="90"/>
      <c r="AY244" s="90"/>
      <c r="AZ244" s="90"/>
      <c r="BA244" s="90"/>
      <c r="BB244" s="90"/>
      <c r="BC244" s="90"/>
      <c r="BD244" s="90"/>
      <c r="BE244" s="90"/>
      <c r="BF244" s="90"/>
      <c r="BG244" s="90"/>
      <c r="BH244" s="90"/>
      <c r="BI244" s="90"/>
      <c r="BJ244" s="90"/>
      <c r="BK244" s="90"/>
      <c r="BL244" s="90"/>
      <c r="BM244" s="90"/>
      <c r="BN244" s="90"/>
      <c r="BO244" s="90"/>
      <c r="BP244" s="90"/>
      <c r="BQ244" s="90"/>
    </row>
    <row r="245" ht="12.75" hidden="1" customHeight="1" outlineLevel="1">
      <c r="A245" s="316"/>
      <c r="B245" s="90"/>
      <c r="C245" s="148" t="s">
        <v>777</v>
      </c>
      <c r="D245" s="148"/>
      <c r="E245" s="148"/>
      <c r="F245" s="148"/>
      <c r="G245" s="541"/>
      <c r="H245" s="375"/>
      <c r="I245" s="375"/>
      <c r="J245" s="375"/>
      <c r="K245" s="375">
        <f t="shared" ref="K245:AV245" si="165">SUM(K242:K244)</f>
        <v>0.15</v>
      </c>
      <c r="L245" s="375">
        <f t="shared" si="165"/>
        <v>0.35</v>
      </c>
      <c r="M245" s="375">
        <f t="shared" si="165"/>
        <v>0.345</v>
      </c>
      <c r="N245" s="375">
        <f t="shared" si="165"/>
        <v>0.35</v>
      </c>
      <c r="O245" s="375">
        <f t="shared" si="165"/>
        <v>0.35</v>
      </c>
      <c r="P245" s="375">
        <f t="shared" si="165"/>
        <v>0.35</v>
      </c>
      <c r="Q245" s="375">
        <f t="shared" si="165"/>
        <v>0.35</v>
      </c>
      <c r="R245" s="375">
        <f t="shared" si="165"/>
        <v>0.35</v>
      </c>
      <c r="S245" s="375">
        <f t="shared" si="165"/>
        <v>0.35</v>
      </c>
      <c r="T245" s="375">
        <f t="shared" si="165"/>
        <v>0.35</v>
      </c>
      <c r="U245" s="375">
        <f t="shared" si="165"/>
        <v>0.35</v>
      </c>
      <c r="V245" s="375">
        <f t="shared" si="165"/>
        <v>0.35</v>
      </c>
      <c r="W245" s="375">
        <f t="shared" si="165"/>
        <v>0.35</v>
      </c>
      <c r="X245" s="375">
        <f t="shared" si="165"/>
        <v>0.35</v>
      </c>
      <c r="Y245" s="375">
        <f t="shared" si="165"/>
        <v>0.35</v>
      </c>
      <c r="Z245" s="375">
        <f t="shared" si="165"/>
        <v>0.35</v>
      </c>
      <c r="AA245" s="375">
        <f t="shared" si="165"/>
        <v>0.35</v>
      </c>
      <c r="AB245" s="375">
        <f t="shared" si="165"/>
        <v>0.35</v>
      </c>
      <c r="AC245" s="375">
        <f t="shared" si="165"/>
        <v>0.35</v>
      </c>
      <c r="AD245" s="375">
        <f t="shared" si="165"/>
        <v>0.35</v>
      </c>
      <c r="AE245" s="375">
        <f t="shared" si="165"/>
        <v>0.35</v>
      </c>
      <c r="AF245" s="375">
        <f t="shared" si="165"/>
        <v>0.35</v>
      </c>
      <c r="AG245" s="375">
        <f t="shared" si="165"/>
        <v>0.35</v>
      </c>
      <c r="AH245" s="375">
        <f t="shared" si="165"/>
        <v>0.35</v>
      </c>
      <c r="AI245" s="375">
        <f t="shared" si="165"/>
        <v>0.35</v>
      </c>
      <c r="AJ245" s="375">
        <f t="shared" si="165"/>
        <v>0.35</v>
      </c>
      <c r="AK245" s="375">
        <f t="shared" si="165"/>
        <v>0.35</v>
      </c>
      <c r="AL245" s="375">
        <f t="shared" si="165"/>
        <v>0.35</v>
      </c>
      <c r="AM245" s="375">
        <f t="shared" si="165"/>
        <v>0.35</v>
      </c>
      <c r="AN245" s="375">
        <f t="shared" si="165"/>
        <v>0.35</v>
      </c>
      <c r="AO245" s="375">
        <f t="shared" si="165"/>
        <v>0.35</v>
      </c>
      <c r="AP245" s="375">
        <f t="shared" si="165"/>
        <v>0.35</v>
      </c>
      <c r="AQ245" s="375">
        <f t="shared" si="165"/>
        <v>0.35</v>
      </c>
      <c r="AR245" s="375">
        <f t="shared" si="165"/>
        <v>0.35</v>
      </c>
      <c r="AS245" s="375">
        <f t="shared" si="165"/>
        <v>0.35</v>
      </c>
      <c r="AT245" s="375">
        <f t="shared" si="165"/>
        <v>0.35</v>
      </c>
      <c r="AU245" s="375">
        <f t="shared" si="165"/>
        <v>0.35</v>
      </c>
      <c r="AV245" s="375">
        <f t="shared" si="165"/>
        <v>0.35</v>
      </c>
      <c r="AW245" s="90"/>
      <c r="AX245" s="90"/>
      <c r="AY245" s="90"/>
      <c r="AZ245" s="90"/>
      <c r="BA245" s="90"/>
      <c r="BB245" s="90"/>
      <c r="BC245" s="90"/>
      <c r="BD245" s="90"/>
      <c r="BE245" s="90"/>
      <c r="BF245" s="90"/>
      <c r="BG245" s="90"/>
      <c r="BH245" s="90"/>
      <c r="BI245" s="90"/>
      <c r="BJ245" s="90"/>
      <c r="BK245" s="90"/>
      <c r="BL245" s="90"/>
      <c r="BM245" s="90"/>
      <c r="BN245" s="90"/>
      <c r="BO245" s="90"/>
      <c r="BP245" s="90"/>
      <c r="BQ245" s="90"/>
    </row>
    <row r="246" ht="12.75" hidden="1" customHeight="1" outlineLevel="1">
      <c r="A246" s="316"/>
      <c r="B246" s="90"/>
      <c r="C246" s="90" t="s">
        <v>1206</v>
      </c>
      <c r="D246" s="90"/>
      <c r="E246" s="90"/>
      <c r="F246" s="90"/>
      <c r="G246" s="157"/>
      <c r="H246" s="152"/>
      <c r="I246" s="157"/>
      <c r="J246" s="157"/>
      <c r="K246" s="152"/>
      <c r="L246" s="152"/>
      <c r="M246" s="152"/>
      <c r="N246" s="152"/>
      <c r="O246" s="152"/>
      <c r="P246" s="152"/>
      <c r="Q246" s="152"/>
      <c r="R246" s="152"/>
      <c r="S246" s="152"/>
      <c r="T246" s="152"/>
      <c r="U246" s="152"/>
      <c r="V246" s="152"/>
      <c r="W246" s="152"/>
      <c r="X246" s="152"/>
      <c r="Y246" s="152"/>
      <c r="Z246" s="152"/>
      <c r="AA246" s="152"/>
      <c r="AB246" s="152"/>
      <c r="AC246" s="152"/>
      <c r="AD246" s="152"/>
      <c r="AE246" s="152"/>
      <c r="AF246" s="152"/>
      <c r="AG246" s="152"/>
      <c r="AH246" s="152"/>
      <c r="AI246" s="152"/>
      <c r="AJ246" s="152"/>
      <c r="AK246" s="152"/>
      <c r="AL246" s="152"/>
      <c r="AM246" s="152"/>
      <c r="AN246" s="152"/>
      <c r="AO246" s="152"/>
      <c r="AP246" s="152"/>
      <c r="AQ246" s="152"/>
      <c r="AR246" s="152"/>
      <c r="AS246" s="152"/>
      <c r="AT246" s="152"/>
      <c r="AU246" s="152"/>
      <c r="AV246" s="152"/>
      <c r="AW246" s="90"/>
      <c r="AX246" s="90"/>
      <c r="AY246" s="90"/>
      <c r="AZ246" s="90"/>
      <c r="BA246" s="90"/>
      <c r="BB246" s="90"/>
      <c r="BC246" s="90"/>
      <c r="BD246" s="90"/>
      <c r="BE246" s="90"/>
      <c r="BF246" s="90"/>
      <c r="BG246" s="90"/>
      <c r="BH246" s="90"/>
      <c r="BI246" s="90"/>
      <c r="BJ246" s="90"/>
      <c r="BK246" s="90"/>
      <c r="BL246" s="90"/>
      <c r="BM246" s="90"/>
      <c r="BN246" s="90"/>
      <c r="BO246" s="90"/>
      <c r="BP246" s="90"/>
      <c r="BQ246" s="90"/>
    </row>
    <row r="247" ht="12.75" hidden="1" customHeight="1" outlineLevel="1">
      <c r="A247" s="316"/>
      <c r="B247" s="90"/>
      <c r="C247" s="90" t="s">
        <v>778</v>
      </c>
      <c r="D247" s="90"/>
      <c r="E247" s="90"/>
      <c r="F247" s="90"/>
      <c r="G247" s="157"/>
      <c r="H247" s="152"/>
      <c r="I247" s="157"/>
      <c r="J247" s="157"/>
      <c r="K247" s="152"/>
      <c r="L247" s="152"/>
      <c r="M247" s="152"/>
      <c r="N247" s="152"/>
      <c r="O247" s="152"/>
      <c r="P247" s="152"/>
      <c r="Q247" s="152"/>
      <c r="R247" s="152"/>
      <c r="S247" s="152"/>
      <c r="T247" s="152"/>
      <c r="U247" s="152"/>
      <c r="V247" s="152"/>
      <c r="W247" s="152"/>
      <c r="X247" s="152"/>
      <c r="Y247" s="152"/>
      <c r="Z247" s="152"/>
      <c r="AA247" s="152"/>
      <c r="AB247" s="152"/>
      <c r="AC247" s="152"/>
      <c r="AD247" s="152"/>
      <c r="AE247" s="152"/>
      <c r="AF247" s="152"/>
      <c r="AG247" s="152"/>
      <c r="AH247" s="152"/>
      <c r="AI247" s="152"/>
      <c r="AJ247" s="152"/>
      <c r="AK247" s="152"/>
      <c r="AL247" s="152"/>
      <c r="AM247" s="152"/>
      <c r="AN247" s="152"/>
      <c r="AO247" s="152"/>
      <c r="AP247" s="152"/>
      <c r="AQ247" s="152"/>
      <c r="AR247" s="152"/>
      <c r="AS247" s="152"/>
      <c r="AT247" s="152"/>
      <c r="AU247" s="152"/>
      <c r="AV247" s="152"/>
      <c r="AW247" s="90"/>
      <c r="AX247" s="90"/>
      <c r="AY247" s="90"/>
      <c r="AZ247" s="90"/>
      <c r="BA247" s="90"/>
      <c r="BB247" s="90"/>
      <c r="BC247" s="90"/>
      <c r="BD247" s="90"/>
      <c r="BE247" s="90"/>
      <c r="BF247" s="90"/>
      <c r="BG247" s="90"/>
      <c r="BH247" s="90"/>
      <c r="BI247" s="90"/>
      <c r="BJ247" s="90"/>
      <c r="BK247" s="90"/>
      <c r="BL247" s="90"/>
      <c r="BM247" s="90"/>
      <c r="BN247" s="90"/>
      <c r="BO247" s="90"/>
      <c r="BP247" s="90"/>
      <c r="BQ247" s="90"/>
    </row>
    <row r="248" ht="12.75" hidden="1" customHeight="1" outlineLevel="1">
      <c r="A248" s="316"/>
      <c r="B248" s="90"/>
      <c r="C248" s="90" t="s">
        <v>779</v>
      </c>
      <c r="D248" s="90"/>
      <c r="E248" s="90"/>
      <c r="F248" s="90"/>
      <c r="G248" s="157"/>
      <c r="H248" s="152"/>
      <c r="I248" s="157"/>
      <c r="J248" s="157"/>
      <c r="K248" s="152">
        <f>'RSGen 1-7'!H249</f>
        <v>0.01</v>
      </c>
      <c r="L248" s="152">
        <f>'RSGen 1-7'!I249</f>
        <v>0.01</v>
      </c>
      <c r="M248" s="152">
        <f t="shared" ref="M248:AV248" si="166">L248</f>
        <v>0.01</v>
      </c>
      <c r="N248" s="152">
        <f t="shared" si="166"/>
        <v>0.01</v>
      </c>
      <c r="O248" s="152">
        <f t="shared" si="166"/>
        <v>0.01</v>
      </c>
      <c r="P248" s="152">
        <f t="shared" si="166"/>
        <v>0.01</v>
      </c>
      <c r="Q248" s="152">
        <f t="shared" si="166"/>
        <v>0.01</v>
      </c>
      <c r="R248" s="152">
        <f t="shared" si="166"/>
        <v>0.01</v>
      </c>
      <c r="S248" s="152">
        <f t="shared" si="166"/>
        <v>0.01</v>
      </c>
      <c r="T248" s="152">
        <f t="shared" si="166"/>
        <v>0.01</v>
      </c>
      <c r="U248" s="152">
        <f t="shared" si="166"/>
        <v>0.01</v>
      </c>
      <c r="V248" s="152">
        <f t="shared" si="166"/>
        <v>0.01</v>
      </c>
      <c r="W248" s="152">
        <f t="shared" si="166"/>
        <v>0.01</v>
      </c>
      <c r="X248" s="152">
        <f t="shared" si="166"/>
        <v>0.01</v>
      </c>
      <c r="Y248" s="152">
        <f t="shared" si="166"/>
        <v>0.01</v>
      </c>
      <c r="Z248" s="152">
        <f t="shared" si="166"/>
        <v>0.01</v>
      </c>
      <c r="AA248" s="152">
        <f t="shared" si="166"/>
        <v>0.01</v>
      </c>
      <c r="AB248" s="152">
        <f t="shared" si="166"/>
        <v>0.01</v>
      </c>
      <c r="AC248" s="152">
        <f t="shared" si="166"/>
        <v>0.01</v>
      </c>
      <c r="AD248" s="152">
        <f t="shared" si="166"/>
        <v>0.01</v>
      </c>
      <c r="AE248" s="152">
        <f t="shared" si="166"/>
        <v>0.01</v>
      </c>
      <c r="AF248" s="152">
        <f t="shared" si="166"/>
        <v>0.01</v>
      </c>
      <c r="AG248" s="152">
        <f t="shared" si="166"/>
        <v>0.01</v>
      </c>
      <c r="AH248" s="152">
        <f t="shared" si="166"/>
        <v>0.01</v>
      </c>
      <c r="AI248" s="152">
        <f t="shared" si="166"/>
        <v>0.01</v>
      </c>
      <c r="AJ248" s="152">
        <f t="shared" si="166"/>
        <v>0.01</v>
      </c>
      <c r="AK248" s="152">
        <f t="shared" si="166"/>
        <v>0.01</v>
      </c>
      <c r="AL248" s="152">
        <f t="shared" si="166"/>
        <v>0.01</v>
      </c>
      <c r="AM248" s="152">
        <f t="shared" si="166"/>
        <v>0.01</v>
      </c>
      <c r="AN248" s="152">
        <f t="shared" si="166"/>
        <v>0.01</v>
      </c>
      <c r="AO248" s="152">
        <f t="shared" si="166"/>
        <v>0.01</v>
      </c>
      <c r="AP248" s="152">
        <f t="shared" si="166"/>
        <v>0.01</v>
      </c>
      <c r="AQ248" s="152">
        <f t="shared" si="166"/>
        <v>0.01</v>
      </c>
      <c r="AR248" s="152">
        <f t="shared" si="166"/>
        <v>0.01</v>
      </c>
      <c r="AS248" s="152">
        <f t="shared" si="166"/>
        <v>0.01</v>
      </c>
      <c r="AT248" s="152">
        <f t="shared" si="166"/>
        <v>0.01</v>
      </c>
      <c r="AU248" s="152">
        <f t="shared" si="166"/>
        <v>0.01</v>
      </c>
      <c r="AV248" s="152">
        <f t="shared" si="166"/>
        <v>0.01</v>
      </c>
      <c r="AW248" s="90"/>
      <c r="AX248" s="90"/>
      <c r="AY248" s="90"/>
      <c r="AZ248" s="90"/>
      <c r="BA248" s="90"/>
      <c r="BB248" s="90"/>
      <c r="BC248" s="90"/>
      <c r="BD248" s="90"/>
      <c r="BE248" s="90"/>
      <c r="BF248" s="90"/>
      <c r="BG248" s="90"/>
      <c r="BH248" s="90"/>
      <c r="BI248" s="90"/>
      <c r="BJ248" s="90"/>
      <c r="BK248" s="90"/>
      <c r="BL248" s="90"/>
      <c r="BM248" s="90"/>
      <c r="BN248" s="90"/>
      <c r="BO248" s="90"/>
      <c r="BP248" s="90"/>
      <c r="BQ248" s="90"/>
    </row>
    <row r="249" ht="12.75" hidden="1" customHeight="1" outlineLevel="1">
      <c r="A249" s="316"/>
      <c r="B249" s="90"/>
      <c r="C249" s="90" t="s">
        <v>780</v>
      </c>
      <c r="D249" s="90"/>
      <c r="E249" s="90"/>
      <c r="F249" s="90"/>
      <c r="G249" s="157"/>
      <c r="H249" s="152"/>
      <c r="I249" s="157"/>
      <c r="J249" s="157"/>
      <c r="K249" s="152">
        <f>'RSGen 1-7'!H250</f>
        <v>0.04</v>
      </c>
      <c r="L249" s="152">
        <f>'RSGen 1-7'!I250</f>
        <v>0.04</v>
      </c>
      <c r="M249" s="152">
        <f t="shared" ref="M249:AV249" si="167">L249</f>
        <v>0.04</v>
      </c>
      <c r="N249" s="152">
        <f t="shared" si="167"/>
        <v>0.04</v>
      </c>
      <c r="O249" s="152">
        <f t="shared" si="167"/>
        <v>0.04</v>
      </c>
      <c r="P249" s="152">
        <f t="shared" si="167"/>
        <v>0.04</v>
      </c>
      <c r="Q249" s="152">
        <f t="shared" si="167"/>
        <v>0.04</v>
      </c>
      <c r="R249" s="152">
        <f t="shared" si="167"/>
        <v>0.04</v>
      </c>
      <c r="S249" s="152">
        <f t="shared" si="167"/>
        <v>0.04</v>
      </c>
      <c r="T249" s="152">
        <f t="shared" si="167"/>
        <v>0.04</v>
      </c>
      <c r="U249" s="152">
        <f t="shared" si="167"/>
        <v>0.04</v>
      </c>
      <c r="V249" s="152">
        <f t="shared" si="167"/>
        <v>0.04</v>
      </c>
      <c r="W249" s="152">
        <f t="shared" si="167"/>
        <v>0.04</v>
      </c>
      <c r="X249" s="152">
        <f t="shared" si="167"/>
        <v>0.04</v>
      </c>
      <c r="Y249" s="152">
        <f t="shared" si="167"/>
        <v>0.04</v>
      </c>
      <c r="Z249" s="152">
        <f t="shared" si="167"/>
        <v>0.04</v>
      </c>
      <c r="AA249" s="152">
        <f t="shared" si="167"/>
        <v>0.04</v>
      </c>
      <c r="AB249" s="152">
        <f t="shared" si="167"/>
        <v>0.04</v>
      </c>
      <c r="AC249" s="152">
        <f t="shared" si="167"/>
        <v>0.04</v>
      </c>
      <c r="AD249" s="152">
        <f t="shared" si="167"/>
        <v>0.04</v>
      </c>
      <c r="AE249" s="152">
        <f t="shared" si="167"/>
        <v>0.04</v>
      </c>
      <c r="AF249" s="152">
        <f t="shared" si="167"/>
        <v>0.04</v>
      </c>
      <c r="AG249" s="152">
        <f t="shared" si="167"/>
        <v>0.04</v>
      </c>
      <c r="AH249" s="152">
        <f t="shared" si="167"/>
        <v>0.04</v>
      </c>
      <c r="AI249" s="152">
        <f t="shared" si="167"/>
        <v>0.04</v>
      </c>
      <c r="AJ249" s="152">
        <f t="shared" si="167"/>
        <v>0.04</v>
      </c>
      <c r="AK249" s="152">
        <f t="shared" si="167"/>
        <v>0.04</v>
      </c>
      <c r="AL249" s="152">
        <f t="shared" si="167"/>
        <v>0.04</v>
      </c>
      <c r="AM249" s="152">
        <f t="shared" si="167"/>
        <v>0.04</v>
      </c>
      <c r="AN249" s="152">
        <f t="shared" si="167"/>
        <v>0.04</v>
      </c>
      <c r="AO249" s="152">
        <f t="shared" si="167"/>
        <v>0.04</v>
      </c>
      <c r="AP249" s="152">
        <f t="shared" si="167"/>
        <v>0.04</v>
      </c>
      <c r="AQ249" s="152">
        <f t="shared" si="167"/>
        <v>0.04</v>
      </c>
      <c r="AR249" s="152">
        <f t="shared" si="167"/>
        <v>0.04</v>
      </c>
      <c r="AS249" s="152">
        <f t="shared" si="167"/>
        <v>0.04</v>
      </c>
      <c r="AT249" s="152">
        <f t="shared" si="167"/>
        <v>0.04</v>
      </c>
      <c r="AU249" s="152">
        <f t="shared" si="167"/>
        <v>0.04</v>
      </c>
      <c r="AV249" s="152">
        <f t="shared" si="167"/>
        <v>0.04</v>
      </c>
      <c r="AW249" s="90"/>
      <c r="AX249" s="90"/>
      <c r="AY249" s="90"/>
      <c r="AZ249" s="90"/>
      <c r="BA249" s="90"/>
      <c r="BB249" s="90"/>
      <c r="BC249" s="90"/>
      <c r="BD249" s="90"/>
      <c r="BE249" s="90"/>
      <c r="BF249" s="90"/>
      <c r="BG249" s="90"/>
      <c r="BH249" s="90"/>
      <c r="BI249" s="90"/>
      <c r="BJ249" s="90"/>
      <c r="BK249" s="90"/>
      <c r="BL249" s="90"/>
      <c r="BM249" s="90"/>
      <c r="BN249" s="90"/>
      <c r="BO249" s="90"/>
      <c r="BP249" s="90"/>
      <c r="BQ249" s="90"/>
    </row>
    <row r="250" ht="12.75" hidden="1" customHeight="1" outlineLevel="1">
      <c r="A250" s="316"/>
      <c r="B250" s="90"/>
      <c r="C250" s="90"/>
      <c r="D250" s="90" t="s">
        <v>781</v>
      </c>
      <c r="E250" s="90"/>
      <c r="F250" s="90"/>
      <c r="G250" s="254"/>
      <c r="H250" s="99"/>
      <c r="I250" s="254"/>
      <c r="J250" s="254"/>
      <c r="K250" s="99">
        <f>'RSGen 1-7'!H251</f>
        <v>250000</v>
      </c>
      <c r="L250" s="99">
        <f>'RSGen 1-7'!I251</f>
        <v>0</v>
      </c>
      <c r="M250" s="152"/>
      <c r="N250" s="152"/>
      <c r="O250" s="152"/>
      <c r="P250" s="152"/>
      <c r="Q250" s="152"/>
      <c r="R250" s="152"/>
      <c r="S250" s="152"/>
      <c r="T250" s="152"/>
      <c r="U250" s="152"/>
      <c r="V250" s="152"/>
      <c r="W250" s="152"/>
      <c r="X250" s="152"/>
      <c r="Y250" s="152"/>
      <c r="Z250" s="152"/>
      <c r="AA250" s="152"/>
      <c r="AB250" s="152"/>
      <c r="AC250" s="152"/>
      <c r="AD250" s="152"/>
      <c r="AE250" s="152"/>
      <c r="AF250" s="152"/>
      <c r="AG250" s="152"/>
      <c r="AH250" s="152"/>
      <c r="AI250" s="152"/>
      <c r="AJ250" s="152"/>
      <c r="AK250" s="152"/>
      <c r="AL250" s="152"/>
      <c r="AM250" s="152"/>
      <c r="AN250" s="152"/>
      <c r="AO250" s="152"/>
      <c r="AP250" s="152"/>
      <c r="AQ250" s="152"/>
      <c r="AR250" s="152"/>
      <c r="AS250" s="152"/>
      <c r="AT250" s="152"/>
      <c r="AU250" s="152"/>
      <c r="AV250" s="152"/>
      <c r="AW250" s="90" t="s">
        <v>1207</v>
      </c>
      <c r="AX250" s="90"/>
      <c r="AY250" s="90"/>
      <c r="AZ250" s="90"/>
      <c r="BA250" s="90"/>
      <c r="BB250" s="90"/>
      <c r="BC250" s="90"/>
      <c r="BD250" s="90"/>
      <c r="BE250" s="90"/>
      <c r="BF250" s="90"/>
      <c r="BG250" s="90"/>
      <c r="BH250" s="90"/>
      <c r="BI250" s="90"/>
      <c r="BJ250" s="90"/>
      <c r="BK250" s="90"/>
      <c r="BL250" s="90"/>
      <c r="BM250" s="90"/>
      <c r="BN250" s="90"/>
      <c r="BO250" s="90"/>
      <c r="BP250" s="90"/>
      <c r="BQ250" s="90"/>
    </row>
    <row r="251" ht="12.75" hidden="1" customHeight="1" outlineLevel="1">
      <c r="A251" s="316"/>
      <c r="B251" s="90"/>
      <c r="C251" s="90" t="s">
        <v>782</v>
      </c>
      <c r="D251" s="90"/>
      <c r="E251" s="90"/>
      <c r="F251" s="90"/>
      <c r="G251" s="157"/>
      <c r="H251" s="152"/>
      <c r="I251" s="157"/>
      <c r="J251" s="157"/>
      <c r="K251" s="152">
        <f>'RSGen 1-7'!H252</f>
        <v>0.04</v>
      </c>
      <c r="L251" s="152">
        <f>'RSGen 1-7'!I252</f>
        <v>0.04</v>
      </c>
      <c r="M251" s="152">
        <f t="shared" ref="M251:AV251" si="168">L251</f>
        <v>0.04</v>
      </c>
      <c r="N251" s="152">
        <f t="shared" si="168"/>
        <v>0.04</v>
      </c>
      <c r="O251" s="152">
        <f t="shared" si="168"/>
        <v>0.04</v>
      </c>
      <c r="P251" s="152">
        <f t="shared" si="168"/>
        <v>0.04</v>
      </c>
      <c r="Q251" s="152">
        <f t="shared" si="168"/>
        <v>0.04</v>
      </c>
      <c r="R251" s="152">
        <f t="shared" si="168"/>
        <v>0.04</v>
      </c>
      <c r="S251" s="152">
        <f t="shared" si="168"/>
        <v>0.04</v>
      </c>
      <c r="T251" s="152">
        <f t="shared" si="168"/>
        <v>0.04</v>
      </c>
      <c r="U251" s="152">
        <f t="shared" si="168"/>
        <v>0.04</v>
      </c>
      <c r="V251" s="152">
        <f t="shared" si="168"/>
        <v>0.04</v>
      </c>
      <c r="W251" s="152">
        <f t="shared" si="168"/>
        <v>0.04</v>
      </c>
      <c r="X251" s="152">
        <f t="shared" si="168"/>
        <v>0.04</v>
      </c>
      <c r="Y251" s="152">
        <f t="shared" si="168"/>
        <v>0.04</v>
      </c>
      <c r="Z251" s="152">
        <f t="shared" si="168"/>
        <v>0.04</v>
      </c>
      <c r="AA251" s="152">
        <f t="shared" si="168"/>
        <v>0.04</v>
      </c>
      <c r="AB251" s="152">
        <f t="shared" si="168"/>
        <v>0.04</v>
      </c>
      <c r="AC251" s="152">
        <f t="shared" si="168"/>
        <v>0.04</v>
      </c>
      <c r="AD251" s="152">
        <f t="shared" si="168"/>
        <v>0.04</v>
      </c>
      <c r="AE251" s="152">
        <f t="shared" si="168"/>
        <v>0.04</v>
      </c>
      <c r="AF251" s="152">
        <f t="shared" si="168"/>
        <v>0.04</v>
      </c>
      <c r="AG251" s="152">
        <f t="shared" si="168"/>
        <v>0.04</v>
      </c>
      <c r="AH251" s="152">
        <f t="shared" si="168"/>
        <v>0.04</v>
      </c>
      <c r="AI251" s="152">
        <f t="shared" si="168"/>
        <v>0.04</v>
      </c>
      <c r="AJ251" s="152">
        <f t="shared" si="168"/>
        <v>0.04</v>
      </c>
      <c r="AK251" s="152">
        <f t="shared" si="168"/>
        <v>0.04</v>
      </c>
      <c r="AL251" s="152">
        <f t="shared" si="168"/>
        <v>0.04</v>
      </c>
      <c r="AM251" s="152">
        <f t="shared" si="168"/>
        <v>0.04</v>
      </c>
      <c r="AN251" s="152">
        <f t="shared" si="168"/>
        <v>0.04</v>
      </c>
      <c r="AO251" s="152">
        <f t="shared" si="168"/>
        <v>0.04</v>
      </c>
      <c r="AP251" s="152">
        <f t="shared" si="168"/>
        <v>0.04</v>
      </c>
      <c r="AQ251" s="152">
        <f t="shared" si="168"/>
        <v>0.04</v>
      </c>
      <c r="AR251" s="152">
        <f t="shared" si="168"/>
        <v>0.04</v>
      </c>
      <c r="AS251" s="152">
        <f t="shared" si="168"/>
        <v>0.04</v>
      </c>
      <c r="AT251" s="152">
        <f t="shared" si="168"/>
        <v>0.04</v>
      </c>
      <c r="AU251" s="152">
        <f t="shared" si="168"/>
        <v>0.04</v>
      </c>
      <c r="AV251" s="152">
        <f t="shared" si="168"/>
        <v>0.04</v>
      </c>
      <c r="AW251" s="90"/>
      <c r="AX251" s="90"/>
      <c r="AY251" s="90"/>
      <c r="AZ251" s="90"/>
      <c r="BA251" s="90"/>
      <c r="BB251" s="90"/>
      <c r="BC251" s="90"/>
      <c r="BD251" s="90"/>
      <c r="BE251" s="90"/>
      <c r="BF251" s="90"/>
      <c r="BG251" s="90"/>
      <c r="BH251" s="90"/>
      <c r="BI251" s="90"/>
      <c r="BJ251" s="90"/>
      <c r="BK251" s="90"/>
      <c r="BL251" s="90"/>
      <c r="BM251" s="90"/>
      <c r="BN251" s="90"/>
      <c r="BO251" s="90"/>
      <c r="BP251" s="90"/>
      <c r="BQ251" s="90"/>
    </row>
    <row r="252" ht="12.75" hidden="1" customHeight="1" outlineLevel="1">
      <c r="A252" s="316"/>
      <c r="B252" s="90"/>
      <c r="C252" s="90" t="s">
        <v>783</v>
      </c>
      <c r="D252" s="90"/>
      <c r="E252" s="90"/>
      <c r="F252" s="90"/>
      <c r="G252" s="157"/>
      <c r="H252" s="152"/>
      <c r="I252" s="157"/>
      <c r="J252" s="157"/>
      <c r="K252" s="152">
        <f>'RSGen 1-7'!H253</f>
        <v>0.05</v>
      </c>
      <c r="L252" s="152">
        <f>'RSGen 1-7'!I253</f>
        <v>0.04</v>
      </c>
      <c r="M252" s="152">
        <f t="shared" ref="M252:AV252" si="169">L252</f>
        <v>0.04</v>
      </c>
      <c r="N252" s="152">
        <f t="shared" si="169"/>
        <v>0.04</v>
      </c>
      <c r="O252" s="152">
        <f t="shared" si="169"/>
        <v>0.04</v>
      </c>
      <c r="P252" s="152">
        <f t="shared" si="169"/>
        <v>0.04</v>
      </c>
      <c r="Q252" s="152">
        <f t="shared" si="169"/>
        <v>0.04</v>
      </c>
      <c r="R252" s="152">
        <f t="shared" si="169"/>
        <v>0.04</v>
      </c>
      <c r="S252" s="152">
        <f t="shared" si="169"/>
        <v>0.04</v>
      </c>
      <c r="T252" s="152">
        <f t="shared" si="169"/>
        <v>0.04</v>
      </c>
      <c r="U252" s="152">
        <f t="shared" si="169"/>
        <v>0.04</v>
      </c>
      <c r="V252" s="152">
        <f t="shared" si="169"/>
        <v>0.04</v>
      </c>
      <c r="W252" s="152">
        <f t="shared" si="169"/>
        <v>0.04</v>
      </c>
      <c r="X252" s="152">
        <f t="shared" si="169"/>
        <v>0.04</v>
      </c>
      <c r="Y252" s="152">
        <f t="shared" si="169"/>
        <v>0.04</v>
      </c>
      <c r="Z252" s="152">
        <f t="shared" si="169"/>
        <v>0.04</v>
      </c>
      <c r="AA252" s="152">
        <f t="shared" si="169"/>
        <v>0.04</v>
      </c>
      <c r="AB252" s="152">
        <f t="shared" si="169"/>
        <v>0.04</v>
      </c>
      <c r="AC252" s="152">
        <f t="shared" si="169"/>
        <v>0.04</v>
      </c>
      <c r="AD252" s="152">
        <f t="shared" si="169"/>
        <v>0.04</v>
      </c>
      <c r="AE252" s="152">
        <f t="shared" si="169"/>
        <v>0.04</v>
      </c>
      <c r="AF252" s="152">
        <f t="shared" si="169"/>
        <v>0.04</v>
      </c>
      <c r="AG252" s="152">
        <f t="shared" si="169"/>
        <v>0.04</v>
      </c>
      <c r="AH252" s="152">
        <f t="shared" si="169"/>
        <v>0.04</v>
      </c>
      <c r="AI252" s="152">
        <f t="shared" si="169"/>
        <v>0.04</v>
      </c>
      <c r="AJ252" s="152">
        <f t="shared" si="169"/>
        <v>0.04</v>
      </c>
      <c r="AK252" s="152">
        <f t="shared" si="169"/>
        <v>0.04</v>
      </c>
      <c r="AL252" s="152">
        <f t="shared" si="169"/>
        <v>0.04</v>
      </c>
      <c r="AM252" s="152">
        <f t="shared" si="169"/>
        <v>0.04</v>
      </c>
      <c r="AN252" s="152">
        <f t="shared" si="169"/>
        <v>0.04</v>
      </c>
      <c r="AO252" s="152">
        <f t="shared" si="169"/>
        <v>0.04</v>
      </c>
      <c r="AP252" s="152">
        <f t="shared" si="169"/>
        <v>0.04</v>
      </c>
      <c r="AQ252" s="152">
        <f t="shared" si="169"/>
        <v>0.04</v>
      </c>
      <c r="AR252" s="152">
        <f t="shared" si="169"/>
        <v>0.04</v>
      </c>
      <c r="AS252" s="152">
        <f t="shared" si="169"/>
        <v>0.04</v>
      </c>
      <c r="AT252" s="152">
        <f t="shared" si="169"/>
        <v>0.04</v>
      </c>
      <c r="AU252" s="152">
        <f t="shared" si="169"/>
        <v>0.04</v>
      </c>
      <c r="AV252" s="152">
        <f t="shared" si="169"/>
        <v>0.04</v>
      </c>
      <c r="AW252" s="90"/>
      <c r="AX252" s="90"/>
      <c r="AY252" s="90"/>
      <c r="AZ252" s="90"/>
      <c r="BA252" s="90"/>
      <c r="BB252" s="90"/>
      <c r="BC252" s="90"/>
      <c r="BD252" s="90"/>
      <c r="BE252" s="90"/>
      <c r="BF252" s="90"/>
      <c r="BG252" s="90"/>
      <c r="BH252" s="90"/>
      <c r="BI252" s="90"/>
      <c r="BJ252" s="90"/>
      <c r="BK252" s="90"/>
      <c r="BL252" s="90"/>
      <c r="BM252" s="90"/>
      <c r="BN252" s="90"/>
      <c r="BO252" s="90"/>
      <c r="BP252" s="90"/>
      <c r="BQ252" s="90"/>
    </row>
    <row r="253" ht="12.75" hidden="1" customHeight="1" outlineLevel="1">
      <c r="A253" s="316"/>
      <c r="B253" s="90"/>
      <c r="C253" s="90" t="s">
        <v>784</v>
      </c>
      <c r="D253" s="90"/>
      <c r="E253" s="90"/>
      <c r="F253" s="90"/>
      <c r="G253" s="157"/>
      <c r="H253" s="152"/>
      <c r="I253" s="157"/>
      <c r="J253" s="157"/>
      <c r="K253" s="152">
        <f>'RSGen 1-7'!H254</f>
        <v>0.01</v>
      </c>
      <c r="L253" s="152">
        <f>'RSGen 1-7'!I254</f>
        <v>0.01</v>
      </c>
      <c r="M253" s="152">
        <f t="shared" ref="M253:AV253" si="170">L253</f>
        <v>0.01</v>
      </c>
      <c r="N253" s="152">
        <f t="shared" si="170"/>
        <v>0.01</v>
      </c>
      <c r="O253" s="152">
        <f t="shared" si="170"/>
        <v>0.01</v>
      </c>
      <c r="P253" s="152">
        <f t="shared" si="170"/>
        <v>0.01</v>
      </c>
      <c r="Q253" s="152">
        <f t="shared" si="170"/>
        <v>0.01</v>
      </c>
      <c r="R253" s="152">
        <f t="shared" si="170"/>
        <v>0.01</v>
      </c>
      <c r="S253" s="152">
        <f t="shared" si="170"/>
        <v>0.01</v>
      </c>
      <c r="T253" s="152">
        <f t="shared" si="170"/>
        <v>0.01</v>
      </c>
      <c r="U253" s="152">
        <f t="shared" si="170"/>
        <v>0.01</v>
      </c>
      <c r="V253" s="152">
        <f t="shared" si="170"/>
        <v>0.01</v>
      </c>
      <c r="W253" s="152">
        <f t="shared" si="170"/>
        <v>0.01</v>
      </c>
      <c r="X253" s="152">
        <f t="shared" si="170"/>
        <v>0.01</v>
      </c>
      <c r="Y253" s="152">
        <f t="shared" si="170"/>
        <v>0.01</v>
      </c>
      <c r="Z253" s="152">
        <f t="shared" si="170"/>
        <v>0.01</v>
      </c>
      <c r="AA253" s="152">
        <f t="shared" si="170"/>
        <v>0.01</v>
      </c>
      <c r="AB253" s="152">
        <f t="shared" si="170"/>
        <v>0.01</v>
      </c>
      <c r="AC253" s="152">
        <f t="shared" si="170"/>
        <v>0.01</v>
      </c>
      <c r="AD253" s="152">
        <f t="shared" si="170"/>
        <v>0.01</v>
      </c>
      <c r="AE253" s="152">
        <f t="shared" si="170"/>
        <v>0.01</v>
      </c>
      <c r="AF253" s="152">
        <f t="shared" si="170"/>
        <v>0.01</v>
      </c>
      <c r="AG253" s="152">
        <f t="shared" si="170"/>
        <v>0.01</v>
      </c>
      <c r="AH253" s="152">
        <f t="shared" si="170"/>
        <v>0.01</v>
      </c>
      <c r="AI253" s="152">
        <f t="shared" si="170"/>
        <v>0.01</v>
      </c>
      <c r="AJ253" s="152">
        <f t="shared" si="170"/>
        <v>0.01</v>
      </c>
      <c r="AK253" s="152">
        <f t="shared" si="170"/>
        <v>0.01</v>
      </c>
      <c r="AL253" s="152">
        <f t="shared" si="170"/>
        <v>0.01</v>
      </c>
      <c r="AM253" s="152">
        <f t="shared" si="170"/>
        <v>0.01</v>
      </c>
      <c r="AN253" s="152">
        <f t="shared" si="170"/>
        <v>0.01</v>
      </c>
      <c r="AO253" s="152">
        <f t="shared" si="170"/>
        <v>0.01</v>
      </c>
      <c r="AP253" s="152">
        <f t="shared" si="170"/>
        <v>0.01</v>
      </c>
      <c r="AQ253" s="152">
        <f t="shared" si="170"/>
        <v>0.01</v>
      </c>
      <c r="AR253" s="152">
        <f t="shared" si="170"/>
        <v>0.01</v>
      </c>
      <c r="AS253" s="152">
        <f t="shared" si="170"/>
        <v>0.01</v>
      </c>
      <c r="AT253" s="152">
        <f t="shared" si="170"/>
        <v>0.01</v>
      </c>
      <c r="AU253" s="152">
        <f t="shared" si="170"/>
        <v>0.01</v>
      </c>
      <c r="AV253" s="152">
        <f t="shared" si="170"/>
        <v>0.01</v>
      </c>
      <c r="AW253" s="90"/>
      <c r="AX253" s="90"/>
      <c r="AY253" s="90"/>
      <c r="AZ253" s="90"/>
      <c r="BA253" s="90"/>
      <c r="BB253" s="90"/>
      <c r="BC253" s="90"/>
      <c r="BD253" s="90"/>
      <c r="BE253" s="90"/>
      <c r="BF253" s="90"/>
      <c r="BG253" s="90"/>
      <c r="BH253" s="90"/>
      <c r="BI253" s="90"/>
      <c r="BJ253" s="90"/>
      <c r="BK253" s="90"/>
      <c r="BL253" s="90"/>
      <c r="BM253" s="90"/>
      <c r="BN253" s="90"/>
      <c r="BO253" s="90"/>
      <c r="BP253" s="90"/>
      <c r="BQ253" s="90"/>
    </row>
    <row r="254" ht="12.75" hidden="1" customHeight="1" outlineLevel="1">
      <c r="A254" s="316"/>
      <c r="B254" s="90"/>
      <c r="C254" s="90"/>
      <c r="D254" s="90"/>
      <c r="E254" s="90"/>
      <c r="F254" s="90"/>
      <c r="G254" s="157"/>
      <c r="H254" s="152"/>
      <c r="I254" s="157"/>
      <c r="J254" s="152"/>
      <c r="K254" s="152"/>
      <c r="L254" s="152"/>
      <c r="M254" s="152"/>
      <c r="N254" s="152"/>
      <c r="O254" s="152"/>
      <c r="P254" s="152"/>
      <c r="Q254" s="152"/>
      <c r="R254" s="152"/>
      <c r="S254" s="152"/>
      <c r="T254" s="152"/>
      <c r="U254" s="152"/>
      <c r="V254" s="152"/>
      <c r="W254" s="152"/>
      <c r="X254" s="152"/>
      <c r="Y254" s="152"/>
      <c r="Z254" s="152"/>
      <c r="AA254" s="152"/>
      <c r="AB254" s="152"/>
      <c r="AC254" s="152"/>
      <c r="AD254" s="152"/>
      <c r="AE254" s="152"/>
      <c r="AF254" s="152"/>
      <c r="AG254" s="152"/>
      <c r="AH254" s="152"/>
      <c r="AI254" s="152"/>
      <c r="AJ254" s="152"/>
      <c r="AK254" s="152"/>
      <c r="AL254" s="152"/>
      <c r="AM254" s="152"/>
      <c r="AN254" s="152"/>
      <c r="AO254" s="152"/>
      <c r="AP254" s="152"/>
      <c r="AQ254" s="152"/>
      <c r="AR254" s="152"/>
      <c r="AS254" s="152"/>
      <c r="AT254" s="152"/>
      <c r="AU254" s="152"/>
      <c r="AV254" s="152"/>
      <c r="AW254" s="90"/>
      <c r="AX254" s="90"/>
      <c r="AY254" s="90"/>
      <c r="AZ254" s="90"/>
      <c r="BA254" s="90"/>
      <c r="BB254" s="90"/>
      <c r="BC254" s="90"/>
      <c r="BD254" s="90"/>
      <c r="BE254" s="90"/>
      <c r="BF254" s="90"/>
      <c r="BG254" s="90"/>
      <c r="BH254" s="90"/>
      <c r="BI254" s="90"/>
      <c r="BJ254" s="90"/>
      <c r="BK254" s="90"/>
      <c r="BL254" s="90"/>
      <c r="BM254" s="90"/>
      <c r="BN254" s="90"/>
      <c r="BO254" s="90"/>
      <c r="BP254" s="90"/>
      <c r="BQ254" s="90"/>
    </row>
    <row r="255" ht="12.75" customHeight="1">
      <c r="A255" s="316"/>
      <c r="B255" s="90"/>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c r="AA255" s="90"/>
      <c r="AB255" s="90"/>
      <c r="AC255" s="90"/>
      <c r="AD255" s="90"/>
      <c r="AE255" s="90"/>
      <c r="AF255" s="90"/>
      <c r="AG255" s="90"/>
      <c r="AH255" s="90"/>
      <c r="AI255" s="90"/>
      <c r="AJ255" s="90"/>
      <c r="AK255" s="90"/>
      <c r="AL255" s="90"/>
      <c r="AM255" s="90"/>
      <c r="AN255" s="90"/>
      <c r="AO255" s="90"/>
      <c r="AP255" s="90"/>
      <c r="AQ255" s="90"/>
      <c r="AR255" s="90"/>
      <c r="AS255" s="90"/>
      <c r="AT255" s="90"/>
      <c r="AU255" s="90"/>
      <c r="AV255" s="90"/>
      <c r="AW255" s="90"/>
      <c r="AX255" s="90"/>
      <c r="AY255" s="90"/>
      <c r="AZ255" s="90"/>
      <c r="BA255" s="90"/>
      <c r="BB255" s="90"/>
      <c r="BC255" s="90"/>
      <c r="BD255" s="90"/>
      <c r="BE255" s="90"/>
      <c r="BF255" s="90"/>
      <c r="BG255" s="90"/>
      <c r="BH255" s="90"/>
      <c r="BI255" s="90"/>
      <c r="BJ255" s="90"/>
      <c r="BK255" s="90"/>
      <c r="BL255" s="90"/>
      <c r="BM255" s="90"/>
      <c r="BN255" s="90"/>
      <c r="BO255" s="90"/>
      <c r="BP255" s="90"/>
      <c r="BQ255" s="90"/>
    </row>
    <row r="256" ht="12.75" customHeight="1">
      <c r="A256" s="105" t="s">
        <v>539</v>
      </c>
      <c r="B256" s="253"/>
      <c r="C256" s="253"/>
      <c r="D256" s="253"/>
      <c r="E256" s="253"/>
      <c r="F256" s="253"/>
      <c r="G256" s="253"/>
      <c r="H256" s="253"/>
      <c r="I256" s="253"/>
      <c r="J256" s="253"/>
      <c r="K256" s="253"/>
      <c r="L256" s="253"/>
      <c r="M256" s="253"/>
      <c r="N256" s="253"/>
      <c r="O256" s="253"/>
      <c r="P256" s="253"/>
      <c r="Q256" s="253"/>
      <c r="R256" s="253"/>
      <c r="S256" s="253"/>
      <c r="T256" s="253"/>
      <c r="U256" s="253"/>
      <c r="V256" s="253"/>
      <c r="W256" s="253"/>
      <c r="X256" s="253"/>
      <c r="Y256" s="253"/>
      <c r="Z256" s="253"/>
      <c r="AA256" s="253"/>
      <c r="AB256" s="253"/>
      <c r="AC256" s="253"/>
      <c r="AD256" s="253"/>
      <c r="AE256" s="253"/>
      <c r="AF256" s="253"/>
      <c r="AG256" s="253"/>
      <c r="AH256" s="253"/>
      <c r="AI256" s="253"/>
      <c r="AJ256" s="253"/>
      <c r="AK256" s="253"/>
      <c r="AL256" s="253"/>
      <c r="AM256" s="253"/>
      <c r="AN256" s="253"/>
      <c r="AO256" s="253"/>
      <c r="AP256" s="253"/>
      <c r="AQ256" s="253"/>
      <c r="AR256" s="253"/>
      <c r="AS256" s="253"/>
      <c r="AT256" s="253"/>
      <c r="AU256" s="253"/>
      <c r="AV256" s="253"/>
      <c r="AW256" s="253"/>
      <c r="AX256" s="90"/>
      <c r="AY256" s="90"/>
      <c r="AZ256" s="90"/>
      <c r="BA256" s="90"/>
      <c r="BB256" s="90"/>
      <c r="BC256" s="90"/>
      <c r="BD256" s="90"/>
      <c r="BE256" s="90"/>
      <c r="BF256" s="90"/>
      <c r="BG256" s="90"/>
      <c r="BH256" s="90"/>
      <c r="BI256" s="90"/>
      <c r="BJ256" s="90"/>
      <c r="BK256" s="90"/>
      <c r="BL256" s="90"/>
      <c r="BM256" s="90"/>
      <c r="BN256" s="90"/>
      <c r="BO256" s="90"/>
      <c r="BP256" s="90"/>
      <c r="BQ256" s="90"/>
    </row>
    <row r="257" ht="12.75" customHeight="1" outlineLevel="1">
      <c r="A257" s="515"/>
      <c r="B257" s="90"/>
      <c r="C257" s="90"/>
      <c r="D257" s="90"/>
      <c r="E257" s="90"/>
      <c r="F257" s="90"/>
      <c r="G257" s="90"/>
      <c r="H257" s="90"/>
      <c r="I257" s="90"/>
      <c r="J257" s="89"/>
      <c r="K257" s="90"/>
      <c r="L257" s="90"/>
      <c r="M257" s="90"/>
      <c r="N257" s="90"/>
      <c r="O257" s="90"/>
      <c r="P257" s="90"/>
      <c r="Q257" s="90"/>
      <c r="R257" s="90"/>
      <c r="S257" s="90"/>
      <c r="T257" s="90"/>
      <c r="U257" s="90"/>
      <c r="V257" s="90"/>
      <c r="W257" s="90"/>
      <c r="X257" s="90"/>
      <c r="Y257" s="90"/>
      <c r="Z257" s="90"/>
      <c r="AA257" s="90"/>
      <c r="AB257" s="90"/>
      <c r="AC257" s="90"/>
      <c r="AD257" s="90"/>
      <c r="AE257" s="90"/>
      <c r="AF257" s="90"/>
      <c r="AG257" s="90"/>
      <c r="AH257" s="90"/>
      <c r="AI257" s="90"/>
      <c r="AJ257" s="90"/>
      <c r="AK257" s="90"/>
      <c r="AL257" s="90"/>
      <c r="AM257" s="90"/>
      <c r="AN257" s="90"/>
      <c r="AO257" s="90"/>
      <c r="AP257" s="90"/>
      <c r="AQ257" s="90"/>
      <c r="AR257" s="90"/>
      <c r="AS257" s="90"/>
      <c r="AT257" s="90"/>
      <c r="AU257" s="90"/>
      <c r="AV257" s="90"/>
      <c r="AW257" s="90"/>
      <c r="AX257" s="90"/>
      <c r="AY257" s="90"/>
      <c r="AZ257" s="90"/>
      <c r="BA257" s="90"/>
      <c r="BB257" s="90"/>
      <c r="BC257" s="90"/>
      <c r="BD257" s="90"/>
      <c r="BE257" s="90"/>
      <c r="BF257" s="90"/>
      <c r="BG257" s="90"/>
      <c r="BH257" s="90"/>
      <c r="BI257" s="90"/>
      <c r="BJ257" s="90"/>
      <c r="BK257" s="90"/>
      <c r="BL257" s="90"/>
      <c r="BM257" s="90"/>
      <c r="BN257" s="90"/>
      <c r="BO257" s="90"/>
      <c r="BP257" s="90"/>
      <c r="BQ257" s="90"/>
    </row>
    <row r="258" ht="12.75" customHeight="1" outlineLevel="1">
      <c r="A258" s="515" t="s">
        <v>275</v>
      </c>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c r="AG258" s="90"/>
      <c r="AH258" s="90"/>
      <c r="AI258" s="90"/>
      <c r="AJ258" s="90"/>
      <c r="AK258" s="90"/>
      <c r="AL258" s="90"/>
      <c r="AM258" s="90"/>
      <c r="AN258" s="90"/>
      <c r="AO258" s="90"/>
      <c r="AP258" s="90"/>
      <c r="AQ258" s="90"/>
      <c r="AR258" s="90"/>
      <c r="AS258" s="90"/>
      <c r="AT258" s="90"/>
      <c r="AU258" s="90"/>
      <c r="AV258" s="90"/>
      <c r="AW258" s="90"/>
      <c r="AX258" s="90"/>
      <c r="AY258" s="90"/>
      <c r="AZ258" s="90"/>
      <c r="BA258" s="90"/>
      <c r="BB258" s="90"/>
      <c r="BC258" s="90"/>
      <c r="BD258" s="90"/>
      <c r="BE258" s="90"/>
      <c r="BF258" s="90"/>
      <c r="BG258" s="90"/>
      <c r="BH258" s="90"/>
      <c r="BI258" s="90"/>
      <c r="BJ258" s="90"/>
      <c r="BK258" s="90"/>
      <c r="BL258" s="90"/>
      <c r="BM258" s="90"/>
      <c r="BN258" s="90"/>
      <c r="BO258" s="90"/>
      <c r="BP258" s="90"/>
      <c r="BQ258" s="90"/>
    </row>
    <row r="259" ht="12.75" customHeight="1" outlineLevel="1">
      <c r="A259" s="316"/>
      <c r="B259" s="67" t="s">
        <v>544</v>
      </c>
      <c r="C259" s="90"/>
      <c r="D259" s="90"/>
      <c r="E259" s="90"/>
      <c r="F259" s="90"/>
      <c r="G259" s="90"/>
      <c r="H259" s="301"/>
      <c r="I259" s="90"/>
      <c r="J259" s="152"/>
      <c r="K259" s="152"/>
      <c r="L259" s="152"/>
      <c r="M259" s="152"/>
      <c r="N259" s="90"/>
      <c r="O259" s="565"/>
      <c r="P259" s="90"/>
      <c r="Q259" s="90"/>
      <c r="R259" s="90"/>
      <c r="S259" s="90"/>
      <c r="T259" s="90"/>
      <c r="U259" s="90"/>
      <c r="V259" s="90"/>
      <c r="W259" s="90"/>
      <c r="X259" s="90"/>
      <c r="Y259" s="90"/>
      <c r="Z259" s="90"/>
      <c r="AA259" s="90"/>
      <c r="AB259" s="90"/>
      <c r="AC259" s="90"/>
      <c r="AD259" s="90"/>
      <c r="AE259" s="90"/>
      <c r="AF259" s="90"/>
      <c r="AG259" s="90"/>
      <c r="AH259" s="90"/>
      <c r="AI259" s="90"/>
      <c r="AJ259" s="90"/>
      <c r="AK259" s="90"/>
      <c r="AL259" s="90"/>
      <c r="AM259" s="90"/>
      <c r="AN259" s="90"/>
      <c r="AO259" s="90"/>
      <c r="AP259" s="90"/>
      <c r="AQ259" s="90"/>
      <c r="AR259" s="90"/>
      <c r="AS259" s="90"/>
      <c r="AT259" s="90"/>
      <c r="AU259" s="90"/>
      <c r="AV259" s="90"/>
      <c r="AW259" s="90"/>
      <c r="AX259" s="90"/>
      <c r="AY259" s="90"/>
      <c r="AZ259" s="90"/>
      <c r="BA259" s="90"/>
      <c r="BB259" s="90"/>
      <c r="BC259" s="90"/>
      <c r="BD259" s="90"/>
      <c r="BE259" s="90"/>
      <c r="BF259" s="90"/>
      <c r="BG259" s="90"/>
      <c r="BH259" s="90"/>
      <c r="BI259" s="90"/>
      <c r="BJ259" s="90"/>
      <c r="BK259" s="90"/>
      <c r="BL259" s="90"/>
      <c r="BM259" s="90"/>
      <c r="BN259" s="90"/>
      <c r="BO259" s="90"/>
      <c r="BP259" s="90"/>
      <c r="BQ259" s="90"/>
    </row>
    <row r="260" ht="12.75" customHeight="1" outlineLevel="1">
      <c r="A260" s="316"/>
      <c r="B260" s="152">
        <v>0.1</v>
      </c>
      <c r="C260" s="90" t="s">
        <v>785</v>
      </c>
      <c r="D260" s="90"/>
      <c r="E260" s="90"/>
      <c r="F260" s="90"/>
      <c r="G260" s="99"/>
      <c r="H260" s="99"/>
      <c r="I260" s="99"/>
      <c r="J260" s="99">
        <v>0.0</v>
      </c>
      <c r="K260" s="99">
        <f t="shared" ref="K260:AV260" si="171">K90*K53+K91*K54</f>
        <v>0</v>
      </c>
      <c r="L260" s="99">
        <f t="shared" si="171"/>
        <v>1798056.96</v>
      </c>
      <c r="M260" s="99">
        <f t="shared" si="171"/>
        <v>2154970.906</v>
      </c>
      <c r="N260" s="99">
        <f t="shared" si="171"/>
        <v>2372982.46</v>
      </c>
      <c r="O260" s="99">
        <f t="shared" si="171"/>
        <v>2420442.109</v>
      </c>
      <c r="P260" s="99">
        <f t="shared" si="171"/>
        <v>2468850.951</v>
      </c>
      <c r="Q260" s="99">
        <f t="shared" si="171"/>
        <v>2518227.97</v>
      </c>
      <c r="R260" s="99">
        <f t="shared" si="171"/>
        <v>2594110.703</v>
      </c>
      <c r="S260" s="99">
        <f t="shared" si="171"/>
        <v>2645992.917</v>
      </c>
      <c r="T260" s="99">
        <f t="shared" si="171"/>
        <v>2698912.775</v>
      </c>
      <c r="U260" s="99">
        <f t="shared" si="171"/>
        <v>2752891.031</v>
      </c>
      <c r="V260" s="99">
        <f t="shared" si="171"/>
        <v>2807948.852</v>
      </c>
      <c r="W260" s="99">
        <f t="shared" si="171"/>
        <v>2864107.829</v>
      </c>
      <c r="X260" s="99">
        <f t="shared" si="171"/>
        <v>2921389.985</v>
      </c>
      <c r="Y260" s="99">
        <f t="shared" si="171"/>
        <v>2979817.785</v>
      </c>
      <c r="Z260" s="99">
        <f t="shared" si="171"/>
        <v>3039414.141</v>
      </c>
      <c r="AA260" s="99">
        <f t="shared" si="171"/>
        <v>3100202.423</v>
      </c>
      <c r="AB260" s="99">
        <f t="shared" si="171"/>
        <v>3162206.472</v>
      </c>
      <c r="AC260" s="99">
        <f t="shared" si="171"/>
        <v>3225450.601</v>
      </c>
      <c r="AD260" s="99">
        <f t="shared" si="171"/>
        <v>3289959.613</v>
      </c>
      <c r="AE260" s="99">
        <f t="shared" si="171"/>
        <v>3355758.806</v>
      </c>
      <c r="AF260" s="99">
        <f t="shared" si="171"/>
        <v>3422873.982</v>
      </c>
      <c r="AG260" s="99">
        <f t="shared" si="171"/>
        <v>3491331.461</v>
      </c>
      <c r="AH260" s="99">
        <f t="shared" si="171"/>
        <v>3561158.091</v>
      </c>
      <c r="AI260" s="99">
        <f t="shared" si="171"/>
        <v>3632381.252</v>
      </c>
      <c r="AJ260" s="99">
        <f t="shared" si="171"/>
        <v>3705028.877</v>
      </c>
      <c r="AK260" s="99">
        <f t="shared" si="171"/>
        <v>3779129.455</v>
      </c>
      <c r="AL260" s="99">
        <f t="shared" si="171"/>
        <v>3854712.044</v>
      </c>
      <c r="AM260" s="99">
        <f t="shared" si="171"/>
        <v>3931806.285</v>
      </c>
      <c r="AN260" s="99">
        <f t="shared" si="171"/>
        <v>4010442.411</v>
      </c>
      <c r="AO260" s="99">
        <f t="shared" si="171"/>
        <v>4090651.259</v>
      </c>
      <c r="AP260" s="99">
        <f t="shared" si="171"/>
        <v>4172464.284</v>
      </c>
      <c r="AQ260" s="99">
        <f t="shared" si="171"/>
        <v>4255913.57</v>
      </c>
      <c r="AR260" s="99">
        <f t="shared" si="171"/>
        <v>4341031.841</v>
      </c>
      <c r="AS260" s="99">
        <f t="shared" si="171"/>
        <v>4427852.478</v>
      </c>
      <c r="AT260" s="99">
        <f t="shared" si="171"/>
        <v>4516409.527</v>
      </c>
      <c r="AU260" s="99">
        <f t="shared" si="171"/>
        <v>4606737.718</v>
      </c>
      <c r="AV260" s="99">
        <f t="shared" si="171"/>
        <v>4698872.472</v>
      </c>
      <c r="AW260" s="90"/>
      <c r="AX260" s="90"/>
      <c r="AY260" s="90"/>
      <c r="AZ260" s="90"/>
      <c r="BA260" s="90"/>
      <c r="BB260" s="90"/>
      <c r="BC260" s="90"/>
      <c r="BD260" s="90"/>
      <c r="BE260" s="90"/>
      <c r="BF260" s="90"/>
      <c r="BG260" s="90"/>
      <c r="BH260" s="90"/>
      <c r="BI260" s="90"/>
      <c r="BJ260" s="90"/>
      <c r="BK260" s="90"/>
      <c r="BL260" s="90"/>
      <c r="BM260" s="90"/>
      <c r="BN260" s="90"/>
      <c r="BO260" s="90"/>
      <c r="BP260" s="90"/>
      <c r="BQ260" s="90"/>
    </row>
    <row r="261" ht="12.75" customHeight="1" outlineLevel="1">
      <c r="A261" s="316"/>
      <c r="B261" s="152">
        <v>0.3</v>
      </c>
      <c r="C261" s="90" t="s">
        <v>669</v>
      </c>
      <c r="D261" s="90"/>
      <c r="E261" s="90"/>
      <c r="F261" s="90"/>
      <c r="G261" s="99"/>
      <c r="H261" s="99"/>
      <c r="I261" s="99"/>
      <c r="J261" s="99">
        <v>0.0</v>
      </c>
      <c r="K261" s="99">
        <f t="shared" ref="K261:AV261" si="172">K92*K55</f>
        <v>0</v>
      </c>
      <c r="L261" s="99">
        <f t="shared" si="172"/>
        <v>150904.32</v>
      </c>
      <c r="M261" s="99">
        <f t="shared" si="172"/>
        <v>180407.6544</v>
      </c>
      <c r="N261" s="99">
        <f t="shared" si="172"/>
        <v>198292.896</v>
      </c>
      <c r="O261" s="99">
        <f t="shared" si="172"/>
        <v>202258.7539</v>
      </c>
      <c r="P261" s="99">
        <f t="shared" si="172"/>
        <v>206303.929</v>
      </c>
      <c r="Q261" s="99">
        <f t="shared" si="172"/>
        <v>210430.0076</v>
      </c>
      <c r="R261" s="99">
        <f t="shared" si="172"/>
        <v>216770.976</v>
      </c>
      <c r="S261" s="99">
        <f t="shared" si="172"/>
        <v>221106.3955</v>
      </c>
      <c r="T261" s="99">
        <f t="shared" si="172"/>
        <v>225528.5234</v>
      </c>
      <c r="U261" s="99">
        <f t="shared" si="172"/>
        <v>230039.0939</v>
      </c>
      <c r="V261" s="99">
        <f t="shared" si="172"/>
        <v>234639.8758</v>
      </c>
      <c r="W261" s="99">
        <f t="shared" si="172"/>
        <v>239332.6733</v>
      </c>
      <c r="X261" s="99">
        <f t="shared" si="172"/>
        <v>244119.3268</v>
      </c>
      <c r="Y261" s="99">
        <f t="shared" si="172"/>
        <v>249001.7133</v>
      </c>
      <c r="Z261" s="99">
        <f t="shared" si="172"/>
        <v>253981.7476</v>
      </c>
      <c r="AA261" s="99">
        <f t="shared" si="172"/>
        <v>259061.3825</v>
      </c>
      <c r="AB261" s="99">
        <f t="shared" si="172"/>
        <v>264242.6102</v>
      </c>
      <c r="AC261" s="99">
        <f t="shared" si="172"/>
        <v>269527.4624</v>
      </c>
      <c r="AD261" s="99">
        <f t="shared" si="172"/>
        <v>274918.0116</v>
      </c>
      <c r="AE261" s="99">
        <f t="shared" si="172"/>
        <v>280416.3718</v>
      </c>
      <c r="AF261" s="99">
        <f t="shared" si="172"/>
        <v>286024.6993</v>
      </c>
      <c r="AG261" s="99">
        <f t="shared" si="172"/>
        <v>291745.1933</v>
      </c>
      <c r="AH261" s="99">
        <f t="shared" si="172"/>
        <v>297580.0971</v>
      </c>
      <c r="AI261" s="99">
        <f t="shared" si="172"/>
        <v>303531.6991</v>
      </c>
      <c r="AJ261" s="99">
        <f t="shared" si="172"/>
        <v>309602.3331</v>
      </c>
      <c r="AK261" s="99">
        <f t="shared" si="172"/>
        <v>315794.3797</v>
      </c>
      <c r="AL261" s="99">
        <f t="shared" si="172"/>
        <v>322110.2673</v>
      </c>
      <c r="AM261" s="99">
        <f t="shared" si="172"/>
        <v>328552.4727</v>
      </c>
      <c r="AN261" s="99">
        <f t="shared" si="172"/>
        <v>335123.5221</v>
      </c>
      <c r="AO261" s="99">
        <f t="shared" si="172"/>
        <v>341825.9926</v>
      </c>
      <c r="AP261" s="99">
        <f t="shared" si="172"/>
        <v>348662.5124</v>
      </c>
      <c r="AQ261" s="99">
        <f t="shared" si="172"/>
        <v>355635.7627</v>
      </c>
      <c r="AR261" s="99">
        <f t="shared" si="172"/>
        <v>362748.4779</v>
      </c>
      <c r="AS261" s="99">
        <f t="shared" si="172"/>
        <v>370003.4475</v>
      </c>
      <c r="AT261" s="99">
        <f t="shared" si="172"/>
        <v>377403.5164</v>
      </c>
      <c r="AU261" s="99">
        <f t="shared" si="172"/>
        <v>384951.5867</v>
      </c>
      <c r="AV261" s="99">
        <f t="shared" si="172"/>
        <v>392650.6185</v>
      </c>
      <c r="AW261" s="90"/>
      <c r="AX261" s="90"/>
      <c r="AY261" s="90"/>
      <c r="AZ261" s="90"/>
      <c r="BA261" s="90"/>
      <c r="BB261" s="90"/>
      <c r="BC261" s="90"/>
      <c r="BD261" s="90"/>
      <c r="BE261" s="90"/>
      <c r="BF261" s="90"/>
      <c r="BG261" s="90"/>
      <c r="BH261" s="90"/>
      <c r="BI261" s="90"/>
      <c r="BJ261" s="90"/>
      <c r="BK261" s="90"/>
      <c r="BL261" s="90"/>
      <c r="BM261" s="90"/>
      <c r="BN261" s="90"/>
      <c r="BO261" s="90"/>
      <c r="BP261" s="90"/>
      <c r="BQ261" s="90"/>
    </row>
    <row r="262" ht="12.75" customHeight="1" outlineLevel="1">
      <c r="A262" s="316"/>
      <c r="B262" s="152">
        <v>0.3</v>
      </c>
      <c r="C262" s="90" t="s">
        <v>670</v>
      </c>
      <c r="D262" s="90"/>
      <c r="E262" s="90"/>
      <c r="F262" s="90"/>
      <c r="G262" s="99"/>
      <c r="H262" s="99"/>
      <c r="I262" s="99"/>
      <c r="J262" s="99">
        <v>0.0</v>
      </c>
      <c r="K262" s="99">
        <f t="shared" ref="K262:AV262" si="173">K76*K93</f>
        <v>0</v>
      </c>
      <c r="L262" s="99">
        <f t="shared" si="173"/>
        <v>193026</v>
      </c>
      <c r="M262" s="99">
        <f t="shared" si="173"/>
        <v>194956.26</v>
      </c>
      <c r="N262" s="99">
        <f t="shared" si="173"/>
        <v>228012.1056</v>
      </c>
      <c r="O262" s="99">
        <f t="shared" si="173"/>
        <v>241928.7065</v>
      </c>
      <c r="P262" s="99">
        <f t="shared" si="173"/>
        <v>238587.1498</v>
      </c>
      <c r="Q262" s="99">
        <f t="shared" si="173"/>
        <v>235710.4705</v>
      </c>
      <c r="R262" s="99">
        <f t="shared" si="173"/>
        <v>235292.4612</v>
      </c>
      <c r="S262" s="99">
        <f t="shared" si="173"/>
        <v>232327.1316</v>
      </c>
      <c r="T262" s="99">
        <f t="shared" si="173"/>
        <v>232875.0729</v>
      </c>
      <c r="U262" s="99">
        <f t="shared" si="173"/>
        <v>237532.5744</v>
      </c>
      <c r="V262" s="99">
        <f t="shared" si="173"/>
        <v>242283.2258</v>
      </c>
      <c r="W262" s="99">
        <f t="shared" si="173"/>
        <v>247128.8904</v>
      </c>
      <c r="X262" s="99">
        <f t="shared" si="173"/>
        <v>252071.4682</v>
      </c>
      <c r="Y262" s="99">
        <f t="shared" si="173"/>
        <v>257112.8975</v>
      </c>
      <c r="Z262" s="99">
        <f t="shared" si="173"/>
        <v>262255.1555</v>
      </c>
      <c r="AA262" s="99">
        <f t="shared" si="173"/>
        <v>267500.2586</v>
      </c>
      <c r="AB262" s="99">
        <f t="shared" si="173"/>
        <v>272850.2638</v>
      </c>
      <c r="AC262" s="99">
        <f t="shared" si="173"/>
        <v>278307.269</v>
      </c>
      <c r="AD262" s="99">
        <f t="shared" si="173"/>
        <v>283873.4144</v>
      </c>
      <c r="AE262" s="99">
        <f t="shared" si="173"/>
        <v>289550.8827</v>
      </c>
      <c r="AF262" s="99">
        <f t="shared" si="173"/>
        <v>295341.9004</v>
      </c>
      <c r="AG262" s="99">
        <f t="shared" si="173"/>
        <v>301248.7384</v>
      </c>
      <c r="AH262" s="99">
        <f t="shared" si="173"/>
        <v>307273.7131</v>
      </c>
      <c r="AI262" s="99">
        <f t="shared" si="173"/>
        <v>313419.1874</v>
      </c>
      <c r="AJ262" s="99">
        <f t="shared" si="173"/>
        <v>319687.5711</v>
      </c>
      <c r="AK262" s="99">
        <f t="shared" si="173"/>
        <v>326081.3226</v>
      </c>
      <c r="AL262" s="99">
        <f t="shared" si="173"/>
        <v>332602.949</v>
      </c>
      <c r="AM262" s="99">
        <f t="shared" si="173"/>
        <v>339255.008</v>
      </c>
      <c r="AN262" s="99">
        <f t="shared" si="173"/>
        <v>346040.1082</v>
      </c>
      <c r="AO262" s="99">
        <f t="shared" si="173"/>
        <v>352960.9103</v>
      </c>
      <c r="AP262" s="99">
        <f t="shared" si="173"/>
        <v>360020.1285</v>
      </c>
      <c r="AQ262" s="99">
        <f t="shared" si="173"/>
        <v>367220.5311</v>
      </c>
      <c r="AR262" s="99">
        <f t="shared" si="173"/>
        <v>374564.9417</v>
      </c>
      <c r="AS262" s="99">
        <f t="shared" si="173"/>
        <v>382056.2406</v>
      </c>
      <c r="AT262" s="99">
        <f t="shared" si="173"/>
        <v>389697.3654</v>
      </c>
      <c r="AU262" s="99">
        <f t="shared" si="173"/>
        <v>397491.3127</v>
      </c>
      <c r="AV262" s="99">
        <f t="shared" si="173"/>
        <v>405441.1389</v>
      </c>
      <c r="AW262" s="90" t="s">
        <v>1210</v>
      </c>
      <c r="AX262" s="90"/>
      <c r="AY262" s="90"/>
      <c r="AZ262" s="90"/>
      <c r="BA262" s="90"/>
      <c r="BB262" s="90"/>
      <c r="BC262" s="90"/>
      <c r="BD262" s="90"/>
      <c r="BE262" s="90"/>
      <c r="BF262" s="90"/>
      <c r="BG262" s="90"/>
      <c r="BH262" s="90"/>
      <c r="BI262" s="90"/>
      <c r="BJ262" s="90"/>
      <c r="BK262" s="90"/>
      <c r="BL262" s="90"/>
      <c r="BM262" s="90"/>
      <c r="BN262" s="90"/>
      <c r="BO262" s="90"/>
      <c r="BP262" s="90"/>
      <c r="BQ262" s="90"/>
    </row>
    <row r="263" ht="12.75" customHeight="1" outlineLevel="1">
      <c r="A263" s="316"/>
      <c r="B263" s="90"/>
      <c r="C263" s="90" t="s">
        <v>671</v>
      </c>
      <c r="D263" s="90"/>
      <c r="E263" s="90"/>
      <c r="F263" s="90"/>
      <c r="G263" s="99"/>
      <c r="H263" s="99"/>
      <c r="I263" s="99"/>
      <c r="J263" s="99">
        <v>0.0</v>
      </c>
      <c r="K263" s="99">
        <f t="shared" ref="K263:O263" si="174">MIN(K40,$AY$95)*K95+MIN(K41,$AY$96)*K96+MIN(K42,$AY$97)*K97+MIN(K43,$AY$98)*K98</f>
        <v>0</v>
      </c>
      <c r="L263" s="99">
        <f t="shared" si="174"/>
        <v>0</v>
      </c>
      <c r="M263" s="99">
        <f t="shared" si="174"/>
        <v>0</v>
      </c>
      <c r="N263" s="99">
        <f t="shared" si="174"/>
        <v>0</v>
      </c>
      <c r="O263" s="99">
        <f t="shared" si="174"/>
        <v>0</v>
      </c>
      <c r="P263" s="99">
        <f t="shared" ref="P263:AV263" si="175">P94*P53</f>
        <v>0</v>
      </c>
      <c r="Q263" s="99">
        <f t="shared" si="175"/>
        <v>0</v>
      </c>
      <c r="R263" s="99">
        <f t="shared" si="175"/>
        <v>0</v>
      </c>
      <c r="S263" s="99">
        <f t="shared" si="175"/>
        <v>0</v>
      </c>
      <c r="T263" s="99">
        <f t="shared" si="175"/>
        <v>0</v>
      </c>
      <c r="U263" s="99">
        <f t="shared" si="175"/>
        <v>0</v>
      </c>
      <c r="V263" s="99">
        <f t="shared" si="175"/>
        <v>0</v>
      </c>
      <c r="W263" s="99">
        <f t="shared" si="175"/>
        <v>0</v>
      </c>
      <c r="X263" s="99">
        <f t="shared" si="175"/>
        <v>0</v>
      </c>
      <c r="Y263" s="99">
        <f t="shared" si="175"/>
        <v>0</v>
      </c>
      <c r="Z263" s="99">
        <f t="shared" si="175"/>
        <v>0</v>
      </c>
      <c r="AA263" s="99">
        <f t="shared" si="175"/>
        <v>0</v>
      </c>
      <c r="AB263" s="99">
        <f t="shared" si="175"/>
        <v>0</v>
      </c>
      <c r="AC263" s="99">
        <f t="shared" si="175"/>
        <v>0</v>
      </c>
      <c r="AD263" s="99">
        <f t="shared" si="175"/>
        <v>0</v>
      </c>
      <c r="AE263" s="99">
        <f t="shared" si="175"/>
        <v>0</v>
      </c>
      <c r="AF263" s="99">
        <f t="shared" si="175"/>
        <v>0</v>
      </c>
      <c r="AG263" s="99">
        <f t="shared" si="175"/>
        <v>0</v>
      </c>
      <c r="AH263" s="99">
        <f t="shared" si="175"/>
        <v>0</v>
      </c>
      <c r="AI263" s="99">
        <f t="shared" si="175"/>
        <v>0</v>
      </c>
      <c r="AJ263" s="99">
        <f t="shared" si="175"/>
        <v>0</v>
      </c>
      <c r="AK263" s="99">
        <f t="shared" si="175"/>
        <v>0</v>
      </c>
      <c r="AL263" s="99">
        <f t="shared" si="175"/>
        <v>0</v>
      </c>
      <c r="AM263" s="99">
        <f t="shared" si="175"/>
        <v>0</v>
      </c>
      <c r="AN263" s="99">
        <f t="shared" si="175"/>
        <v>0</v>
      </c>
      <c r="AO263" s="99">
        <f t="shared" si="175"/>
        <v>0</v>
      </c>
      <c r="AP263" s="99">
        <f t="shared" si="175"/>
        <v>0</v>
      </c>
      <c r="AQ263" s="99">
        <f t="shared" si="175"/>
        <v>0</v>
      </c>
      <c r="AR263" s="99">
        <f t="shared" si="175"/>
        <v>0</v>
      </c>
      <c r="AS263" s="99">
        <f t="shared" si="175"/>
        <v>0</v>
      </c>
      <c r="AT263" s="99">
        <f t="shared" si="175"/>
        <v>0</v>
      </c>
      <c r="AU263" s="99">
        <f t="shared" si="175"/>
        <v>0</v>
      </c>
      <c r="AV263" s="99">
        <f t="shared" si="175"/>
        <v>0</v>
      </c>
      <c r="AW263" s="90"/>
      <c r="AX263" s="90"/>
      <c r="AY263" s="90"/>
      <c r="AZ263" s="90"/>
      <c r="BA263" s="90"/>
      <c r="BB263" s="90"/>
      <c r="BC263" s="90"/>
      <c r="BD263" s="90"/>
      <c r="BE263" s="90"/>
      <c r="BF263" s="90"/>
      <c r="BG263" s="90"/>
      <c r="BH263" s="90"/>
      <c r="BI263" s="90"/>
      <c r="BJ263" s="90"/>
      <c r="BK263" s="90"/>
      <c r="BL263" s="90"/>
      <c r="BM263" s="90"/>
      <c r="BN263" s="90"/>
      <c r="BO263" s="90"/>
      <c r="BP263" s="90"/>
      <c r="BQ263" s="90"/>
    </row>
    <row r="264" ht="12.75" customHeight="1" outlineLevel="1">
      <c r="A264" s="316"/>
      <c r="B264" s="90"/>
      <c r="C264" s="90" t="s">
        <v>676</v>
      </c>
      <c r="D264" s="90"/>
      <c r="E264" s="90"/>
      <c r="F264" s="90"/>
      <c r="G264" s="99"/>
      <c r="H264" s="99"/>
      <c r="I264" s="99"/>
      <c r="J264" s="99">
        <v>0.0</v>
      </c>
      <c r="K264" s="99">
        <f t="shared" ref="K264:AV264" si="176">K84*K99</f>
        <v>0</v>
      </c>
      <c r="L264" s="99">
        <f t="shared" si="176"/>
        <v>0</v>
      </c>
      <c r="M264" s="99">
        <f t="shared" si="176"/>
        <v>0</v>
      </c>
      <c r="N264" s="99">
        <f t="shared" si="176"/>
        <v>0</v>
      </c>
      <c r="O264" s="99">
        <f t="shared" si="176"/>
        <v>0</v>
      </c>
      <c r="P264" s="99">
        <f t="shared" si="176"/>
        <v>0</v>
      </c>
      <c r="Q264" s="99">
        <f t="shared" si="176"/>
        <v>0</v>
      </c>
      <c r="R264" s="99">
        <f t="shared" si="176"/>
        <v>0</v>
      </c>
      <c r="S264" s="99">
        <f t="shared" si="176"/>
        <v>0</v>
      </c>
      <c r="T264" s="99">
        <f t="shared" si="176"/>
        <v>0</v>
      </c>
      <c r="U264" s="99">
        <f t="shared" si="176"/>
        <v>0</v>
      </c>
      <c r="V264" s="99">
        <f t="shared" si="176"/>
        <v>0</v>
      </c>
      <c r="W264" s="99">
        <f t="shared" si="176"/>
        <v>0</v>
      </c>
      <c r="X264" s="99">
        <f t="shared" si="176"/>
        <v>0</v>
      </c>
      <c r="Y264" s="99">
        <f t="shared" si="176"/>
        <v>0</v>
      </c>
      <c r="Z264" s="99">
        <f t="shared" si="176"/>
        <v>0</v>
      </c>
      <c r="AA264" s="99">
        <f t="shared" si="176"/>
        <v>0</v>
      </c>
      <c r="AB264" s="99">
        <f t="shared" si="176"/>
        <v>0</v>
      </c>
      <c r="AC264" s="99">
        <f t="shared" si="176"/>
        <v>0</v>
      </c>
      <c r="AD264" s="99">
        <f t="shared" si="176"/>
        <v>0</v>
      </c>
      <c r="AE264" s="99">
        <f t="shared" si="176"/>
        <v>0</v>
      </c>
      <c r="AF264" s="99">
        <f t="shared" si="176"/>
        <v>0</v>
      </c>
      <c r="AG264" s="99">
        <f t="shared" si="176"/>
        <v>0</v>
      </c>
      <c r="AH264" s="99">
        <f t="shared" si="176"/>
        <v>0</v>
      </c>
      <c r="AI264" s="99">
        <f t="shared" si="176"/>
        <v>0</v>
      </c>
      <c r="AJ264" s="99">
        <f t="shared" si="176"/>
        <v>0</v>
      </c>
      <c r="AK264" s="99">
        <f t="shared" si="176"/>
        <v>0</v>
      </c>
      <c r="AL264" s="99">
        <f t="shared" si="176"/>
        <v>0</v>
      </c>
      <c r="AM264" s="99">
        <f t="shared" si="176"/>
        <v>0</v>
      </c>
      <c r="AN264" s="99">
        <f t="shared" si="176"/>
        <v>0</v>
      </c>
      <c r="AO264" s="99">
        <f t="shared" si="176"/>
        <v>0</v>
      </c>
      <c r="AP264" s="99">
        <f t="shared" si="176"/>
        <v>0</v>
      </c>
      <c r="AQ264" s="99">
        <f t="shared" si="176"/>
        <v>0</v>
      </c>
      <c r="AR264" s="99">
        <f t="shared" si="176"/>
        <v>0</v>
      </c>
      <c r="AS264" s="99">
        <f t="shared" si="176"/>
        <v>0</v>
      </c>
      <c r="AT264" s="99">
        <f t="shared" si="176"/>
        <v>0</v>
      </c>
      <c r="AU264" s="99">
        <f t="shared" si="176"/>
        <v>0</v>
      </c>
      <c r="AV264" s="99">
        <f t="shared" si="176"/>
        <v>0</v>
      </c>
      <c r="AW264" s="90"/>
      <c r="AX264" s="90"/>
      <c r="AY264" s="90"/>
      <c r="AZ264" s="90"/>
      <c r="BA264" s="90"/>
      <c r="BB264" s="90"/>
      <c r="BC264" s="90"/>
      <c r="BD264" s="90"/>
      <c r="BE264" s="90"/>
      <c r="BF264" s="90"/>
      <c r="BG264" s="90"/>
      <c r="BH264" s="90"/>
      <c r="BI264" s="90"/>
      <c r="BJ264" s="90"/>
      <c r="BK264" s="90"/>
      <c r="BL264" s="90"/>
      <c r="BM264" s="90"/>
      <c r="BN264" s="90"/>
      <c r="BO264" s="90"/>
      <c r="BP264" s="90"/>
      <c r="BQ264" s="90"/>
    </row>
    <row r="265" ht="12.75" customHeight="1" outlineLevel="1">
      <c r="A265" s="316"/>
      <c r="B265" s="90"/>
      <c r="C265" s="90" t="s">
        <v>786</v>
      </c>
      <c r="D265" s="90"/>
      <c r="E265" s="90"/>
      <c r="F265" s="90"/>
      <c r="G265" s="99"/>
      <c r="H265" s="99"/>
      <c r="I265" s="99"/>
      <c r="J265" s="99">
        <v>0.0</v>
      </c>
      <c r="K265" s="99">
        <f>(K100+K101)*J55</f>
        <v>0</v>
      </c>
      <c r="L265" s="99">
        <f t="shared" ref="L265:AV265" si="177">(L100+L101)*L55</f>
        <v>46776.576</v>
      </c>
      <c r="M265" s="99">
        <f t="shared" si="177"/>
        <v>55921.87392</v>
      </c>
      <c r="N265" s="99">
        <f t="shared" si="177"/>
        <v>61465.8528</v>
      </c>
      <c r="O265" s="99">
        <f t="shared" si="177"/>
        <v>62695.16986</v>
      </c>
      <c r="P265" s="99">
        <f t="shared" si="177"/>
        <v>63949.07325</v>
      </c>
      <c r="Q265" s="99">
        <f t="shared" si="177"/>
        <v>65228.05472</v>
      </c>
      <c r="R265" s="99">
        <f t="shared" si="177"/>
        <v>67193.5968</v>
      </c>
      <c r="S265" s="99">
        <f t="shared" si="177"/>
        <v>68537.46874</v>
      </c>
      <c r="T265" s="99">
        <f t="shared" si="177"/>
        <v>69908.21811</v>
      </c>
      <c r="U265" s="99">
        <f t="shared" si="177"/>
        <v>71306.38247</v>
      </c>
      <c r="V265" s="99">
        <f t="shared" si="177"/>
        <v>72732.51012</v>
      </c>
      <c r="W265" s="99">
        <f t="shared" si="177"/>
        <v>74187.16032</v>
      </c>
      <c r="X265" s="99">
        <f t="shared" si="177"/>
        <v>75670.90353</v>
      </c>
      <c r="Y265" s="99">
        <f t="shared" si="177"/>
        <v>77184.3216</v>
      </c>
      <c r="Z265" s="99">
        <f t="shared" si="177"/>
        <v>78728.00803</v>
      </c>
      <c r="AA265" s="99">
        <f t="shared" si="177"/>
        <v>80302.56819</v>
      </c>
      <c r="AB265" s="99">
        <f t="shared" si="177"/>
        <v>81908.61956</v>
      </c>
      <c r="AC265" s="99">
        <f t="shared" si="177"/>
        <v>83546.79195</v>
      </c>
      <c r="AD265" s="99">
        <f t="shared" si="177"/>
        <v>85217.72779</v>
      </c>
      <c r="AE265" s="99">
        <f t="shared" si="177"/>
        <v>86922.08234</v>
      </c>
      <c r="AF265" s="99">
        <f t="shared" si="177"/>
        <v>88660.52399</v>
      </c>
      <c r="AG265" s="99">
        <f t="shared" si="177"/>
        <v>90433.73447</v>
      </c>
      <c r="AH265" s="99">
        <f t="shared" si="177"/>
        <v>92242.40916</v>
      </c>
      <c r="AI265" s="99">
        <f t="shared" si="177"/>
        <v>94087.25734</v>
      </c>
      <c r="AJ265" s="99">
        <f t="shared" si="177"/>
        <v>95969.00249</v>
      </c>
      <c r="AK265" s="99">
        <f t="shared" si="177"/>
        <v>97888.38254</v>
      </c>
      <c r="AL265" s="99">
        <f t="shared" si="177"/>
        <v>99846.15019</v>
      </c>
      <c r="AM265" s="99">
        <f t="shared" si="177"/>
        <v>101843.0732</v>
      </c>
      <c r="AN265" s="99">
        <f t="shared" si="177"/>
        <v>103879.9347</v>
      </c>
      <c r="AO265" s="99">
        <f t="shared" si="177"/>
        <v>105957.5334</v>
      </c>
      <c r="AP265" s="99">
        <f t="shared" si="177"/>
        <v>108076.684</v>
      </c>
      <c r="AQ265" s="99">
        <f t="shared" si="177"/>
        <v>110238.2177</v>
      </c>
      <c r="AR265" s="99">
        <f t="shared" si="177"/>
        <v>112442.9821</v>
      </c>
      <c r="AS265" s="99">
        <f t="shared" si="177"/>
        <v>114691.8417</v>
      </c>
      <c r="AT265" s="99">
        <f t="shared" si="177"/>
        <v>116985.6785</v>
      </c>
      <c r="AU265" s="99">
        <f t="shared" si="177"/>
        <v>119325.3921</v>
      </c>
      <c r="AV265" s="99">
        <f t="shared" si="177"/>
        <v>121711.8999</v>
      </c>
      <c r="AW265" s="90"/>
      <c r="AX265" s="90"/>
      <c r="AY265" s="90"/>
      <c r="AZ265" s="90"/>
      <c r="BA265" s="90"/>
      <c r="BB265" s="90"/>
      <c r="BC265" s="90"/>
      <c r="BD265" s="90"/>
      <c r="BE265" s="90"/>
      <c r="BF265" s="90"/>
      <c r="BG265" s="90"/>
      <c r="BH265" s="90"/>
      <c r="BI265" s="90"/>
      <c r="BJ265" s="90"/>
      <c r="BK265" s="90"/>
      <c r="BL265" s="90"/>
      <c r="BM265" s="90"/>
      <c r="BN265" s="90"/>
      <c r="BO265" s="90"/>
      <c r="BP265" s="90"/>
      <c r="BQ265" s="90"/>
    </row>
    <row r="266" ht="12.75" customHeight="1" outlineLevel="1">
      <c r="A266" s="316"/>
      <c r="B266" s="90"/>
      <c r="C266" s="90" t="s">
        <v>787</v>
      </c>
      <c r="D266" s="90"/>
      <c r="E266" s="90"/>
      <c r="F266" s="90"/>
      <c r="G266" s="99"/>
      <c r="H266" s="99"/>
      <c r="I266" s="99"/>
      <c r="J266" s="99">
        <v>0.0</v>
      </c>
      <c r="K266" s="99"/>
      <c r="L266" s="99"/>
      <c r="M266" s="99"/>
      <c r="N266" s="99"/>
      <c r="O266" s="99"/>
      <c r="P266" s="99"/>
      <c r="Q266" s="99"/>
      <c r="R266" s="99"/>
      <c r="S266" s="99"/>
      <c r="T266" s="99"/>
      <c r="U266" s="99"/>
      <c r="V266" s="99"/>
      <c r="W266" s="99"/>
      <c r="X266" s="99"/>
      <c r="Y266" s="99"/>
      <c r="Z266" s="99"/>
      <c r="AA266" s="99"/>
      <c r="AB266" s="99"/>
      <c r="AC266" s="99"/>
      <c r="AD266" s="99"/>
      <c r="AE266" s="99"/>
      <c r="AF266" s="99"/>
      <c r="AG266" s="99"/>
      <c r="AH266" s="99"/>
      <c r="AI266" s="99"/>
      <c r="AJ266" s="99"/>
      <c r="AK266" s="99"/>
      <c r="AL266" s="99"/>
      <c r="AM266" s="99"/>
      <c r="AN266" s="99"/>
      <c r="AO266" s="99"/>
      <c r="AP266" s="99"/>
      <c r="AQ266" s="99"/>
      <c r="AR266" s="99"/>
      <c r="AS266" s="99"/>
      <c r="AT266" s="99"/>
      <c r="AU266" s="99"/>
      <c r="AV266" s="99"/>
      <c r="AW266" s="90"/>
      <c r="AX266" s="90"/>
      <c r="AY266" s="90"/>
      <c r="AZ266" s="90"/>
      <c r="BA266" s="90"/>
      <c r="BB266" s="90"/>
      <c r="BC266" s="90"/>
      <c r="BD266" s="90"/>
      <c r="BE266" s="90"/>
      <c r="BF266" s="90"/>
      <c r="BG266" s="90"/>
      <c r="BH266" s="90"/>
      <c r="BI266" s="90"/>
      <c r="BJ266" s="90"/>
      <c r="BK266" s="90"/>
      <c r="BL266" s="90"/>
      <c r="BM266" s="90"/>
      <c r="BN266" s="90"/>
      <c r="BO266" s="90"/>
      <c r="BP266" s="90"/>
      <c r="BQ266" s="90"/>
    </row>
    <row r="267" ht="12.75" customHeight="1" outlineLevel="1">
      <c r="A267" s="316"/>
      <c r="B267" s="90"/>
      <c r="C267" s="90" t="s">
        <v>680</v>
      </c>
      <c r="D267" s="90"/>
      <c r="E267" s="90"/>
      <c r="F267" s="90"/>
      <c r="G267" s="99"/>
      <c r="H267" s="99"/>
      <c r="I267" s="99"/>
      <c r="J267" s="99">
        <v>0.0</v>
      </c>
      <c r="K267" s="99">
        <v>0.0</v>
      </c>
      <c r="L267" s="99">
        <f t="shared" ref="L267:AV267" si="178">MIN(L103*L55,0.75*(L243*SUM(L260:L265,L275,L288)))</f>
        <v>225792</v>
      </c>
      <c r="M267" s="99">
        <f t="shared" si="178"/>
        <v>269936.64</v>
      </c>
      <c r="N267" s="99">
        <f t="shared" si="178"/>
        <v>296697.6</v>
      </c>
      <c r="O267" s="99">
        <f t="shared" si="178"/>
        <v>302631.552</v>
      </c>
      <c r="P267" s="99">
        <f t="shared" si="178"/>
        <v>308684.183</v>
      </c>
      <c r="Q267" s="99">
        <f t="shared" si="178"/>
        <v>314857.8667</v>
      </c>
      <c r="R267" s="99">
        <f t="shared" si="178"/>
        <v>324345.6</v>
      </c>
      <c r="S267" s="99">
        <f t="shared" si="178"/>
        <v>330832.512</v>
      </c>
      <c r="T267" s="99">
        <f t="shared" si="178"/>
        <v>337449.1622</v>
      </c>
      <c r="U267" s="99">
        <f t="shared" si="178"/>
        <v>344198.1455</v>
      </c>
      <c r="V267" s="99">
        <f t="shared" si="178"/>
        <v>351082.1084</v>
      </c>
      <c r="W267" s="99">
        <f t="shared" si="178"/>
        <v>358103.7506</v>
      </c>
      <c r="X267" s="99">
        <f t="shared" si="178"/>
        <v>365265.8256</v>
      </c>
      <c r="Y267" s="99">
        <f t="shared" si="178"/>
        <v>372571.1421</v>
      </c>
      <c r="Z267" s="99">
        <f t="shared" si="178"/>
        <v>380022.5649</v>
      </c>
      <c r="AA267" s="99">
        <f t="shared" si="178"/>
        <v>387623.0162</v>
      </c>
      <c r="AB267" s="99">
        <f t="shared" si="178"/>
        <v>395375.4765</v>
      </c>
      <c r="AC267" s="99">
        <f t="shared" si="178"/>
        <v>403282.9861</v>
      </c>
      <c r="AD267" s="99">
        <f t="shared" si="178"/>
        <v>411348.6458</v>
      </c>
      <c r="AE267" s="99">
        <f t="shared" si="178"/>
        <v>419575.6187</v>
      </c>
      <c r="AF267" s="99">
        <f t="shared" si="178"/>
        <v>427967.1311</v>
      </c>
      <c r="AG267" s="99">
        <f t="shared" si="178"/>
        <v>436526.4737</v>
      </c>
      <c r="AH267" s="99">
        <f t="shared" si="178"/>
        <v>445257.0032</v>
      </c>
      <c r="AI267" s="99">
        <f t="shared" si="178"/>
        <v>454162.1433</v>
      </c>
      <c r="AJ267" s="99">
        <f t="shared" si="178"/>
        <v>463245.3861</v>
      </c>
      <c r="AK267" s="99">
        <f t="shared" si="178"/>
        <v>472510.2938</v>
      </c>
      <c r="AL267" s="99">
        <f t="shared" si="178"/>
        <v>481960.4997</v>
      </c>
      <c r="AM267" s="99">
        <f t="shared" si="178"/>
        <v>491599.7097</v>
      </c>
      <c r="AN267" s="99">
        <f t="shared" si="178"/>
        <v>501431.7039</v>
      </c>
      <c r="AO267" s="99">
        <f t="shared" si="178"/>
        <v>511460.338</v>
      </c>
      <c r="AP267" s="99">
        <f t="shared" si="178"/>
        <v>521689.5447</v>
      </c>
      <c r="AQ267" s="99">
        <f t="shared" si="178"/>
        <v>532123.3356</v>
      </c>
      <c r="AR267" s="99">
        <f t="shared" si="178"/>
        <v>542765.8024</v>
      </c>
      <c r="AS267" s="99">
        <f t="shared" si="178"/>
        <v>553621.1184</v>
      </c>
      <c r="AT267" s="99">
        <f t="shared" si="178"/>
        <v>564693.5408</v>
      </c>
      <c r="AU267" s="99">
        <f t="shared" si="178"/>
        <v>575987.4116</v>
      </c>
      <c r="AV267" s="99">
        <f t="shared" si="178"/>
        <v>587507.1598</v>
      </c>
      <c r="AW267" s="90" t="s">
        <v>1211</v>
      </c>
      <c r="AX267" s="90"/>
      <c r="AY267" s="90"/>
      <c r="AZ267" s="90"/>
      <c r="BA267" s="90"/>
      <c r="BB267" s="90"/>
      <c r="BC267" s="90"/>
      <c r="BD267" s="90"/>
      <c r="BE267" s="90"/>
      <c r="BF267" s="90"/>
      <c r="BG267" s="90"/>
      <c r="BH267" s="90"/>
      <c r="BI267" s="90"/>
      <c r="BJ267" s="90"/>
      <c r="BK267" s="90"/>
      <c r="BL267" s="90"/>
      <c r="BM267" s="90"/>
      <c r="BN267" s="90"/>
      <c r="BO267" s="90"/>
      <c r="BP267" s="90"/>
      <c r="BQ267" s="90"/>
    </row>
    <row r="268" ht="12.75" customHeight="1" outlineLevel="1">
      <c r="A268" s="316"/>
      <c r="B268" s="90"/>
      <c r="C268" s="90" t="s">
        <v>681</v>
      </c>
      <c r="D268" s="90"/>
      <c r="E268" s="90"/>
      <c r="F268" s="90"/>
      <c r="G268" s="99"/>
      <c r="H268" s="99"/>
      <c r="I268" s="99"/>
      <c r="J268" s="99">
        <v>0.0</v>
      </c>
      <c r="K268" s="99">
        <f t="shared" ref="K268:AV268" si="179">K104*K$55</f>
        <v>0</v>
      </c>
      <c r="L268" s="99">
        <f t="shared" si="179"/>
        <v>0</v>
      </c>
      <c r="M268" s="99">
        <f t="shared" si="179"/>
        <v>0</v>
      </c>
      <c r="N268" s="99">
        <f t="shared" si="179"/>
        <v>0</v>
      </c>
      <c r="O268" s="99">
        <f t="shared" si="179"/>
        <v>0</v>
      </c>
      <c r="P268" s="99">
        <f t="shared" si="179"/>
        <v>0</v>
      </c>
      <c r="Q268" s="99">
        <f t="shared" si="179"/>
        <v>0</v>
      </c>
      <c r="R268" s="99">
        <f t="shared" si="179"/>
        <v>0</v>
      </c>
      <c r="S268" s="99">
        <f t="shared" si="179"/>
        <v>0</v>
      </c>
      <c r="T268" s="99">
        <f t="shared" si="179"/>
        <v>0</v>
      </c>
      <c r="U268" s="99">
        <f t="shared" si="179"/>
        <v>0</v>
      </c>
      <c r="V268" s="99">
        <f t="shared" si="179"/>
        <v>0</v>
      </c>
      <c r="W268" s="99">
        <f t="shared" si="179"/>
        <v>0</v>
      </c>
      <c r="X268" s="99">
        <f t="shared" si="179"/>
        <v>0</v>
      </c>
      <c r="Y268" s="99">
        <f t="shared" si="179"/>
        <v>0</v>
      </c>
      <c r="Z268" s="99">
        <f t="shared" si="179"/>
        <v>0</v>
      </c>
      <c r="AA268" s="99">
        <f t="shared" si="179"/>
        <v>0</v>
      </c>
      <c r="AB268" s="99">
        <f t="shared" si="179"/>
        <v>0</v>
      </c>
      <c r="AC268" s="99">
        <f t="shared" si="179"/>
        <v>0</v>
      </c>
      <c r="AD268" s="99">
        <f t="shared" si="179"/>
        <v>0</v>
      </c>
      <c r="AE268" s="99">
        <f t="shared" si="179"/>
        <v>0</v>
      </c>
      <c r="AF268" s="99">
        <f t="shared" si="179"/>
        <v>0</v>
      </c>
      <c r="AG268" s="99">
        <f t="shared" si="179"/>
        <v>0</v>
      </c>
      <c r="AH268" s="99">
        <f t="shared" si="179"/>
        <v>0</v>
      </c>
      <c r="AI268" s="99">
        <f t="shared" si="179"/>
        <v>0</v>
      </c>
      <c r="AJ268" s="99">
        <f t="shared" si="179"/>
        <v>0</v>
      </c>
      <c r="AK268" s="99">
        <f t="shared" si="179"/>
        <v>0</v>
      </c>
      <c r="AL268" s="99">
        <f t="shared" si="179"/>
        <v>0</v>
      </c>
      <c r="AM268" s="99">
        <f t="shared" si="179"/>
        <v>0</v>
      </c>
      <c r="AN268" s="99">
        <f t="shared" si="179"/>
        <v>0</v>
      </c>
      <c r="AO268" s="99">
        <f t="shared" si="179"/>
        <v>0</v>
      </c>
      <c r="AP268" s="99">
        <f t="shared" si="179"/>
        <v>0</v>
      </c>
      <c r="AQ268" s="99">
        <f t="shared" si="179"/>
        <v>0</v>
      </c>
      <c r="AR268" s="99">
        <f t="shared" si="179"/>
        <v>0</v>
      </c>
      <c r="AS268" s="99">
        <f t="shared" si="179"/>
        <v>0</v>
      </c>
      <c r="AT268" s="99">
        <f t="shared" si="179"/>
        <v>0</v>
      </c>
      <c r="AU268" s="99">
        <f t="shared" si="179"/>
        <v>0</v>
      </c>
      <c r="AV268" s="99">
        <f t="shared" si="179"/>
        <v>0</v>
      </c>
      <c r="AW268" s="90"/>
      <c r="AX268" s="90"/>
      <c r="AY268" s="90"/>
      <c r="AZ268" s="90"/>
      <c r="BA268" s="90"/>
      <c r="BB268" s="90"/>
      <c r="BC268" s="90"/>
      <c r="BD268" s="90"/>
      <c r="BE268" s="90"/>
      <c r="BF268" s="90"/>
      <c r="BG268" s="90"/>
      <c r="BH268" s="90"/>
      <c r="BI268" s="90"/>
      <c r="BJ268" s="90"/>
      <c r="BK268" s="90"/>
      <c r="BL268" s="90"/>
      <c r="BM268" s="90"/>
      <c r="BN268" s="90"/>
      <c r="BO268" s="90"/>
      <c r="BP268" s="90"/>
      <c r="BQ268" s="90"/>
    </row>
    <row r="269" ht="12.75" customHeight="1" outlineLevel="1">
      <c r="A269" s="316"/>
      <c r="B269" s="90"/>
      <c r="C269" s="90" t="s">
        <v>682</v>
      </c>
      <c r="D269" s="90"/>
      <c r="E269" s="90"/>
      <c r="F269" s="90"/>
      <c r="G269" s="99"/>
      <c r="H269" s="99"/>
      <c r="I269" s="99"/>
      <c r="J269" s="99">
        <v>0.0</v>
      </c>
      <c r="K269" s="99">
        <f t="shared" ref="K269:AV269" si="180">K105*K$55</f>
        <v>0</v>
      </c>
      <c r="L269" s="99">
        <f t="shared" si="180"/>
        <v>0</v>
      </c>
      <c r="M269" s="99">
        <f t="shared" si="180"/>
        <v>0</v>
      </c>
      <c r="N269" s="99">
        <f t="shared" si="180"/>
        <v>0</v>
      </c>
      <c r="O269" s="99">
        <f t="shared" si="180"/>
        <v>0</v>
      </c>
      <c r="P269" s="99">
        <f t="shared" si="180"/>
        <v>0</v>
      </c>
      <c r="Q269" s="99">
        <f t="shared" si="180"/>
        <v>0</v>
      </c>
      <c r="R269" s="99">
        <f t="shared" si="180"/>
        <v>0</v>
      </c>
      <c r="S269" s="99">
        <f t="shared" si="180"/>
        <v>0</v>
      </c>
      <c r="T269" s="99">
        <f t="shared" si="180"/>
        <v>0</v>
      </c>
      <c r="U269" s="99">
        <f t="shared" si="180"/>
        <v>0</v>
      </c>
      <c r="V269" s="99">
        <f t="shared" si="180"/>
        <v>0</v>
      </c>
      <c r="W269" s="99">
        <f t="shared" si="180"/>
        <v>0</v>
      </c>
      <c r="X269" s="99">
        <f t="shared" si="180"/>
        <v>0</v>
      </c>
      <c r="Y269" s="99">
        <f t="shared" si="180"/>
        <v>0</v>
      </c>
      <c r="Z269" s="99">
        <f t="shared" si="180"/>
        <v>0</v>
      </c>
      <c r="AA269" s="99">
        <f t="shared" si="180"/>
        <v>0</v>
      </c>
      <c r="AB269" s="99">
        <f t="shared" si="180"/>
        <v>0</v>
      </c>
      <c r="AC269" s="99">
        <f t="shared" si="180"/>
        <v>0</v>
      </c>
      <c r="AD269" s="99">
        <f t="shared" si="180"/>
        <v>0</v>
      </c>
      <c r="AE269" s="99">
        <f t="shared" si="180"/>
        <v>0</v>
      </c>
      <c r="AF269" s="99">
        <f t="shared" si="180"/>
        <v>0</v>
      </c>
      <c r="AG269" s="99">
        <f t="shared" si="180"/>
        <v>0</v>
      </c>
      <c r="AH269" s="99">
        <f t="shared" si="180"/>
        <v>0</v>
      </c>
      <c r="AI269" s="99">
        <f t="shared" si="180"/>
        <v>0</v>
      </c>
      <c r="AJ269" s="99">
        <f t="shared" si="180"/>
        <v>0</v>
      </c>
      <c r="AK269" s="99">
        <f t="shared" si="180"/>
        <v>0</v>
      </c>
      <c r="AL269" s="99">
        <f t="shared" si="180"/>
        <v>0</v>
      </c>
      <c r="AM269" s="99">
        <f t="shared" si="180"/>
        <v>0</v>
      </c>
      <c r="AN269" s="99">
        <f t="shared" si="180"/>
        <v>0</v>
      </c>
      <c r="AO269" s="99">
        <f t="shared" si="180"/>
        <v>0</v>
      </c>
      <c r="AP269" s="99">
        <f t="shared" si="180"/>
        <v>0</v>
      </c>
      <c r="AQ269" s="99">
        <f t="shared" si="180"/>
        <v>0</v>
      </c>
      <c r="AR269" s="99">
        <f t="shared" si="180"/>
        <v>0</v>
      </c>
      <c r="AS269" s="99">
        <f t="shared" si="180"/>
        <v>0</v>
      </c>
      <c r="AT269" s="99">
        <f t="shared" si="180"/>
        <v>0</v>
      </c>
      <c r="AU269" s="99">
        <f t="shared" si="180"/>
        <v>0</v>
      </c>
      <c r="AV269" s="99">
        <f t="shared" si="180"/>
        <v>0</v>
      </c>
      <c r="AW269" s="90"/>
      <c r="AX269" s="90"/>
      <c r="AY269" s="90"/>
      <c r="AZ269" s="90"/>
      <c r="BA269" s="90"/>
      <c r="BB269" s="90"/>
      <c r="BC269" s="90"/>
      <c r="BD269" s="90"/>
      <c r="BE269" s="90"/>
      <c r="BF269" s="90"/>
      <c r="BG269" s="90"/>
      <c r="BH269" s="90"/>
      <c r="BI269" s="90"/>
      <c r="BJ269" s="90"/>
      <c r="BK269" s="90"/>
      <c r="BL269" s="90"/>
      <c r="BM269" s="90"/>
      <c r="BN269" s="90"/>
      <c r="BO269" s="90"/>
      <c r="BP269" s="90"/>
      <c r="BQ269" s="90"/>
    </row>
    <row r="270" ht="12.75" customHeight="1" outlineLevel="1">
      <c r="A270" s="316"/>
      <c r="B270" s="90"/>
      <c r="C270" s="90" t="s">
        <v>683</v>
      </c>
      <c r="D270" s="90"/>
      <c r="E270" s="90"/>
      <c r="F270" s="90"/>
      <c r="G270" s="99"/>
      <c r="H270" s="99"/>
      <c r="I270" s="99"/>
      <c r="J270" s="99">
        <v>0.0</v>
      </c>
      <c r="K270" s="99">
        <f t="shared" ref="K270:AV270" si="181">K106*K$55</f>
        <v>0</v>
      </c>
      <c r="L270" s="99">
        <f t="shared" si="181"/>
        <v>0</v>
      </c>
      <c r="M270" s="99">
        <f t="shared" si="181"/>
        <v>0</v>
      </c>
      <c r="N270" s="99">
        <f t="shared" si="181"/>
        <v>0</v>
      </c>
      <c r="O270" s="99">
        <f t="shared" si="181"/>
        <v>0</v>
      </c>
      <c r="P270" s="99">
        <f t="shared" si="181"/>
        <v>0</v>
      </c>
      <c r="Q270" s="99">
        <f t="shared" si="181"/>
        <v>0</v>
      </c>
      <c r="R270" s="99">
        <f t="shared" si="181"/>
        <v>0</v>
      </c>
      <c r="S270" s="99">
        <f t="shared" si="181"/>
        <v>0</v>
      </c>
      <c r="T270" s="99">
        <f t="shared" si="181"/>
        <v>0</v>
      </c>
      <c r="U270" s="99">
        <f t="shared" si="181"/>
        <v>0</v>
      </c>
      <c r="V270" s="99">
        <f t="shared" si="181"/>
        <v>0</v>
      </c>
      <c r="W270" s="99">
        <f t="shared" si="181"/>
        <v>0</v>
      </c>
      <c r="X270" s="99">
        <f t="shared" si="181"/>
        <v>0</v>
      </c>
      <c r="Y270" s="99">
        <f t="shared" si="181"/>
        <v>0</v>
      </c>
      <c r="Z270" s="99">
        <f t="shared" si="181"/>
        <v>0</v>
      </c>
      <c r="AA270" s="99">
        <f t="shared" si="181"/>
        <v>0</v>
      </c>
      <c r="AB270" s="99">
        <f t="shared" si="181"/>
        <v>0</v>
      </c>
      <c r="AC270" s="99">
        <f t="shared" si="181"/>
        <v>0</v>
      </c>
      <c r="AD270" s="99">
        <f t="shared" si="181"/>
        <v>0</v>
      </c>
      <c r="AE270" s="99">
        <f t="shared" si="181"/>
        <v>0</v>
      </c>
      <c r="AF270" s="99">
        <f t="shared" si="181"/>
        <v>0</v>
      </c>
      <c r="AG270" s="99">
        <f t="shared" si="181"/>
        <v>0</v>
      </c>
      <c r="AH270" s="99">
        <f t="shared" si="181"/>
        <v>0</v>
      </c>
      <c r="AI270" s="99">
        <f t="shared" si="181"/>
        <v>0</v>
      </c>
      <c r="AJ270" s="99">
        <f t="shared" si="181"/>
        <v>0</v>
      </c>
      <c r="AK270" s="99">
        <f t="shared" si="181"/>
        <v>0</v>
      </c>
      <c r="AL270" s="99">
        <f t="shared" si="181"/>
        <v>0</v>
      </c>
      <c r="AM270" s="99">
        <f t="shared" si="181"/>
        <v>0</v>
      </c>
      <c r="AN270" s="99">
        <f t="shared" si="181"/>
        <v>0</v>
      </c>
      <c r="AO270" s="99">
        <f t="shared" si="181"/>
        <v>0</v>
      </c>
      <c r="AP270" s="99">
        <f t="shared" si="181"/>
        <v>0</v>
      </c>
      <c r="AQ270" s="99">
        <f t="shared" si="181"/>
        <v>0</v>
      </c>
      <c r="AR270" s="99">
        <f t="shared" si="181"/>
        <v>0</v>
      </c>
      <c r="AS270" s="99">
        <f t="shared" si="181"/>
        <v>0</v>
      </c>
      <c r="AT270" s="99">
        <f t="shared" si="181"/>
        <v>0</v>
      </c>
      <c r="AU270" s="99">
        <f t="shared" si="181"/>
        <v>0</v>
      </c>
      <c r="AV270" s="99">
        <f t="shared" si="181"/>
        <v>0</v>
      </c>
      <c r="AW270" s="90"/>
      <c r="AX270" s="90"/>
      <c r="AY270" s="90"/>
      <c r="AZ270" s="90"/>
      <c r="BA270" s="90"/>
      <c r="BB270" s="90"/>
      <c r="BC270" s="90"/>
      <c r="BD270" s="90"/>
      <c r="BE270" s="90"/>
      <c r="BF270" s="90"/>
      <c r="BG270" s="90"/>
      <c r="BH270" s="90"/>
      <c r="BI270" s="90"/>
      <c r="BJ270" s="90"/>
      <c r="BK270" s="90"/>
      <c r="BL270" s="90"/>
      <c r="BM270" s="90"/>
      <c r="BN270" s="90"/>
      <c r="BO270" s="90"/>
      <c r="BP270" s="90"/>
      <c r="BQ270" s="90"/>
    </row>
    <row r="271" ht="12.75" customHeight="1" outlineLevel="1">
      <c r="A271" s="316"/>
      <c r="B271" s="87"/>
      <c r="C271" s="87" t="s">
        <v>684</v>
      </c>
      <c r="D271" s="87"/>
      <c r="E271" s="87"/>
      <c r="F271" s="87"/>
      <c r="G271" s="125"/>
      <c r="H271" s="125"/>
      <c r="I271" s="125"/>
      <c r="J271" s="99">
        <v>0.0</v>
      </c>
      <c r="K271" s="125">
        <f t="shared" ref="K271:AV271" si="182">K107*K$55</f>
        <v>0</v>
      </c>
      <c r="L271" s="125">
        <f t="shared" si="182"/>
        <v>0</v>
      </c>
      <c r="M271" s="125">
        <f t="shared" si="182"/>
        <v>0</v>
      </c>
      <c r="N271" s="125">
        <f t="shared" si="182"/>
        <v>0</v>
      </c>
      <c r="O271" s="125">
        <f t="shared" si="182"/>
        <v>0</v>
      </c>
      <c r="P271" s="125">
        <f t="shared" si="182"/>
        <v>0</v>
      </c>
      <c r="Q271" s="125">
        <f t="shared" si="182"/>
        <v>0</v>
      </c>
      <c r="R271" s="125">
        <f t="shared" si="182"/>
        <v>0</v>
      </c>
      <c r="S271" s="125">
        <f t="shared" si="182"/>
        <v>0</v>
      </c>
      <c r="T271" s="125">
        <f t="shared" si="182"/>
        <v>0</v>
      </c>
      <c r="U271" s="125">
        <f t="shared" si="182"/>
        <v>0</v>
      </c>
      <c r="V271" s="125">
        <f t="shared" si="182"/>
        <v>0</v>
      </c>
      <c r="W271" s="125">
        <f t="shared" si="182"/>
        <v>0</v>
      </c>
      <c r="X271" s="125">
        <f t="shared" si="182"/>
        <v>0</v>
      </c>
      <c r="Y271" s="125">
        <f t="shared" si="182"/>
        <v>0</v>
      </c>
      <c r="Z271" s="125">
        <f t="shared" si="182"/>
        <v>0</v>
      </c>
      <c r="AA271" s="125">
        <f t="shared" si="182"/>
        <v>0</v>
      </c>
      <c r="AB271" s="125">
        <f t="shared" si="182"/>
        <v>0</v>
      </c>
      <c r="AC271" s="125">
        <f t="shared" si="182"/>
        <v>0</v>
      </c>
      <c r="AD271" s="125">
        <f t="shared" si="182"/>
        <v>0</v>
      </c>
      <c r="AE271" s="125">
        <f t="shared" si="182"/>
        <v>0</v>
      </c>
      <c r="AF271" s="125">
        <f t="shared" si="182"/>
        <v>0</v>
      </c>
      <c r="AG271" s="125">
        <f t="shared" si="182"/>
        <v>0</v>
      </c>
      <c r="AH271" s="125">
        <f t="shared" si="182"/>
        <v>0</v>
      </c>
      <c r="AI271" s="125">
        <f t="shared" si="182"/>
        <v>0</v>
      </c>
      <c r="AJ271" s="125">
        <f t="shared" si="182"/>
        <v>0</v>
      </c>
      <c r="AK271" s="125">
        <f t="shared" si="182"/>
        <v>0</v>
      </c>
      <c r="AL271" s="125">
        <f t="shared" si="182"/>
        <v>0</v>
      </c>
      <c r="AM271" s="125">
        <f t="shared" si="182"/>
        <v>0</v>
      </c>
      <c r="AN271" s="125">
        <f t="shared" si="182"/>
        <v>0</v>
      </c>
      <c r="AO271" s="125">
        <f t="shared" si="182"/>
        <v>0</v>
      </c>
      <c r="AP271" s="125">
        <f t="shared" si="182"/>
        <v>0</v>
      </c>
      <c r="AQ271" s="125">
        <f t="shared" si="182"/>
        <v>0</v>
      </c>
      <c r="AR271" s="125">
        <f t="shared" si="182"/>
        <v>0</v>
      </c>
      <c r="AS271" s="125">
        <f t="shared" si="182"/>
        <v>0</v>
      </c>
      <c r="AT271" s="125">
        <f t="shared" si="182"/>
        <v>0</v>
      </c>
      <c r="AU271" s="125">
        <f t="shared" si="182"/>
        <v>0</v>
      </c>
      <c r="AV271" s="125">
        <f t="shared" si="182"/>
        <v>0</v>
      </c>
      <c r="AW271" s="87"/>
      <c r="AX271" s="90"/>
      <c r="AY271" s="90"/>
      <c r="AZ271" s="90"/>
      <c r="BA271" s="90"/>
      <c r="BB271" s="90"/>
      <c r="BC271" s="90"/>
      <c r="BD271" s="90"/>
      <c r="BE271" s="90"/>
      <c r="BF271" s="90"/>
      <c r="BG271" s="90"/>
      <c r="BH271" s="90"/>
      <c r="BI271" s="90"/>
      <c r="BJ271" s="90"/>
      <c r="BK271" s="90"/>
      <c r="BL271" s="90"/>
      <c r="BM271" s="90"/>
      <c r="BN271" s="90"/>
      <c r="BO271" s="90"/>
      <c r="BP271" s="90"/>
      <c r="BQ271" s="90"/>
    </row>
    <row r="272" ht="12.75" customHeight="1" outlineLevel="1">
      <c r="A272" s="316"/>
      <c r="B272" s="67" t="s">
        <v>590</v>
      </c>
      <c r="C272" s="90"/>
      <c r="D272" s="90"/>
      <c r="E272" s="90"/>
      <c r="F272" s="90"/>
      <c r="G272" s="79"/>
      <c r="H272" s="79"/>
      <c r="I272" s="79"/>
      <c r="J272" s="379">
        <v>0.0</v>
      </c>
      <c r="K272" s="79">
        <f t="shared" ref="K272:AV272" si="183">SUM(K260:K271)</f>
        <v>0</v>
      </c>
      <c r="L272" s="79">
        <f t="shared" si="183"/>
        <v>2414555.856</v>
      </c>
      <c r="M272" s="79">
        <f t="shared" si="183"/>
        <v>2856193.334</v>
      </c>
      <c r="N272" s="79">
        <f t="shared" si="183"/>
        <v>3157450.914</v>
      </c>
      <c r="O272" s="79">
        <f t="shared" si="183"/>
        <v>3229956.291</v>
      </c>
      <c r="P272" s="79">
        <f t="shared" si="183"/>
        <v>3286375.286</v>
      </c>
      <c r="Q272" s="79">
        <f t="shared" si="183"/>
        <v>3344454.37</v>
      </c>
      <c r="R272" s="79">
        <f t="shared" si="183"/>
        <v>3437713.337</v>
      </c>
      <c r="S272" s="79">
        <f t="shared" si="183"/>
        <v>3498796.425</v>
      </c>
      <c r="T272" s="79">
        <f t="shared" si="183"/>
        <v>3564673.752</v>
      </c>
      <c r="U272" s="79">
        <f t="shared" si="183"/>
        <v>3635967.227</v>
      </c>
      <c r="V272" s="79">
        <f t="shared" si="183"/>
        <v>3708686.572</v>
      </c>
      <c r="W272" s="79">
        <f t="shared" si="183"/>
        <v>3782860.303</v>
      </c>
      <c r="X272" s="79">
        <f t="shared" si="183"/>
        <v>3858517.509</v>
      </c>
      <c r="Y272" s="79">
        <f t="shared" si="183"/>
        <v>3935687.859</v>
      </c>
      <c r="Z272" s="79">
        <f t="shared" si="183"/>
        <v>4014401.617</v>
      </c>
      <c r="AA272" s="79">
        <f t="shared" si="183"/>
        <v>4094689.649</v>
      </c>
      <c r="AB272" s="79">
        <f t="shared" si="183"/>
        <v>4176583.442</v>
      </c>
      <c r="AC272" s="79">
        <f t="shared" si="183"/>
        <v>4260115.111</v>
      </c>
      <c r="AD272" s="79">
        <f t="shared" si="183"/>
        <v>4345317.413</v>
      </c>
      <c r="AE272" s="79">
        <f t="shared" si="183"/>
        <v>4432223.761</v>
      </c>
      <c r="AF272" s="79">
        <f t="shared" si="183"/>
        <v>4520868.236</v>
      </c>
      <c r="AG272" s="79">
        <f t="shared" si="183"/>
        <v>4611285.601</v>
      </c>
      <c r="AH272" s="79">
        <f t="shared" si="183"/>
        <v>4703511.313</v>
      </c>
      <c r="AI272" s="79">
        <f t="shared" si="183"/>
        <v>4797581.539</v>
      </c>
      <c r="AJ272" s="79">
        <f t="shared" si="183"/>
        <v>4893533.17</v>
      </c>
      <c r="AK272" s="79">
        <f t="shared" si="183"/>
        <v>4991403.834</v>
      </c>
      <c r="AL272" s="79">
        <f t="shared" si="183"/>
        <v>5091231.91</v>
      </c>
      <c r="AM272" s="79">
        <f t="shared" si="183"/>
        <v>5193056.549</v>
      </c>
      <c r="AN272" s="79">
        <f t="shared" si="183"/>
        <v>5296917.679</v>
      </c>
      <c r="AO272" s="79">
        <f t="shared" si="183"/>
        <v>5402856.033</v>
      </c>
      <c r="AP272" s="79">
        <f t="shared" si="183"/>
        <v>5510913.154</v>
      </c>
      <c r="AQ272" s="79">
        <f t="shared" si="183"/>
        <v>5621131.417</v>
      </c>
      <c r="AR272" s="79">
        <f t="shared" si="183"/>
        <v>5733554.045</v>
      </c>
      <c r="AS272" s="79">
        <f t="shared" si="183"/>
        <v>5848225.126</v>
      </c>
      <c r="AT272" s="79">
        <f t="shared" si="183"/>
        <v>5965189.629</v>
      </c>
      <c r="AU272" s="79">
        <f t="shared" si="183"/>
        <v>6084493.421</v>
      </c>
      <c r="AV272" s="79">
        <f t="shared" si="183"/>
        <v>6206183.29</v>
      </c>
      <c r="AW272" s="90"/>
      <c r="AX272" s="90"/>
      <c r="AY272" s="90"/>
      <c r="AZ272" s="90"/>
      <c r="BA272" s="90"/>
      <c r="BB272" s="90"/>
      <c r="BC272" s="90"/>
      <c r="BD272" s="90"/>
      <c r="BE272" s="90"/>
      <c r="BF272" s="90"/>
      <c r="BG272" s="90"/>
      <c r="BH272" s="90"/>
      <c r="BI272" s="90"/>
      <c r="BJ272" s="90"/>
      <c r="BK272" s="90"/>
      <c r="BL272" s="90"/>
      <c r="BM272" s="90"/>
      <c r="BN272" s="90"/>
      <c r="BO272" s="90"/>
      <c r="BP272" s="90"/>
      <c r="BQ272" s="90"/>
    </row>
    <row r="273" ht="12.75" customHeight="1" outlineLevel="1">
      <c r="A273" s="316"/>
      <c r="B273" s="67"/>
      <c r="C273" s="90"/>
      <c r="D273" s="90"/>
      <c r="E273" s="90"/>
      <c r="F273" s="90"/>
      <c r="G273" s="79"/>
      <c r="H273" s="79"/>
      <c r="I273" s="79"/>
      <c r="J273" s="79"/>
      <c r="K273" s="79"/>
      <c r="L273" s="79"/>
      <c r="M273" s="79"/>
      <c r="N273" s="79"/>
      <c r="O273" s="79"/>
      <c r="P273" s="79"/>
      <c r="Q273" s="79"/>
      <c r="R273" s="79"/>
      <c r="S273" s="79"/>
      <c r="T273" s="79"/>
      <c r="U273" s="79"/>
      <c r="V273" s="79"/>
      <c r="W273" s="79"/>
      <c r="X273" s="79"/>
      <c r="Y273" s="79"/>
      <c r="Z273" s="79"/>
      <c r="AA273" s="79"/>
      <c r="AB273" s="79"/>
      <c r="AC273" s="79"/>
      <c r="AD273" s="79"/>
      <c r="AE273" s="79"/>
      <c r="AF273" s="79"/>
      <c r="AG273" s="79"/>
      <c r="AH273" s="79"/>
      <c r="AI273" s="79"/>
      <c r="AJ273" s="79"/>
      <c r="AK273" s="79"/>
      <c r="AL273" s="79"/>
      <c r="AM273" s="79"/>
      <c r="AN273" s="79"/>
      <c r="AO273" s="79"/>
      <c r="AP273" s="79"/>
      <c r="AQ273" s="79"/>
      <c r="AR273" s="79"/>
      <c r="AS273" s="79"/>
      <c r="AT273" s="79"/>
      <c r="AU273" s="79"/>
      <c r="AV273" s="79"/>
      <c r="AW273" s="90"/>
      <c r="AX273" s="90"/>
      <c r="AY273" s="90"/>
      <c r="AZ273" s="90"/>
      <c r="BA273" s="90"/>
      <c r="BB273" s="90"/>
      <c r="BC273" s="90"/>
      <c r="BD273" s="90"/>
      <c r="BE273" s="90"/>
      <c r="BF273" s="90"/>
      <c r="BG273" s="90"/>
      <c r="BH273" s="90"/>
      <c r="BI273" s="90"/>
      <c r="BJ273" s="90"/>
      <c r="BK273" s="90"/>
      <c r="BL273" s="90"/>
      <c r="BM273" s="90"/>
      <c r="BN273" s="90"/>
      <c r="BO273" s="90"/>
      <c r="BP273" s="90"/>
      <c r="BQ273" s="90"/>
    </row>
    <row r="274" ht="12.75" customHeight="1" outlineLevel="1">
      <c r="A274" s="316"/>
      <c r="B274" s="67" t="s">
        <v>545</v>
      </c>
      <c r="C274" s="90"/>
      <c r="D274" s="90"/>
      <c r="E274" s="90"/>
      <c r="F274" s="90"/>
      <c r="G274" s="90"/>
      <c r="H274" s="90"/>
      <c r="I274" s="90"/>
      <c r="J274" s="90"/>
      <c r="K274" s="90"/>
      <c r="L274" s="90"/>
      <c r="M274" s="90"/>
      <c r="N274" s="90"/>
      <c r="O274" s="90"/>
      <c r="P274" s="90"/>
      <c r="Q274" s="90"/>
      <c r="R274" s="90"/>
      <c r="S274" s="90"/>
      <c r="T274" s="90"/>
      <c r="U274" s="90"/>
      <c r="V274" s="90"/>
      <c r="W274" s="90"/>
      <c r="X274" s="90"/>
      <c r="Y274" s="90"/>
      <c r="Z274" s="90"/>
      <c r="AA274" s="90"/>
      <c r="AB274" s="90"/>
      <c r="AC274" s="90"/>
      <c r="AD274" s="90"/>
      <c r="AE274" s="90"/>
      <c r="AF274" s="90"/>
      <c r="AG274" s="90"/>
      <c r="AH274" s="90"/>
      <c r="AI274" s="90"/>
      <c r="AJ274" s="90"/>
      <c r="AK274" s="90"/>
      <c r="AL274" s="90"/>
      <c r="AM274" s="90"/>
      <c r="AN274" s="90"/>
      <c r="AO274" s="90"/>
      <c r="AP274" s="90"/>
      <c r="AQ274" s="90"/>
      <c r="AR274" s="90"/>
      <c r="AS274" s="90"/>
      <c r="AT274" s="90"/>
      <c r="AU274" s="90"/>
      <c r="AV274" s="90"/>
      <c r="AW274" s="90"/>
      <c r="AX274" s="90"/>
      <c r="AY274" s="90"/>
      <c r="AZ274" s="90"/>
      <c r="BA274" s="90"/>
      <c r="BB274" s="90"/>
      <c r="BC274" s="90"/>
      <c r="BD274" s="90"/>
      <c r="BE274" s="90"/>
      <c r="BF274" s="90"/>
      <c r="BG274" s="90"/>
      <c r="BH274" s="90"/>
      <c r="BI274" s="90"/>
      <c r="BJ274" s="90"/>
      <c r="BK274" s="90"/>
      <c r="BL274" s="90"/>
      <c r="BM274" s="90"/>
      <c r="BN274" s="90"/>
      <c r="BO274" s="90"/>
      <c r="BP274" s="90"/>
      <c r="BQ274" s="90"/>
    </row>
    <row r="275" ht="12.75" customHeight="1" outlineLevel="1">
      <c r="A275" s="316"/>
      <c r="B275" s="90"/>
      <c r="C275" s="90" t="s">
        <v>788</v>
      </c>
      <c r="D275" s="90"/>
      <c r="E275" s="90"/>
      <c r="F275" s="90"/>
      <c r="G275" s="99"/>
      <c r="H275" s="99"/>
      <c r="I275" s="99"/>
      <c r="J275" s="99">
        <v>0.0</v>
      </c>
      <c r="K275" s="99">
        <f t="shared" ref="K275:AV275" si="184">K111*K63</f>
        <v>0</v>
      </c>
      <c r="L275" s="99">
        <f t="shared" si="184"/>
        <v>107320.32</v>
      </c>
      <c r="M275" s="99">
        <f t="shared" si="184"/>
        <v>129841.92</v>
      </c>
      <c r="N275" s="99">
        <f t="shared" si="184"/>
        <v>142626.3552</v>
      </c>
      <c r="O275" s="99">
        <f t="shared" si="184"/>
        <v>145478.8823</v>
      </c>
      <c r="P275" s="99">
        <f t="shared" si="184"/>
        <v>148388.46</v>
      </c>
      <c r="Q275" s="99">
        <f t="shared" si="184"/>
        <v>151356.2291</v>
      </c>
      <c r="R275" s="99">
        <f t="shared" si="184"/>
        <v>154383.3537</v>
      </c>
      <c r="S275" s="99">
        <f t="shared" si="184"/>
        <v>157471.0208</v>
      </c>
      <c r="T275" s="99">
        <f t="shared" si="184"/>
        <v>160620.4412</v>
      </c>
      <c r="U275" s="99">
        <f t="shared" si="184"/>
        <v>163832.85</v>
      </c>
      <c r="V275" s="99">
        <f t="shared" si="184"/>
        <v>167109.507</v>
      </c>
      <c r="W275" s="99">
        <f t="shared" si="184"/>
        <v>170451.6972</v>
      </c>
      <c r="X275" s="99">
        <f t="shared" si="184"/>
        <v>173860.7311</v>
      </c>
      <c r="Y275" s="99">
        <f t="shared" si="184"/>
        <v>177337.9458</v>
      </c>
      <c r="Z275" s="99">
        <f t="shared" si="184"/>
        <v>180884.7047</v>
      </c>
      <c r="AA275" s="99">
        <f t="shared" si="184"/>
        <v>184502.3988</v>
      </c>
      <c r="AB275" s="99">
        <f t="shared" si="184"/>
        <v>188192.4467</v>
      </c>
      <c r="AC275" s="99">
        <f t="shared" si="184"/>
        <v>191956.2957</v>
      </c>
      <c r="AD275" s="99">
        <f t="shared" si="184"/>
        <v>195795.4216</v>
      </c>
      <c r="AE275" s="99">
        <f t="shared" si="184"/>
        <v>199711.33</v>
      </c>
      <c r="AF275" s="99">
        <f t="shared" si="184"/>
        <v>203705.5566</v>
      </c>
      <c r="AG275" s="99">
        <f t="shared" si="184"/>
        <v>207779.6678</v>
      </c>
      <c r="AH275" s="99">
        <f t="shared" si="184"/>
        <v>211935.2611</v>
      </c>
      <c r="AI275" s="99">
        <f t="shared" si="184"/>
        <v>216173.9663</v>
      </c>
      <c r="AJ275" s="99">
        <f t="shared" si="184"/>
        <v>220497.4457</v>
      </c>
      <c r="AK275" s="99">
        <f t="shared" si="184"/>
        <v>224907.3946</v>
      </c>
      <c r="AL275" s="99">
        <f t="shared" si="184"/>
        <v>229405.5425</v>
      </c>
      <c r="AM275" s="99">
        <f t="shared" si="184"/>
        <v>233993.6533</v>
      </c>
      <c r="AN275" s="99">
        <f t="shared" si="184"/>
        <v>238673.5264</v>
      </c>
      <c r="AO275" s="99">
        <f t="shared" si="184"/>
        <v>243446.9969</v>
      </c>
      <c r="AP275" s="99">
        <f t="shared" si="184"/>
        <v>248315.9368</v>
      </c>
      <c r="AQ275" s="99">
        <f t="shared" si="184"/>
        <v>253282.2556</v>
      </c>
      <c r="AR275" s="99">
        <f t="shared" si="184"/>
        <v>258347.9007</v>
      </c>
      <c r="AS275" s="99">
        <f t="shared" si="184"/>
        <v>263514.8587</v>
      </c>
      <c r="AT275" s="99">
        <f t="shared" si="184"/>
        <v>268785.1559</v>
      </c>
      <c r="AU275" s="99">
        <f t="shared" si="184"/>
        <v>274160.859</v>
      </c>
      <c r="AV275" s="99">
        <f t="shared" si="184"/>
        <v>279644.0762</v>
      </c>
      <c r="AW275" s="90"/>
      <c r="AX275" s="90"/>
      <c r="AY275" s="90"/>
      <c r="AZ275" s="90"/>
      <c r="BA275" s="90"/>
      <c r="BB275" s="90"/>
      <c r="BC275" s="90"/>
      <c r="BD275" s="90"/>
      <c r="BE275" s="90"/>
      <c r="BF275" s="90"/>
      <c r="BG275" s="90"/>
      <c r="BH275" s="90"/>
      <c r="BI275" s="90"/>
      <c r="BJ275" s="90"/>
      <c r="BK275" s="90"/>
      <c r="BL275" s="90"/>
      <c r="BM275" s="90"/>
      <c r="BN275" s="90"/>
      <c r="BO275" s="90"/>
      <c r="BP275" s="90"/>
      <c r="BQ275" s="90"/>
    </row>
    <row r="276" ht="12.75" customHeight="1" outlineLevel="1">
      <c r="A276" s="316"/>
      <c r="B276" s="90"/>
      <c r="C276" s="90" t="s">
        <v>789</v>
      </c>
      <c r="D276" s="90"/>
      <c r="E276" s="90"/>
      <c r="F276" s="90"/>
      <c r="G276" s="99"/>
      <c r="H276" s="99"/>
      <c r="I276" s="99"/>
      <c r="J276" s="99">
        <v>0.0</v>
      </c>
      <c r="K276" s="99">
        <f t="shared" ref="K276:AV276" si="185">K112*K338</f>
        <v>0</v>
      </c>
      <c r="L276" s="99">
        <f t="shared" si="185"/>
        <v>124185.6</v>
      </c>
      <c r="M276" s="99">
        <f t="shared" si="185"/>
        <v>149935.104</v>
      </c>
      <c r="N276" s="99">
        <f t="shared" si="185"/>
        <v>164799.36</v>
      </c>
      <c r="O276" s="99">
        <f t="shared" si="185"/>
        <v>168095.3472</v>
      </c>
      <c r="P276" s="99">
        <f t="shared" si="185"/>
        <v>171457.2541</v>
      </c>
      <c r="Q276" s="99">
        <f t="shared" si="185"/>
        <v>174886.3992</v>
      </c>
      <c r="R276" s="99">
        <f t="shared" si="185"/>
        <v>178384.1272</v>
      </c>
      <c r="S276" s="99">
        <f t="shared" si="185"/>
        <v>181951.8098</v>
      </c>
      <c r="T276" s="99">
        <f t="shared" si="185"/>
        <v>185590.846</v>
      </c>
      <c r="U276" s="99">
        <f t="shared" si="185"/>
        <v>189302.6629</v>
      </c>
      <c r="V276" s="99">
        <f t="shared" si="185"/>
        <v>193088.7161</v>
      </c>
      <c r="W276" s="99">
        <f t="shared" si="185"/>
        <v>196950.4904</v>
      </c>
      <c r="X276" s="99">
        <f t="shared" si="185"/>
        <v>200889.5003</v>
      </c>
      <c r="Y276" s="99">
        <f t="shared" si="185"/>
        <v>204907.2903</v>
      </c>
      <c r="Z276" s="99">
        <f t="shared" si="185"/>
        <v>209005.4361</v>
      </c>
      <c r="AA276" s="99">
        <f t="shared" si="185"/>
        <v>213185.5448</v>
      </c>
      <c r="AB276" s="99">
        <f t="shared" si="185"/>
        <v>217449.2557</v>
      </c>
      <c r="AC276" s="99">
        <f t="shared" si="185"/>
        <v>221798.2408</v>
      </c>
      <c r="AD276" s="99">
        <f t="shared" si="185"/>
        <v>226234.2056</v>
      </c>
      <c r="AE276" s="99">
        <f t="shared" si="185"/>
        <v>230758.8897</v>
      </c>
      <c r="AF276" s="99">
        <f t="shared" si="185"/>
        <v>235374.0675</v>
      </c>
      <c r="AG276" s="99">
        <f t="shared" si="185"/>
        <v>240081.5489</v>
      </c>
      <c r="AH276" s="99">
        <f t="shared" si="185"/>
        <v>244883.1799</v>
      </c>
      <c r="AI276" s="99">
        <f t="shared" si="185"/>
        <v>249780.8434</v>
      </c>
      <c r="AJ276" s="99">
        <f t="shared" si="185"/>
        <v>254776.4603</v>
      </c>
      <c r="AK276" s="99">
        <f t="shared" si="185"/>
        <v>259871.9895</v>
      </c>
      <c r="AL276" s="99">
        <f t="shared" si="185"/>
        <v>265069.4293</v>
      </c>
      <c r="AM276" s="99">
        <f t="shared" si="185"/>
        <v>270370.8179</v>
      </c>
      <c r="AN276" s="99">
        <f t="shared" si="185"/>
        <v>275778.2343</v>
      </c>
      <c r="AO276" s="99">
        <f t="shared" si="185"/>
        <v>281293.7989</v>
      </c>
      <c r="AP276" s="99">
        <f t="shared" si="185"/>
        <v>286919.6749</v>
      </c>
      <c r="AQ276" s="99">
        <f t="shared" si="185"/>
        <v>292658.0684</v>
      </c>
      <c r="AR276" s="99">
        <f t="shared" si="185"/>
        <v>298511.2298</v>
      </c>
      <c r="AS276" s="99">
        <f t="shared" si="185"/>
        <v>304481.4544</v>
      </c>
      <c r="AT276" s="99">
        <f t="shared" si="185"/>
        <v>310571.0835</v>
      </c>
      <c r="AU276" s="99">
        <f t="shared" si="185"/>
        <v>316782.5051</v>
      </c>
      <c r="AV276" s="99">
        <f t="shared" si="185"/>
        <v>323118.1552</v>
      </c>
      <c r="AW276" s="90"/>
      <c r="AX276" s="90"/>
      <c r="AY276" s="90"/>
      <c r="AZ276" s="90"/>
      <c r="BA276" s="90"/>
      <c r="BB276" s="90"/>
      <c r="BC276" s="90"/>
      <c r="BD276" s="90"/>
      <c r="BE276" s="90"/>
      <c r="BF276" s="90"/>
      <c r="BG276" s="90"/>
      <c r="BH276" s="90"/>
      <c r="BI276" s="90"/>
      <c r="BJ276" s="90"/>
      <c r="BK276" s="90"/>
      <c r="BL276" s="90"/>
      <c r="BM276" s="90"/>
      <c r="BN276" s="90"/>
      <c r="BO276" s="90"/>
      <c r="BP276" s="90"/>
      <c r="BQ276" s="90"/>
    </row>
    <row r="277" ht="12.75" customHeight="1" outlineLevel="1">
      <c r="A277" s="316"/>
      <c r="B277" s="90"/>
      <c r="C277" s="90" t="s">
        <v>790</v>
      </c>
      <c r="D277" s="90"/>
      <c r="E277" s="90"/>
      <c r="F277" s="90"/>
      <c r="G277" s="99"/>
      <c r="H277" s="99"/>
      <c r="I277" s="99"/>
      <c r="J277" s="99">
        <v>0.0</v>
      </c>
      <c r="K277" s="99">
        <f>K113*K$62</f>
        <v>0</v>
      </c>
      <c r="L277" s="99">
        <v>8000.0</v>
      </c>
      <c r="M277" s="99">
        <f t="shared" ref="M277:AV277" si="186">L277*(1+M110)</f>
        <v>8160</v>
      </c>
      <c r="N277" s="99">
        <f t="shared" si="186"/>
        <v>8323.2</v>
      </c>
      <c r="O277" s="99">
        <f t="shared" si="186"/>
        <v>8489.664</v>
      </c>
      <c r="P277" s="99">
        <f t="shared" si="186"/>
        <v>8659.45728</v>
      </c>
      <c r="Q277" s="99">
        <f t="shared" si="186"/>
        <v>8832.646426</v>
      </c>
      <c r="R277" s="99">
        <f t="shared" si="186"/>
        <v>9009.299354</v>
      </c>
      <c r="S277" s="99">
        <f t="shared" si="186"/>
        <v>9189.485341</v>
      </c>
      <c r="T277" s="99">
        <f t="shared" si="186"/>
        <v>9373.275048</v>
      </c>
      <c r="U277" s="99">
        <f t="shared" si="186"/>
        <v>9560.740549</v>
      </c>
      <c r="V277" s="99">
        <f t="shared" si="186"/>
        <v>9751.95536</v>
      </c>
      <c r="W277" s="99">
        <f t="shared" si="186"/>
        <v>9946.994467</v>
      </c>
      <c r="X277" s="99">
        <f t="shared" si="186"/>
        <v>10145.93436</v>
      </c>
      <c r="Y277" s="99">
        <f t="shared" si="186"/>
        <v>10348.85304</v>
      </c>
      <c r="Z277" s="99">
        <f t="shared" si="186"/>
        <v>10555.8301</v>
      </c>
      <c r="AA277" s="99">
        <f t="shared" si="186"/>
        <v>10766.94671</v>
      </c>
      <c r="AB277" s="99">
        <f t="shared" si="186"/>
        <v>10982.28564</v>
      </c>
      <c r="AC277" s="99">
        <f t="shared" si="186"/>
        <v>11201.93135</v>
      </c>
      <c r="AD277" s="99">
        <f t="shared" si="186"/>
        <v>11425.96998</v>
      </c>
      <c r="AE277" s="99">
        <f t="shared" si="186"/>
        <v>11654.48938</v>
      </c>
      <c r="AF277" s="99">
        <f t="shared" si="186"/>
        <v>11887.57917</v>
      </c>
      <c r="AG277" s="99">
        <f t="shared" si="186"/>
        <v>12125.33075</v>
      </c>
      <c r="AH277" s="99">
        <f t="shared" si="186"/>
        <v>12367.83737</v>
      </c>
      <c r="AI277" s="99">
        <f t="shared" si="186"/>
        <v>12615.19411</v>
      </c>
      <c r="AJ277" s="99">
        <f t="shared" si="186"/>
        <v>12867.498</v>
      </c>
      <c r="AK277" s="99">
        <f t="shared" si="186"/>
        <v>13124.84796</v>
      </c>
      <c r="AL277" s="99">
        <f t="shared" si="186"/>
        <v>13387.34491</v>
      </c>
      <c r="AM277" s="99">
        <f t="shared" si="186"/>
        <v>13655.09181</v>
      </c>
      <c r="AN277" s="99">
        <f t="shared" si="186"/>
        <v>13928.19365</v>
      </c>
      <c r="AO277" s="99">
        <f t="shared" si="186"/>
        <v>14206.75752</v>
      </c>
      <c r="AP277" s="99">
        <f t="shared" si="186"/>
        <v>14490.89267</v>
      </c>
      <c r="AQ277" s="99">
        <f t="shared" si="186"/>
        <v>14780.71053</v>
      </c>
      <c r="AR277" s="99">
        <f t="shared" si="186"/>
        <v>15076.32474</v>
      </c>
      <c r="AS277" s="99">
        <f t="shared" si="186"/>
        <v>15377.85123</v>
      </c>
      <c r="AT277" s="99">
        <f t="shared" si="186"/>
        <v>15685.40826</v>
      </c>
      <c r="AU277" s="99">
        <f t="shared" si="186"/>
        <v>15999.11642</v>
      </c>
      <c r="AV277" s="99">
        <f t="shared" si="186"/>
        <v>16319.09875</v>
      </c>
      <c r="AW277" s="90"/>
      <c r="AX277" s="90"/>
      <c r="AY277" s="90"/>
      <c r="AZ277" s="90"/>
      <c r="BA277" s="90"/>
      <c r="BB277" s="90"/>
      <c r="BC277" s="90"/>
      <c r="BD277" s="90"/>
      <c r="BE277" s="90"/>
      <c r="BF277" s="90"/>
      <c r="BG277" s="90"/>
      <c r="BH277" s="90"/>
      <c r="BI277" s="90"/>
      <c r="BJ277" s="90"/>
      <c r="BK277" s="90"/>
      <c r="BL277" s="90"/>
      <c r="BM277" s="90"/>
      <c r="BN277" s="90"/>
      <c r="BO277" s="90"/>
      <c r="BP277" s="90"/>
      <c r="BQ277" s="90"/>
    </row>
    <row r="278" ht="12.75" customHeight="1" outlineLevel="1">
      <c r="A278" s="316"/>
      <c r="B278" s="90"/>
      <c r="C278" s="90" t="s">
        <v>689</v>
      </c>
      <c r="D278" s="90"/>
      <c r="E278" s="90"/>
      <c r="F278" s="90"/>
      <c r="G278" s="99"/>
      <c r="H278" s="99"/>
      <c r="I278" s="99"/>
      <c r="J278" s="99">
        <v>0.0</v>
      </c>
      <c r="K278" s="99">
        <f t="shared" ref="K278:AV278" si="187">K114*K$55</f>
        <v>0</v>
      </c>
      <c r="L278" s="99">
        <f t="shared" si="187"/>
        <v>0</v>
      </c>
      <c r="M278" s="99">
        <f t="shared" si="187"/>
        <v>0</v>
      </c>
      <c r="N278" s="99">
        <f t="shared" si="187"/>
        <v>12831.85841</v>
      </c>
      <c r="O278" s="99">
        <f t="shared" si="187"/>
        <v>13088.49558</v>
      </c>
      <c r="P278" s="99">
        <f t="shared" si="187"/>
        <v>13350.26549</v>
      </c>
      <c r="Q278" s="99">
        <f t="shared" si="187"/>
        <v>13617.2708</v>
      </c>
      <c r="R278" s="99">
        <f t="shared" si="187"/>
        <v>13889.61621</v>
      </c>
      <c r="S278" s="99">
        <f t="shared" si="187"/>
        <v>14167.40854</v>
      </c>
      <c r="T278" s="99">
        <f t="shared" si="187"/>
        <v>14450.75671</v>
      </c>
      <c r="U278" s="99">
        <f t="shared" si="187"/>
        <v>14739.77184</v>
      </c>
      <c r="V278" s="99">
        <f t="shared" si="187"/>
        <v>15034.56728</v>
      </c>
      <c r="W278" s="99">
        <f t="shared" si="187"/>
        <v>15335.25862</v>
      </c>
      <c r="X278" s="99">
        <f t="shared" si="187"/>
        <v>15641.9638</v>
      </c>
      <c r="Y278" s="99">
        <f t="shared" si="187"/>
        <v>15954.80307</v>
      </c>
      <c r="Z278" s="99">
        <f t="shared" si="187"/>
        <v>16273.89913</v>
      </c>
      <c r="AA278" s="99">
        <f t="shared" si="187"/>
        <v>16599.37712</v>
      </c>
      <c r="AB278" s="99">
        <f t="shared" si="187"/>
        <v>16931.36466</v>
      </c>
      <c r="AC278" s="99">
        <f t="shared" si="187"/>
        <v>17269.99195</v>
      </c>
      <c r="AD278" s="99">
        <f t="shared" si="187"/>
        <v>17615.39179</v>
      </c>
      <c r="AE278" s="99">
        <f t="shared" si="187"/>
        <v>17967.69963</v>
      </c>
      <c r="AF278" s="99">
        <f t="shared" si="187"/>
        <v>18327.05362</v>
      </c>
      <c r="AG278" s="99">
        <f t="shared" si="187"/>
        <v>18693.59469</v>
      </c>
      <c r="AH278" s="99">
        <f t="shared" si="187"/>
        <v>19067.46659</v>
      </c>
      <c r="AI278" s="99">
        <f t="shared" si="187"/>
        <v>19448.81592</v>
      </c>
      <c r="AJ278" s="99">
        <f t="shared" si="187"/>
        <v>19837.79224</v>
      </c>
      <c r="AK278" s="99">
        <f t="shared" si="187"/>
        <v>20234.54808</v>
      </c>
      <c r="AL278" s="99">
        <f t="shared" si="187"/>
        <v>20639.23904</v>
      </c>
      <c r="AM278" s="99">
        <f t="shared" si="187"/>
        <v>21052.02382</v>
      </c>
      <c r="AN278" s="99">
        <f t="shared" si="187"/>
        <v>21473.0643</v>
      </c>
      <c r="AO278" s="99">
        <f t="shared" si="187"/>
        <v>21902.52559</v>
      </c>
      <c r="AP278" s="99">
        <f t="shared" si="187"/>
        <v>22340.5761</v>
      </c>
      <c r="AQ278" s="99">
        <f t="shared" si="187"/>
        <v>22787.38762</v>
      </c>
      <c r="AR278" s="99">
        <f t="shared" si="187"/>
        <v>23243.13537</v>
      </c>
      <c r="AS278" s="99">
        <f t="shared" si="187"/>
        <v>23707.99808</v>
      </c>
      <c r="AT278" s="99">
        <f t="shared" si="187"/>
        <v>24182.15804</v>
      </c>
      <c r="AU278" s="99">
        <f t="shared" si="187"/>
        <v>24665.8012</v>
      </c>
      <c r="AV278" s="99">
        <f t="shared" si="187"/>
        <v>25159.11723</v>
      </c>
      <c r="AW278" s="90"/>
      <c r="AX278" s="90"/>
      <c r="AY278" s="90"/>
      <c r="AZ278" s="90"/>
      <c r="BA278" s="90"/>
      <c r="BB278" s="90"/>
      <c r="BC278" s="90"/>
      <c r="BD278" s="90"/>
      <c r="BE278" s="90"/>
      <c r="BF278" s="90"/>
      <c r="BG278" s="90"/>
      <c r="BH278" s="90"/>
      <c r="BI278" s="90"/>
      <c r="BJ278" s="90"/>
      <c r="BK278" s="90"/>
      <c r="BL278" s="90"/>
      <c r="BM278" s="90"/>
      <c r="BN278" s="90"/>
      <c r="BO278" s="90"/>
      <c r="BP278" s="90"/>
      <c r="BQ278" s="90"/>
    </row>
    <row r="279" ht="12.75" customHeight="1" outlineLevel="1">
      <c r="A279" s="316"/>
      <c r="B279" s="90"/>
      <c r="C279" s="90" t="s">
        <v>690</v>
      </c>
      <c r="D279" s="90"/>
      <c r="E279" s="90"/>
      <c r="F279" s="90"/>
      <c r="G279" s="99"/>
      <c r="H279" s="99"/>
      <c r="I279" s="99"/>
      <c r="J279" s="99">
        <v>0.0</v>
      </c>
      <c r="K279" s="99">
        <f t="shared" ref="K279:AV279" si="188">K115*K$55</f>
        <v>0</v>
      </c>
      <c r="L279" s="99">
        <f t="shared" si="188"/>
        <v>0</v>
      </c>
      <c r="M279" s="99">
        <f t="shared" si="188"/>
        <v>0</v>
      </c>
      <c r="N279" s="99">
        <f t="shared" si="188"/>
        <v>0</v>
      </c>
      <c r="O279" s="99">
        <f t="shared" si="188"/>
        <v>0</v>
      </c>
      <c r="P279" s="99">
        <f t="shared" si="188"/>
        <v>0</v>
      </c>
      <c r="Q279" s="99">
        <f t="shared" si="188"/>
        <v>0</v>
      </c>
      <c r="R279" s="99">
        <f t="shared" si="188"/>
        <v>0</v>
      </c>
      <c r="S279" s="99">
        <f t="shared" si="188"/>
        <v>0</v>
      </c>
      <c r="T279" s="99">
        <f t="shared" si="188"/>
        <v>0</v>
      </c>
      <c r="U279" s="99">
        <f t="shared" si="188"/>
        <v>0</v>
      </c>
      <c r="V279" s="99">
        <f t="shared" si="188"/>
        <v>0</v>
      </c>
      <c r="W279" s="99">
        <f t="shared" si="188"/>
        <v>0</v>
      </c>
      <c r="X279" s="99">
        <f t="shared" si="188"/>
        <v>0</v>
      </c>
      <c r="Y279" s="99">
        <f t="shared" si="188"/>
        <v>0</v>
      </c>
      <c r="Z279" s="99">
        <f t="shared" si="188"/>
        <v>0</v>
      </c>
      <c r="AA279" s="99">
        <f t="shared" si="188"/>
        <v>0</v>
      </c>
      <c r="AB279" s="99">
        <f t="shared" si="188"/>
        <v>0</v>
      </c>
      <c r="AC279" s="99">
        <f t="shared" si="188"/>
        <v>0</v>
      </c>
      <c r="AD279" s="99">
        <f t="shared" si="188"/>
        <v>0</v>
      </c>
      <c r="AE279" s="99">
        <f t="shared" si="188"/>
        <v>0</v>
      </c>
      <c r="AF279" s="99">
        <f t="shared" si="188"/>
        <v>0</v>
      </c>
      <c r="AG279" s="99">
        <f t="shared" si="188"/>
        <v>0</v>
      </c>
      <c r="AH279" s="99">
        <f t="shared" si="188"/>
        <v>0</v>
      </c>
      <c r="AI279" s="99">
        <f t="shared" si="188"/>
        <v>0</v>
      </c>
      <c r="AJ279" s="99">
        <f t="shared" si="188"/>
        <v>0</v>
      </c>
      <c r="AK279" s="99">
        <f t="shared" si="188"/>
        <v>0</v>
      </c>
      <c r="AL279" s="99">
        <f t="shared" si="188"/>
        <v>0</v>
      </c>
      <c r="AM279" s="99">
        <f t="shared" si="188"/>
        <v>0</v>
      </c>
      <c r="AN279" s="99">
        <f t="shared" si="188"/>
        <v>0</v>
      </c>
      <c r="AO279" s="99">
        <f t="shared" si="188"/>
        <v>0</v>
      </c>
      <c r="AP279" s="99">
        <f t="shared" si="188"/>
        <v>0</v>
      </c>
      <c r="AQ279" s="99">
        <f t="shared" si="188"/>
        <v>0</v>
      </c>
      <c r="AR279" s="99">
        <f t="shared" si="188"/>
        <v>0</v>
      </c>
      <c r="AS279" s="99">
        <f t="shared" si="188"/>
        <v>0</v>
      </c>
      <c r="AT279" s="99">
        <f t="shared" si="188"/>
        <v>0</v>
      </c>
      <c r="AU279" s="99">
        <f t="shared" si="188"/>
        <v>0</v>
      </c>
      <c r="AV279" s="99">
        <f t="shared" si="188"/>
        <v>0</v>
      </c>
      <c r="AW279" s="90"/>
      <c r="AX279" s="90"/>
      <c r="AY279" s="90"/>
      <c r="AZ279" s="90"/>
      <c r="BA279" s="90"/>
      <c r="BB279" s="90"/>
      <c r="BC279" s="90"/>
      <c r="BD279" s="90"/>
      <c r="BE279" s="90"/>
      <c r="BF279" s="90"/>
      <c r="BG279" s="90"/>
      <c r="BH279" s="90"/>
      <c r="BI279" s="90"/>
      <c r="BJ279" s="90"/>
      <c r="BK279" s="90"/>
      <c r="BL279" s="90"/>
      <c r="BM279" s="90"/>
      <c r="BN279" s="90"/>
      <c r="BO279" s="90"/>
      <c r="BP279" s="90"/>
      <c r="BQ279" s="90"/>
    </row>
    <row r="280" ht="12.75" customHeight="1" outlineLevel="1">
      <c r="A280" s="316"/>
      <c r="B280" s="87"/>
      <c r="C280" s="87" t="s">
        <v>691</v>
      </c>
      <c r="D280" s="87"/>
      <c r="E280" s="87"/>
      <c r="F280" s="87"/>
      <c r="G280" s="125"/>
      <c r="H280" s="125"/>
      <c r="I280" s="125"/>
      <c r="J280" s="125">
        <v>0.0</v>
      </c>
      <c r="K280" s="125">
        <f t="shared" ref="K280:AV280" si="189">K116*K$55</f>
        <v>0</v>
      </c>
      <c r="L280" s="125">
        <f t="shared" si="189"/>
        <v>0</v>
      </c>
      <c r="M280" s="125">
        <f t="shared" si="189"/>
        <v>0</v>
      </c>
      <c r="N280" s="125">
        <f t="shared" si="189"/>
        <v>0</v>
      </c>
      <c r="O280" s="125">
        <f t="shared" si="189"/>
        <v>0</v>
      </c>
      <c r="P280" s="125">
        <f t="shared" si="189"/>
        <v>0</v>
      </c>
      <c r="Q280" s="125">
        <f t="shared" si="189"/>
        <v>0</v>
      </c>
      <c r="R280" s="125">
        <f t="shared" si="189"/>
        <v>0</v>
      </c>
      <c r="S280" s="125">
        <f t="shared" si="189"/>
        <v>0</v>
      </c>
      <c r="T280" s="125">
        <f t="shared" si="189"/>
        <v>0</v>
      </c>
      <c r="U280" s="125">
        <f t="shared" si="189"/>
        <v>0</v>
      </c>
      <c r="V280" s="125">
        <f t="shared" si="189"/>
        <v>0</v>
      </c>
      <c r="W280" s="125">
        <f t="shared" si="189"/>
        <v>0</v>
      </c>
      <c r="X280" s="125">
        <f t="shared" si="189"/>
        <v>0</v>
      </c>
      <c r="Y280" s="125">
        <f t="shared" si="189"/>
        <v>0</v>
      </c>
      <c r="Z280" s="125">
        <f t="shared" si="189"/>
        <v>0</v>
      </c>
      <c r="AA280" s="125">
        <f t="shared" si="189"/>
        <v>0</v>
      </c>
      <c r="AB280" s="125">
        <f t="shared" si="189"/>
        <v>0</v>
      </c>
      <c r="AC280" s="125">
        <f t="shared" si="189"/>
        <v>0</v>
      </c>
      <c r="AD280" s="125">
        <f t="shared" si="189"/>
        <v>0</v>
      </c>
      <c r="AE280" s="125">
        <f t="shared" si="189"/>
        <v>0</v>
      </c>
      <c r="AF280" s="125">
        <f t="shared" si="189"/>
        <v>0</v>
      </c>
      <c r="AG280" s="125">
        <f t="shared" si="189"/>
        <v>0</v>
      </c>
      <c r="AH280" s="125">
        <f t="shared" si="189"/>
        <v>0</v>
      </c>
      <c r="AI280" s="125">
        <f t="shared" si="189"/>
        <v>0</v>
      </c>
      <c r="AJ280" s="125">
        <f t="shared" si="189"/>
        <v>0</v>
      </c>
      <c r="AK280" s="125">
        <f t="shared" si="189"/>
        <v>0</v>
      </c>
      <c r="AL280" s="125">
        <f t="shared" si="189"/>
        <v>0</v>
      </c>
      <c r="AM280" s="125">
        <f t="shared" si="189"/>
        <v>0</v>
      </c>
      <c r="AN280" s="125">
        <f t="shared" si="189"/>
        <v>0</v>
      </c>
      <c r="AO280" s="125">
        <f t="shared" si="189"/>
        <v>0</v>
      </c>
      <c r="AP280" s="125">
        <f t="shared" si="189"/>
        <v>0</v>
      </c>
      <c r="AQ280" s="125">
        <f t="shared" si="189"/>
        <v>0</v>
      </c>
      <c r="AR280" s="125">
        <f t="shared" si="189"/>
        <v>0</v>
      </c>
      <c r="AS280" s="125">
        <f t="shared" si="189"/>
        <v>0</v>
      </c>
      <c r="AT280" s="125">
        <f t="shared" si="189"/>
        <v>0</v>
      </c>
      <c r="AU280" s="125">
        <f t="shared" si="189"/>
        <v>0</v>
      </c>
      <c r="AV280" s="125">
        <f t="shared" si="189"/>
        <v>0</v>
      </c>
      <c r="AW280" s="87"/>
      <c r="AX280" s="90"/>
      <c r="AY280" s="90"/>
      <c r="AZ280" s="90"/>
      <c r="BA280" s="90"/>
      <c r="BB280" s="90"/>
      <c r="BC280" s="90"/>
      <c r="BD280" s="90"/>
      <c r="BE280" s="90"/>
      <c r="BF280" s="90"/>
      <c r="BG280" s="90"/>
      <c r="BH280" s="90"/>
      <c r="BI280" s="90"/>
      <c r="BJ280" s="90"/>
      <c r="BK280" s="90"/>
      <c r="BL280" s="90"/>
      <c r="BM280" s="90"/>
      <c r="BN280" s="90"/>
      <c r="BO280" s="90"/>
      <c r="BP280" s="90"/>
      <c r="BQ280" s="90"/>
    </row>
    <row r="281" ht="12.75" customHeight="1" outlineLevel="1">
      <c r="A281" s="316"/>
      <c r="B281" s="67" t="s">
        <v>792</v>
      </c>
      <c r="C281" s="90"/>
      <c r="D281" s="90"/>
      <c r="E281" s="90"/>
      <c r="F281" s="90"/>
      <c r="G281" s="79"/>
      <c r="H281" s="79"/>
      <c r="I281" s="79"/>
      <c r="J281" s="79">
        <v>0.0</v>
      </c>
      <c r="K281" s="79">
        <f t="shared" ref="K281:AV281" si="190">SUM(K275:K280)</f>
        <v>0</v>
      </c>
      <c r="L281" s="79">
        <f t="shared" si="190"/>
        <v>239505.92</v>
      </c>
      <c r="M281" s="79">
        <f t="shared" si="190"/>
        <v>287937.024</v>
      </c>
      <c r="N281" s="79">
        <f t="shared" si="190"/>
        <v>328580.7736</v>
      </c>
      <c r="O281" s="79">
        <f t="shared" si="190"/>
        <v>335152.3891</v>
      </c>
      <c r="P281" s="79">
        <f t="shared" si="190"/>
        <v>341855.4369</v>
      </c>
      <c r="Q281" s="79">
        <f t="shared" si="190"/>
        <v>348692.5456</v>
      </c>
      <c r="R281" s="79">
        <f t="shared" si="190"/>
        <v>355666.3965</v>
      </c>
      <c r="S281" s="79">
        <f t="shared" si="190"/>
        <v>362779.7244</v>
      </c>
      <c r="T281" s="79">
        <f t="shared" si="190"/>
        <v>370035.3189</v>
      </c>
      <c r="U281" s="79">
        <f t="shared" si="190"/>
        <v>377436.0253</v>
      </c>
      <c r="V281" s="79">
        <f t="shared" si="190"/>
        <v>384984.7458</v>
      </c>
      <c r="W281" s="79">
        <f t="shared" si="190"/>
        <v>392684.4407</v>
      </c>
      <c r="X281" s="79">
        <f t="shared" si="190"/>
        <v>400538.1295</v>
      </c>
      <c r="Y281" s="79">
        <f t="shared" si="190"/>
        <v>408548.8921</v>
      </c>
      <c r="Z281" s="79">
        <f t="shared" si="190"/>
        <v>416719.87</v>
      </c>
      <c r="AA281" s="79">
        <f t="shared" si="190"/>
        <v>425054.2674</v>
      </c>
      <c r="AB281" s="79">
        <f t="shared" si="190"/>
        <v>433555.3527</v>
      </c>
      <c r="AC281" s="79">
        <f t="shared" si="190"/>
        <v>442226.4598</v>
      </c>
      <c r="AD281" s="79">
        <f t="shared" si="190"/>
        <v>451070.989</v>
      </c>
      <c r="AE281" s="79">
        <f t="shared" si="190"/>
        <v>460092.4088</v>
      </c>
      <c r="AF281" s="79">
        <f t="shared" si="190"/>
        <v>469294.2569</v>
      </c>
      <c r="AG281" s="79">
        <f t="shared" si="190"/>
        <v>478680.1421</v>
      </c>
      <c r="AH281" s="79">
        <f t="shared" si="190"/>
        <v>488253.7449</v>
      </c>
      <c r="AI281" s="79">
        <f t="shared" si="190"/>
        <v>498018.8198</v>
      </c>
      <c r="AJ281" s="79">
        <f t="shared" si="190"/>
        <v>507979.1962</v>
      </c>
      <c r="AK281" s="79">
        <f t="shared" si="190"/>
        <v>518138.7801</v>
      </c>
      <c r="AL281" s="79">
        <f t="shared" si="190"/>
        <v>528501.5557</v>
      </c>
      <c r="AM281" s="79">
        <f t="shared" si="190"/>
        <v>539071.5868</v>
      </c>
      <c r="AN281" s="79">
        <f t="shared" si="190"/>
        <v>549853.0186</v>
      </c>
      <c r="AO281" s="79">
        <f t="shared" si="190"/>
        <v>560850.079</v>
      </c>
      <c r="AP281" s="79">
        <f t="shared" si="190"/>
        <v>572067.0805</v>
      </c>
      <c r="AQ281" s="79">
        <f t="shared" si="190"/>
        <v>583508.4221</v>
      </c>
      <c r="AR281" s="79">
        <f t="shared" si="190"/>
        <v>595178.5906</v>
      </c>
      <c r="AS281" s="79">
        <f t="shared" si="190"/>
        <v>607082.1624</v>
      </c>
      <c r="AT281" s="79">
        <f t="shared" si="190"/>
        <v>619223.8056</v>
      </c>
      <c r="AU281" s="79">
        <f t="shared" si="190"/>
        <v>631608.2818</v>
      </c>
      <c r="AV281" s="79">
        <f t="shared" si="190"/>
        <v>644240.4474</v>
      </c>
      <c r="AW281" s="90"/>
      <c r="AX281" s="90"/>
      <c r="AY281" s="90"/>
      <c r="AZ281" s="90"/>
      <c r="BA281" s="90"/>
      <c r="BB281" s="90"/>
      <c r="BC281" s="90"/>
      <c r="BD281" s="90"/>
      <c r="BE281" s="90"/>
      <c r="BF281" s="90"/>
      <c r="BG281" s="90"/>
      <c r="BH281" s="90"/>
      <c r="BI281" s="90"/>
      <c r="BJ281" s="90"/>
      <c r="BK281" s="90"/>
      <c r="BL281" s="90"/>
      <c r="BM281" s="90"/>
      <c r="BN281" s="90"/>
      <c r="BO281" s="90"/>
      <c r="BP281" s="90"/>
      <c r="BQ281" s="90"/>
    </row>
    <row r="282" ht="12.75" customHeight="1" outlineLevel="1">
      <c r="A282" s="316"/>
      <c r="B282" s="67"/>
      <c r="C282" s="90"/>
      <c r="D282" s="90"/>
      <c r="E282" s="90"/>
      <c r="F282" s="90"/>
      <c r="G282" s="79"/>
      <c r="H282" s="79"/>
      <c r="I282" s="79"/>
      <c r="J282" s="79"/>
      <c r="K282" s="79"/>
      <c r="L282" s="79"/>
      <c r="M282" s="79"/>
      <c r="N282" s="79"/>
      <c r="O282" s="79"/>
      <c r="P282" s="79"/>
      <c r="Q282" s="79"/>
      <c r="R282" s="79"/>
      <c r="S282" s="79"/>
      <c r="T282" s="79"/>
      <c r="U282" s="79"/>
      <c r="V282" s="79"/>
      <c r="W282" s="79"/>
      <c r="X282" s="79"/>
      <c r="Y282" s="79"/>
      <c r="Z282" s="79"/>
      <c r="AA282" s="79"/>
      <c r="AB282" s="79"/>
      <c r="AC282" s="79"/>
      <c r="AD282" s="79"/>
      <c r="AE282" s="79"/>
      <c r="AF282" s="79"/>
      <c r="AG282" s="79"/>
      <c r="AH282" s="79"/>
      <c r="AI282" s="79"/>
      <c r="AJ282" s="79"/>
      <c r="AK282" s="79"/>
      <c r="AL282" s="79"/>
      <c r="AM282" s="79"/>
      <c r="AN282" s="79"/>
      <c r="AO282" s="79"/>
      <c r="AP282" s="79"/>
      <c r="AQ282" s="79"/>
      <c r="AR282" s="79"/>
      <c r="AS282" s="79"/>
      <c r="AT282" s="79"/>
      <c r="AU282" s="79"/>
      <c r="AV282" s="79"/>
      <c r="AW282" s="90"/>
      <c r="AX282" s="90"/>
      <c r="AY282" s="90"/>
      <c r="AZ282" s="90"/>
      <c r="BA282" s="90"/>
      <c r="BB282" s="90"/>
      <c r="BC282" s="90"/>
      <c r="BD282" s="90"/>
      <c r="BE282" s="90"/>
      <c r="BF282" s="90"/>
      <c r="BG282" s="90"/>
      <c r="BH282" s="90"/>
      <c r="BI282" s="90"/>
      <c r="BJ282" s="90"/>
      <c r="BK282" s="90"/>
      <c r="BL282" s="90"/>
      <c r="BM282" s="90"/>
      <c r="BN282" s="90"/>
      <c r="BO282" s="90"/>
      <c r="BP282" s="90"/>
      <c r="BQ282" s="90"/>
    </row>
    <row r="283" ht="12.75" customHeight="1" outlineLevel="1">
      <c r="A283" s="316"/>
      <c r="B283" s="67" t="s">
        <v>1166</v>
      </c>
      <c r="C283" s="90"/>
      <c r="D283" s="90"/>
      <c r="E283" s="90"/>
      <c r="F283" s="90"/>
      <c r="G283" s="90"/>
      <c r="H283" s="99"/>
      <c r="I283" s="90"/>
      <c r="J283" s="90"/>
      <c r="K283" s="90"/>
      <c r="L283" s="90"/>
      <c r="M283" s="90"/>
      <c r="N283" s="90"/>
      <c r="O283" s="90"/>
      <c r="P283" s="90"/>
      <c r="Q283" s="90"/>
      <c r="R283" s="90"/>
      <c r="S283" s="90"/>
      <c r="T283" s="90"/>
      <c r="U283" s="90"/>
      <c r="V283" s="90"/>
      <c r="W283" s="90"/>
      <c r="X283" s="90"/>
      <c r="Y283" s="90"/>
      <c r="Z283" s="90"/>
      <c r="AA283" s="90"/>
      <c r="AB283" s="90"/>
      <c r="AC283" s="90"/>
      <c r="AD283" s="90"/>
      <c r="AE283" s="90"/>
      <c r="AF283" s="90"/>
      <c r="AG283" s="90"/>
      <c r="AH283" s="90"/>
      <c r="AI283" s="90"/>
      <c r="AJ283" s="90"/>
      <c r="AK283" s="90"/>
      <c r="AL283" s="90"/>
      <c r="AM283" s="90"/>
      <c r="AN283" s="90"/>
      <c r="AO283" s="90"/>
      <c r="AP283" s="90"/>
      <c r="AQ283" s="90"/>
      <c r="AR283" s="90"/>
      <c r="AS283" s="90"/>
      <c r="AT283" s="90"/>
      <c r="AU283" s="90"/>
      <c r="AV283" s="90"/>
      <c r="AW283" s="90"/>
      <c r="AX283" s="90"/>
      <c r="AY283" s="90"/>
      <c r="AZ283" s="90"/>
      <c r="BA283" s="90"/>
      <c r="BB283" s="90"/>
      <c r="BC283" s="90"/>
      <c r="BD283" s="90"/>
      <c r="BE283" s="90"/>
      <c r="BF283" s="90"/>
      <c r="BG283" s="90"/>
      <c r="BH283" s="90"/>
      <c r="BI283" s="90"/>
      <c r="BJ283" s="90"/>
      <c r="BK283" s="90"/>
      <c r="BL283" s="90"/>
      <c r="BM283" s="90"/>
      <c r="BN283" s="90"/>
      <c r="BO283" s="90"/>
      <c r="BP283" s="90"/>
      <c r="BQ283" s="90"/>
    </row>
    <row r="284" ht="12.75" customHeight="1" outlineLevel="1">
      <c r="A284" s="316"/>
      <c r="B284" s="90"/>
      <c r="C284" s="90" t="s">
        <v>791</v>
      </c>
      <c r="D284" s="90"/>
      <c r="E284" s="90"/>
      <c r="F284" s="90"/>
      <c r="G284" s="99"/>
      <c r="H284" s="99"/>
      <c r="I284" s="99"/>
      <c r="J284" s="99">
        <v>0.0</v>
      </c>
      <c r="K284" s="99">
        <f>'FY10 Projection'!F41</f>
        <v>150000</v>
      </c>
      <c r="L284" s="99">
        <f>600000-K284-M284</f>
        <v>300000</v>
      </c>
      <c r="M284" s="99">
        <v>150000.0</v>
      </c>
      <c r="N284" s="99">
        <v>0.0</v>
      </c>
      <c r="O284" s="99">
        <v>0.0</v>
      </c>
      <c r="P284" s="99">
        <v>0.0</v>
      </c>
      <c r="Q284" s="99">
        <v>0.0</v>
      </c>
      <c r="R284" s="99">
        <v>0.0</v>
      </c>
      <c r="S284" s="99">
        <v>0.0</v>
      </c>
      <c r="T284" s="99">
        <v>0.0</v>
      </c>
      <c r="U284" s="99">
        <v>0.0</v>
      </c>
      <c r="V284" s="99">
        <v>0.0</v>
      </c>
      <c r="W284" s="99">
        <v>0.0</v>
      </c>
      <c r="X284" s="99">
        <v>0.0</v>
      </c>
      <c r="Y284" s="99">
        <v>0.0</v>
      </c>
      <c r="Z284" s="99">
        <v>0.0</v>
      </c>
      <c r="AA284" s="99">
        <v>0.0</v>
      </c>
      <c r="AB284" s="99">
        <v>0.0</v>
      </c>
      <c r="AC284" s="99">
        <v>0.0</v>
      </c>
      <c r="AD284" s="99">
        <v>0.0</v>
      </c>
      <c r="AE284" s="99">
        <v>0.0</v>
      </c>
      <c r="AF284" s="99">
        <v>0.0</v>
      </c>
      <c r="AG284" s="99">
        <v>0.0</v>
      </c>
      <c r="AH284" s="99">
        <v>0.0</v>
      </c>
      <c r="AI284" s="99">
        <v>0.0</v>
      </c>
      <c r="AJ284" s="99">
        <v>0.0</v>
      </c>
      <c r="AK284" s="99">
        <v>0.0</v>
      </c>
      <c r="AL284" s="99">
        <v>0.0</v>
      </c>
      <c r="AM284" s="99">
        <v>0.0</v>
      </c>
      <c r="AN284" s="99">
        <v>0.0</v>
      </c>
      <c r="AO284" s="99">
        <v>0.0</v>
      </c>
      <c r="AP284" s="99">
        <v>0.0</v>
      </c>
      <c r="AQ284" s="99">
        <v>0.0</v>
      </c>
      <c r="AR284" s="99">
        <v>0.0</v>
      </c>
      <c r="AS284" s="99">
        <v>0.0</v>
      </c>
      <c r="AT284" s="99">
        <v>0.0</v>
      </c>
      <c r="AU284" s="99">
        <v>0.0</v>
      </c>
      <c r="AV284" s="99">
        <v>0.0</v>
      </c>
      <c r="AW284" s="90" t="s">
        <v>1237</v>
      </c>
      <c r="AX284" s="90"/>
      <c r="AY284" s="90"/>
      <c r="AZ284" s="90"/>
      <c r="BA284" s="90"/>
      <c r="BB284" s="90"/>
      <c r="BC284" s="90"/>
      <c r="BD284" s="90"/>
      <c r="BE284" s="90"/>
      <c r="BF284" s="90"/>
      <c r="BG284" s="90"/>
      <c r="BH284" s="90"/>
      <c r="BI284" s="90"/>
      <c r="BJ284" s="90"/>
      <c r="BK284" s="90"/>
      <c r="BL284" s="90"/>
      <c r="BM284" s="90"/>
      <c r="BN284" s="90"/>
      <c r="BO284" s="90"/>
      <c r="BP284" s="90"/>
      <c r="BQ284" s="90"/>
    </row>
    <row r="285" ht="12.75" customHeight="1" outlineLevel="1">
      <c r="A285" s="90"/>
      <c r="B285" s="90"/>
      <c r="C285" s="90" t="s">
        <v>794</v>
      </c>
      <c r="D285" s="90"/>
      <c r="E285" s="90"/>
      <c r="F285" s="90"/>
      <c r="G285" s="99"/>
      <c r="H285" s="99"/>
      <c r="I285" s="99"/>
      <c r="J285" s="99">
        <v>0.0</v>
      </c>
      <c r="K285" s="99">
        <v>0.0</v>
      </c>
      <c r="L285" s="99">
        <f>250000+K390</f>
        <v>259999.91</v>
      </c>
      <c r="M285" s="99">
        <v>0.0</v>
      </c>
      <c r="N285" s="99">
        <v>0.0</v>
      </c>
      <c r="O285" s="99">
        <v>0.0</v>
      </c>
      <c r="P285" s="99">
        <v>0.0</v>
      </c>
      <c r="Q285" s="99">
        <v>0.0</v>
      </c>
      <c r="R285" s="99">
        <v>0.0</v>
      </c>
      <c r="S285" s="99">
        <v>0.0</v>
      </c>
      <c r="T285" s="99">
        <v>0.0</v>
      </c>
      <c r="U285" s="99">
        <v>0.0</v>
      </c>
      <c r="V285" s="99">
        <v>0.0</v>
      </c>
      <c r="W285" s="99">
        <v>0.0</v>
      </c>
      <c r="X285" s="99">
        <v>0.0</v>
      </c>
      <c r="Y285" s="99">
        <v>0.0</v>
      </c>
      <c r="Z285" s="99">
        <v>0.0</v>
      </c>
      <c r="AA285" s="99">
        <v>0.0</v>
      </c>
      <c r="AB285" s="99">
        <v>0.0</v>
      </c>
      <c r="AC285" s="99">
        <v>0.0</v>
      </c>
      <c r="AD285" s="99">
        <v>0.0</v>
      </c>
      <c r="AE285" s="99">
        <v>0.0</v>
      </c>
      <c r="AF285" s="99">
        <v>0.0</v>
      </c>
      <c r="AG285" s="99">
        <v>0.0</v>
      </c>
      <c r="AH285" s="99">
        <v>0.0</v>
      </c>
      <c r="AI285" s="99">
        <v>0.0</v>
      </c>
      <c r="AJ285" s="99">
        <v>0.0</v>
      </c>
      <c r="AK285" s="99">
        <v>0.0</v>
      </c>
      <c r="AL285" s="99">
        <v>0.0</v>
      </c>
      <c r="AM285" s="99">
        <v>0.0</v>
      </c>
      <c r="AN285" s="99">
        <v>0.0</v>
      </c>
      <c r="AO285" s="99">
        <v>0.0</v>
      </c>
      <c r="AP285" s="99">
        <v>0.0</v>
      </c>
      <c r="AQ285" s="99">
        <v>0.0</v>
      </c>
      <c r="AR285" s="99">
        <v>0.0</v>
      </c>
      <c r="AS285" s="99">
        <v>0.0</v>
      </c>
      <c r="AT285" s="99">
        <v>0.0</v>
      </c>
      <c r="AU285" s="99">
        <v>0.0</v>
      </c>
      <c r="AV285" s="99">
        <v>0.0</v>
      </c>
      <c r="AW285" s="90"/>
      <c r="AX285" s="90"/>
      <c r="AY285" s="90"/>
      <c r="AZ285" s="90"/>
      <c r="BA285" s="90"/>
      <c r="BB285" s="90"/>
      <c r="BC285" s="90"/>
      <c r="BD285" s="90"/>
      <c r="BE285" s="90"/>
      <c r="BF285" s="90"/>
      <c r="BG285" s="90"/>
      <c r="BH285" s="90"/>
      <c r="BI285" s="90"/>
      <c r="BJ285" s="90"/>
      <c r="BK285" s="90"/>
      <c r="BL285" s="90"/>
      <c r="BM285" s="90"/>
      <c r="BN285" s="90"/>
      <c r="BO285" s="90"/>
      <c r="BP285" s="90"/>
      <c r="BQ285" s="90"/>
    </row>
    <row r="286" ht="12.75" customHeight="1" outlineLevel="1">
      <c r="A286" s="90"/>
      <c r="B286" s="90"/>
      <c r="C286" s="90" t="s">
        <v>795</v>
      </c>
      <c r="D286" s="90"/>
      <c r="E286" s="90"/>
      <c r="F286" s="90"/>
      <c r="G286" s="99"/>
      <c r="H286" s="99"/>
      <c r="I286" s="99"/>
      <c r="J286" s="543">
        <v>125000.0</v>
      </c>
      <c r="K286" s="99">
        <v>0.0</v>
      </c>
      <c r="L286" s="99">
        <v>125000.0</v>
      </c>
      <c r="M286" s="99">
        <v>0.0</v>
      </c>
      <c r="N286" s="99">
        <v>0.0</v>
      </c>
      <c r="O286" s="99">
        <v>0.0</v>
      </c>
      <c r="P286" s="99">
        <v>0.0</v>
      </c>
      <c r="Q286" s="99">
        <v>0.0</v>
      </c>
      <c r="R286" s="99">
        <v>0.0</v>
      </c>
      <c r="S286" s="99">
        <v>0.0</v>
      </c>
      <c r="T286" s="99">
        <v>0.0</v>
      </c>
      <c r="U286" s="99">
        <v>0.0</v>
      </c>
      <c r="V286" s="99">
        <v>0.0</v>
      </c>
      <c r="W286" s="99">
        <v>0.0</v>
      </c>
      <c r="X286" s="99">
        <v>0.0</v>
      </c>
      <c r="Y286" s="99">
        <v>0.0</v>
      </c>
      <c r="Z286" s="99">
        <v>0.0</v>
      </c>
      <c r="AA286" s="99">
        <v>0.0</v>
      </c>
      <c r="AB286" s="99">
        <v>0.0</v>
      </c>
      <c r="AC286" s="99">
        <v>0.0</v>
      </c>
      <c r="AD286" s="99">
        <v>0.0</v>
      </c>
      <c r="AE286" s="99">
        <v>0.0</v>
      </c>
      <c r="AF286" s="99">
        <v>0.0</v>
      </c>
      <c r="AG286" s="99">
        <v>0.0</v>
      </c>
      <c r="AH286" s="99">
        <v>0.0</v>
      </c>
      <c r="AI286" s="99">
        <v>0.0</v>
      </c>
      <c r="AJ286" s="99">
        <v>0.0</v>
      </c>
      <c r="AK286" s="99">
        <v>0.0</v>
      </c>
      <c r="AL286" s="99">
        <v>0.0</v>
      </c>
      <c r="AM286" s="99">
        <v>0.0</v>
      </c>
      <c r="AN286" s="99">
        <v>0.0</v>
      </c>
      <c r="AO286" s="99">
        <v>0.0</v>
      </c>
      <c r="AP286" s="99">
        <v>0.0</v>
      </c>
      <c r="AQ286" s="99">
        <v>0.0</v>
      </c>
      <c r="AR286" s="99">
        <v>0.0</v>
      </c>
      <c r="AS286" s="99">
        <v>0.0</v>
      </c>
      <c r="AT286" s="99">
        <v>0.0</v>
      </c>
      <c r="AU286" s="99">
        <v>0.0</v>
      </c>
      <c r="AV286" s="99">
        <v>0.0</v>
      </c>
      <c r="AW286" s="90" t="s">
        <v>1215</v>
      </c>
      <c r="AX286" s="90"/>
      <c r="AY286" s="90"/>
      <c r="AZ286" s="90"/>
      <c r="BA286" s="90"/>
      <c r="BB286" s="90"/>
      <c r="BC286" s="90"/>
      <c r="BD286" s="90"/>
      <c r="BE286" s="90"/>
      <c r="BF286" s="90"/>
      <c r="BG286" s="90"/>
      <c r="BH286" s="90"/>
      <c r="BI286" s="90"/>
      <c r="BJ286" s="90"/>
      <c r="BK286" s="90"/>
      <c r="BL286" s="90"/>
      <c r="BM286" s="90"/>
      <c r="BN286" s="90"/>
      <c r="BO286" s="90"/>
      <c r="BP286" s="90"/>
      <c r="BQ286" s="90"/>
    </row>
    <row r="287" ht="12.75" customHeight="1" outlineLevel="1">
      <c r="A287" s="316"/>
      <c r="B287" s="87"/>
      <c r="C287" s="87" t="s">
        <v>796</v>
      </c>
      <c r="D287" s="87"/>
      <c r="E287" s="87"/>
      <c r="F287" s="87"/>
      <c r="G287" s="125"/>
      <c r="H287" s="125"/>
      <c r="I287" s="125"/>
      <c r="J287" s="125">
        <v>0.0</v>
      </c>
      <c r="K287" s="125">
        <v>0.0</v>
      </c>
      <c r="L287" s="125">
        <v>0.0</v>
      </c>
      <c r="M287" s="125">
        <v>0.0</v>
      </c>
      <c r="N287" s="125">
        <v>0.0</v>
      </c>
      <c r="O287" s="125">
        <v>0.0</v>
      </c>
      <c r="P287" s="125">
        <v>0.0</v>
      </c>
      <c r="Q287" s="125">
        <v>0.0</v>
      </c>
      <c r="R287" s="125">
        <v>0.0</v>
      </c>
      <c r="S287" s="125">
        <v>0.0</v>
      </c>
      <c r="T287" s="125">
        <v>0.0</v>
      </c>
      <c r="U287" s="125">
        <v>0.0</v>
      </c>
      <c r="V287" s="125">
        <v>0.0</v>
      </c>
      <c r="W287" s="125">
        <v>0.0</v>
      </c>
      <c r="X287" s="125">
        <v>0.0</v>
      </c>
      <c r="Y287" s="125">
        <v>0.0</v>
      </c>
      <c r="Z287" s="125">
        <v>0.0</v>
      </c>
      <c r="AA287" s="125">
        <v>0.0</v>
      </c>
      <c r="AB287" s="125">
        <v>0.0</v>
      </c>
      <c r="AC287" s="125">
        <v>0.0</v>
      </c>
      <c r="AD287" s="125">
        <v>0.0</v>
      </c>
      <c r="AE287" s="125">
        <v>0.0</v>
      </c>
      <c r="AF287" s="125">
        <v>0.0</v>
      </c>
      <c r="AG287" s="125">
        <v>0.0</v>
      </c>
      <c r="AH287" s="125">
        <v>0.0</v>
      </c>
      <c r="AI287" s="125">
        <v>0.0</v>
      </c>
      <c r="AJ287" s="125">
        <v>0.0</v>
      </c>
      <c r="AK287" s="125">
        <v>0.0</v>
      </c>
      <c r="AL287" s="125">
        <v>0.0</v>
      </c>
      <c r="AM287" s="125">
        <v>0.0</v>
      </c>
      <c r="AN287" s="125">
        <v>0.0</v>
      </c>
      <c r="AO287" s="125">
        <v>0.0</v>
      </c>
      <c r="AP287" s="125">
        <v>0.0</v>
      </c>
      <c r="AQ287" s="125">
        <v>0.0</v>
      </c>
      <c r="AR287" s="125">
        <v>0.0</v>
      </c>
      <c r="AS287" s="125">
        <v>0.0</v>
      </c>
      <c r="AT287" s="125">
        <v>0.0</v>
      </c>
      <c r="AU287" s="125">
        <v>0.0</v>
      </c>
      <c r="AV287" s="125">
        <v>0.0</v>
      </c>
      <c r="AW287" s="87"/>
      <c r="AX287" s="90"/>
      <c r="AY287" s="90"/>
      <c r="AZ287" s="90"/>
      <c r="BA287" s="90"/>
      <c r="BB287" s="90"/>
      <c r="BC287" s="90"/>
      <c r="BD287" s="90"/>
      <c r="BE287" s="90"/>
      <c r="BF287" s="90"/>
      <c r="BG287" s="90"/>
      <c r="BH287" s="90"/>
      <c r="BI287" s="90"/>
      <c r="BJ287" s="90"/>
      <c r="BK287" s="90"/>
      <c r="BL287" s="90"/>
      <c r="BM287" s="90"/>
      <c r="BN287" s="90"/>
      <c r="BO287" s="90"/>
      <c r="BP287" s="90"/>
      <c r="BQ287" s="90"/>
    </row>
    <row r="288" ht="12.75" customHeight="1" outlineLevel="1">
      <c r="A288" s="316"/>
      <c r="B288" s="67" t="s">
        <v>797</v>
      </c>
      <c r="C288" s="90"/>
      <c r="D288" s="90"/>
      <c r="E288" s="90"/>
      <c r="F288" s="90"/>
      <c r="G288" s="79"/>
      <c r="H288" s="79"/>
      <c r="I288" s="79"/>
      <c r="J288" s="79">
        <v>125000.0</v>
      </c>
      <c r="K288" s="79">
        <f t="shared" ref="K288:AV288" si="191">SUM(K284:K287)</f>
        <v>150000</v>
      </c>
      <c r="L288" s="79">
        <f t="shared" si="191"/>
        <v>684999.91</v>
      </c>
      <c r="M288" s="79">
        <f t="shared" si="191"/>
        <v>150000</v>
      </c>
      <c r="N288" s="79">
        <f t="shared" si="191"/>
        <v>0</v>
      </c>
      <c r="O288" s="79">
        <f t="shared" si="191"/>
        <v>0</v>
      </c>
      <c r="P288" s="79">
        <f t="shared" si="191"/>
        <v>0</v>
      </c>
      <c r="Q288" s="79">
        <f t="shared" si="191"/>
        <v>0</v>
      </c>
      <c r="R288" s="79">
        <f t="shared" si="191"/>
        <v>0</v>
      </c>
      <c r="S288" s="79">
        <f t="shared" si="191"/>
        <v>0</v>
      </c>
      <c r="T288" s="79">
        <f t="shared" si="191"/>
        <v>0</v>
      </c>
      <c r="U288" s="79">
        <f t="shared" si="191"/>
        <v>0</v>
      </c>
      <c r="V288" s="79">
        <f t="shared" si="191"/>
        <v>0</v>
      </c>
      <c r="W288" s="79">
        <f t="shared" si="191"/>
        <v>0</v>
      </c>
      <c r="X288" s="79">
        <f t="shared" si="191"/>
        <v>0</v>
      </c>
      <c r="Y288" s="79">
        <f t="shared" si="191"/>
        <v>0</v>
      </c>
      <c r="Z288" s="79">
        <f t="shared" si="191"/>
        <v>0</v>
      </c>
      <c r="AA288" s="79">
        <f t="shared" si="191"/>
        <v>0</v>
      </c>
      <c r="AB288" s="79">
        <f t="shared" si="191"/>
        <v>0</v>
      </c>
      <c r="AC288" s="79">
        <f t="shared" si="191"/>
        <v>0</v>
      </c>
      <c r="AD288" s="79">
        <f t="shared" si="191"/>
        <v>0</v>
      </c>
      <c r="AE288" s="79">
        <f t="shared" si="191"/>
        <v>0</v>
      </c>
      <c r="AF288" s="79">
        <f t="shared" si="191"/>
        <v>0</v>
      </c>
      <c r="AG288" s="79">
        <f t="shared" si="191"/>
        <v>0</v>
      </c>
      <c r="AH288" s="79">
        <f t="shared" si="191"/>
        <v>0</v>
      </c>
      <c r="AI288" s="79">
        <f t="shared" si="191"/>
        <v>0</v>
      </c>
      <c r="AJ288" s="79">
        <f t="shared" si="191"/>
        <v>0</v>
      </c>
      <c r="AK288" s="79">
        <f t="shared" si="191"/>
        <v>0</v>
      </c>
      <c r="AL288" s="79">
        <f t="shared" si="191"/>
        <v>0</v>
      </c>
      <c r="AM288" s="79">
        <f t="shared" si="191"/>
        <v>0</v>
      </c>
      <c r="AN288" s="79">
        <f t="shared" si="191"/>
        <v>0</v>
      </c>
      <c r="AO288" s="79">
        <f t="shared" si="191"/>
        <v>0</v>
      </c>
      <c r="AP288" s="79">
        <f t="shared" si="191"/>
        <v>0</v>
      </c>
      <c r="AQ288" s="79">
        <f t="shared" si="191"/>
        <v>0</v>
      </c>
      <c r="AR288" s="79">
        <f t="shared" si="191"/>
        <v>0</v>
      </c>
      <c r="AS288" s="79">
        <f t="shared" si="191"/>
        <v>0</v>
      </c>
      <c r="AT288" s="79">
        <f t="shared" si="191"/>
        <v>0</v>
      </c>
      <c r="AU288" s="79">
        <f t="shared" si="191"/>
        <v>0</v>
      </c>
      <c r="AV288" s="79">
        <f t="shared" si="191"/>
        <v>0</v>
      </c>
      <c r="AW288" s="90"/>
      <c r="AX288" s="90"/>
      <c r="AY288" s="90"/>
      <c r="AZ288" s="90"/>
      <c r="BA288" s="90"/>
      <c r="BB288" s="90"/>
      <c r="BC288" s="90"/>
      <c r="BD288" s="90"/>
      <c r="BE288" s="90"/>
      <c r="BF288" s="90"/>
      <c r="BG288" s="90"/>
      <c r="BH288" s="90"/>
      <c r="BI288" s="90"/>
      <c r="BJ288" s="90"/>
      <c r="BK288" s="90"/>
      <c r="BL288" s="90"/>
      <c r="BM288" s="90"/>
      <c r="BN288" s="90"/>
      <c r="BO288" s="90"/>
      <c r="BP288" s="90"/>
      <c r="BQ288" s="90"/>
    </row>
    <row r="289" ht="12.75" customHeight="1" outlineLevel="1">
      <c r="A289" s="316"/>
      <c r="B289" s="67"/>
      <c r="C289" s="90"/>
      <c r="D289" s="90"/>
      <c r="E289" s="90"/>
      <c r="F289" s="90"/>
      <c r="G289" s="79"/>
      <c r="H289" s="79"/>
      <c r="I289" s="79"/>
      <c r="J289" s="79"/>
      <c r="K289" s="79"/>
      <c r="L289" s="79"/>
      <c r="M289" s="79"/>
      <c r="N289" s="79"/>
      <c r="O289" s="79"/>
      <c r="P289" s="79"/>
      <c r="Q289" s="79"/>
      <c r="R289" s="79"/>
      <c r="S289" s="79"/>
      <c r="T289" s="79"/>
      <c r="U289" s="79"/>
      <c r="V289" s="79"/>
      <c r="W289" s="79"/>
      <c r="X289" s="79"/>
      <c r="Y289" s="79"/>
      <c r="Z289" s="79"/>
      <c r="AA289" s="79"/>
      <c r="AB289" s="79"/>
      <c r="AC289" s="79"/>
      <c r="AD289" s="79"/>
      <c r="AE289" s="79"/>
      <c r="AF289" s="79"/>
      <c r="AG289" s="79"/>
      <c r="AH289" s="79"/>
      <c r="AI289" s="79"/>
      <c r="AJ289" s="79"/>
      <c r="AK289" s="79"/>
      <c r="AL289" s="79"/>
      <c r="AM289" s="79"/>
      <c r="AN289" s="79"/>
      <c r="AO289" s="79"/>
      <c r="AP289" s="79"/>
      <c r="AQ289" s="79"/>
      <c r="AR289" s="79"/>
      <c r="AS289" s="79"/>
      <c r="AT289" s="79"/>
      <c r="AU289" s="79"/>
      <c r="AV289" s="79"/>
      <c r="AW289" s="90"/>
      <c r="AX289" s="90"/>
      <c r="AY289" s="90"/>
      <c r="AZ289" s="90"/>
      <c r="BA289" s="90"/>
      <c r="BB289" s="90"/>
      <c r="BC289" s="90"/>
      <c r="BD289" s="90"/>
      <c r="BE289" s="90"/>
      <c r="BF289" s="90"/>
      <c r="BG289" s="90"/>
      <c r="BH289" s="90"/>
      <c r="BI289" s="90"/>
      <c r="BJ289" s="90"/>
      <c r="BK289" s="90"/>
      <c r="BL289" s="90"/>
      <c r="BM289" s="90"/>
      <c r="BN289" s="90"/>
      <c r="BO289" s="90"/>
      <c r="BP289" s="90"/>
      <c r="BQ289" s="90"/>
    </row>
    <row r="290" ht="12.75" customHeight="1" outlineLevel="1">
      <c r="A290" s="316"/>
      <c r="B290" s="67" t="s">
        <v>509</v>
      </c>
      <c r="C290" s="90"/>
      <c r="D290" s="90"/>
      <c r="E290" s="90"/>
      <c r="F290" s="90"/>
      <c r="G290" s="79"/>
      <c r="H290" s="79"/>
      <c r="I290" s="79"/>
      <c r="J290" s="304"/>
      <c r="K290" s="304"/>
      <c r="L290" s="304"/>
      <c r="M290" s="304"/>
      <c r="N290" s="304"/>
      <c r="O290" s="304"/>
      <c r="P290" s="304"/>
      <c r="Q290" s="304"/>
      <c r="R290" s="79"/>
      <c r="S290" s="79"/>
      <c r="T290" s="79"/>
      <c r="U290" s="79"/>
      <c r="V290" s="79"/>
      <c r="W290" s="79"/>
      <c r="X290" s="79"/>
      <c r="Y290" s="79"/>
      <c r="Z290" s="79"/>
      <c r="AA290" s="79"/>
      <c r="AB290" s="79"/>
      <c r="AC290" s="79"/>
      <c r="AD290" s="79"/>
      <c r="AE290" s="79"/>
      <c r="AF290" s="79"/>
      <c r="AG290" s="79"/>
      <c r="AH290" s="79"/>
      <c r="AI290" s="79"/>
      <c r="AJ290" s="79"/>
      <c r="AK290" s="79"/>
      <c r="AL290" s="79"/>
      <c r="AM290" s="79"/>
      <c r="AN290" s="79"/>
      <c r="AO290" s="79"/>
      <c r="AP290" s="79"/>
      <c r="AQ290" s="79"/>
      <c r="AR290" s="79"/>
      <c r="AS290" s="79"/>
      <c r="AT290" s="79"/>
      <c r="AU290" s="79"/>
      <c r="AV290" s="79"/>
      <c r="AW290" s="90"/>
      <c r="AX290" s="90"/>
      <c r="AY290" s="90"/>
      <c r="AZ290" s="90"/>
      <c r="BA290" s="90"/>
      <c r="BB290" s="90"/>
      <c r="BC290" s="90"/>
      <c r="BD290" s="90"/>
      <c r="BE290" s="90"/>
      <c r="BF290" s="90"/>
      <c r="BG290" s="90"/>
      <c r="BH290" s="90"/>
      <c r="BI290" s="90"/>
      <c r="BJ290" s="90"/>
      <c r="BK290" s="90"/>
      <c r="BL290" s="90"/>
      <c r="BM290" s="90"/>
      <c r="BN290" s="90"/>
      <c r="BO290" s="90"/>
      <c r="BP290" s="90"/>
      <c r="BQ290" s="90"/>
    </row>
    <row r="291" ht="12.75" customHeight="1" outlineLevel="1">
      <c r="A291" s="316"/>
      <c r="B291" s="67"/>
      <c r="C291" s="90" t="s">
        <v>1253</v>
      </c>
      <c r="D291" s="90"/>
      <c r="E291" s="90"/>
      <c r="F291" s="90"/>
      <c r="G291" s="99"/>
      <c r="H291" s="99"/>
      <c r="I291" s="99"/>
      <c r="J291" s="99">
        <v>0.0</v>
      </c>
      <c r="K291" s="99">
        <v>0.0</v>
      </c>
      <c r="L291" s="99">
        <v>0.0</v>
      </c>
      <c r="M291" s="99">
        <v>0.0</v>
      </c>
      <c r="N291" s="99">
        <v>0.0</v>
      </c>
      <c r="O291" s="99">
        <v>0.0</v>
      </c>
      <c r="P291" s="99">
        <v>0.0</v>
      </c>
      <c r="Q291" s="99">
        <v>0.0</v>
      </c>
      <c r="R291" s="99">
        <v>0.0</v>
      </c>
      <c r="S291" s="99">
        <v>0.0</v>
      </c>
      <c r="T291" s="99">
        <v>0.0</v>
      </c>
      <c r="U291" s="99">
        <v>0.0</v>
      </c>
      <c r="V291" s="99">
        <v>0.0</v>
      </c>
      <c r="W291" s="99">
        <v>0.0</v>
      </c>
      <c r="X291" s="99">
        <v>0.0</v>
      </c>
      <c r="Y291" s="99">
        <v>0.0</v>
      </c>
      <c r="Z291" s="99">
        <v>0.0</v>
      </c>
      <c r="AA291" s="99">
        <v>0.0</v>
      </c>
      <c r="AB291" s="99">
        <v>0.0</v>
      </c>
      <c r="AC291" s="99">
        <v>0.0</v>
      </c>
      <c r="AD291" s="99">
        <v>0.0</v>
      </c>
      <c r="AE291" s="99">
        <v>0.0</v>
      </c>
      <c r="AF291" s="99">
        <v>0.0</v>
      </c>
      <c r="AG291" s="99">
        <v>0.0</v>
      </c>
      <c r="AH291" s="99">
        <v>0.0</v>
      </c>
      <c r="AI291" s="99">
        <v>0.0</v>
      </c>
      <c r="AJ291" s="99">
        <v>0.0</v>
      </c>
      <c r="AK291" s="99">
        <v>0.0</v>
      </c>
      <c r="AL291" s="99">
        <v>0.0</v>
      </c>
      <c r="AM291" s="99">
        <v>0.0</v>
      </c>
      <c r="AN291" s="99">
        <v>0.0</v>
      </c>
      <c r="AO291" s="99">
        <v>0.0</v>
      </c>
      <c r="AP291" s="99">
        <v>0.0</v>
      </c>
      <c r="AQ291" s="99">
        <v>0.0</v>
      </c>
      <c r="AR291" s="99">
        <v>0.0</v>
      </c>
      <c r="AS291" s="99">
        <v>0.0</v>
      </c>
      <c r="AT291" s="99">
        <v>0.0</v>
      </c>
      <c r="AU291" s="99">
        <v>0.0</v>
      </c>
      <c r="AV291" s="99">
        <v>0.0</v>
      </c>
      <c r="AW291" s="90"/>
      <c r="AX291" s="90"/>
      <c r="AY291" s="90"/>
      <c r="AZ291" s="90"/>
      <c r="BA291" s="90"/>
      <c r="BB291" s="90"/>
      <c r="BC291" s="90"/>
      <c r="BD291" s="90"/>
      <c r="BE291" s="90"/>
      <c r="BF291" s="90"/>
      <c r="BG291" s="90"/>
      <c r="BH291" s="90"/>
      <c r="BI291" s="90"/>
      <c r="BJ291" s="90"/>
      <c r="BK291" s="90"/>
      <c r="BL291" s="90"/>
      <c r="BM291" s="90"/>
      <c r="BN291" s="90"/>
      <c r="BO291" s="90"/>
      <c r="BP291" s="90"/>
      <c r="BQ291" s="90"/>
    </row>
    <row r="292" ht="12.75" customHeight="1" outlineLevel="1">
      <c r="A292" s="90"/>
      <c r="B292" s="67"/>
      <c r="C292" s="90" t="s">
        <v>695</v>
      </c>
      <c r="D292" s="90"/>
      <c r="E292" s="90"/>
      <c r="F292" s="90"/>
      <c r="G292" s="99"/>
      <c r="H292" s="99"/>
      <c r="I292" s="99"/>
      <c r="J292" s="99"/>
      <c r="K292" s="99"/>
      <c r="L292" s="99">
        <f t="shared" ref="L292:AV292" si="192">L119*L46</f>
        <v>27440</v>
      </c>
      <c r="M292" s="99">
        <f t="shared" si="192"/>
        <v>32480</v>
      </c>
      <c r="N292" s="99">
        <f t="shared" si="192"/>
        <v>35000</v>
      </c>
      <c r="O292" s="99">
        <f t="shared" si="192"/>
        <v>35000</v>
      </c>
      <c r="P292" s="99">
        <f t="shared" si="192"/>
        <v>35000</v>
      </c>
      <c r="Q292" s="99">
        <f t="shared" si="192"/>
        <v>35000</v>
      </c>
      <c r="R292" s="99">
        <f t="shared" si="192"/>
        <v>35000</v>
      </c>
      <c r="S292" s="99">
        <f t="shared" si="192"/>
        <v>35000</v>
      </c>
      <c r="T292" s="99">
        <f t="shared" si="192"/>
        <v>35000</v>
      </c>
      <c r="U292" s="99">
        <f t="shared" si="192"/>
        <v>35000</v>
      </c>
      <c r="V292" s="99">
        <f t="shared" si="192"/>
        <v>35000</v>
      </c>
      <c r="W292" s="99">
        <f t="shared" si="192"/>
        <v>35000</v>
      </c>
      <c r="X292" s="99">
        <f t="shared" si="192"/>
        <v>35000</v>
      </c>
      <c r="Y292" s="99">
        <f t="shared" si="192"/>
        <v>35000</v>
      </c>
      <c r="Z292" s="99">
        <f t="shared" si="192"/>
        <v>35000</v>
      </c>
      <c r="AA292" s="99">
        <f t="shared" si="192"/>
        <v>35000</v>
      </c>
      <c r="AB292" s="99">
        <f t="shared" si="192"/>
        <v>35000</v>
      </c>
      <c r="AC292" s="99">
        <f t="shared" si="192"/>
        <v>35000</v>
      </c>
      <c r="AD292" s="99">
        <f t="shared" si="192"/>
        <v>35000</v>
      </c>
      <c r="AE292" s="99">
        <f t="shared" si="192"/>
        <v>35000</v>
      </c>
      <c r="AF292" s="99">
        <f t="shared" si="192"/>
        <v>35000</v>
      </c>
      <c r="AG292" s="99">
        <f t="shared" si="192"/>
        <v>35000</v>
      </c>
      <c r="AH292" s="99">
        <f t="shared" si="192"/>
        <v>35000</v>
      </c>
      <c r="AI292" s="99">
        <f t="shared" si="192"/>
        <v>35000</v>
      </c>
      <c r="AJ292" s="99">
        <f t="shared" si="192"/>
        <v>35000</v>
      </c>
      <c r="AK292" s="99">
        <f t="shared" si="192"/>
        <v>35000</v>
      </c>
      <c r="AL292" s="99">
        <f t="shared" si="192"/>
        <v>35000</v>
      </c>
      <c r="AM292" s="99">
        <f t="shared" si="192"/>
        <v>35000</v>
      </c>
      <c r="AN292" s="99">
        <f t="shared" si="192"/>
        <v>35000</v>
      </c>
      <c r="AO292" s="99">
        <f t="shared" si="192"/>
        <v>35000</v>
      </c>
      <c r="AP292" s="99">
        <f t="shared" si="192"/>
        <v>35000</v>
      </c>
      <c r="AQ292" s="99">
        <f t="shared" si="192"/>
        <v>35000</v>
      </c>
      <c r="AR292" s="99">
        <f t="shared" si="192"/>
        <v>35000</v>
      </c>
      <c r="AS292" s="99">
        <f t="shared" si="192"/>
        <v>35000</v>
      </c>
      <c r="AT292" s="99">
        <f t="shared" si="192"/>
        <v>35000</v>
      </c>
      <c r="AU292" s="99">
        <f t="shared" si="192"/>
        <v>35000</v>
      </c>
      <c r="AV292" s="99">
        <f t="shared" si="192"/>
        <v>35000</v>
      </c>
      <c r="AW292" s="90"/>
      <c r="AX292" s="90"/>
      <c r="AY292" s="90"/>
      <c r="AZ292" s="90"/>
      <c r="BA292" s="90"/>
      <c r="BB292" s="90"/>
      <c r="BC292" s="90"/>
      <c r="BD292" s="90"/>
      <c r="BE292" s="90"/>
      <c r="BF292" s="90"/>
      <c r="BG292" s="90"/>
      <c r="BH292" s="90"/>
      <c r="BI292" s="90"/>
      <c r="BJ292" s="90"/>
      <c r="BK292" s="90"/>
      <c r="BL292" s="90"/>
      <c r="BM292" s="90"/>
      <c r="BN292" s="90"/>
      <c r="BO292" s="90"/>
      <c r="BP292" s="90"/>
      <c r="BQ292" s="90"/>
    </row>
    <row r="293" ht="12.75" customHeight="1" outlineLevel="1">
      <c r="A293" s="90"/>
      <c r="B293" s="67"/>
      <c r="C293" s="90" t="s">
        <v>1239</v>
      </c>
      <c r="D293" s="90"/>
      <c r="E293" s="90"/>
      <c r="F293" s="90"/>
      <c r="G293" s="99"/>
      <c r="H293" s="99"/>
      <c r="I293" s="99"/>
      <c r="J293" s="99">
        <v>0.0</v>
      </c>
      <c r="K293" s="99">
        <f>K120+K121+((K46-K66)*K119)</f>
        <v>0</v>
      </c>
      <c r="L293" s="99">
        <f t="shared" ref="L293:AV293" si="193">L338-L276-L121</f>
        <v>31395.2</v>
      </c>
      <c r="M293" s="99">
        <f t="shared" si="193"/>
        <v>39978.368</v>
      </c>
      <c r="N293" s="99">
        <f t="shared" si="193"/>
        <v>49933.12</v>
      </c>
      <c r="O293" s="99">
        <f t="shared" si="193"/>
        <v>51031.7824</v>
      </c>
      <c r="P293" s="99">
        <f t="shared" si="193"/>
        <v>52152.41805</v>
      </c>
      <c r="Q293" s="99">
        <f t="shared" si="193"/>
        <v>53295.46641</v>
      </c>
      <c r="R293" s="99">
        <f t="shared" si="193"/>
        <v>54461.37574</v>
      </c>
      <c r="S293" s="99">
        <f t="shared" si="193"/>
        <v>55650.60325</v>
      </c>
      <c r="T293" s="99">
        <f t="shared" si="193"/>
        <v>56863.61532</v>
      </c>
      <c r="U293" s="99">
        <f t="shared" si="193"/>
        <v>58100.88762</v>
      </c>
      <c r="V293" s="99">
        <f t="shared" si="193"/>
        <v>59362.90538</v>
      </c>
      <c r="W293" s="99">
        <f t="shared" si="193"/>
        <v>60650.16348</v>
      </c>
      <c r="X293" s="99">
        <f t="shared" si="193"/>
        <v>61963.16675</v>
      </c>
      <c r="Y293" s="99">
        <f t="shared" si="193"/>
        <v>63302.43009</v>
      </c>
      <c r="Z293" s="99">
        <f t="shared" si="193"/>
        <v>64668.47869</v>
      </c>
      <c r="AA293" s="99">
        <f t="shared" si="193"/>
        <v>66061.84826</v>
      </c>
      <c r="AB293" s="99">
        <f t="shared" si="193"/>
        <v>67483.08523</v>
      </c>
      <c r="AC293" s="99">
        <f t="shared" si="193"/>
        <v>68932.74693</v>
      </c>
      <c r="AD293" s="99">
        <f t="shared" si="193"/>
        <v>70411.40187</v>
      </c>
      <c r="AE293" s="99">
        <f t="shared" si="193"/>
        <v>71919.62991</v>
      </c>
      <c r="AF293" s="99">
        <f t="shared" si="193"/>
        <v>73458.02251</v>
      </c>
      <c r="AG293" s="99">
        <f t="shared" si="193"/>
        <v>75027.18296</v>
      </c>
      <c r="AH293" s="99">
        <f t="shared" si="193"/>
        <v>76627.72662</v>
      </c>
      <c r="AI293" s="99">
        <f t="shared" si="193"/>
        <v>78260.28115</v>
      </c>
      <c r="AJ293" s="99">
        <f t="shared" si="193"/>
        <v>79925.48677</v>
      </c>
      <c r="AK293" s="99">
        <f t="shared" si="193"/>
        <v>81623.99651</v>
      </c>
      <c r="AL293" s="99">
        <f t="shared" si="193"/>
        <v>83356.47644</v>
      </c>
      <c r="AM293" s="99">
        <f t="shared" si="193"/>
        <v>85123.60597</v>
      </c>
      <c r="AN293" s="99">
        <f t="shared" si="193"/>
        <v>86926.07809</v>
      </c>
      <c r="AO293" s="99">
        <f t="shared" si="193"/>
        <v>88764.59965</v>
      </c>
      <c r="AP293" s="99">
        <f t="shared" si="193"/>
        <v>90639.89164</v>
      </c>
      <c r="AQ293" s="99">
        <f t="shared" si="193"/>
        <v>92552.68947</v>
      </c>
      <c r="AR293" s="99">
        <f t="shared" si="193"/>
        <v>94503.74326</v>
      </c>
      <c r="AS293" s="99">
        <f t="shared" si="193"/>
        <v>96493.81813</v>
      </c>
      <c r="AT293" s="99">
        <f t="shared" si="193"/>
        <v>98523.69449</v>
      </c>
      <c r="AU293" s="99">
        <f t="shared" si="193"/>
        <v>100594.1684</v>
      </c>
      <c r="AV293" s="99">
        <f t="shared" si="193"/>
        <v>102706.0517</v>
      </c>
      <c r="AW293" s="90"/>
      <c r="AX293" s="90"/>
      <c r="AY293" s="90"/>
      <c r="AZ293" s="90"/>
      <c r="BA293" s="90"/>
      <c r="BB293" s="90"/>
      <c r="BC293" s="90"/>
      <c r="BD293" s="90"/>
      <c r="BE293" s="90"/>
      <c r="BF293" s="90"/>
      <c r="BG293" s="90"/>
      <c r="BH293" s="90"/>
      <c r="BI293" s="90"/>
      <c r="BJ293" s="90"/>
      <c r="BK293" s="90"/>
      <c r="BL293" s="90"/>
      <c r="BM293" s="90"/>
      <c r="BN293" s="90"/>
      <c r="BO293" s="90"/>
      <c r="BP293" s="90"/>
      <c r="BQ293" s="90"/>
    </row>
    <row r="294" ht="12.75" customHeight="1" outlineLevel="1">
      <c r="A294" s="316"/>
      <c r="B294" s="134" t="s">
        <v>799</v>
      </c>
      <c r="C294" s="148"/>
      <c r="D294" s="148"/>
      <c r="E294" s="148"/>
      <c r="F294" s="148"/>
      <c r="G294" s="379"/>
      <c r="H294" s="379"/>
      <c r="I294" s="379"/>
      <c r="J294" s="379">
        <v>0.0</v>
      </c>
      <c r="K294" s="379">
        <f t="shared" ref="K294:AV294" si="194">SUM(K291:K293)</f>
        <v>0</v>
      </c>
      <c r="L294" s="379">
        <f t="shared" si="194"/>
        <v>58835.2</v>
      </c>
      <c r="M294" s="379">
        <f t="shared" si="194"/>
        <v>72458.368</v>
      </c>
      <c r="N294" s="379">
        <f t="shared" si="194"/>
        <v>84933.12</v>
      </c>
      <c r="O294" s="379">
        <f t="shared" si="194"/>
        <v>86031.7824</v>
      </c>
      <c r="P294" s="379">
        <f t="shared" si="194"/>
        <v>87152.41805</v>
      </c>
      <c r="Q294" s="379">
        <f t="shared" si="194"/>
        <v>88295.46641</v>
      </c>
      <c r="R294" s="379">
        <f t="shared" si="194"/>
        <v>89461.37574</v>
      </c>
      <c r="S294" s="379">
        <f t="shared" si="194"/>
        <v>90650.60325</v>
      </c>
      <c r="T294" s="379">
        <f t="shared" si="194"/>
        <v>91863.61532</v>
      </c>
      <c r="U294" s="379">
        <f t="shared" si="194"/>
        <v>93100.88762</v>
      </c>
      <c r="V294" s="379">
        <f t="shared" si="194"/>
        <v>94362.90538</v>
      </c>
      <c r="W294" s="379">
        <f t="shared" si="194"/>
        <v>95650.16348</v>
      </c>
      <c r="X294" s="379">
        <f t="shared" si="194"/>
        <v>96963.16675</v>
      </c>
      <c r="Y294" s="379">
        <f t="shared" si="194"/>
        <v>98302.43009</v>
      </c>
      <c r="Z294" s="379">
        <f t="shared" si="194"/>
        <v>99668.47869</v>
      </c>
      <c r="AA294" s="379">
        <f t="shared" si="194"/>
        <v>101061.8483</v>
      </c>
      <c r="AB294" s="379">
        <f t="shared" si="194"/>
        <v>102483.0852</v>
      </c>
      <c r="AC294" s="379">
        <f t="shared" si="194"/>
        <v>103932.7469</v>
      </c>
      <c r="AD294" s="379">
        <f t="shared" si="194"/>
        <v>105411.4019</v>
      </c>
      <c r="AE294" s="379">
        <f t="shared" si="194"/>
        <v>106919.6299</v>
      </c>
      <c r="AF294" s="379">
        <f t="shared" si="194"/>
        <v>108458.0225</v>
      </c>
      <c r="AG294" s="379">
        <f t="shared" si="194"/>
        <v>110027.183</v>
      </c>
      <c r="AH294" s="379">
        <f t="shared" si="194"/>
        <v>111627.7266</v>
      </c>
      <c r="AI294" s="379">
        <f t="shared" si="194"/>
        <v>113260.2811</v>
      </c>
      <c r="AJ294" s="379">
        <f t="shared" si="194"/>
        <v>114925.4868</v>
      </c>
      <c r="AK294" s="379">
        <f t="shared" si="194"/>
        <v>116623.9965</v>
      </c>
      <c r="AL294" s="379">
        <f t="shared" si="194"/>
        <v>118356.4764</v>
      </c>
      <c r="AM294" s="379">
        <f t="shared" si="194"/>
        <v>120123.606</v>
      </c>
      <c r="AN294" s="379">
        <f t="shared" si="194"/>
        <v>121926.0781</v>
      </c>
      <c r="AO294" s="379">
        <f t="shared" si="194"/>
        <v>123764.5996</v>
      </c>
      <c r="AP294" s="379">
        <f t="shared" si="194"/>
        <v>125639.8916</v>
      </c>
      <c r="AQ294" s="379">
        <f t="shared" si="194"/>
        <v>127552.6895</v>
      </c>
      <c r="AR294" s="379">
        <f t="shared" si="194"/>
        <v>129503.7433</v>
      </c>
      <c r="AS294" s="379">
        <f t="shared" si="194"/>
        <v>131493.8181</v>
      </c>
      <c r="AT294" s="379">
        <f t="shared" si="194"/>
        <v>133523.6945</v>
      </c>
      <c r="AU294" s="379">
        <f t="shared" si="194"/>
        <v>135594.1684</v>
      </c>
      <c r="AV294" s="379">
        <f t="shared" si="194"/>
        <v>137706.0517</v>
      </c>
      <c r="AW294" s="148"/>
      <c r="AX294" s="90"/>
      <c r="AY294" s="90"/>
      <c r="AZ294" s="90"/>
      <c r="BA294" s="90"/>
      <c r="BB294" s="90"/>
      <c r="BC294" s="90"/>
      <c r="BD294" s="90"/>
      <c r="BE294" s="90"/>
      <c r="BF294" s="90"/>
      <c r="BG294" s="90"/>
      <c r="BH294" s="90"/>
      <c r="BI294" s="90"/>
      <c r="BJ294" s="90"/>
      <c r="BK294" s="90"/>
      <c r="BL294" s="90"/>
      <c r="BM294" s="90"/>
      <c r="BN294" s="90"/>
      <c r="BO294" s="90"/>
      <c r="BP294" s="90"/>
      <c r="BQ294" s="90"/>
    </row>
    <row r="295" ht="12.75" customHeight="1" outlineLevel="1">
      <c r="A295" s="316"/>
      <c r="B295" s="90"/>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c r="AA295" s="90"/>
      <c r="AB295" s="90"/>
      <c r="AC295" s="90"/>
      <c r="AD295" s="90"/>
      <c r="AE295" s="90"/>
      <c r="AF295" s="90"/>
      <c r="AG295" s="90"/>
      <c r="AH295" s="90"/>
      <c r="AI295" s="90"/>
      <c r="AJ295" s="90"/>
      <c r="AK295" s="90"/>
      <c r="AL295" s="90"/>
      <c r="AM295" s="90"/>
      <c r="AN295" s="90"/>
      <c r="AO295" s="90"/>
      <c r="AP295" s="90"/>
      <c r="AQ295" s="90"/>
      <c r="AR295" s="90"/>
      <c r="AS295" s="90"/>
      <c r="AT295" s="90"/>
      <c r="AU295" s="90"/>
      <c r="AV295" s="90"/>
      <c r="AW295" s="87"/>
      <c r="AX295" s="90"/>
      <c r="AY295" s="90"/>
      <c r="AZ295" s="90"/>
      <c r="BA295" s="90"/>
      <c r="BB295" s="90"/>
      <c r="BC295" s="90"/>
      <c r="BD295" s="90"/>
      <c r="BE295" s="90"/>
      <c r="BF295" s="90"/>
      <c r="BG295" s="90"/>
      <c r="BH295" s="90"/>
      <c r="BI295" s="90"/>
      <c r="BJ295" s="90"/>
      <c r="BK295" s="90"/>
      <c r="BL295" s="90"/>
      <c r="BM295" s="90"/>
      <c r="BN295" s="90"/>
      <c r="BO295" s="90"/>
      <c r="BP295" s="90"/>
      <c r="BQ295" s="90"/>
    </row>
    <row r="296" ht="12.75" customHeight="1" outlineLevel="1">
      <c r="A296" s="108" t="s">
        <v>800</v>
      </c>
      <c r="B296" s="109"/>
      <c r="C296" s="109"/>
      <c r="D296" s="143"/>
      <c r="E296" s="143"/>
      <c r="F296" s="143"/>
      <c r="G296" s="293"/>
      <c r="H296" s="293"/>
      <c r="I296" s="293"/>
      <c r="J296" s="293">
        <v>125000.0</v>
      </c>
      <c r="K296" s="293">
        <f t="shared" ref="K296:AV296" si="195">K288+K281+K272+K294</f>
        <v>150000</v>
      </c>
      <c r="L296" s="293">
        <f t="shared" si="195"/>
        <v>3397896.886</v>
      </c>
      <c r="M296" s="293">
        <f t="shared" si="195"/>
        <v>3366588.726</v>
      </c>
      <c r="N296" s="293">
        <f t="shared" si="195"/>
        <v>3570964.808</v>
      </c>
      <c r="O296" s="293">
        <f t="shared" si="195"/>
        <v>3651140.463</v>
      </c>
      <c r="P296" s="293">
        <f t="shared" si="195"/>
        <v>3715383.141</v>
      </c>
      <c r="Q296" s="293">
        <f t="shared" si="195"/>
        <v>3781442.382</v>
      </c>
      <c r="R296" s="293">
        <f t="shared" si="195"/>
        <v>3882841.109</v>
      </c>
      <c r="S296" s="293">
        <f t="shared" si="195"/>
        <v>3952226.753</v>
      </c>
      <c r="T296" s="293">
        <f t="shared" si="195"/>
        <v>4026572.686</v>
      </c>
      <c r="U296" s="293">
        <f t="shared" si="195"/>
        <v>4106504.14</v>
      </c>
      <c r="V296" s="293">
        <f t="shared" si="195"/>
        <v>4188034.223</v>
      </c>
      <c r="W296" s="293">
        <f t="shared" si="195"/>
        <v>4271194.907</v>
      </c>
      <c r="X296" s="293">
        <f t="shared" si="195"/>
        <v>4356018.806</v>
      </c>
      <c r="Y296" s="293">
        <f t="shared" si="195"/>
        <v>4442539.182</v>
      </c>
      <c r="Z296" s="293">
        <f t="shared" si="195"/>
        <v>4530789.965</v>
      </c>
      <c r="AA296" s="293">
        <f t="shared" si="195"/>
        <v>4620805.765</v>
      </c>
      <c r="AB296" s="293">
        <f t="shared" si="195"/>
        <v>4712621.88</v>
      </c>
      <c r="AC296" s="293">
        <f t="shared" si="195"/>
        <v>4806274.317</v>
      </c>
      <c r="AD296" s="293">
        <f t="shared" si="195"/>
        <v>4901799.804</v>
      </c>
      <c r="AE296" s="293">
        <f t="shared" si="195"/>
        <v>4999235.8</v>
      </c>
      <c r="AF296" s="293">
        <f t="shared" si="195"/>
        <v>5098620.516</v>
      </c>
      <c r="AG296" s="293">
        <f t="shared" si="195"/>
        <v>5199992.926</v>
      </c>
      <c r="AH296" s="293">
        <f t="shared" si="195"/>
        <v>5303392.785</v>
      </c>
      <c r="AI296" s="293">
        <f t="shared" si="195"/>
        <v>5408860.64</v>
      </c>
      <c r="AJ296" s="293">
        <f t="shared" si="195"/>
        <v>5516437.853</v>
      </c>
      <c r="AK296" s="293">
        <f t="shared" si="195"/>
        <v>5626166.61</v>
      </c>
      <c r="AL296" s="293">
        <f t="shared" si="195"/>
        <v>5738089.942</v>
      </c>
      <c r="AM296" s="293">
        <f t="shared" si="195"/>
        <v>5852251.741</v>
      </c>
      <c r="AN296" s="293">
        <f t="shared" si="195"/>
        <v>5968696.776</v>
      </c>
      <c r="AO296" s="293">
        <f t="shared" si="195"/>
        <v>6087470.712</v>
      </c>
      <c r="AP296" s="293">
        <f t="shared" si="195"/>
        <v>6208620.126</v>
      </c>
      <c r="AQ296" s="293">
        <f t="shared" si="195"/>
        <v>6332192.528</v>
      </c>
      <c r="AR296" s="293">
        <f t="shared" si="195"/>
        <v>6458236.379</v>
      </c>
      <c r="AS296" s="293">
        <f t="shared" si="195"/>
        <v>6586801.107</v>
      </c>
      <c r="AT296" s="293">
        <f t="shared" si="195"/>
        <v>6717937.129</v>
      </c>
      <c r="AU296" s="293">
        <f t="shared" si="195"/>
        <v>6851695.871</v>
      </c>
      <c r="AV296" s="293">
        <f t="shared" si="195"/>
        <v>6988129.789</v>
      </c>
      <c r="AW296" s="87"/>
      <c r="AX296" s="90"/>
      <c r="AY296" s="90"/>
      <c r="AZ296" s="90"/>
      <c r="BA296" s="90"/>
      <c r="BB296" s="90"/>
      <c r="BC296" s="90"/>
      <c r="BD296" s="90"/>
      <c r="BE296" s="90"/>
      <c r="BF296" s="90"/>
      <c r="BG296" s="90"/>
      <c r="BH296" s="90"/>
      <c r="BI296" s="90"/>
      <c r="BJ296" s="90"/>
      <c r="BK296" s="90"/>
      <c r="BL296" s="90"/>
      <c r="BM296" s="90"/>
      <c r="BN296" s="90"/>
      <c r="BO296" s="90"/>
      <c r="BP296" s="90"/>
      <c r="BQ296" s="90"/>
    </row>
    <row r="297" ht="12.75" customHeight="1" outlineLevel="1">
      <c r="A297" s="515"/>
      <c r="B297" s="67"/>
      <c r="C297" s="67"/>
      <c r="D297" s="90"/>
      <c r="E297" s="90"/>
      <c r="F297" s="90"/>
      <c r="G297" s="79"/>
      <c r="H297" s="79"/>
      <c r="I297" s="79"/>
      <c r="J297" s="79"/>
      <c r="K297" s="79"/>
      <c r="L297" s="79"/>
      <c r="M297" s="79"/>
      <c r="N297" s="79"/>
      <c r="O297" s="79"/>
      <c r="P297" s="79"/>
      <c r="Q297" s="79"/>
      <c r="R297" s="79"/>
      <c r="S297" s="79"/>
      <c r="T297" s="79"/>
      <c r="U297" s="79"/>
      <c r="V297" s="79"/>
      <c r="W297" s="79"/>
      <c r="X297" s="79"/>
      <c r="Y297" s="79"/>
      <c r="Z297" s="79"/>
      <c r="AA297" s="79"/>
      <c r="AB297" s="79"/>
      <c r="AC297" s="79"/>
      <c r="AD297" s="79"/>
      <c r="AE297" s="79"/>
      <c r="AF297" s="79"/>
      <c r="AG297" s="79"/>
      <c r="AH297" s="79"/>
      <c r="AI297" s="79"/>
      <c r="AJ297" s="79"/>
      <c r="AK297" s="79"/>
      <c r="AL297" s="79"/>
      <c r="AM297" s="79"/>
      <c r="AN297" s="79"/>
      <c r="AO297" s="79"/>
      <c r="AP297" s="79"/>
      <c r="AQ297" s="79"/>
      <c r="AR297" s="79"/>
      <c r="AS297" s="79"/>
      <c r="AT297" s="79"/>
      <c r="AU297" s="79"/>
      <c r="AV297" s="79"/>
      <c r="AW297" s="90"/>
      <c r="AX297" s="99"/>
      <c r="AY297" s="90"/>
      <c r="AZ297" s="90"/>
      <c r="BA297" s="90"/>
      <c r="BB297" s="90"/>
      <c r="BC297" s="90"/>
      <c r="BD297" s="90"/>
      <c r="BE297" s="90"/>
      <c r="BF297" s="90"/>
      <c r="BG297" s="90"/>
      <c r="BH297" s="90"/>
      <c r="BI297" s="90"/>
      <c r="BJ297" s="90"/>
      <c r="BK297" s="90"/>
      <c r="BL297" s="90"/>
      <c r="BM297" s="90"/>
      <c r="BN297" s="90"/>
      <c r="BO297" s="90"/>
      <c r="BP297" s="90"/>
      <c r="BQ297" s="90"/>
    </row>
    <row r="298" ht="12.75" customHeight="1" outlineLevel="1">
      <c r="A298" s="515" t="s">
        <v>304</v>
      </c>
      <c r="B298" s="90"/>
      <c r="C298" s="90"/>
      <c r="D298" s="90"/>
      <c r="E298" s="90"/>
      <c r="F298" s="90"/>
      <c r="G298" s="90"/>
      <c r="H298" s="90"/>
      <c r="I298" s="90"/>
      <c r="J298" s="90"/>
      <c r="K298" s="90"/>
      <c r="L298" s="90"/>
      <c r="M298" s="90"/>
      <c r="N298" s="152"/>
      <c r="O298" s="90"/>
      <c r="P298" s="90"/>
      <c r="Q298" s="90"/>
      <c r="R298" s="90"/>
      <c r="S298" s="90"/>
      <c r="T298" s="90"/>
      <c r="U298" s="90"/>
      <c r="V298" s="90"/>
      <c r="W298" s="90"/>
      <c r="X298" s="90"/>
      <c r="Y298" s="90"/>
      <c r="Z298" s="90"/>
      <c r="AA298" s="90"/>
      <c r="AB298" s="90"/>
      <c r="AC298" s="90"/>
      <c r="AD298" s="90"/>
      <c r="AE298" s="90"/>
      <c r="AF298" s="90"/>
      <c r="AG298" s="90"/>
      <c r="AH298" s="90"/>
      <c r="AI298" s="90"/>
      <c r="AJ298" s="90"/>
      <c r="AK298" s="90"/>
      <c r="AL298" s="90"/>
      <c r="AM298" s="90"/>
      <c r="AN298" s="90"/>
      <c r="AO298" s="90"/>
      <c r="AP298" s="90"/>
      <c r="AQ298" s="90"/>
      <c r="AR298" s="90"/>
      <c r="AS298" s="90"/>
      <c r="AT298" s="90"/>
      <c r="AU298" s="90"/>
      <c r="AV298" s="90"/>
      <c r="AW298" s="90"/>
      <c r="AX298" s="90"/>
      <c r="AY298" s="90"/>
      <c r="AZ298" s="90"/>
      <c r="BA298" s="90"/>
      <c r="BB298" s="90"/>
      <c r="BC298" s="90"/>
      <c r="BD298" s="90"/>
      <c r="BE298" s="90"/>
      <c r="BF298" s="90"/>
      <c r="BG298" s="90"/>
      <c r="BH298" s="90"/>
      <c r="BI298" s="90"/>
      <c r="BJ298" s="90"/>
      <c r="BK298" s="90"/>
      <c r="BL298" s="90"/>
      <c r="BM298" s="90"/>
      <c r="BN298" s="90"/>
      <c r="BO298" s="90"/>
      <c r="BP298" s="90"/>
      <c r="BQ298" s="90"/>
    </row>
    <row r="299" ht="12.75" customHeight="1" outlineLevel="1">
      <c r="A299" s="316"/>
      <c r="B299" s="67" t="s">
        <v>278</v>
      </c>
      <c r="C299" s="90"/>
      <c r="D299" s="90"/>
      <c r="E299" s="90"/>
      <c r="F299" s="90"/>
      <c r="G299" s="90"/>
      <c r="H299" s="90"/>
      <c r="I299" s="90"/>
      <c r="J299" s="90"/>
      <c r="K299" s="90"/>
      <c r="L299" s="90"/>
      <c r="M299" s="90"/>
      <c r="N299" s="90"/>
      <c r="O299" s="90"/>
      <c r="P299" s="90"/>
      <c r="Q299" s="90"/>
      <c r="R299" s="90"/>
      <c r="S299" s="90"/>
      <c r="T299" s="90"/>
      <c r="U299" s="90"/>
      <c r="V299" s="90"/>
      <c r="W299" s="90"/>
      <c r="X299" s="90"/>
      <c r="Y299" s="90"/>
      <c r="Z299" s="90"/>
      <c r="AA299" s="90"/>
      <c r="AB299" s="90"/>
      <c r="AC299" s="90"/>
      <c r="AD299" s="90"/>
      <c r="AE299" s="90"/>
      <c r="AF299" s="90"/>
      <c r="AG299" s="90"/>
      <c r="AH299" s="90"/>
      <c r="AI299" s="90"/>
      <c r="AJ299" s="90"/>
      <c r="AK299" s="90"/>
      <c r="AL299" s="90"/>
      <c r="AM299" s="90"/>
      <c r="AN299" s="90"/>
      <c r="AO299" s="90"/>
      <c r="AP299" s="90"/>
      <c r="AQ299" s="90"/>
      <c r="AR299" s="90"/>
      <c r="AS299" s="90"/>
      <c r="AT299" s="90"/>
      <c r="AU299" s="90"/>
      <c r="AV299" s="90"/>
      <c r="AW299" s="90"/>
      <c r="AX299" s="90"/>
      <c r="AY299" s="90"/>
      <c r="AZ299" s="90"/>
      <c r="BA299" s="90"/>
      <c r="BB299" s="90"/>
      <c r="BC299" s="90"/>
      <c r="BD299" s="90"/>
      <c r="BE299" s="90"/>
      <c r="BF299" s="90"/>
      <c r="BG299" s="90"/>
      <c r="BH299" s="90"/>
      <c r="BI299" s="90"/>
      <c r="BJ299" s="90"/>
      <c r="BK299" s="90"/>
      <c r="BL299" s="90"/>
      <c r="BM299" s="90"/>
      <c r="BN299" s="90"/>
      <c r="BO299" s="90"/>
      <c r="BP299" s="90"/>
      <c r="BQ299" s="90"/>
    </row>
    <row r="300" ht="12.75" customHeight="1" outlineLevel="1">
      <c r="A300" s="316"/>
      <c r="B300" s="67"/>
      <c r="C300" s="90" t="s">
        <v>801</v>
      </c>
      <c r="D300" s="90"/>
      <c r="E300" s="90"/>
      <c r="F300" s="90"/>
      <c r="G300" s="90"/>
      <c r="H300" s="90"/>
      <c r="I300" s="90"/>
      <c r="J300" s="90"/>
      <c r="K300" s="90"/>
      <c r="L300" s="90"/>
      <c r="M300" s="90"/>
      <c r="N300" s="90"/>
      <c r="O300" s="90"/>
      <c r="P300" s="90"/>
      <c r="Q300" s="90"/>
      <c r="R300" s="90"/>
      <c r="S300" s="90"/>
      <c r="T300" s="90"/>
      <c r="U300" s="90"/>
      <c r="V300" s="90"/>
      <c r="W300" s="90"/>
      <c r="X300" s="90"/>
      <c r="Y300" s="90"/>
      <c r="Z300" s="90"/>
      <c r="AA300" s="90"/>
      <c r="AB300" s="90"/>
      <c r="AC300" s="90"/>
      <c r="AD300" s="90"/>
      <c r="AE300" s="90"/>
      <c r="AF300" s="90"/>
      <c r="AG300" s="90"/>
      <c r="AH300" s="90"/>
      <c r="AI300" s="90"/>
      <c r="AJ300" s="90"/>
      <c r="AK300" s="90"/>
      <c r="AL300" s="90"/>
      <c r="AM300" s="90"/>
      <c r="AN300" s="90"/>
      <c r="AO300" s="90"/>
      <c r="AP300" s="90"/>
      <c r="AQ300" s="90"/>
      <c r="AR300" s="90"/>
      <c r="AS300" s="90"/>
      <c r="AT300" s="90"/>
      <c r="AU300" s="90"/>
      <c r="AV300" s="90"/>
      <c r="AW300" s="90"/>
      <c r="AX300" s="90"/>
      <c r="AY300" s="90"/>
      <c r="AZ300" s="90"/>
      <c r="BA300" s="90"/>
      <c r="BB300" s="90"/>
      <c r="BC300" s="90"/>
      <c r="BD300" s="90"/>
      <c r="BE300" s="90"/>
      <c r="BF300" s="90"/>
      <c r="BG300" s="90"/>
      <c r="BH300" s="90"/>
      <c r="BI300" s="90"/>
      <c r="BJ300" s="90"/>
      <c r="BK300" s="90"/>
      <c r="BL300" s="90"/>
      <c r="BM300" s="90"/>
      <c r="BN300" s="90"/>
      <c r="BO300" s="90"/>
      <c r="BP300" s="90"/>
      <c r="BQ300" s="90"/>
    </row>
    <row r="301" ht="12.75" customHeight="1" outlineLevel="1">
      <c r="A301" s="316"/>
      <c r="B301" s="67"/>
      <c r="C301" s="90"/>
      <c r="D301" s="90" t="s">
        <v>701</v>
      </c>
      <c r="E301" s="90"/>
      <c r="F301" s="90"/>
      <c r="G301" s="99"/>
      <c r="H301" s="99"/>
      <c r="I301" s="99"/>
      <c r="J301" s="99">
        <v>0.0</v>
      </c>
      <c r="K301" s="99">
        <v>88596.23</v>
      </c>
      <c r="L301" s="99">
        <f>100000/1.2</f>
        <v>83333.33333</v>
      </c>
      <c r="M301" s="99">
        <f t="shared" ref="M301:AV301" si="196">M138*M164</f>
        <v>100000</v>
      </c>
      <c r="N301" s="99">
        <f t="shared" si="196"/>
        <v>102000</v>
      </c>
      <c r="O301" s="99">
        <f t="shared" si="196"/>
        <v>104040</v>
      </c>
      <c r="P301" s="99">
        <f t="shared" si="196"/>
        <v>106120.8</v>
      </c>
      <c r="Q301" s="99">
        <f t="shared" si="196"/>
        <v>108243.216</v>
      </c>
      <c r="R301" s="99">
        <f t="shared" si="196"/>
        <v>110408.0803</v>
      </c>
      <c r="S301" s="99">
        <f t="shared" si="196"/>
        <v>112616.2419</v>
      </c>
      <c r="T301" s="99">
        <f t="shared" si="196"/>
        <v>114868.5668</v>
      </c>
      <c r="U301" s="99">
        <f t="shared" si="196"/>
        <v>117165.9381</v>
      </c>
      <c r="V301" s="99">
        <f t="shared" si="196"/>
        <v>119509.2569</v>
      </c>
      <c r="W301" s="99">
        <f t="shared" si="196"/>
        <v>121899.442</v>
      </c>
      <c r="X301" s="99">
        <f t="shared" si="196"/>
        <v>124337.4308</v>
      </c>
      <c r="Y301" s="99">
        <f t="shared" si="196"/>
        <v>126824.1795</v>
      </c>
      <c r="Z301" s="99">
        <f t="shared" si="196"/>
        <v>129360.663</v>
      </c>
      <c r="AA301" s="99">
        <f t="shared" si="196"/>
        <v>131947.8763</v>
      </c>
      <c r="AB301" s="99">
        <f t="shared" si="196"/>
        <v>134586.8338</v>
      </c>
      <c r="AC301" s="99">
        <f t="shared" si="196"/>
        <v>137278.5705</v>
      </c>
      <c r="AD301" s="99">
        <f t="shared" si="196"/>
        <v>140024.1419</v>
      </c>
      <c r="AE301" s="99">
        <f t="shared" si="196"/>
        <v>142824.6248</v>
      </c>
      <c r="AF301" s="99">
        <f t="shared" si="196"/>
        <v>145681.1173</v>
      </c>
      <c r="AG301" s="99">
        <f t="shared" si="196"/>
        <v>148594.7396</v>
      </c>
      <c r="AH301" s="99">
        <f t="shared" si="196"/>
        <v>151566.6344</v>
      </c>
      <c r="AI301" s="99">
        <f t="shared" si="196"/>
        <v>154597.9671</v>
      </c>
      <c r="AJ301" s="99">
        <f t="shared" si="196"/>
        <v>157689.9264</v>
      </c>
      <c r="AK301" s="99">
        <f t="shared" si="196"/>
        <v>160843.7249</v>
      </c>
      <c r="AL301" s="99">
        <f t="shared" si="196"/>
        <v>164060.5994</v>
      </c>
      <c r="AM301" s="99">
        <f t="shared" si="196"/>
        <v>167341.8114</v>
      </c>
      <c r="AN301" s="99">
        <f t="shared" si="196"/>
        <v>170688.6477</v>
      </c>
      <c r="AO301" s="99">
        <f t="shared" si="196"/>
        <v>174102.4206</v>
      </c>
      <c r="AP301" s="99">
        <f t="shared" si="196"/>
        <v>177584.469</v>
      </c>
      <c r="AQ301" s="99">
        <f t="shared" si="196"/>
        <v>181136.1584</v>
      </c>
      <c r="AR301" s="99">
        <f t="shared" si="196"/>
        <v>184758.8816</v>
      </c>
      <c r="AS301" s="99">
        <f t="shared" si="196"/>
        <v>188454.0592</v>
      </c>
      <c r="AT301" s="99">
        <f t="shared" si="196"/>
        <v>192223.1404</v>
      </c>
      <c r="AU301" s="99">
        <f t="shared" si="196"/>
        <v>196067.6032</v>
      </c>
      <c r="AV301" s="99">
        <f t="shared" si="196"/>
        <v>199988.9553</v>
      </c>
      <c r="AW301" s="90"/>
      <c r="AX301" s="90"/>
      <c r="AY301" s="90"/>
      <c r="AZ301" s="90"/>
      <c r="BA301" s="90"/>
      <c r="BB301" s="90"/>
      <c r="BC301" s="90"/>
      <c r="BD301" s="90"/>
      <c r="BE301" s="90"/>
      <c r="BF301" s="90"/>
      <c r="BG301" s="90"/>
      <c r="BH301" s="90"/>
      <c r="BI301" s="90"/>
      <c r="BJ301" s="90"/>
      <c r="BK301" s="90"/>
      <c r="BL301" s="90"/>
      <c r="BM301" s="90"/>
      <c r="BN301" s="90"/>
      <c r="BO301" s="90"/>
      <c r="BP301" s="90"/>
      <c r="BQ301" s="90"/>
    </row>
    <row r="302" ht="12.75" customHeight="1" outlineLevel="1">
      <c r="A302" s="316"/>
      <c r="B302" s="67"/>
      <c r="C302" s="90"/>
      <c r="D302" s="90" t="s">
        <v>721</v>
      </c>
      <c r="E302" s="90"/>
      <c r="F302" s="90"/>
      <c r="G302" s="99"/>
      <c r="H302" s="99"/>
      <c r="I302" s="99"/>
      <c r="J302" s="99">
        <v>0.0</v>
      </c>
      <c r="K302" s="99">
        <f t="shared" ref="K302:AV302" si="197">K139*K165</f>
        <v>0</v>
      </c>
      <c r="L302" s="99">
        <f t="shared" si="197"/>
        <v>0</v>
      </c>
      <c r="M302" s="99">
        <f t="shared" si="197"/>
        <v>0</v>
      </c>
      <c r="N302" s="99">
        <f t="shared" si="197"/>
        <v>0</v>
      </c>
      <c r="O302" s="99">
        <f t="shared" si="197"/>
        <v>0</v>
      </c>
      <c r="P302" s="99">
        <f t="shared" si="197"/>
        <v>0</v>
      </c>
      <c r="Q302" s="99">
        <f t="shared" si="197"/>
        <v>0</v>
      </c>
      <c r="R302" s="99">
        <f t="shared" si="197"/>
        <v>0</v>
      </c>
      <c r="S302" s="99">
        <f t="shared" si="197"/>
        <v>0</v>
      </c>
      <c r="T302" s="99">
        <f t="shared" si="197"/>
        <v>0</v>
      </c>
      <c r="U302" s="99">
        <f t="shared" si="197"/>
        <v>0</v>
      </c>
      <c r="V302" s="99">
        <f t="shared" si="197"/>
        <v>0</v>
      </c>
      <c r="W302" s="99">
        <f t="shared" si="197"/>
        <v>0</v>
      </c>
      <c r="X302" s="99">
        <f t="shared" si="197"/>
        <v>0</v>
      </c>
      <c r="Y302" s="99">
        <f t="shared" si="197"/>
        <v>0</v>
      </c>
      <c r="Z302" s="99">
        <f t="shared" si="197"/>
        <v>0</v>
      </c>
      <c r="AA302" s="99">
        <f t="shared" si="197"/>
        <v>0</v>
      </c>
      <c r="AB302" s="99">
        <f t="shared" si="197"/>
        <v>0</v>
      </c>
      <c r="AC302" s="99">
        <f t="shared" si="197"/>
        <v>0</v>
      </c>
      <c r="AD302" s="99">
        <f t="shared" si="197"/>
        <v>0</v>
      </c>
      <c r="AE302" s="99">
        <f t="shared" si="197"/>
        <v>0</v>
      </c>
      <c r="AF302" s="99">
        <f t="shared" si="197"/>
        <v>0</v>
      </c>
      <c r="AG302" s="99">
        <f t="shared" si="197"/>
        <v>0</v>
      </c>
      <c r="AH302" s="99">
        <f t="shared" si="197"/>
        <v>0</v>
      </c>
      <c r="AI302" s="99">
        <f t="shared" si="197"/>
        <v>0</v>
      </c>
      <c r="AJ302" s="99">
        <f t="shared" si="197"/>
        <v>0</v>
      </c>
      <c r="AK302" s="99">
        <f t="shared" si="197"/>
        <v>0</v>
      </c>
      <c r="AL302" s="99">
        <f t="shared" si="197"/>
        <v>0</v>
      </c>
      <c r="AM302" s="99">
        <f t="shared" si="197"/>
        <v>0</v>
      </c>
      <c r="AN302" s="99">
        <f t="shared" si="197"/>
        <v>0</v>
      </c>
      <c r="AO302" s="99">
        <f t="shared" si="197"/>
        <v>0</v>
      </c>
      <c r="AP302" s="99">
        <f t="shared" si="197"/>
        <v>0</v>
      </c>
      <c r="AQ302" s="99">
        <f t="shared" si="197"/>
        <v>0</v>
      </c>
      <c r="AR302" s="99">
        <f t="shared" si="197"/>
        <v>0</v>
      </c>
      <c r="AS302" s="99">
        <f t="shared" si="197"/>
        <v>0</v>
      </c>
      <c r="AT302" s="99">
        <f t="shared" si="197"/>
        <v>0</v>
      </c>
      <c r="AU302" s="99">
        <f t="shared" si="197"/>
        <v>0</v>
      </c>
      <c r="AV302" s="99">
        <f t="shared" si="197"/>
        <v>0</v>
      </c>
      <c r="AW302" s="90"/>
      <c r="AX302" s="90"/>
      <c r="AY302" s="90"/>
      <c r="AZ302" s="90"/>
      <c r="BA302" s="90"/>
      <c r="BB302" s="90"/>
      <c r="BC302" s="90"/>
      <c r="BD302" s="90"/>
      <c r="BE302" s="90"/>
      <c r="BF302" s="90"/>
      <c r="BG302" s="90"/>
      <c r="BH302" s="90"/>
      <c r="BI302" s="90"/>
      <c r="BJ302" s="90"/>
      <c r="BK302" s="90"/>
      <c r="BL302" s="90"/>
      <c r="BM302" s="90"/>
      <c r="BN302" s="90"/>
      <c r="BO302" s="90"/>
      <c r="BP302" s="90"/>
      <c r="BQ302" s="90"/>
    </row>
    <row r="303" ht="12.75" customHeight="1" outlineLevel="1">
      <c r="A303" s="316"/>
      <c r="B303" s="67"/>
      <c r="C303" s="90"/>
      <c r="D303" s="90" t="s">
        <v>802</v>
      </c>
      <c r="E303" s="90"/>
      <c r="F303" s="90"/>
      <c r="G303" s="99"/>
      <c r="H303" s="99"/>
      <c r="I303" s="99"/>
      <c r="J303" s="99">
        <v>0.0</v>
      </c>
      <c r="K303" s="99">
        <f t="shared" ref="K303:AV303" si="198">K140*K166</f>
        <v>0</v>
      </c>
      <c r="L303" s="99">
        <f t="shared" si="198"/>
        <v>0</v>
      </c>
      <c r="M303" s="99">
        <f t="shared" si="198"/>
        <v>0</v>
      </c>
      <c r="N303" s="99">
        <f t="shared" si="198"/>
        <v>0</v>
      </c>
      <c r="O303" s="99">
        <f t="shared" si="198"/>
        <v>0</v>
      </c>
      <c r="P303" s="99">
        <f t="shared" si="198"/>
        <v>0</v>
      </c>
      <c r="Q303" s="99">
        <f t="shared" si="198"/>
        <v>0</v>
      </c>
      <c r="R303" s="99">
        <f t="shared" si="198"/>
        <v>0</v>
      </c>
      <c r="S303" s="99">
        <f t="shared" si="198"/>
        <v>0</v>
      </c>
      <c r="T303" s="99">
        <f t="shared" si="198"/>
        <v>0</v>
      </c>
      <c r="U303" s="99">
        <f t="shared" si="198"/>
        <v>0</v>
      </c>
      <c r="V303" s="99">
        <f t="shared" si="198"/>
        <v>0</v>
      </c>
      <c r="W303" s="99">
        <f t="shared" si="198"/>
        <v>0</v>
      </c>
      <c r="X303" s="99">
        <f t="shared" si="198"/>
        <v>0</v>
      </c>
      <c r="Y303" s="99">
        <f t="shared" si="198"/>
        <v>0</v>
      </c>
      <c r="Z303" s="99">
        <f t="shared" si="198"/>
        <v>0</v>
      </c>
      <c r="AA303" s="99">
        <f t="shared" si="198"/>
        <v>0</v>
      </c>
      <c r="AB303" s="99">
        <f t="shared" si="198"/>
        <v>0</v>
      </c>
      <c r="AC303" s="99">
        <f t="shared" si="198"/>
        <v>0</v>
      </c>
      <c r="AD303" s="99">
        <f t="shared" si="198"/>
        <v>0</v>
      </c>
      <c r="AE303" s="99">
        <f t="shared" si="198"/>
        <v>0</v>
      </c>
      <c r="AF303" s="99">
        <f t="shared" si="198"/>
        <v>0</v>
      </c>
      <c r="AG303" s="99">
        <f t="shared" si="198"/>
        <v>0</v>
      </c>
      <c r="AH303" s="99">
        <f t="shared" si="198"/>
        <v>0</v>
      </c>
      <c r="AI303" s="99">
        <f t="shared" si="198"/>
        <v>0</v>
      </c>
      <c r="AJ303" s="99">
        <f t="shared" si="198"/>
        <v>0</v>
      </c>
      <c r="AK303" s="99">
        <f t="shared" si="198"/>
        <v>0</v>
      </c>
      <c r="AL303" s="99">
        <f t="shared" si="198"/>
        <v>0</v>
      </c>
      <c r="AM303" s="99">
        <f t="shared" si="198"/>
        <v>0</v>
      </c>
      <c r="AN303" s="99">
        <f t="shared" si="198"/>
        <v>0</v>
      </c>
      <c r="AO303" s="99">
        <f t="shared" si="198"/>
        <v>0</v>
      </c>
      <c r="AP303" s="99">
        <f t="shared" si="198"/>
        <v>0</v>
      </c>
      <c r="AQ303" s="99">
        <f t="shared" si="198"/>
        <v>0</v>
      </c>
      <c r="AR303" s="99">
        <f t="shared" si="198"/>
        <v>0</v>
      </c>
      <c r="AS303" s="99">
        <f t="shared" si="198"/>
        <v>0</v>
      </c>
      <c r="AT303" s="99">
        <f t="shared" si="198"/>
        <v>0</v>
      </c>
      <c r="AU303" s="99">
        <f t="shared" si="198"/>
        <v>0</v>
      </c>
      <c r="AV303" s="99">
        <f t="shared" si="198"/>
        <v>0</v>
      </c>
      <c r="AW303" s="90"/>
      <c r="AX303" s="90"/>
      <c r="AY303" s="90"/>
      <c r="AZ303" s="90"/>
      <c r="BA303" s="90"/>
      <c r="BB303" s="90"/>
      <c r="BC303" s="90"/>
      <c r="BD303" s="90"/>
      <c r="BE303" s="90"/>
      <c r="BF303" s="90"/>
      <c r="BG303" s="90"/>
      <c r="BH303" s="90"/>
      <c r="BI303" s="90"/>
      <c r="BJ303" s="90"/>
      <c r="BK303" s="90"/>
      <c r="BL303" s="90"/>
      <c r="BM303" s="90"/>
      <c r="BN303" s="90"/>
      <c r="BO303" s="90"/>
      <c r="BP303" s="90"/>
      <c r="BQ303" s="90"/>
    </row>
    <row r="304" ht="12.75" customHeight="1" outlineLevel="1">
      <c r="A304" s="316"/>
      <c r="B304" s="67"/>
      <c r="C304" s="90"/>
      <c r="D304" s="90" t="s">
        <v>722</v>
      </c>
      <c r="E304" s="90"/>
      <c r="F304" s="90"/>
      <c r="G304" s="99"/>
      <c r="H304" s="90"/>
      <c r="I304" s="99"/>
      <c r="J304" s="99">
        <v>0.0</v>
      </c>
      <c r="K304" s="99">
        <f t="shared" ref="K304:AV304" si="199">K144*K167</f>
        <v>0</v>
      </c>
      <c r="L304" s="99">
        <f t="shared" si="199"/>
        <v>188000</v>
      </c>
      <c r="M304" s="99">
        <f t="shared" si="199"/>
        <v>386000</v>
      </c>
      <c r="N304" s="99">
        <f t="shared" si="199"/>
        <v>393720</v>
      </c>
      <c r="O304" s="99">
        <f t="shared" si="199"/>
        <v>351395.1</v>
      </c>
      <c r="P304" s="99">
        <f t="shared" si="199"/>
        <v>358423.002</v>
      </c>
      <c r="Q304" s="99">
        <f t="shared" si="199"/>
        <v>261136.7586</v>
      </c>
      <c r="R304" s="99">
        <f t="shared" si="199"/>
        <v>266359.4938</v>
      </c>
      <c r="S304" s="99">
        <f t="shared" si="199"/>
        <v>271686.6836</v>
      </c>
      <c r="T304" s="99">
        <f t="shared" si="199"/>
        <v>277120.4173</v>
      </c>
      <c r="U304" s="99">
        <f t="shared" si="199"/>
        <v>282662.8257</v>
      </c>
      <c r="V304" s="99">
        <f t="shared" si="199"/>
        <v>288316.0822</v>
      </c>
      <c r="W304" s="99">
        <f t="shared" si="199"/>
        <v>294082.4038</v>
      </c>
      <c r="X304" s="99">
        <f t="shared" si="199"/>
        <v>299964.0519</v>
      </c>
      <c r="Y304" s="99">
        <f t="shared" si="199"/>
        <v>305963.3329</v>
      </c>
      <c r="Z304" s="99">
        <f t="shared" si="199"/>
        <v>312082.5996</v>
      </c>
      <c r="AA304" s="99">
        <f t="shared" si="199"/>
        <v>318324.2516</v>
      </c>
      <c r="AB304" s="99">
        <f t="shared" si="199"/>
        <v>324690.7366</v>
      </c>
      <c r="AC304" s="99">
        <f t="shared" si="199"/>
        <v>331184.5514</v>
      </c>
      <c r="AD304" s="99">
        <f t="shared" si="199"/>
        <v>337808.2424</v>
      </c>
      <c r="AE304" s="99">
        <f t="shared" si="199"/>
        <v>344564.4072</v>
      </c>
      <c r="AF304" s="99">
        <f t="shared" si="199"/>
        <v>351455.6954</v>
      </c>
      <c r="AG304" s="99">
        <f t="shared" si="199"/>
        <v>358484.8093</v>
      </c>
      <c r="AH304" s="99">
        <f t="shared" si="199"/>
        <v>365654.5055</v>
      </c>
      <c r="AI304" s="99">
        <f t="shared" si="199"/>
        <v>372967.5956</v>
      </c>
      <c r="AJ304" s="99">
        <f t="shared" si="199"/>
        <v>380426.9475</v>
      </c>
      <c r="AK304" s="99">
        <f t="shared" si="199"/>
        <v>388035.4864</v>
      </c>
      <c r="AL304" s="99">
        <f t="shared" si="199"/>
        <v>395796.1962</v>
      </c>
      <c r="AM304" s="99">
        <f t="shared" si="199"/>
        <v>403712.1201</v>
      </c>
      <c r="AN304" s="99">
        <f t="shared" si="199"/>
        <v>411786.3625</v>
      </c>
      <c r="AO304" s="99">
        <f t="shared" si="199"/>
        <v>420022.0897</v>
      </c>
      <c r="AP304" s="99">
        <f t="shared" si="199"/>
        <v>428422.5315</v>
      </c>
      <c r="AQ304" s="99">
        <f t="shared" si="199"/>
        <v>436990.9822</v>
      </c>
      <c r="AR304" s="99">
        <f t="shared" si="199"/>
        <v>445730.8018</v>
      </c>
      <c r="AS304" s="99">
        <f t="shared" si="199"/>
        <v>454645.4178</v>
      </c>
      <c r="AT304" s="99">
        <f t="shared" si="199"/>
        <v>463738.3262</v>
      </c>
      <c r="AU304" s="99">
        <f t="shared" si="199"/>
        <v>473013.0927</v>
      </c>
      <c r="AV304" s="99">
        <f t="shared" si="199"/>
        <v>482473.3546</v>
      </c>
      <c r="AW304" s="90" t="s">
        <v>1218</v>
      </c>
      <c r="AX304" s="90"/>
      <c r="AY304" s="90"/>
      <c r="AZ304" s="90"/>
      <c r="BA304" s="90"/>
      <c r="BB304" s="90"/>
      <c r="BC304" s="90"/>
      <c r="BD304" s="90"/>
      <c r="BE304" s="90"/>
      <c r="BF304" s="90"/>
      <c r="BG304" s="90"/>
      <c r="BH304" s="90"/>
      <c r="BI304" s="90"/>
      <c r="BJ304" s="90"/>
      <c r="BK304" s="90"/>
      <c r="BL304" s="90"/>
      <c r="BM304" s="90"/>
      <c r="BN304" s="90"/>
      <c r="BO304" s="90"/>
      <c r="BP304" s="90"/>
      <c r="BQ304" s="90"/>
    </row>
    <row r="305" ht="12.75" customHeight="1" outlineLevel="1">
      <c r="A305" s="316"/>
      <c r="B305" s="67"/>
      <c r="C305" s="90"/>
      <c r="D305" s="90" t="s">
        <v>707</v>
      </c>
      <c r="E305" s="90"/>
      <c r="F305" s="90"/>
      <c r="G305" s="99"/>
      <c r="H305" s="90"/>
      <c r="I305" s="99"/>
      <c r="J305" s="99">
        <v>0.0</v>
      </c>
      <c r="K305" s="99">
        <f t="shared" ref="K305:AV305" si="200">K145*K168</f>
        <v>0</v>
      </c>
      <c r="L305" s="99">
        <f t="shared" si="200"/>
        <v>464000</v>
      </c>
      <c r="M305" s="99">
        <f t="shared" si="200"/>
        <v>414120</v>
      </c>
      <c r="N305" s="99">
        <f t="shared" si="200"/>
        <v>482745.6</v>
      </c>
      <c r="O305" s="99">
        <f t="shared" si="200"/>
        <v>430850.448</v>
      </c>
      <c r="P305" s="99">
        <f t="shared" si="200"/>
        <v>439467.457</v>
      </c>
      <c r="Q305" s="99">
        <f t="shared" si="200"/>
        <v>320183.4329</v>
      </c>
      <c r="R305" s="99">
        <f t="shared" si="200"/>
        <v>326587.1016</v>
      </c>
      <c r="S305" s="99">
        <f t="shared" si="200"/>
        <v>333118.8436</v>
      </c>
      <c r="T305" s="99">
        <f t="shared" si="200"/>
        <v>339781.2205</v>
      </c>
      <c r="U305" s="99">
        <f t="shared" si="200"/>
        <v>346576.8449</v>
      </c>
      <c r="V305" s="99">
        <f t="shared" si="200"/>
        <v>353508.3818</v>
      </c>
      <c r="W305" s="99">
        <f t="shared" si="200"/>
        <v>360578.5494</v>
      </c>
      <c r="X305" s="99">
        <f t="shared" si="200"/>
        <v>367790.1204</v>
      </c>
      <c r="Y305" s="99">
        <f t="shared" si="200"/>
        <v>375145.9228</v>
      </c>
      <c r="Z305" s="99">
        <f t="shared" si="200"/>
        <v>382648.8413</v>
      </c>
      <c r="AA305" s="99">
        <f t="shared" si="200"/>
        <v>390301.8181</v>
      </c>
      <c r="AB305" s="99">
        <f t="shared" si="200"/>
        <v>398107.8545</v>
      </c>
      <c r="AC305" s="99">
        <f t="shared" si="200"/>
        <v>406070.0116</v>
      </c>
      <c r="AD305" s="99">
        <f t="shared" si="200"/>
        <v>414191.4118</v>
      </c>
      <c r="AE305" s="99">
        <f t="shared" si="200"/>
        <v>422475.24</v>
      </c>
      <c r="AF305" s="99">
        <f t="shared" si="200"/>
        <v>430924.7448</v>
      </c>
      <c r="AG305" s="99">
        <f t="shared" si="200"/>
        <v>439543.2397</v>
      </c>
      <c r="AH305" s="99">
        <f t="shared" si="200"/>
        <v>448334.1045</v>
      </c>
      <c r="AI305" s="99">
        <f t="shared" si="200"/>
        <v>457300.7866</v>
      </c>
      <c r="AJ305" s="99">
        <f t="shared" si="200"/>
        <v>466446.8023</v>
      </c>
      <c r="AK305" s="99">
        <f t="shared" si="200"/>
        <v>475775.7384</v>
      </c>
      <c r="AL305" s="99">
        <f t="shared" si="200"/>
        <v>485291.2532</v>
      </c>
      <c r="AM305" s="99">
        <f t="shared" si="200"/>
        <v>494997.0782</v>
      </c>
      <c r="AN305" s="99">
        <f t="shared" si="200"/>
        <v>504897.0198</v>
      </c>
      <c r="AO305" s="99">
        <f t="shared" si="200"/>
        <v>514994.9602</v>
      </c>
      <c r="AP305" s="99">
        <f t="shared" si="200"/>
        <v>525294.8594</v>
      </c>
      <c r="AQ305" s="99">
        <f t="shared" si="200"/>
        <v>535800.7566</v>
      </c>
      <c r="AR305" s="99">
        <f t="shared" si="200"/>
        <v>546516.7717</v>
      </c>
      <c r="AS305" s="99">
        <f t="shared" si="200"/>
        <v>557447.1071</v>
      </c>
      <c r="AT305" s="99">
        <f t="shared" si="200"/>
        <v>568596.0493</v>
      </c>
      <c r="AU305" s="99">
        <f t="shared" si="200"/>
        <v>579967.9703</v>
      </c>
      <c r="AV305" s="99">
        <f t="shared" si="200"/>
        <v>591567.3297</v>
      </c>
      <c r="AW305" s="90"/>
      <c r="AX305" s="90"/>
      <c r="AY305" s="90"/>
      <c r="AZ305" s="90"/>
      <c r="BA305" s="90"/>
      <c r="BB305" s="90"/>
      <c r="BC305" s="90"/>
      <c r="BD305" s="90"/>
      <c r="BE305" s="90"/>
      <c r="BF305" s="90"/>
      <c r="BG305" s="90"/>
      <c r="BH305" s="90"/>
      <c r="BI305" s="90"/>
      <c r="BJ305" s="90"/>
      <c r="BK305" s="90"/>
      <c r="BL305" s="90"/>
      <c r="BM305" s="90"/>
      <c r="BN305" s="90"/>
      <c r="BO305" s="90"/>
      <c r="BP305" s="90"/>
      <c r="BQ305" s="90"/>
    </row>
    <row r="306" ht="12.75" customHeight="1" outlineLevel="1">
      <c r="A306" s="316"/>
      <c r="B306" s="67"/>
      <c r="C306" s="90"/>
      <c r="D306" s="90" t="s">
        <v>702</v>
      </c>
      <c r="E306" s="90"/>
      <c r="F306" s="90"/>
      <c r="G306" s="99"/>
      <c r="H306" s="99"/>
      <c r="I306" s="99"/>
      <c r="J306" s="99">
        <v>0.0</v>
      </c>
      <c r="K306" s="99">
        <f t="shared" ref="K306:AV306" si="201">K139*K169</f>
        <v>0</v>
      </c>
      <c r="L306" s="99">
        <f t="shared" si="201"/>
        <v>67000</v>
      </c>
      <c r="M306" s="99">
        <f t="shared" si="201"/>
        <v>83333.33333</v>
      </c>
      <c r="N306" s="99">
        <f t="shared" si="201"/>
        <v>85000</v>
      </c>
      <c r="O306" s="99">
        <f t="shared" si="201"/>
        <v>86700</v>
      </c>
      <c r="P306" s="99">
        <f t="shared" si="201"/>
        <v>88434</v>
      </c>
      <c r="Q306" s="99">
        <f t="shared" si="201"/>
        <v>90202.68</v>
      </c>
      <c r="R306" s="99">
        <f t="shared" si="201"/>
        <v>92006.7336</v>
      </c>
      <c r="S306" s="99">
        <f t="shared" si="201"/>
        <v>93846.86827</v>
      </c>
      <c r="T306" s="99">
        <f t="shared" si="201"/>
        <v>95723.80564</v>
      </c>
      <c r="U306" s="99">
        <f t="shared" si="201"/>
        <v>97638.28175</v>
      </c>
      <c r="V306" s="99">
        <f t="shared" si="201"/>
        <v>99591.04739</v>
      </c>
      <c r="W306" s="99">
        <f t="shared" si="201"/>
        <v>101582.8683</v>
      </c>
      <c r="X306" s="99">
        <f t="shared" si="201"/>
        <v>103614.5257</v>
      </c>
      <c r="Y306" s="99">
        <f t="shared" si="201"/>
        <v>105686.8162</v>
      </c>
      <c r="Z306" s="99">
        <f t="shared" si="201"/>
        <v>107800.5525</v>
      </c>
      <c r="AA306" s="99">
        <f t="shared" si="201"/>
        <v>109956.5636</v>
      </c>
      <c r="AB306" s="99">
        <f t="shared" si="201"/>
        <v>112155.6949</v>
      </c>
      <c r="AC306" s="99">
        <f t="shared" si="201"/>
        <v>114398.8088</v>
      </c>
      <c r="AD306" s="99">
        <f t="shared" si="201"/>
        <v>116686.7849</v>
      </c>
      <c r="AE306" s="99">
        <f t="shared" si="201"/>
        <v>119020.5206</v>
      </c>
      <c r="AF306" s="99">
        <f t="shared" si="201"/>
        <v>121400.931</v>
      </c>
      <c r="AG306" s="99">
        <f t="shared" si="201"/>
        <v>123828.9497</v>
      </c>
      <c r="AH306" s="99">
        <f t="shared" si="201"/>
        <v>126305.5287</v>
      </c>
      <c r="AI306" s="99">
        <f t="shared" si="201"/>
        <v>128831.6392</v>
      </c>
      <c r="AJ306" s="99">
        <f t="shared" si="201"/>
        <v>131408.272</v>
      </c>
      <c r="AK306" s="99">
        <f t="shared" si="201"/>
        <v>134036.4375</v>
      </c>
      <c r="AL306" s="99">
        <f t="shared" si="201"/>
        <v>136717.1662</v>
      </c>
      <c r="AM306" s="99">
        <f t="shared" si="201"/>
        <v>139451.5095</v>
      </c>
      <c r="AN306" s="99">
        <f t="shared" si="201"/>
        <v>142240.5397</v>
      </c>
      <c r="AO306" s="99">
        <f t="shared" si="201"/>
        <v>145085.3505</v>
      </c>
      <c r="AP306" s="99">
        <f t="shared" si="201"/>
        <v>147987.0575</v>
      </c>
      <c r="AQ306" s="99">
        <f t="shared" si="201"/>
        <v>150946.7987</v>
      </c>
      <c r="AR306" s="99">
        <f t="shared" si="201"/>
        <v>153965.7346</v>
      </c>
      <c r="AS306" s="99">
        <f t="shared" si="201"/>
        <v>157045.0493</v>
      </c>
      <c r="AT306" s="99">
        <f t="shared" si="201"/>
        <v>160185.9503</v>
      </c>
      <c r="AU306" s="99">
        <f t="shared" si="201"/>
        <v>163389.6693</v>
      </c>
      <c r="AV306" s="99">
        <f t="shared" si="201"/>
        <v>166657.4627</v>
      </c>
      <c r="AW306" s="90"/>
      <c r="AX306" s="90"/>
      <c r="AY306" s="90"/>
      <c r="AZ306" s="90"/>
      <c r="BA306" s="90"/>
      <c r="BB306" s="90"/>
      <c r="BC306" s="90"/>
      <c r="BD306" s="90"/>
      <c r="BE306" s="90"/>
      <c r="BF306" s="90"/>
      <c r="BG306" s="90"/>
      <c r="BH306" s="90"/>
      <c r="BI306" s="90"/>
      <c r="BJ306" s="90"/>
      <c r="BK306" s="90"/>
      <c r="BL306" s="90"/>
      <c r="BM306" s="90"/>
      <c r="BN306" s="90"/>
      <c r="BO306" s="90"/>
      <c r="BP306" s="90"/>
      <c r="BQ306" s="90"/>
    </row>
    <row r="307" ht="12.75" customHeight="1" outlineLevel="1">
      <c r="A307" s="316"/>
      <c r="B307" s="67"/>
      <c r="C307" s="87"/>
      <c r="D307" s="87" t="s">
        <v>803</v>
      </c>
      <c r="E307" s="87"/>
      <c r="F307" s="87"/>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c r="AT307" s="125"/>
      <c r="AU307" s="125"/>
      <c r="AV307" s="125"/>
      <c r="AW307" s="87" t="s">
        <v>1219</v>
      </c>
      <c r="AX307" s="90"/>
      <c r="AY307" s="90"/>
      <c r="AZ307" s="90"/>
      <c r="BA307" s="90"/>
      <c r="BB307" s="90"/>
      <c r="BC307" s="90"/>
      <c r="BD307" s="90"/>
      <c r="BE307" s="90"/>
      <c r="BF307" s="90"/>
      <c r="BG307" s="90"/>
      <c r="BH307" s="90"/>
      <c r="BI307" s="90"/>
      <c r="BJ307" s="90"/>
      <c r="BK307" s="90"/>
      <c r="BL307" s="90"/>
      <c r="BM307" s="90"/>
      <c r="BN307" s="90"/>
      <c r="BO307" s="90"/>
      <c r="BP307" s="90"/>
      <c r="BQ307" s="90"/>
    </row>
    <row r="308" ht="12.75" customHeight="1" outlineLevel="1">
      <c r="A308" s="316"/>
      <c r="B308" s="67"/>
      <c r="C308" s="90" t="s">
        <v>804</v>
      </c>
      <c r="D308" s="90"/>
      <c r="E308" s="90"/>
      <c r="F308" s="90"/>
      <c r="G308" s="99"/>
      <c r="H308" s="99"/>
      <c r="I308" s="99"/>
      <c r="J308" s="99">
        <v>0.0</v>
      </c>
      <c r="K308" s="99">
        <f t="shared" ref="K308:AV308" si="202">SUM(K301:K307)</f>
        <v>88596.23</v>
      </c>
      <c r="L308" s="99">
        <f t="shared" si="202"/>
        <v>802333.3333</v>
      </c>
      <c r="M308" s="99">
        <f t="shared" si="202"/>
        <v>983453.3333</v>
      </c>
      <c r="N308" s="99">
        <f t="shared" si="202"/>
        <v>1063465.6</v>
      </c>
      <c r="O308" s="99">
        <f t="shared" si="202"/>
        <v>972985.548</v>
      </c>
      <c r="P308" s="99">
        <f t="shared" si="202"/>
        <v>992445.259</v>
      </c>
      <c r="Q308" s="99">
        <f t="shared" si="202"/>
        <v>779766.0875</v>
      </c>
      <c r="R308" s="99">
        <f t="shared" si="202"/>
        <v>795361.4093</v>
      </c>
      <c r="S308" s="99">
        <f t="shared" si="202"/>
        <v>811268.6375</v>
      </c>
      <c r="T308" s="99">
        <f t="shared" si="202"/>
        <v>827494.0102</v>
      </c>
      <c r="U308" s="99">
        <f t="shared" si="202"/>
        <v>844043.8904</v>
      </c>
      <c r="V308" s="99">
        <f t="shared" si="202"/>
        <v>860924.7682</v>
      </c>
      <c r="W308" s="99">
        <f t="shared" si="202"/>
        <v>878143.2636</v>
      </c>
      <c r="X308" s="99">
        <f t="shared" si="202"/>
        <v>895706.1289</v>
      </c>
      <c r="Y308" s="99">
        <f t="shared" si="202"/>
        <v>913620.2514</v>
      </c>
      <c r="Z308" s="99">
        <f t="shared" si="202"/>
        <v>931892.6565</v>
      </c>
      <c r="AA308" s="99">
        <f t="shared" si="202"/>
        <v>950530.5096</v>
      </c>
      <c r="AB308" s="99">
        <f t="shared" si="202"/>
        <v>969541.1198</v>
      </c>
      <c r="AC308" s="99">
        <f t="shared" si="202"/>
        <v>988931.9422</v>
      </c>
      <c r="AD308" s="99">
        <f t="shared" si="202"/>
        <v>1008710.581</v>
      </c>
      <c r="AE308" s="99">
        <f t="shared" si="202"/>
        <v>1028884.793</v>
      </c>
      <c r="AF308" s="99">
        <f t="shared" si="202"/>
        <v>1049462.489</v>
      </c>
      <c r="AG308" s="99">
        <f t="shared" si="202"/>
        <v>1070451.738</v>
      </c>
      <c r="AH308" s="99">
        <f t="shared" si="202"/>
        <v>1091860.773</v>
      </c>
      <c r="AI308" s="99">
        <f t="shared" si="202"/>
        <v>1113697.988</v>
      </c>
      <c r="AJ308" s="99">
        <f t="shared" si="202"/>
        <v>1135971.948</v>
      </c>
      <c r="AK308" s="99">
        <f t="shared" si="202"/>
        <v>1158691.387</v>
      </c>
      <c r="AL308" s="99">
        <f t="shared" si="202"/>
        <v>1181865.215</v>
      </c>
      <c r="AM308" s="99">
        <f t="shared" si="202"/>
        <v>1205502.519</v>
      </c>
      <c r="AN308" s="99">
        <f t="shared" si="202"/>
        <v>1229612.57</v>
      </c>
      <c r="AO308" s="99">
        <f t="shared" si="202"/>
        <v>1254204.821</v>
      </c>
      <c r="AP308" s="99">
        <f t="shared" si="202"/>
        <v>1279288.917</v>
      </c>
      <c r="AQ308" s="99">
        <f t="shared" si="202"/>
        <v>1304874.696</v>
      </c>
      <c r="AR308" s="99">
        <f t="shared" si="202"/>
        <v>1330972.19</v>
      </c>
      <c r="AS308" s="99">
        <f t="shared" si="202"/>
        <v>1357591.634</v>
      </c>
      <c r="AT308" s="99">
        <f t="shared" si="202"/>
        <v>1384743.466</v>
      </c>
      <c r="AU308" s="99">
        <f t="shared" si="202"/>
        <v>1412438.336</v>
      </c>
      <c r="AV308" s="99">
        <f t="shared" si="202"/>
        <v>1440687.102</v>
      </c>
      <c r="AW308" s="90"/>
      <c r="AX308" s="90"/>
      <c r="AY308" s="90"/>
      <c r="AZ308" s="90"/>
      <c r="BA308" s="90"/>
      <c r="BB308" s="90"/>
      <c r="BC308" s="90"/>
      <c r="BD308" s="90"/>
      <c r="BE308" s="90"/>
      <c r="BF308" s="90"/>
      <c r="BG308" s="90"/>
      <c r="BH308" s="90"/>
      <c r="BI308" s="90"/>
      <c r="BJ308" s="90"/>
      <c r="BK308" s="90"/>
      <c r="BL308" s="90"/>
      <c r="BM308" s="90"/>
      <c r="BN308" s="90"/>
      <c r="BO308" s="90"/>
      <c r="BP308" s="90"/>
      <c r="BQ308" s="90"/>
    </row>
    <row r="309" ht="12.75" customHeight="1" outlineLevel="1">
      <c r="A309" s="316"/>
      <c r="B309" s="67"/>
      <c r="C309" s="90"/>
      <c r="D309" s="90"/>
      <c r="E309" s="90"/>
      <c r="F309" s="90"/>
      <c r="G309" s="99"/>
      <c r="H309" s="99"/>
      <c r="I309" s="99"/>
      <c r="J309" s="99"/>
      <c r="K309" s="99"/>
      <c r="L309" s="99"/>
      <c r="M309" s="99"/>
      <c r="N309" s="99"/>
      <c r="O309" s="99"/>
      <c r="P309" s="99"/>
      <c r="Q309" s="99"/>
      <c r="R309" s="99"/>
      <c r="S309" s="99"/>
      <c r="T309" s="99"/>
      <c r="U309" s="99"/>
      <c r="V309" s="99"/>
      <c r="W309" s="99"/>
      <c r="X309" s="99"/>
      <c r="Y309" s="99"/>
      <c r="Z309" s="99"/>
      <c r="AA309" s="99"/>
      <c r="AB309" s="99"/>
      <c r="AC309" s="99"/>
      <c r="AD309" s="99"/>
      <c r="AE309" s="99"/>
      <c r="AF309" s="99"/>
      <c r="AG309" s="99"/>
      <c r="AH309" s="99"/>
      <c r="AI309" s="99"/>
      <c r="AJ309" s="99"/>
      <c r="AK309" s="99"/>
      <c r="AL309" s="99"/>
      <c r="AM309" s="99"/>
      <c r="AN309" s="99"/>
      <c r="AO309" s="99"/>
      <c r="AP309" s="99"/>
      <c r="AQ309" s="99"/>
      <c r="AR309" s="99"/>
      <c r="AS309" s="99"/>
      <c r="AT309" s="99"/>
      <c r="AU309" s="99"/>
      <c r="AV309" s="99"/>
      <c r="AW309" s="90"/>
      <c r="AX309" s="90"/>
      <c r="AY309" s="90"/>
      <c r="AZ309" s="90"/>
      <c r="BA309" s="90"/>
      <c r="BB309" s="90"/>
      <c r="BC309" s="90"/>
      <c r="BD309" s="90"/>
      <c r="BE309" s="90"/>
      <c r="BF309" s="90"/>
      <c r="BG309" s="90"/>
      <c r="BH309" s="90"/>
      <c r="BI309" s="90"/>
      <c r="BJ309" s="90"/>
      <c r="BK309" s="90"/>
      <c r="BL309" s="90"/>
      <c r="BM309" s="90"/>
      <c r="BN309" s="90"/>
      <c r="BO309" s="90"/>
      <c r="BP309" s="90"/>
      <c r="BQ309" s="90"/>
    </row>
    <row r="310" ht="12.75" customHeight="1" outlineLevel="1">
      <c r="A310" s="316"/>
      <c r="B310" s="67"/>
      <c r="C310" s="90" t="s">
        <v>805</v>
      </c>
      <c r="D310" s="90"/>
      <c r="E310" s="90"/>
      <c r="F310" s="90"/>
      <c r="G310" s="99"/>
      <c r="H310" s="99"/>
      <c r="I310" s="99"/>
      <c r="J310" s="99"/>
      <c r="K310" s="99"/>
      <c r="L310" s="99"/>
      <c r="M310" s="99"/>
      <c r="N310" s="99"/>
      <c r="O310" s="99"/>
      <c r="P310" s="99"/>
      <c r="Q310" s="99"/>
      <c r="R310" s="99"/>
      <c r="S310" s="99"/>
      <c r="T310" s="99"/>
      <c r="U310" s="99"/>
      <c r="V310" s="99"/>
      <c r="W310" s="99"/>
      <c r="X310" s="99"/>
      <c r="Y310" s="99"/>
      <c r="Z310" s="99"/>
      <c r="AA310" s="99"/>
      <c r="AB310" s="99"/>
      <c r="AC310" s="99"/>
      <c r="AD310" s="99"/>
      <c r="AE310" s="99"/>
      <c r="AF310" s="99"/>
      <c r="AG310" s="99"/>
      <c r="AH310" s="99"/>
      <c r="AI310" s="99"/>
      <c r="AJ310" s="99"/>
      <c r="AK310" s="99"/>
      <c r="AL310" s="99"/>
      <c r="AM310" s="99"/>
      <c r="AN310" s="99"/>
      <c r="AO310" s="99"/>
      <c r="AP310" s="99"/>
      <c r="AQ310" s="99"/>
      <c r="AR310" s="99"/>
      <c r="AS310" s="99"/>
      <c r="AT310" s="99"/>
      <c r="AU310" s="99"/>
      <c r="AV310" s="99"/>
      <c r="AW310" s="90"/>
      <c r="AX310" s="90"/>
      <c r="AY310" s="90"/>
      <c r="AZ310" s="90"/>
      <c r="BA310" s="90"/>
      <c r="BB310" s="90"/>
      <c r="BC310" s="90"/>
      <c r="BD310" s="90"/>
      <c r="BE310" s="90"/>
      <c r="BF310" s="90"/>
      <c r="BG310" s="90"/>
      <c r="BH310" s="90"/>
      <c r="BI310" s="90"/>
      <c r="BJ310" s="90"/>
      <c r="BK310" s="90"/>
      <c r="BL310" s="90"/>
      <c r="BM310" s="90"/>
      <c r="BN310" s="90"/>
      <c r="BO310" s="90"/>
      <c r="BP310" s="90"/>
      <c r="BQ310" s="90"/>
    </row>
    <row r="311" ht="12.75" customHeight="1" outlineLevel="1">
      <c r="A311" s="316"/>
      <c r="B311" s="90"/>
      <c r="C311" s="90"/>
      <c r="D311" s="90" t="s">
        <v>711</v>
      </c>
      <c r="E311" s="90"/>
      <c r="F311" s="90"/>
      <c r="G311" s="99"/>
      <c r="H311" s="99"/>
      <c r="I311" s="99"/>
      <c r="J311" s="99">
        <v>0.0</v>
      </c>
      <c r="K311" s="99">
        <v>16752.31</v>
      </c>
      <c r="L311" s="99">
        <f t="shared" ref="L311:AV311" si="203">L150*L171</f>
        <v>48000</v>
      </c>
      <c r="M311" s="99">
        <f t="shared" si="203"/>
        <v>48960</v>
      </c>
      <c r="N311" s="99">
        <f t="shared" si="203"/>
        <v>49939.2</v>
      </c>
      <c r="O311" s="99">
        <f t="shared" si="203"/>
        <v>50937.984</v>
      </c>
      <c r="P311" s="99">
        <f t="shared" si="203"/>
        <v>51956.74368</v>
      </c>
      <c r="Q311" s="99">
        <f t="shared" si="203"/>
        <v>52995.87855</v>
      </c>
      <c r="R311" s="99">
        <f t="shared" si="203"/>
        <v>54055.79612</v>
      </c>
      <c r="S311" s="99">
        <f t="shared" si="203"/>
        <v>55136.91205</v>
      </c>
      <c r="T311" s="99">
        <f t="shared" si="203"/>
        <v>56239.65029</v>
      </c>
      <c r="U311" s="99">
        <f t="shared" si="203"/>
        <v>57364.44329</v>
      </c>
      <c r="V311" s="99">
        <f t="shared" si="203"/>
        <v>58511.73216</v>
      </c>
      <c r="W311" s="99">
        <f t="shared" si="203"/>
        <v>59681.9668</v>
      </c>
      <c r="X311" s="99">
        <f t="shared" si="203"/>
        <v>60875.60614</v>
      </c>
      <c r="Y311" s="99">
        <f t="shared" si="203"/>
        <v>62093.11826</v>
      </c>
      <c r="Z311" s="99">
        <f t="shared" si="203"/>
        <v>63334.98063</v>
      </c>
      <c r="AA311" s="99">
        <f t="shared" si="203"/>
        <v>64601.68024</v>
      </c>
      <c r="AB311" s="99">
        <f t="shared" si="203"/>
        <v>65893.71384</v>
      </c>
      <c r="AC311" s="99">
        <f t="shared" si="203"/>
        <v>67211.58812</v>
      </c>
      <c r="AD311" s="99">
        <f t="shared" si="203"/>
        <v>68555.81988</v>
      </c>
      <c r="AE311" s="99">
        <f t="shared" si="203"/>
        <v>69926.93628</v>
      </c>
      <c r="AF311" s="99">
        <f t="shared" si="203"/>
        <v>71325.47501</v>
      </c>
      <c r="AG311" s="99">
        <f t="shared" si="203"/>
        <v>72751.98451</v>
      </c>
      <c r="AH311" s="99">
        <f t="shared" si="203"/>
        <v>74207.0242</v>
      </c>
      <c r="AI311" s="99">
        <f t="shared" si="203"/>
        <v>75691.16468</v>
      </c>
      <c r="AJ311" s="99">
        <f t="shared" si="203"/>
        <v>77204.98797</v>
      </c>
      <c r="AK311" s="99">
        <f t="shared" si="203"/>
        <v>78749.08773</v>
      </c>
      <c r="AL311" s="99">
        <f t="shared" si="203"/>
        <v>80324.06949</v>
      </c>
      <c r="AM311" s="99">
        <f t="shared" si="203"/>
        <v>81930.55088</v>
      </c>
      <c r="AN311" s="99">
        <f t="shared" si="203"/>
        <v>83569.1619</v>
      </c>
      <c r="AO311" s="99">
        <f t="shared" si="203"/>
        <v>85240.54513</v>
      </c>
      <c r="AP311" s="99">
        <f t="shared" si="203"/>
        <v>86945.35604</v>
      </c>
      <c r="AQ311" s="99">
        <f t="shared" si="203"/>
        <v>88684.26316</v>
      </c>
      <c r="AR311" s="99">
        <f t="shared" si="203"/>
        <v>90457.94842</v>
      </c>
      <c r="AS311" s="99">
        <f t="shared" si="203"/>
        <v>92267.10739</v>
      </c>
      <c r="AT311" s="99">
        <f t="shared" si="203"/>
        <v>94112.44954</v>
      </c>
      <c r="AU311" s="99">
        <f t="shared" si="203"/>
        <v>95994.69853</v>
      </c>
      <c r="AV311" s="99">
        <f t="shared" si="203"/>
        <v>97914.5925</v>
      </c>
      <c r="AW311" s="90"/>
      <c r="AX311" s="90"/>
      <c r="AY311" s="90"/>
      <c r="AZ311" s="90"/>
      <c r="BA311" s="90"/>
      <c r="BB311" s="90"/>
      <c r="BC311" s="90"/>
      <c r="BD311" s="90"/>
      <c r="BE311" s="90"/>
      <c r="BF311" s="90"/>
      <c r="BG311" s="90"/>
      <c r="BH311" s="90"/>
      <c r="BI311" s="90"/>
      <c r="BJ311" s="90"/>
      <c r="BK311" s="90"/>
      <c r="BL311" s="90"/>
      <c r="BM311" s="90"/>
      <c r="BN311" s="90"/>
      <c r="BO311" s="90"/>
      <c r="BP311" s="90"/>
      <c r="BQ311" s="90"/>
    </row>
    <row r="312" ht="12.75" customHeight="1" outlineLevel="1">
      <c r="A312" s="316"/>
      <c r="B312" s="90"/>
      <c r="C312" s="90"/>
      <c r="D312" s="90" t="s">
        <v>712</v>
      </c>
      <c r="E312" s="90"/>
      <c r="F312" s="90"/>
      <c r="G312" s="99"/>
      <c r="H312" s="99"/>
      <c r="I312" s="99"/>
      <c r="J312" s="99">
        <v>0.0</v>
      </c>
      <c r="K312" s="99">
        <f t="shared" ref="K312:AV312" si="204">K151*K172</f>
        <v>0</v>
      </c>
      <c r="L312" s="99">
        <f t="shared" si="204"/>
        <v>50000</v>
      </c>
      <c r="M312" s="99">
        <f t="shared" si="204"/>
        <v>51000</v>
      </c>
      <c r="N312" s="99">
        <f t="shared" si="204"/>
        <v>52020</v>
      </c>
      <c r="O312" s="99">
        <f t="shared" si="204"/>
        <v>53060.4</v>
      </c>
      <c r="P312" s="99">
        <f t="shared" si="204"/>
        <v>54121.608</v>
      </c>
      <c r="Q312" s="99">
        <f t="shared" si="204"/>
        <v>55204.04016</v>
      </c>
      <c r="R312" s="99">
        <f t="shared" si="204"/>
        <v>56308.12096</v>
      </c>
      <c r="S312" s="99">
        <f t="shared" si="204"/>
        <v>57434.28338</v>
      </c>
      <c r="T312" s="99">
        <f t="shared" si="204"/>
        <v>58582.96905</v>
      </c>
      <c r="U312" s="99">
        <f t="shared" si="204"/>
        <v>59754.62843</v>
      </c>
      <c r="V312" s="99">
        <f t="shared" si="204"/>
        <v>60949.721</v>
      </c>
      <c r="W312" s="99">
        <f t="shared" si="204"/>
        <v>62168.71542</v>
      </c>
      <c r="X312" s="99">
        <f t="shared" si="204"/>
        <v>63412.08973</v>
      </c>
      <c r="Y312" s="99">
        <f t="shared" si="204"/>
        <v>64680.33152</v>
      </c>
      <c r="Z312" s="99">
        <f t="shared" si="204"/>
        <v>65973.93815</v>
      </c>
      <c r="AA312" s="99">
        <f t="shared" si="204"/>
        <v>67293.41692</v>
      </c>
      <c r="AB312" s="99">
        <f t="shared" si="204"/>
        <v>68639.28525</v>
      </c>
      <c r="AC312" s="99">
        <f t="shared" si="204"/>
        <v>70012.07096</v>
      </c>
      <c r="AD312" s="99">
        <f t="shared" si="204"/>
        <v>71412.31238</v>
      </c>
      <c r="AE312" s="99">
        <f t="shared" si="204"/>
        <v>72840.55863</v>
      </c>
      <c r="AF312" s="99">
        <f t="shared" si="204"/>
        <v>74297.3698</v>
      </c>
      <c r="AG312" s="99">
        <f t="shared" si="204"/>
        <v>75783.31719</v>
      </c>
      <c r="AH312" s="99">
        <f t="shared" si="204"/>
        <v>77298.98354</v>
      </c>
      <c r="AI312" s="99">
        <f t="shared" si="204"/>
        <v>78844.96321</v>
      </c>
      <c r="AJ312" s="99">
        <f t="shared" si="204"/>
        <v>80421.86247</v>
      </c>
      <c r="AK312" s="99">
        <f t="shared" si="204"/>
        <v>82030.29972</v>
      </c>
      <c r="AL312" s="99">
        <f t="shared" si="204"/>
        <v>83670.90572</v>
      </c>
      <c r="AM312" s="99">
        <f t="shared" si="204"/>
        <v>85344.32383</v>
      </c>
      <c r="AN312" s="99">
        <f t="shared" si="204"/>
        <v>87051.21031</v>
      </c>
      <c r="AO312" s="99">
        <f t="shared" si="204"/>
        <v>88792.23451</v>
      </c>
      <c r="AP312" s="99">
        <f t="shared" si="204"/>
        <v>90568.07921</v>
      </c>
      <c r="AQ312" s="99">
        <f t="shared" si="204"/>
        <v>92379.44079</v>
      </c>
      <c r="AR312" s="99">
        <f t="shared" si="204"/>
        <v>94227.02961</v>
      </c>
      <c r="AS312" s="99">
        <f t="shared" si="204"/>
        <v>96111.5702</v>
      </c>
      <c r="AT312" s="99">
        <f t="shared" si="204"/>
        <v>98033.8016</v>
      </c>
      <c r="AU312" s="99">
        <f t="shared" si="204"/>
        <v>99994.47763</v>
      </c>
      <c r="AV312" s="99">
        <f t="shared" si="204"/>
        <v>101994.3672</v>
      </c>
      <c r="AW312" s="90"/>
      <c r="AX312" s="90"/>
      <c r="AY312" s="90"/>
      <c r="AZ312" s="90"/>
      <c r="BA312" s="90"/>
      <c r="BB312" s="90"/>
      <c r="BC312" s="90"/>
      <c r="BD312" s="90"/>
      <c r="BE312" s="90"/>
      <c r="BF312" s="90"/>
      <c r="BG312" s="90"/>
      <c r="BH312" s="90"/>
      <c r="BI312" s="90"/>
      <c r="BJ312" s="90"/>
      <c r="BK312" s="90"/>
      <c r="BL312" s="90"/>
      <c r="BM312" s="90"/>
      <c r="BN312" s="90"/>
      <c r="BO312" s="90"/>
      <c r="BP312" s="90"/>
      <c r="BQ312" s="90"/>
    </row>
    <row r="313" ht="12.75" customHeight="1" outlineLevel="1">
      <c r="A313" s="316"/>
      <c r="B313" s="67"/>
      <c r="C313" s="90"/>
      <c r="D313" s="90" t="s">
        <v>713</v>
      </c>
      <c r="E313" s="90"/>
      <c r="F313" s="90"/>
      <c r="G313" s="99"/>
      <c r="H313" s="99"/>
      <c r="I313" s="99"/>
      <c r="J313" s="99">
        <v>0.0</v>
      </c>
      <c r="K313" s="99">
        <f t="shared" ref="K313:AV313" si="205">K152*K173</f>
        <v>0</v>
      </c>
      <c r="L313" s="99">
        <f t="shared" si="205"/>
        <v>21600</v>
      </c>
      <c r="M313" s="99">
        <f t="shared" si="205"/>
        <v>22032</v>
      </c>
      <c r="N313" s="99">
        <f t="shared" si="205"/>
        <v>22472.64</v>
      </c>
      <c r="O313" s="99">
        <f t="shared" si="205"/>
        <v>22922.0928</v>
      </c>
      <c r="P313" s="99">
        <f t="shared" si="205"/>
        <v>23380.53466</v>
      </c>
      <c r="Q313" s="99">
        <f t="shared" si="205"/>
        <v>23848.14535</v>
      </c>
      <c r="R313" s="99">
        <f t="shared" si="205"/>
        <v>24325.10826</v>
      </c>
      <c r="S313" s="99">
        <f t="shared" si="205"/>
        <v>24811.61042</v>
      </c>
      <c r="T313" s="99">
        <f t="shared" si="205"/>
        <v>25307.84263</v>
      </c>
      <c r="U313" s="99">
        <f t="shared" si="205"/>
        <v>25813.99948</v>
      </c>
      <c r="V313" s="99">
        <f t="shared" si="205"/>
        <v>26330.27947</v>
      </c>
      <c r="W313" s="99">
        <f t="shared" si="205"/>
        <v>26856.88506</v>
      </c>
      <c r="X313" s="99">
        <f t="shared" si="205"/>
        <v>27394.02276</v>
      </c>
      <c r="Y313" s="99">
        <f t="shared" si="205"/>
        <v>27941.90322</v>
      </c>
      <c r="Z313" s="99">
        <f t="shared" si="205"/>
        <v>28500.74128</v>
      </c>
      <c r="AA313" s="99">
        <f t="shared" si="205"/>
        <v>29070.75611</v>
      </c>
      <c r="AB313" s="99">
        <f t="shared" si="205"/>
        <v>29652.17123</v>
      </c>
      <c r="AC313" s="99">
        <f t="shared" si="205"/>
        <v>30245.21465</v>
      </c>
      <c r="AD313" s="99">
        <f t="shared" si="205"/>
        <v>30850.11895</v>
      </c>
      <c r="AE313" s="99">
        <f t="shared" si="205"/>
        <v>31467.12133</v>
      </c>
      <c r="AF313" s="99">
        <f t="shared" si="205"/>
        <v>32096.46375</v>
      </c>
      <c r="AG313" s="99">
        <f t="shared" si="205"/>
        <v>32738.39303</v>
      </c>
      <c r="AH313" s="99">
        <f t="shared" si="205"/>
        <v>33393.16089</v>
      </c>
      <c r="AI313" s="99">
        <f t="shared" si="205"/>
        <v>34061.02411</v>
      </c>
      <c r="AJ313" s="99">
        <f t="shared" si="205"/>
        <v>34742.24459</v>
      </c>
      <c r="AK313" s="99">
        <f t="shared" si="205"/>
        <v>35437.08948</v>
      </c>
      <c r="AL313" s="99">
        <f t="shared" si="205"/>
        <v>36145.83127</v>
      </c>
      <c r="AM313" s="99">
        <f t="shared" si="205"/>
        <v>36868.7479</v>
      </c>
      <c r="AN313" s="99">
        <f t="shared" si="205"/>
        <v>37606.12285</v>
      </c>
      <c r="AO313" s="99">
        <f t="shared" si="205"/>
        <v>38358.24531</v>
      </c>
      <c r="AP313" s="99">
        <f t="shared" si="205"/>
        <v>39125.41022</v>
      </c>
      <c r="AQ313" s="99">
        <f t="shared" si="205"/>
        <v>39907.91842</v>
      </c>
      <c r="AR313" s="99">
        <f t="shared" si="205"/>
        <v>40706.07679</v>
      </c>
      <c r="AS313" s="99">
        <f t="shared" si="205"/>
        <v>41520.19833</v>
      </c>
      <c r="AT313" s="99">
        <f t="shared" si="205"/>
        <v>42350.60229</v>
      </c>
      <c r="AU313" s="99">
        <f t="shared" si="205"/>
        <v>43197.61434</v>
      </c>
      <c r="AV313" s="99">
        <f t="shared" si="205"/>
        <v>44061.56662</v>
      </c>
      <c r="AW313" s="90"/>
      <c r="AX313" s="90"/>
      <c r="AY313" s="90"/>
      <c r="AZ313" s="90"/>
      <c r="BA313" s="90"/>
      <c r="BB313" s="90"/>
      <c r="BC313" s="90"/>
      <c r="BD313" s="90"/>
      <c r="BE313" s="90"/>
      <c r="BF313" s="90"/>
      <c r="BG313" s="90"/>
      <c r="BH313" s="90"/>
      <c r="BI313" s="90"/>
      <c r="BJ313" s="90"/>
      <c r="BK313" s="90"/>
      <c r="BL313" s="90"/>
      <c r="BM313" s="90"/>
      <c r="BN313" s="90"/>
      <c r="BO313" s="90"/>
      <c r="BP313" s="90"/>
      <c r="BQ313" s="90"/>
    </row>
    <row r="314" ht="12.75" customHeight="1" outlineLevel="1">
      <c r="A314" s="316"/>
      <c r="B314" s="67"/>
      <c r="C314" s="87"/>
      <c r="D314" s="87" t="s">
        <v>714</v>
      </c>
      <c r="E314" s="87"/>
      <c r="F314" s="87"/>
      <c r="G314" s="125"/>
      <c r="H314" s="125"/>
      <c r="I314" s="125"/>
      <c r="J314" s="125">
        <v>0.0</v>
      </c>
      <c r="K314" s="125">
        <f t="shared" ref="K314:AV314" si="206">K153*K174</f>
        <v>0</v>
      </c>
      <c r="L314" s="125">
        <f t="shared" si="206"/>
        <v>39600</v>
      </c>
      <c r="M314" s="125">
        <f t="shared" si="206"/>
        <v>40392</v>
      </c>
      <c r="N314" s="125">
        <f t="shared" si="206"/>
        <v>41199.84</v>
      </c>
      <c r="O314" s="125">
        <f t="shared" si="206"/>
        <v>42023.8368</v>
      </c>
      <c r="P314" s="125">
        <f t="shared" si="206"/>
        <v>42864.31354</v>
      </c>
      <c r="Q314" s="125">
        <f t="shared" si="206"/>
        <v>43721.59981</v>
      </c>
      <c r="R314" s="125">
        <f t="shared" si="206"/>
        <v>44596.0318</v>
      </c>
      <c r="S314" s="125">
        <f t="shared" si="206"/>
        <v>45487.95244</v>
      </c>
      <c r="T314" s="125">
        <f t="shared" si="206"/>
        <v>46397.71149</v>
      </c>
      <c r="U314" s="125">
        <f t="shared" si="206"/>
        <v>47325.66572</v>
      </c>
      <c r="V314" s="125">
        <f t="shared" si="206"/>
        <v>48272.17903</v>
      </c>
      <c r="W314" s="125">
        <f t="shared" si="206"/>
        <v>49237.62261</v>
      </c>
      <c r="X314" s="125">
        <f t="shared" si="206"/>
        <v>50222.37506</v>
      </c>
      <c r="Y314" s="125">
        <f t="shared" si="206"/>
        <v>51226.82257</v>
      </c>
      <c r="Z314" s="125">
        <f t="shared" si="206"/>
        <v>52251.35902</v>
      </c>
      <c r="AA314" s="125">
        <f t="shared" si="206"/>
        <v>53296.3862</v>
      </c>
      <c r="AB314" s="125">
        <f t="shared" si="206"/>
        <v>54362.31392</v>
      </c>
      <c r="AC314" s="125">
        <f t="shared" si="206"/>
        <v>55449.5602</v>
      </c>
      <c r="AD314" s="125">
        <f t="shared" si="206"/>
        <v>56558.5514</v>
      </c>
      <c r="AE314" s="125">
        <f t="shared" si="206"/>
        <v>57689.72243</v>
      </c>
      <c r="AF314" s="125">
        <f t="shared" si="206"/>
        <v>58843.51688</v>
      </c>
      <c r="AG314" s="125">
        <f t="shared" si="206"/>
        <v>60020.38722</v>
      </c>
      <c r="AH314" s="125">
        <f t="shared" si="206"/>
        <v>61220.79496</v>
      </c>
      <c r="AI314" s="125">
        <f t="shared" si="206"/>
        <v>62445.21086</v>
      </c>
      <c r="AJ314" s="125">
        <f t="shared" si="206"/>
        <v>63694.11508</v>
      </c>
      <c r="AK314" s="125">
        <f t="shared" si="206"/>
        <v>64967.99738</v>
      </c>
      <c r="AL314" s="125">
        <f t="shared" si="206"/>
        <v>66267.35733</v>
      </c>
      <c r="AM314" s="125">
        <f t="shared" si="206"/>
        <v>67592.70447</v>
      </c>
      <c r="AN314" s="125">
        <f t="shared" si="206"/>
        <v>68944.55856</v>
      </c>
      <c r="AO314" s="125">
        <f t="shared" si="206"/>
        <v>70323.44974</v>
      </c>
      <c r="AP314" s="125">
        <f t="shared" si="206"/>
        <v>71729.91873</v>
      </c>
      <c r="AQ314" s="125">
        <f t="shared" si="206"/>
        <v>73164.51711</v>
      </c>
      <c r="AR314" s="125">
        <f t="shared" si="206"/>
        <v>74627.80745</v>
      </c>
      <c r="AS314" s="125">
        <f t="shared" si="206"/>
        <v>76120.3636</v>
      </c>
      <c r="AT314" s="125">
        <f t="shared" si="206"/>
        <v>77642.77087</v>
      </c>
      <c r="AU314" s="125">
        <f t="shared" si="206"/>
        <v>79195.62629</v>
      </c>
      <c r="AV314" s="125">
        <f t="shared" si="206"/>
        <v>80779.53881</v>
      </c>
      <c r="AW314" s="87"/>
      <c r="AX314" s="90"/>
      <c r="AY314" s="90"/>
      <c r="AZ314" s="90"/>
      <c r="BA314" s="90"/>
      <c r="BB314" s="90"/>
      <c r="BC314" s="90"/>
      <c r="BD314" s="90"/>
      <c r="BE314" s="90"/>
      <c r="BF314" s="90"/>
      <c r="BG314" s="90"/>
      <c r="BH314" s="90"/>
      <c r="BI314" s="90"/>
      <c r="BJ314" s="90"/>
      <c r="BK314" s="90"/>
      <c r="BL314" s="90"/>
      <c r="BM314" s="90"/>
      <c r="BN314" s="90"/>
      <c r="BO314" s="90"/>
      <c r="BP314" s="90"/>
      <c r="BQ314" s="90"/>
    </row>
    <row r="315" ht="12.75" customHeight="1" outlineLevel="1">
      <c r="A315" s="316"/>
      <c r="B315" s="67"/>
      <c r="C315" s="90" t="s">
        <v>806</v>
      </c>
      <c r="D315" s="90"/>
      <c r="E315" s="90"/>
      <c r="F315" s="90"/>
      <c r="G315" s="99"/>
      <c r="H315" s="99"/>
      <c r="I315" s="99"/>
      <c r="J315" s="99">
        <v>0.0</v>
      </c>
      <c r="K315" s="99">
        <f t="shared" ref="K315:AV315" si="207">SUM(K311:K314)</f>
        <v>16752.31</v>
      </c>
      <c r="L315" s="99">
        <f t="shared" si="207"/>
        <v>159200</v>
      </c>
      <c r="M315" s="99">
        <f t="shared" si="207"/>
        <v>162384</v>
      </c>
      <c r="N315" s="99">
        <f t="shared" si="207"/>
        <v>165631.68</v>
      </c>
      <c r="O315" s="99">
        <f t="shared" si="207"/>
        <v>168944.3136</v>
      </c>
      <c r="P315" s="99">
        <f t="shared" si="207"/>
        <v>172323.1999</v>
      </c>
      <c r="Q315" s="99">
        <f t="shared" si="207"/>
        <v>175769.6639</v>
      </c>
      <c r="R315" s="99">
        <f t="shared" si="207"/>
        <v>179285.0571</v>
      </c>
      <c r="S315" s="99">
        <f t="shared" si="207"/>
        <v>182870.7583</v>
      </c>
      <c r="T315" s="99">
        <f t="shared" si="207"/>
        <v>186528.1735</v>
      </c>
      <c r="U315" s="99">
        <f t="shared" si="207"/>
        <v>190258.7369</v>
      </c>
      <c r="V315" s="99">
        <f t="shared" si="207"/>
        <v>194063.9117</v>
      </c>
      <c r="W315" s="99">
        <f t="shared" si="207"/>
        <v>197945.1899</v>
      </c>
      <c r="X315" s="99">
        <f t="shared" si="207"/>
        <v>201904.0937</v>
      </c>
      <c r="Y315" s="99">
        <f t="shared" si="207"/>
        <v>205942.1756</v>
      </c>
      <c r="Z315" s="99">
        <f t="shared" si="207"/>
        <v>210061.0191</v>
      </c>
      <c r="AA315" s="99">
        <f t="shared" si="207"/>
        <v>214262.2395</v>
      </c>
      <c r="AB315" s="99">
        <f t="shared" si="207"/>
        <v>218547.4843</v>
      </c>
      <c r="AC315" s="99">
        <f t="shared" si="207"/>
        <v>222918.4339</v>
      </c>
      <c r="AD315" s="99">
        <f t="shared" si="207"/>
        <v>227376.8026</v>
      </c>
      <c r="AE315" s="99">
        <f t="shared" si="207"/>
        <v>231924.3387</v>
      </c>
      <c r="AF315" s="99">
        <f t="shared" si="207"/>
        <v>236562.8254</v>
      </c>
      <c r="AG315" s="99">
        <f t="shared" si="207"/>
        <v>241294.0819</v>
      </c>
      <c r="AH315" s="99">
        <f t="shared" si="207"/>
        <v>246119.9636</v>
      </c>
      <c r="AI315" s="99">
        <f t="shared" si="207"/>
        <v>251042.3629</v>
      </c>
      <c r="AJ315" s="99">
        <f t="shared" si="207"/>
        <v>256063.2101</v>
      </c>
      <c r="AK315" s="99">
        <f t="shared" si="207"/>
        <v>261184.4743</v>
      </c>
      <c r="AL315" s="99">
        <f t="shared" si="207"/>
        <v>266408.1638</v>
      </c>
      <c r="AM315" s="99">
        <f t="shared" si="207"/>
        <v>271736.3271</v>
      </c>
      <c r="AN315" s="99">
        <f t="shared" si="207"/>
        <v>277171.0536</v>
      </c>
      <c r="AO315" s="99">
        <f t="shared" si="207"/>
        <v>282714.4747</v>
      </c>
      <c r="AP315" s="99">
        <f t="shared" si="207"/>
        <v>288368.7642</v>
      </c>
      <c r="AQ315" s="99">
        <f t="shared" si="207"/>
        <v>294136.1395</v>
      </c>
      <c r="AR315" s="99">
        <f t="shared" si="207"/>
        <v>300018.8623</v>
      </c>
      <c r="AS315" s="99">
        <f t="shared" si="207"/>
        <v>306019.2395</v>
      </c>
      <c r="AT315" s="99">
        <f t="shared" si="207"/>
        <v>312139.6243</v>
      </c>
      <c r="AU315" s="99">
        <f t="shared" si="207"/>
        <v>318382.4168</v>
      </c>
      <c r="AV315" s="99">
        <f t="shared" si="207"/>
        <v>324750.0651</v>
      </c>
      <c r="AW315" s="90"/>
      <c r="AX315" s="90"/>
      <c r="AY315" s="90"/>
      <c r="AZ315" s="90"/>
      <c r="BA315" s="90"/>
      <c r="BB315" s="90"/>
      <c r="BC315" s="90"/>
      <c r="BD315" s="90"/>
      <c r="BE315" s="90"/>
      <c r="BF315" s="90"/>
      <c r="BG315" s="90"/>
      <c r="BH315" s="90"/>
      <c r="BI315" s="90"/>
      <c r="BJ315" s="90"/>
      <c r="BK315" s="90"/>
      <c r="BL315" s="90"/>
      <c r="BM315" s="90"/>
      <c r="BN315" s="90"/>
      <c r="BO315" s="90"/>
      <c r="BP315" s="90"/>
      <c r="BQ315" s="90"/>
    </row>
    <row r="316" ht="12.75" customHeight="1" outlineLevel="1">
      <c r="A316" s="316"/>
      <c r="B316" s="67"/>
      <c r="C316" s="90"/>
      <c r="D316" s="90"/>
      <c r="E316" s="90"/>
      <c r="F316" s="90"/>
      <c r="G316" s="99"/>
      <c r="H316" s="99"/>
      <c r="I316" s="99"/>
      <c r="J316" s="99"/>
      <c r="K316" s="99"/>
      <c r="L316" s="99"/>
      <c r="M316" s="99"/>
      <c r="N316" s="99"/>
      <c r="O316" s="99"/>
      <c r="P316" s="99"/>
      <c r="Q316" s="99"/>
      <c r="R316" s="99"/>
      <c r="S316" s="99"/>
      <c r="T316" s="99"/>
      <c r="U316" s="99"/>
      <c r="V316" s="99"/>
      <c r="W316" s="99"/>
      <c r="X316" s="99"/>
      <c r="Y316" s="99"/>
      <c r="Z316" s="99"/>
      <c r="AA316" s="99"/>
      <c r="AB316" s="99"/>
      <c r="AC316" s="99"/>
      <c r="AD316" s="99"/>
      <c r="AE316" s="99"/>
      <c r="AF316" s="99"/>
      <c r="AG316" s="99"/>
      <c r="AH316" s="99"/>
      <c r="AI316" s="99"/>
      <c r="AJ316" s="99"/>
      <c r="AK316" s="99"/>
      <c r="AL316" s="99"/>
      <c r="AM316" s="99"/>
      <c r="AN316" s="99"/>
      <c r="AO316" s="99"/>
      <c r="AP316" s="99"/>
      <c r="AQ316" s="99"/>
      <c r="AR316" s="99"/>
      <c r="AS316" s="99"/>
      <c r="AT316" s="99"/>
      <c r="AU316" s="99"/>
      <c r="AV316" s="99"/>
      <c r="AW316" s="90"/>
      <c r="AX316" s="90"/>
      <c r="AY316" s="90"/>
      <c r="AZ316" s="90"/>
      <c r="BA316" s="90"/>
      <c r="BB316" s="90"/>
      <c r="BC316" s="90"/>
      <c r="BD316" s="90"/>
      <c r="BE316" s="90"/>
      <c r="BF316" s="90"/>
      <c r="BG316" s="90"/>
      <c r="BH316" s="90"/>
      <c r="BI316" s="90"/>
      <c r="BJ316" s="90"/>
      <c r="BK316" s="90"/>
      <c r="BL316" s="90"/>
      <c r="BM316" s="90"/>
      <c r="BN316" s="90"/>
      <c r="BO316" s="90"/>
      <c r="BP316" s="90"/>
      <c r="BQ316" s="90"/>
    </row>
    <row r="317" ht="12.75" customHeight="1" outlineLevel="1">
      <c r="A317" s="316"/>
      <c r="B317" s="67"/>
      <c r="C317" s="90" t="s">
        <v>807</v>
      </c>
      <c r="D317" s="90"/>
      <c r="E317" s="90"/>
      <c r="F317" s="90"/>
      <c r="G317" s="99"/>
      <c r="H317" s="99"/>
      <c r="I317" s="99"/>
      <c r="J317" s="99">
        <v>0.0</v>
      </c>
      <c r="K317" s="99">
        <v>16000.0</v>
      </c>
      <c r="L317" s="99">
        <f>(L308+L311)*L177*L178+L179</f>
        <v>100066.6667</v>
      </c>
      <c r="M317" s="99">
        <f t="shared" ref="M317:AV317" si="208">SUM(M308+M315)*M177*M178+M179</f>
        <v>132917.0667</v>
      </c>
      <c r="N317" s="99">
        <f t="shared" si="208"/>
        <v>141609.728</v>
      </c>
      <c r="O317" s="99">
        <f t="shared" si="208"/>
        <v>133266.9862</v>
      </c>
      <c r="P317" s="99">
        <f t="shared" si="208"/>
        <v>135932.3259</v>
      </c>
      <c r="Q317" s="99">
        <f t="shared" si="208"/>
        <v>115398.1647</v>
      </c>
      <c r="R317" s="99">
        <f t="shared" si="208"/>
        <v>117706.128</v>
      </c>
      <c r="S317" s="99">
        <f t="shared" si="208"/>
        <v>120060.2506</v>
      </c>
      <c r="T317" s="99">
        <f t="shared" si="208"/>
        <v>122461.4556</v>
      </c>
      <c r="U317" s="99">
        <f t="shared" si="208"/>
        <v>124910.6847</v>
      </c>
      <c r="V317" s="99">
        <f t="shared" si="208"/>
        <v>127408.8984</v>
      </c>
      <c r="W317" s="99">
        <f t="shared" si="208"/>
        <v>129957.0764</v>
      </c>
      <c r="X317" s="99">
        <f t="shared" si="208"/>
        <v>132556.2179</v>
      </c>
      <c r="Y317" s="99">
        <f t="shared" si="208"/>
        <v>135207.3423</v>
      </c>
      <c r="Z317" s="99">
        <f t="shared" si="208"/>
        <v>137911.4891</v>
      </c>
      <c r="AA317" s="99">
        <f t="shared" si="208"/>
        <v>140669.7189</v>
      </c>
      <c r="AB317" s="99">
        <f t="shared" si="208"/>
        <v>143483.1133</v>
      </c>
      <c r="AC317" s="99">
        <f t="shared" si="208"/>
        <v>146352.7755</v>
      </c>
      <c r="AD317" s="99">
        <f t="shared" si="208"/>
        <v>149279.831</v>
      </c>
      <c r="AE317" s="99">
        <f t="shared" si="208"/>
        <v>152265.4277</v>
      </c>
      <c r="AF317" s="99">
        <f t="shared" si="208"/>
        <v>155310.7362</v>
      </c>
      <c r="AG317" s="99">
        <f t="shared" si="208"/>
        <v>158416.9509</v>
      </c>
      <c r="AH317" s="99">
        <f t="shared" si="208"/>
        <v>161585.29</v>
      </c>
      <c r="AI317" s="99">
        <f t="shared" si="208"/>
        <v>164816.9958</v>
      </c>
      <c r="AJ317" s="99">
        <f t="shared" si="208"/>
        <v>168113.3357</v>
      </c>
      <c r="AK317" s="99">
        <f t="shared" si="208"/>
        <v>171475.6024</v>
      </c>
      <c r="AL317" s="99">
        <f t="shared" si="208"/>
        <v>174905.1144</v>
      </c>
      <c r="AM317" s="99">
        <f t="shared" si="208"/>
        <v>178403.2167</v>
      </c>
      <c r="AN317" s="99">
        <f t="shared" si="208"/>
        <v>181971.2811</v>
      </c>
      <c r="AO317" s="99">
        <f t="shared" si="208"/>
        <v>185610.7067</v>
      </c>
      <c r="AP317" s="99">
        <f t="shared" si="208"/>
        <v>189322.9208</v>
      </c>
      <c r="AQ317" s="99">
        <f t="shared" si="208"/>
        <v>193109.3792</v>
      </c>
      <c r="AR317" s="99">
        <f t="shared" si="208"/>
        <v>196971.5668</v>
      </c>
      <c r="AS317" s="99">
        <f t="shared" si="208"/>
        <v>200910.9982</v>
      </c>
      <c r="AT317" s="99">
        <f t="shared" si="208"/>
        <v>204929.2181</v>
      </c>
      <c r="AU317" s="99">
        <f t="shared" si="208"/>
        <v>209027.8025</v>
      </c>
      <c r="AV317" s="99">
        <f t="shared" si="208"/>
        <v>213208.3585</v>
      </c>
      <c r="AW317" s="90"/>
      <c r="AX317" s="90"/>
      <c r="AY317" s="90"/>
      <c r="AZ317" s="90"/>
      <c r="BA317" s="90"/>
      <c r="BB317" s="90"/>
      <c r="BC317" s="90"/>
      <c r="BD317" s="90"/>
      <c r="BE317" s="90"/>
      <c r="BF317" s="90"/>
      <c r="BG317" s="90"/>
      <c r="BH317" s="90"/>
      <c r="BI317" s="90"/>
      <c r="BJ317" s="90"/>
      <c r="BK317" s="90"/>
      <c r="BL317" s="90"/>
      <c r="BM317" s="90"/>
      <c r="BN317" s="90"/>
      <c r="BO317" s="90"/>
      <c r="BP317" s="90"/>
      <c r="BQ317" s="90"/>
    </row>
    <row r="318" ht="12.75" customHeight="1" outlineLevel="1">
      <c r="A318" s="316"/>
      <c r="B318" s="87"/>
      <c r="C318" s="87"/>
      <c r="D318" s="87"/>
      <c r="E318" s="87"/>
      <c r="F318" s="87"/>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c r="AT318" s="125"/>
      <c r="AU318" s="125"/>
      <c r="AV318" s="125"/>
      <c r="AW318" s="87"/>
      <c r="AX318" s="90"/>
      <c r="AY318" s="90"/>
      <c r="AZ318" s="90"/>
      <c r="BA318" s="90"/>
      <c r="BB318" s="90"/>
      <c r="BC318" s="99"/>
      <c r="BD318" s="90"/>
      <c r="BE318" s="90"/>
      <c r="BF318" s="90"/>
      <c r="BG318" s="90"/>
      <c r="BH318" s="90"/>
      <c r="BI318" s="90"/>
      <c r="BJ318" s="90"/>
      <c r="BK318" s="90"/>
      <c r="BL318" s="90"/>
      <c r="BM318" s="90"/>
      <c r="BN318" s="90"/>
      <c r="BO318" s="90"/>
      <c r="BP318" s="90"/>
      <c r="BQ318" s="90"/>
    </row>
    <row r="319" ht="12.75" customHeight="1" outlineLevel="1">
      <c r="A319" s="316"/>
      <c r="B319" s="67" t="s">
        <v>312</v>
      </c>
      <c r="C319" s="90"/>
      <c r="D319" s="90"/>
      <c r="E319" s="90"/>
      <c r="F319" s="90"/>
      <c r="G319" s="79"/>
      <c r="H319" s="79"/>
      <c r="I319" s="79"/>
      <c r="J319" s="79">
        <v>0.0</v>
      </c>
      <c r="K319" s="79">
        <f t="shared" ref="K319:AV319" si="209">K315+K308+K317</f>
        <v>121348.54</v>
      </c>
      <c r="L319" s="79">
        <f t="shared" si="209"/>
        <v>1061600</v>
      </c>
      <c r="M319" s="79">
        <f t="shared" si="209"/>
        <v>1278754.4</v>
      </c>
      <c r="N319" s="79">
        <f t="shared" si="209"/>
        <v>1370707.008</v>
      </c>
      <c r="O319" s="79">
        <f t="shared" si="209"/>
        <v>1275196.848</v>
      </c>
      <c r="P319" s="79">
        <f t="shared" si="209"/>
        <v>1300700.785</v>
      </c>
      <c r="Q319" s="79">
        <f t="shared" si="209"/>
        <v>1070933.916</v>
      </c>
      <c r="R319" s="79">
        <f t="shared" si="209"/>
        <v>1092352.594</v>
      </c>
      <c r="S319" s="79">
        <f t="shared" si="209"/>
        <v>1114199.646</v>
      </c>
      <c r="T319" s="79">
        <f t="shared" si="209"/>
        <v>1136483.639</v>
      </c>
      <c r="U319" s="79">
        <f t="shared" si="209"/>
        <v>1159213.312</v>
      </c>
      <c r="V319" s="79">
        <f t="shared" si="209"/>
        <v>1182397.578</v>
      </c>
      <c r="W319" s="79">
        <f t="shared" si="209"/>
        <v>1206045.53</v>
      </c>
      <c r="X319" s="79">
        <f t="shared" si="209"/>
        <v>1230166.44</v>
      </c>
      <c r="Y319" s="79">
        <f t="shared" si="209"/>
        <v>1254769.769</v>
      </c>
      <c r="Z319" s="79">
        <f t="shared" si="209"/>
        <v>1279865.165</v>
      </c>
      <c r="AA319" s="79">
        <f t="shared" si="209"/>
        <v>1305462.468</v>
      </c>
      <c r="AB319" s="79">
        <f t="shared" si="209"/>
        <v>1331571.717</v>
      </c>
      <c r="AC319" s="79">
        <f t="shared" si="209"/>
        <v>1358203.152</v>
      </c>
      <c r="AD319" s="79">
        <f t="shared" si="209"/>
        <v>1385367.215</v>
      </c>
      <c r="AE319" s="79">
        <f t="shared" si="209"/>
        <v>1413074.559</v>
      </c>
      <c r="AF319" s="79">
        <f t="shared" si="209"/>
        <v>1441336.05</v>
      </c>
      <c r="AG319" s="79">
        <f t="shared" si="209"/>
        <v>1470162.771</v>
      </c>
      <c r="AH319" s="79">
        <f t="shared" si="209"/>
        <v>1499566.027</v>
      </c>
      <c r="AI319" s="79">
        <f t="shared" si="209"/>
        <v>1529557.347</v>
      </c>
      <c r="AJ319" s="79">
        <f t="shared" si="209"/>
        <v>1560148.494</v>
      </c>
      <c r="AK319" s="79">
        <f t="shared" si="209"/>
        <v>1591351.464</v>
      </c>
      <c r="AL319" s="79">
        <f t="shared" si="209"/>
        <v>1623178.493</v>
      </c>
      <c r="AM319" s="79">
        <f t="shared" si="209"/>
        <v>1655642.063</v>
      </c>
      <c r="AN319" s="79">
        <f t="shared" si="209"/>
        <v>1688754.904</v>
      </c>
      <c r="AO319" s="79">
        <f t="shared" si="209"/>
        <v>1722530.002</v>
      </c>
      <c r="AP319" s="79">
        <f t="shared" si="209"/>
        <v>1756980.602</v>
      </c>
      <c r="AQ319" s="79">
        <f t="shared" si="209"/>
        <v>1792120.215</v>
      </c>
      <c r="AR319" s="79">
        <f t="shared" si="209"/>
        <v>1827962.619</v>
      </c>
      <c r="AS319" s="79">
        <f t="shared" si="209"/>
        <v>1864521.871</v>
      </c>
      <c r="AT319" s="79">
        <f t="shared" si="209"/>
        <v>1901812.309</v>
      </c>
      <c r="AU319" s="79">
        <f t="shared" si="209"/>
        <v>1939848.555</v>
      </c>
      <c r="AV319" s="79">
        <f t="shared" si="209"/>
        <v>1978645.526</v>
      </c>
      <c r="AW319" s="90"/>
      <c r="AX319" s="90"/>
      <c r="AY319" s="90"/>
      <c r="AZ319" s="90"/>
      <c r="BA319" s="90"/>
      <c r="BB319" s="90"/>
      <c r="BC319" s="90"/>
      <c r="BD319" s="90"/>
      <c r="BE319" s="90"/>
      <c r="BF319" s="90"/>
      <c r="BG319" s="90"/>
      <c r="BH319" s="90"/>
      <c r="BI319" s="90"/>
      <c r="BJ319" s="90"/>
      <c r="BK319" s="90"/>
      <c r="BL319" s="90"/>
      <c r="BM319" s="90"/>
      <c r="BN319" s="90"/>
      <c r="BO319" s="90"/>
      <c r="BP319" s="90"/>
      <c r="BQ319" s="90"/>
    </row>
    <row r="320" ht="12.75" customHeight="1" outlineLevel="1">
      <c r="A320" s="316"/>
      <c r="B320" s="90"/>
      <c r="C320" s="90"/>
      <c r="D320" s="90"/>
      <c r="E320" s="90"/>
      <c r="F320" s="90"/>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c r="AH320" s="91"/>
      <c r="AI320" s="91"/>
      <c r="AJ320" s="91"/>
      <c r="AK320" s="91"/>
      <c r="AL320" s="91"/>
      <c r="AM320" s="91"/>
      <c r="AN320" s="91"/>
      <c r="AO320" s="91"/>
      <c r="AP320" s="91"/>
      <c r="AQ320" s="91"/>
      <c r="AR320" s="91"/>
      <c r="AS320" s="91"/>
      <c r="AT320" s="91"/>
      <c r="AU320" s="91"/>
      <c r="AV320" s="91"/>
      <c r="AW320" s="90"/>
      <c r="AX320" s="90"/>
      <c r="AY320" s="90"/>
      <c r="AZ320" s="90"/>
      <c r="BA320" s="90"/>
      <c r="BB320" s="90"/>
      <c r="BC320" s="90"/>
      <c r="BD320" s="90"/>
      <c r="BE320" s="90"/>
      <c r="BF320" s="90"/>
      <c r="BG320" s="90"/>
      <c r="BH320" s="90"/>
      <c r="BI320" s="90"/>
      <c r="BJ320" s="90"/>
      <c r="BK320" s="90"/>
      <c r="BL320" s="90"/>
      <c r="BM320" s="90"/>
      <c r="BN320" s="90"/>
      <c r="BO320" s="90"/>
      <c r="BP320" s="90"/>
      <c r="BQ320" s="90"/>
    </row>
    <row r="321" ht="12.75" customHeight="1" outlineLevel="1">
      <c r="A321" s="316"/>
      <c r="B321" s="67" t="s">
        <v>808</v>
      </c>
      <c r="C321" s="90"/>
      <c r="D321" s="90"/>
      <c r="E321" s="90"/>
      <c r="F321" s="90"/>
      <c r="G321" s="90"/>
      <c r="H321" s="90"/>
      <c r="I321" s="90"/>
      <c r="J321" s="90"/>
      <c r="K321" s="90"/>
      <c r="L321" s="90"/>
      <c r="M321" s="383"/>
      <c r="N321" s="90"/>
      <c r="O321" s="90"/>
      <c r="P321" s="90"/>
      <c r="Q321" s="90"/>
      <c r="R321" s="90"/>
      <c r="S321" s="90"/>
      <c r="T321" s="90"/>
      <c r="U321" s="90"/>
      <c r="V321" s="90"/>
      <c r="W321" s="90"/>
      <c r="X321" s="90"/>
      <c r="Y321" s="90"/>
      <c r="Z321" s="90"/>
      <c r="AA321" s="90"/>
      <c r="AB321" s="90"/>
      <c r="AC321" s="90"/>
      <c r="AD321" s="90"/>
      <c r="AE321" s="90"/>
      <c r="AF321" s="90"/>
      <c r="AG321" s="90"/>
      <c r="AH321" s="90"/>
      <c r="AI321" s="90"/>
      <c r="AJ321" s="90"/>
      <c r="AK321" s="90"/>
      <c r="AL321" s="90"/>
      <c r="AM321" s="90"/>
      <c r="AN321" s="90"/>
      <c r="AO321" s="90"/>
      <c r="AP321" s="90"/>
      <c r="AQ321" s="90"/>
      <c r="AR321" s="90"/>
      <c r="AS321" s="90"/>
      <c r="AT321" s="90"/>
      <c r="AU321" s="90"/>
      <c r="AV321" s="90"/>
      <c r="AW321" s="90"/>
      <c r="AX321" s="90"/>
      <c r="AY321" s="90"/>
      <c r="AZ321" s="90"/>
      <c r="BA321" s="90"/>
      <c r="BB321" s="90"/>
      <c r="BC321" s="90"/>
      <c r="BD321" s="90"/>
      <c r="BE321" s="90"/>
      <c r="BF321" s="90"/>
      <c r="BG321" s="90"/>
      <c r="BH321" s="90"/>
      <c r="BI321" s="90"/>
      <c r="BJ321" s="90"/>
      <c r="BK321" s="90"/>
      <c r="BL321" s="90"/>
      <c r="BM321" s="90"/>
      <c r="BN321" s="90"/>
      <c r="BO321" s="90"/>
      <c r="BP321" s="90"/>
      <c r="BQ321" s="90"/>
    </row>
    <row r="322" ht="12.75" customHeight="1" outlineLevel="1">
      <c r="A322" s="316"/>
      <c r="B322" s="90"/>
      <c r="C322" s="90" t="s">
        <v>809</v>
      </c>
      <c r="D322" s="90"/>
      <c r="E322" s="90"/>
      <c r="F322" s="90"/>
      <c r="G322" s="99"/>
      <c r="H322" s="99"/>
      <c r="I322" s="99"/>
      <c r="J322" s="99">
        <v>0.0</v>
      </c>
      <c r="K322" s="99">
        <v>6925.08</v>
      </c>
      <c r="L322" s="99">
        <f t="shared" ref="L322:AV322" si="210">L183*L184</f>
        <v>122400</v>
      </c>
      <c r="M322" s="99">
        <f t="shared" si="210"/>
        <v>144000</v>
      </c>
      <c r="N322" s="99">
        <f t="shared" si="210"/>
        <v>151200</v>
      </c>
      <c r="O322" s="99">
        <f t="shared" si="210"/>
        <v>136800</v>
      </c>
      <c r="P322" s="99">
        <f t="shared" si="210"/>
        <v>136800</v>
      </c>
      <c r="Q322" s="99">
        <f t="shared" si="210"/>
        <v>108000</v>
      </c>
      <c r="R322" s="99">
        <f t="shared" si="210"/>
        <v>108000</v>
      </c>
      <c r="S322" s="99">
        <f t="shared" si="210"/>
        <v>108000</v>
      </c>
      <c r="T322" s="99">
        <f t="shared" si="210"/>
        <v>108000</v>
      </c>
      <c r="U322" s="99">
        <f t="shared" si="210"/>
        <v>108000</v>
      </c>
      <c r="V322" s="99">
        <f t="shared" si="210"/>
        <v>108000</v>
      </c>
      <c r="W322" s="99">
        <f t="shared" si="210"/>
        <v>108000</v>
      </c>
      <c r="X322" s="99">
        <f t="shared" si="210"/>
        <v>108000</v>
      </c>
      <c r="Y322" s="99">
        <f t="shared" si="210"/>
        <v>108000</v>
      </c>
      <c r="Z322" s="99">
        <f t="shared" si="210"/>
        <v>108000</v>
      </c>
      <c r="AA322" s="99">
        <f t="shared" si="210"/>
        <v>108000</v>
      </c>
      <c r="AB322" s="99">
        <f t="shared" si="210"/>
        <v>108000</v>
      </c>
      <c r="AC322" s="99">
        <f t="shared" si="210"/>
        <v>108000</v>
      </c>
      <c r="AD322" s="99">
        <f t="shared" si="210"/>
        <v>108000</v>
      </c>
      <c r="AE322" s="99">
        <f t="shared" si="210"/>
        <v>108000</v>
      </c>
      <c r="AF322" s="99">
        <f t="shared" si="210"/>
        <v>108000</v>
      </c>
      <c r="AG322" s="99">
        <f t="shared" si="210"/>
        <v>108000</v>
      </c>
      <c r="AH322" s="99">
        <f t="shared" si="210"/>
        <v>108000</v>
      </c>
      <c r="AI322" s="99">
        <f t="shared" si="210"/>
        <v>108000</v>
      </c>
      <c r="AJ322" s="99">
        <f t="shared" si="210"/>
        <v>108000</v>
      </c>
      <c r="AK322" s="99">
        <f t="shared" si="210"/>
        <v>108000</v>
      </c>
      <c r="AL322" s="99">
        <f t="shared" si="210"/>
        <v>108000</v>
      </c>
      <c r="AM322" s="99">
        <f t="shared" si="210"/>
        <v>108000</v>
      </c>
      <c r="AN322" s="99">
        <f t="shared" si="210"/>
        <v>108000</v>
      </c>
      <c r="AO322" s="99">
        <f t="shared" si="210"/>
        <v>108000</v>
      </c>
      <c r="AP322" s="99">
        <f t="shared" si="210"/>
        <v>108000</v>
      </c>
      <c r="AQ322" s="99">
        <f t="shared" si="210"/>
        <v>108000</v>
      </c>
      <c r="AR322" s="99">
        <f t="shared" si="210"/>
        <v>108000</v>
      </c>
      <c r="AS322" s="99">
        <f t="shared" si="210"/>
        <v>108000</v>
      </c>
      <c r="AT322" s="99">
        <f t="shared" si="210"/>
        <v>108000</v>
      </c>
      <c r="AU322" s="99">
        <f t="shared" si="210"/>
        <v>108000</v>
      </c>
      <c r="AV322" s="99">
        <f t="shared" si="210"/>
        <v>108000</v>
      </c>
      <c r="AW322" s="90"/>
      <c r="AX322" s="90"/>
      <c r="AY322" s="90"/>
      <c r="AZ322" s="90"/>
      <c r="BA322" s="90"/>
      <c r="BB322" s="90"/>
      <c r="BC322" s="90"/>
      <c r="BD322" s="90"/>
      <c r="BE322" s="90"/>
      <c r="BF322" s="90"/>
      <c r="BG322" s="90"/>
      <c r="BH322" s="90"/>
      <c r="BI322" s="90"/>
      <c r="BJ322" s="90"/>
      <c r="BK322" s="90"/>
      <c r="BL322" s="90"/>
      <c r="BM322" s="90"/>
      <c r="BN322" s="90"/>
      <c r="BO322" s="90"/>
      <c r="BP322" s="90"/>
      <c r="BQ322" s="90"/>
    </row>
    <row r="323" ht="12.75" customHeight="1" outlineLevel="1">
      <c r="A323" s="316"/>
      <c r="B323" s="90"/>
      <c r="C323" s="90" t="s">
        <v>731</v>
      </c>
      <c r="D323" s="90"/>
      <c r="E323" s="90"/>
      <c r="F323" s="90"/>
      <c r="G323" s="99"/>
      <c r="H323" s="99"/>
      <c r="I323" s="99"/>
      <c r="J323" s="99">
        <v>0.0</v>
      </c>
      <c r="K323" s="99">
        <v>2107.08</v>
      </c>
      <c r="L323" s="99">
        <f t="shared" ref="L323:AV323" si="211">L185*L$319</f>
        <v>16985.6</v>
      </c>
      <c r="M323" s="99">
        <f t="shared" si="211"/>
        <v>20460.0704</v>
      </c>
      <c r="N323" s="99">
        <f t="shared" si="211"/>
        <v>21931.31213</v>
      </c>
      <c r="O323" s="99">
        <f t="shared" si="211"/>
        <v>20403.14956</v>
      </c>
      <c r="P323" s="99">
        <f t="shared" si="211"/>
        <v>20811.21256</v>
      </c>
      <c r="Q323" s="99">
        <f t="shared" si="211"/>
        <v>17134.94266</v>
      </c>
      <c r="R323" s="99">
        <f t="shared" si="211"/>
        <v>17477.64151</v>
      </c>
      <c r="S323" s="99">
        <f t="shared" si="211"/>
        <v>17827.19434</v>
      </c>
      <c r="T323" s="99">
        <f t="shared" si="211"/>
        <v>18183.73823</v>
      </c>
      <c r="U323" s="99">
        <f t="shared" si="211"/>
        <v>18547.41299</v>
      </c>
      <c r="V323" s="99">
        <f t="shared" si="211"/>
        <v>18918.36125</v>
      </c>
      <c r="W323" s="99">
        <f t="shared" si="211"/>
        <v>19296.72848</v>
      </c>
      <c r="X323" s="99">
        <f t="shared" si="211"/>
        <v>19682.66305</v>
      </c>
      <c r="Y323" s="99">
        <f t="shared" si="211"/>
        <v>20076.31631</v>
      </c>
      <c r="Z323" s="99">
        <f t="shared" si="211"/>
        <v>20477.84263</v>
      </c>
      <c r="AA323" s="99">
        <f t="shared" si="211"/>
        <v>20887.39949</v>
      </c>
      <c r="AB323" s="99">
        <f t="shared" si="211"/>
        <v>21305.14748</v>
      </c>
      <c r="AC323" s="99">
        <f t="shared" si="211"/>
        <v>21731.25043</v>
      </c>
      <c r="AD323" s="99">
        <f t="shared" si="211"/>
        <v>22165.87544</v>
      </c>
      <c r="AE323" s="99">
        <f t="shared" si="211"/>
        <v>22609.19294</v>
      </c>
      <c r="AF323" s="99">
        <f t="shared" si="211"/>
        <v>23061.3768</v>
      </c>
      <c r="AG323" s="99">
        <f t="shared" si="211"/>
        <v>23522.60434</v>
      </c>
      <c r="AH323" s="99">
        <f t="shared" si="211"/>
        <v>23993.05643</v>
      </c>
      <c r="AI323" s="99">
        <f t="shared" si="211"/>
        <v>24472.91755</v>
      </c>
      <c r="AJ323" s="99">
        <f t="shared" si="211"/>
        <v>24962.37591</v>
      </c>
      <c r="AK323" s="99">
        <f t="shared" si="211"/>
        <v>25461.62342</v>
      </c>
      <c r="AL323" s="99">
        <f t="shared" si="211"/>
        <v>25970.85589</v>
      </c>
      <c r="AM323" s="99">
        <f t="shared" si="211"/>
        <v>26490.27301</v>
      </c>
      <c r="AN323" s="99">
        <f t="shared" si="211"/>
        <v>27020.07847</v>
      </c>
      <c r="AO323" s="99">
        <f t="shared" si="211"/>
        <v>27560.48004</v>
      </c>
      <c r="AP323" s="99">
        <f t="shared" si="211"/>
        <v>28111.68964</v>
      </c>
      <c r="AQ323" s="99">
        <f t="shared" si="211"/>
        <v>28673.92343</v>
      </c>
      <c r="AR323" s="99">
        <f t="shared" si="211"/>
        <v>29247.4019</v>
      </c>
      <c r="AS323" s="99">
        <f t="shared" si="211"/>
        <v>29832.34994</v>
      </c>
      <c r="AT323" s="99">
        <f t="shared" si="211"/>
        <v>30428.99694</v>
      </c>
      <c r="AU323" s="99">
        <f t="shared" si="211"/>
        <v>31037.57688</v>
      </c>
      <c r="AV323" s="99">
        <f t="shared" si="211"/>
        <v>31658.32841</v>
      </c>
      <c r="AW323" s="90"/>
      <c r="AX323" s="90"/>
      <c r="AY323" s="90"/>
      <c r="AZ323" s="90"/>
      <c r="BA323" s="90"/>
      <c r="BB323" s="90"/>
      <c r="BC323" s="90"/>
      <c r="BD323" s="90"/>
      <c r="BE323" s="90"/>
      <c r="BF323" s="90"/>
      <c r="BG323" s="90"/>
      <c r="BH323" s="90"/>
      <c r="BI323" s="90"/>
      <c r="BJ323" s="90"/>
      <c r="BK323" s="90"/>
      <c r="BL323" s="90"/>
      <c r="BM323" s="90"/>
      <c r="BN323" s="90"/>
      <c r="BO323" s="90"/>
      <c r="BP323" s="90"/>
      <c r="BQ323" s="90"/>
    </row>
    <row r="324" ht="12.75" customHeight="1" outlineLevel="1">
      <c r="A324" s="316"/>
      <c r="B324" s="90"/>
      <c r="C324" s="90" t="s">
        <v>810</v>
      </c>
      <c r="D324" s="90"/>
      <c r="E324" s="90"/>
      <c r="F324" s="90"/>
      <c r="G324" s="99"/>
      <c r="H324" s="99"/>
      <c r="I324" s="99"/>
      <c r="J324" s="99">
        <v>0.0</v>
      </c>
      <c r="K324" s="99">
        <v>351.3</v>
      </c>
      <c r="L324" s="99">
        <f t="shared" ref="L324:AV324" si="212">L186*L319</f>
        <v>11677.6</v>
      </c>
      <c r="M324" s="99">
        <f t="shared" si="212"/>
        <v>14066.2984</v>
      </c>
      <c r="N324" s="99">
        <f t="shared" si="212"/>
        <v>15077.77709</v>
      </c>
      <c r="O324" s="99">
        <f t="shared" si="212"/>
        <v>14027.16533</v>
      </c>
      <c r="P324" s="99">
        <f t="shared" si="212"/>
        <v>14307.70863</v>
      </c>
      <c r="Q324" s="99">
        <f t="shared" si="212"/>
        <v>11780.27308</v>
      </c>
      <c r="R324" s="99">
        <f t="shared" si="212"/>
        <v>12015.87854</v>
      </c>
      <c r="S324" s="99">
        <f t="shared" si="212"/>
        <v>12256.19611</v>
      </c>
      <c r="T324" s="99">
        <f t="shared" si="212"/>
        <v>12501.32003</v>
      </c>
      <c r="U324" s="99">
        <f t="shared" si="212"/>
        <v>12751.34643</v>
      </c>
      <c r="V324" s="99">
        <f t="shared" si="212"/>
        <v>13006.37336</v>
      </c>
      <c r="W324" s="99">
        <f t="shared" si="212"/>
        <v>13266.50083</v>
      </c>
      <c r="X324" s="99">
        <f t="shared" si="212"/>
        <v>13531.83085</v>
      </c>
      <c r="Y324" s="99">
        <f t="shared" si="212"/>
        <v>13802.46746</v>
      </c>
      <c r="Z324" s="99">
        <f t="shared" si="212"/>
        <v>14078.51681</v>
      </c>
      <c r="AA324" s="99">
        <f t="shared" si="212"/>
        <v>14360.08715</v>
      </c>
      <c r="AB324" s="99">
        <f t="shared" si="212"/>
        <v>14647.28889</v>
      </c>
      <c r="AC324" s="99">
        <f t="shared" si="212"/>
        <v>14940.23467</v>
      </c>
      <c r="AD324" s="99">
        <f t="shared" si="212"/>
        <v>15239.03936</v>
      </c>
      <c r="AE324" s="99">
        <f t="shared" si="212"/>
        <v>15543.82015</v>
      </c>
      <c r="AF324" s="99">
        <f t="shared" si="212"/>
        <v>15854.69655</v>
      </c>
      <c r="AG324" s="99">
        <f t="shared" si="212"/>
        <v>16171.79048</v>
      </c>
      <c r="AH324" s="99">
        <f t="shared" si="212"/>
        <v>16495.22629</v>
      </c>
      <c r="AI324" s="99">
        <f t="shared" si="212"/>
        <v>16825.13082</v>
      </c>
      <c r="AJ324" s="99">
        <f t="shared" si="212"/>
        <v>17161.63343</v>
      </c>
      <c r="AK324" s="99">
        <f t="shared" si="212"/>
        <v>17504.8661</v>
      </c>
      <c r="AL324" s="99">
        <f t="shared" si="212"/>
        <v>17854.96343</v>
      </c>
      <c r="AM324" s="99">
        <f t="shared" si="212"/>
        <v>18212.06269</v>
      </c>
      <c r="AN324" s="99">
        <f t="shared" si="212"/>
        <v>18576.30395</v>
      </c>
      <c r="AO324" s="99">
        <f t="shared" si="212"/>
        <v>18947.83003</v>
      </c>
      <c r="AP324" s="99">
        <f t="shared" si="212"/>
        <v>19326.78663</v>
      </c>
      <c r="AQ324" s="99">
        <f t="shared" si="212"/>
        <v>19713.32236</v>
      </c>
      <c r="AR324" s="99">
        <f t="shared" si="212"/>
        <v>20107.58881</v>
      </c>
      <c r="AS324" s="99">
        <f t="shared" si="212"/>
        <v>20509.74058</v>
      </c>
      <c r="AT324" s="99">
        <f t="shared" si="212"/>
        <v>20919.93539</v>
      </c>
      <c r="AU324" s="99">
        <f t="shared" si="212"/>
        <v>21338.3341</v>
      </c>
      <c r="AV324" s="99">
        <f t="shared" si="212"/>
        <v>21765.10078</v>
      </c>
      <c r="AW324" s="90"/>
      <c r="AX324" s="90"/>
      <c r="AY324" s="90"/>
      <c r="AZ324" s="90"/>
      <c r="BA324" s="90"/>
      <c r="BB324" s="90"/>
      <c r="BC324" s="90"/>
      <c r="BD324" s="90"/>
      <c r="BE324" s="90"/>
      <c r="BF324" s="90"/>
      <c r="BG324" s="90"/>
      <c r="BH324" s="90"/>
      <c r="BI324" s="90"/>
      <c r="BJ324" s="90"/>
      <c r="BK324" s="90"/>
      <c r="BL324" s="90"/>
      <c r="BM324" s="90"/>
      <c r="BN324" s="90"/>
      <c r="BO324" s="90"/>
      <c r="BP324" s="90"/>
      <c r="BQ324" s="90"/>
    </row>
    <row r="325" ht="12.75" customHeight="1" outlineLevel="1">
      <c r="A325" s="316"/>
      <c r="B325" s="90"/>
      <c r="C325" s="90" t="s">
        <v>733</v>
      </c>
      <c r="D325" s="90"/>
      <c r="E325" s="90"/>
      <c r="F325" s="90"/>
      <c r="G325" s="99"/>
      <c r="H325" s="99"/>
      <c r="I325" s="99"/>
      <c r="J325" s="99">
        <v>0.0</v>
      </c>
      <c r="K325" s="99">
        <v>4149.72</v>
      </c>
      <c r="L325" s="99">
        <f t="shared" ref="L325:AV325" si="213">0.0745*(L315+L317*L315/(L315+L308))+0.0165*(L308+L317*L308/(L308+L315))</f>
        <v>27710.93972</v>
      </c>
      <c r="M325" s="99">
        <f t="shared" si="213"/>
        <v>31610.23863</v>
      </c>
      <c r="N325" s="99">
        <f t="shared" si="213"/>
        <v>33330.12622</v>
      </c>
      <c r="O325" s="99">
        <f t="shared" si="213"/>
        <v>31983.06702</v>
      </c>
      <c r="P325" s="99">
        <f t="shared" si="213"/>
        <v>32622.72836</v>
      </c>
      <c r="Q325" s="99">
        <f t="shared" si="213"/>
        <v>29096.23671</v>
      </c>
      <c r="R325" s="99">
        <f t="shared" si="213"/>
        <v>29678.16145</v>
      </c>
      <c r="S325" s="99">
        <f t="shared" si="213"/>
        <v>30271.72467</v>
      </c>
      <c r="T325" s="99">
        <f t="shared" si="213"/>
        <v>30877.15917</v>
      </c>
      <c r="U325" s="99">
        <f t="shared" si="213"/>
        <v>31494.70235</v>
      </c>
      <c r="V325" s="99">
        <f t="shared" si="213"/>
        <v>32124.5964</v>
      </c>
      <c r="W325" s="99">
        <f t="shared" si="213"/>
        <v>32767.08833</v>
      </c>
      <c r="X325" s="99">
        <f t="shared" si="213"/>
        <v>33422.43009</v>
      </c>
      <c r="Y325" s="99">
        <f t="shared" si="213"/>
        <v>34090.8787</v>
      </c>
      <c r="Z325" s="99">
        <f t="shared" si="213"/>
        <v>34772.69627</v>
      </c>
      <c r="AA325" s="99">
        <f t="shared" si="213"/>
        <v>35468.15019</v>
      </c>
      <c r="AB325" s="99">
        <f t="shared" si="213"/>
        <v>36177.5132</v>
      </c>
      <c r="AC325" s="99">
        <f t="shared" si="213"/>
        <v>36901.06346</v>
      </c>
      <c r="AD325" s="99">
        <f t="shared" si="213"/>
        <v>37639.08473</v>
      </c>
      <c r="AE325" s="99">
        <f t="shared" si="213"/>
        <v>38391.86643</v>
      </c>
      <c r="AF325" s="99">
        <f t="shared" si="213"/>
        <v>39159.70375</v>
      </c>
      <c r="AG325" s="99">
        <f t="shared" si="213"/>
        <v>39942.89783</v>
      </c>
      <c r="AH325" s="99">
        <f t="shared" si="213"/>
        <v>40741.75579</v>
      </c>
      <c r="AI325" s="99">
        <f t="shared" si="213"/>
        <v>41556.5909</v>
      </c>
      <c r="AJ325" s="99">
        <f t="shared" si="213"/>
        <v>42387.72272</v>
      </c>
      <c r="AK325" s="99">
        <f t="shared" si="213"/>
        <v>43235.47717</v>
      </c>
      <c r="AL325" s="99">
        <f t="shared" si="213"/>
        <v>44100.18672</v>
      </c>
      <c r="AM325" s="99">
        <f t="shared" si="213"/>
        <v>44982.19045</v>
      </c>
      <c r="AN325" s="99">
        <f t="shared" si="213"/>
        <v>45881.83426</v>
      </c>
      <c r="AO325" s="99">
        <f t="shared" si="213"/>
        <v>46799.47095</v>
      </c>
      <c r="AP325" s="99">
        <f t="shared" si="213"/>
        <v>47735.46037</v>
      </c>
      <c r="AQ325" s="99">
        <f t="shared" si="213"/>
        <v>48690.16957</v>
      </c>
      <c r="AR325" s="99">
        <f t="shared" si="213"/>
        <v>49663.97296</v>
      </c>
      <c r="AS325" s="99">
        <f t="shared" si="213"/>
        <v>50657.25242</v>
      </c>
      <c r="AT325" s="99">
        <f t="shared" si="213"/>
        <v>51670.39747</v>
      </c>
      <c r="AU325" s="99">
        <f t="shared" si="213"/>
        <v>52703.80542</v>
      </c>
      <c r="AV325" s="99">
        <f t="shared" si="213"/>
        <v>53757.88153</v>
      </c>
      <c r="AW325" s="90"/>
      <c r="AX325" s="90"/>
      <c r="AY325" s="90"/>
      <c r="AZ325" s="90"/>
      <c r="BA325" s="90"/>
      <c r="BB325" s="90"/>
      <c r="BC325" s="90"/>
      <c r="BD325" s="90"/>
      <c r="BE325" s="90"/>
      <c r="BF325" s="90"/>
      <c r="BG325" s="90"/>
      <c r="BH325" s="90"/>
      <c r="BI325" s="90"/>
      <c r="BJ325" s="90"/>
      <c r="BK325" s="90"/>
      <c r="BL325" s="90"/>
      <c r="BM325" s="90"/>
      <c r="BN325" s="90"/>
      <c r="BO325" s="90"/>
      <c r="BP325" s="90"/>
      <c r="BQ325" s="90"/>
    </row>
    <row r="326" ht="12.75" customHeight="1" outlineLevel="1">
      <c r="A326" s="316"/>
      <c r="B326" s="90"/>
      <c r="C326" s="90" t="s">
        <v>734</v>
      </c>
      <c r="D326" s="90"/>
      <c r="E326" s="90"/>
      <c r="F326" s="90"/>
      <c r="G326" s="99"/>
      <c r="H326" s="99"/>
      <c r="I326" s="99"/>
      <c r="J326" s="99">
        <v>0.0</v>
      </c>
      <c r="K326" s="99">
        <v>7012.56</v>
      </c>
      <c r="L326" s="99">
        <f t="shared" ref="L326:AV326" si="214">(L308-L307)*L188</f>
        <v>66192.5</v>
      </c>
      <c r="M326" s="99">
        <f t="shared" si="214"/>
        <v>81134.9</v>
      </c>
      <c r="N326" s="99">
        <f t="shared" si="214"/>
        <v>87735.912</v>
      </c>
      <c r="O326" s="99">
        <f t="shared" si="214"/>
        <v>80271.30771</v>
      </c>
      <c r="P326" s="99">
        <f t="shared" si="214"/>
        <v>81876.73386</v>
      </c>
      <c r="Q326" s="99">
        <f t="shared" si="214"/>
        <v>64330.70222</v>
      </c>
      <c r="R326" s="99">
        <f t="shared" si="214"/>
        <v>65617.31627</v>
      </c>
      <c r="S326" s="99">
        <f t="shared" si="214"/>
        <v>66929.66259</v>
      </c>
      <c r="T326" s="99">
        <f t="shared" si="214"/>
        <v>68268.25584</v>
      </c>
      <c r="U326" s="99">
        <f t="shared" si="214"/>
        <v>69633.62096</v>
      </c>
      <c r="V326" s="99">
        <f t="shared" si="214"/>
        <v>71026.29338</v>
      </c>
      <c r="W326" s="99">
        <f t="shared" si="214"/>
        <v>72446.81925</v>
      </c>
      <c r="X326" s="99">
        <f t="shared" si="214"/>
        <v>73895.75563</v>
      </c>
      <c r="Y326" s="99">
        <f t="shared" si="214"/>
        <v>75373.67074</v>
      </c>
      <c r="Z326" s="99">
        <f t="shared" si="214"/>
        <v>76881.14416</v>
      </c>
      <c r="AA326" s="99">
        <f t="shared" si="214"/>
        <v>78418.76704</v>
      </c>
      <c r="AB326" s="99">
        <f t="shared" si="214"/>
        <v>79987.14238</v>
      </c>
      <c r="AC326" s="99">
        <f t="shared" si="214"/>
        <v>81586.88523</v>
      </c>
      <c r="AD326" s="99">
        <f t="shared" si="214"/>
        <v>83218.62293</v>
      </c>
      <c r="AE326" s="99">
        <f t="shared" si="214"/>
        <v>84882.99539</v>
      </c>
      <c r="AF326" s="99">
        <f t="shared" si="214"/>
        <v>86580.6553</v>
      </c>
      <c r="AG326" s="99">
        <f t="shared" si="214"/>
        <v>88312.26841</v>
      </c>
      <c r="AH326" s="99">
        <f t="shared" si="214"/>
        <v>90078.51378</v>
      </c>
      <c r="AI326" s="99">
        <f t="shared" si="214"/>
        <v>91880.08405</v>
      </c>
      <c r="AJ326" s="99">
        <f t="shared" si="214"/>
        <v>93717.68573</v>
      </c>
      <c r="AK326" s="99">
        <f t="shared" si="214"/>
        <v>95592.03945</v>
      </c>
      <c r="AL326" s="99">
        <f t="shared" si="214"/>
        <v>97503.88024</v>
      </c>
      <c r="AM326" s="99">
        <f t="shared" si="214"/>
        <v>99453.95784</v>
      </c>
      <c r="AN326" s="99">
        <f t="shared" si="214"/>
        <v>101443.037</v>
      </c>
      <c r="AO326" s="99">
        <f t="shared" si="214"/>
        <v>103471.8977</v>
      </c>
      <c r="AP326" s="99">
        <f t="shared" si="214"/>
        <v>105541.3357</v>
      </c>
      <c r="AQ326" s="99">
        <f t="shared" si="214"/>
        <v>107652.1624</v>
      </c>
      <c r="AR326" s="99">
        <f t="shared" si="214"/>
        <v>109805.2057</v>
      </c>
      <c r="AS326" s="99">
        <f t="shared" si="214"/>
        <v>112001.3098</v>
      </c>
      <c r="AT326" s="99">
        <f t="shared" si="214"/>
        <v>114241.336</v>
      </c>
      <c r="AU326" s="99">
        <f t="shared" si="214"/>
        <v>116526.1627</v>
      </c>
      <c r="AV326" s="99">
        <f t="shared" si="214"/>
        <v>118856.6859</v>
      </c>
      <c r="AW326" s="90"/>
      <c r="AX326" s="90"/>
      <c r="AY326" s="90"/>
      <c r="AZ326" s="90"/>
      <c r="BA326" s="90"/>
      <c r="BB326" s="90"/>
      <c r="BC326" s="90"/>
      <c r="BD326" s="90"/>
      <c r="BE326" s="90"/>
      <c r="BF326" s="90"/>
      <c r="BG326" s="90"/>
      <c r="BH326" s="90"/>
      <c r="BI326" s="90"/>
      <c r="BJ326" s="90"/>
      <c r="BK326" s="90"/>
      <c r="BL326" s="90"/>
      <c r="BM326" s="90"/>
      <c r="BN326" s="90"/>
      <c r="BO326" s="90"/>
      <c r="BP326" s="90"/>
      <c r="BQ326" s="90"/>
    </row>
    <row r="327" ht="12.75" customHeight="1" outlineLevel="1">
      <c r="A327" s="316"/>
      <c r="B327" s="90"/>
      <c r="C327" s="90" t="s">
        <v>735</v>
      </c>
      <c r="D327" s="90"/>
      <c r="E327" s="90"/>
      <c r="F327" s="90"/>
      <c r="G327" s="99"/>
      <c r="H327" s="99"/>
      <c r="I327" s="99"/>
      <c r="J327" s="99">
        <v>0.0</v>
      </c>
      <c r="K327" s="99">
        <v>450.0</v>
      </c>
      <c r="L327" s="99">
        <f t="shared" ref="L327:AV327" si="215">0.03*L315+0.03*L317*L315/(L315+L308)</f>
        <v>5273.037787</v>
      </c>
      <c r="M327" s="99">
        <f t="shared" si="215"/>
        <v>5436.616048</v>
      </c>
      <c r="N327" s="99">
        <f t="shared" si="215"/>
        <v>5541.445129</v>
      </c>
      <c r="O327" s="99">
        <f t="shared" si="215"/>
        <v>5659.820188</v>
      </c>
      <c r="P327" s="99">
        <f t="shared" si="215"/>
        <v>5773.016592</v>
      </c>
      <c r="Q327" s="99">
        <f t="shared" si="215"/>
        <v>5909.910567</v>
      </c>
      <c r="R327" s="99">
        <f t="shared" si="215"/>
        <v>6028.108778</v>
      </c>
      <c r="S327" s="99">
        <f t="shared" si="215"/>
        <v>6148.670954</v>
      </c>
      <c r="T327" s="99">
        <f t="shared" si="215"/>
        <v>6271.644373</v>
      </c>
      <c r="U327" s="99">
        <f t="shared" si="215"/>
        <v>6397.07726</v>
      </c>
      <c r="V327" s="99">
        <f t="shared" si="215"/>
        <v>6525.018805</v>
      </c>
      <c r="W327" s="99">
        <f t="shared" si="215"/>
        <v>6655.519181</v>
      </c>
      <c r="X327" s="99">
        <f t="shared" si="215"/>
        <v>6788.629565</v>
      </c>
      <c r="Y327" s="99">
        <f t="shared" si="215"/>
        <v>6924.402156</v>
      </c>
      <c r="Z327" s="99">
        <f t="shared" si="215"/>
        <v>7062.890199</v>
      </c>
      <c r="AA327" s="99">
        <f t="shared" si="215"/>
        <v>7204.148003</v>
      </c>
      <c r="AB327" s="99">
        <f t="shared" si="215"/>
        <v>7348.230963</v>
      </c>
      <c r="AC327" s="99">
        <f t="shared" si="215"/>
        <v>7495.195583</v>
      </c>
      <c r="AD327" s="99">
        <f t="shared" si="215"/>
        <v>7645.099494</v>
      </c>
      <c r="AE327" s="99">
        <f t="shared" si="215"/>
        <v>7798.001484</v>
      </c>
      <c r="AF327" s="99">
        <f t="shared" si="215"/>
        <v>7953.961514</v>
      </c>
      <c r="AG327" s="99">
        <f t="shared" si="215"/>
        <v>8113.040744</v>
      </c>
      <c r="AH327" s="99">
        <f t="shared" si="215"/>
        <v>8275.301559</v>
      </c>
      <c r="AI327" s="99">
        <f t="shared" si="215"/>
        <v>8440.80759</v>
      </c>
      <c r="AJ327" s="99">
        <f t="shared" si="215"/>
        <v>8609.623742</v>
      </c>
      <c r="AK327" s="99">
        <f t="shared" si="215"/>
        <v>8781.816217</v>
      </c>
      <c r="AL327" s="99">
        <f t="shared" si="215"/>
        <v>8957.452541</v>
      </c>
      <c r="AM327" s="99">
        <f t="shared" si="215"/>
        <v>9136.601592</v>
      </c>
      <c r="AN327" s="99">
        <f t="shared" si="215"/>
        <v>9319.333624</v>
      </c>
      <c r="AO327" s="99">
        <f t="shared" si="215"/>
        <v>9505.720296</v>
      </c>
      <c r="AP327" s="99">
        <f t="shared" si="215"/>
        <v>9695.834702</v>
      </c>
      <c r="AQ327" s="99">
        <f t="shared" si="215"/>
        <v>9889.751396</v>
      </c>
      <c r="AR327" s="99">
        <f t="shared" si="215"/>
        <v>10087.54642</v>
      </c>
      <c r="AS327" s="99">
        <f t="shared" si="215"/>
        <v>10289.29735</v>
      </c>
      <c r="AT327" s="99">
        <f t="shared" si="215"/>
        <v>10495.0833</v>
      </c>
      <c r="AU327" s="99">
        <f t="shared" si="215"/>
        <v>10704.98497</v>
      </c>
      <c r="AV327" s="99">
        <f t="shared" si="215"/>
        <v>10919.08467</v>
      </c>
      <c r="AW327" s="90"/>
      <c r="AX327" s="90"/>
      <c r="AY327" s="90"/>
      <c r="AZ327" s="90"/>
      <c r="BA327" s="90"/>
      <c r="BB327" s="90"/>
      <c r="BC327" s="90"/>
      <c r="BD327" s="90"/>
      <c r="BE327" s="90"/>
      <c r="BF327" s="90"/>
      <c r="BG327" s="90"/>
      <c r="BH327" s="90"/>
      <c r="BI327" s="90"/>
      <c r="BJ327" s="90"/>
      <c r="BK327" s="90"/>
      <c r="BL327" s="90"/>
      <c r="BM327" s="90"/>
      <c r="BN327" s="90"/>
      <c r="BO327" s="90"/>
      <c r="BP327" s="90"/>
      <c r="BQ327" s="90"/>
    </row>
    <row r="328" ht="12.75" customHeight="1" outlineLevel="1">
      <c r="A328" s="316"/>
      <c r="B328" s="90"/>
      <c r="C328" s="90" t="s">
        <v>736</v>
      </c>
      <c r="D328" s="90"/>
      <c r="E328" s="90"/>
      <c r="F328" s="90"/>
      <c r="G328" s="99"/>
      <c r="H328" s="99"/>
      <c r="I328" s="99"/>
      <c r="J328" s="543">
        <v>0.0</v>
      </c>
      <c r="K328" s="99">
        <v>0.0</v>
      </c>
      <c r="L328" s="99">
        <v>0.0</v>
      </c>
      <c r="M328" s="99">
        <v>0.0</v>
      </c>
      <c r="N328" s="99">
        <v>0.0</v>
      </c>
      <c r="O328" s="99">
        <v>0.0</v>
      </c>
      <c r="P328" s="99">
        <v>0.0</v>
      </c>
      <c r="Q328" s="99">
        <v>0.0</v>
      </c>
      <c r="R328" s="99">
        <v>0.0</v>
      </c>
      <c r="S328" s="99">
        <v>0.0</v>
      </c>
      <c r="T328" s="99">
        <v>0.0</v>
      </c>
      <c r="U328" s="99">
        <v>0.0</v>
      </c>
      <c r="V328" s="99">
        <v>0.0</v>
      </c>
      <c r="W328" s="99">
        <v>0.0</v>
      </c>
      <c r="X328" s="99">
        <v>0.0</v>
      </c>
      <c r="Y328" s="99">
        <v>0.0</v>
      </c>
      <c r="Z328" s="99">
        <v>0.0</v>
      </c>
      <c r="AA328" s="99">
        <v>0.0</v>
      </c>
      <c r="AB328" s="99">
        <v>0.0</v>
      </c>
      <c r="AC328" s="99">
        <v>0.0</v>
      </c>
      <c r="AD328" s="99">
        <v>0.0</v>
      </c>
      <c r="AE328" s="99">
        <v>0.0</v>
      </c>
      <c r="AF328" s="99">
        <v>0.0</v>
      </c>
      <c r="AG328" s="99">
        <v>0.0</v>
      </c>
      <c r="AH328" s="99">
        <v>0.0</v>
      </c>
      <c r="AI328" s="99">
        <v>0.0</v>
      </c>
      <c r="AJ328" s="99">
        <v>0.0</v>
      </c>
      <c r="AK328" s="99">
        <v>0.0</v>
      </c>
      <c r="AL328" s="99">
        <v>0.0</v>
      </c>
      <c r="AM328" s="99">
        <v>0.0</v>
      </c>
      <c r="AN328" s="99">
        <v>0.0</v>
      </c>
      <c r="AO328" s="99">
        <v>0.0</v>
      </c>
      <c r="AP328" s="99">
        <v>0.0</v>
      </c>
      <c r="AQ328" s="99">
        <v>0.0</v>
      </c>
      <c r="AR328" s="99">
        <v>0.0</v>
      </c>
      <c r="AS328" s="99">
        <v>0.0</v>
      </c>
      <c r="AT328" s="99">
        <v>0.0</v>
      </c>
      <c r="AU328" s="99">
        <v>0.0</v>
      </c>
      <c r="AV328" s="99">
        <v>0.0</v>
      </c>
      <c r="AW328" s="90"/>
      <c r="AX328" s="90"/>
      <c r="AY328" s="90"/>
      <c r="AZ328" s="90"/>
      <c r="BA328" s="90"/>
      <c r="BB328" s="90"/>
      <c r="BC328" s="90"/>
      <c r="BD328" s="90"/>
      <c r="BE328" s="90"/>
      <c r="BF328" s="90"/>
      <c r="BG328" s="90"/>
      <c r="BH328" s="90"/>
      <c r="BI328" s="90"/>
      <c r="BJ328" s="90"/>
      <c r="BK328" s="90"/>
      <c r="BL328" s="90"/>
      <c r="BM328" s="90"/>
      <c r="BN328" s="90"/>
      <c r="BO328" s="90"/>
      <c r="BP328" s="90"/>
      <c r="BQ328" s="90"/>
    </row>
    <row r="329" ht="12.75" customHeight="1" outlineLevel="1">
      <c r="A329" s="316"/>
      <c r="B329" s="87"/>
      <c r="C329" s="87" t="s">
        <v>737</v>
      </c>
      <c r="D329" s="87"/>
      <c r="E329" s="87"/>
      <c r="F329" s="87"/>
      <c r="G329" s="125"/>
      <c r="H329" s="125"/>
      <c r="I329" s="125"/>
      <c r="J329" s="99">
        <v>0.0</v>
      </c>
      <c r="K329" s="125">
        <v>0.0</v>
      </c>
      <c r="L329" s="125">
        <v>0.0</v>
      </c>
      <c r="M329" s="125">
        <v>0.0</v>
      </c>
      <c r="N329" s="125">
        <v>0.0</v>
      </c>
      <c r="O329" s="125">
        <v>0.0</v>
      </c>
      <c r="P329" s="125">
        <v>0.0</v>
      </c>
      <c r="Q329" s="125">
        <v>0.0</v>
      </c>
      <c r="R329" s="125">
        <v>0.0</v>
      </c>
      <c r="S329" s="125">
        <v>0.0</v>
      </c>
      <c r="T329" s="125">
        <v>0.0</v>
      </c>
      <c r="U329" s="125">
        <v>0.0</v>
      </c>
      <c r="V329" s="125">
        <v>0.0</v>
      </c>
      <c r="W329" s="125">
        <v>0.0</v>
      </c>
      <c r="X329" s="125">
        <v>0.0</v>
      </c>
      <c r="Y329" s="125">
        <v>0.0</v>
      </c>
      <c r="Z329" s="125">
        <v>0.0</v>
      </c>
      <c r="AA329" s="125">
        <v>0.0</v>
      </c>
      <c r="AB329" s="125">
        <v>0.0</v>
      </c>
      <c r="AC329" s="125">
        <v>0.0</v>
      </c>
      <c r="AD329" s="125">
        <v>0.0</v>
      </c>
      <c r="AE329" s="125">
        <v>0.0</v>
      </c>
      <c r="AF329" s="125">
        <v>0.0</v>
      </c>
      <c r="AG329" s="125">
        <v>0.0</v>
      </c>
      <c r="AH329" s="125">
        <v>0.0</v>
      </c>
      <c r="AI329" s="125">
        <v>0.0</v>
      </c>
      <c r="AJ329" s="125">
        <v>0.0</v>
      </c>
      <c r="AK329" s="125">
        <v>0.0</v>
      </c>
      <c r="AL329" s="125">
        <v>0.0</v>
      </c>
      <c r="AM329" s="125">
        <v>0.0</v>
      </c>
      <c r="AN329" s="125">
        <v>0.0</v>
      </c>
      <c r="AO329" s="125">
        <v>0.0</v>
      </c>
      <c r="AP329" s="125">
        <v>0.0</v>
      </c>
      <c r="AQ329" s="125">
        <v>0.0</v>
      </c>
      <c r="AR329" s="125">
        <v>0.0</v>
      </c>
      <c r="AS329" s="125">
        <v>0.0</v>
      </c>
      <c r="AT329" s="125">
        <v>0.0</v>
      </c>
      <c r="AU329" s="125">
        <v>0.0</v>
      </c>
      <c r="AV329" s="125">
        <v>0.0</v>
      </c>
      <c r="AW329" s="87"/>
      <c r="AX329" s="90"/>
      <c r="AY329" s="90"/>
      <c r="AZ329" s="90"/>
      <c r="BA329" s="90"/>
      <c r="BB329" s="90"/>
      <c r="BC329" s="90"/>
      <c r="BD329" s="90"/>
      <c r="BE329" s="90"/>
      <c r="BF329" s="90"/>
      <c r="BG329" s="90"/>
      <c r="BH329" s="90"/>
      <c r="BI329" s="90"/>
      <c r="BJ329" s="90"/>
      <c r="BK329" s="90"/>
      <c r="BL329" s="90"/>
      <c r="BM329" s="90"/>
      <c r="BN329" s="90"/>
      <c r="BO329" s="90"/>
      <c r="BP329" s="90"/>
      <c r="BQ329" s="90"/>
    </row>
    <row r="330" ht="12.75" customHeight="1" outlineLevel="1">
      <c r="A330" s="316"/>
      <c r="B330" s="67" t="s">
        <v>313</v>
      </c>
      <c r="C330" s="90"/>
      <c r="D330" s="90"/>
      <c r="E330" s="90"/>
      <c r="F330" s="90"/>
      <c r="G330" s="79"/>
      <c r="H330" s="79"/>
      <c r="I330" s="79"/>
      <c r="J330" s="379">
        <v>0.0</v>
      </c>
      <c r="K330" s="79">
        <f t="shared" ref="K330:AV330" si="216">SUM(K322:K329)</f>
        <v>20995.74</v>
      </c>
      <c r="L330" s="79">
        <f t="shared" si="216"/>
        <v>250239.6775</v>
      </c>
      <c r="M330" s="79">
        <f t="shared" si="216"/>
        <v>296708.1235</v>
      </c>
      <c r="N330" s="79">
        <f t="shared" si="216"/>
        <v>314816.5726</v>
      </c>
      <c r="O330" s="79">
        <f t="shared" si="216"/>
        <v>289144.5098</v>
      </c>
      <c r="P330" s="79">
        <f t="shared" si="216"/>
        <v>292191.4</v>
      </c>
      <c r="Q330" s="79">
        <f t="shared" si="216"/>
        <v>236252.0652</v>
      </c>
      <c r="R330" s="79">
        <f t="shared" si="216"/>
        <v>238817.1065</v>
      </c>
      <c r="S330" s="79">
        <f t="shared" si="216"/>
        <v>241433.4487</v>
      </c>
      <c r="T330" s="79">
        <f t="shared" si="216"/>
        <v>244102.1176</v>
      </c>
      <c r="U330" s="79">
        <f t="shared" si="216"/>
        <v>246824.16</v>
      </c>
      <c r="V330" s="79">
        <f t="shared" si="216"/>
        <v>249600.6432</v>
      </c>
      <c r="W330" s="79">
        <f t="shared" si="216"/>
        <v>252432.6561</v>
      </c>
      <c r="X330" s="79">
        <f t="shared" si="216"/>
        <v>255321.3092</v>
      </c>
      <c r="Y330" s="79">
        <f t="shared" si="216"/>
        <v>258267.7354</v>
      </c>
      <c r="Z330" s="79">
        <f t="shared" si="216"/>
        <v>261273.0901</v>
      </c>
      <c r="AA330" s="79">
        <f t="shared" si="216"/>
        <v>264338.5519</v>
      </c>
      <c r="AB330" s="79">
        <f t="shared" si="216"/>
        <v>267465.3229</v>
      </c>
      <c r="AC330" s="79">
        <f t="shared" si="216"/>
        <v>270654.6294</v>
      </c>
      <c r="AD330" s="79">
        <f t="shared" si="216"/>
        <v>273907.722</v>
      </c>
      <c r="AE330" s="79">
        <f t="shared" si="216"/>
        <v>277225.8764</v>
      </c>
      <c r="AF330" s="79">
        <f t="shared" si="216"/>
        <v>280610.3939</v>
      </c>
      <c r="AG330" s="79">
        <f t="shared" si="216"/>
        <v>284062.6018</v>
      </c>
      <c r="AH330" s="79">
        <f t="shared" si="216"/>
        <v>287583.8538</v>
      </c>
      <c r="AI330" s="79">
        <f t="shared" si="216"/>
        <v>291175.5309</v>
      </c>
      <c r="AJ330" s="79">
        <f t="shared" si="216"/>
        <v>294839.0415</v>
      </c>
      <c r="AK330" s="79">
        <f t="shared" si="216"/>
        <v>298575.8224</v>
      </c>
      <c r="AL330" s="79">
        <f t="shared" si="216"/>
        <v>302387.3388</v>
      </c>
      <c r="AM330" s="79">
        <f t="shared" si="216"/>
        <v>306275.0856</v>
      </c>
      <c r="AN330" s="79">
        <f t="shared" si="216"/>
        <v>310240.5873</v>
      </c>
      <c r="AO330" s="79">
        <f t="shared" si="216"/>
        <v>314285.399</v>
      </c>
      <c r="AP330" s="79">
        <f t="shared" si="216"/>
        <v>318411.107</v>
      </c>
      <c r="AQ330" s="79">
        <f t="shared" si="216"/>
        <v>322619.3292</v>
      </c>
      <c r="AR330" s="79">
        <f t="shared" si="216"/>
        <v>326911.7158</v>
      </c>
      <c r="AS330" s="79">
        <f t="shared" si="216"/>
        <v>331289.9501</v>
      </c>
      <c r="AT330" s="79">
        <f t="shared" si="216"/>
        <v>335755.7491</v>
      </c>
      <c r="AU330" s="79">
        <f t="shared" si="216"/>
        <v>340310.864</v>
      </c>
      <c r="AV330" s="79">
        <f t="shared" si="216"/>
        <v>344957.0813</v>
      </c>
      <c r="AW330" s="90"/>
      <c r="AX330" s="90"/>
      <c r="AY330" s="90"/>
      <c r="AZ330" s="90"/>
      <c r="BA330" s="90"/>
      <c r="BB330" s="90"/>
      <c r="BC330" s="90"/>
      <c r="BD330" s="90"/>
      <c r="BE330" s="90"/>
      <c r="BF330" s="90"/>
      <c r="BG330" s="90"/>
      <c r="BH330" s="90"/>
      <c r="BI330" s="90"/>
      <c r="BJ330" s="90"/>
      <c r="BK330" s="90"/>
      <c r="BL330" s="90"/>
      <c r="BM330" s="90"/>
      <c r="BN330" s="90"/>
      <c r="BO330" s="90"/>
      <c r="BP330" s="90"/>
      <c r="BQ330" s="90"/>
    </row>
    <row r="331" ht="12.75" customHeight="1" outlineLevel="1">
      <c r="A331" s="316"/>
      <c r="B331" s="90"/>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c r="AF331" s="90"/>
      <c r="AG331" s="90"/>
      <c r="AH331" s="90"/>
      <c r="AI331" s="90"/>
      <c r="AJ331" s="90"/>
      <c r="AK331" s="90"/>
      <c r="AL331" s="90"/>
      <c r="AM331" s="90"/>
      <c r="AN331" s="90"/>
      <c r="AO331" s="90"/>
      <c r="AP331" s="90"/>
      <c r="AQ331" s="90"/>
      <c r="AR331" s="90"/>
      <c r="AS331" s="90"/>
      <c r="AT331" s="90"/>
      <c r="AU331" s="90"/>
      <c r="AV331" s="90"/>
      <c r="AW331" s="90"/>
      <c r="AX331" s="90"/>
      <c r="AY331" s="90"/>
      <c r="AZ331" s="90"/>
      <c r="BA331" s="90"/>
      <c r="BB331" s="90"/>
      <c r="BC331" s="90"/>
      <c r="BD331" s="90"/>
      <c r="BE331" s="90"/>
      <c r="BF331" s="90"/>
      <c r="BG331" s="90"/>
      <c r="BH331" s="90"/>
      <c r="BI331" s="90"/>
      <c r="BJ331" s="90"/>
      <c r="BK331" s="90"/>
      <c r="BL331" s="90"/>
      <c r="BM331" s="90"/>
      <c r="BN331" s="90"/>
      <c r="BO331" s="90"/>
      <c r="BP331" s="90"/>
      <c r="BQ331" s="90"/>
    </row>
    <row r="332" ht="12.75" customHeight="1" outlineLevel="1">
      <c r="A332" s="316"/>
      <c r="B332" s="67" t="s">
        <v>811</v>
      </c>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c r="AA332" s="90"/>
      <c r="AB332" s="90"/>
      <c r="AC332" s="90"/>
      <c r="AD332" s="90"/>
      <c r="AE332" s="90"/>
      <c r="AF332" s="90"/>
      <c r="AG332" s="90"/>
      <c r="AH332" s="90"/>
      <c r="AI332" s="90"/>
      <c r="AJ332" s="90"/>
      <c r="AK332" s="90"/>
      <c r="AL332" s="90"/>
      <c r="AM332" s="90"/>
      <c r="AN332" s="90"/>
      <c r="AO332" s="90"/>
      <c r="AP332" s="90"/>
      <c r="AQ332" s="90"/>
      <c r="AR332" s="90"/>
      <c r="AS332" s="90"/>
      <c r="AT332" s="90"/>
      <c r="AU332" s="90"/>
      <c r="AV332" s="90"/>
      <c r="AW332" s="90"/>
      <c r="AX332" s="90"/>
      <c r="AY332" s="90"/>
      <c r="AZ332" s="90"/>
      <c r="BA332" s="90"/>
      <c r="BB332" s="90"/>
      <c r="BC332" s="90"/>
      <c r="BD332" s="90"/>
      <c r="BE332" s="90"/>
      <c r="BF332" s="90"/>
      <c r="BG332" s="90"/>
      <c r="BH332" s="90"/>
      <c r="BI332" s="90"/>
      <c r="BJ332" s="90"/>
      <c r="BK332" s="90"/>
      <c r="BL332" s="90"/>
      <c r="BM332" s="90"/>
      <c r="BN332" s="90"/>
      <c r="BO332" s="90"/>
      <c r="BP332" s="90"/>
      <c r="BQ332" s="90"/>
    </row>
    <row r="333" ht="12.75" customHeight="1" outlineLevel="1">
      <c r="A333" s="316"/>
      <c r="B333" s="90"/>
      <c r="C333" s="90" t="s">
        <v>812</v>
      </c>
      <c r="D333" s="90"/>
      <c r="E333" s="90"/>
      <c r="F333" s="90"/>
      <c r="G333" s="99"/>
      <c r="H333" s="99"/>
      <c r="I333" s="99"/>
      <c r="J333" s="543">
        <v>0.0</v>
      </c>
      <c r="K333" s="99">
        <v>5792.5</v>
      </c>
      <c r="L333" s="99">
        <f t="shared" ref="L333:AV333" si="217">L198*L46+L199*L48</f>
        <v>35280</v>
      </c>
      <c r="M333" s="99">
        <f t="shared" si="217"/>
        <v>32599.2</v>
      </c>
      <c r="N333" s="99">
        <f t="shared" si="217"/>
        <v>34749.36</v>
      </c>
      <c r="O333" s="99">
        <f t="shared" si="217"/>
        <v>34489.26</v>
      </c>
      <c r="P333" s="99">
        <f t="shared" si="217"/>
        <v>35179.0452</v>
      </c>
      <c r="Q333" s="99">
        <f t="shared" si="217"/>
        <v>35882.6261</v>
      </c>
      <c r="R333" s="99">
        <f t="shared" si="217"/>
        <v>36600.27863</v>
      </c>
      <c r="S333" s="99">
        <f t="shared" si="217"/>
        <v>37332.2842</v>
      </c>
      <c r="T333" s="99">
        <f t="shared" si="217"/>
        <v>38078.92988</v>
      </c>
      <c r="U333" s="99">
        <f t="shared" si="217"/>
        <v>38840.50848</v>
      </c>
      <c r="V333" s="99">
        <f t="shared" si="217"/>
        <v>39617.31865</v>
      </c>
      <c r="W333" s="99">
        <f t="shared" si="217"/>
        <v>40409.66502</v>
      </c>
      <c r="X333" s="99">
        <f t="shared" si="217"/>
        <v>41217.85832</v>
      </c>
      <c r="Y333" s="99">
        <f t="shared" si="217"/>
        <v>42042.21549</v>
      </c>
      <c r="Z333" s="99">
        <f t="shared" si="217"/>
        <v>42883.0598</v>
      </c>
      <c r="AA333" s="99">
        <f t="shared" si="217"/>
        <v>43740.721</v>
      </c>
      <c r="AB333" s="99">
        <f t="shared" si="217"/>
        <v>44615.53542</v>
      </c>
      <c r="AC333" s="99">
        <f t="shared" si="217"/>
        <v>45507.84612</v>
      </c>
      <c r="AD333" s="99">
        <f t="shared" si="217"/>
        <v>46418.00305</v>
      </c>
      <c r="AE333" s="99">
        <f t="shared" si="217"/>
        <v>47346.36311</v>
      </c>
      <c r="AF333" s="99">
        <f t="shared" si="217"/>
        <v>48293.29037</v>
      </c>
      <c r="AG333" s="99">
        <f t="shared" si="217"/>
        <v>49259.15618</v>
      </c>
      <c r="AH333" s="99">
        <f t="shared" si="217"/>
        <v>50244.3393</v>
      </c>
      <c r="AI333" s="99">
        <f t="shared" si="217"/>
        <v>51249.22609</v>
      </c>
      <c r="AJ333" s="99">
        <f t="shared" si="217"/>
        <v>52274.21061</v>
      </c>
      <c r="AK333" s="99">
        <f t="shared" si="217"/>
        <v>53319.69482</v>
      </c>
      <c r="AL333" s="99">
        <f t="shared" si="217"/>
        <v>54386.08872</v>
      </c>
      <c r="AM333" s="99">
        <f t="shared" si="217"/>
        <v>55473.81049</v>
      </c>
      <c r="AN333" s="99">
        <f t="shared" si="217"/>
        <v>56583.2867</v>
      </c>
      <c r="AO333" s="99">
        <f t="shared" si="217"/>
        <v>57714.95243</v>
      </c>
      <c r="AP333" s="99">
        <f t="shared" si="217"/>
        <v>58869.25148</v>
      </c>
      <c r="AQ333" s="99">
        <f t="shared" si="217"/>
        <v>60046.63651</v>
      </c>
      <c r="AR333" s="99">
        <f t="shared" si="217"/>
        <v>61247.56924</v>
      </c>
      <c r="AS333" s="99">
        <f t="shared" si="217"/>
        <v>62472.52063</v>
      </c>
      <c r="AT333" s="99">
        <f t="shared" si="217"/>
        <v>63721.97104</v>
      </c>
      <c r="AU333" s="99">
        <f t="shared" si="217"/>
        <v>64996.41046</v>
      </c>
      <c r="AV333" s="99">
        <f t="shared" si="217"/>
        <v>66296.33867</v>
      </c>
      <c r="AW333" s="90" t="s">
        <v>1241</v>
      </c>
      <c r="AX333" s="90"/>
      <c r="AY333" s="90"/>
      <c r="AZ333" s="90"/>
      <c r="BA333" s="90"/>
      <c r="BB333" s="90"/>
      <c r="BC333" s="90"/>
      <c r="BD333" s="90"/>
      <c r="BE333" s="90"/>
      <c r="BF333" s="90"/>
      <c r="BG333" s="90"/>
      <c r="BH333" s="90"/>
      <c r="BI333" s="90"/>
      <c r="BJ333" s="90"/>
      <c r="BK333" s="90"/>
      <c r="BL333" s="90"/>
      <c r="BM333" s="90"/>
      <c r="BN333" s="90"/>
      <c r="BO333" s="90"/>
      <c r="BP333" s="90"/>
      <c r="BQ333" s="90"/>
    </row>
    <row r="334" ht="12.75" customHeight="1" outlineLevel="1">
      <c r="A334" s="316"/>
      <c r="B334" s="90"/>
      <c r="C334" s="90" t="s">
        <v>813</v>
      </c>
      <c r="D334" s="90"/>
      <c r="E334" s="90"/>
      <c r="F334" s="90"/>
      <c r="G334" s="99"/>
      <c r="H334" s="99"/>
      <c r="I334" s="99"/>
      <c r="J334" s="543"/>
      <c r="K334" s="99"/>
      <c r="L334" s="99">
        <f t="shared" ref="L334:AV334" si="218">L147*L200</f>
        <v>12000</v>
      </c>
      <c r="M334" s="99">
        <f t="shared" si="218"/>
        <v>15000</v>
      </c>
      <c r="N334" s="99">
        <f t="shared" si="218"/>
        <v>16000</v>
      </c>
      <c r="O334" s="99">
        <f t="shared" si="218"/>
        <v>14000</v>
      </c>
      <c r="P334" s="99">
        <f t="shared" si="218"/>
        <v>14000</v>
      </c>
      <c r="Q334" s="99">
        <f t="shared" si="218"/>
        <v>10000</v>
      </c>
      <c r="R334" s="99">
        <f t="shared" si="218"/>
        <v>10000</v>
      </c>
      <c r="S334" s="99">
        <f t="shared" si="218"/>
        <v>10000</v>
      </c>
      <c r="T334" s="99">
        <f t="shared" si="218"/>
        <v>10000</v>
      </c>
      <c r="U334" s="99">
        <f t="shared" si="218"/>
        <v>10000</v>
      </c>
      <c r="V334" s="99">
        <f t="shared" si="218"/>
        <v>10000</v>
      </c>
      <c r="W334" s="99">
        <f t="shared" si="218"/>
        <v>10000</v>
      </c>
      <c r="X334" s="99">
        <f t="shared" si="218"/>
        <v>10000</v>
      </c>
      <c r="Y334" s="99">
        <f t="shared" si="218"/>
        <v>10000</v>
      </c>
      <c r="Z334" s="99">
        <f t="shared" si="218"/>
        <v>10000</v>
      </c>
      <c r="AA334" s="99">
        <f t="shared" si="218"/>
        <v>10000</v>
      </c>
      <c r="AB334" s="99">
        <f t="shared" si="218"/>
        <v>10000</v>
      </c>
      <c r="AC334" s="99">
        <f t="shared" si="218"/>
        <v>10000</v>
      </c>
      <c r="AD334" s="99">
        <f t="shared" si="218"/>
        <v>10000</v>
      </c>
      <c r="AE334" s="99">
        <f t="shared" si="218"/>
        <v>10000</v>
      </c>
      <c r="AF334" s="99">
        <f t="shared" si="218"/>
        <v>10000</v>
      </c>
      <c r="AG334" s="99">
        <f t="shared" si="218"/>
        <v>10000</v>
      </c>
      <c r="AH334" s="99">
        <f t="shared" si="218"/>
        <v>10000</v>
      </c>
      <c r="AI334" s="99">
        <f t="shared" si="218"/>
        <v>10000</v>
      </c>
      <c r="AJ334" s="99">
        <f t="shared" si="218"/>
        <v>10000</v>
      </c>
      <c r="AK334" s="99">
        <f t="shared" si="218"/>
        <v>10000</v>
      </c>
      <c r="AL334" s="99">
        <f t="shared" si="218"/>
        <v>10000</v>
      </c>
      <c r="AM334" s="99">
        <f t="shared" si="218"/>
        <v>10000</v>
      </c>
      <c r="AN334" s="99">
        <f t="shared" si="218"/>
        <v>10000</v>
      </c>
      <c r="AO334" s="99">
        <f t="shared" si="218"/>
        <v>10000</v>
      </c>
      <c r="AP334" s="99">
        <f t="shared" si="218"/>
        <v>10000</v>
      </c>
      <c r="AQ334" s="99">
        <f t="shared" si="218"/>
        <v>10000</v>
      </c>
      <c r="AR334" s="99">
        <f t="shared" si="218"/>
        <v>10000</v>
      </c>
      <c r="AS334" s="99">
        <f t="shared" si="218"/>
        <v>10000</v>
      </c>
      <c r="AT334" s="99">
        <f t="shared" si="218"/>
        <v>10000</v>
      </c>
      <c r="AU334" s="99">
        <f t="shared" si="218"/>
        <v>10000</v>
      </c>
      <c r="AV334" s="99">
        <f t="shared" si="218"/>
        <v>10000</v>
      </c>
      <c r="AW334" s="90"/>
      <c r="AX334" s="90"/>
      <c r="AY334" s="90"/>
      <c r="AZ334" s="90"/>
      <c r="BA334" s="90"/>
      <c r="BB334" s="90"/>
      <c r="BC334" s="90"/>
      <c r="BD334" s="90"/>
      <c r="BE334" s="90"/>
      <c r="BF334" s="90"/>
      <c r="BG334" s="90"/>
      <c r="BH334" s="90"/>
      <c r="BI334" s="90"/>
      <c r="BJ334" s="90"/>
      <c r="BK334" s="90"/>
      <c r="BL334" s="90"/>
      <c r="BM334" s="90"/>
      <c r="BN334" s="90"/>
      <c r="BO334" s="90"/>
      <c r="BP334" s="90"/>
      <c r="BQ334" s="90"/>
    </row>
    <row r="335" ht="12.75" customHeight="1" outlineLevel="1">
      <c r="A335" s="316"/>
      <c r="B335" s="90"/>
      <c r="C335" s="90" t="s">
        <v>814</v>
      </c>
      <c r="D335" s="90"/>
      <c r="E335" s="90"/>
      <c r="F335" s="90"/>
      <c r="G335" s="99"/>
      <c r="H335" s="99"/>
      <c r="I335" s="99"/>
      <c r="J335" s="99">
        <v>0.0</v>
      </c>
      <c r="K335" s="99">
        <v>804.76</v>
      </c>
      <c r="L335" s="99">
        <f t="shared" ref="L335:AV335" si="219">L204+(L202)*L48+L203</f>
        <v>123800</v>
      </c>
      <c r="M335" s="99">
        <f t="shared" si="219"/>
        <v>31316</v>
      </c>
      <c r="N335" s="99">
        <f t="shared" si="219"/>
        <v>26224.16</v>
      </c>
      <c r="O335" s="99">
        <f t="shared" si="219"/>
        <v>15918.12</v>
      </c>
      <c r="P335" s="99">
        <f t="shared" si="219"/>
        <v>16236.4824</v>
      </c>
      <c r="Q335" s="99">
        <f t="shared" si="219"/>
        <v>16561.21205</v>
      </c>
      <c r="R335" s="99">
        <f t="shared" si="219"/>
        <v>16892.43629</v>
      </c>
      <c r="S335" s="99">
        <f t="shared" si="219"/>
        <v>17230.28501</v>
      </c>
      <c r="T335" s="99">
        <f t="shared" si="219"/>
        <v>17574.89072</v>
      </c>
      <c r="U335" s="99">
        <f t="shared" si="219"/>
        <v>17926.38853</v>
      </c>
      <c r="V335" s="99">
        <f t="shared" si="219"/>
        <v>18284.9163</v>
      </c>
      <c r="W335" s="99">
        <f t="shared" si="219"/>
        <v>18650.61463</v>
      </c>
      <c r="X335" s="99">
        <f t="shared" si="219"/>
        <v>19023.62692</v>
      </c>
      <c r="Y335" s="99">
        <f t="shared" si="219"/>
        <v>19404.09946</v>
      </c>
      <c r="Z335" s="99">
        <f t="shared" si="219"/>
        <v>19792.18145</v>
      </c>
      <c r="AA335" s="99">
        <f t="shared" si="219"/>
        <v>20188.02507</v>
      </c>
      <c r="AB335" s="99">
        <f t="shared" si="219"/>
        <v>20591.78558</v>
      </c>
      <c r="AC335" s="99">
        <f t="shared" si="219"/>
        <v>21003.62129</v>
      </c>
      <c r="AD335" s="99">
        <f t="shared" si="219"/>
        <v>21423.69371</v>
      </c>
      <c r="AE335" s="99">
        <f t="shared" si="219"/>
        <v>21852.16759</v>
      </c>
      <c r="AF335" s="99">
        <f t="shared" si="219"/>
        <v>22289.21094</v>
      </c>
      <c r="AG335" s="99">
        <f t="shared" si="219"/>
        <v>22734.99516</v>
      </c>
      <c r="AH335" s="99">
        <f t="shared" si="219"/>
        <v>23189.69506</v>
      </c>
      <c r="AI335" s="99">
        <f t="shared" si="219"/>
        <v>23653.48896</v>
      </c>
      <c r="AJ335" s="99">
        <f t="shared" si="219"/>
        <v>24126.55874</v>
      </c>
      <c r="AK335" s="99">
        <f t="shared" si="219"/>
        <v>24609.08992</v>
      </c>
      <c r="AL335" s="99">
        <f t="shared" si="219"/>
        <v>25101.27172</v>
      </c>
      <c r="AM335" s="99">
        <f t="shared" si="219"/>
        <v>25603.29715</v>
      </c>
      <c r="AN335" s="99">
        <f t="shared" si="219"/>
        <v>26115.36309</v>
      </c>
      <c r="AO335" s="99">
        <f t="shared" si="219"/>
        <v>26637.67035</v>
      </c>
      <c r="AP335" s="99">
        <f t="shared" si="219"/>
        <v>27170.42376</v>
      </c>
      <c r="AQ335" s="99">
        <f t="shared" si="219"/>
        <v>27713.83224</v>
      </c>
      <c r="AR335" s="99">
        <f t="shared" si="219"/>
        <v>28268.10888</v>
      </c>
      <c r="AS335" s="99">
        <f t="shared" si="219"/>
        <v>28833.47106</v>
      </c>
      <c r="AT335" s="99">
        <f t="shared" si="219"/>
        <v>29410.14048</v>
      </c>
      <c r="AU335" s="99">
        <f t="shared" si="219"/>
        <v>29998.34329</v>
      </c>
      <c r="AV335" s="99">
        <f t="shared" si="219"/>
        <v>30598.31016</v>
      </c>
      <c r="AW335" s="90"/>
      <c r="AX335" s="90"/>
      <c r="AY335" s="90"/>
      <c r="AZ335" s="90"/>
      <c r="BA335" s="90"/>
      <c r="BB335" s="90"/>
      <c r="BC335" s="90"/>
      <c r="BD335" s="90"/>
      <c r="BE335" s="90"/>
      <c r="BF335" s="90"/>
      <c r="BG335" s="90"/>
      <c r="BH335" s="90"/>
      <c r="BI335" s="90"/>
      <c r="BJ335" s="90"/>
      <c r="BK335" s="90"/>
      <c r="BL335" s="90"/>
      <c r="BM335" s="90"/>
      <c r="BN335" s="90"/>
      <c r="BO335" s="90"/>
      <c r="BP335" s="90"/>
      <c r="BQ335" s="90"/>
    </row>
    <row r="336" ht="12.75" customHeight="1" outlineLevel="1">
      <c r="A336" s="316"/>
      <c r="B336" s="90"/>
      <c r="C336" s="90" t="s">
        <v>815</v>
      </c>
      <c r="D336" s="90"/>
      <c r="E336" s="90"/>
      <c r="F336" s="90"/>
      <c r="G336" s="99"/>
      <c r="H336" s="99"/>
      <c r="I336" s="99"/>
      <c r="J336" s="99">
        <v>0.0</v>
      </c>
      <c r="K336" s="99">
        <v>58.04</v>
      </c>
      <c r="L336" s="99">
        <f t="shared" ref="L336:AV336" si="220">L46*L205+10000</f>
        <v>49200</v>
      </c>
      <c r="M336" s="99">
        <f t="shared" si="220"/>
        <v>57328</v>
      </c>
      <c r="N336" s="99">
        <f t="shared" si="220"/>
        <v>62020</v>
      </c>
      <c r="O336" s="99">
        <f t="shared" si="220"/>
        <v>63060.4</v>
      </c>
      <c r="P336" s="99">
        <f t="shared" si="220"/>
        <v>64121.608</v>
      </c>
      <c r="Q336" s="99">
        <f t="shared" si="220"/>
        <v>65204.04016</v>
      </c>
      <c r="R336" s="99">
        <f t="shared" si="220"/>
        <v>66308.12096</v>
      </c>
      <c r="S336" s="99">
        <f t="shared" si="220"/>
        <v>67434.28338</v>
      </c>
      <c r="T336" s="99">
        <f t="shared" si="220"/>
        <v>68582.96905</v>
      </c>
      <c r="U336" s="99">
        <f t="shared" si="220"/>
        <v>69754.62843</v>
      </c>
      <c r="V336" s="99">
        <f t="shared" si="220"/>
        <v>70949.721</v>
      </c>
      <c r="W336" s="99">
        <f t="shared" si="220"/>
        <v>72168.71542</v>
      </c>
      <c r="X336" s="99">
        <f t="shared" si="220"/>
        <v>73412.08973</v>
      </c>
      <c r="Y336" s="99">
        <f t="shared" si="220"/>
        <v>74680.33152</v>
      </c>
      <c r="Z336" s="99">
        <f t="shared" si="220"/>
        <v>75973.93815</v>
      </c>
      <c r="AA336" s="99">
        <f t="shared" si="220"/>
        <v>77293.41692</v>
      </c>
      <c r="AB336" s="99">
        <f t="shared" si="220"/>
        <v>78639.28525</v>
      </c>
      <c r="AC336" s="99">
        <f t="shared" si="220"/>
        <v>80012.07096</v>
      </c>
      <c r="AD336" s="99">
        <f t="shared" si="220"/>
        <v>81412.31238</v>
      </c>
      <c r="AE336" s="99">
        <f t="shared" si="220"/>
        <v>82840.55863</v>
      </c>
      <c r="AF336" s="99">
        <f t="shared" si="220"/>
        <v>84297.3698</v>
      </c>
      <c r="AG336" s="99">
        <f t="shared" si="220"/>
        <v>85783.31719</v>
      </c>
      <c r="AH336" s="99">
        <f t="shared" si="220"/>
        <v>87298.98354</v>
      </c>
      <c r="AI336" s="99">
        <f t="shared" si="220"/>
        <v>88844.96321</v>
      </c>
      <c r="AJ336" s="99">
        <f t="shared" si="220"/>
        <v>90421.86247</v>
      </c>
      <c r="AK336" s="99">
        <f t="shared" si="220"/>
        <v>92030.29972</v>
      </c>
      <c r="AL336" s="99">
        <f t="shared" si="220"/>
        <v>93670.90572</v>
      </c>
      <c r="AM336" s="99">
        <f t="shared" si="220"/>
        <v>95344.32383</v>
      </c>
      <c r="AN336" s="99">
        <f t="shared" si="220"/>
        <v>97051.21031</v>
      </c>
      <c r="AO336" s="99">
        <f t="shared" si="220"/>
        <v>98792.23451</v>
      </c>
      <c r="AP336" s="99">
        <f t="shared" si="220"/>
        <v>100568.0792</v>
      </c>
      <c r="AQ336" s="99">
        <f t="shared" si="220"/>
        <v>102379.4408</v>
      </c>
      <c r="AR336" s="99">
        <f t="shared" si="220"/>
        <v>104227.0296</v>
      </c>
      <c r="AS336" s="99">
        <f t="shared" si="220"/>
        <v>106111.5702</v>
      </c>
      <c r="AT336" s="99">
        <f t="shared" si="220"/>
        <v>108033.8016</v>
      </c>
      <c r="AU336" s="99">
        <f t="shared" si="220"/>
        <v>109994.4776</v>
      </c>
      <c r="AV336" s="99">
        <f t="shared" si="220"/>
        <v>111994.3672</v>
      </c>
      <c r="AW336" s="90"/>
      <c r="AX336" s="90"/>
      <c r="AY336" s="90"/>
      <c r="AZ336" s="90"/>
      <c r="BA336" s="90"/>
      <c r="BB336" s="90"/>
      <c r="BC336" s="90"/>
      <c r="BD336" s="90"/>
      <c r="BE336" s="90"/>
      <c r="BF336" s="90"/>
      <c r="BG336" s="90"/>
      <c r="BH336" s="90"/>
      <c r="BI336" s="90"/>
      <c r="BJ336" s="90"/>
      <c r="BK336" s="90"/>
      <c r="BL336" s="90"/>
      <c r="BM336" s="90"/>
      <c r="BN336" s="90"/>
      <c r="BO336" s="90"/>
      <c r="BP336" s="90"/>
      <c r="BQ336" s="90"/>
    </row>
    <row r="337" ht="12.75" customHeight="1" outlineLevel="1">
      <c r="A337" s="316"/>
      <c r="B337" s="90"/>
      <c r="C337" s="90" t="s">
        <v>816</v>
      </c>
      <c r="D337" s="90"/>
      <c r="E337" s="90"/>
      <c r="F337" s="90"/>
      <c r="G337" s="99"/>
      <c r="H337" s="99"/>
      <c r="I337" s="99"/>
      <c r="J337" s="99">
        <v>0.0</v>
      </c>
      <c r="K337" s="99">
        <v>1928.49</v>
      </c>
      <c r="L337" s="99">
        <f t="shared" ref="L337:AV337" si="221">L206+L207*L159</f>
        <v>124812.5</v>
      </c>
      <c r="M337" s="99">
        <f t="shared" si="221"/>
        <v>12250</v>
      </c>
      <c r="N337" s="99">
        <f t="shared" si="221"/>
        <v>10750</v>
      </c>
      <c r="O337" s="99">
        <f t="shared" si="221"/>
        <v>8500</v>
      </c>
      <c r="P337" s="99">
        <f t="shared" si="221"/>
        <v>10000</v>
      </c>
      <c r="Q337" s="99">
        <f t="shared" si="221"/>
        <v>7000</v>
      </c>
      <c r="R337" s="99">
        <f t="shared" si="221"/>
        <v>10000</v>
      </c>
      <c r="S337" s="99">
        <f t="shared" si="221"/>
        <v>10000</v>
      </c>
      <c r="T337" s="99">
        <f t="shared" si="221"/>
        <v>10000</v>
      </c>
      <c r="U337" s="99">
        <f t="shared" si="221"/>
        <v>10000</v>
      </c>
      <c r="V337" s="99">
        <f t="shared" si="221"/>
        <v>10000</v>
      </c>
      <c r="W337" s="99">
        <f t="shared" si="221"/>
        <v>10000</v>
      </c>
      <c r="X337" s="99">
        <f t="shared" si="221"/>
        <v>10000</v>
      </c>
      <c r="Y337" s="99">
        <f t="shared" si="221"/>
        <v>10000</v>
      </c>
      <c r="Z337" s="99">
        <f t="shared" si="221"/>
        <v>10000</v>
      </c>
      <c r="AA337" s="99">
        <f t="shared" si="221"/>
        <v>10000</v>
      </c>
      <c r="AB337" s="99">
        <f t="shared" si="221"/>
        <v>10000</v>
      </c>
      <c r="AC337" s="99">
        <f t="shared" si="221"/>
        <v>10000</v>
      </c>
      <c r="AD337" s="99">
        <f t="shared" si="221"/>
        <v>10000</v>
      </c>
      <c r="AE337" s="99">
        <f t="shared" si="221"/>
        <v>10000</v>
      </c>
      <c r="AF337" s="99">
        <f t="shared" si="221"/>
        <v>10000</v>
      </c>
      <c r="AG337" s="99">
        <f t="shared" si="221"/>
        <v>10000</v>
      </c>
      <c r="AH337" s="99">
        <f t="shared" si="221"/>
        <v>10000</v>
      </c>
      <c r="AI337" s="99">
        <f t="shared" si="221"/>
        <v>10000</v>
      </c>
      <c r="AJ337" s="99">
        <f t="shared" si="221"/>
        <v>10000</v>
      </c>
      <c r="AK337" s="99">
        <f t="shared" si="221"/>
        <v>10000</v>
      </c>
      <c r="AL337" s="99">
        <f t="shared" si="221"/>
        <v>10000</v>
      </c>
      <c r="AM337" s="99">
        <f t="shared" si="221"/>
        <v>10000</v>
      </c>
      <c r="AN337" s="99">
        <f t="shared" si="221"/>
        <v>10000</v>
      </c>
      <c r="AO337" s="99">
        <f t="shared" si="221"/>
        <v>10000</v>
      </c>
      <c r="AP337" s="99">
        <f t="shared" si="221"/>
        <v>10000</v>
      </c>
      <c r="AQ337" s="99">
        <f t="shared" si="221"/>
        <v>10000</v>
      </c>
      <c r="AR337" s="99">
        <f t="shared" si="221"/>
        <v>10000</v>
      </c>
      <c r="AS337" s="99">
        <f t="shared" si="221"/>
        <v>10000</v>
      </c>
      <c r="AT337" s="99">
        <f t="shared" si="221"/>
        <v>10000</v>
      </c>
      <c r="AU337" s="99">
        <f t="shared" si="221"/>
        <v>10000</v>
      </c>
      <c r="AV337" s="99">
        <f t="shared" si="221"/>
        <v>10000</v>
      </c>
      <c r="AW337" s="90" t="s">
        <v>1220</v>
      </c>
      <c r="AX337" s="90"/>
      <c r="AY337" s="90"/>
      <c r="AZ337" s="90"/>
      <c r="BA337" s="90"/>
      <c r="BB337" s="90"/>
      <c r="BC337" s="90"/>
      <c r="BD337" s="90"/>
      <c r="BE337" s="90"/>
      <c r="BF337" s="90"/>
      <c r="BG337" s="90"/>
      <c r="BH337" s="90"/>
      <c r="BI337" s="90"/>
      <c r="BJ337" s="90"/>
      <c r="BK337" s="90"/>
      <c r="BL337" s="90"/>
      <c r="BM337" s="90"/>
      <c r="BN337" s="90"/>
      <c r="BO337" s="90"/>
      <c r="BP337" s="90"/>
      <c r="BQ337" s="90"/>
    </row>
    <row r="338" ht="12.75" customHeight="1" outlineLevel="1">
      <c r="A338" s="316"/>
      <c r="B338" s="87"/>
      <c r="C338" s="87" t="s">
        <v>817</v>
      </c>
      <c r="D338" s="87"/>
      <c r="E338" s="87"/>
      <c r="F338" s="87"/>
      <c r="G338" s="125"/>
      <c r="H338" s="125"/>
      <c r="I338" s="125"/>
      <c r="J338" s="125">
        <v>0.0</v>
      </c>
      <c r="K338" s="125">
        <f>K195*K56</f>
        <v>0</v>
      </c>
      <c r="L338" s="125">
        <f t="shared" ref="L338:AV338" si="222">L208*L55</f>
        <v>165580.8</v>
      </c>
      <c r="M338" s="125">
        <f t="shared" si="222"/>
        <v>199913.472</v>
      </c>
      <c r="N338" s="125">
        <f t="shared" si="222"/>
        <v>219732.48</v>
      </c>
      <c r="O338" s="125">
        <f t="shared" si="222"/>
        <v>224127.1296</v>
      </c>
      <c r="P338" s="125">
        <f t="shared" si="222"/>
        <v>228609.6722</v>
      </c>
      <c r="Q338" s="125">
        <f t="shared" si="222"/>
        <v>233181.8656</v>
      </c>
      <c r="R338" s="125">
        <f t="shared" si="222"/>
        <v>237845.5029</v>
      </c>
      <c r="S338" s="125">
        <f t="shared" si="222"/>
        <v>242602.413</v>
      </c>
      <c r="T338" s="125">
        <f t="shared" si="222"/>
        <v>247454.4613</v>
      </c>
      <c r="U338" s="125">
        <f t="shared" si="222"/>
        <v>252403.5505</v>
      </c>
      <c r="V338" s="125">
        <f t="shared" si="222"/>
        <v>257451.6215</v>
      </c>
      <c r="W338" s="125">
        <f t="shared" si="222"/>
        <v>262600.6539</v>
      </c>
      <c r="X338" s="125">
        <f t="shared" si="222"/>
        <v>267852.667</v>
      </c>
      <c r="Y338" s="125">
        <f t="shared" si="222"/>
        <v>273209.7204</v>
      </c>
      <c r="Z338" s="125">
        <f t="shared" si="222"/>
        <v>278673.9148</v>
      </c>
      <c r="AA338" s="125">
        <f t="shared" si="222"/>
        <v>284247.3931</v>
      </c>
      <c r="AB338" s="125">
        <f t="shared" si="222"/>
        <v>289932.3409</v>
      </c>
      <c r="AC338" s="125">
        <f t="shared" si="222"/>
        <v>295730.9877</v>
      </c>
      <c r="AD338" s="125">
        <f t="shared" si="222"/>
        <v>301645.6075</v>
      </c>
      <c r="AE338" s="125">
        <f t="shared" si="222"/>
        <v>307678.5196</v>
      </c>
      <c r="AF338" s="125">
        <f t="shared" si="222"/>
        <v>313832.09</v>
      </c>
      <c r="AG338" s="125">
        <f t="shared" si="222"/>
        <v>320108.7318</v>
      </c>
      <c r="AH338" s="125">
        <f t="shared" si="222"/>
        <v>326510.9065</v>
      </c>
      <c r="AI338" s="125">
        <f t="shared" si="222"/>
        <v>333041.1246</v>
      </c>
      <c r="AJ338" s="125">
        <f t="shared" si="222"/>
        <v>339701.9471</v>
      </c>
      <c r="AK338" s="125">
        <f t="shared" si="222"/>
        <v>346495.986</v>
      </c>
      <c r="AL338" s="125">
        <f t="shared" si="222"/>
        <v>353425.9058</v>
      </c>
      <c r="AM338" s="125">
        <f t="shared" si="222"/>
        <v>360494.4239</v>
      </c>
      <c r="AN338" s="125">
        <f t="shared" si="222"/>
        <v>367704.3123</v>
      </c>
      <c r="AO338" s="125">
        <f t="shared" si="222"/>
        <v>375058.3986</v>
      </c>
      <c r="AP338" s="125">
        <f t="shared" si="222"/>
        <v>382559.5666</v>
      </c>
      <c r="AQ338" s="125">
        <f t="shared" si="222"/>
        <v>390210.7579</v>
      </c>
      <c r="AR338" s="125">
        <f t="shared" si="222"/>
        <v>398014.9731</v>
      </c>
      <c r="AS338" s="125">
        <f t="shared" si="222"/>
        <v>405975.2725</v>
      </c>
      <c r="AT338" s="125">
        <f t="shared" si="222"/>
        <v>414094.778</v>
      </c>
      <c r="AU338" s="125">
        <f t="shared" si="222"/>
        <v>422376.6735</v>
      </c>
      <c r="AV338" s="125">
        <f t="shared" si="222"/>
        <v>430824.207</v>
      </c>
      <c r="AW338" s="87" t="s">
        <v>1221</v>
      </c>
      <c r="AX338" s="90"/>
      <c r="AY338" s="90"/>
      <c r="AZ338" s="90"/>
      <c r="BA338" s="90"/>
      <c r="BB338" s="90"/>
      <c r="BC338" s="90"/>
      <c r="BD338" s="90"/>
      <c r="BE338" s="90"/>
      <c r="BF338" s="90"/>
      <c r="BG338" s="90"/>
      <c r="BH338" s="90"/>
      <c r="BI338" s="90"/>
      <c r="BJ338" s="90"/>
      <c r="BK338" s="90"/>
      <c r="BL338" s="90"/>
      <c r="BM338" s="90"/>
      <c r="BN338" s="90"/>
      <c r="BO338" s="90"/>
      <c r="BP338" s="90"/>
      <c r="BQ338" s="90"/>
    </row>
    <row r="339" ht="12.75" customHeight="1" outlineLevel="1">
      <c r="A339" s="316"/>
      <c r="B339" s="67" t="s">
        <v>818</v>
      </c>
      <c r="C339" s="90"/>
      <c r="D339" s="90"/>
      <c r="E339" s="90"/>
      <c r="F339" s="90"/>
      <c r="G339" s="79"/>
      <c r="H339" s="79"/>
      <c r="I339" s="79"/>
      <c r="J339" s="79">
        <v>0.0</v>
      </c>
      <c r="K339" s="79">
        <f t="shared" ref="K339:AV339" si="223">SUM(K333:K338)</f>
        <v>8583.79</v>
      </c>
      <c r="L339" s="79">
        <f t="shared" si="223"/>
        <v>510673.3</v>
      </c>
      <c r="M339" s="79">
        <f t="shared" si="223"/>
        <v>348406.672</v>
      </c>
      <c r="N339" s="79">
        <f t="shared" si="223"/>
        <v>369476</v>
      </c>
      <c r="O339" s="79">
        <f t="shared" si="223"/>
        <v>360094.9096</v>
      </c>
      <c r="P339" s="79">
        <f t="shared" si="223"/>
        <v>368146.8078</v>
      </c>
      <c r="Q339" s="79">
        <f t="shared" si="223"/>
        <v>367829.7439</v>
      </c>
      <c r="R339" s="79">
        <f t="shared" si="223"/>
        <v>377646.3388</v>
      </c>
      <c r="S339" s="79">
        <f t="shared" si="223"/>
        <v>384599.2656</v>
      </c>
      <c r="T339" s="79">
        <f t="shared" si="223"/>
        <v>391691.2509</v>
      </c>
      <c r="U339" s="79">
        <f t="shared" si="223"/>
        <v>398925.0759</v>
      </c>
      <c r="V339" s="79">
        <f t="shared" si="223"/>
        <v>406303.5775</v>
      </c>
      <c r="W339" s="79">
        <f t="shared" si="223"/>
        <v>413829.649</v>
      </c>
      <c r="X339" s="79">
        <f t="shared" si="223"/>
        <v>421506.242</v>
      </c>
      <c r="Y339" s="79">
        <f t="shared" si="223"/>
        <v>429336.3668</v>
      </c>
      <c r="Z339" s="79">
        <f t="shared" si="223"/>
        <v>437323.0942</v>
      </c>
      <c r="AA339" s="79">
        <f t="shared" si="223"/>
        <v>445469.556</v>
      </c>
      <c r="AB339" s="79">
        <f t="shared" si="223"/>
        <v>453778.9472</v>
      </c>
      <c r="AC339" s="79">
        <f t="shared" si="223"/>
        <v>462254.5261</v>
      </c>
      <c r="AD339" s="79">
        <f t="shared" si="223"/>
        <v>470899.6166</v>
      </c>
      <c r="AE339" s="79">
        <f t="shared" si="223"/>
        <v>479717.609</v>
      </c>
      <c r="AF339" s="79">
        <f t="shared" si="223"/>
        <v>488711.9611</v>
      </c>
      <c r="AG339" s="79">
        <f t="shared" si="223"/>
        <v>497886.2004</v>
      </c>
      <c r="AH339" s="79">
        <f t="shared" si="223"/>
        <v>507243.9244</v>
      </c>
      <c r="AI339" s="79">
        <f t="shared" si="223"/>
        <v>516788.8029</v>
      </c>
      <c r="AJ339" s="79">
        <f t="shared" si="223"/>
        <v>526524.5789</v>
      </c>
      <c r="AK339" s="79">
        <f t="shared" si="223"/>
        <v>536455.0705</v>
      </c>
      <c r="AL339" s="79">
        <f t="shared" si="223"/>
        <v>546584.1719</v>
      </c>
      <c r="AM339" s="79">
        <f t="shared" si="223"/>
        <v>556915.8553</v>
      </c>
      <c r="AN339" s="79">
        <f t="shared" si="223"/>
        <v>567454.1724</v>
      </c>
      <c r="AO339" s="79">
        <f t="shared" si="223"/>
        <v>578203.2559</v>
      </c>
      <c r="AP339" s="79">
        <f t="shared" si="223"/>
        <v>589167.321</v>
      </c>
      <c r="AQ339" s="79">
        <f t="shared" si="223"/>
        <v>600350.6674</v>
      </c>
      <c r="AR339" s="79">
        <f t="shared" si="223"/>
        <v>611757.6808</v>
      </c>
      <c r="AS339" s="79">
        <f t="shared" si="223"/>
        <v>623392.8344</v>
      </c>
      <c r="AT339" s="79">
        <f t="shared" si="223"/>
        <v>635260.6911</v>
      </c>
      <c r="AU339" s="79">
        <f t="shared" si="223"/>
        <v>647365.9049</v>
      </c>
      <c r="AV339" s="79">
        <f t="shared" si="223"/>
        <v>659713.223</v>
      </c>
      <c r="AW339" s="90"/>
      <c r="AX339" s="90"/>
      <c r="AY339" s="90"/>
      <c r="AZ339" s="90"/>
      <c r="BA339" s="90"/>
      <c r="BB339" s="90"/>
      <c r="BC339" s="90"/>
      <c r="BD339" s="90"/>
      <c r="BE339" s="90"/>
      <c r="BF339" s="90"/>
      <c r="BG339" s="90"/>
      <c r="BH339" s="90"/>
      <c r="BI339" s="90"/>
      <c r="BJ339" s="90"/>
      <c r="BK339" s="90"/>
      <c r="BL339" s="90"/>
      <c r="BM339" s="90"/>
      <c r="BN339" s="90"/>
      <c r="BO339" s="90"/>
      <c r="BP339" s="90"/>
      <c r="BQ339" s="90"/>
    </row>
    <row r="340" ht="12.75" customHeight="1" outlineLevel="1">
      <c r="A340" s="316"/>
      <c r="B340" s="90"/>
      <c r="C340" s="90"/>
      <c r="D340" s="90"/>
      <c r="E340" s="90"/>
      <c r="F340" s="90"/>
      <c r="G340" s="152"/>
      <c r="H340" s="152"/>
      <c r="I340" s="152"/>
      <c r="J340" s="99"/>
      <c r="K340" s="99"/>
      <c r="L340" s="99"/>
      <c r="M340" s="99"/>
      <c r="N340" s="99"/>
      <c r="O340" s="99"/>
      <c r="P340" s="99"/>
      <c r="Q340" s="99"/>
      <c r="R340" s="152"/>
      <c r="S340" s="152"/>
      <c r="T340" s="152"/>
      <c r="U340" s="152"/>
      <c r="V340" s="152"/>
      <c r="W340" s="152"/>
      <c r="X340" s="152"/>
      <c r="Y340" s="152"/>
      <c r="Z340" s="152"/>
      <c r="AA340" s="152"/>
      <c r="AB340" s="152"/>
      <c r="AC340" s="152"/>
      <c r="AD340" s="152"/>
      <c r="AE340" s="152"/>
      <c r="AF340" s="152"/>
      <c r="AG340" s="152"/>
      <c r="AH340" s="152"/>
      <c r="AI340" s="152"/>
      <c r="AJ340" s="152"/>
      <c r="AK340" s="152"/>
      <c r="AL340" s="152"/>
      <c r="AM340" s="152"/>
      <c r="AN340" s="152"/>
      <c r="AO340" s="152"/>
      <c r="AP340" s="152"/>
      <c r="AQ340" s="152"/>
      <c r="AR340" s="152"/>
      <c r="AS340" s="152"/>
      <c r="AT340" s="152"/>
      <c r="AU340" s="152"/>
      <c r="AV340" s="152"/>
      <c r="AW340" s="90"/>
      <c r="AX340" s="90"/>
      <c r="AY340" s="90"/>
      <c r="AZ340" s="90"/>
      <c r="BA340" s="90"/>
      <c r="BB340" s="90"/>
      <c r="BC340" s="90"/>
      <c r="BD340" s="90"/>
      <c r="BE340" s="90"/>
      <c r="BF340" s="90"/>
      <c r="BG340" s="90"/>
      <c r="BH340" s="90"/>
      <c r="BI340" s="90"/>
      <c r="BJ340" s="90"/>
      <c r="BK340" s="90"/>
      <c r="BL340" s="90"/>
      <c r="BM340" s="90"/>
      <c r="BN340" s="90"/>
      <c r="BO340" s="90"/>
      <c r="BP340" s="90"/>
      <c r="BQ340" s="90"/>
    </row>
    <row r="341" ht="12.75" customHeight="1" outlineLevel="1">
      <c r="A341" s="316"/>
      <c r="B341" s="67" t="s">
        <v>626</v>
      </c>
      <c r="C341" s="90"/>
      <c r="D341" s="90"/>
      <c r="E341" s="90"/>
      <c r="F341" s="90"/>
      <c r="G341" s="90"/>
      <c r="H341" s="90"/>
      <c r="I341" s="99"/>
      <c r="J341" s="99"/>
      <c r="K341" s="99"/>
      <c r="L341" s="99"/>
      <c r="M341" s="99"/>
      <c r="N341" s="99"/>
      <c r="O341" s="99"/>
      <c r="P341" s="99"/>
      <c r="Q341" s="99"/>
      <c r="R341" s="99"/>
      <c r="S341" s="99"/>
      <c r="T341" s="99"/>
      <c r="U341" s="99"/>
      <c r="V341" s="99"/>
      <c r="W341" s="99"/>
      <c r="X341" s="99"/>
      <c r="Y341" s="99"/>
      <c r="Z341" s="99"/>
      <c r="AA341" s="99"/>
      <c r="AB341" s="99"/>
      <c r="AC341" s="99"/>
      <c r="AD341" s="99"/>
      <c r="AE341" s="99"/>
      <c r="AF341" s="99"/>
      <c r="AG341" s="99"/>
      <c r="AH341" s="99"/>
      <c r="AI341" s="99"/>
      <c r="AJ341" s="99"/>
      <c r="AK341" s="99"/>
      <c r="AL341" s="99"/>
      <c r="AM341" s="99"/>
      <c r="AN341" s="99"/>
      <c r="AO341" s="99"/>
      <c r="AP341" s="99"/>
      <c r="AQ341" s="99"/>
      <c r="AR341" s="99"/>
      <c r="AS341" s="99"/>
      <c r="AT341" s="99"/>
      <c r="AU341" s="99"/>
      <c r="AV341" s="99"/>
      <c r="AW341" s="90"/>
      <c r="AX341" s="90"/>
      <c r="AY341" s="90"/>
      <c r="AZ341" s="90"/>
      <c r="BA341" s="90"/>
      <c r="BB341" s="90"/>
      <c r="BC341" s="90"/>
      <c r="BD341" s="90"/>
      <c r="BE341" s="90"/>
      <c r="BF341" s="90"/>
      <c r="BG341" s="90"/>
      <c r="BH341" s="90"/>
      <c r="BI341" s="90"/>
      <c r="BJ341" s="90"/>
      <c r="BK341" s="90"/>
      <c r="BL341" s="90"/>
      <c r="BM341" s="90"/>
      <c r="BN341" s="90"/>
      <c r="BO341" s="90"/>
      <c r="BP341" s="90"/>
      <c r="BQ341" s="90"/>
    </row>
    <row r="342" ht="12.75" customHeight="1" outlineLevel="1">
      <c r="A342" s="316"/>
      <c r="B342" s="67"/>
      <c r="C342" s="90" t="s">
        <v>1244</v>
      </c>
      <c r="D342" s="90"/>
      <c r="E342" s="90"/>
      <c r="F342" s="90"/>
      <c r="G342" s="99"/>
      <c r="H342" s="99"/>
      <c r="I342" s="99"/>
      <c r="J342" s="99">
        <v>0.0</v>
      </c>
      <c r="K342" s="99">
        <v>0.0</v>
      </c>
      <c r="L342" s="99">
        <f t="shared" ref="L342:AV342" si="224">L211*L144</f>
        <v>14000</v>
      </c>
      <c r="M342" s="99">
        <f t="shared" si="224"/>
        <v>28560</v>
      </c>
      <c r="N342" s="99">
        <f t="shared" si="224"/>
        <v>29131.2</v>
      </c>
      <c r="O342" s="99">
        <f t="shared" si="224"/>
        <v>25999.596</v>
      </c>
      <c r="P342" s="99">
        <f t="shared" si="224"/>
        <v>26519.58792</v>
      </c>
      <c r="Q342" s="99">
        <f t="shared" si="224"/>
        <v>19321.41406</v>
      </c>
      <c r="R342" s="99">
        <f t="shared" si="224"/>
        <v>19707.84234</v>
      </c>
      <c r="S342" s="99">
        <f t="shared" si="224"/>
        <v>20101.99918</v>
      </c>
      <c r="T342" s="99">
        <f t="shared" si="224"/>
        <v>20504.03917</v>
      </c>
      <c r="U342" s="99">
        <f t="shared" si="224"/>
        <v>20914.11995</v>
      </c>
      <c r="V342" s="99">
        <f t="shared" si="224"/>
        <v>21332.40235</v>
      </c>
      <c r="W342" s="99">
        <f t="shared" si="224"/>
        <v>21759.0504</v>
      </c>
      <c r="X342" s="99">
        <f t="shared" si="224"/>
        <v>22194.2314</v>
      </c>
      <c r="Y342" s="99">
        <f t="shared" si="224"/>
        <v>22638.11603</v>
      </c>
      <c r="Z342" s="99">
        <f t="shared" si="224"/>
        <v>23090.87835</v>
      </c>
      <c r="AA342" s="99">
        <f t="shared" si="224"/>
        <v>23552.69592</v>
      </c>
      <c r="AB342" s="99">
        <f t="shared" si="224"/>
        <v>24023.74984</v>
      </c>
      <c r="AC342" s="99">
        <f t="shared" si="224"/>
        <v>24504.22484</v>
      </c>
      <c r="AD342" s="99">
        <f t="shared" si="224"/>
        <v>24994.30933</v>
      </c>
      <c r="AE342" s="99">
        <f t="shared" si="224"/>
        <v>25494.19552</v>
      </c>
      <c r="AF342" s="99">
        <f t="shared" si="224"/>
        <v>26004.07943</v>
      </c>
      <c r="AG342" s="99">
        <f t="shared" si="224"/>
        <v>26524.16102</v>
      </c>
      <c r="AH342" s="99">
        <f t="shared" si="224"/>
        <v>27054.64424</v>
      </c>
      <c r="AI342" s="99">
        <f t="shared" si="224"/>
        <v>27595.73712</v>
      </c>
      <c r="AJ342" s="99">
        <f t="shared" si="224"/>
        <v>28147.65187</v>
      </c>
      <c r="AK342" s="99">
        <f t="shared" si="224"/>
        <v>28710.6049</v>
      </c>
      <c r="AL342" s="99">
        <f t="shared" si="224"/>
        <v>29284.817</v>
      </c>
      <c r="AM342" s="99">
        <f t="shared" si="224"/>
        <v>29870.51334</v>
      </c>
      <c r="AN342" s="99">
        <f t="shared" si="224"/>
        <v>30467.92361</v>
      </c>
      <c r="AO342" s="99">
        <f t="shared" si="224"/>
        <v>31077.28208</v>
      </c>
      <c r="AP342" s="99">
        <f t="shared" si="224"/>
        <v>31698.82772</v>
      </c>
      <c r="AQ342" s="99">
        <f t="shared" si="224"/>
        <v>32332.80428</v>
      </c>
      <c r="AR342" s="99">
        <f t="shared" si="224"/>
        <v>32979.46036</v>
      </c>
      <c r="AS342" s="99">
        <f t="shared" si="224"/>
        <v>33639.04957</v>
      </c>
      <c r="AT342" s="99">
        <f t="shared" si="224"/>
        <v>34311.83056</v>
      </c>
      <c r="AU342" s="99">
        <f t="shared" si="224"/>
        <v>34998.06717</v>
      </c>
      <c r="AV342" s="99">
        <f t="shared" si="224"/>
        <v>35698.02852</v>
      </c>
      <c r="AW342" s="90"/>
      <c r="AX342" s="90"/>
      <c r="AY342" s="90"/>
      <c r="AZ342" s="90"/>
      <c r="BA342" s="90"/>
      <c r="BB342" s="90"/>
      <c r="BC342" s="90"/>
      <c r="BD342" s="90"/>
      <c r="BE342" s="90"/>
      <c r="BF342" s="90"/>
      <c r="BG342" s="90"/>
      <c r="BH342" s="90"/>
      <c r="BI342" s="90"/>
      <c r="BJ342" s="90"/>
      <c r="BK342" s="90"/>
      <c r="BL342" s="90"/>
      <c r="BM342" s="90"/>
      <c r="BN342" s="90"/>
      <c r="BO342" s="90"/>
      <c r="BP342" s="90"/>
      <c r="BQ342" s="90"/>
    </row>
    <row r="343" ht="12.75" customHeight="1" outlineLevel="1">
      <c r="A343" s="316"/>
      <c r="B343" s="90"/>
      <c r="C343" s="90" t="s">
        <v>820</v>
      </c>
      <c r="D343" s="90"/>
      <c r="E343" s="90"/>
      <c r="F343" s="90"/>
      <c r="G343" s="99"/>
      <c r="H343" s="99"/>
      <c r="I343" s="99"/>
      <c r="J343" s="99">
        <v>0.0</v>
      </c>
      <c r="K343" s="99">
        <f>K212*K135</f>
        <v>0</v>
      </c>
      <c r="L343" s="99">
        <f t="shared" ref="L343:AV343" si="225">L212*L147</f>
        <v>8400</v>
      </c>
      <c r="M343" s="99">
        <f t="shared" si="225"/>
        <v>10710</v>
      </c>
      <c r="N343" s="99">
        <f t="shared" si="225"/>
        <v>11652.48</v>
      </c>
      <c r="O343" s="99">
        <f t="shared" si="225"/>
        <v>10399.8384</v>
      </c>
      <c r="P343" s="99">
        <f t="shared" si="225"/>
        <v>10607.83517</v>
      </c>
      <c r="Q343" s="99">
        <f t="shared" si="225"/>
        <v>7728.565622</v>
      </c>
      <c r="R343" s="99">
        <f t="shared" si="225"/>
        <v>7883.136935</v>
      </c>
      <c r="S343" s="99">
        <f t="shared" si="225"/>
        <v>8040.799674</v>
      </c>
      <c r="T343" s="99">
        <f t="shared" si="225"/>
        <v>8201.615667</v>
      </c>
      <c r="U343" s="99">
        <f t="shared" si="225"/>
        <v>8365.64798</v>
      </c>
      <c r="V343" s="99">
        <f t="shared" si="225"/>
        <v>8532.96094</v>
      </c>
      <c r="W343" s="99">
        <f t="shared" si="225"/>
        <v>8703.620159</v>
      </c>
      <c r="X343" s="99">
        <f t="shared" si="225"/>
        <v>8877.692562</v>
      </c>
      <c r="Y343" s="99">
        <f t="shared" si="225"/>
        <v>9055.246413</v>
      </c>
      <c r="Z343" s="99">
        <f t="shared" si="225"/>
        <v>9236.351341</v>
      </c>
      <c r="AA343" s="99">
        <f t="shared" si="225"/>
        <v>9421.078368</v>
      </c>
      <c r="AB343" s="99">
        <f t="shared" si="225"/>
        <v>9609.499936</v>
      </c>
      <c r="AC343" s="99">
        <f t="shared" si="225"/>
        <v>9801.689934</v>
      </c>
      <c r="AD343" s="99">
        <f t="shared" si="225"/>
        <v>9997.723733</v>
      </c>
      <c r="AE343" s="99">
        <f t="shared" si="225"/>
        <v>10197.67821</v>
      </c>
      <c r="AF343" s="99">
        <f t="shared" si="225"/>
        <v>10401.63177</v>
      </c>
      <c r="AG343" s="99">
        <f t="shared" si="225"/>
        <v>10609.66441</v>
      </c>
      <c r="AH343" s="99">
        <f t="shared" si="225"/>
        <v>10821.8577</v>
      </c>
      <c r="AI343" s="99">
        <f t="shared" si="225"/>
        <v>11038.29485</v>
      </c>
      <c r="AJ343" s="99">
        <f t="shared" si="225"/>
        <v>11259.06075</v>
      </c>
      <c r="AK343" s="99">
        <f t="shared" si="225"/>
        <v>11484.24196</v>
      </c>
      <c r="AL343" s="99">
        <f t="shared" si="225"/>
        <v>11713.9268</v>
      </c>
      <c r="AM343" s="99">
        <f t="shared" si="225"/>
        <v>11948.20534</v>
      </c>
      <c r="AN343" s="99">
        <f t="shared" si="225"/>
        <v>12187.16944</v>
      </c>
      <c r="AO343" s="99">
        <f t="shared" si="225"/>
        <v>12430.91283</v>
      </c>
      <c r="AP343" s="99">
        <f t="shared" si="225"/>
        <v>12679.53109</v>
      </c>
      <c r="AQ343" s="99">
        <f t="shared" si="225"/>
        <v>12933.12171</v>
      </c>
      <c r="AR343" s="99">
        <f t="shared" si="225"/>
        <v>13191.78414</v>
      </c>
      <c r="AS343" s="99">
        <f t="shared" si="225"/>
        <v>13455.61983</v>
      </c>
      <c r="AT343" s="99">
        <f t="shared" si="225"/>
        <v>13724.73222</v>
      </c>
      <c r="AU343" s="99">
        <f t="shared" si="225"/>
        <v>13999.22687</v>
      </c>
      <c r="AV343" s="99">
        <f t="shared" si="225"/>
        <v>14279.21141</v>
      </c>
      <c r="AW343" s="90"/>
      <c r="AX343" s="90"/>
      <c r="AY343" s="90"/>
      <c r="AZ343" s="90"/>
      <c r="BA343" s="90"/>
      <c r="BB343" s="90"/>
      <c r="BC343" s="90"/>
      <c r="BD343" s="90"/>
      <c r="BE343" s="90"/>
      <c r="BF343" s="90"/>
      <c r="BG343" s="90"/>
      <c r="BH343" s="90"/>
      <c r="BI343" s="90"/>
      <c r="BJ343" s="90"/>
      <c r="BK343" s="90"/>
      <c r="BL343" s="90"/>
      <c r="BM343" s="90"/>
      <c r="BN343" s="90"/>
      <c r="BO343" s="90"/>
      <c r="BP343" s="90"/>
      <c r="BQ343" s="90"/>
    </row>
    <row r="344" ht="12.75" customHeight="1" outlineLevel="1">
      <c r="A344" s="316"/>
      <c r="B344" s="90"/>
      <c r="C344" s="90" t="s">
        <v>821</v>
      </c>
      <c r="D344" s="90"/>
      <c r="E344" s="90"/>
      <c r="F344" s="90"/>
      <c r="G344" s="99"/>
      <c r="H344" s="99"/>
      <c r="I344" s="99"/>
      <c r="J344" s="99">
        <v>0.0</v>
      </c>
      <c r="K344" s="99" t="str">
        <f>K266</f>
        <v/>
      </c>
      <c r="L344" s="99">
        <f t="shared" ref="L344:AV344" si="226">L213*L46</f>
        <v>0</v>
      </c>
      <c r="M344" s="99">
        <f t="shared" si="226"/>
        <v>0</v>
      </c>
      <c r="N344" s="99">
        <f t="shared" si="226"/>
        <v>0</v>
      </c>
      <c r="O344" s="99">
        <f t="shared" si="226"/>
        <v>0</v>
      </c>
      <c r="P344" s="99">
        <f t="shared" si="226"/>
        <v>0</v>
      </c>
      <c r="Q344" s="99">
        <f t="shared" si="226"/>
        <v>0</v>
      </c>
      <c r="R344" s="99">
        <f t="shared" si="226"/>
        <v>0</v>
      </c>
      <c r="S344" s="99">
        <f t="shared" si="226"/>
        <v>0</v>
      </c>
      <c r="T344" s="99">
        <f t="shared" si="226"/>
        <v>0</v>
      </c>
      <c r="U344" s="99">
        <f t="shared" si="226"/>
        <v>0</v>
      </c>
      <c r="V344" s="99">
        <f t="shared" si="226"/>
        <v>0</v>
      </c>
      <c r="W344" s="99">
        <f t="shared" si="226"/>
        <v>0</v>
      </c>
      <c r="X344" s="99">
        <f t="shared" si="226"/>
        <v>0</v>
      </c>
      <c r="Y344" s="99">
        <f t="shared" si="226"/>
        <v>0</v>
      </c>
      <c r="Z344" s="99">
        <f t="shared" si="226"/>
        <v>0</v>
      </c>
      <c r="AA344" s="99">
        <f t="shared" si="226"/>
        <v>0</v>
      </c>
      <c r="AB344" s="99">
        <f t="shared" si="226"/>
        <v>0</v>
      </c>
      <c r="AC344" s="99">
        <f t="shared" si="226"/>
        <v>0</v>
      </c>
      <c r="AD344" s="99">
        <f t="shared" si="226"/>
        <v>0</v>
      </c>
      <c r="AE344" s="99">
        <f t="shared" si="226"/>
        <v>0</v>
      </c>
      <c r="AF344" s="99">
        <f t="shared" si="226"/>
        <v>0</v>
      </c>
      <c r="AG344" s="99">
        <f t="shared" si="226"/>
        <v>0</v>
      </c>
      <c r="AH344" s="99">
        <f t="shared" si="226"/>
        <v>0</v>
      </c>
      <c r="AI344" s="99">
        <f t="shared" si="226"/>
        <v>0</v>
      </c>
      <c r="AJ344" s="99">
        <f t="shared" si="226"/>
        <v>0</v>
      </c>
      <c r="AK344" s="99">
        <f t="shared" si="226"/>
        <v>0</v>
      </c>
      <c r="AL344" s="99">
        <f t="shared" si="226"/>
        <v>0</v>
      </c>
      <c r="AM344" s="99">
        <f t="shared" si="226"/>
        <v>0</v>
      </c>
      <c r="AN344" s="99">
        <f t="shared" si="226"/>
        <v>0</v>
      </c>
      <c r="AO344" s="99">
        <f t="shared" si="226"/>
        <v>0</v>
      </c>
      <c r="AP344" s="99">
        <f t="shared" si="226"/>
        <v>0</v>
      </c>
      <c r="AQ344" s="99">
        <f t="shared" si="226"/>
        <v>0</v>
      </c>
      <c r="AR344" s="99">
        <f t="shared" si="226"/>
        <v>0</v>
      </c>
      <c r="AS344" s="99">
        <f t="shared" si="226"/>
        <v>0</v>
      </c>
      <c r="AT344" s="99">
        <f t="shared" si="226"/>
        <v>0</v>
      </c>
      <c r="AU344" s="99">
        <f t="shared" si="226"/>
        <v>0</v>
      </c>
      <c r="AV344" s="99">
        <f t="shared" si="226"/>
        <v>0</v>
      </c>
      <c r="AW344" s="90"/>
      <c r="AX344" s="90"/>
      <c r="AY344" s="90"/>
      <c r="AZ344" s="90"/>
      <c r="BA344" s="90"/>
      <c r="BB344" s="90"/>
      <c r="BC344" s="90"/>
      <c r="BD344" s="90"/>
      <c r="BE344" s="90"/>
      <c r="BF344" s="90"/>
      <c r="BG344" s="90"/>
      <c r="BH344" s="90"/>
      <c r="BI344" s="90"/>
      <c r="BJ344" s="90"/>
      <c r="BK344" s="90"/>
      <c r="BL344" s="90"/>
      <c r="BM344" s="90"/>
      <c r="BN344" s="90"/>
      <c r="BO344" s="90"/>
      <c r="BP344" s="90"/>
      <c r="BQ344" s="90"/>
    </row>
    <row r="345" ht="12.75" customHeight="1" outlineLevel="1">
      <c r="A345" s="316"/>
      <c r="B345" s="90"/>
      <c r="C345" s="90" t="s">
        <v>754</v>
      </c>
      <c r="D345" s="90"/>
      <c r="E345" s="90"/>
      <c r="F345" s="90"/>
      <c r="G345" s="99"/>
      <c r="H345" s="99"/>
      <c r="I345" s="99"/>
      <c r="J345" s="99">
        <v>0.0</v>
      </c>
      <c r="K345" s="99">
        <f>K214*K46</f>
        <v>0</v>
      </c>
      <c r="L345" s="99">
        <f t="shared" ref="L345:AV345" si="227">L214</f>
        <v>25000</v>
      </c>
      <c r="M345" s="99">
        <f t="shared" si="227"/>
        <v>25500</v>
      </c>
      <c r="N345" s="99">
        <f t="shared" si="227"/>
        <v>26010</v>
      </c>
      <c r="O345" s="99">
        <f t="shared" si="227"/>
        <v>26530.2</v>
      </c>
      <c r="P345" s="99">
        <f t="shared" si="227"/>
        <v>27060.804</v>
      </c>
      <c r="Q345" s="99">
        <f t="shared" si="227"/>
        <v>27602.02008</v>
      </c>
      <c r="R345" s="99">
        <f t="shared" si="227"/>
        <v>28154.06048</v>
      </c>
      <c r="S345" s="99">
        <f t="shared" si="227"/>
        <v>28717.14169</v>
      </c>
      <c r="T345" s="99">
        <f t="shared" si="227"/>
        <v>29291.48453</v>
      </c>
      <c r="U345" s="99">
        <f t="shared" si="227"/>
        <v>29877.31422</v>
      </c>
      <c r="V345" s="99">
        <f t="shared" si="227"/>
        <v>30474.8605</v>
      </c>
      <c r="W345" s="99">
        <f t="shared" si="227"/>
        <v>31084.35771</v>
      </c>
      <c r="X345" s="99">
        <f t="shared" si="227"/>
        <v>31706.04486</v>
      </c>
      <c r="Y345" s="99">
        <f t="shared" si="227"/>
        <v>32340.16576</v>
      </c>
      <c r="Z345" s="99">
        <f t="shared" si="227"/>
        <v>32986.96908</v>
      </c>
      <c r="AA345" s="99">
        <f t="shared" si="227"/>
        <v>33646.70846</v>
      </c>
      <c r="AB345" s="99">
        <f t="shared" si="227"/>
        <v>34319.64263</v>
      </c>
      <c r="AC345" s="99">
        <f t="shared" si="227"/>
        <v>35006.03548</v>
      </c>
      <c r="AD345" s="99">
        <f t="shared" si="227"/>
        <v>35706.15619</v>
      </c>
      <c r="AE345" s="99">
        <f t="shared" si="227"/>
        <v>36420.27931</v>
      </c>
      <c r="AF345" s="99">
        <f t="shared" si="227"/>
        <v>37148.6849</v>
      </c>
      <c r="AG345" s="99">
        <f t="shared" si="227"/>
        <v>37891.6586</v>
      </c>
      <c r="AH345" s="99">
        <f t="shared" si="227"/>
        <v>38649.49177</v>
      </c>
      <c r="AI345" s="99">
        <f t="shared" si="227"/>
        <v>39422.4816</v>
      </c>
      <c r="AJ345" s="99">
        <f t="shared" si="227"/>
        <v>40210.93124</v>
      </c>
      <c r="AK345" s="99">
        <f t="shared" si="227"/>
        <v>41015.14986</v>
      </c>
      <c r="AL345" s="99">
        <f t="shared" si="227"/>
        <v>41835.45286</v>
      </c>
      <c r="AM345" s="99">
        <f t="shared" si="227"/>
        <v>42672.16192</v>
      </c>
      <c r="AN345" s="99">
        <f t="shared" si="227"/>
        <v>43525.60515</v>
      </c>
      <c r="AO345" s="99">
        <f t="shared" si="227"/>
        <v>44396.11726</v>
      </c>
      <c r="AP345" s="99">
        <f t="shared" si="227"/>
        <v>45284.0396</v>
      </c>
      <c r="AQ345" s="99">
        <f t="shared" si="227"/>
        <v>46189.72039</v>
      </c>
      <c r="AR345" s="99">
        <f t="shared" si="227"/>
        <v>47113.5148</v>
      </c>
      <c r="AS345" s="99">
        <f t="shared" si="227"/>
        <v>48055.7851</v>
      </c>
      <c r="AT345" s="99">
        <f t="shared" si="227"/>
        <v>49016.9008</v>
      </c>
      <c r="AU345" s="99">
        <f t="shared" si="227"/>
        <v>49997.23882</v>
      </c>
      <c r="AV345" s="99">
        <f t="shared" si="227"/>
        <v>50997.18359</v>
      </c>
      <c r="AW345" s="90"/>
      <c r="AX345" s="90"/>
      <c r="AY345" s="90"/>
      <c r="AZ345" s="90"/>
      <c r="BA345" s="90"/>
      <c r="BB345" s="90"/>
      <c r="BC345" s="90"/>
      <c r="BD345" s="90"/>
      <c r="BE345" s="90"/>
      <c r="BF345" s="90"/>
      <c r="BG345" s="90"/>
      <c r="BH345" s="90"/>
      <c r="BI345" s="90"/>
      <c r="BJ345" s="90"/>
      <c r="BK345" s="90"/>
      <c r="BL345" s="90"/>
      <c r="BM345" s="90"/>
      <c r="BN345" s="90"/>
      <c r="BO345" s="90"/>
      <c r="BP345" s="90"/>
      <c r="BQ345" s="90"/>
    </row>
    <row r="346" ht="12.75" customHeight="1" outlineLevel="1">
      <c r="A346" s="316"/>
      <c r="B346" s="90"/>
      <c r="C346" s="90" t="s">
        <v>755</v>
      </c>
      <c r="D346" s="90"/>
      <c r="E346" s="90"/>
      <c r="F346" s="90"/>
      <c r="G346" s="99"/>
      <c r="H346" s="89"/>
      <c r="I346" s="99"/>
      <c r="J346" s="99">
        <v>0.0</v>
      </c>
      <c r="K346" s="99">
        <v>605.82</v>
      </c>
      <c r="L346" s="99">
        <f t="shared" ref="L346:AV346" si="228">L215</f>
        <v>55000</v>
      </c>
      <c r="M346" s="99">
        <f t="shared" si="228"/>
        <v>65000</v>
      </c>
      <c r="N346" s="99">
        <f t="shared" si="228"/>
        <v>66300</v>
      </c>
      <c r="O346" s="99">
        <f t="shared" si="228"/>
        <v>67626</v>
      </c>
      <c r="P346" s="99">
        <f t="shared" si="228"/>
        <v>68978.52</v>
      </c>
      <c r="Q346" s="99">
        <f t="shared" si="228"/>
        <v>70358.0904</v>
      </c>
      <c r="R346" s="99">
        <f t="shared" si="228"/>
        <v>71765.25221</v>
      </c>
      <c r="S346" s="99">
        <f t="shared" si="228"/>
        <v>73200.55725</v>
      </c>
      <c r="T346" s="99">
        <f t="shared" si="228"/>
        <v>74664.5684</v>
      </c>
      <c r="U346" s="99">
        <f t="shared" si="228"/>
        <v>76157.85977</v>
      </c>
      <c r="V346" s="99">
        <f t="shared" si="228"/>
        <v>77681.01696</v>
      </c>
      <c r="W346" s="99">
        <f t="shared" si="228"/>
        <v>79234.6373</v>
      </c>
      <c r="X346" s="99">
        <f t="shared" si="228"/>
        <v>80819.33005</v>
      </c>
      <c r="Y346" s="99">
        <f t="shared" si="228"/>
        <v>82435.71665</v>
      </c>
      <c r="Z346" s="99">
        <f t="shared" si="228"/>
        <v>84084.43098</v>
      </c>
      <c r="AA346" s="99">
        <f t="shared" si="228"/>
        <v>85766.1196</v>
      </c>
      <c r="AB346" s="99">
        <f t="shared" si="228"/>
        <v>87481.44199</v>
      </c>
      <c r="AC346" s="99">
        <f t="shared" si="228"/>
        <v>89231.07083</v>
      </c>
      <c r="AD346" s="99">
        <f t="shared" si="228"/>
        <v>91015.69225</v>
      </c>
      <c r="AE346" s="99">
        <f t="shared" si="228"/>
        <v>92836.00609</v>
      </c>
      <c r="AF346" s="99">
        <f t="shared" si="228"/>
        <v>94692.72621</v>
      </c>
      <c r="AG346" s="99">
        <f t="shared" si="228"/>
        <v>96586.58074</v>
      </c>
      <c r="AH346" s="99">
        <f t="shared" si="228"/>
        <v>98518.31235</v>
      </c>
      <c r="AI346" s="99">
        <f t="shared" si="228"/>
        <v>100488.6786</v>
      </c>
      <c r="AJ346" s="99">
        <f t="shared" si="228"/>
        <v>102498.4522</v>
      </c>
      <c r="AK346" s="99">
        <f t="shared" si="228"/>
        <v>104548.4212</v>
      </c>
      <c r="AL346" s="99">
        <f t="shared" si="228"/>
        <v>106639.3896</v>
      </c>
      <c r="AM346" s="99">
        <f t="shared" si="228"/>
        <v>108772.1774</v>
      </c>
      <c r="AN346" s="99">
        <f t="shared" si="228"/>
        <v>110947.621</v>
      </c>
      <c r="AO346" s="99">
        <f t="shared" si="228"/>
        <v>113166.5734</v>
      </c>
      <c r="AP346" s="99">
        <f t="shared" si="228"/>
        <v>115429.9049</v>
      </c>
      <c r="AQ346" s="99">
        <f t="shared" si="228"/>
        <v>117738.503</v>
      </c>
      <c r="AR346" s="99">
        <f t="shared" si="228"/>
        <v>120093.273</v>
      </c>
      <c r="AS346" s="99">
        <f t="shared" si="228"/>
        <v>122495.1385</v>
      </c>
      <c r="AT346" s="99">
        <f t="shared" si="228"/>
        <v>124945.0413</v>
      </c>
      <c r="AU346" s="99">
        <f t="shared" si="228"/>
        <v>127443.9421</v>
      </c>
      <c r="AV346" s="99">
        <f t="shared" si="228"/>
        <v>129992.8209</v>
      </c>
      <c r="AW346" s="90"/>
      <c r="AX346" s="90"/>
      <c r="AY346" s="90"/>
      <c r="AZ346" s="90"/>
      <c r="BA346" s="90"/>
      <c r="BB346" s="90"/>
      <c r="BC346" s="90"/>
      <c r="BD346" s="90"/>
      <c r="BE346" s="90"/>
      <c r="BF346" s="90"/>
      <c r="BG346" s="90"/>
      <c r="BH346" s="90"/>
      <c r="BI346" s="90"/>
      <c r="BJ346" s="90"/>
      <c r="BK346" s="90"/>
      <c r="BL346" s="90"/>
      <c r="BM346" s="90"/>
      <c r="BN346" s="90"/>
      <c r="BO346" s="90"/>
      <c r="BP346" s="90"/>
      <c r="BQ346" s="90"/>
    </row>
    <row r="347" ht="12.75" customHeight="1" outlineLevel="1">
      <c r="A347" s="316"/>
      <c r="B347" s="90"/>
      <c r="C347" s="90" t="s">
        <v>822</v>
      </c>
      <c r="D347" s="90"/>
      <c r="E347" s="90"/>
      <c r="F347" s="90"/>
      <c r="G347" s="99"/>
      <c r="H347" s="89"/>
      <c r="I347" s="99"/>
      <c r="J347" s="99"/>
      <c r="K347" s="99">
        <v>425.0</v>
      </c>
      <c r="L347" s="99">
        <f t="shared" ref="L347:AV347" si="229">L216*L147</f>
        <v>24000</v>
      </c>
      <c r="M347" s="99">
        <f t="shared" si="229"/>
        <v>30600</v>
      </c>
      <c r="N347" s="99">
        <f t="shared" si="229"/>
        <v>33292.8</v>
      </c>
      <c r="O347" s="99">
        <f t="shared" si="229"/>
        <v>29713.824</v>
      </c>
      <c r="P347" s="99">
        <f t="shared" si="229"/>
        <v>30308.10048</v>
      </c>
      <c r="Q347" s="99">
        <f t="shared" si="229"/>
        <v>22081.61606</v>
      </c>
      <c r="R347" s="99">
        <f t="shared" si="229"/>
        <v>22523.24839</v>
      </c>
      <c r="S347" s="99">
        <f t="shared" si="229"/>
        <v>22973.71335</v>
      </c>
      <c r="T347" s="99">
        <f t="shared" si="229"/>
        <v>23433.18762</v>
      </c>
      <c r="U347" s="99">
        <f t="shared" si="229"/>
        <v>23901.85137</v>
      </c>
      <c r="V347" s="99">
        <f t="shared" si="229"/>
        <v>24379.8884</v>
      </c>
      <c r="W347" s="99">
        <f t="shared" si="229"/>
        <v>24867.48617</v>
      </c>
      <c r="X347" s="99">
        <f t="shared" si="229"/>
        <v>25364.83589</v>
      </c>
      <c r="Y347" s="99">
        <f t="shared" si="229"/>
        <v>25872.13261</v>
      </c>
      <c r="Z347" s="99">
        <f t="shared" si="229"/>
        <v>26389.57526</v>
      </c>
      <c r="AA347" s="99">
        <f t="shared" si="229"/>
        <v>26917.36677</v>
      </c>
      <c r="AB347" s="99">
        <f t="shared" si="229"/>
        <v>27455.7141</v>
      </c>
      <c r="AC347" s="99">
        <f t="shared" si="229"/>
        <v>28004.82838</v>
      </c>
      <c r="AD347" s="99">
        <f t="shared" si="229"/>
        <v>28564.92495</v>
      </c>
      <c r="AE347" s="99">
        <f t="shared" si="229"/>
        <v>29136.22345</v>
      </c>
      <c r="AF347" s="99">
        <f t="shared" si="229"/>
        <v>29718.94792</v>
      </c>
      <c r="AG347" s="99">
        <f t="shared" si="229"/>
        <v>30313.32688</v>
      </c>
      <c r="AH347" s="99">
        <f t="shared" si="229"/>
        <v>30919.59342</v>
      </c>
      <c r="AI347" s="99">
        <f t="shared" si="229"/>
        <v>31537.98528</v>
      </c>
      <c r="AJ347" s="99">
        <f t="shared" si="229"/>
        <v>32168.74499</v>
      </c>
      <c r="AK347" s="99">
        <f t="shared" si="229"/>
        <v>32812.11989</v>
      </c>
      <c r="AL347" s="99">
        <f t="shared" si="229"/>
        <v>33468.36229</v>
      </c>
      <c r="AM347" s="99">
        <f t="shared" si="229"/>
        <v>34137.72953</v>
      </c>
      <c r="AN347" s="99">
        <f t="shared" si="229"/>
        <v>34820.48412</v>
      </c>
      <c r="AO347" s="99">
        <f t="shared" si="229"/>
        <v>35516.89381</v>
      </c>
      <c r="AP347" s="99">
        <f t="shared" si="229"/>
        <v>36227.23168</v>
      </c>
      <c r="AQ347" s="99">
        <f t="shared" si="229"/>
        <v>36951.77632</v>
      </c>
      <c r="AR347" s="99">
        <f t="shared" si="229"/>
        <v>37690.81184</v>
      </c>
      <c r="AS347" s="99">
        <f t="shared" si="229"/>
        <v>38444.62808</v>
      </c>
      <c r="AT347" s="99">
        <f t="shared" si="229"/>
        <v>39213.52064</v>
      </c>
      <c r="AU347" s="99">
        <f t="shared" si="229"/>
        <v>39997.79105</v>
      </c>
      <c r="AV347" s="99">
        <f t="shared" si="229"/>
        <v>40797.74687</v>
      </c>
      <c r="AW347" s="90"/>
      <c r="AX347" s="90"/>
      <c r="AY347" s="90"/>
      <c r="AZ347" s="90"/>
      <c r="BA347" s="90"/>
      <c r="BB347" s="90"/>
      <c r="BC347" s="90"/>
      <c r="BD347" s="90"/>
      <c r="BE347" s="90"/>
      <c r="BF347" s="90"/>
      <c r="BG347" s="90"/>
      <c r="BH347" s="90"/>
      <c r="BI347" s="90"/>
      <c r="BJ347" s="90"/>
      <c r="BK347" s="90"/>
      <c r="BL347" s="90"/>
      <c r="BM347" s="90"/>
      <c r="BN347" s="90"/>
      <c r="BO347" s="90"/>
      <c r="BP347" s="90"/>
      <c r="BQ347" s="90"/>
    </row>
    <row r="348" ht="12.75" customHeight="1" outlineLevel="1">
      <c r="A348" s="316"/>
      <c r="B348" s="90"/>
      <c r="C348" s="90" t="s">
        <v>332</v>
      </c>
      <c r="D348" s="90"/>
      <c r="E348" s="90"/>
      <c r="F348" s="90"/>
      <c r="G348" s="99"/>
      <c r="H348" s="89"/>
      <c r="I348" s="99"/>
      <c r="J348" s="99">
        <v>0.0</v>
      </c>
      <c r="K348" s="99">
        <v>0.0</v>
      </c>
      <c r="L348" s="99">
        <v>20000.0</v>
      </c>
      <c r="M348" s="99">
        <v>20000.0</v>
      </c>
      <c r="N348" s="99">
        <v>20000.0</v>
      </c>
      <c r="O348" s="99">
        <v>20000.0</v>
      </c>
      <c r="P348" s="99">
        <v>20000.0</v>
      </c>
      <c r="Q348" s="99">
        <v>20000.0</v>
      </c>
      <c r="R348" s="99">
        <v>20000.0</v>
      </c>
      <c r="S348" s="99">
        <v>20000.0</v>
      </c>
      <c r="T348" s="99">
        <v>20000.0</v>
      </c>
      <c r="U348" s="99">
        <v>20000.0</v>
      </c>
      <c r="V348" s="99">
        <v>20000.0</v>
      </c>
      <c r="W348" s="99">
        <v>20000.0</v>
      </c>
      <c r="X348" s="99">
        <v>20000.0</v>
      </c>
      <c r="Y348" s="99">
        <v>20000.0</v>
      </c>
      <c r="Z348" s="99">
        <v>20000.0</v>
      </c>
      <c r="AA348" s="99">
        <v>20000.0</v>
      </c>
      <c r="AB348" s="99">
        <v>20000.0</v>
      </c>
      <c r="AC348" s="99">
        <v>20000.0</v>
      </c>
      <c r="AD348" s="99">
        <v>20000.0</v>
      </c>
      <c r="AE348" s="99">
        <v>20000.0</v>
      </c>
      <c r="AF348" s="99">
        <v>20000.0</v>
      </c>
      <c r="AG348" s="99">
        <v>20000.0</v>
      </c>
      <c r="AH348" s="99">
        <v>20000.0</v>
      </c>
      <c r="AI348" s="99">
        <v>20000.0</v>
      </c>
      <c r="AJ348" s="99">
        <v>20000.0</v>
      </c>
      <c r="AK348" s="99">
        <v>20000.0</v>
      </c>
      <c r="AL348" s="99">
        <v>20000.0</v>
      </c>
      <c r="AM348" s="99">
        <v>20000.0</v>
      </c>
      <c r="AN348" s="99">
        <v>20000.0</v>
      </c>
      <c r="AO348" s="99">
        <v>20000.0</v>
      </c>
      <c r="AP348" s="99">
        <v>20000.0</v>
      </c>
      <c r="AQ348" s="99">
        <v>20000.0</v>
      </c>
      <c r="AR348" s="99">
        <v>20000.0</v>
      </c>
      <c r="AS348" s="99">
        <v>20000.0</v>
      </c>
      <c r="AT348" s="99">
        <v>20000.0</v>
      </c>
      <c r="AU348" s="99">
        <v>20000.0</v>
      </c>
      <c r="AV348" s="99">
        <v>20000.0</v>
      </c>
      <c r="AW348" s="90"/>
      <c r="AX348" s="90"/>
      <c r="AY348" s="90"/>
      <c r="AZ348" s="90"/>
      <c r="BA348" s="90"/>
      <c r="BB348" s="90"/>
      <c r="BC348" s="90"/>
      <c r="BD348" s="90"/>
      <c r="BE348" s="90"/>
      <c r="BF348" s="90"/>
      <c r="BG348" s="90"/>
      <c r="BH348" s="90"/>
      <c r="BI348" s="90"/>
      <c r="BJ348" s="90"/>
      <c r="BK348" s="90"/>
      <c r="BL348" s="90"/>
      <c r="BM348" s="90"/>
      <c r="BN348" s="90"/>
      <c r="BO348" s="90"/>
      <c r="BP348" s="90"/>
      <c r="BQ348" s="90"/>
    </row>
    <row r="349" ht="12.75" customHeight="1" outlineLevel="1">
      <c r="A349" s="316"/>
      <c r="B349" s="90"/>
      <c r="C349" s="90" t="s">
        <v>823</v>
      </c>
      <c r="D349" s="90"/>
      <c r="E349" s="90"/>
      <c r="F349" s="90"/>
      <c r="G349" s="99"/>
      <c r="H349" s="99"/>
      <c r="I349" s="99"/>
      <c r="J349" s="99"/>
      <c r="K349" s="99"/>
      <c r="L349" s="99"/>
      <c r="M349" s="99"/>
      <c r="N349" s="99"/>
      <c r="O349" s="99"/>
      <c r="P349" s="99"/>
      <c r="Q349" s="99"/>
      <c r="R349" s="99"/>
      <c r="S349" s="99"/>
      <c r="T349" s="99"/>
      <c r="U349" s="99"/>
      <c r="V349" s="99"/>
      <c r="W349" s="99"/>
      <c r="X349" s="99"/>
      <c r="Y349" s="99"/>
      <c r="Z349" s="99"/>
      <c r="AA349" s="99"/>
      <c r="AB349" s="99"/>
      <c r="AC349" s="99"/>
      <c r="AD349" s="99"/>
      <c r="AE349" s="99"/>
      <c r="AF349" s="99"/>
      <c r="AG349" s="99"/>
      <c r="AH349" s="99"/>
      <c r="AI349" s="99"/>
      <c r="AJ349" s="99"/>
      <c r="AK349" s="99"/>
      <c r="AL349" s="99"/>
      <c r="AM349" s="99"/>
      <c r="AN349" s="99"/>
      <c r="AO349" s="99"/>
      <c r="AP349" s="99"/>
      <c r="AQ349" s="99"/>
      <c r="AR349" s="99"/>
      <c r="AS349" s="99"/>
      <c r="AT349" s="99"/>
      <c r="AU349" s="99"/>
      <c r="AV349" s="99"/>
      <c r="AW349" s="90"/>
      <c r="AX349" s="90"/>
      <c r="AY349" s="90"/>
      <c r="AZ349" s="90"/>
      <c r="BA349" s="90"/>
      <c r="BB349" s="90"/>
      <c r="BC349" s="90"/>
      <c r="BD349" s="90"/>
      <c r="BE349" s="90"/>
      <c r="BF349" s="90"/>
      <c r="BG349" s="90"/>
      <c r="BH349" s="90"/>
      <c r="BI349" s="90"/>
      <c r="BJ349" s="90"/>
      <c r="BK349" s="90"/>
      <c r="BL349" s="90"/>
      <c r="BM349" s="90"/>
      <c r="BN349" s="90"/>
      <c r="BO349" s="90"/>
      <c r="BP349" s="90"/>
      <c r="BQ349" s="90"/>
    </row>
    <row r="350" ht="12.75" customHeight="1" outlineLevel="1">
      <c r="A350" s="316"/>
      <c r="B350" s="90"/>
      <c r="C350" s="90"/>
      <c r="D350" s="90" t="s">
        <v>339</v>
      </c>
      <c r="E350" s="90"/>
      <c r="F350" s="90"/>
      <c r="G350" s="99"/>
      <c r="H350" s="99"/>
      <c r="I350" s="99"/>
      <c r="J350" s="99">
        <v>0.0</v>
      </c>
      <c r="K350" s="99">
        <v>752.58</v>
      </c>
      <c r="L350" s="99">
        <f t="shared" ref="L350:AV350" si="230">L218</f>
        <v>3280</v>
      </c>
      <c r="M350" s="99">
        <f t="shared" si="230"/>
        <v>600</v>
      </c>
      <c r="N350" s="99">
        <f t="shared" si="230"/>
        <v>612</v>
      </c>
      <c r="O350" s="99">
        <f t="shared" si="230"/>
        <v>624.24</v>
      </c>
      <c r="P350" s="99">
        <f t="shared" si="230"/>
        <v>636.7248</v>
      </c>
      <c r="Q350" s="99">
        <f t="shared" si="230"/>
        <v>649.459296</v>
      </c>
      <c r="R350" s="99">
        <f t="shared" si="230"/>
        <v>662.4484819</v>
      </c>
      <c r="S350" s="99">
        <f t="shared" si="230"/>
        <v>675.6974516</v>
      </c>
      <c r="T350" s="99">
        <f t="shared" si="230"/>
        <v>689.2114006</v>
      </c>
      <c r="U350" s="99">
        <f t="shared" si="230"/>
        <v>702.9956286</v>
      </c>
      <c r="V350" s="99">
        <f t="shared" si="230"/>
        <v>717.0555412</v>
      </c>
      <c r="W350" s="99">
        <f t="shared" si="230"/>
        <v>731.396652</v>
      </c>
      <c r="X350" s="99">
        <f t="shared" si="230"/>
        <v>746.024585</v>
      </c>
      <c r="Y350" s="99">
        <f t="shared" si="230"/>
        <v>760.9450767</v>
      </c>
      <c r="Z350" s="99">
        <f t="shared" si="230"/>
        <v>776.1639783</v>
      </c>
      <c r="AA350" s="99">
        <f t="shared" si="230"/>
        <v>791.6872578</v>
      </c>
      <c r="AB350" s="99">
        <f t="shared" si="230"/>
        <v>807.521003</v>
      </c>
      <c r="AC350" s="99">
        <f t="shared" si="230"/>
        <v>823.6714231</v>
      </c>
      <c r="AD350" s="99">
        <f t="shared" si="230"/>
        <v>840.1448515</v>
      </c>
      <c r="AE350" s="99">
        <f t="shared" si="230"/>
        <v>856.9477485</v>
      </c>
      <c r="AF350" s="99">
        <f t="shared" si="230"/>
        <v>874.0867035</v>
      </c>
      <c r="AG350" s="99">
        <f t="shared" si="230"/>
        <v>891.5684376</v>
      </c>
      <c r="AH350" s="99">
        <f t="shared" si="230"/>
        <v>909.3998063</v>
      </c>
      <c r="AI350" s="99">
        <f t="shared" si="230"/>
        <v>927.5878025</v>
      </c>
      <c r="AJ350" s="99">
        <f t="shared" si="230"/>
        <v>946.1395585</v>
      </c>
      <c r="AK350" s="99">
        <f t="shared" si="230"/>
        <v>965.0623497</v>
      </c>
      <c r="AL350" s="99">
        <f t="shared" si="230"/>
        <v>984.3635967</v>
      </c>
      <c r="AM350" s="99">
        <f t="shared" si="230"/>
        <v>1004.050869</v>
      </c>
      <c r="AN350" s="99">
        <f t="shared" si="230"/>
        <v>1024.131886</v>
      </c>
      <c r="AO350" s="99">
        <f t="shared" si="230"/>
        <v>1044.614524</v>
      </c>
      <c r="AP350" s="99">
        <f t="shared" si="230"/>
        <v>1065.506814</v>
      </c>
      <c r="AQ350" s="99">
        <f t="shared" si="230"/>
        <v>1086.81695</v>
      </c>
      <c r="AR350" s="99">
        <f t="shared" si="230"/>
        <v>1108.553289</v>
      </c>
      <c r="AS350" s="99">
        <f t="shared" si="230"/>
        <v>1130.724355</v>
      </c>
      <c r="AT350" s="99">
        <f t="shared" si="230"/>
        <v>1153.338842</v>
      </c>
      <c r="AU350" s="99">
        <f t="shared" si="230"/>
        <v>1176.405619</v>
      </c>
      <c r="AV350" s="99">
        <f t="shared" si="230"/>
        <v>1199.933732</v>
      </c>
      <c r="AW350" s="90"/>
      <c r="AX350" s="90"/>
      <c r="AY350" s="90"/>
      <c r="AZ350" s="90"/>
      <c r="BA350" s="90"/>
      <c r="BB350" s="90"/>
      <c r="BC350" s="90"/>
      <c r="BD350" s="90"/>
      <c r="BE350" s="90"/>
      <c r="BF350" s="90"/>
      <c r="BG350" s="90"/>
      <c r="BH350" s="90"/>
      <c r="BI350" s="90"/>
      <c r="BJ350" s="90"/>
      <c r="BK350" s="90"/>
      <c r="BL350" s="90"/>
      <c r="BM350" s="90"/>
      <c r="BN350" s="90"/>
      <c r="BO350" s="90"/>
      <c r="BP350" s="90"/>
      <c r="BQ350" s="90"/>
    </row>
    <row r="351" ht="12.75" customHeight="1" outlineLevel="1">
      <c r="A351" s="316"/>
      <c r="B351" s="90"/>
      <c r="C351" s="90"/>
      <c r="D351" s="90" t="s">
        <v>824</v>
      </c>
      <c r="E351" s="90"/>
      <c r="F351" s="90"/>
      <c r="G351" s="99"/>
      <c r="H351" s="99"/>
      <c r="I351" s="99"/>
      <c r="J351" s="99">
        <v>0.0</v>
      </c>
      <c r="K351" s="99">
        <f t="shared" ref="K351:AV351" si="231">K219</f>
        <v>0</v>
      </c>
      <c r="L351" s="99">
        <f t="shared" si="231"/>
        <v>20000</v>
      </c>
      <c r="M351" s="99">
        <f t="shared" si="231"/>
        <v>30000</v>
      </c>
      <c r="N351" s="99">
        <f t="shared" si="231"/>
        <v>30600</v>
      </c>
      <c r="O351" s="99">
        <f t="shared" si="231"/>
        <v>31212</v>
      </c>
      <c r="P351" s="99">
        <f t="shared" si="231"/>
        <v>31836.24</v>
      </c>
      <c r="Q351" s="99">
        <f t="shared" si="231"/>
        <v>32472.9648</v>
      </c>
      <c r="R351" s="99">
        <f t="shared" si="231"/>
        <v>33122.4241</v>
      </c>
      <c r="S351" s="99">
        <f t="shared" si="231"/>
        <v>33784.87258</v>
      </c>
      <c r="T351" s="99">
        <f t="shared" si="231"/>
        <v>34460.57003</v>
      </c>
      <c r="U351" s="99">
        <f t="shared" si="231"/>
        <v>35149.78143</v>
      </c>
      <c r="V351" s="99">
        <f t="shared" si="231"/>
        <v>35852.77706</v>
      </c>
      <c r="W351" s="99">
        <f t="shared" si="231"/>
        <v>36569.8326</v>
      </c>
      <c r="X351" s="99">
        <f t="shared" si="231"/>
        <v>37301.22925</v>
      </c>
      <c r="Y351" s="99">
        <f t="shared" si="231"/>
        <v>38047.25384</v>
      </c>
      <c r="Z351" s="99">
        <f t="shared" si="231"/>
        <v>38808.19891</v>
      </c>
      <c r="AA351" s="99">
        <f t="shared" si="231"/>
        <v>39584.36289</v>
      </c>
      <c r="AB351" s="99">
        <f t="shared" si="231"/>
        <v>40376.05015</v>
      </c>
      <c r="AC351" s="99">
        <f t="shared" si="231"/>
        <v>41183.57115</v>
      </c>
      <c r="AD351" s="99">
        <f t="shared" si="231"/>
        <v>42007.24258</v>
      </c>
      <c r="AE351" s="99">
        <f t="shared" si="231"/>
        <v>42847.38743</v>
      </c>
      <c r="AF351" s="99">
        <f t="shared" si="231"/>
        <v>43704.33518</v>
      </c>
      <c r="AG351" s="99">
        <f t="shared" si="231"/>
        <v>44578.42188</v>
      </c>
      <c r="AH351" s="99">
        <f t="shared" si="231"/>
        <v>45469.99032</v>
      </c>
      <c r="AI351" s="99">
        <f t="shared" si="231"/>
        <v>46379.39012</v>
      </c>
      <c r="AJ351" s="99">
        <f t="shared" si="231"/>
        <v>47306.97793</v>
      </c>
      <c r="AK351" s="99">
        <f t="shared" si="231"/>
        <v>48253.11748</v>
      </c>
      <c r="AL351" s="99">
        <f t="shared" si="231"/>
        <v>49218.17983</v>
      </c>
      <c r="AM351" s="99">
        <f t="shared" si="231"/>
        <v>50202.54343</v>
      </c>
      <c r="AN351" s="99">
        <f t="shared" si="231"/>
        <v>51206.5943</v>
      </c>
      <c r="AO351" s="99">
        <f t="shared" si="231"/>
        <v>52230.72619</v>
      </c>
      <c r="AP351" s="99">
        <f t="shared" si="231"/>
        <v>53275.34071</v>
      </c>
      <c r="AQ351" s="99">
        <f t="shared" si="231"/>
        <v>54340.84752</v>
      </c>
      <c r="AR351" s="99">
        <f t="shared" si="231"/>
        <v>55427.66447</v>
      </c>
      <c r="AS351" s="99">
        <f t="shared" si="231"/>
        <v>56536.21776</v>
      </c>
      <c r="AT351" s="99">
        <f t="shared" si="231"/>
        <v>57666.94212</v>
      </c>
      <c r="AU351" s="99">
        <f t="shared" si="231"/>
        <v>58820.28096</v>
      </c>
      <c r="AV351" s="99">
        <f t="shared" si="231"/>
        <v>59996.68658</v>
      </c>
      <c r="AW351" s="90"/>
      <c r="AX351" s="90"/>
      <c r="AY351" s="90"/>
      <c r="AZ351" s="90"/>
      <c r="BA351" s="90"/>
      <c r="BB351" s="90"/>
      <c r="BC351" s="90"/>
      <c r="BD351" s="90"/>
      <c r="BE351" s="90"/>
      <c r="BF351" s="90"/>
      <c r="BG351" s="90"/>
      <c r="BH351" s="90"/>
      <c r="BI351" s="90"/>
      <c r="BJ351" s="90"/>
      <c r="BK351" s="90"/>
      <c r="BL351" s="90"/>
      <c r="BM351" s="90"/>
      <c r="BN351" s="90"/>
      <c r="BO351" s="90"/>
      <c r="BP351" s="90"/>
      <c r="BQ351" s="90"/>
    </row>
    <row r="352" ht="12.75" customHeight="1" outlineLevel="1">
      <c r="A352" s="316"/>
      <c r="B352" s="90"/>
      <c r="C352" s="90"/>
      <c r="D352" s="90" t="s">
        <v>376</v>
      </c>
      <c r="E352" s="90"/>
      <c r="F352" s="90"/>
      <c r="G352" s="99"/>
      <c r="H352" s="99"/>
      <c r="I352" s="99"/>
      <c r="J352" s="99">
        <v>0.0</v>
      </c>
      <c r="K352" s="99">
        <f t="shared" ref="K352:AV352" si="232">K220</f>
        <v>0</v>
      </c>
      <c r="L352" s="99">
        <f t="shared" si="232"/>
        <v>8000</v>
      </c>
      <c r="M352" s="99">
        <f t="shared" si="232"/>
        <v>8160</v>
      </c>
      <c r="N352" s="99">
        <f t="shared" si="232"/>
        <v>8323.2</v>
      </c>
      <c r="O352" s="99">
        <f t="shared" si="232"/>
        <v>8489.664</v>
      </c>
      <c r="P352" s="99">
        <f t="shared" si="232"/>
        <v>8659.45728</v>
      </c>
      <c r="Q352" s="99">
        <f t="shared" si="232"/>
        <v>8832.646426</v>
      </c>
      <c r="R352" s="99">
        <f t="shared" si="232"/>
        <v>9009.299354</v>
      </c>
      <c r="S352" s="99">
        <f t="shared" si="232"/>
        <v>9189.485341</v>
      </c>
      <c r="T352" s="99">
        <f t="shared" si="232"/>
        <v>9373.275048</v>
      </c>
      <c r="U352" s="99">
        <f t="shared" si="232"/>
        <v>9560.740549</v>
      </c>
      <c r="V352" s="99">
        <f t="shared" si="232"/>
        <v>9751.95536</v>
      </c>
      <c r="W352" s="99">
        <f t="shared" si="232"/>
        <v>9946.994467</v>
      </c>
      <c r="X352" s="99">
        <f t="shared" si="232"/>
        <v>10145.93436</v>
      </c>
      <c r="Y352" s="99">
        <f t="shared" si="232"/>
        <v>10348.85304</v>
      </c>
      <c r="Z352" s="99">
        <f t="shared" si="232"/>
        <v>10555.8301</v>
      </c>
      <c r="AA352" s="99">
        <f t="shared" si="232"/>
        <v>10766.94671</v>
      </c>
      <c r="AB352" s="99">
        <f t="shared" si="232"/>
        <v>10982.28564</v>
      </c>
      <c r="AC352" s="99">
        <f t="shared" si="232"/>
        <v>11201.93135</v>
      </c>
      <c r="AD352" s="99">
        <f t="shared" si="232"/>
        <v>11425.96998</v>
      </c>
      <c r="AE352" s="99">
        <f t="shared" si="232"/>
        <v>11654.48938</v>
      </c>
      <c r="AF352" s="99">
        <f t="shared" si="232"/>
        <v>11887.57917</v>
      </c>
      <c r="AG352" s="99">
        <f t="shared" si="232"/>
        <v>12125.33075</v>
      </c>
      <c r="AH352" s="99">
        <f t="shared" si="232"/>
        <v>12367.83737</v>
      </c>
      <c r="AI352" s="99">
        <f t="shared" si="232"/>
        <v>12615.19411</v>
      </c>
      <c r="AJ352" s="99">
        <f t="shared" si="232"/>
        <v>12867.498</v>
      </c>
      <c r="AK352" s="99">
        <f t="shared" si="232"/>
        <v>13124.84796</v>
      </c>
      <c r="AL352" s="99">
        <f t="shared" si="232"/>
        <v>13387.34491</v>
      </c>
      <c r="AM352" s="99">
        <f t="shared" si="232"/>
        <v>13655.09181</v>
      </c>
      <c r="AN352" s="99">
        <f t="shared" si="232"/>
        <v>13928.19365</v>
      </c>
      <c r="AO352" s="99">
        <f t="shared" si="232"/>
        <v>14206.75752</v>
      </c>
      <c r="AP352" s="99">
        <f t="shared" si="232"/>
        <v>14490.89267</v>
      </c>
      <c r="AQ352" s="99">
        <f t="shared" si="232"/>
        <v>14780.71053</v>
      </c>
      <c r="AR352" s="99">
        <f t="shared" si="232"/>
        <v>15076.32474</v>
      </c>
      <c r="AS352" s="99">
        <f t="shared" si="232"/>
        <v>15377.85123</v>
      </c>
      <c r="AT352" s="99">
        <f t="shared" si="232"/>
        <v>15685.40826</v>
      </c>
      <c r="AU352" s="99">
        <f t="shared" si="232"/>
        <v>15999.11642</v>
      </c>
      <c r="AV352" s="99">
        <f t="shared" si="232"/>
        <v>16319.09875</v>
      </c>
      <c r="AW352" s="90"/>
      <c r="AX352" s="90"/>
      <c r="AY352" s="90"/>
      <c r="AZ352" s="90"/>
      <c r="BA352" s="90"/>
      <c r="BB352" s="90"/>
      <c r="BC352" s="90"/>
      <c r="BD352" s="90"/>
      <c r="BE352" s="90"/>
      <c r="BF352" s="90"/>
      <c r="BG352" s="90"/>
      <c r="BH352" s="90"/>
      <c r="BI352" s="90"/>
      <c r="BJ352" s="90"/>
      <c r="BK352" s="90"/>
      <c r="BL352" s="90"/>
      <c r="BM352" s="90"/>
      <c r="BN352" s="90"/>
      <c r="BO352" s="90"/>
      <c r="BP352" s="90"/>
      <c r="BQ352" s="90"/>
    </row>
    <row r="353" ht="12.75" customHeight="1" outlineLevel="1">
      <c r="A353" s="316"/>
      <c r="B353" s="90"/>
      <c r="C353" s="90"/>
      <c r="D353" s="90" t="s">
        <v>759</v>
      </c>
      <c r="E353" s="90"/>
      <c r="F353" s="90"/>
      <c r="G353" s="99"/>
      <c r="H353" s="99"/>
      <c r="I353" s="99"/>
      <c r="J353" s="543">
        <v>5360.6</v>
      </c>
      <c r="K353" s="99">
        <v>0.0</v>
      </c>
      <c r="L353" s="99">
        <f t="shared" ref="L353:AV353" si="233">L221</f>
        <v>1000</v>
      </c>
      <c r="M353" s="99">
        <f t="shared" si="233"/>
        <v>1000</v>
      </c>
      <c r="N353" s="99">
        <f t="shared" si="233"/>
        <v>1020</v>
      </c>
      <c r="O353" s="99">
        <f t="shared" si="233"/>
        <v>1040.4</v>
      </c>
      <c r="P353" s="99">
        <f t="shared" si="233"/>
        <v>1061.208</v>
      </c>
      <c r="Q353" s="99">
        <f t="shared" si="233"/>
        <v>1082.43216</v>
      </c>
      <c r="R353" s="99">
        <f t="shared" si="233"/>
        <v>1104.080803</v>
      </c>
      <c r="S353" s="99">
        <f t="shared" si="233"/>
        <v>1126.162419</v>
      </c>
      <c r="T353" s="99">
        <f t="shared" si="233"/>
        <v>1148.685668</v>
      </c>
      <c r="U353" s="99">
        <f t="shared" si="233"/>
        <v>1171.659381</v>
      </c>
      <c r="V353" s="99">
        <f t="shared" si="233"/>
        <v>1195.092569</v>
      </c>
      <c r="W353" s="99">
        <f t="shared" si="233"/>
        <v>1218.99442</v>
      </c>
      <c r="X353" s="99">
        <f t="shared" si="233"/>
        <v>1243.374308</v>
      </c>
      <c r="Y353" s="99">
        <f t="shared" si="233"/>
        <v>1268.241795</v>
      </c>
      <c r="Z353" s="99">
        <f t="shared" si="233"/>
        <v>1293.60663</v>
      </c>
      <c r="AA353" s="99">
        <f t="shared" si="233"/>
        <v>1319.478763</v>
      </c>
      <c r="AB353" s="99">
        <f t="shared" si="233"/>
        <v>1345.868338</v>
      </c>
      <c r="AC353" s="99">
        <f t="shared" si="233"/>
        <v>1372.785705</v>
      </c>
      <c r="AD353" s="99">
        <f t="shared" si="233"/>
        <v>1400.241419</v>
      </c>
      <c r="AE353" s="99">
        <f t="shared" si="233"/>
        <v>1428.246248</v>
      </c>
      <c r="AF353" s="99">
        <f t="shared" si="233"/>
        <v>1456.811173</v>
      </c>
      <c r="AG353" s="99">
        <f t="shared" si="233"/>
        <v>1485.947396</v>
      </c>
      <c r="AH353" s="99">
        <f t="shared" si="233"/>
        <v>1515.666344</v>
      </c>
      <c r="AI353" s="99">
        <f t="shared" si="233"/>
        <v>1545.979671</v>
      </c>
      <c r="AJ353" s="99">
        <f t="shared" si="233"/>
        <v>1576.899264</v>
      </c>
      <c r="AK353" s="99">
        <f t="shared" si="233"/>
        <v>1608.437249</v>
      </c>
      <c r="AL353" s="99">
        <f t="shared" si="233"/>
        <v>1640.605994</v>
      </c>
      <c r="AM353" s="99">
        <f t="shared" si="233"/>
        <v>1673.418114</v>
      </c>
      <c r="AN353" s="99">
        <f t="shared" si="233"/>
        <v>1706.886477</v>
      </c>
      <c r="AO353" s="99">
        <f t="shared" si="233"/>
        <v>1741.024206</v>
      </c>
      <c r="AP353" s="99">
        <f t="shared" si="233"/>
        <v>1775.84469</v>
      </c>
      <c r="AQ353" s="99">
        <f t="shared" si="233"/>
        <v>1811.361584</v>
      </c>
      <c r="AR353" s="99">
        <f t="shared" si="233"/>
        <v>1847.588816</v>
      </c>
      <c r="AS353" s="99">
        <f t="shared" si="233"/>
        <v>1884.540592</v>
      </c>
      <c r="AT353" s="99">
        <f t="shared" si="233"/>
        <v>1922.231404</v>
      </c>
      <c r="AU353" s="99">
        <f t="shared" si="233"/>
        <v>1960.676032</v>
      </c>
      <c r="AV353" s="99">
        <f t="shared" si="233"/>
        <v>1999.889553</v>
      </c>
      <c r="AW353" s="90"/>
      <c r="AX353" s="90"/>
      <c r="AY353" s="90"/>
      <c r="AZ353" s="90"/>
      <c r="BA353" s="90"/>
      <c r="BB353" s="90"/>
      <c r="BC353" s="90"/>
      <c r="BD353" s="90"/>
      <c r="BE353" s="90"/>
      <c r="BF353" s="90"/>
      <c r="BG353" s="90"/>
      <c r="BH353" s="90"/>
      <c r="BI353" s="90"/>
      <c r="BJ353" s="90"/>
      <c r="BK353" s="90"/>
      <c r="BL353" s="90"/>
      <c r="BM353" s="90"/>
      <c r="BN353" s="90"/>
      <c r="BO353" s="90"/>
      <c r="BP353" s="90"/>
      <c r="BQ353" s="90"/>
    </row>
    <row r="354" ht="12.75" customHeight="1" outlineLevel="1">
      <c r="A354" s="316"/>
      <c r="B354" s="90"/>
      <c r="C354" s="90"/>
      <c r="D354" s="90" t="s">
        <v>760</v>
      </c>
      <c r="E354" s="90"/>
      <c r="F354" s="90"/>
      <c r="G354" s="99"/>
      <c r="H354" s="99"/>
      <c r="I354" s="99"/>
      <c r="J354" s="99">
        <v>0.0</v>
      </c>
      <c r="K354" s="99">
        <f>'FY10 Projection'!F193</f>
        <v>0</v>
      </c>
      <c r="L354" s="99">
        <f t="shared" ref="L354:AV354" si="234">L222</f>
        <v>5000</v>
      </c>
      <c r="M354" s="99">
        <f t="shared" si="234"/>
        <v>5000</v>
      </c>
      <c r="N354" s="99">
        <f t="shared" si="234"/>
        <v>5100</v>
      </c>
      <c r="O354" s="99">
        <f t="shared" si="234"/>
        <v>5202</v>
      </c>
      <c r="P354" s="99">
        <f t="shared" si="234"/>
        <v>5306.04</v>
      </c>
      <c r="Q354" s="99">
        <f t="shared" si="234"/>
        <v>5412.1608</v>
      </c>
      <c r="R354" s="99">
        <f t="shared" si="234"/>
        <v>5520.404016</v>
      </c>
      <c r="S354" s="99">
        <f t="shared" si="234"/>
        <v>5630.812096</v>
      </c>
      <c r="T354" s="99">
        <f t="shared" si="234"/>
        <v>5743.428338</v>
      </c>
      <c r="U354" s="99">
        <f t="shared" si="234"/>
        <v>5858.296905</v>
      </c>
      <c r="V354" s="99">
        <f t="shared" si="234"/>
        <v>5975.462843</v>
      </c>
      <c r="W354" s="99">
        <f t="shared" si="234"/>
        <v>6094.9721</v>
      </c>
      <c r="X354" s="99">
        <f t="shared" si="234"/>
        <v>6216.871542</v>
      </c>
      <c r="Y354" s="99">
        <f t="shared" si="234"/>
        <v>6341.208973</v>
      </c>
      <c r="Z354" s="99">
        <f t="shared" si="234"/>
        <v>6468.033152</v>
      </c>
      <c r="AA354" s="99">
        <f t="shared" si="234"/>
        <v>6597.393815</v>
      </c>
      <c r="AB354" s="99">
        <f t="shared" si="234"/>
        <v>6729.341692</v>
      </c>
      <c r="AC354" s="99">
        <f t="shared" si="234"/>
        <v>6863.928525</v>
      </c>
      <c r="AD354" s="99">
        <f t="shared" si="234"/>
        <v>7001.207096</v>
      </c>
      <c r="AE354" s="99">
        <f t="shared" si="234"/>
        <v>7141.231238</v>
      </c>
      <c r="AF354" s="99">
        <f t="shared" si="234"/>
        <v>7284.055863</v>
      </c>
      <c r="AG354" s="99">
        <f t="shared" si="234"/>
        <v>7429.73698</v>
      </c>
      <c r="AH354" s="99">
        <f t="shared" si="234"/>
        <v>7578.331719</v>
      </c>
      <c r="AI354" s="99">
        <f t="shared" si="234"/>
        <v>7729.898354</v>
      </c>
      <c r="AJ354" s="99">
        <f t="shared" si="234"/>
        <v>7884.496321</v>
      </c>
      <c r="AK354" s="99">
        <f t="shared" si="234"/>
        <v>8042.186247</v>
      </c>
      <c r="AL354" s="99">
        <f t="shared" si="234"/>
        <v>8203.029972</v>
      </c>
      <c r="AM354" s="99">
        <f t="shared" si="234"/>
        <v>8367.090572</v>
      </c>
      <c r="AN354" s="99">
        <f t="shared" si="234"/>
        <v>8534.432383</v>
      </c>
      <c r="AO354" s="99">
        <f t="shared" si="234"/>
        <v>8705.121031</v>
      </c>
      <c r="AP354" s="99">
        <f t="shared" si="234"/>
        <v>8879.223451</v>
      </c>
      <c r="AQ354" s="99">
        <f t="shared" si="234"/>
        <v>9056.807921</v>
      </c>
      <c r="AR354" s="99">
        <f t="shared" si="234"/>
        <v>9237.944079</v>
      </c>
      <c r="AS354" s="99">
        <f t="shared" si="234"/>
        <v>9422.702961</v>
      </c>
      <c r="AT354" s="99">
        <f t="shared" si="234"/>
        <v>9611.15702</v>
      </c>
      <c r="AU354" s="99">
        <f t="shared" si="234"/>
        <v>9803.38016</v>
      </c>
      <c r="AV354" s="99">
        <f t="shared" si="234"/>
        <v>9999.447763</v>
      </c>
      <c r="AW354" s="90"/>
      <c r="AX354" s="90"/>
      <c r="AY354" s="90"/>
      <c r="AZ354" s="90"/>
      <c r="BA354" s="90"/>
      <c r="BB354" s="90"/>
      <c r="BC354" s="90"/>
      <c r="BD354" s="90"/>
      <c r="BE354" s="90"/>
      <c r="BF354" s="90"/>
      <c r="BG354" s="90"/>
      <c r="BH354" s="90"/>
      <c r="BI354" s="90"/>
      <c r="BJ354" s="90"/>
      <c r="BK354" s="90"/>
      <c r="BL354" s="90"/>
      <c r="BM354" s="90"/>
      <c r="BN354" s="90"/>
      <c r="BO354" s="90"/>
      <c r="BP354" s="90"/>
      <c r="BQ354" s="90"/>
    </row>
    <row r="355" ht="12.75" customHeight="1" outlineLevel="1">
      <c r="A355" s="316"/>
      <c r="B355" s="90"/>
      <c r="C355" s="90"/>
      <c r="D355" s="90" t="s">
        <v>761</v>
      </c>
      <c r="E355" s="90"/>
      <c r="F355" s="90"/>
      <c r="G355" s="99"/>
      <c r="H355" s="99"/>
      <c r="I355" s="99"/>
      <c r="J355" s="99">
        <v>0.0</v>
      </c>
      <c r="K355" s="99">
        <v>659.38</v>
      </c>
      <c r="L355" s="99" t="str">
        <f t="shared" ref="L355:AV355" si="235">L223</f>
        <v/>
      </c>
      <c r="M355" s="99" t="str">
        <f t="shared" si="235"/>
        <v/>
      </c>
      <c r="N355" s="99">
        <f t="shared" si="235"/>
        <v>0</v>
      </c>
      <c r="O355" s="99">
        <f t="shared" si="235"/>
        <v>0</v>
      </c>
      <c r="P355" s="99">
        <f t="shared" si="235"/>
        <v>0</v>
      </c>
      <c r="Q355" s="99">
        <f t="shared" si="235"/>
        <v>0</v>
      </c>
      <c r="R355" s="99">
        <f t="shared" si="235"/>
        <v>0</v>
      </c>
      <c r="S355" s="99">
        <f t="shared" si="235"/>
        <v>0</v>
      </c>
      <c r="T355" s="99">
        <f t="shared" si="235"/>
        <v>0</v>
      </c>
      <c r="U355" s="99">
        <f t="shared" si="235"/>
        <v>0</v>
      </c>
      <c r="V355" s="99">
        <f t="shared" si="235"/>
        <v>0</v>
      </c>
      <c r="W355" s="99">
        <f t="shared" si="235"/>
        <v>0</v>
      </c>
      <c r="X355" s="99">
        <f t="shared" si="235"/>
        <v>0</v>
      </c>
      <c r="Y355" s="99">
        <f t="shared" si="235"/>
        <v>0</v>
      </c>
      <c r="Z355" s="99">
        <f t="shared" si="235"/>
        <v>0</v>
      </c>
      <c r="AA355" s="99">
        <f t="shared" si="235"/>
        <v>0</v>
      </c>
      <c r="AB355" s="99">
        <f t="shared" si="235"/>
        <v>0</v>
      </c>
      <c r="AC355" s="99">
        <f t="shared" si="235"/>
        <v>0</v>
      </c>
      <c r="AD355" s="99">
        <f t="shared" si="235"/>
        <v>0</v>
      </c>
      <c r="AE355" s="99">
        <f t="shared" si="235"/>
        <v>0</v>
      </c>
      <c r="AF355" s="99">
        <f t="shared" si="235"/>
        <v>0</v>
      </c>
      <c r="AG355" s="99">
        <f t="shared" si="235"/>
        <v>0</v>
      </c>
      <c r="AH355" s="99">
        <f t="shared" si="235"/>
        <v>0</v>
      </c>
      <c r="AI355" s="99">
        <f t="shared" si="235"/>
        <v>0</v>
      </c>
      <c r="AJ355" s="99">
        <f t="shared" si="235"/>
        <v>0</v>
      </c>
      <c r="AK355" s="99">
        <f t="shared" si="235"/>
        <v>0</v>
      </c>
      <c r="AL355" s="99">
        <f t="shared" si="235"/>
        <v>0</v>
      </c>
      <c r="AM355" s="99">
        <f t="shared" si="235"/>
        <v>0</v>
      </c>
      <c r="AN355" s="99">
        <f t="shared" si="235"/>
        <v>0</v>
      </c>
      <c r="AO355" s="99">
        <f t="shared" si="235"/>
        <v>0</v>
      </c>
      <c r="AP355" s="99">
        <f t="shared" si="235"/>
        <v>0</v>
      </c>
      <c r="AQ355" s="99">
        <f t="shared" si="235"/>
        <v>0</v>
      </c>
      <c r="AR355" s="99">
        <f t="shared" si="235"/>
        <v>0</v>
      </c>
      <c r="AS355" s="99">
        <f t="shared" si="235"/>
        <v>0</v>
      </c>
      <c r="AT355" s="99">
        <f t="shared" si="235"/>
        <v>0</v>
      </c>
      <c r="AU355" s="99">
        <f t="shared" si="235"/>
        <v>0</v>
      </c>
      <c r="AV355" s="99">
        <f t="shared" si="235"/>
        <v>0</v>
      </c>
      <c r="AW355" s="90"/>
      <c r="AX355" s="90"/>
      <c r="AY355" s="90"/>
      <c r="AZ355" s="90"/>
      <c r="BA355" s="90"/>
      <c r="BB355" s="90"/>
      <c r="BC355" s="90"/>
      <c r="BD355" s="90"/>
      <c r="BE355" s="90"/>
      <c r="BF355" s="90"/>
      <c r="BG355" s="90"/>
      <c r="BH355" s="90"/>
      <c r="BI355" s="90"/>
      <c r="BJ355" s="90"/>
      <c r="BK355" s="90"/>
      <c r="BL355" s="90"/>
      <c r="BM355" s="90"/>
      <c r="BN355" s="90"/>
      <c r="BO355" s="90"/>
      <c r="BP355" s="90"/>
      <c r="BQ355" s="90"/>
    </row>
    <row r="356" ht="12.75" customHeight="1" outlineLevel="1">
      <c r="A356" s="316"/>
      <c r="B356" s="90"/>
      <c r="C356" s="90"/>
      <c r="D356" s="90" t="s">
        <v>825</v>
      </c>
      <c r="E356" s="90"/>
      <c r="F356" s="90"/>
      <c r="G356" s="99"/>
      <c r="H356" s="99"/>
      <c r="I356" s="99"/>
      <c r="J356" s="99">
        <v>0.0</v>
      </c>
      <c r="K356" s="99">
        <v>66.66</v>
      </c>
      <c r="L356" s="99">
        <f t="shared" ref="L356:AV356" si="236">L224</f>
        <v>6000</v>
      </c>
      <c r="M356" s="99">
        <f t="shared" si="236"/>
        <v>6000</v>
      </c>
      <c r="N356" s="99">
        <f t="shared" si="236"/>
        <v>6120</v>
      </c>
      <c r="O356" s="99">
        <f t="shared" si="236"/>
        <v>6242.4</v>
      </c>
      <c r="P356" s="99">
        <f t="shared" si="236"/>
        <v>6367.248</v>
      </c>
      <c r="Q356" s="99">
        <f t="shared" si="236"/>
        <v>6494.59296</v>
      </c>
      <c r="R356" s="99">
        <f t="shared" si="236"/>
        <v>6624.484819</v>
      </c>
      <c r="S356" s="99">
        <f t="shared" si="236"/>
        <v>6756.974516</v>
      </c>
      <c r="T356" s="99">
        <f t="shared" si="236"/>
        <v>6892.114006</v>
      </c>
      <c r="U356" s="99">
        <f t="shared" si="236"/>
        <v>7029.956286</v>
      </c>
      <c r="V356" s="99">
        <f t="shared" si="236"/>
        <v>7170.555412</v>
      </c>
      <c r="W356" s="99">
        <f t="shared" si="236"/>
        <v>7313.96652</v>
      </c>
      <c r="X356" s="99">
        <f t="shared" si="236"/>
        <v>7460.24585</v>
      </c>
      <c r="Y356" s="99">
        <f t="shared" si="236"/>
        <v>7609.450767</v>
      </c>
      <c r="Z356" s="99">
        <f t="shared" si="236"/>
        <v>7761.639783</v>
      </c>
      <c r="AA356" s="99">
        <f t="shared" si="236"/>
        <v>7916.872578</v>
      </c>
      <c r="AB356" s="99">
        <f t="shared" si="236"/>
        <v>8075.21003</v>
      </c>
      <c r="AC356" s="99">
        <f t="shared" si="236"/>
        <v>8236.714231</v>
      </c>
      <c r="AD356" s="99">
        <f t="shared" si="236"/>
        <v>8401.448515</v>
      </c>
      <c r="AE356" s="99">
        <f t="shared" si="236"/>
        <v>8569.477485</v>
      </c>
      <c r="AF356" s="99">
        <f t="shared" si="236"/>
        <v>8740.867035</v>
      </c>
      <c r="AG356" s="99">
        <f t="shared" si="236"/>
        <v>8915.684376</v>
      </c>
      <c r="AH356" s="99">
        <f t="shared" si="236"/>
        <v>9093.998063</v>
      </c>
      <c r="AI356" s="99">
        <f t="shared" si="236"/>
        <v>9275.878025</v>
      </c>
      <c r="AJ356" s="99">
        <f t="shared" si="236"/>
        <v>9461.395585</v>
      </c>
      <c r="AK356" s="99">
        <f t="shared" si="236"/>
        <v>9650.623497</v>
      </c>
      <c r="AL356" s="99">
        <f t="shared" si="236"/>
        <v>9843.635967</v>
      </c>
      <c r="AM356" s="99">
        <f t="shared" si="236"/>
        <v>10040.50869</v>
      </c>
      <c r="AN356" s="99">
        <f t="shared" si="236"/>
        <v>10241.31886</v>
      </c>
      <c r="AO356" s="99">
        <f t="shared" si="236"/>
        <v>10446.14524</v>
      </c>
      <c r="AP356" s="99">
        <f t="shared" si="236"/>
        <v>10655.06814</v>
      </c>
      <c r="AQ356" s="99">
        <f t="shared" si="236"/>
        <v>10868.1695</v>
      </c>
      <c r="AR356" s="99">
        <f t="shared" si="236"/>
        <v>11085.53289</v>
      </c>
      <c r="AS356" s="99">
        <f t="shared" si="236"/>
        <v>11307.24355</v>
      </c>
      <c r="AT356" s="99">
        <f t="shared" si="236"/>
        <v>11533.38842</v>
      </c>
      <c r="AU356" s="99">
        <f t="shared" si="236"/>
        <v>11764.05619</v>
      </c>
      <c r="AV356" s="99">
        <f t="shared" si="236"/>
        <v>11999.33732</v>
      </c>
      <c r="AW356" s="90"/>
      <c r="AX356" s="90"/>
      <c r="AY356" s="90"/>
      <c r="AZ356" s="90"/>
      <c r="BA356" s="90"/>
      <c r="BB356" s="90"/>
      <c r="BC356" s="90"/>
      <c r="BD356" s="90"/>
      <c r="BE356" s="90"/>
      <c r="BF356" s="90"/>
      <c r="BG356" s="90"/>
      <c r="BH356" s="90"/>
      <c r="BI356" s="90"/>
      <c r="BJ356" s="90"/>
      <c r="BK356" s="90"/>
      <c r="BL356" s="90"/>
      <c r="BM356" s="90"/>
      <c r="BN356" s="90"/>
      <c r="BO356" s="90"/>
      <c r="BP356" s="90"/>
      <c r="BQ356" s="90"/>
    </row>
    <row r="357" ht="12.75" customHeight="1" outlineLevel="1">
      <c r="A357" s="316"/>
      <c r="B357" s="90"/>
      <c r="C357" s="90"/>
      <c r="D357" s="90" t="s">
        <v>763</v>
      </c>
      <c r="E357" s="90"/>
      <c r="F357" s="90"/>
      <c r="G357" s="99"/>
      <c r="H357" s="99"/>
      <c r="I357" s="99"/>
      <c r="J357" s="99">
        <v>0.0</v>
      </c>
      <c r="K357" s="99">
        <v>0.0</v>
      </c>
      <c r="L357" s="99" t="str">
        <f t="shared" ref="L357:AV357" si="237">L225</f>
        <v/>
      </c>
      <c r="M357" s="99" t="str">
        <f t="shared" si="237"/>
        <v/>
      </c>
      <c r="N357" s="99">
        <f t="shared" si="237"/>
        <v>0</v>
      </c>
      <c r="O357" s="99">
        <f t="shared" si="237"/>
        <v>0</v>
      </c>
      <c r="P357" s="99">
        <f t="shared" si="237"/>
        <v>0</v>
      </c>
      <c r="Q357" s="99">
        <f t="shared" si="237"/>
        <v>0</v>
      </c>
      <c r="R357" s="99">
        <f t="shared" si="237"/>
        <v>0</v>
      </c>
      <c r="S357" s="99">
        <f t="shared" si="237"/>
        <v>0</v>
      </c>
      <c r="T357" s="99">
        <f t="shared" si="237"/>
        <v>0</v>
      </c>
      <c r="U357" s="99">
        <f t="shared" si="237"/>
        <v>0</v>
      </c>
      <c r="V357" s="99">
        <f t="shared" si="237"/>
        <v>0</v>
      </c>
      <c r="W357" s="99">
        <f t="shared" si="237"/>
        <v>0</v>
      </c>
      <c r="X357" s="99">
        <f t="shared" si="237"/>
        <v>0</v>
      </c>
      <c r="Y357" s="99">
        <f t="shared" si="237"/>
        <v>0</v>
      </c>
      <c r="Z357" s="99">
        <f t="shared" si="237"/>
        <v>0</v>
      </c>
      <c r="AA357" s="99">
        <f t="shared" si="237"/>
        <v>0</v>
      </c>
      <c r="AB357" s="99">
        <f t="shared" si="237"/>
        <v>0</v>
      </c>
      <c r="AC357" s="99">
        <f t="shared" si="237"/>
        <v>0</v>
      </c>
      <c r="AD357" s="99">
        <f t="shared" si="237"/>
        <v>0</v>
      </c>
      <c r="AE357" s="99">
        <f t="shared" si="237"/>
        <v>0</v>
      </c>
      <c r="AF357" s="99">
        <f t="shared" si="237"/>
        <v>0</v>
      </c>
      <c r="AG357" s="99">
        <f t="shared" si="237"/>
        <v>0</v>
      </c>
      <c r="AH357" s="99">
        <f t="shared" si="237"/>
        <v>0</v>
      </c>
      <c r="AI357" s="99">
        <f t="shared" si="237"/>
        <v>0</v>
      </c>
      <c r="AJ357" s="99">
        <f t="shared" si="237"/>
        <v>0</v>
      </c>
      <c r="AK357" s="99">
        <f t="shared" si="237"/>
        <v>0</v>
      </c>
      <c r="AL357" s="99">
        <f t="shared" si="237"/>
        <v>0</v>
      </c>
      <c r="AM357" s="99">
        <f t="shared" si="237"/>
        <v>0</v>
      </c>
      <c r="AN357" s="99">
        <f t="shared" si="237"/>
        <v>0</v>
      </c>
      <c r="AO357" s="99">
        <f t="shared" si="237"/>
        <v>0</v>
      </c>
      <c r="AP357" s="99">
        <f t="shared" si="237"/>
        <v>0</v>
      </c>
      <c r="AQ357" s="99">
        <f t="shared" si="237"/>
        <v>0</v>
      </c>
      <c r="AR357" s="99">
        <f t="shared" si="237"/>
        <v>0</v>
      </c>
      <c r="AS357" s="99">
        <f t="shared" si="237"/>
        <v>0</v>
      </c>
      <c r="AT357" s="99">
        <f t="shared" si="237"/>
        <v>0</v>
      </c>
      <c r="AU357" s="99">
        <f t="shared" si="237"/>
        <v>0</v>
      </c>
      <c r="AV357" s="99">
        <f t="shared" si="237"/>
        <v>0</v>
      </c>
      <c r="AW357" s="90"/>
      <c r="AX357" s="90"/>
      <c r="AY357" s="90"/>
      <c r="AZ357" s="90"/>
      <c r="BA357" s="90"/>
      <c r="BB357" s="90"/>
      <c r="BC357" s="90"/>
      <c r="BD357" s="90"/>
      <c r="BE357" s="90"/>
      <c r="BF357" s="90"/>
      <c r="BG357" s="90"/>
      <c r="BH357" s="90"/>
      <c r="BI357" s="90"/>
      <c r="BJ357" s="90"/>
      <c r="BK357" s="90"/>
      <c r="BL357" s="90"/>
      <c r="BM357" s="90"/>
      <c r="BN357" s="90"/>
      <c r="BO357" s="90"/>
      <c r="BP357" s="90"/>
      <c r="BQ357" s="90"/>
    </row>
    <row r="358" ht="12.75" customHeight="1" outlineLevel="1">
      <c r="A358" s="316"/>
      <c r="B358" s="90"/>
      <c r="C358" s="90"/>
      <c r="D358" s="90" t="s">
        <v>826</v>
      </c>
      <c r="E358" s="90"/>
      <c r="F358" s="90"/>
      <c r="G358" s="99"/>
      <c r="H358" s="99"/>
      <c r="I358" s="99"/>
      <c r="J358" s="99">
        <v>0.0</v>
      </c>
      <c r="K358" s="99">
        <v>628.01</v>
      </c>
      <c r="L358" s="99">
        <f t="shared" ref="L358:AV358" si="238">L226</f>
        <v>300</v>
      </c>
      <c r="M358" s="99">
        <f t="shared" si="238"/>
        <v>300</v>
      </c>
      <c r="N358" s="99">
        <f t="shared" si="238"/>
        <v>306</v>
      </c>
      <c r="O358" s="99">
        <f t="shared" si="238"/>
        <v>312.12</v>
      </c>
      <c r="P358" s="99">
        <f t="shared" si="238"/>
        <v>318.3624</v>
      </c>
      <c r="Q358" s="99">
        <f t="shared" si="238"/>
        <v>324.729648</v>
      </c>
      <c r="R358" s="99">
        <f t="shared" si="238"/>
        <v>331.224241</v>
      </c>
      <c r="S358" s="99">
        <f t="shared" si="238"/>
        <v>337.8487258</v>
      </c>
      <c r="T358" s="99">
        <f t="shared" si="238"/>
        <v>344.6057003</v>
      </c>
      <c r="U358" s="99">
        <f t="shared" si="238"/>
        <v>351.4978143</v>
      </c>
      <c r="V358" s="99">
        <f t="shared" si="238"/>
        <v>358.5277706</v>
      </c>
      <c r="W358" s="99">
        <f t="shared" si="238"/>
        <v>365.698326</v>
      </c>
      <c r="X358" s="99">
        <f t="shared" si="238"/>
        <v>373.0122925</v>
      </c>
      <c r="Y358" s="99">
        <f t="shared" si="238"/>
        <v>380.4725384</v>
      </c>
      <c r="Z358" s="99">
        <f t="shared" si="238"/>
        <v>388.0819891</v>
      </c>
      <c r="AA358" s="99">
        <f t="shared" si="238"/>
        <v>395.8436289</v>
      </c>
      <c r="AB358" s="99">
        <f t="shared" si="238"/>
        <v>403.7605015</v>
      </c>
      <c r="AC358" s="99">
        <f t="shared" si="238"/>
        <v>411.8357115</v>
      </c>
      <c r="AD358" s="99">
        <f t="shared" si="238"/>
        <v>420.0724258</v>
      </c>
      <c r="AE358" s="99">
        <f t="shared" si="238"/>
        <v>428.4738743</v>
      </c>
      <c r="AF358" s="99">
        <f t="shared" si="238"/>
        <v>437.0433518</v>
      </c>
      <c r="AG358" s="99">
        <f t="shared" si="238"/>
        <v>445.7842188</v>
      </c>
      <c r="AH358" s="99">
        <f t="shared" si="238"/>
        <v>454.6999032</v>
      </c>
      <c r="AI358" s="99">
        <f t="shared" si="238"/>
        <v>463.7939012</v>
      </c>
      <c r="AJ358" s="99">
        <f t="shared" si="238"/>
        <v>473.0697793</v>
      </c>
      <c r="AK358" s="99">
        <f t="shared" si="238"/>
        <v>482.5311748</v>
      </c>
      <c r="AL358" s="99">
        <f t="shared" si="238"/>
        <v>492.1817983</v>
      </c>
      <c r="AM358" s="99">
        <f t="shared" si="238"/>
        <v>502.0254343</v>
      </c>
      <c r="AN358" s="99">
        <f t="shared" si="238"/>
        <v>512.065943</v>
      </c>
      <c r="AO358" s="99">
        <f t="shared" si="238"/>
        <v>522.3072619</v>
      </c>
      <c r="AP358" s="99">
        <f t="shared" si="238"/>
        <v>532.7534071</v>
      </c>
      <c r="AQ358" s="99">
        <f t="shared" si="238"/>
        <v>543.4084752</v>
      </c>
      <c r="AR358" s="99">
        <f t="shared" si="238"/>
        <v>554.2766447</v>
      </c>
      <c r="AS358" s="99">
        <f t="shared" si="238"/>
        <v>565.3621776</v>
      </c>
      <c r="AT358" s="99">
        <f t="shared" si="238"/>
        <v>576.6694212</v>
      </c>
      <c r="AU358" s="99">
        <f t="shared" si="238"/>
        <v>588.2028096</v>
      </c>
      <c r="AV358" s="99">
        <f t="shared" si="238"/>
        <v>599.9668658</v>
      </c>
      <c r="AW358" s="90"/>
      <c r="AX358" s="90"/>
      <c r="AY358" s="90"/>
      <c r="AZ358" s="90"/>
      <c r="BA358" s="90"/>
      <c r="BB358" s="90"/>
      <c r="BC358" s="90"/>
      <c r="BD358" s="90"/>
      <c r="BE358" s="90"/>
      <c r="BF358" s="90"/>
      <c r="BG358" s="90"/>
      <c r="BH358" s="90"/>
      <c r="BI358" s="90"/>
      <c r="BJ358" s="90"/>
      <c r="BK358" s="90"/>
      <c r="BL358" s="90"/>
      <c r="BM358" s="90"/>
      <c r="BN358" s="90"/>
      <c r="BO358" s="90"/>
      <c r="BP358" s="90"/>
      <c r="BQ358" s="90"/>
    </row>
    <row r="359" ht="12.75" customHeight="1" outlineLevel="1">
      <c r="A359" s="316"/>
      <c r="B359" s="90"/>
      <c r="C359" s="90"/>
      <c r="D359" s="90" t="s">
        <v>764</v>
      </c>
      <c r="E359" s="90"/>
      <c r="F359" s="90"/>
      <c r="G359" s="99"/>
      <c r="H359" s="99"/>
      <c r="I359" s="99"/>
      <c r="J359" s="99">
        <v>0.0</v>
      </c>
      <c r="K359" s="99">
        <f t="shared" ref="K359:K360" si="240">K226</f>
        <v>0</v>
      </c>
      <c r="L359" s="99">
        <f t="shared" ref="L359:AV359" si="239">L227</f>
        <v>1500</v>
      </c>
      <c r="M359" s="99">
        <f t="shared" si="239"/>
        <v>1500</v>
      </c>
      <c r="N359" s="99">
        <f t="shared" si="239"/>
        <v>1530</v>
      </c>
      <c r="O359" s="99">
        <f t="shared" si="239"/>
        <v>1560.6</v>
      </c>
      <c r="P359" s="99">
        <f t="shared" si="239"/>
        <v>1591.812</v>
      </c>
      <c r="Q359" s="99">
        <f t="shared" si="239"/>
        <v>1623.64824</v>
      </c>
      <c r="R359" s="99">
        <f t="shared" si="239"/>
        <v>1656.121205</v>
      </c>
      <c r="S359" s="99">
        <f t="shared" si="239"/>
        <v>1689.243629</v>
      </c>
      <c r="T359" s="99">
        <f t="shared" si="239"/>
        <v>1723.028501</v>
      </c>
      <c r="U359" s="99">
        <f t="shared" si="239"/>
        <v>1757.489072</v>
      </c>
      <c r="V359" s="99">
        <f t="shared" si="239"/>
        <v>1792.638853</v>
      </c>
      <c r="W359" s="99">
        <f t="shared" si="239"/>
        <v>1828.49163</v>
      </c>
      <c r="X359" s="99">
        <f t="shared" si="239"/>
        <v>1865.061463</v>
      </c>
      <c r="Y359" s="99">
        <f t="shared" si="239"/>
        <v>1902.362692</v>
      </c>
      <c r="Z359" s="99">
        <f t="shared" si="239"/>
        <v>1940.409946</v>
      </c>
      <c r="AA359" s="99">
        <f t="shared" si="239"/>
        <v>1979.218145</v>
      </c>
      <c r="AB359" s="99">
        <f t="shared" si="239"/>
        <v>2018.802507</v>
      </c>
      <c r="AC359" s="99">
        <f t="shared" si="239"/>
        <v>2059.178558</v>
      </c>
      <c r="AD359" s="99">
        <f t="shared" si="239"/>
        <v>2100.362129</v>
      </c>
      <c r="AE359" s="99">
        <f t="shared" si="239"/>
        <v>2142.369371</v>
      </c>
      <c r="AF359" s="99">
        <f t="shared" si="239"/>
        <v>2185.216759</v>
      </c>
      <c r="AG359" s="99">
        <f t="shared" si="239"/>
        <v>2228.921094</v>
      </c>
      <c r="AH359" s="99">
        <f t="shared" si="239"/>
        <v>2273.499516</v>
      </c>
      <c r="AI359" s="99">
        <f t="shared" si="239"/>
        <v>2318.969506</v>
      </c>
      <c r="AJ359" s="99">
        <f t="shared" si="239"/>
        <v>2365.348896</v>
      </c>
      <c r="AK359" s="99">
        <f t="shared" si="239"/>
        <v>2412.655874</v>
      </c>
      <c r="AL359" s="99">
        <f t="shared" si="239"/>
        <v>2460.908992</v>
      </c>
      <c r="AM359" s="99">
        <f t="shared" si="239"/>
        <v>2510.127172</v>
      </c>
      <c r="AN359" s="99">
        <f t="shared" si="239"/>
        <v>2560.329715</v>
      </c>
      <c r="AO359" s="99">
        <f t="shared" si="239"/>
        <v>2611.536309</v>
      </c>
      <c r="AP359" s="99">
        <f t="shared" si="239"/>
        <v>2663.767035</v>
      </c>
      <c r="AQ359" s="99">
        <f t="shared" si="239"/>
        <v>2717.042376</v>
      </c>
      <c r="AR359" s="99">
        <f t="shared" si="239"/>
        <v>2771.383224</v>
      </c>
      <c r="AS359" s="99">
        <f t="shared" si="239"/>
        <v>2826.810888</v>
      </c>
      <c r="AT359" s="99">
        <f t="shared" si="239"/>
        <v>2883.347106</v>
      </c>
      <c r="AU359" s="99">
        <f t="shared" si="239"/>
        <v>2941.014048</v>
      </c>
      <c r="AV359" s="99">
        <f t="shared" si="239"/>
        <v>2999.834329</v>
      </c>
      <c r="AW359" s="90"/>
      <c r="AX359" s="90"/>
      <c r="AY359" s="90"/>
      <c r="AZ359" s="90"/>
      <c r="BA359" s="90"/>
      <c r="BB359" s="90"/>
      <c r="BC359" s="90"/>
      <c r="BD359" s="90"/>
      <c r="BE359" s="90"/>
      <c r="BF359" s="90"/>
      <c r="BG359" s="90"/>
      <c r="BH359" s="90"/>
      <c r="BI359" s="90"/>
      <c r="BJ359" s="90"/>
      <c r="BK359" s="90"/>
      <c r="BL359" s="90"/>
      <c r="BM359" s="90"/>
      <c r="BN359" s="90"/>
      <c r="BO359" s="90"/>
      <c r="BP359" s="90"/>
      <c r="BQ359" s="90"/>
    </row>
    <row r="360" ht="12.75" customHeight="1" outlineLevel="1">
      <c r="A360" s="316"/>
      <c r="B360" s="90"/>
      <c r="C360" s="90"/>
      <c r="D360" s="90" t="s">
        <v>765</v>
      </c>
      <c r="E360" s="90"/>
      <c r="F360" s="90"/>
      <c r="G360" s="99"/>
      <c r="H360" s="99"/>
      <c r="I360" s="99"/>
      <c r="J360" s="99">
        <v>0.0</v>
      </c>
      <c r="K360" s="99">
        <f t="shared" si="240"/>
        <v>0</v>
      </c>
      <c r="L360" s="99">
        <f t="shared" ref="L360:AV360" si="241">L228</f>
        <v>0</v>
      </c>
      <c r="M360" s="99">
        <f t="shared" si="241"/>
        <v>0</v>
      </c>
      <c r="N360" s="99">
        <f t="shared" si="241"/>
        <v>0</v>
      </c>
      <c r="O360" s="99">
        <f t="shared" si="241"/>
        <v>0</v>
      </c>
      <c r="P360" s="99">
        <f t="shared" si="241"/>
        <v>0</v>
      </c>
      <c r="Q360" s="99">
        <f t="shared" si="241"/>
        <v>0</v>
      </c>
      <c r="R360" s="99">
        <f t="shared" si="241"/>
        <v>0</v>
      </c>
      <c r="S360" s="99">
        <f t="shared" si="241"/>
        <v>0</v>
      </c>
      <c r="T360" s="99">
        <f t="shared" si="241"/>
        <v>0</v>
      </c>
      <c r="U360" s="99">
        <f t="shared" si="241"/>
        <v>0</v>
      </c>
      <c r="V360" s="99">
        <f t="shared" si="241"/>
        <v>0</v>
      </c>
      <c r="W360" s="99">
        <f t="shared" si="241"/>
        <v>0</v>
      </c>
      <c r="X360" s="99">
        <f t="shared" si="241"/>
        <v>0</v>
      </c>
      <c r="Y360" s="99">
        <f t="shared" si="241"/>
        <v>0</v>
      </c>
      <c r="Z360" s="99">
        <f t="shared" si="241"/>
        <v>0</v>
      </c>
      <c r="AA360" s="99">
        <f t="shared" si="241"/>
        <v>0</v>
      </c>
      <c r="AB360" s="99">
        <f t="shared" si="241"/>
        <v>0</v>
      </c>
      <c r="AC360" s="99">
        <f t="shared" si="241"/>
        <v>0</v>
      </c>
      <c r="AD360" s="99">
        <f t="shared" si="241"/>
        <v>0</v>
      </c>
      <c r="AE360" s="99">
        <f t="shared" si="241"/>
        <v>0</v>
      </c>
      <c r="AF360" s="99">
        <f t="shared" si="241"/>
        <v>0</v>
      </c>
      <c r="AG360" s="99">
        <f t="shared" si="241"/>
        <v>0</v>
      </c>
      <c r="AH360" s="99">
        <f t="shared" si="241"/>
        <v>0</v>
      </c>
      <c r="AI360" s="99">
        <f t="shared" si="241"/>
        <v>0</v>
      </c>
      <c r="AJ360" s="99">
        <f t="shared" si="241"/>
        <v>0</v>
      </c>
      <c r="AK360" s="99">
        <f t="shared" si="241"/>
        <v>0</v>
      </c>
      <c r="AL360" s="99">
        <f t="shared" si="241"/>
        <v>0</v>
      </c>
      <c r="AM360" s="99">
        <f t="shared" si="241"/>
        <v>0</v>
      </c>
      <c r="AN360" s="99">
        <f t="shared" si="241"/>
        <v>0</v>
      </c>
      <c r="AO360" s="99">
        <f t="shared" si="241"/>
        <v>0</v>
      </c>
      <c r="AP360" s="99">
        <f t="shared" si="241"/>
        <v>0</v>
      </c>
      <c r="AQ360" s="99">
        <f t="shared" si="241"/>
        <v>0</v>
      </c>
      <c r="AR360" s="99">
        <f t="shared" si="241"/>
        <v>0</v>
      </c>
      <c r="AS360" s="99">
        <f t="shared" si="241"/>
        <v>0</v>
      </c>
      <c r="AT360" s="99">
        <f t="shared" si="241"/>
        <v>0</v>
      </c>
      <c r="AU360" s="99">
        <f t="shared" si="241"/>
        <v>0</v>
      </c>
      <c r="AV360" s="99">
        <f t="shared" si="241"/>
        <v>0</v>
      </c>
      <c r="AW360" s="90"/>
      <c r="AX360" s="90"/>
      <c r="AY360" s="90"/>
      <c r="AZ360" s="90"/>
      <c r="BA360" s="90"/>
      <c r="BB360" s="90"/>
      <c r="BC360" s="90"/>
      <c r="BD360" s="90"/>
      <c r="BE360" s="90"/>
      <c r="BF360" s="90"/>
      <c r="BG360" s="90"/>
      <c r="BH360" s="90"/>
      <c r="BI360" s="90"/>
      <c r="BJ360" s="90"/>
      <c r="BK360" s="90"/>
      <c r="BL360" s="90"/>
      <c r="BM360" s="90"/>
      <c r="BN360" s="90"/>
      <c r="BO360" s="90"/>
      <c r="BP360" s="90"/>
      <c r="BQ360" s="90"/>
    </row>
    <row r="361" ht="12.75" customHeight="1" outlineLevel="1">
      <c r="A361" s="316"/>
      <c r="B361" s="90"/>
      <c r="C361" s="90"/>
      <c r="D361" s="90" t="s">
        <v>465</v>
      </c>
      <c r="E361" s="90"/>
      <c r="F361" s="90"/>
      <c r="G361" s="99"/>
      <c r="H361" s="99"/>
      <c r="I361" s="99"/>
      <c r="J361" s="99">
        <v>0.0</v>
      </c>
      <c r="K361" s="99">
        <v>0.0</v>
      </c>
      <c r="L361" s="99" t="str">
        <f t="shared" ref="L361:AV361" si="242">L229</f>
        <v/>
      </c>
      <c r="M361" s="99" t="str">
        <f t="shared" si="242"/>
        <v/>
      </c>
      <c r="N361" s="99" t="str">
        <f t="shared" si="242"/>
        <v/>
      </c>
      <c r="O361" s="99" t="str">
        <f t="shared" si="242"/>
        <v/>
      </c>
      <c r="P361" s="99" t="str">
        <f t="shared" si="242"/>
        <v/>
      </c>
      <c r="Q361" s="99" t="str">
        <f t="shared" si="242"/>
        <v/>
      </c>
      <c r="R361" s="99" t="str">
        <f t="shared" si="242"/>
        <v/>
      </c>
      <c r="S361" s="99" t="str">
        <f t="shared" si="242"/>
        <v/>
      </c>
      <c r="T361" s="99" t="str">
        <f t="shared" si="242"/>
        <v/>
      </c>
      <c r="U361" s="99" t="str">
        <f t="shared" si="242"/>
        <v/>
      </c>
      <c r="V361" s="99" t="str">
        <f t="shared" si="242"/>
        <v/>
      </c>
      <c r="W361" s="99" t="str">
        <f t="shared" si="242"/>
        <v/>
      </c>
      <c r="X361" s="99" t="str">
        <f t="shared" si="242"/>
        <v/>
      </c>
      <c r="Y361" s="99" t="str">
        <f t="shared" si="242"/>
        <v/>
      </c>
      <c r="Z361" s="99" t="str">
        <f t="shared" si="242"/>
        <v/>
      </c>
      <c r="AA361" s="99" t="str">
        <f t="shared" si="242"/>
        <v/>
      </c>
      <c r="AB361" s="99" t="str">
        <f t="shared" si="242"/>
        <v/>
      </c>
      <c r="AC361" s="99" t="str">
        <f t="shared" si="242"/>
        <v/>
      </c>
      <c r="AD361" s="99" t="str">
        <f t="shared" si="242"/>
        <v/>
      </c>
      <c r="AE361" s="99" t="str">
        <f t="shared" si="242"/>
        <v/>
      </c>
      <c r="AF361" s="99" t="str">
        <f t="shared" si="242"/>
        <v/>
      </c>
      <c r="AG361" s="99" t="str">
        <f t="shared" si="242"/>
        <v/>
      </c>
      <c r="AH361" s="99" t="str">
        <f t="shared" si="242"/>
        <v/>
      </c>
      <c r="AI361" s="99" t="str">
        <f t="shared" si="242"/>
        <v/>
      </c>
      <c r="AJ361" s="99" t="str">
        <f t="shared" si="242"/>
        <v/>
      </c>
      <c r="AK361" s="99" t="str">
        <f t="shared" si="242"/>
        <v/>
      </c>
      <c r="AL361" s="99" t="str">
        <f t="shared" si="242"/>
        <v/>
      </c>
      <c r="AM361" s="99" t="str">
        <f t="shared" si="242"/>
        <v/>
      </c>
      <c r="AN361" s="99" t="str">
        <f t="shared" si="242"/>
        <v/>
      </c>
      <c r="AO361" s="99" t="str">
        <f t="shared" si="242"/>
        <v/>
      </c>
      <c r="AP361" s="99" t="str">
        <f t="shared" si="242"/>
        <v/>
      </c>
      <c r="AQ361" s="99" t="str">
        <f t="shared" si="242"/>
        <v/>
      </c>
      <c r="AR361" s="99" t="str">
        <f t="shared" si="242"/>
        <v/>
      </c>
      <c r="AS361" s="99" t="str">
        <f t="shared" si="242"/>
        <v/>
      </c>
      <c r="AT361" s="99" t="str">
        <f t="shared" si="242"/>
        <v/>
      </c>
      <c r="AU361" s="99" t="str">
        <f t="shared" si="242"/>
        <v/>
      </c>
      <c r="AV361" s="99" t="str">
        <f t="shared" si="242"/>
        <v/>
      </c>
      <c r="AW361" s="90"/>
      <c r="AX361" s="90"/>
      <c r="AY361" s="90"/>
      <c r="AZ361" s="90"/>
      <c r="BA361" s="90"/>
      <c r="BB361" s="90"/>
      <c r="BC361" s="90"/>
      <c r="BD361" s="90"/>
      <c r="BE361" s="90"/>
      <c r="BF361" s="90"/>
      <c r="BG361" s="90"/>
      <c r="BH361" s="90"/>
      <c r="BI361" s="90"/>
      <c r="BJ361" s="90"/>
      <c r="BK361" s="90"/>
      <c r="BL361" s="90"/>
      <c r="BM361" s="90"/>
      <c r="BN361" s="90"/>
      <c r="BO361" s="90"/>
      <c r="BP361" s="90"/>
      <c r="BQ361" s="90"/>
    </row>
    <row r="362" ht="12.75" customHeight="1" outlineLevel="1">
      <c r="A362" s="316"/>
      <c r="B362" s="90"/>
      <c r="C362" s="90" t="s">
        <v>827</v>
      </c>
      <c r="D362" s="90"/>
      <c r="E362" s="90"/>
      <c r="F362" s="90"/>
      <c r="G362" s="99"/>
      <c r="H362" s="99"/>
      <c r="I362" s="99"/>
      <c r="J362" s="99"/>
      <c r="K362" s="99"/>
      <c r="L362" s="99"/>
      <c r="M362" s="99"/>
      <c r="N362" s="99"/>
      <c r="O362" s="99"/>
      <c r="P362" s="99"/>
      <c r="Q362" s="99"/>
      <c r="R362" s="99"/>
      <c r="S362" s="99"/>
      <c r="T362" s="99"/>
      <c r="U362" s="99"/>
      <c r="V362" s="99"/>
      <c r="W362" s="99"/>
      <c r="X362" s="99"/>
      <c r="Y362" s="99"/>
      <c r="Z362" s="99"/>
      <c r="AA362" s="99"/>
      <c r="AB362" s="99"/>
      <c r="AC362" s="99"/>
      <c r="AD362" s="99"/>
      <c r="AE362" s="99"/>
      <c r="AF362" s="99"/>
      <c r="AG362" s="99"/>
      <c r="AH362" s="99"/>
      <c r="AI362" s="99"/>
      <c r="AJ362" s="99"/>
      <c r="AK362" s="99"/>
      <c r="AL362" s="99"/>
      <c r="AM362" s="99"/>
      <c r="AN362" s="99"/>
      <c r="AO362" s="99"/>
      <c r="AP362" s="99"/>
      <c r="AQ362" s="99"/>
      <c r="AR362" s="99"/>
      <c r="AS362" s="99"/>
      <c r="AT362" s="99"/>
      <c r="AU362" s="99"/>
      <c r="AV362" s="99"/>
      <c r="AW362" s="90"/>
      <c r="AX362" s="90"/>
      <c r="AY362" s="90"/>
      <c r="AZ362" s="90"/>
      <c r="BA362" s="90"/>
      <c r="BB362" s="90"/>
      <c r="BC362" s="90"/>
      <c r="BD362" s="90"/>
      <c r="BE362" s="90"/>
      <c r="BF362" s="90"/>
      <c r="BG362" s="90"/>
      <c r="BH362" s="90"/>
      <c r="BI362" s="90"/>
      <c r="BJ362" s="90"/>
      <c r="BK362" s="90"/>
      <c r="BL362" s="90"/>
      <c r="BM362" s="90"/>
      <c r="BN362" s="90"/>
      <c r="BO362" s="90"/>
      <c r="BP362" s="90"/>
      <c r="BQ362" s="90"/>
    </row>
    <row r="363" ht="12.75" customHeight="1" outlineLevel="1">
      <c r="A363" s="316"/>
      <c r="B363" s="90"/>
      <c r="C363" s="90"/>
      <c r="D363" s="90" t="s">
        <v>768</v>
      </c>
      <c r="E363" s="90"/>
      <c r="F363" s="90"/>
      <c r="G363" s="99"/>
      <c r="H363" s="99"/>
      <c r="I363" s="99"/>
      <c r="J363" s="99">
        <v>0.0</v>
      </c>
      <c r="K363" s="99">
        <v>1000.0</v>
      </c>
      <c r="L363" s="99">
        <f t="shared" ref="L363:AV363" si="243">L$46*L230</f>
        <v>1499.4</v>
      </c>
      <c r="M363" s="99">
        <f t="shared" si="243"/>
        <v>1810.296</v>
      </c>
      <c r="N363" s="99">
        <f t="shared" si="243"/>
        <v>1989.765</v>
      </c>
      <c r="O363" s="99">
        <f t="shared" si="243"/>
        <v>2029.5603</v>
      </c>
      <c r="P363" s="99">
        <f t="shared" si="243"/>
        <v>2070.151506</v>
      </c>
      <c r="Q363" s="99">
        <f t="shared" si="243"/>
        <v>2111.554536</v>
      </c>
      <c r="R363" s="99">
        <f t="shared" si="243"/>
        <v>2153.785627</v>
      </c>
      <c r="S363" s="99">
        <f t="shared" si="243"/>
        <v>2196.861339</v>
      </c>
      <c r="T363" s="99">
        <f t="shared" si="243"/>
        <v>2240.798566</v>
      </c>
      <c r="U363" s="99">
        <f t="shared" si="243"/>
        <v>2285.614537</v>
      </c>
      <c r="V363" s="99">
        <f t="shared" si="243"/>
        <v>2331.326828</v>
      </c>
      <c r="W363" s="99">
        <f t="shared" si="243"/>
        <v>2377.953365</v>
      </c>
      <c r="X363" s="99">
        <f t="shared" si="243"/>
        <v>2425.512432</v>
      </c>
      <c r="Y363" s="99">
        <f t="shared" si="243"/>
        <v>2474.022681</v>
      </c>
      <c r="Z363" s="99">
        <f t="shared" si="243"/>
        <v>2523.503134</v>
      </c>
      <c r="AA363" s="99">
        <f t="shared" si="243"/>
        <v>2573.973197</v>
      </c>
      <c r="AB363" s="99">
        <f t="shared" si="243"/>
        <v>2625.452661</v>
      </c>
      <c r="AC363" s="99">
        <f t="shared" si="243"/>
        <v>2677.961714</v>
      </c>
      <c r="AD363" s="99">
        <f t="shared" si="243"/>
        <v>2731.520948</v>
      </c>
      <c r="AE363" s="99">
        <f t="shared" si="243"/>
        <v>2786.151367</v>
      </c>
      <c r="AF363" s="99">
        <f t="shared" si="243"/>
        <v>2841.874395</v>
      </c>
      <c r="AG363" s="99">
        <f t="shared" si="243"/>
        <v>2898.711883</v>
      </c>
      <c r="AH363" s="99">
        <f t="shared" si="243"/>
        <v>2956.68612</v>
      </c>
      <c r="AI363" s="99">
        <f t="shared" si="243"/>
        <v>3015.819843</v>
      </c>
      <c r="AJ363" s="99">
        <f t="shared" si="243"/>
        <v>3076.13624</v>
      </c>
      <c r="AK363" s="99">
        <f t="shared" si="243"/>
        <v>3137.658964</v>
      </c>
      <c r="AL363" s="99">
        <f t="shared" si="243"/>
        <v>3200.412144</v>
      </c>
      <c r="AM363" s="99">
        <f t="shared" si="243"/>
        <v>3264.420387</v>
      </c>
      <c r="AN363" s="99">
        <f t="shared" si="243"/>
        <v>3329.708794</v>
      </c>
      <c r="AO363" s="99">
        <f t="shared" si="243"/>
        <v>3396.30297</v>
      </c>
      <c r="AP363" s="99">
        <f t="shared" si="243"/>
        <v>3464.22903</v>
      </c>
      <c r="AQ363" s="99">
        <f t="shared" si="243"/>
        <v>3533.51361</v>
      </c>
      <c r="AR363" s="99">
        <f t="shared" si="243"/>
        <v>3604.183882</v>
      </c>
      <c r="AS363" s="99">
        <f t="shared" si="243"/>
        <v>3676.26756</v>
      </c>
      <c r="AT363" s="99">
        <f t="shared" si="243"/>
        <v>3749.792911</v>
      </c>
      <c r="AU363" s="99">
        <f t="shared" si="243"/>
        <v>3824.788769</v>
      </c>
      <c r="AV363" s="99">
        <f t="shared" si="243"/>
        <v>3901.284545</v>
      </c>
      <c r="AW363" s="90"/>
      <c r="AX363" s="90"/>
      <c r="AY363" s="90"/>
      <c r="AZ363" s="90"/>
      <c r="BA363" s="90"/>
      <c r="BB363" s="90"/>
      <c r="BC363" s="90"/>
      <c r="BD363" s="90"/>
      <c r="BE363" s="90"/>
      <c r="BF363" s="90"/>
      <c r="BG363" s="90"/>
      <c r="BH363" s="90"/>
      <c r="BI363" s="90"/>
      <c r="BJ363" s="90"/>
      <c r="BK363" s="90"/>
      <c r="BL363" s="90"/>
      <c r="BM363" s="90"/>
      <c r="BN363" s="90"/>
      <c r="BO363" s="90"/>
      <c r="BP363" s="90"/>
      <c r="BQ363" s="90"/>
    </row>
    <row r="364" ht="12.75" customHeight="1" outlineLevel="1">
      <c r="A364" s="316"/>
      <c r="B364" s="90"/>
      <c r="C364" s="90"/>
      <c r="D364" s="90" t="s">
        <v>769</v>
      </c>
      <c r="E364" s="90"/>
      <c r="F364" s="90"/>
      <c r="G364" s="99"/>
      <c r="H364" s="99"/>
      <c r="I364" s="99"/>
      <c r="J364" s="99">
        <v>0.0</v>
      </c>
      <c r="K364" s="99">
        <f t="shared" ref="K364:K366" si="245">K231*K$46</f>
        <v>0</v>
      </c>
      <c r="L364" s="99">
        <f t="shared" ref="L364:AV364" si="244">L$46*L231</f>
        <v>20384</v>
      </c>
      <c r="M364" s="99">
        <f t="shared" si="244"/>
        <v>24610.56</v>
      </c>
      <c r="N364" s="99">
        <f t="shared" si="244"/>
        <v>27050.4</v>
      </c>
      <c r="O364" s="99">
        <f t="shared" si="244"/>
        <v>27591.408</v>
      </c>
      <c r="P364" s="99">
        <f t="shared" si="244"/>
        <v>28143.23616</v>
      </c>
      <c r="Q364" s="99">
        <f t="shared" si="244"/>
        <v>28706.10088</v>
      </c>
      <c r="R364" s="99">
        <f t="shared" si="244"/>
        <v>29280.2229</v>
      </c>
      <c r="S364" s="99">
        <f t="shared" si="244"/>
        <v>29865.82736</v>
      </c>
      <c r="T364" s="99">
        <f t="shared" si="244"/>
        <v>30463.14391</v>
      </c>
      <c r="U364" s="99">
        <f t="shared" si="244"/>
        <v>31072.40678</v>
      </c>
      <c r="V364" s="99">
        <f t="shared" si="244"/>
        <v>31693.85492</v>
      </c>
      <c r="W364" s="99">
        <f t="shared" si="244"/>
        <v>32327.73202</v>
      </c>
      <c r="X364" s="99">
        <f t="shared" si="244"/>
        <v>32974.28666</v>
      </c>
      <c r="Y364" s="99">
        <f t="shared" si="244"/>
        <v>33633.77239</v>
      </c>
      <c r="Z364" s="99">
        <f t="shared" si="244"/>
        <v>34306.44784</v>
      </c>
      <c r="AA364" s="99">
        <f t="shared" si="244"/>
        <v>34992.5768</v>
      </c>
      <c r="AB364" s="99">
        <f t="shared" si="244"/>
        <v>35692.42833</v>
      </c>
      <c r="AC364" s="99">
        <f t="shared" si="244"/>
        <v>36406.2769</v>
      </c>
      <c r="AD364" s="99">
        <f t="shared" si="244"/>
        <v>37134.40244</v>
      </c>
      <c r="AE364" s="99">
        <f t="shared" si="244"/>
        <v>37877.09049</v>
      </c>
      <c r="AF364" s="99">
        <f t="shared" si="244"/>
        <v>38634.6323</v>
      </c>
      <c r="AG364" s="99">
        <f t="shared" si="244"/>
        <v>39407.32494</v>
      </c>
      <c r="AH364" s="99">
        <f t="shared" si="244"/>
        <v>40195.47144</v>
      </c>
      <c r="AI364" s="99">
        <f t="shared" si="244"/>
        <v>40999.38087</v>
      </c>
      <c r="AJ364" s="99">
        <f t="shared" si="244"/>
        <v>41819.36849</v>
      </c>
      <c r="AK364" s="99">
        <f t="shared" si="244"/>
        <v>42655.75586</v>
      </c>
      <c r="AL364" s="99">
        <f t="shared" si="244"/>
        <v>43508.87097</v>
      </c>
      <c r="AM364" s="99">
        <f t="shared" si="244"/>
        <v>44379.04839</v>
      </c>
      <c r="AN364" s="99">
        <f t="shared" si="244"/>
        <v>45266.62936</v>
      </c>
      <c r="AO364" s="99">
        <f t="shared" si="244"/>
        <v>46171.96195</v>
      </c>
      <c r="AP364" s="99">
        <f t="shared" si="244"/>
        <v>47095.40119</v>
      </c>
      <c r="AQ364" s="99">
        <f t="shared" si="244"/>
        <v>48037.30921</v>
      </c>
      <c r="AR364" s="99">
        <f t="shared" si="244"/>
        <v>48998.05539</v>
      </c>
      <c r="AS364" s="99">
        <f t="shared" si="244"/>
        <v>49978.0165</v>
      </c>
      <c r="AT364" s="99">
        <f t="shared" si="244"/>
        <v>50977.57683</v>
      </c>
      <c r="AU364" s="99">
        <f t="shared" si="244"/>
        <v>51997.12837</v>
      </c>
      <c r="AV364" s="99">
        <f t="shared" si="244"/>
        <v>53037.07094</v>
      </c>
      <c r="AW364" s="90"/>
      <c r="AX364" s="90"/>
      <c r="AY364" s="90"/>
      <c r="AZ364" s="90"/>
      <c r="BA364" s="90"/>
      <c r="BB364" s="90"/>
      <c r="BC364" s="90"/>
      <c r="BD364" s="90"/>
      <c r="BE364" s="90"/>
      <c r="BF364" s="90"/>
      <c r="BG364" s="90"/>
      <c r="BH364" s="90"/>
      <c r="BI364" s="90"/>
      <c r="BJ364" s="90"/>
      <c r="BK364" s="90"/>
      <c r="BL364" s="90"/>
      <c r="BM364" s="90"/>
      <c r="BN364" s="90"/>
      <c r="BO364" s="90"/>
      <c r="BP364" s="90"/>
      <c r="BQ364" s="90"/>
    </row>
    <row r="365" ht="12.75" customHeight="1" outlineLevel="1">
      <c r="A365" s="316"/>
      <c r="B365" s="90"/>
      <c r="C365" s="90"/>
      <c r="D365" s="90" t="s">
        <v>770</v>
      </c>
      <c r="E365" s="90"/>
      <c r="F365" s="90"/>
      <c r="G365" s="99"/>
      <c r="H365" s="99"/>
      <c r="I365" s="99"/>
      <c r="J365" s="99">
        <v>0.0</v>
      </c>
      <c r="K365" s="99">
        <f t="shared" si="245"/>
        <v>0</v>
      </c>
      <c r="L365" s="99">
        <f t="shared" ref="L365:AV365" si="246">L$46*L232</f>
        <v>3748.5</v>
      </c>
      <c r="M365" s="99">
        <f t="shared" si="246"/>
        <v>4525.74</v>
      </c>
      <c r="N365" s="99">
        <f t="shared" si="246"/>
        <v>4974.4125</v>
      </c>
      <c r="O365" s="99">
        <f t="shared" si="246"/>
        <v>5073.90075</v>
      </c>
      <c r="P365" s="99">
        <f t="shared" si="246"/>
        <v>5175.378765</v>
      </c>
      <c r="Q365" s="99">
        <f t="shared" si="246"/>
        <v>5278.88634</v>
      </c>
      <c r="R365" s="99">
        <f t="shared" si="246"/>
        <v>5384.464067</v>
      </c>
      <c r="S365" s="99">
        <f t="shared" si="246"/>
        <v>5492.153348</v>
      </c>
      <c r="T365" s="99">
        <f t="shared" si="246"/>
        <v>5601.996415</v>
      </c>
      <c r="U365" s="99">
        <f t="shared" si="246"/>
        <v>5714.036344</v>
      </c>
      <c r="V365" s="99">
        <f t="shared" si="246"/>
        <v>5828.317071</v>
      </c>
      <c r="W365" s="99">
        <f t="shared" si="246"/>
        <v>5944.883412</v>
      </c>
      <c r="X365" s="99">
        <f t="shared" si="246"/>
        <v>6063.78108</v>
      </c>
      <c r="Y365" s="99">
        <f t="shared" si="246"/>
        <v>6185.056702</v>
      </c>
      <c r="Z365" s="99">
        <f t="shared" si="246"/>
        <v>6308.757836</v>
      </c>
      <c r="AA365" s="99">
        <f t="shared" si="246"/>
        <v>6434.932993</v>
      </c>
      <c r="AB365" s="99">
        <f t="shared" si="246"/>
        <v>6563.631652</v>
      </c>
      <c r="AC365" s="99">
        <f t="shared" si="246"/>
        <v>6694.904286</v>
      </c>
      <c r="AD365" s="99">
        <f t="shared" si="246"/>
        <v>6828.802371</v>
      </c>
      <c r="AE365" s="99">
        <f t="shared" si="246"/>
        <v>6965.378419</v>
      </c>
      <c r="AF365" s="99">
        <f t="shared" si="246"/>
        <v>7104.685987</v>
      </c>
      <c r="AG365" s="99">
        <f t="shared" si="246"/>
        <v>7246.779707</v>
      </c>
      <c r="AH365" s="99">
        <f t="shared" si="246"/>
        <v>7391.715301</v>
      </c>
      <c r="AI365" s="99">
        <f t="shared" si="246"/>
        <v>7539.549607</v>
      </c>
      <c r="AJ365" s="99">
        <f t="shared" si="246"/>
        <v>7690.340599</v>
      </c>
      <c r="AK365" s="99">
        <f t="shared" si="246"/>
        <v>7844.147411</v>
      </c>
      <c r="AL365" s="99">
        <f t="shared" si="246"/>
        <v>8001.030359</v>
      </c>
      <c r="AM365" s="99">
        <f t="shared" si="246"/>
        <v>8161.050966</v>
      </c>
      <c r="AN365" s="99">
        <f t="shared" si="246"/>
        <v>8324.271986</v>
      </c>
      <c r="AO365" s="99">
        <f t="shared" si="246"/>
        <v>8490.757425</v>
      </c>
      <c r="AP365" s="99">
        <f t="shared" si="246"/>
        <v>8660.572574</v>
      </c>
      <c r="AQ365" s="99">
        <f t="shared" si="246"/>
        <v>8833.784025</v>
      </c>
      <c r="AR365" s="99">
        <f t="shared" si="246"/>
        <v>9010.459706</v>
      </c>
      <c r="AS365" s="99">
        <f t="shared" si="246"/>
        <v>9190.6689</v>
      </c>
      <c r="AT365" s="99">
        <f t="shared" si="246"/>
        <v>9374.482278</v>
      </c>
      <c r="AU365" s="99">
        <f t="shared" si="246"/>
        <v>9561.971924</v>
      </c>
      <c r="AV365" s="99">
        <f t="shared" si="246"/>
        <v>9753.211362</v>
      </c>
      <c r="AW365" s="90"/>
      <c r="AX365" s="90"/>
      <c r="AY365" s="90"/>
      <c r="AZ365" s="90"/>
      <c r="BA365" s="90"/>
      <c r="BB365" s="90"/>
      <c r="BC365" s="90"/>
      <c r="BD365" s="90"/>
      <c r="BE365" s="90"/>
      <c r="BF365" s="90"/>
      <c r="BG365" s="90"/>
      <c r="BH365" s="90"/>
      <c r="BI365" s="90"/>
      <c r="BJ365" s="90"/>
      <c r="BK365" s="90"/>
      <c r="BL365" s="90"/>
      <c r="BM365" s="90"/>
      <c r="BN365" s="90"/>
      <c r="BO365" s="90"/>
      <c r="BP365" s="90"/>
      <c r="BQ365" s="90"/>
    </row>
    <row r="366" ht="12.75" customHeight="1" outlineLevel="1">
      <c r="A366" s="316"/>
      <c r="B366" s="90"/>
      <c r="C366" s="90"/>
      <c r="D366" s="90" t="s">
        <v>771</v>
      </c>
      <c r="E366" s="90"/>
      <c r="F366" s="90"/>
      <c r="G366" s="99"/>
      <c r="H366" s="99"/>
      <c r="I366" s="99"/>
      <c r="J366" s="99">
        <v>0.0</v>
      </c>
      <c r="K366" s="99">
        <f t="shared" si="245"/>
        <v>0</v>
      </c>
      <c r="L366" s="99">
        <f t="shared" ref="L366:AV366" si="247">L$46*L233</f>
        <v>1249.5</v>
      </c>
      <c r="M366" s="99">
        <f t="shared" si="247"/>
        <v>1508.58</v>
      </c>
      <c r="N366" s="99">
        <f t="shared" si="247"/>
        <v>1658.1375</v>
      </c>
      <c r="O366" s="99">
        <f t="shared" si="247"/>
        <v>1691.30025</v>
      </c>
      <c r="P366" s="99">
        <f t="shared" si="247"/>
        <v>1725.126255</v>
      </c>
      <c r="Q366" s="99">
        <f t="shared" si="247"/>
        <v>1759.62878</v>
      </c>
      <c r="R366" s="99">
        <f t="shared" si="247"/>
        <v>1794.821356</v>
      </c>
      <c r="S366" s="99">
        <f t="shared" si="247"/>
        <v>1830.717783</v>
      </c>
      <c r="T366" s="99">
        <f t="shared" si="247"/>
        <v>1867.332138</v>
      </c>
      <c r="U366" s="99">
        <f t="shared" si="247"/>
        <v>1904.678781</v>
      </c>
      <c r="V366" s="99">
        <f t="shared" si="247"/>
        <v>1942.772357</v>
      </c>
      <c r="W366" s="99">
        <f t="shared" si="247"/>
        <v>1981.627804</v>
      </c>
      <c r="X366" s="99">
        <f t="shared" si="247"/>
        <v>2021.26036</v>
      </c>
      <c r="Y366" s="99">
        <f t="shared" si="247"/>
        <v>2061.685567</v>
      </c>
      <c r="Z366" s="99">
        <f t="shared" si="247"/>
        <v>2102.919279</v>
      </c>
      <c r="AA366" s="99">
        <f t="shared" si="247"/>
        <v>2144.977664</v>
      </c>
      <c r="AB366" s="99">
        <f t="shared" si="247"/>
        <v>2187.877217</v>
      </c>
      <c r="AC366" s="99">
        <f t="shared" si="247"/>
        <v>2231.634762</v>
      </c>
      <c r="AD366" s="99">
        <f t="shared" si="247"/>
        <v>2276.267457</v>
      </c>
      <c r="AE366" s="99">
        <f t="shared" si="247"/>
        <v>2321.792806</v>
      </c>
      <c r="AF366" s="99">
        <f t="shared" si="247"/>
        <v>2368.228662</v>
      </c>
      <c r="AG366" s="99">
        <f t="shared" si="247"/>
        <v>2415.593236</v>
      </c>
      <c r="AH366" s="99">
        <f t="shared" si="247"/>
        <v>2463.9051</v>
      </c>
      <c r="AI366" s="99">
        <f t="shared" si="247"/>
        <v>2513.183202</v>
      </c>
      <c r="AJ366" s="99">
        <f t="shared" si="247"/>
        <v>2563.446866</v>
      </c>
      <c r="AK366" s="99">
        <f t="shared" si="247"/>
        <v>2614.715804</v>
      </c>
      <c r="AL366" s="99">
        <f t="shared" si="247"/>
        <v>2667.01012</v>
      </c>
      <c r="AM366" s="99">
        <f t="shared" si="247"/>
        <v>2720.350322</v>
      </c>
      <c r="AN366" s="99">
        <f t="shared" si="247"/>
        <v>2774.757329</v>
      </c>
      <c r="AO366" s="99">
        <f t="shared" si="247"/>
        <v>2830.252475</v>
      </c>
      <c r="AP366" s="99">
        <f t="shared" si="247"/>
        <v>2886.857525</v>
      </c>
      <c r="AQ366" s="99">
        <f t="shared" si="247"/>
        <v>2944.594675</v>
      </c>
      <c r="AR366" s="99">
        <f t="shared" si="247"/>
        <v>3003.486569</v>
      </c>
      <c r="AS366" s="99">
        <f t="shared" si="247"/>
        <v>3063.5563</v>
      </c>
      <c r="AT366" s="99">
        <f t="shared" si="247"/>
        <v>3124.827426</v>
      </c>
      <c r="AU366" s="99">
        <f t="shared" si="247"/>
        <v>3187.323975</v>
      </c>
      <c r="AV366" s="99">
        <f t="shared" si="247"/>
        <v>3251.070454</v>
      </c>
      <c r="AW366" s="90"/>
      <c r="AX366" s="90"/>
      <c r="AY366" s="90"/>
      <c r="AZ366" s="90"/>
      <c r="BA366" s="90"/>
      <c r="BB366" s="90"/>
      <c r="BC366" s="90"/>
      <c r="BD366" s="90"/>
      <c r="BE366" s="90"/>
      <c r="BF366" s="90"/>
      <c r="BG366" s="90"/>
      <c r="BH366" s="90"/>
      <c r="BI366" s="90"/>
      <c r="BJ366" s="90"/>
      <c r="BK366" s="90"/>
      <c r="BL366" s="90"/>
      <c r="BM366" s="90"/>
      <c r="BN366" s="90"/>
      <c r="BO366" s="90"/>
      <c r="BP366" s="90"/>
      <c r="BQ366" s="90"/>
    </row>
    <row r="367" ht="12.75" customHeight="1" outlineLevel="1">
      <c r="A367" s="316"/>
      <c r="B367" s="90"/>
      <c r="C367" s="90"/>
      <c r="D367" s="90" t="s">
        <v>773</v>
      </c>
      <c r="E367" s="90"/>
      <c r="F367" s="90"/>
      <c r="G367" s="99"/>
      <c r="H367" s="99"/>
      <c r="I367" s="99"/>
      <c r="J367" s="99">
        <v>0.0</v>
      </c>
      <c r="K367" s="99">
        <v>518.0</v>
      </c>
      <c r="L367" s="99">
        <f t="shared" ref="L367:AV367" si="248">L$46*L235</f>
        <v>1960</v>
      </c>
      <c r="M367" s="99">
        <f t="shared" si="248"/>
        <v>2366.4</v>
      </c>
      <c r="N367" s="99">
        <f t="shared" si="248"/>
        <v>2601</v>
      </c>
      <c r="O367" s="99">
        <f t="shared" si="248"/>
        <v>2653.02</v>
      </c>
      <c r="P367" s="99">
        <f t="shared" si="248"/>
        <v>2706.0804</v>
      </c>
      <c r="Q367" s="99">
        <f t="shared" si="248"/>
        <v>2760.202008</v>
      </c>
      <c r="R367" s="99">
        <f t="shared" si="248"/>
        <v>2815.406048</v>
      </c>
      <c r="S367" s="99">
        <f t="shared" si="248"/>
        <v>2871.714169</v>
      </c>
      <c r="T367" s="99">
        <f t="shared" si="248"/>
        <v>2929.148453</v>
      </c>
      <c r="U367" s="99">
        <f t="shared" si="248"/>
        <v>2987.731422</v>
      </c>
      <c r="V367" s="99">
        <f t="shared" si="248"/>
        <v>3047.48605</v>
      </c>
      <c r="W367" s="99">
        <f t="shared" si="248"/>
        <v>3108.435771</v>
      </c>
      <c r="X367" s="99">
        <f t="shared" si="248"/>
        <v>3170.604486</v>
      </c>
      <c r="Y367" s="99">
        <f t="shared" si="248"/>
        <v>3234.016576</v>
      </c>
      <c r="Z367" s="99">
        <f t="shared" si="248"/>
        <v>3298.696908</v>
      </c>
      <c r="AA367" s="99">
        <f t="shared" si="248"/>
        <v>3364.670846</v>
      </c>
      <c r="AB367" s="99">
        <f t="shared" si="248"/>
        <v>3431.964263</v>
      </c>
      <c r="AC367" s="99">
        <f t="shared" si="248"/>
        <v>3500.603548</v>
      </c>
      <c r="AD367" s="99">
        <f t="shared" si="248"/>
        <v>3570.615619</v>
      </c>
      <c r="AE367" s="99">
        <f t="shared" si="248"/>
        <v>3642.027931</v>
      </c>
      <c r="AF367" s="99">
        <f t="shared" si="248"/>
        <v>3714.86849</v>
      </c>
      <c r="AG367" s="99">
        <f t="shared" si="248"/>
        <v>3789.16586</v>
      </c>
      <c r="AH367" s="99">
        <f t="shared" si="248"/>
        <v>3864.949177</v>
      </c>
      <c r="AI367" s="99">
        <f t="shared" si="248"/>
        <v>3942.24816</v>
      </c>
      <c r="AJ367" s="99">
        <f t="shared" si="248"/>
        <v>4021.093124</v>
      </c>
      <c r="AK367" s="99">
        <f t="shared" si="248"/>
        <v>4101.514986</v>
      </c>
      <c r="AL367" s="99">
        <f t="shared" si="248"/>
        <v>4183.545286</v>
      </c>
      <c r="AM367" s="99">
        <f t="shared" si="248"/>
        <v>4267.216192</v>
      </c>
      <c r="AN367" s="99">
        <f t="shared" si="248"/>
        <v>4352.560515</v>
      </c>
      <c r="AO367" s="99">
        <f t="shared" si="248"/>
        <v>4439.611726</v>
      </c>
      <c r="AP367" s="99">
        <f t="shared" si="248"/>
        <v>4528.40396</v>
      </c>
      <c r="AQ367" s="99">
        <f t="shared" si="248"/>
        <v>4618.972039</v>
      </c>
      <c r="AR367" s="99">
        <f t="shared" si="248"/>
        <v>4711.35148</v>
      </c>
      <c r="AS367" s="99">
        <f t="shared" si="248"/>
        <v>4805.57851</v>
      </c>
      <c r="AT367" s="99">
        <f t="shared" si="248"/>
        <v>4901.69008</v>
      </c>
      <c r="AU367" s="99">
        <f t="shared" si="248"/>
        <v>4999.723882</v>
      </c>
      <c r="AV367" s="99">
        <f t="shared" si="248"/>
        <v>5099.718359</v>
      </c>
      <c r="AW367" s="90"/>
      <c r="AX367" s="90"/>
      <c r="AY367" s="90"/>
      <c r="AZ367" s="90"/>
      <c r="BA367" s="90"/>
      <c r="BB367" s="90"/>
      <c r="BC367" s="90"/>
      <c r="BD367" s="90"/>
      <c r="BE367" s="90"/>
      <c r="BF367" s="90"/>
      <c r="BG367" s="90"/>
      <c r="BH367" s="90"/>
      <c r="BI367" s="90"/>
      <c r="BJ367" s="90"/>
      <c r="BK367" s="90"/>
      <c r="BL367" s="90"/>
      <c r="BM367" s="90"/>
      <c r="BN367" s="90"/>
      <c r="BO367" s="90"/>
      <c r="BP367" s="90"/>
      <c r="BQ367" s="90"/>
    </row>
    <row r="368" ht="12.75" customHeight="1" outlineLevel="1">
      <c r="A368" s="316"/>
      <c r="B368" s="90"/>
      <c r="C368" s="90"/>
      <c r="D368" s="90" t="s">
        <v>828</v>
      </c>
      <c r="E368" s="90"/>
      <c r="F368" s="90"/>
      <c r="G368" s="99"/>
      <c r="H368" s="99"/>
      <c r="I368" s="99"/>
      <c r="J368" s="99">
        <v>0.0</v>
      </c>
      <c r="K368" s="99">
        <f>J368</f>
        <v>0</v>
      </c>
      <c r="L368" s="99">
        <f t="shared" ref="L368:M368" si="249">L$46*L236</f>
        <v>0</v>
      </c>
      <c r="M368" s="99">
        <f t="shared" si="249"/>
        <v>0</v>
      </c>
      <c r="N368" s="99">
        <v>0.0</v>
      </c>
      <c r="O368" s="99">
        <v>141461.580262808</v>
      </c>
      <c r="P368" s="99">
        <v>142914.231868064</v>
      </c>
      <c r="Q368" s="99">
        <v>511135.673092683</v>
      </c>
      <c r="R368" s="99">
        <v>537563.03348126</v>
      </c>
      <c r="S368" s="99">
        <v>546461.786096317</v>
      </c>
      <c r="T368" s="99">
        <v>557776.858663373</v>
      </c>
      <c r="U368" s="99">
        <v>571886.14983664</v>
      </c>
      <c r="V368" s="99">
        <v>586768.576166244</v>
      </c>
      <c r="W368" s="99">
        <v>601540.642739081</v>
      </c>
      <c r="X368" s="99">
        <v>616814.174628041</v>
      </c>
      <c r="Y368" s="99">
        <v>632393.177154779</v>
      </c>
      <c r="Z368" s="99">
        <v>648283.759732054</v>
      </c>
      <c r="AA368" s="99">
        <v>664492.153960872</v>
      </c>
      <c r="AB368" s="99">
        <v>681024.716074267</v>
      </c>
      <c r="AC368" s="99">
        <v>697887.929429931</v>
      </c>
      <c r="AD368" s="99">
        <v>715088.407052711</v>
      </c>
      <c r="AE368" s="99">
        <v>732632.894227941</v>
      </c>
      <c r="AF368" s="99">
        <v>750528.271146678</v>
      </c>
      <c r="AG368" s="99">
        <v>768781.555603789</v>
      </c>
      <c r="AH368" s="99">
        <v>787399.905750043</v>
      </c>
      <c r="AI368" s="99">
        <v>806390.622899221</v>
      </c>
      <c r="AJ368" s="99">
        <v>825761.154391384</v>
      </c>
      <c r="AK368" s="99">
        <v>845519.09651339</v>
      </c>
      <c r="AL368" s="99">
        <v>865672.197477837</v>
      </c>
      <c r="AM368" s="99">
        <v>886228.360461571</v>
      </c>
      <c r="AN368" s="99">
        <v>907195.646704981</v>
      </c>
      <c r="AO368" s="99">
        <v>928582.278673259</v>
      </c>
      <c r="AP368" s="99">
        <v>950396.643280903</v>
      </c>
      <c r="AQ368" s="99">
        <v>972647.295180699</v>
      </c>
      <c r="AR368" s="99">
        <v>995342.960118489</v>
      </c>
      <c r="AS368" s="99">
        <v>1018492.53835504</v>
      </c>
      <c r="AT368" s="99">
        <v>1042105.10815632</v>
      </c>
      <c r="AU368" s="99">
        <v>1066189.92935362</v>
      </c>
      <c r="AV368" s="99">
        <v>1090756.44697487</v>
      </c>
      <c r="AW368" s="90"/>
      <c r="AX368" s="90"/>
      <c r="AY368" s="90"/>
      <c r="AZ368" s="90"/>
      <c r="BA368" s="90"/>
      <c r="BB368" s="90"/>
      <c r="BC368" s="90"/>
      <c r="BD368" s="90"/>
      <c r="BE368" s="90"/>
      <c r="BF368" s="90"/>
      <c r="BG368" s="90"/>
      <c r="BH368" s="90"/>
      <c r="BI368" s="90"/>
      <c r="BJ368" s="90"/>
      <c r="BK368" s="90"/>
      <c r="BL368" s="90"/>
      <c r="BM368" s="90"/>
      <c r="BN368" s="90"/>
      <c r="BO368" s="90"/>
      <c r="BP368" s="90"/>
      <c r="BQ368" s="90"/>
    </row>
    <row r="369" ht="12.75" customHeight="1" outlineLevel="1">
      <c r="A369" s="316"/>
      <c r="B369" s="90"/>
      <c r="C369" s="90"/>
      <c r="D369" s="90" t="s">
        <v>829</v>
      </c>
      <c r="E369" s="90"/>
      <c r="F369" s="90"/>
      <c r="G369" s="99"/>
      <c r="H369" s="99"/>
      <c r="I369" s="99"/>
      <c r="J369" s="99"/>
      <c r="K369" s="99"/>
      <c r="L369" s="99"/>
      <c r="M369" s="99"/>
      <c r="N369" s="99"/>
      <c r="O369" s="99"/>
      <c r="P369" s="99"/>
      <c r="Q369" s="99"/>
      <c r="R369" s="99"/>
      <c r="S369" s="99"/>
      <c r="T369" s="99"/>
      <c r="U369" s="99"/>
      <c r="V369" s="99"/>
      <c r="W369" s="99"/>
      <c r="X369" s="99"/>
      <c r="Y369" s="99"/>
      <c r="Z369" s="99"/>
      <c r="AA369" s="99"/>
      <c r="AB369" s="99"/>
      <c r="AC369" s="99"/>
      <c r="AD369" s="99"/>
      <c r="AE369" s="99"/>
      <c r="AF369" s="99"/>
      <c r="AG369" s="99"/>
      <c r="AH369" s="99"/>
      <c r="AI369" s="99"/>
      <c r="AJ369" s="99"/>
      <c r="AK369" s="99"/>
      <c r="AL369" s="99"/>
      <c r="AM369" s="99"/>
      <c r="AN369" s="99"/>
      <c r="AO369" s="99"/>
      <c r="AP369" s="99"/>
      <c r="AQ369" s="99"/>
      <c r="AR369" s="99"/>
      <c r="AS369" s="99"/>
      <c r="AT369" s="99"/>
      <c r="AU369" s="99"/>
      <c r="AV369" s="99"/>
      <c r="AW369" s="90"/>
      <c r="AX369" s="90"/>
      <c r="AY369" s="90"/>
      <c r="AZ369" s="90"/>
      <c r="BA369" s="90"/>
      <c r="BB369" s="90"/>
      <c r="BC369" s="90"/>
      <c r="BD369" s="90"/>
      <c r="BE369" s="90"/>
      <c r="BF369" s="90"/>
      <c r="BG369" s="90"/>
      <c r="BH369" s="90"/>
      <c r="BI369" s="90"/>
      <c r="BJ369" s="90"/>
      <c r="BK369" s="90"/>
      <c r="BL369" s="90"/>
      <c r="BM369" s="90"/>
      <c r="BN369" s="90"/>
      <c r="BO369" s="90"/>
      <c r="BP369" s="90"/>
      <c r="BQ369" s="90"/>
    </row>
    <row r="370" ht="12.75" customHeight="1" outlineLevel="1">
      <c r="A370" s="316"/>
      <c r="B370" s="90"/>
      <c r="C370" s="90"/>
      <c r="D370" s="64" t="s">
        <v>830</v>
      </c>
      <c r="E370" s="90"/>
      <c r="F370" s="90"/>
      <c r="G370" s="99"/>
      <c r="H370" s="99"/>
      <c r="I370" s="99"/>
      <c r="J370" s="99">
        <v>0.0</v>
      </c>
      <c r="K370" s="99">
        <v>0.0</v>
      </c>
      <c r="L370" s="99">
        <v>0.0</v>
      </c>
      <c r="M370" s="99">
        <v>0.0</v>
      </c>
      <c r="N370" s="99">
        <v>0.0</v>
      </c>
      <c r="O370" s="99">
        <v>0.0</v>
      </c>
      <c r="P370" s="99">
        <v>0.0</v>
      </c>
      <c r="Q370" s="99">
        <v>0.0</v>
      </c>
      <c r="R370" s="99">
        <v>0.0</v>
      </c>
      <c r="S370" s="99">
        <v>0.0</v>
      </c>
      <c r="T370" s="99">
        <v>0.0</v>
      </c>
      <c r="U370" s="99">
        <v>0.0</v>
      </c>
      <c r="V370" s="99">
        <v>0.0</v>
      </c>
      <c r="W370" s="99">
        <v>0.0</v>
      </c>
      <c r="X370" s="99">
        <v>0.0</v>
      </c>
      <c r="Y370" s="99">
        <v>0.0</v>
      </c>
      <c r="Z370" s="99">
        <v>0.0</v>
      </c>
      <c r="AA370" s="99">
        <v>0.0</v>
      </c>
      <c r="AB370" s="99">
        <v>0.0</v>
      </c>
      <c r="AC370" s="99">
        <v>0.0</v>
      </c>
      <c r="AD370" s="99">
        <v>0.0</v>
      </c>
      <c r="AE370" s="99">
        <v>0.0</v>
      </c>
      <c r="AF370" s="99">
        <v>0.0</v>
      </c>
      <c r="AG370" s="99">
        <v>0.0</v>
      </c>
      <c r="AH370" s="99">
        <v>0.0</v>
      </c>
      <c r="AI370" s="99">
        <v>0.0</v>
      </c>
      <c r="AJ370" s="99">
        <v>0.0</v>
      </c>
      <c r="AK370" s="99">
        <v>0.0</v>
      </c>
      <c r="AL370" s="99">
        <v>0.0</v>
      </c>
      <c r="AM370" s="99">
        <v>0.0</v>
      </c>
      <c r="AN370" s="99">
        <v>0.0</v>
      </c>
      <c r="AO370" s="99">
        <v>0.0</v>
      </c>
      <c r="AP370" s="99">
        <v>0.0</v>
      </c>
      <c r="AQ370" s="99">
        <v>0.0</v>
      </c>
      <c r="AR370" s="99">
        <v>0.0</v>
      </c>
      <c r="AS370" s="99">
        <v>0.0</v>
      </c>
      <c r="AT370" s="99">
        <v>0.0</v>
      </c>
      <c r="AU370" s="99">
        <v>0.0</v>
      </c>
      <c r="AV370" s="99">
        <v>0.0</v>
      </c>
      <c r="AW370" s="90"/>
      <c r="AX370" s="90"/>
      <c r="AY370" s="90"/>
      <c r="AZ370" s="90"/>
      <c r="BA370" s="90"/>
      <c r="BB370" s="90"/>
      <c r="BC370" s="90"/>
      <c r="BD370" s="90"/>
      <c r="BE370" s="90"/>
      <c r="BF370" s="90"/>
      <c r="BG370" s="90"/>
      <c r="BH370" s="90"/>
      <c r="BI370" s="90"/>
      <c r="BJ370" s="90"/>
      <c r="BK370" s="90"/>
      <c r="BL370" s="90"/>
      <c r="BM370" s="90"/>
      <c r="BN370" s="90"/>
      <c r="BO370" s="90"/>
      <c r="BP370" s="90"/>
      <c r="BQ370" s="90"/>
    </row>
    <row r="371" ht="12.75" customHeight="1" outlineLevel="1">
      <c r="A371" s="316"/>
      <c r="B371" s="90"/>
      <c r="C371" s="90"/>
      <c r="D371" s="90" t="s">
        <v>831</v>
      </c>
      <c r="E371" s="90"/>
      <c r="F371" s="90"/>
      <c r="G371" s="99"/>
      <c r="H371" s="99"/>
      <c r="I371" s="99"/>
      <c r="J371" s="99">
        <v>0.0</v>
      </c>
      <c r="K371" s="99">
        <v>0.0</v>
      </c>
      <c r="L371" s="99">
        <v>0.0</v>
      </c>
      <c r="M371" s="99">
        <v>0.0</v>
      </c>
      <c r="N371" s="99">
        <v>0.0</v>
      </c>
      <c r="O371" s="99">
        <v>0.0</v>
      </c>
      <c r="P371" s="99">
        <v>0.0</v>
      </c>
      <c r="Q371" s="99">
        <v>0.0</v>
      </c>
      <c r="R371" s="99">
        <v>0.0</v>
      </c>
      <c r="S371" s="99">
        <v>0.0</v>
      </c>
      <c r="T371" s="99">
        <v>0.0</v>
      </c>
      <c r="U371" s="99">
        <v>0.0</v>
      </c>
      <c r="V371" s="99">
        <v>0.0</v>
      </c>
      <c r="W371" s="99">
        <v>0.0</v>
      </c>
      <c r="X371" s="99">
        <v>0.0</v>
      </c>
      <c r="Y371" s="99">
        <v>0.0</v>
      </c>
      <c r="Z371" s="99">
        <v>0.0</v>
      </c>
      <c r="AA371" s="99">
        <v>0.0</v>
      </c>
      <c r="AB371" s="99">
        <v>0.0</v>
      </c>
      <c r="AC371" s="99">
        <v>0.0</v>
      </c>
      <c r="AD371" s="99">
        <v>0.0</v>
      </c>
      <c r="AE371" s="99">
        <v>0.0</v>
      </c>
      <c r="AF371" s="99">
        <v>0.0</v>
      </c>
      <c r="AG371" s="99">
        <v>0.0</v>
      </c>
      <c r="AH371" s="99">
        <v>0.0</v>
      </c>
      <c r="AI371" s="99">
        <v>0.0</v>
      </c>
      <c r="AJ371" s="99">
        <v>0.0</v>
      </c>
      <c r="AK371" s="99">
        <v>0.0</v>
      </c>
      <c r="AL371" s="99">
        <v>0.0</v>
      </c>
      <c r="AM371" s="99">
        <v>0.0</v>
      </c>
      <c r="AN371" s="99">
        <v>0.0</v>
      </c>
      <c r="AO371" s="99">
        <v>0.0</v>
      </c>
      <c r="AP371" s="99">
        <v>0.0</v>
      </c>
      <c r="AQ371" s="99">
        <v>0.0</v>
      </c>
      <c r="AR371" s="99">
        <v>0.0</v>
      </c>
      <c r="AS371" s="99">
        <v>0.0</v>
      </c>
      <c r="AT371" s="99">
        <v>0.0</v>
      </c>
      <c r="AU371" s="99">
        <v>0.0</v>
      </c>
      <c r="AV371" s="99">
        <v>0.0</v>
      </c>
      <c r="AW371" s="90"/>
      <c r="AX371" s="90"/>
      <c r="AY371" s="90"/>
      <c r="AZ371" s="90"/>
      <c r="BA371" s="90"/>
      <c r="BB371" s="90"/>
      <c r="BC371" s="90"/>
      <c r="BD371" s="90"/>
      <c r="BE371" s="90"/>
      <c r="BF371" s="90"/>
      <c r="BG371" s="90"/>
      <c r="BH371" s="90"/>
      <c r="BI371" s="90"/>
      <c r="BJ371" s="90"/>
      <c r="BK371" s="90"/>
      <c r="BL371" s="90"/>
      <c r="BM371" s="90"/>
      <c r="BN371" s="90"/>
      <c r="BO371" s="90"/>
      <c r="BP371" s="90"/>
      <c r="BQ371" s="90"/>
    </row>
    <row r="372" ht="12.75" customHeight="1" outlineLevel="1">
      <c r="A372" s="316"/>
      <c r="B372" s="90"/>
      <c r="C372" s="90"/>
      <c r="D372" s="90" t="s">
        <v>832</v>
      </c>
      <c r="E372" s="90"/>
      <c r="F372" s="90"/>
      <c r="G372" s="99"/>
      <c r="H372" s="99"/>
      <c r="I372" s="99"/>
      <c r="J372" s="543">
        <v>0.0</v>
      </c>
      <c r="K372" s="99">
        <v>0.0</v>
      </c>
      <c r="L372" s="99">
        <v>0.0</v>
      </c>
      <c r="M372" s="99">
        <v>0.0</v>
      </c>
      <c r="N372" s="99">
        <v>0.0</v>
      </c>
      <c r="O372" s="99">
        <v>0.0</v>
      </c>
      <c r="P372" s="99">
        <v>0.0</v>
      </c>
      <c r="Q372" s="99">
        <v>0.0</v>
      </c>
      <c r="R372" s="99">
        <v>0.0</v>
      </c>
      <c r="S372" s="99">
        <v>0.0</v>
      </c>
      <c r="T372" s="99">
        <v>0.0</v>
      </c>
      <c r="U372" s="99">
        <v>0.0</v>
      </c>
      <c r="V372" s="99">
        <v>0.0</v>
      </c>
      <c r="W372" s="99">
        <v>0.0</v>
      </c>
      <c r="X372" s="99">
        <v>0.0</v>
      </c>
      <c r="Y372" s="99">
        <v>0.0</v>
      </c>
      <c r="Z372" s="99">
        <v>0.0</v>
      </c>
      <c r="AA372" s="99">
        <v>0.0</v>
      </c>
      <c r="AB372" s="99">
        <v>0.0</v>
      </c>
      <c r="AC372" s="99">
        <v>0.0</v>
      </c>
      <c r="AD372" s="99">
        <v>0.0</v>
      </c>
      <c r="AE372" s="99">
        <v>0.0</v>
      </c>
      <c r="AF372" s="99">
        <v>0.0</v>
      </c>
      <c r="AG372" s="99">
        <v>0.0</v>
      </c>
      <c r="AH372" s="99">
        <v>0.0</v>
      </c>
      <c r="AI372" s="99">
        <v>0.0</v>
      </c>
      <c r="AJ372" s="99">
        <v>0.0</v>
      </c>
      <c r="AK372" s="99">
        <v>0.0</v>
      </c>
      <c r="AL372" s="99">
        <v>0.0</v>
      </c>
      <c r="AM372" s="99">
        <v>0.0</v>
      </c>
      <c r="AN372" s="99">
        <v>0.0</v>
      </c>
      <c r="AO372" s="99">
        <v>0.0</v>
      </c>
      <c r="AP372" s="99">
        <v>0.0</v>
      </c>
      <c r="AQ372" s="99">
        <v>0.0</v>
      </c>
      <c r="AR372" s="99">
        <v>0.0</v>
      </c>
      <c r="AS372" s="99">
        <v>0.0</v>
      </c>
      <c r="AT372" s="99">
        <v>0.0</v>
      </c>
      <c r="AU372" s="99">
        <v>0.0</v>
      </c>
      <c r="AV372" s="99">
        <v>0.0</v>
      </c>
      <c r="AW372" s="90"/>
      <c r="AX372" s="90"/>
      <c r="AY372" s="90"/>
      <c r="AZ372" s="90"/>
      <c r="BA372" s="90"/>
      <c r="BB372" s="90"/>
      <c r="BC372" s="90"/>
      <c r="BD372" s="90"/>
      <c r="BE372" s="90"/>
      <c r="BF372" s="90"/>
      <c r="BG372" s="90"/>
      <c r="BH372" s="90"/>
      <c r="BI372" s="90"/>
      <c r="BJ372" s="90"/>
      <c r="BK372" s="90"/>
      <c r="BL372" s="90"/>
      <c r="BM372" s="90"/>
      <c r="BN372" s="90"/>
      <c r="BO372" s="90"/>
      <c r="BP372" s="90"/>
      <c r="BQ372" s="90"/>
    </row>
    <row r="373" ht="12.75" customHeight="1" outlineLevel="1">
      <c r="A373" s="316"/>
      <c r="B373" s="90"/>
      <c r="C373" s="90"/>
      <c r="D373" s="90" t="s">
        <v>833</v>
      </c>
      <c r="E373" s="90"/>
      <c r="F373" s="90"/>
      <c r="G373" s="99"/>
      <c r="H373" s="99"/>
      <c r="I373" s="99"/>
      <c r="J373" s="99">
        <v>0.0</v>
      </c>
      <c r="K373" s="99">
        <v>0.0</v>
      </c>
      <c r="L373" s="99">
        <v>0.0</v>
      </c>
      <c r="M373" s="99">
        <v>0.0</v>
      </c>
      <c r="N373" s="99">
        <v>0.0</v>
      </c>
      <c r="O373" s="99">
        <v>0.0</v>
      </c>
      <c r="P373" s="99">
        <v>0.0</v>
      </c>
      <c r="Q373" s="99">
        <v>0.0</v>
      </c>
      <c r="R373" s="99">
        <v>0.0</v>
      </c>
      <c r="S373" s="99">
        <v>0.0</v>
      </c>
      <c r="T373" s="99">
        <v>0.0</v>
      </c>
      <c r="U373" s="99">
        <v>0.0</v>
      </c>
      <c r="V373" s="99">
        <v>0.0</v>
      </c>
      <c r="W373" s="99">
        <v>0.0</v>
      </c>
      <c r="X373" s="99">
        <v>0.0</v>
      </c>
      <c r="Y373" s="99">
        <v>0.0</v>
      </c>
      <c r="Z373" s="99">
        <v>0.0</v>
      </c>
      <c r="AA373" s="99">
        <v>0.0</v>
      </c>
      <c r="AB373" s="99">
        <v>0.0</v>
      </c>
      <c r="AC373" s="99">
        <v>0.0</v>
      </c>
      <c r="AD373" s="99">
        <v>0.0</v>
      </c>
      <c r="AE373" s="99">
        <v>0.0</v>
      </c>
      <c r="AF373" s="99">
        <v>0.0</v>
      </c>
      <c r="AG373" s="99">
        <v>0.0</v>
      </c>
      <c r="AH373" s="99">
        <v>0.0</v>
      </c>
      <c r="AI373" s="99">
        <v>0.0</v>
      </c>
      <c r="AJ373" s="99">
        <v>0.0</v>
      </c>
      <c r="AK373" s="99">
        <v>0.0</v>
      </c>
      <c r="AL373" s="99">
        <v>0.0</v>
      </c>
      <c r="AM373" s="99">
        <v>0.0</v>
      </c>
      <c r="AN373" s="99">
        <v>0.0</v>
      </c>
      <c r="AO373" s="99">
        <v>0.0</v>
      </c>
      <c r="AP373" s="99">
        <v>0.0</v>
      </c>
      <c r="AQ373" s="99">
        <v>0.0</v>
      </c>
      <c r="AR373" s="99">
        <v>0.0</v>
      </c>
      <c r="AS373" s="99">
        <v>0.0</v>
      </c>
      <c r="AT373" s="99">
        <v>0.0</v>
      </c>
      <c r="AU373" s="99">
        <v>0.0</v>
      </c>
      <c r="AV373" s="99">
        <v>0.0</v>
      </c>
      <c r="AW373" s="90"/>
      <c r="AX373" s="90"/>
      <c r="AY373" s="90"/>
      <c r="AZ373" s="90"/>
      <c r="BA373" s="90"/>
      <c r="BB373" s="90"/>
      <c r="BC373" s="90"/>
      <c r="BD373" s="90"/>
      <c r="BE373" s="90"/>
      <c r="BF373" s="90"/>
      <c r="BG373" s="90"/>
      <c r="BH373" s="90"/>
      <c r="BI373" s="90"/>
      <c r="BJ373" s="90"/>
      <c r="BK373" s="90"/>
      <c r="BL373" s="90"/>
      <c r="BM373" s="90"/>
      <c r="BN373" s="90"/>
      <c r="BO373" s="90"/>
      <c r="BP373" s="90"/>
      <c r="BQ373" s="90"/>
    </row>
    <row r="374" ht="12.75" customHeight="1" outlineLevel="1">
      <c r="A374" s="316"/>
      <c r="B374" s="90"/>
      <c r="C374" s="90"/>
      <c r="D374" s="90" t="s">
        <v>834</v>
      </c>
      <c r="E374" s="90"/>
      <c r="F374" s="90"/>
      <c r="G374" s="99"/>
      <c r="H374" s="99"/>
      <c r="I374" s="99"/>
      <c r="J374" s="99">
        <v>9037.5</v>
      </c>
      <c r="K374" s="99">
        <v>0.0</v>
      </c>
      <c r="L374" s="99">
        <v>0.0</v>
      </c>
      <c r="M374" s="99">
        <v>0.0</v>
      </c>
      <c r="N374" s="99">
        <v>0.0</v>
      </c>
      <c r="O374" s="99">
        <v>0.0</v>
      </c>
      <c r="P374" s="99">
        <v>0.0</v>
      </c>
      <c r="Q374" s="99">
        <v>0.0</v>
      </c>
      <c r="R374" s="99">
        <v>0.0</v>
      </c>
      <c r="S374" s="99">
        <v>0.0</v>
      </c>
      <c r="T374" s="99">
        <v>0.0</v>
      </c>
      <c r="U374" s="99">
        <v>0.0</v>
      </c>
      <c r="V374" s="99">
        <v>0.0</v>
      </c>
      <c r="W374" s="99">
        <v>0.0</v>
      </c>
      <c r="X374" s="99">
        <v>0.0</v>
      </c>
      <c r="Y374" s="99">
        <v>0.0</v>
      </c>
      <c r="Z374" s="99">
        <v>0.0</v>
      </c>
      <c r="AA374" s="99">
        <v>0.0</v>
      </c>
      <c r="AB374" s="99">
        <v>0.0</v>
      </c>
      <c r="AC374" s="99">
        <v>0.0</v>
      </c>
      <c r="AD374" s="99">
        <v>0.0</v>
      </c>
      <c r="AE374" s="99">
        <v>0.0</v>
      </c>
      <c r="AF374" s="99">
        <v>0.0</v>
      </c>
      <c r="AG374" s="99">
        <v>0.0</v>
      </c>
      <c r="AH374" s="99">
        <v>0.0</v>
      </c>
      <c r="AI374" s="99">
        <v>0.0</v>
      </c>
      <c r="AJ374" s="99">
        <v>0.0</v>
      </c>
      <c r="AK374" s="99">
        <v>0.0</v>
      </c>
      <c r="AL374" s="99">
        <v>0.0</v>
      </c>
      <c r="AM374" s="99">
        <v>0.0</v>
      </c>
      <c r="AN374" s="99">
        <v>0.0</v>
      </c>
      <c r="AO374" s="99">
        <v>0.0</v>
      </c>
      <c r="AP374" s="99">
        <v>0.0</v>
      </c>
      <c r="AQ374" s="99">
        <v>0.0</v>
      </c>
      <c r="AR374" s="99">
        <v>0.0</v>
      </c>
      <c r="AS374" s="99">
        <v>0.0</v>
      </c>
      <c r="AT374" s="99">
        <v>0.0</v>
      </c>
      <c r="AU374" s="99">
        <v>0.0</v>
      </c>
      <c r="AV374" s="99">
        <v>0.0</v>
      </c>
      <c r="AW374" s="90"/>
      <c r="AX374" s="90"/>
      <c r="AY374" s="90"/>
      <c r="AZ374" s="90"/>
      <c r="BA374" s="90"/>
      <c r="BB374" s="90"/>
      <c r="BC374" s="90"/>
      <c r="BD374" s="90"/>
      <c r="BE374" s="90"/>
      <c r="BF374" s="90"/>
      <c r="BG374" s="90"/>
      <c r="BH374" s="90"/>
      <c r="BI374" s="90"/>
      <c r="BJ374" s="90"/>
      <c r="BK374" s="90"/>
      <c r="BL374" s="90"/>
      <c r="BM374" s="90"/>
      <c r="BN374" s="90"/>
      <c r="BO374" s="90"/>
      <c r="BP374" s="90"/>
      <c r="BQ374" s="90"/>
    </row>
    <row r="375" ht="12.75" customHeight="1" outlineLevel="1">
      <c r="A375" s="316"/>
      <c r="B375" s="90"/>
      <c r="C375" s="90"/>
      <c r="D375" s="90" t="s">
        <v>835</v>
      </c>
      <c r="E375" s="90"/>
      <c r="F375" s="90"/>
      <c r="G375" s="99"/>
      <c r="H375" s="99"/>
      <c r="I375" s="99"/>
      <c r="J375" s="99">
        <v>0.0</v>
      </c>
      <c r="K375" s="99">
        <v>0.0</v>
      </c>
      <c r="L375" s="99">
        <v>0.0</v>
      </c>
      <c r="M375" s="99">
        <v>0.0</v>
      </c>
      <c r="N375" s="99">
        <v>0.0</v>
      </c>
      <c r="O375" s="99">
        <v>0.0</v>
      </c>
      <c r="P375" s="99">
        <v>0.0</v>
      </c>
      <c r="Q375" s="99">
        <v>0.0</v>
      </c>
      <c r="R375" s="99">
        <v>0.0</v>
      </c>
      <c r="S375" s="99">
        <v>0.0</v>
      </c>
      <c r="T375" s="99">
        <v>0.0</v>
      </c>
      <c r="U375" s="99">
        <v>0.0</v>
      </c>
      <c r="V375" s="99">
        <v>0.0</v>
      </c>
      <c r="W375" s="99">
        <v>0.0</v>
      </c>
      <c r="X375" s="99">
        <v>0.0</v>
      </c>
      <c r="Y375" s="99">
        <v>0.0</v>
      </c>
      <c r="Z375" s="99">
        <v>0.0</v>
      </c>
      <c r="AA375" s="99">
        <v>0.0</v>
      </c>
      <c r="AB375" s="99">
        <v>0.0</v>
      </c>
      <c r="AC375" s="99">
        <v>0.0</v>
      </c>
      <c r="AD375" s="99">
        <v>0.0</v>
      </c>
      <c r="AE375" s="99">
        <v>0.0</v>
      </c>
      <c r="AF375" s="99">
        <v>0.0</v>
      </c>
      <c r="AG375" s="99">
        <v>0.0</v>
      </c>
      <c r="AH375" s="99">
        <v>0.0</v>
      </c>
      <c r="AI375" s="99">
        <v>0.0</v>
      </c>
      <c r="AJ375" s="99">
        <v>0.0</v>
      </c>
      <c r="AK375" s="99">
        <v>0.0</v>
      </c>
      <c r="AL375" s="99">
        <v>0.0</v>
      </c>
      <c r="AM375" s="99">
        <v>0.0</v>
      </c>
      <c r="AN375" s="99">
        <v>0.0</v>
      </c>
      <c r="AO375" s="99">
        <v>0.0</v>
      </c>
      <c r="AP375" s="99">
        <v>0.0</v>
      </c>
      <c r="AQ375" s="99">
        <v>0.0</v>
      </c>
      <c r="AR375" s="99">
        <v>0.0</v>
      </c>
      <c r="AS375" s="99">
        <v>0.0</v>
      </c>
      <c r="AT375" s="99">
        <v>0.0</v>
      </c>
      <c r="AU375" s="99">
        <v>0.0</v>
      </c>
      <c r="AV375" s="99">
        <v>0.0</v>
      </c>
      <c r="AW375" s="90" t="s">
        <v>1224</v>
      </c>
      <c r="AX375" s="90"/>
      <c r="AY375" s="90"/>
      <c r="AZ375" s="90"/>
      <c r="BA375" s="90"/>
      <c r="BB375" s="90"/>
      <c r="BC375" s="90"/>
      <c r="BD375" s="90"/>
      <c r="BE375" s="90"/>
      <c r="BF375" s="90"/>
      <c r="BG375" s="90"/>
      <c r="BH375" s="90"/>
      <c r="BI375" s="90"/>
      <c r="BJ375" s="90"/>
      <c r="BK375" s="90"/>
      <c r="BL375" s="90"/>
      <c r="BM375" s="90"/>
      <c r="BN375" s="90"/>
      <c r="BO375" s="90"/>
      <c r="BP375" s="90"/>
      <c r="BQ375" s="90"/>
    </row>
    <row r="376" ht="12.75" customHeight="1" outlineLevel="1">
      <c r="A376" s="90"/>
      <c r="B376" s="90"/>
      <c r="C376" s="90"/>
      <c r="D376" s="90" t="s">
        <v>774</v>
      </c>
      <c r="E376" s="90"/>
      <c r="F376" s="90"/>
      <c r="G376" s="99"/>
      <c r="H376" s="99"/>
      <c r="I376" s="99"/>
      <c r="J376" s="99">
        <v>0.0</v>
      </c>
      <c r="K376" s="99">
        <v>0.0</v>
      </c>
      <c r="L376" s="99">
        <v>0.0</v>
      </c>
      <c r="M376" s="99">
        <v>0.0</v>
      </c>
      <c r="N376" s="99">
        <v>0.0</v>
      </c>
      <c r="O376" s="99">
        <v>0.0</v>
      </c>
      <c r="P376" s="99">
        <v>0.0</v>
      </c>
      <c r="Q376" s="99">
        <v>0.0</v>
      </c>
      <c r="R376" s="99">
        <v>0.0</v>
      </c>
      <c r="S376" s="99">
        <v>0.0</v>
      </c>
      <c r="T376" s="99">
        <v>0.0</v>
      </c>
      <c r="U376" s="99">
        <v>0.0</v>
      </c>
      <c r="V376" s="99">
        <v>0.0</v>
      </c>
      <c r="W376" s="99">
        <v>0.0</v>
      </c>
      <c r="X376" s="99">
        <v>0.0</v>
      </c>
      <c r="Y376" s="99">
        <v>0.0</v>
      </c>
      <c r="Z376" s="99">
        <v>0.0</v>
      </c>
      <c r="AA376" s="99">
        <v>0.0</v>
      </c>
      <c r="AB376" s="99">
        <v>0.0</v>
      </c>
      <c r="AC376" s="99">
        <v>0.0</v>
      </c>
      <c r="AD376" s="99">
        <v>0.0</v>
      </c>
      <c r="AE376" s="99">
        <v>0.0</v>
      </c>
      <c r="AF376" s="99">
        <v>0.0</v>
      </c>
      <c r="AG376" s="99">
        <v>0.0</v>
      </c>
      <c r="AH376" s="99">
        <v>0.0</v>
      </c>
      <c r="AI376" s="99">
        <v>0.0</v>
      </c>
      <c r="AJ376" s="99">
        <v>0.0</v>
      </c>
      <c r="AK376" s="99">
        <v>0.0</v>
      </c>
      <c r="AL376" s="99">
        <v>0.0</v>
      </c>
      <c r="AM376" s="99">
        <v>0.0</v>
      </c>
      <c r="AN376" s="99">
        <v>0.0</v>
      </c>
      <c r="AO376" s="99">
        <v>0.0</v>
      </c>
      <c r="AP376" s="99">
        <v>0.0</v>
      </c>
      <c r="AQ376" s="99">
        <v>0.0</v>
      </c>
      <c r="AR376" s="99">
        <v>0.0</v>
      </c>
      <c r="AS376" s="99">
        <v>0.0</v>
      </c>
      <c r="AT376" s="99">
        <v>0.0</v>
      </c>
      <c r="AU376" s="99">
        <v>0.0</v>
      </c>
      <c r="AV376" s="99">
        <v>0.0</v>
      </c>
      <c r="AW376" s="90"/>
      <c r="AX376" s="90"/>
      <c r="AY376" s="90"/>
      <c r="AZ376" s="90"/>
      <c r="BA376" s="90"/>
      <c r="BB376" s="90"/>
      <c r="BC376" s="90"/>
      <c r="BD376" s="90"/>
      <c r="BE376" s="90"/>
      <c r="BF376" s="90"/>
      <c r="BG376" s="90"/>
      <c r="BH376" s="90"/>
      <c r="BI376" s="90"/>
      <c r="BJ376" s="90"/>
      <c r="BK376" s="90"/>
      <c r="BL376" s="90"/>
      <c r="BM376" s="90"/>
      <c r="BN376" s="90"/>
      <c r="BO376" s="90"/>
      <c r="BP376" s="90"/>
      <c r="BQ376" s="90"/>
    </row>
    <row r="377" ht="12.75" customHeight="1" outlineLevel="1">
      <c r="A377" s="90"/>
      <c r="B377" s="90"/>
      <c r="C377" s="90" t="s">
        <v>836</v>
      </c>
      <c r="D377" s="90"/>
      <c r="E377" s="90"/>
      <c r="F377" s="90"/>
      <c r="G377" s="99"/>
      <c r="H377" s="99"/>
      <c r="I377" s="152"/>
      <c r="J377" s="152"/>
      <c r="K377" s="152"/>
      <c r="L377" s="152"/>
      <c r="M377" s="152"/>
      <c r="N377" s="152"/>
      <c r="O377" s="152"/>
      <c r="P377" s="152"/>
      <c r="Q377" s="152"/>
      <c r="R377" s="152"/>
      <c r="S377" s="152"/>
      <c r="T377" s="152"/>
      <c r="U377" s="152"/>
      <c r="V377" s="152"/>
      <c r="W377" s="152"/>
      <c r="X377" s="152"/>
      <c r="Y377" s="152"/>
      <c r="Z377" s="152"/>
      <c r="AA377" s="152"/>
      <c r="AB377" s="152"/>
      <c r="AC377" s="152"/>
      <c r="AD377" s="152"/>
      <c r="AE377" s="152"/>
      <c r="AF377" s="152"/>
      <c r="AG377" s="152"/>
      <c r="AH377" s="152"/>
      <c r="AI377" s="152"/>
      <c r="AJ377" s="152"/>
      <c r="AK377" s="152"/>
      <c r="AL377" s="152"/>
      <c r="AM377" s="152"/>
      <c r="AN377" s="152"/>
      <c r="AO377" s="152"/>
      <c r="AP377" s="152"/>
      <c r="AQ377" s="152"/>
      <c r="AR377" s="152"/>
      <c r="AS377" s="152"/>
      <c r="AT377" s="152"/>
      <c r="AU377" s="152"/>
      <c r="AV377" s="152"/>
      <c r="AW377" s="90"/>
      <c r="AX377" s="90"/>
      <c r="AY377" s="90"/>
      <c r="AZ377" s="90"/>
      <c r="BA377" s="90"/>
      <c r="BB377" s="90"/>
      <c r="BC377" s="90"/>
      <c r="BD377" s="90"/>
      <c r="BE377" s="90"/>
      <c r="BF377" s="90"/>
      <c r="BG377" s="90"/>
      <c r="BH377" s="90"/>
      <c r="BI377" s="90"/>
      <c r="BJ377" s="90"/>
      <c r="BK377" s="90"/>
      <c r="BL377" s="90"/>
      <c r="BM377" s="90"/>
      <c r="BN377" s="90"/>
      <c r="BO377" s="90"/>
      <c r="BP377" s="90"/>
      <c r="BQ377" s="90"/>
    </row>
    <row r="378" ht="12.75" customHeight="1" outlineLevel="1">
      <c r="A378" s="316"/>
      <c r="B378" s="90"/>
      <c r="C378" s="90"/>
      <c r="D378" s="90" t="s">
        <v>182</v>
      </c>
      <c r="E378" s="90"/>
      <c r="F378" s="90"/>
      <c r="G378" s="99"/>
      <c r="H378" s="89"/>
      <c r="I378" s="99"/>
      <c r="J378" s="543">
        <v>31250.0</v>
      </c>
      <c r="K378" s="99">
        <v>37500.0</v>
      </c>
      <c r="L378" s="99">
        <f>((L272+L281+SUM(L284:L286)-L276-K390))*L242</f>
        <v>384585.1411</v>
      </c>
      <c r="M378" s="99">
        <f t="shared" ref="M378:AV378" si="250">((M272+M281+SUM(M284:M286)-M276))*M242</f>
        <v>361582.4542</v>
      </c>
      <c r="N378" s="99">
        <f t="shared" si="250"/>
        <v>398547.8793</v>
      </c>
      <c r="O378" s="99">
        <f t="shared" si="250"/>
        <v>407641.6</v>
      </c>
      <c r="P378" s="99">
        <f t="shared" si="250"/>
        <v>414812.8163</v>
      </c>
      <c r="Q378" s="99">
        <f t="shared" si="250"/>
        <v>422191.2619</v>
      </c>
      <c r="R378" s="99">
        <f t="shared" si="250"/>
        <v>433799.4728</v>
      </c>
      <c r="S378" s="99">
        <f t="shared" si="250"/>
        <v>441554.9208</v>
      </c>
      <c r="T378" s="99">
        <f t="shared" si="250"/>
        <v>449894.187</v>
      </c>
      <c r="U378" s="99">
        <f t="shared" si="250"/>
        <v>458892.0708</v>
      </c>
      <c r="V378" s="99">
        <f t="shared" si="250"/>
        <v>468069.9122</v>
      </c>
      <c r="W378" s="99">
        <f t="shared" si="250"/>
        <v>477431.3104</v>
      </c>
      <c r="X378" s="99">
        <f t="shared" si="250"/>
        <v>486979.9366</v>
      </c>
      <c r="Y378" s="99">
        <f t="shared" si="250"/>
        <v>496719.5354</v>
      </c>
      <c r="Z378" s="99">
        <f t="shared" si="250"/>
        <v>506653.9261</v>
      </c>
      <c r="AA378" s="99">
        <f t="shared" si="250"/>
        <v>516787.0046</v>
      </c>
      <c r="AB378" s="99">
        <f t="shared" si="250"/>
        <v>527122.7447</v>
      </c>
      <c r="AC378" s="99">
        <f t="shared" si="250"/>
        <v>537665.1996</v>
      </c>
      <c r="AD378" s="99">
        <f t="shared" si="250"/>
        <v>548418.5036</v>
      </c>
      <c r="AE378" s="99">
        <f t="shared" si="250"/>
        <v>559386.8736</v>
      </c>
      <c r="AF378" s="99">
        <f t="shared" si="250"/>
        <v>570574.6111</v>
      </c>
      <c r="AG378" s="99">
        <f t="shared" si="250"/>
        <v>581986.1033</v>
      </c>
      <c r="AH378" s="99">
        <f t="shared" si="250"/>
        <v>593625.8254</v>
      </c>
      <c r="AI378" s="99">
        <f t="shared" si="250"/>
        <v>605498.3419</v>
      </c>
      <c r="AJ378" s="99">
        <f t="shared" si="250"/>
        <v>617608.3087</v>
      </c>
      <c r="AK378" s="99">
        <f t="shared" si="250"/>
        <v>629960.4749</v>
      </c>
      <c r="AL378" s="99">
        <f t="shared" si="250"/>
        <v>642559.6844</v>
      </c>
      <c r="AM378" s="99">
        <f t="shared" si="250"/>
        <v>655410.8781</v>
      </c>
      <c r="AN378" s="99">
        <f t="shared" si="250"/>
        <v>668519.0957</v>
      </c>
      <c r="AO378" s="99">
        <f t="shared" si="250"/>
        <v>681889.4776</v>
      </c>
      <c r="AP378" s="99">
        <f t="shared" si="250"/>
        <v>695527.2671</v>
      </c>
      <c r="AQ378" s="99">
        <f t="shared" si="250"/>
        <v>709437.8125</v>
      </c>
      <c r="AR378" s="99">
        <f t="shared" si="250"/>
        <v>723626.5687</v>
      </c>
      <c r="AS378" s="99">
        <f t="shared" si="250"/>
        <v>738099.1001</v>
      </c>
      <c r="AT378" s="99">
        <f t="shared" si="250"/>
        <v>752861.0821</v>
      </c>
      <c r="AU378" s="99">
        <f t="shared" si="250"/>
        <v>767918.3037</v>
      </c>
      <c r="AV378" s="99">
        <f t="shared" si="250"/>
        <v>783276.6698</v>
      </c>
      <c r="AW378" s="90" t="s">
        <v>1225</v>
      </c>
      <c r="AX378" s="90"/>
      <c r="AY378" s="90"/>
      <c r="AZ378" s="90"/>
      <c r="BA378" s="90"/>
      <c r="BB378" s="90"/>
      <c r="BC378" s="90"/>
      <c r="BD378" s="90"/>
      <c r="BE378" s="90"/>
      <c r="BF378" s="90"/>
      <c r="BG378" s="90"/>
      <c r="BH378" s="90"/>
      <c r="BI378" s="90"/>
      <c r="BJ378" s="90"/>
      <c r="BK378" s="90"/>
      <c r="BL378" s="90"/>
      <c r="BM378" s="90"/>
      <c r="BN378" s="90"/>
      <c r="BO378" s="90"/>
      <c r="BP378" s="90"/>
      <c r="BQ378" s="90"/>
    </row>
    <row r="379" ht="12.75" customHeight="1" outlineLevel="1">
      <c r="A379" s="316"/>
      <c r="B379" s="90"/>
      <c r="C379" s="90"/>
      <c r="D379" s="90" t="s">
        <v>837</v>
      </c>
      <c r="E379" s="90"/>
      <c r="F379" s="90"/>
      <c r="G379" s="99"/>
      <c r="H379" s="89"/>
      <c r="I379" s="99"/>
      <c r="J379" s="99">
        <v>0.0</v>
      </c>
      <c r="K379" s="566">
        <f>'FY10 Projection'!F183</f>
        <v>150000</v>
      </c>
      <c r="L379" s="99">
        <f>((L272+L281+SUM(L284:L286)-L276-K390)*L243)</f>
        <v>640975.2352</v>
      </c>
      <c r="M379" s="99">
        <f t="shared" ref="M379:AV379" si="251">((M272+M281+SUM(M284:M286)-M276)*M243)</f>
        <v>628839.0508</v>
      </c>
      <c r="N379" s="99">
        <f t="shared" si="251"/>
        <v>664246.4656</v>
      </c>
      <c r="O379" s="99">
        <f t="shared" si="251"/>
        <v>679402.6666</v>
      </c>
      <c r="P379" s="99">
        <f t="shared" si="251"/>
        <v>691354.6938</v>
      </c>
      <c r="Q379" s="99">
        <f t="shared" si="251"/>
        <v>703652.1032</v>
      </c>
      <c r="R379" s="99">
        <f t="shared" si="251"/>
        <v>722999.1213</v>
      </c>
      <c r="S379" s="99">
        <f t="shared" si="251"/>
        <v>735924.8679</v>
      </c>
      <c r="T379" s="99">
        <f t="shared" si="251"/>
        <v>749823.645</v>
      </c>
      <c r="U379" s="99">
        <f t="shared" si="251"/>
        <v>764820.1179</v>
      </c>
      <c r="V379" s="99">
        <f t="shared" si="251"/>
        <v>780116.5203</v>
      </c>
      <c r="W379" s="99">
        <f t="shared" si="251"/>
        <v>795718.8507</v>
      </c>
      <c r="X379" s="99">
        <f t="shared" si="251"/>
        <v>811633.2277</v>
      </c>
      <c r="Y379" s="99">
        <f t="shared" si="251"/>
        <v>827865.8923</v>
      </c>
      <c r="Z379" s="99">
        <f t="shared" si="251"/>
        <v>844423.2101</v>
      </c>
      <c r="AA379" s="99">
        <f t="shared" si="251"/>
        <v>861311.6743</v>
      </c>
      <c r="AB379" s="99">
        <f t="shared" si="251"/>
        <v>878537.9078</v>
      </c>
      <c r="AC379" s="99">
        <f t="shared" si="251"/>
        <v>896108.6659</v>
      </c>
      <c r="AD379" s="99">
        <f t="shared" si="251"/>
        <v>914030.8393</v>
      </c>
      <c r="AE379" s="99">
        <f t="shared" si="251"/>
        <v>932311.456</v>
      </c>
      <c r="AF379" s="99">
        <f t="shared" si="251"/>
        <v>950957.6852</v>
      </c>
      <c r="AG379" s="99">
        <f t="shared" si="251"/>
        <v>969976.8389</v>
      </c>
      <c r="AH379" s="99">
        <f t="shared" si="251"/>
        <v>989376.3756</v>
      </c>
      <c r="AI379" s="99">
        <f t="shared" si="251"/>
        <v>1009163.903</v>
      </c>
      <c r="AJ379" s="99">
        <f t="shared" si="251"/>
        <v>1029347.181</v>
      </c>
      <c r="AK379" s="99">
        <f t="shared" si="251"/>
        <v>1049934.125</v>
      </c>
      <c r="AL379" s="99">
        <f t="shared" si="251"/>
        <v>1070932.807</v>
      </c>
      <c r="AM379" s="99">
        <f t="shared" si="251"/>
        <v>1092351.463</v>
      </c>
      <c r="AN379" s="99">
        <f t="shared" si="251"/>
        <v>1114198.493</v>
      </c>
      <c r="AO379" s="99">
        <f t="shared" si="251"/>
        <v>1136482.463</v>
      </c>
      <c r="AP379" s="99">
        <f t="shared" si="251"/>
        <v>1159212.112</v>
      </c>
      <c r="AQ379" s="99">
        <f t="shared" si="251"/>
        <v>1182396.354</v>
      </c>
      <c r="AR379" s="99">
        <f t="shared" si="251"/>
        <v>1206044.281</v>
      </c>
      <c r="AS379" s="99">
        <f t="shared" si="251"/>
        <v>1230165.167</v>
      </c>
      <c r="AT379" s="99">
        <f t="shared" si="251"/>
        <v>1254768.47</v>
      </c>
      <c r="AU379" s="99">
        <f t="shared" si="251"/>
        <v>1279863.84</v>
      </c>
      <c r="AV379" s="99">
        <f t="shared" si="251"/>
        <v>1305461.116</v>
      </c>
      <c r="AW379" s="90" t="s">
        <v>1225</v>
      </c>
      <c r="AX379" s="90"/>
      <c r="AY379" s="90"/>
      <c r="AZ379" s="90"/>
      <c r="BA379" s="90"/>
      <c r="BB379" s="90"/>
      <c r="BC379" s="90"/>
      <c r="BD379" s="90"/>
      <c r="BE379" s="90"/>
      <c r="BF379" s="90"/>
      <c r="BG379" s="90"/>
      <c r="BH379" s="90"/>
      <c r="BI379" s="90"/>
      <c r="BJ379" s="90"/>
      <c r="BK379" s="90"/>
      <c r="BL379" s="90"/>
      <c r="BM379" s="90"/>
      <c r="BN379" s="90"/>
      <c r="BO379" s="90"/>
      <c r="BP379" s="90"/>
      <c r="BQ379" s="90"/>
    </row>
    <row r="380" ht="12.75" customHeight="1" outlineLevel="1">
      <c r="A380" s="90"/>
      <c r="B380" s="152"/>
      <c r="C380" s="152"/>
      <c r="D380" s="90" t="s">
        <v>184</v>
      </c>
      <c r="E380" s="90"/>
      <c r="F380" s="90"/>
      <c r="G380" s="99"/>
      <c r="H380" s="89"/>
      <c r="I380" s="99"/>
      <c r="J380" s="99">
        <v>0.0</v>
      </c>
      <c r="K380" s="99">
        <v>0.0</v>
      </c>
      <c r="L380" s="99">
        <f>((L272+L281+SUM(L284:L286)-L276-K390))*L244</f>
        <v>96146.28528</v>
      </c>
      <c r="M380" s="99">
        <f t="shared" ref="M380:AV380" si="252">((M272+M281+SUM(M284:M286)-M276))*M244</f>
        <v>94325.85762</v>
      </c>
      <c r="N380" s="99">
        <f t="shared" si="252"/>
        <v>99636.96984</v>
      </c>
      <c r="O380" s="99">
        <f t="shared" si="252"/>
        <v>101910.4</v>
      </c>
      <c r="P380" s="99">
        <f t="shared" si="252"/>
        <v>103703.2041</v>
      </c>
      <c r="Q380" s="99">
        <f t="shared" si="252"/>
        <v>105547.8155</v>
      </c>
      <c r="R380" s="99">
        <f t="shared" si="252"/>
        <v>108449.8682</v>
      </c>
      <c r="S380" s="99">
        <f t="shared" si="252"/>
        <v>110388.7302</v>
      </c>
      <c r="T380" s="99">
        <f t="shared" si="252"/>
        <v>112473.5468</v>
      </c>
      <c r="U380" s="99">
        <f t="shared" si="252"/>
        <v>114723.0177</v>
      </c>
      <c r="V380" s="99">
        <f t="shared" si="252"/>
        <v>117017.478</v>
      </c>
      <c r="W380" s="99">
        <f t="shared" si="252"/>
        <v>119357.8276</v>
      </c>
      <c r="X380" s="99">
        <f t="shared" si="252"/>
        <v>121744.9842</v>
      </c>
      <c r="Y380" s="99">
        <f t="shared" si="252"/>
        <v>124179.8838</v>
      </c>
      <c r="Z380" s="99">
        <f t="shared" si="252"/>
        <v>126663.4815</v>
      </c>
      <c r="AA380" s="99">
        <f t="shared" si="252"/>
        <v>129196.7511</v>
      </c>
      <c r="AB380" s="99">
        <f t="shared" si="252"/>
        <v>131780.6862</v>
      </c>
      <c r="AC380" s="99">
        <f t="shared" si="252"/>
        <v>134416.2999</v>
      </c>
      <c r="AD380" s="99">
        <f t="shared" si="252"/>
        <v>137104.6259</v>
      </c>
      <c r="AE380" s="99">
        <f t="shared" si="252"/>
        <v>139846.7184</v>
      </c>
      <c r="AF380" s="99">
        <f t="shared" si="252"/>
        <v>142643.6528</v>
      </c>
      <c r="AG380" s="99">
        <f t="shared" si="252"/>
        <v>145496.5258</v>
      </c>
      <c r="AH380" s="99">
        <f t="shared" si="252"/>
        <v>148406.4563</v>
      </c>
      <c r="AI380" s="99">
        <f t="shared" si="252"/>
        <v>151374.5855</v>
      </c>
      <c r="AJ380" s="99">
        <f t="shared" si="252"/>
        <v>154402.0772</v>
      </c>
      <c r="AK380" s="99">
        <f t="shared" si="252"/>
        <v>157490.1187</v>
      </c>
      <c r="AL380" s="99">
        <f t="shared" si="252"/>
        <v>160639.9211</v>
      </c>
      <c r="AM380" s="99">
        <f t="shared" si="252"/>
        <v>163852.7195</v>
      </c>
      <c r="AN380" s="99">
        <f t="shared" si="252"/>
        <v>167129.7739</v>
      </c>
      <c r="AO380" s="99">
        <f t="shared" si="252"/>
        <v>170472.3694</v>
      </c>
      <c r="AP380" s="99">
        <f t="shared" si="252"/>
        <v>173881.8168</v>
      </c>
      <c r="AQ380" s="99">
        <f t="shared" si="252"/>
        <v>177359.4531</v>
      </c>
      <c r="AR380" s="99">
        <f t="shared" si="252"/>
        <v>180906.6422</v>
      </c>
      <c r="AS380" s="99">
        <f t="shared" si="252"/>
        <v>184524.775</v>
      </c>
      <c r="AT380" s="99">
        <f t="shared" si="252"/>
        <v>188215.2705</v>
      </c>
      <c r="AU380" s="99">
        <f t="shared" si="252"/>
        <v>191979.5759</v>
      </c>
      <c r="AV380" s="99">
        <f t="shared" si="252"/>
        <v>195819.1675</v>
      </c>
      <c r="AW380" s="90"/>
      <c r="AX380" s="90"/>
      <c r="AY380" s="90"/>
      <c r="AZ380" s="90"/>
      <c r="BA380" s="90"/>
      <c r="BB380" s="90"/>
      <c r="BC380" s="90"/>
      <c r="BD380" s="90"/>
      <c r="BE380" s="90"/>
      <c r="BF380" s="90"/>
      <c r="BG380" s="90"/>
      <c r="BH380" s="90"/>
      <c r="BI380" s="90"/>
      <c r="BJ380" s="90"/>
      <c r="BK380" s="90"/>
      <c r="BL380" s="90"/>
      <c r="BM380" s="90"/>
      <c r="BN380" s="90"/>
      <c r="BO380" s="90"/>
      <c r="BP380" s="90"/>
      <c r="BQ380" s="90"/>
    </row>
    <row r="381" ht="12.75" customHeight="1" outlineLevel="1">
      <c r="A381" s="90"/>
      <c r="B381" s="152"/>
      <c r="C381" s="152"/>
      <c r="D381" s="90" t="s">
        <v>1247</v>
      </c>
      <c r="E381" s="90"/>
      <c r="F381" s="90"/>
      <c r="G381" s="99"/>
      <c r="H381" s="89"/>
      <c r="I381" s="99"/>
      <c r="J381" s="99">
        <v>0.0</v>
      </c>
      <c r="K381" s="99">
        <v>0.0</v>
      </c>
      <c r="L381" s="99">
        <v>0.0</v>
      </c>
      <c r="M381" s="99">
        <v>0.0</v>
      </c>
      <c r="N381" s="99">
        <v>0.0</v>
      </c>
      <c r="O381" s="99">
        <v>0.0</v>
      </c>
      <c r="P381" s="99">
        <v>0.0</v>
      </c>
      <c r="Q381" s="99">
        <v>0.0</v>
      </c>
      <c r="R381" s="99">
        <v>0.0</v>
      </c>
      <c r="S381" s="99">
        <v>0.0</v>
      </c>
      <c r="T381" s="99">
        <v>0.0</v>
      </c>
      <c r="U381" s="99">
        <v>0.0</v>
      </c>
      <c r="V381" s="99">
        <v>0.0</v>
      </c>
      <c r="W381" s="99">
        <v>0.0</v>
      </c>
      <c r="X381" s="99">
        <v>0.0</v>
      </c>
      <c r="Y381" s="99">
        <v>0.0</v>
      </c>
      <c r="Z381" s="99">
        <v>0.0</v>
      </c>
      <c r="AA381" s="99">
        <v>0.0</v>
      </c>
      <c r="AB381" s="99">
        <v>0.0</v>
      </c>
      <c r="AC381" s="99">
        <v>0.0</v>
      </c>
      <c r="AD381" s="99">
        <v>0.0</v>
      </c>
      <c r="AE381" s="99">
        <v>0.0</v>
      </c>
      <c r="AF381" s="99">
        <v>0.0</v>
      </c>
      <c r="AG381" s="99">
        <v>0.0</v>
      </c>
      <c r="AH381" s="99">
        <v>0.0</v>
      </c>
      <c r="AI381" s="99">
        <v>0.0</v>
      </c>
      <c r="AJ381" s="99">
        <v>0.0</v>
      </c>
      <c r="AK381" s="99">
        <v>0.0</v>
      </c>
      <c r="AL381" s="99">
        <v>0.0</v>
      </c>
      <c r="AM381" s="99">
        <v>0.0</v>
      </c>
      <c r="AN381" s="99">
        <v>0.0</v>
      </c>
      <c r="AO381" s="99">
        <v>0.0</v>
      </c>
      <c r="AP381" s="99">
        <v>0.0</v>
      </c>
      <c r="AQ381" s="99">
        <v>0.0</v>
      </c>
      <c r="AR381" s="99">
        <v>0.0</v>
      </c>
      <c r="AS381" s="99">
        <v>0.0</v>
      </c>
      <c r="AT381" s="99">
        <v>0.0</v>
      </c>
      <c r="AU381" s="99">
        <v>0.0</v>
      </c>
      <c r="AV381" s="99">
        <v>0.0</v>
      </c>
      <c r="AW381" s="90"/>
      <c r="AX381" s="90"/>
      <c r="AY381" s="90"/>
      <c r="AZ381" s="90"/>
      <c r="BA381" s="90"/>
      <c r="BB381" s="90"/>
      <c r="BC381" s="90"/>
      <c r="BD381" s="90"/>
      <c r="BE381" s="90"/>
      <c r="BF381" s="90"/>
      <c r="BG381" s="90"/>
      <c r="BH381" s="90"/>
      <c r="BI381" s="90"/>
      <c r="BJ381" s="90"/>
      <c r="BK381" s="90"/>
      <c r="BL381" s="90"/>
      <c r="BM381" s="90"/>
      <c r="BN381" s="90"/>
      <c r="BO381" s="90"/>
      <c r="BP381" s="90"/>
      <c r="BQ381" s="90"/>
    </row>
    <row r="382" ht="12.75" customHeight="1" outlineLevel="1">
      <c r="A382" s="548"/>
      <c r="B382" s="90"/>
      <c r="C382" s="148" t="s">
        <v>838</v>
      </c>
      <c r="D382" s="148"/>
      <c r="E382" s="148"/>
      <c r="F382" s="148"/>
      <c r="G382" s="150"/>
      <c r="H382" s="150"/>
      <c r="I382" s="150"/>
      <c r="J382" s="150">
        <v>31250.0</v>
      </c>
      <c r="K382" s="150">
        <f t="shared" ref="K382:AV382" si="253">SUM(K378:K381)</f>
        <v>187500</v>
      </c>
      <c r="L382" s="150">
        <f t="shared" si="253"/>
        <v>1121706.662</v>
      </c>
      <c r="M382" s="150">
        <f t="shared" si="253"/>
        <v>1084747.363</v>
      </c>
      <c r="N382" s="150">
        <f t="shared" si="253"/>
        <v>1162431.315</v>
      </c>
      <c r="O382" s="150">
        <f t="shared" si="253"/>
        <v>1188954.667</v>
      </c>
      <c r="P382" s="150">
        <f t="shared" si="253"/>
        <v>1209870.714</v>
      </c>
      <c r="Q382" s="150">
        <f t="shared" si="253"/>
        <v>1231391.181</v>
      </c>
      <c r="R382" s="150">
        <f t="shared" si="253"/>
        <v>1265248.462</v>
      </c>
      <c r="S382" s="150">
        <f t="shared" si="253"/>
        <v>1287868.519</v>
      </c>
      <c r="T382" s="150">
        <f t="shared" si="253"/>
        <v>1312191.379</v>
      </c>
      <c r="U382" s="150">
        <f t="shared" si="253"/>
        <v>1338435.206</v>
      </c>
      <c r="V382" s="150">
        <f t="shared" si="253"/>
        <v>1365203.91</v>
      </c>
      <c r="W382" s="150">
        <f t="shared" si="253"/>
        <v>1392507.989</v>
      </c>
      <c r="X382" s="150">
        <f t="shared" si="253"/>
        <v>1420358.148</v>
      </c>
      <c r="Y382" s="150">
        <f t="shared" si="253"/>
        <v>1448765.311</v>
      </c>
      <c r="Z382" s="150">
        <f t="shared" si="253"/>
        <v>1477740.618</v>
      </c>
      <c r="AA382" s="150">
        <f t="shared" si="253"/>
        <v>1507295.43</v>
      </c>
      <c r="AB382" s="150">
        <f t="shared" si="253"/>
        <v>1537441.339</v>
      </c>
      <c r="AC382" s="150">
        <f t="shared" si="253"/>
        <v>1568190.165</v>
      </c>
      <c r="AD382" s="150">
        <f t="shared" si="253"/>
        <v>1599553.969</v>
      </c>
      <c r="AE382" s="150">
        <f t="shared" si="253"/>
        <v>1631545.048</v>
      </c>
      <c r="AF382" s="150">
        <f t="shared" si="253"/>
        <v>1664175.949</v>
      </c>
      <c r="AG382" s="150">
        <f t="shared" si="253"/>
        <v>1697459.468</v>
      </c>
      <c r="AH382" s="150">
        <f t="shared" si="253"/>
        <v>1731408.657</v>
      </c>
      <c r="AI382" s="150">
        <f t="shared" si="253"/>
        <v>1766036.831</v>
      </c>
      <c r="AJ382" s="150">
        <f t="shared" si="253"/>
        <v>1801357.567</v>
      </c>
      <c r="AK382" s="150">
        <f t="shared" si="253"/>
        <v>1837384.718</v>
      </c>
      <c r="AL382" s="150">
        <f t="shared" si="253"/>
        <v>1874132.413</v>
      </c>
      <c r="AM382" s="150">
        <f t="shared" si="253"/>
        <v>1911615.061</v>
      </c>
      <c r="AN382" s="150">
        <f t="shared" si="253"/>
        <v>1949847.362</v>
      </c>
      <c r="AO382" s="150">
        <f t="shared" si="253"/>
        <v>1988844.31</v>
      </c>
      <c r="AP382" s="150">
        <f t="shared" si="253"/>
        <v>2028621.196</v>
      </c>
      <c r="AQ382" s="150">
        <f t="shared" si="253"/>
        <v>2069193.62</v>
      </c>
      <c r="AR382" s="150">
        <f t="shared" si="253"/>
        <v>2110577.492</v>
      </c>
      <c r="AS382" s="150">
        <f t="shared" si="253"/>
        <v>2152789.042</v>
      </c>
      <c r="AT382" s="150">
        <f t="shared" si="253"/>
        <v>2195844.823</v>
      </c>
      <c r="AU382" s="150">
        <f t="shared" si="253"/>
        <v>2239761.719</v>
      </c>
      <c r="AV382" s="150">
        <f t="shared" si="253"/>
        <v>2284556.954</v>
      </c>
      <c r="AW382" s="90"/>
      <c r="AX382" s="90"/>
      <c r="AY382" s="90"/>
      <c r="AZ382" s="90"/>
      <c r="BA382" s="90"/>
      <c r="BB382" s="90"/>
      <c r="BC382" s="90"/>
      <c r="BD382" s="90"/>
      <c r="BE382" s="90"/>
      <c r="BF382" s="90"/>
      <c r="BG382" s="90"/>
      <c r="BH382" s="90"/>
      <c r="BI382" s="90"/>
      <c r="BJ382" s="90"/>
      <c r="BK382" s="90"/>
      <c r="BL382" s="90"/>
      <c r="BM382" s="90"/>
      <c r="BN382" s="90"/>
      <c r="BO382" s="90"/>
      <c r="BP382" s="90"/>
      <c r="BQ382" s="90"/>
    </row>
    <row r="383" ht="12.75" customHeight="1" outlineLevel="1">
      <c r="A383" s="316"/>
      <c r="B383" s="67" t="s">
        <v>839</v>
      </c>
      <c r="C383" s="90"/>
      <c r="D383" s="90"/>
      <c r="E383" s="90"/>
      <c r="F383" s="90"/>
      <c r="G383" s="79"/>
      <c r="H383" s="79"/>
      <c r="I383" s="79"/>
      <c r="J383" s="79">
        <v>45648.1</v>
      </c>
      <c r="K383" s="79">
        <f t="shared" ref="K383:AV383" si="254">SUM(K342:K376)+K382</f>
        <v>192155.45</v>
      </c>
      <c r="L383" s="79">
        <f t="shared" si="254"/>
        <v>1342028.062</v>
      </c>
      <c r="M383" s="79">
        <f t="shared" si="254"/>
        <v>1352498.939</v>
      </c>
      <c r="N383" s="79">
        <f t="shared" si="254"/>
        <v>1440702.71</v>
      </c>
      <c r="O383" s="79">
        <f t="shared" si="254"/>
        <v>1604408.319</v>
      </c>
      <c r="P383" s="79">
        <f t="shared" si="254"/>
        <v>1631856.859</v>
      </c>
      <c r="Q383" s="79">
        <f t="shared" si="254"/>
        <v>2007127.567</v>
      </c>
      <c r="R383" s="79">
        <f t="shared" si="254"/>
        <v>2072304.223</v>
      </c>
      <c r="S383" s="79">
        <f t="shared" si="254"/>
        <v>2108812.887</v>
      </c>
      <c r="T383" s="79">
        <f t="shared" si="254"/>
        <v>2149540.471</v>
      </c>
      <c r="U383" s="79">
        <f t="shared" si="254"/>
        <v>2195085.034</v>
      </c>
      <c r="V383" s="79">
        <f t="shared" si="254"/>
        <v>2242031.438</v>
      </c>
      <c r="W383" s="79">
        <f t="shared" si="254"/>
        <v>2289508.762</v>
      </c>
      <c r="X383" s="79">
        <f t="shared" si="254"/>
        <v>2338141.657</v>
      </c>
      <c r="Y383" s="79">
        <f t="shared" si="254"/>
        <v>2387747.209</v>
      </c>
      <c r="Z383" s="79">
        <f t="shared" si="254"/>
        <v>2438344.872</v>
      </c>
      <c r="AA383" s="79">
        <f t="shared" si="254"/>
        <v>2489954.488</v>
      </c>
      <c r="AB383" s="79">
        <f t="shared" si="254"/>
        <v>2542596.297</v>
      </c>
      <c r="AC383" s="79">
        <f t="shared" si="254"/>
        <v>2596290.942</v>
      </c>
      <c r="AD383" s="79">
        <f t="shared" si="254"/>
        <v>2651059.48</v>
      </c>
      <c r="AE383" s="79">
        <f t="shared" si="254"/>
        <v>2706923.389</v>
      </c>
      <c r="AF383" s="79">
        <f t="shared" si="254"/>
        <v>2763904.575</v>
      </c>
      <c r="AG383" s="79">
        <f t="shared" si="254"/>
        <v>2822025.386</v>
      </c>
      <c r="AH383" s="79">
        <f t="shared" si="254"/>
        <v>2881308.613</v>
      </c>
      <c r="AI383" s="79">
        <f t="shared" si="254"/>
        <v>2941777.504</v>
      </c>
      <c r="AJ383" s="79">
        <f t="shared" si="254"/>
        <v>3003455.773</v>
      </c>
      <c r="AK383" s="79">
        <f t="shared" si="254"/>
        <v>3066367.608</v>
      </c>
      <c r="AL383" s="79">
        <f t="shared" si="254"/>
        <v>3130537.679</v>
      </c>
      <c r="AM383" s="79">
        <f t="shared" si="254"/>
        <v>3195991.151</v>
      </c>
      <c r="AN383" s="79">
        <f t="shared" si="254"/>
        <v>3262753.694</v>
      </c>
      <c r="AO383" s="79">
        <f t="shared" si="254"/>
        <v>3330851.486</v>
      </c>
      <c r="AP383" s="79">
        <f t="shared" si="254"/>
        <v>3400311.235</v>
      </c>
      <c r="AQ383" s="79">
        <f t="shared" si="254"/>
        <v>3471160.179</v>
      </c>
      <c r="AR383" s="79">
        <f t="shared" si="254"/>
        <v>3543426.102</v>
      </c>
      <c r="AS383" s="79">
        <f t="shared" si="254"/>
        <v>3617137.343</v>
      </c>
      <c r="AT383" s="79">
        <f t="shared" si="254"/>
        <v>3692322.809</v>
      </c>
      <c r="AU383" s="79">
        <f t="shared" si="254"/>
        <v>3769011.984</v>
      </c>
      <c r="AV383" s="79">
        <f t="shared" si="254"/>
        <v>3847234.942</v>
      </c>
      <c r="AW383" s="90"/>
      <c r="AX383" s="90"/>
      <c r="AY383" s="90"/>
      <c r="AZ383" s="90"/>
      <c r="BA383" s="90"/>
      <c r="BB383" s="90"/>
      <c r="BC383" s="90"/>
      <c r="BD383" s="90"/>
      <c r="BE383" s="90"/>
      <c r="BF383" s="90"/>
      <c r="BG383" s="90"/>
      <c r="BH383" s="90"/>
      <c r="BI383" s="90"/>
      <c r="BJ383" s="90"/>
      <c r="BK383" s="90"/>
      <c r="BL383" s="90"/>
      <c r="BM383" s="90"/>
      <c r="BN383" s="90"/>
      <c r="BO383" s="90"/>
      <c r="BP383" s="90"/>
      <c r="BQ383" s="90"/>
    </row>
    <row r="384" ht="12.75" customHeight="1" outlineLevel="1">
      <c r="A384" s="316"/>
      <c r="B384" s="90"/>
      <c r="C384" s="90"/>
      <c r="D384" s="90"/>
      <c r="E384" s="90"/>
      <c r="F384" s="90"/>
      <c r="G384" s="152"/>
      <c r="H384" s="152"/>
      <c r="I384" s="152"/>
      <c r="J384" s="152"/>
      <c r="K384" s="152"/>
      <c r="L384" s="152"/>
      <c r="M384" s="152"/>
      <c r="N384" s="152"/>
      <c r="O384" s="152"/>
      <c r="P384" s="152"/>
      <c r="Q384" s="152"/>
      <c r="R384" s="152"/>
      <c r="S384" s="152"/>
      <c r="T384" s="152"/>
      <c r="U384" s="152"/>
      <c r="V384" s="152"/>
      <c r="W384" s="152"/>
      <c r="X384" s="152"/>
      <c r="Y384" s="152"/>
      <c r="Z384" s="152"/>
      <c r="AA384" s="152"/>
      <c r="AB384" s="152"/>
      <c r="AC384" s="152"/>
      <c r="AD384" s="152"/>
      <c r="AE384" s="152"/>
      <c r="AF384" s="152"/>
      <c r="AG384" s="152"/>
      <c r="AH384" s="152"/>
      <c r="AI384" s="152"/>
      <c r="AJ384" s="152"/>
      <c r="AK384" s="152"/>
      <c r="AL384" s="152"/>
      <c r="AM384" s="152"/>
      <c r="AN384" s="152"/>
      <c r="AO384" s="152"/>
      <c r="AP384" s="152"/>
      <c r="AQ384" s="152"/>
      <c r="AR384" s="152"/>
      <c r="AS384" s="152"/>
      <c r="AT384" s="152"/>
      <c r="AU384" s="152"/>
      <c r="AV384" s="152"/>
      <c r="AW384" s="90"/>
      <c r="AX384" s="90"/>
      <c r="AY384" s="90"/>
      <c r="AZ384" s="90"/>
      <c r="BA384" s="90"/>
      <c r="BB384" s="90"/>
      <c r="BC384" s="90"/>
      <c r="BD384" s="90"/>
      <c r="BE384" s="90"/>
      <c r="BF384" s="90"/>
      <c r="BG384" s="90"/>
      <c r="BH384" s="90"/>
      <c r="BI384" s="90"/>
      <c r="BJ384" s="90"/>
      <c r="BK384" s="90"/>
      <c r="BL384" s="90"/>
      <c r="BM384" s="90"/>
      <c r="BN384" s="90"/>
      <c r="BO384" s="90"/>
      <c r="BP384" s="90"/>
      <c r="BQ384" s="90"/>
    </row>
    <row r="385" ht="12.75" customHeight="1" outlineLevel="1">
      <c r="A385" s="316"/>
      <c r="B385" s="67" t="s">
        <v>555</v>
      </c>
      <c r="C385" s="90"/>
      <c r="D385" s="90"/>
      <c r="E385" s="90"/>
      <c r="F385" s="90"/>
      <c r="G385" s="90"/>
      <c r="H385" s="90"/>
      <c r="I385" s="90"/>
      <c r="J385" s="90"/>
      <c r="K385" s="90"/>
      <c r="L385" s="90"/>
      <c r="M385" s="387"/>
      <c r="N385" s="90"/>
      <c r="O385" s="90"/>
      <c r="P385" s="90"/>
      <c r="Q385" s="90"/>
      <c r="R385" s="90"/>
      <c r="S385" s="90"/>
      <c r="T385" s="90"/>
      <c r="U385" s="90"/>
      <c r="V385" s="90"/>
      <c r="W385" s="90"/>
      <c r="X385" s="90"/>
      <c r="Y385" s="90"/>
      <c r="Z385" s="90"/>
      <c r="AA385" s="90"/>
      <c r="AB385" s="90"/>
      <c r="AC385" s="90"/>
      <c r="AD385" s="90"/>
      <c r="AE385" s="90"/>
      <c r="AF385" s="90"/>
      <c r="AG385" s="90"/>
      <c r="AH385" s="90"/>
      <c r="AI385" s="90"/>
      <c r="AJ385" s="90"/>
      <c r="AK385" s="90"/>
      <c r="AL385" s="90"/>
      <c r="AM385" s="90"/>
      <c r="AN385" s="90"/>
      <c r="AO385" s="90"/>
      <c r="AP385" s="90"/>
      <c r="AQ385" s="90"/>
      <c r="AR385" s="90"/>
      <c r="AS385" s="90"/>
      <c r="AT385" s="90"/>
      <c r="AU385" s="90"/>
      <c r="AV385" s="90"/>
      <c r="AW385" s="90"/>
      <c r="AX385" s="90"/>
      <c r="AY385" s="90"/>
      <c r="AZ385" s="90"/>
      <c r="BA385" s="90"/>
      <c r="BB385" s="90"/>
      <c r="BC385" s="90"/>
      <c r="BD385" s="90"/>
      <c r="BE385" s="90"/>
      <c r="BF385" s="90"/>
      <c r="BG385" s="90"/>
      <c r="BH385" s="90"/>
      <c r="BI385" s="90"/>
      <c r="BJ385" s="90"/>
      <c r="BK385" s="90"/>
      <c r="BL385" s="90"/>
      <c r="BM385" s="90"/>
      <c r="BN385" s="90"/>
      <c r="BO385" s="90"/>
      <c r="BP385" s="90"/>
      <c r="BQ385" s="90"/>
    </row>
    <row r="386" ht="12.75" customHeight="1" outlineLevel="1">
      <c r="A386" s="316"/>
      <c r="B386" s="90"/>
      <c r="C386" s="90" t="s">
        <v>840</v>
      </c>
      <c r="D386" s="90"/>
      <c r="E386" s="90"/>
      <c r="F386" s="90"/>
      <c r="G386" s="99"/>
      <c r="H386" s="99"/>
      <c r="I386" s="99"/>
      <c r="J386" s="99">
        <v>0.0</v>
      </c>
      <c r="K386" s="99">
        <f t="shared" ref="K386:AV386" si="255">K248*(K260+K261+K262)</f>
        <v>0</v>
      </c>
      <c r="L386" s="99">
        <f t="shared" si="255"/>
        <v>21419.8728</v>
      </c>
      <c r="M386" s="99">
        <f t="shared" si="255"/>
        <v>25303.3482</v>
      </c>
      <c r="N386" s="99">
        <f t="shared" si="255"/>
        <v>27992.87461</v>
      </c>
      <c r="O386" s="99">
        <f t="shared" si="255"/>
        <v>28646.29569</v>
      </c>
      <c r="P386" s="99">
        <f t="shared" si="255"/>
        <v>29137.4203</v>
      </c>
      <c r="Q386" s="99">
        <f t="shared" si="255"/>
        <v>29643.68448</v>
      </c>
      <c r="R386" s="99">
        <f t="shared" si="255"/>
        <v>30461.7414</v>
      </c>
      <c r="S386" s="99">
        <f t="shared" si="255"/>
        <v>30994.26444</v>
      </c>
      <c r="T386" s="99">
        <f t="shared" si="255"/>
        <v>31573.16372</v>
      </c>
      <c r="U386" s="99">
        <f t="shared" si="255"/>
        <v>32204.62699</v>
      </c>
      <c r="V386" s="99">
        <f t="shared" si="255"/>
        <v>32848.71953</v>
      </c>
      <c r="W386" s="99">
        <f t="shared" si="255"/>
        <v>33505.69392</v>
      </c>
      <c r="X386" s="99">
        <f t="shared" si="255"/>
        <v>34175.8078</v>
      </c>
      <c r="Y386" s="99">
        <f t="shared" si="255"/>
        <v>34859.32396</v>
      </c>
      <c r="Z386" s="99">
        <f t="shared" si="255"/>
        <v>35556.51044</v>
      </c>
      <c r="AA386" s="99">
        <f t="shared" si="255"/>
        <v>36267.64064</v>
      </c>
      <c r="AB386" s="99">
        <f t="shared" si="255"/>
        <v>36992.99346</v>
      </c>
      <c r="AC386" s="99">
        <f t="shared" si="255"/>
        <v>37732.85333</v>
      </c>
      <c r="AD386" s="99">
        <f t="shared" si="255"/>
        <v>38487.51039</v>
      </c>
      <c r="AE386" s="99">
        <f t="shared" si="255"/>
        <v>39257.2606</v>
      </c>
      <c r="AF386" s="99">
        <f t="shared" si="255"/>
        <v>40042.40581</v>
      </c>
      <c r="AG386" s="99">
        <f t="shared" si="255"/>
        <v>40843.25393</v>
      </c>
      <c r="AH386" s="99">
        <f t="shared" si="255"/>
        <v>41660.11901</v>
      </c>
      <c r="AI386" s="99">
        <f t="shared" si="255"/>
        <v>42493.32139</v>
      </c>
      <c r="AJ386" s="99">
        <f t="shared" si="255"/>
        <v>43343.18782</v>
      </c>
      <c r="AK386" s="99">
        <f t="shared" si="255"/>
        <v>44210.05157</v>
      </c>
      <c r="AL386" s="99">
        <f t="shared" si="255"/>
        <v>45094.2526</v>
      </c>
      <c r="AM386" s="99">
        <f t="shared" si="255"/>
        <v>45996.13766</v>
      </c>
      <c r="AN386" s="99">
        <f t="shared" si="255"/>
        <v>46916.06041</v>
      </c>
      <c r="AO386" s="99">
        <f t="shared" si="255"/>
        <v>47854.38162</v>
      </c>
      <c r="AP386" s="99">
        <f t="shared" si="255"/>
        <v>48811.46925</v>
      </c>
      <c r="AQ386" s="99">
        <f t="shared" si="255"/>
        <v>49787.69863</v>
      </c>
      <c r="AR386" s="99">
        <f t="shared" si="255"/>
        <v>50783.45261</v>
      </c>
      <c r="AS386" s="99">
        <f t="shared" si="255"/>
        <v>51799.12166</v>
      </c>
      <c r="AT386" s="99">
        <f t="shared" si="255"/>
        <v>52835.10409</v>
      </c>
      <c r="AU386" s="99">
        <f t="shared" si="255"/>
        <v>53891.80617</v>
      </c>
      <c r="AV386" s="99">
        <f t="shared" si="255"/>
        <v>54969.6423</v>
      </c>
      <c r="AW386" s="90"/>
      <c r="AX386" s="90"/>
      <c r="AY386" s="90"/>
      <c r="AZ386" s="90"/>
      <c r="BA386" s="90"/>
      <c r="BB386" s="90"/>
      <c r="BC386" s="90"/>
      <c r="BD386" s="90"/>
      <c r="BE386" s="90"/>
      <c r="BF386" s="90"/>
      <c r="BG386" s="90"/>
      <c r="BH386" s="90"/>
      <c r="BI386" s="90"/>
      <c r="BJ386" s="90"/>
      <c r="BK386" s="90"/>
      <c r="BL386" s="90"/>
      <c r="BM386" s="90"/>
      <c r="BN386" s="90"/>
      <c r="BO386" s="90"/>
      <c r="BP386" s="90"/>
      <c r="BQ386" s="90"/>
    </row>
    <row r="387" ht="12.75" customHeight="1" outlineLevel="1">
      <c r="A387" s="316"/>
      <c r="B387" s="90"/>
      <c r="C387" s="90" t="s">
        <v>841</v>
      </c>
      <c r="D387" s="90"/>
      <c r="E387" s="90"/>
      <c r="F387" s="90"/>
      <c r="G387" s="99"/>
      <c r="H387" s="99"/>
      <c r="I387" s="99"/>
      <c r="J387" s="99">
        <v>0.0</v>
      </c>
      <c r="K387" s="99">
        <f t="shared" ref="K387:AV387" si="256">K246*K266</f>
        <v>0</v>
      </c>
      <c r="L387" s="99">
        <f t="shared" si="256"/>
        <v>0</v>
      </c>
      <c r="M387" s="99">
        <f t="shared" si="256"/>
        <v>0</v>
      </c>
      <c r="N387" s="99">
        <f t="shared" si="256"/>
        <v>0</v>
      </c>
      <c r="O387" s="99">
        <f t="shared" si="256"/>
        <v>0</v>
      </c>
      <c r="P387" s="99">
        <f t="shared" si="256"/>
        <v>0</v>
      </c>
      <c r="Q387" s="99">
        <f t="shared" si="256"/>
        <v>0</v>
      </c>
      <c r="R387" s="99">
        <f t="shared" si="256"/>
        <v>0</v>
      </c>
      <c r="S387" s="99">
        <f t="shared" si="256"/>
        <v>0</v>
      </c>
      <c r="T387" s="99">
        <f t="shared" si="256"/>
        <v>0</v>
      </c>
      <c r="U387" s="99">
        <f t="shared" si="256"/>
        <v>0</v>
      </c>
      <c r="V387" s="99">
        <f t="shared" si="256"/>
        <v>0</v>
      </c>
      <c r="W387" s="99">
        <f t="shared" si="256"/>
        <v>0</v>
      </c>
      <c r="X387" s="99">
        <f t="shared" si="256"/>
        <v>0</v>
      </c>
      <c r="Y387" s="99">
        <f t="shared" si="256"/>
        <v>0</v>
      </c>
      <c r="Z387" s="99">
        <f t="shared" si="256"/>
        <v>0</v>
      </c>
      <c r="AA387" s="99">
        <f t="shared" si="256"/>
        <v>0</v>
      </c>
      <c r="AB387" s="99">
        <f t="shared" si="256"/>
        <v>0</v>
      </c>
      <c r="AC387" s="99">
        <f t="shared" si="256"/>
        <v>0</v>
      </c>
      <c r="AD387" s="99">
        <f t="shared" si="256"/>
        <v>0</v>
      </c>
      <c r="AE387" s="99">
        <f t="shared" si="256"/>
        <v>0</v>
      </c>
      <c r="AF387" s="99">
        <f t="shared" si="256"/>
        <v>0</v>
      </c>
      <c r="AG387" s="99">
        <f t="shared" si="256"/>
        <v>0</v>
      </c>
      <c r="AH387" s="99">
        <f t="shared" si="256"/>
        <v>0</v>
      </c>
      <c r="AI387" s="99">
        <f t="shared" si="256"/>
        <v>0</v>
      </c>
      <c r="AJ387" s="99">
        <f t="shared" si="256"/>
        <v>0</v>
      </c>
      <c r="AK387" s="99">
        <f t="shared" si="256"/>
        <v>0</v>
      </c>
      <c r="AL387" s="99">
        <f t="shared" si="256"/>
        <v>0</v>
      </c>
      <c r="AM387" s="99">
        <f t="shared" si="256"/>
        <v>0</v>
      </c>
      <c r="AN387" s="99">
        <f t="shared" si="256"/>
        <v>0</v>
      </c>
      <c r="AO387" s="99">
        <f t="shared" si="256"/>
        <v>0</v>
      </c>
      <c r="AP387" s="99">
        <f t="shared" si="256"/>
        <v>0</v>
      </c>
      <c r="AQ387" s="99">
        <f t="shared" si="256"/>
        <v>0</v>
      </c>
      <c r="AR387" s="99">
        <f t="shared" si="256"/>
        <v>0</v>
      </c>
      <c r="AS387" s="99">
        <f t="shared" si="256"/>
        <v>0</v>
      </c>
      <c r="AT387" s="99">
        <f t="shared" si="256"/>
        <v>0</v>
      </c>
      <c r="AU387" s="99">
        <f t="shared" si="256"/>
        <v>0</v>
      </c>
      <c r="AV387" s="99">
        <f t="shared" si="256"/>
        <v>0</v>
      </c>
      <c r="AW387" s="90"/>
      <c r="AX387" s="90"/>
      <c r="AY387" s="90"/>
      <c r="AZ387" s="90"/>
      <c r="BA387" s="90"/>
      <c r="BB387" s="90"/>
      <c r="BC387" s="90"/>
      <c r="BD387" s="90"/>
      <c r="BE387" s="90"/>
      <c r="BF387" s="90"/>
      <c r="BG387" s="90"/>
      <c r="BH387" s="90"/>
      <c r="BI387" s="90"/>
      <c r="BJ387" s="90"/>
      <c r="BK387" s="90"/>
      <c r="BL387" s="90"/>
      <c r="BM387" s="90"/>
      <c r="BN387" s="90"/>
      <c r="BO387" s="90"/>
      <c r="BP387" s="90"/>
      <c r="BQ387" s="90"/>
    </row>
    <row r="388" ht="12.75" customHeight="1" outlineLevel="1">
      <c r="A388" s="316"/>
      <c r="B388" s="90"/>
      <c r="C388" s="90" t="s">
        <v>556</v>
      </c>
      <c r="D388" s="90"/>
      <c r="E388" s="90"/>
      <c r="F388" s="90"/>
      <c r="G388" s="99"/>
      <c r="H388" s="99"/>
      <c r="I388" s="99"/>
      <c r="J388" s="99"/>
      <c r="K388" s="99"/>
      <c r="L388" s="99"/>
      <c r="M388" s="99"/>
      <c r="N388" s="99"/>
      <c r="O388" s="99"/>
      <c r="P388" s="99"/>
      <c r="Q388" s="99"/>
      <c r="R388" s="99"/>
      <c r="S388" s="99"/>
      <c r="T388" s="99"/>
      <c r="U388" s="99"/>
      <c r="V388" s="99"/>
      <c r="W388" s="99"/>
      <c r="X388" s="99"/>
      <c r="Y388" s="99"/>
      <c r="Z388" s="99"/>
      <c r="AA388" s="99"/>
      <c r="AB388" s="99"/>
      <c r="AC388" s="99"/>
      <c r="AD388" s="99"/>
      <c r="AE388" s="99"/>
      <c r="AF388" s="99"/>
      <c r="AG388" s="99"/>
      <c r="AH388" s="99"/>
      <c r="AI388" s="99"/>
      <c r="AJ388" s="99"/>
      <c r="AK388" s="99"/>
      <c r="AL388" s="99"/>
      <c r="AM388" s="99"/>
      <c r="AN388" s="99"/>
      <c r="AO388" s="99"/>
      <c r="AP388" s="99"/>
      <c r="AQ388" s="99"/>
      <c r="AR388" s="99"/>
      <c r="AS388" s="99"/>
      <c r="AT388" s="99"/>
      <c r="AU388" s="99"/>
      <c r="AV388" s="99"/>
      <c r="AW388" s="90"/>
      <c r="AX388" s="90"/>
      <c r="AY388" s="90"/>
      <c r="AZ388" s="90"/>
      <c r="BA388" s="90"/>
      <c r="BB388" s="90"/>
      <c r="BC388" s="90"/>
      <c r="BD388" s="90"/>
      <c r="BE388" s="90"/>
      <c r="BF388" s="90"/>
      <c r="BG388" s="90"/>
      <c r="BH388" s="90"/>
      <c r="BI388" s="90"/>
      <c r="BJ388" s="90"/>
      <c r="BK388" s="90"/>
      <c r="BL388" s="90"/>
      <c r="BM388" s="90"/>
      <c r="BN388" s="90"/>
      <c r="BO388" s="90"/>
      <c r="BP388" s="90"/>
      <c r="BQ388" s="90"/>
    </row>
    <row r="389" ht="12.75" customHeight="1" outlineLevel="1">
      <c r="A389" s="316"/>
      <c r="B389" s="90"/>
      <c r="C389" s="90"/>
      <c r="D389" s="90" t="s">
        <v>557</v>
      </c>
      <c r="E389" s="90"/>
      <c r="F389" s="90"/>
      <c r="G389" s="99"/>
      <c r="H389" s="99"/>
      <c r="I389" s="99"/>
      <c r="J389" s="99">
        <v>0.0</v>
      </c>
      <c r="K389" s="99">
        <f>-K438</f>
        <v>0</v>
      </c>
      <c r="L389" s="99">
        <f>'RSGen 1-7'!I389</f>
        <v>10000</v>
      </c>
      <c r="M389" s="99">
        <f>'RSGen 1-7'!J389</f>
        <v>8000</v>
      </c>
      <c r="N389" s="99">
        <f>'RSGen 1-7'!K389</f>
        <v>6000</v>
      </c>
      <c r="O389" s="99">
        <f>'RSGen 1-7'!L389</f>
        <v>4000</v>
      </c>
      <c r="P389" s="99">
        <f>'RSGen 1-7'!M389</f>
        <v>2000</v>
      </c>
      <c r="Q389" s="99">
        <f t="shared" ref="Q389:AV389" si="257">-Q438</f>
        <v>0</v>
      </c>
      <c r="R389" s="99">
        <f t="shared" si="257"/>
        <v>0</v>
      </c>
      <c r="S389" s="99">
        <f t="shared" si="257"/>
        <v>0</v>
      </c>
      <c r="T389" s="99">
        <f t="shared" si="257"/>
        <v>0</v>
      </c>
      <c r="U389" s="99">
        <f t="shared" si="257"/>
        <v>0</v>
      </c>
      <c r="V389" s="99">
        <f t="shared" si="257"/>
        <v>0</v>
      </c>
      <c r="W389" s="99">
        <f t="shared" si="257"/>
        <v>0</v>
      </c>
      <c r="X389" s="99">
        <f t="shared" si="257"/>
        <v>0</v>
      </c>
      <c r="Y389" s="99">
        <f t="shared" si="257"/>
        <v>0</v>
      </c>
      <c r="Z389" s="99">
        <f t="shared" si="257"/>
        <v>0</v>
      </c>
      <c r="AA389" s="99">
        <f t="shared" si="257"/>
        <v>0</v>
      </c>
      <c r="AB389" s="99">
        <f t="shared" si="257"/>
        <v>0</v>
      </c>
      <c r="AC389" s="99">
        <f t="shared" si="257"/>
        <v>0</v>
      </c>
      <c r="AD389" s="99">
        <f t="shared" si="257"/>
        <v>0</v>
      </c>
      <c r="AE389" s="99">
        <f t="shared" si="257"/>
        <v>0</v>
      </c>
      <c r="AF389" s="99">
        <f t="shared" si="257"/>
        <v>0</v>
      </c>
      <c r="AG389" s="99">
        <f t="shared" si="257"/>
        <v>0</v>
      </c>
      <c r="AH389" s="99">
        <f t="shared" si="257"/>
        <v>0</v>
      </c>
      <c r="AI389" s="99">
        <f t="shared" si="257"/>
        <v>0</v>
      </c>
      <c r="AJ389" s="99">
        <f t="shared" si="257"/>
        <v>0</v>
      </c>
      <c r="AK389" s="99">
        <f t="shared" si="257"/>
        <v>0</v>
      </c>
      <c r="AL389" s="99">
        <f t="shared" si="257"/>
        <v>0</v>
      </c>
      <c r="AM389" s="99">
        <f t="shared" si="257"/>
        <v>0</v>
      </c>
      <c r="AN389" s="99">
        <f t="shared" si="257"/>
        <v>0</v>
      </c>
      <c r="AO389" s="99">
        <f t="shared" si="257"/>
        <v>0</v>
      </c>
      <c r="AP389" s="99">
        <f t="shared" si="257"/>
        <v>0</v>
      </c>
      <c r="AQ389" s="99">
        <f t="shared" si="257"/>
        <v>0</v>
      </c>
      <c r="AR389" s="99">
        <f t="shared" si="257"/>
        <v>0</v>
      </c>
      <c r="AS389" s="99">
        <f t="shared" si="257"/>
        <v>0</v>
      </c>
      <c r="AT389" s="99">
        <f t="shared" si="257"/>
        <v>0</v>
      </c>
      <c r="AU389" s="99">
        <f t="shared" si="257"/>
        <v>0</v>
      </c>
      <c r="AV389" s="99">
        <f t="shared" si="257"/>
        <v>0</v>
      </c>
      <c r="AW389" s="90"/>
      <c r="AX389" s="90"/>
      <c r="AY389" s="90"/>
      <c r="AZ389" s="90"/>
      <c r="BA389" s="90"/>
      <c r="BB389" s="90"/>
      <c r="BC389" s="90"/>
      <c r="BD389" s="90"/>
      <c r="BE389" s="90"/>
      <c r="BF389" s="90"/>
      <c r="BG389" s="90"/>
      <c r="BH389" s="90"/>
      <c r="BI389" s="90"/>
      <c r="BJ389" s="90"/>
      <c r="BK389" s="90"/>
      <c r="BL389" s="90"/>
      <c r="BM389" s="90"/>
      <c r="BN389" s="90"/>
      <c r="BO389" s="90"/>
      <c r="BP389" s="90"/>
      <c r="BQ389" s="90"/>
    </row>
    <row r="390" ht="12.75" customHeight="1" outlineLevel="1">
      <c r="A390" s="316"/>
      <c r="B390" s="90"/>
      <c r="C390" s="90"/>
      <c r="D390" s="90" t="s">
        <v>148</v>
      </c>
      <c r="E390" s="90"/>
      <c r="F390" s="90"/>
      <c r="G390" s="99"/>
      <c r="H390" s="99"/>
      <c r="I390" s="99"/>
      <c r="J390" s="99">
        <v>0.0</v>
      </c>
      <c r="K390" s="99">
        <v>9999.91</v>
      </c>
      <c r="L390" s="99" t="str">
        <f t="shared" ref="L390:AV390" si="258">L251*L461</f>
        <v>#REF!</v>
      </c>
      <c r="M390" s="99" t="str">
        <f t="shared" si="258"/>
        <v>#REF!</v>
      </c>
      <c r="N390" s="99" t="str">
        <f t="shared" si="258"/>
        <v>#REF!</v>
      </c>
      <c r="O390" s="99" t="str">
        <f t="shared" si="258"/>
        <v>#REF!</v>
      </c>
      <c r="P390" s="99" t="str">
        <f t="shared" si="258"/>
        <v>#REF!</v>
      </c>
      <c r="Q390" s="99" t="str">
        <f t="shared" si="258"/>
        <v>#REF!</v>
      </c>
      <c r="R390" s="99" t="str">
        <f t="shared" si="258"/>
        <v>#REF!</v>
      </c>
      <c r="S390" s="99" t="str">
        <f t="shared" si="258"/>
        <v>#REF!</v>
      </c>
      <c r="T390" s="99" t="str">
        <f t="shared" si="258"/>
        <v>#REF!</v>
      </c>
      <c r="U390" s="99" t="str">
        <f t="shared" si="258"/>
        <v>#REF!</v>
      </c>
      <c r="V390" s="99" t="str">
        <f t="shared" si="258"/>
        <v>#REF!</v>
      </c>
      <c r="W390" s="99" t="str">
        <f t="shared" si="258"/>
        <v>#REF!</v>
      </c>
      <c r="X390" s="99" t="str">
        <f t="shared" si="258"/>
        <v>#REF!</v>
      </c>
      <c r="Y390" s="99" t="str">
        <f t="shared" si="258"/>
        <v>#REF!</v>
      </c>
      <c r="Z390" s="99" t="str">
        <f t="shared" si="258"/>
        <v>#REF!</v>
      </c>
      <c r="AA390" s="99" t="str">
        <f t="shared" si="258"/>
        <v>#REF!</v>
      </c>
      <c r="AB390" s="99" t="str">
        <f t="shared" si="258"/>
        <v>#REF!</v>
      </c>
      <c r="AC390" s="99" t="str">
        <f t="shared" si="258"/>
        <v>#REF!</v>
      </c>
      <c r="AD390" s="99" t="str">
        <f t="shared" si="258"/>
        <v>#REF!</v>
      </c>
      <c r="AE390" s="99" t="str">
        <f t="shared" si="258"/>
        <v>#REF!</v>
      </c>
      <c r="AF390" s="99" t="str">
        <f t="shared" si="258"/>
        <v>#REF!</v>
      </c>
      <c r="AG390" s="99" t="str">
        <f t="shared" si="258"/>
        <v>#REF!</v>
      </c>
      <c r="AH390" s="99" t="str">
        <f t="shared" si="258"/>
        <v>#REF!</v>
      </c>
      <c r="AI390" s="99" t="str">
        <f t="shared" si="258"/>
        <v>#REF!</v>
      </c>
      <c r="AJ390" s="99" t="str">
        <f t="shared" si="258"/>
        <v>#REF!</v>
      </c>
      <c r="AK390" s="99" t="str">
        <f t="shared" si="258"/>
        <v>#REF!</v>
      </c>
      <c r="AL390" s="99" t="str">
        <f t="shared" si="258"/>
        <v>#REF!</v>
      </c>
      <c r="AM390" s="99" t="str">
        <f t="shared" si="258"/>
        <v>#REF!</v>
      </c>
      <c r="AN390" s="99" t="str">
        <f t="shared" si="258"/>
        <v>#REF!</v>
      </c>
      <c r="AO390" s="99" t="str">
        <f t="shared" si="258"/>
        <v>#REF!</v>
      </c>
      <c r="AP390" s="99" t="str">
        <f t="shared" si="258"/>
        <v>#REF!</v>
      </c>
      <c r="AQ390" s="99" t="str">
        <f t="shared" si="258"/>
        <v>#REF!</v>
      </c>
      <c r="AR390" s="99" t="str">
        <f t="shared" si="258"/>
        <v>#REF!</v>
      </c>
      <c r="AS390" s="99" t="str">
        <f t="shared" si="258"/>
        <v>#REF!</v>
      </c>
      <c r="AT390" s="99" t="str">
        <f t="shared" si="258"/>
        <v>#REF!</v>
      </c>
      <c r="AU390" s="99" t="str">
        <f t="shared" si="258"/>
        <v>#REF!</v>
      </c>
      <c r="AV390" s="99" t="str">
        <f t="shared" si="258"/>
        <v>#REF!</v>
      </c>
      <c r="AW390" s="90" t="s">
        <v>1226</v>
      </c>
      <c r="AX390" s="90"/>
      <c r="AY390" s="90"/>
      <c r="AZ390" s="90"/>
      <c r="BA390" s="90"/>
      <c r="BB390" s="90"/>
      <c r="BC390" s="90"/>
      <c r="BD390" s="90"/>
      <c r="BE390" s="90"/>
      <c r="BF390" s="90"/>
      <c r="BG390" s="90"/>
      <c r="BH390" s="90"/>
      <c r="BI390" s="90"/>
      <c r="BJ390" s="90"/>
      <c r="BK390" s="90"/>
      <c r="BL390" s="90"/>
      <c r="BM390" s="90"/>
      <c r="BN390" s="90"/>
      <c r="BO390" s="90"/>
      <c r="BP390" s="90"/>
      <c r="BQ390" s="90"/>
    </row>
    <row r="391" ht="12.75" customHeight="1" outlineLevel="1">
      <c r="A391" s="316"/>
      <c r="B391" s="90"/>
      <c r="C391" s="90"/>
      <c r="D391" s="90" t="s">
        <v>479</v>
      </c>
      <c r="E391" s="90"/>
      <c r="F391" s="90"/>
      <c r="G391" s="99"/>
      <c r="H391" s="99"/>
      <c r="I391" s="99"/>
      <c r="J391" s="99">
        <v>0.0</v>
      </c>
      <c r="K391" s="99">
        <v>0.0</v>
      </c>
      <c r="L391" s="99">
        <v>0.0</v>
      </c>
      <c r="M391" s="99">
        <v>0.0</v>
      </c>
      <c r="N391" s="99">
        <v>0.0</v>
      </c>
      <c r="O391" s="99">
        <v>0.0</v>
      </c>
      <c r="P391" s="99">
        <v>0.0</v>
      </c>
      <c r="Q391" s="99">
        <v>0.0</v>
      </c>
      <c r="R391" s="99">
        <v>0.0</v>
      </c>
      <c r="S391" s="99">
        <v>0.0</v>
      </c>
      <c r="T391" s="99">
        <v>0.0</v>
      </c>
      <c r="U391" s="99">
        <v>0.0</v>
      </c>
      <c r="V391" s="99">
        <v>0.0</v>
      </c>
      <c r="W391" s="99">
        <v>0.0</v>
      </c>
      <c r="X391" s="99">
        <v>0.0</v>
      </c>
      <c r="Y391" s="99">
        <v>0.0</v>
      </c>
      <c r="Z391" s="99">
        <v>0.0</v>
      </c>
      <c r="AA391" s="99">
        <v>0.0</v>
      </c>
      <c r="AB391" s="99">
        <v>0.0</v>
      </c>
      <c r="AC391" s="99">
        <v>0.0</v>
      </c>
      <c r="AD391" s="99">
        <v>0.0</v>
      </c>
      <c r="AE391" s="99">
        <v>0.0</v>
      </c>
      <c r="AF391" s="99">
        <v>0.0</v>
      </c>
      <c r="AG391" s="99">
        <v>0.0</v>
      </c>
      <c r="AH391" s="99">
        <v>0.0</v>
      </c>
      <c r="AI391" s="99">
        <v>0.0</v>
      </c>
      <c r="AJ391" s="99">
        <v>0.0</v>
      </c>
      <c r="AK391" s="99">
        <v>0.0</v>
      </c>
      <c r="AL391" s="99">
        <v>0.0</v>
      </c>
      <c r="AM391" s="99">
        <v>0.0</v>
      </c>
      <c r="AN391" s="99">
        <v>0.0</v>
      </c>
      <c r="AO391" s="99">
        <v>0.0</v>
      </c>
      <c r="AP391" s="99">
        <v>0.0</v>
      </c>
      <c r="AQ391" s="99">
        <v>0.0</v>
      </c>
      <c r="AR391" s="99">
        <v>0.0</v>
      </c>
      <c r="AS391" s="99">
        <v>0.0</v>
      </c>
      <c r="AT391" s="99">
        <v>0.0</v>
      </c>
      <c r="AU391" s="99">
        <v>0.0</v>
      </c>
      <c r="AV391" s="99">
        <v>0.0</v>
      </c>
      <c r="AW391" s="90"/>
      <c r="AX391" s="90"/>
      <c r="AY391" s="90"/>
      <c r="AZ391" s="90"/>
      <c r="BA391" s="90"/>
      <c r="BB391" s="90"/>
      <c r="BC391" s="90"/>
      <c r="BD391" s="90"/>
      <c r="BE391" s="90"/>
      <c r="BF391" s="90"/>
      <c r="BG391" s="90"/>
      <c r="BH391" s="90"/>
      <c r="BI391" s="90"/>
      <c r="BJ391" s="90"/>
      <c r="BK391" s="90"/>
      <c r="BL391" s="90"/>
      <c r="BM391" s="90"/>
      <c r="BN391" s="90"/>
      <c r="BO391" s="90"/>
      <c r="BP391" s="90"/>
      <c r="BQ391" s="90"/>
    </row>
    <row r="392" ht="12.75" customHeight="1" outlineLevel="1">
      <c r="A392" s="316"/>
      <c r="B392" s="549">
        <f>Assumptions!H34</f>
        <v>0.01</v>
      </c>
      <c r="C392" s="87" t="s">
        <v>559</v>
      </c>
      <c r="D392" s="87"/>
      <c r="E392" s="87"/>
      <c r="F392" s="87"/>
      <c r="G392" s="125"/>
      <c r="H392" s="125"/>
      <c r="I392" s="125"/>
      <c r="J392" s="125">
        <v>0.0</v>
      </c>
      <c r="K392" s="125">
        <v>0.0</v>
      </c>
      <c r="L392" s="125">
        <v>42704.6823910813</v>
      </c>
      <c r="M392" s="125">
        <f t="shared" ref="M392:AV392" si="259">$B$392*(M383+M339+M330+M319-M292)</f>
        <v>32438.88134</v>
      </c>
      <c r="N392" s="125">
        <f t="shared" si="259"/>
        <v>34607.0229</v>
      </c>
      <c r="O392" s="125">
        <f t="shared" si="259"/>
        <v>34938.44586</v>
      </c>
      <c r="P392" s="125">
        <f t="shared" si="259"/>
        <v>35578.95852</v>
      </c>
      <c r="Q392" s="125">
        <f t="shared" si="259"/>
        <v>36471.43292</v>
      </c>
      <c r="R392" s="125">
        <f t="shared" si="259"/>
        <v>37461.20263</v>
      </c>
      <c r="S392" s="125">
        <f t="shared" si="259"/>
        <v>38140.45247</v>
      </c>
      <c r="T392" s="125">
        <f t="shared" si="259"/>
        <v>38868.17479</v>
      </c>
      <c r="U392" s="125">
        <f t="shared" si="259"/>
        <v>39650.47582</v>
      </c>
      <c r="V392" s="125">
        <f t="shared" si="259"/>
        <v>40453.33237</v>
      </c>
      <c r="W392" s="125">
        <f t="shared" si="259"/>
        <v>41268.16597</v>
      </c>
      <c r="X392" s="125">
        <f t="shared" si="259"/>
        <v>42101.35648</v>
      </c>
      <c r="Y392" s="125">
        <f t="shared" si="259"/>
        <v>42951.2108</v>
      </c>
      <c r="Z392" s="125">
        <f t="shared" si="259"/>
        <v>43818.06221</v>
      </c>
      <c r="AA392" s="125">
        <f t="shared" si="259"/>
        <v>44702.25064</v>
      </c>
      <c r="AB392" s="125">
        <f t="shared" si="259"/>
        <v>45604.12285</v>
      </c>
      <c r="AC392" s="125">
        <f t="shared" si="259"/>
        <v>46524.03249</v>
      </c>
      <c r="AD392" s="125">
        <f t="shared" si="259"/>
        <v>47462.34033</v>
      </c>
      <c r="AE392" s="125">
        <f t="shared" si="259"/>
        <v>48419.41433</v>
      </c>
      <c r="AF392" s="125">
        <f t="shared" si="259"/>
        <v>49395.62981</v>
      </c>
      <c r="AG392" s="125">
        <f t="shared" si="259"/>
        <v>50391.36959</v>
      </c>
      <c r="AH392" s="125">
        <f t="shared" si="259"/>
        <v>51407.02418</v>
      </c>
      <c r="AI392" s="125">
        <f t="shared" si="259"/>
        <v>52442.99185</v>
      </c>
      <c r="AJ392" s="125">
        <f t="shared" si="259"/>
        <v>53499.67888</v>
      </c>
      <c r="AK392" s="125">
        <f t="shared" si="259"/>
        <v>54577.49964</v>
      </c>
      <c r="AL392" s="125">
        <f t="shared" si="259"/>
        <v>55676.87683</v>
      </c>
      <c r="AM392" s="125">
        <f t="shared" si="259"/>
        <v>56798.24156</v>
      </c>
      <c r="AN392" s="125">
        <f t="shared" si="259"/>
        <v>57942.03358</v>
      </c>
      <c r="AO392" s="125">
        <f t="shared" si="259"/>
        <v>59108.70144</v>
      </c>
      <c r="AP392" s="125">
        <f t="shared" si="259"/>
        <v>60298.70266</v>
      </c>
      <c r="AQ392" s="125">
        <f t="shared" si="259"/>
        <v>61512.5039</v>
      </c>
      <c r="AR392" s="125">
        <f t="shared" si="259"/>
        <v>62750.58117</v>
      </c>
      <c r="AS392" s="125">
        <f t="shared" si="259"/>
        <v>64013.41998</v>
      </c>
      <c r="AT392" s="125">
        <f t="shared" si="259"/>
        <v>65301.51557</v>
      </c>
      <c r="AU392" s="125">
        <f t="shared" si="259"/>
        <v>66615.37307</v>
      </c>
      <c r="AV392" s="125">
        <f t="shared" si="259"/>
        <v>67955.50773</v>
      </c>
      <c r="AW392" s="87"/>
      <c r="AX392" s="90"/>
      <c r="AY392" s="90"/>
      <c r="AZ392" s="90"/>
      <c r="BA392" s="90"/>
      <c r="BB392" s="90"/>
      <c r="BC392" s="90"/>
      <c r="BD392" s="90"/>
      <c r="BE392" s="90"/>
      <c r="BF392" s="90"/>
      <c r="BG392" s="90"/>
      <c r="BH392" s="90"/>
      <c r="BI392" s="90"/>
      <c r="BJ392" s="90"/>
      <c r="BK392" s="90"/>
      <c r="BL392" s="90"/>
      <c r="BM392" s="90"/>
      <c r="BN392" s="90"/>
      <c r="BO392" s="90"/>
      <c r="BP392" s="90"/>
      <c r="BQ392" s="90"/>
    </row>
    <row r="393" ht="12.75" customHeight="1" outlineLevel="1">
      <c r="A393" s="316"/>
      <c r="B393" s="67" t="s">
        <v>842</v>
      </c>
      <c r="C393" s="90"/>
      <c r="D393" s="90"/>
      <c r="E393" s="90"/>
      <c r="F393" s="90"/>
      <c r="G393" s="79"/>
      <c r="H393" s="79"/>
      <c r="I393" s="79"/>
      <c r="J393" s="79">
        <v>0.0</v>
      </c>
      <c r="K393" s="79">
        <f t="shared" ref="K393:AV393" si="260">SUM(K386:K392)</f>
        <v>9999.91</v>
      </c>
      <c r="L393" s="79" t="str">
        <f t="shared" si="260"/>
        <v>#REF!</v>
      </c>
      <c r="M393" s="79" t="str">
        <f t="shared" si="260"/>
        <v>#REF!</v>
      </c>
      <c r="N393" s="79" t="str">
        <f t="shared" si="260"/>
        <v>#REF!</v>
      </c>
      <c r="O393" s="79" t="str">
        <f t="shared" si="260"/>
        <v>#REF!</v>
      </c>
      <c r="P393" s="79" t="str">
        <f t="shared" si="260"/>
        <v>#REF!</v>
      </c>
      <c r="Q393" s="79" t="str">
        <f t="shared" si="260"/>
        <v>#REF!</v>
      </c>
      <c r="R393" s="79" t="str">
        <f t="shared" si="260"/>
        <v>#REF!</v>
      </c>
      <c r="S393" s="79" t="str">
        <f t="shared" si="260"/>
        <v>#REF!</v>
      </c>
      <c r="T393" s="79" t="str">
        <f t="shared" si="260"/>
        <v>#REF!</v>
      </c>
      <c r="U393" s="79" t="str">
        <f t="shared" si="260"/>
        <v>#REF!</v>
      </c>
      <c r="V393" s="79" t="str">
        <f t="shared" si="260"/>
        <v>#REF!</v>
      </c>
      <c r="W393" s="79" t="str">
        <f t="shared" si="260"/>
        <v>#REF!</v>
      </c>
      <c r="X393" s="79" t="str">
        <f t="shared" si="260"/>
        <v>#REF!</v>
      </c>
      <c r="Y393" s="79" t="str">
        <f t="shared" si="260"/>
        <v>#REF!</v>
      </c>
      <c r="Z393" s="79" t="str">
        <f t="shared" si="260"/>
        <v>#REF!</v>
      </c>
      <c r="AA393" s="79" t="str">
        <f t="shared" si="260"/>
        <v>#REF!</v>
      </c>
      <c r="AB393" s="79" t="str">
        <f t="shared" si="260"/>
        <v>#REF!</v>
      </c>
      <c r="AC393" s="79" t="str">
        <f t="shared" si="260"/>
        <v>#REF!</v>
      </c>
      <c r="AD393" s="79" t="str">
        <f t="shared" si="260"/>
        <v>#REF!</v>
      </c>
      <c r="AE393" s="79" t="str">
        <f t="shared" si="260"/>
        <v>#REF!</v>
      </c>
      <c r="AF393" s="79" t="str">
        <f t="shared" si="260"/>
        <v>#REF!</v>
      </c>
      <c r="AG393" s="79" t="str">
        <f t="shared" si="260"/>
        <v>#REF!</v>
      </c>
      <c r="AH393" s="79" t="str">
        <f t="shared" si="260"/>
        <v>#REF!</v>
      </c>
      <c r="AI393" s="79" t="str">
        <f t="shared" si="260"/>
        <v>#REF!</v>
      </c>
      <c r="AJ393" s="79" t="str">
        <f t="shared" si="260"/>
        <v>#REF!</v>
      </c>
      <c r="AK393" s="79" t="str">
        <f t="shared" si="260"/>
        <v>#REF!</v>
      </c>
      <c r="AL393" s="79" t="str">
        <f t="shared" si="260"/>
        <v>#REF!</v>
      </c>
      <c r="AM393" s="79" t="str">
        <f t="shared" si="260"/>
        <v>#REF!</v>
      </c>
      <c r="AN393" s="79" t="str">
        <f t="shared" si="260"/>
        <v>#REF!</v>
      </c>
      <c r="AO393" s="79" t="str">
        <f t="shared" si="260"/>
        <v>#REF!</v>
      </c>
      <c r="AP393" s="79" t="str">
        <f t="shared" si="260"/>
        <v>#REF!</v>
      </c>
      <c r="AQ393" s="79" t="str">
        <f t="shared" si="260"/>
        <v>#REF!</v>
      </c>
      <c r="AR393" s="79" t="str">
        <f t="shared" si="260"/>
        <v>#REF!</v>
      </c>
      <c r="AS393" s="79" t="str">
        <f t="shared" si="260"/>
        <v>#REF!</v>
      </c>
      <c r="AT393" s="79" t="str">
        <f t="shared" si="260"/>
        <v>#REF!</v>
      </c>
      <c r="AU393" s="79" t="str">
        <f t="shared" si="260"/>
        <v>#REF!</v>
      </c>
      <c r="AV393" s="79" t="str">
        <f t="shared" si="260"/>
        <v>#REF!</v>
      </c>
      <c r="AW393" s="90"/>
      <c r="AX393" s="90"/>
      <c r="AY393" s="90"/>
      <c r="AZ393" s="90"/>
      <c r="BA393" s="90"/>
      <c r="BB393" s="90"/>
      <c r="BC393" s="90"/>
      <c r="BD393" s="90"/>
      <c r="BE393" s="90"/>
      <c r="BF393" s="90"/>
      <c r="BG393" s="90"/>
      <c r="BH393" s="90"/>
      <c r="BI393" s="90"/>
      <c r="BJ393" s="90"/>
      <c r="BK393" s="90"/>
      <c r="BL393" s="90"/>
      <c r="BM393" s="90"/>
      <c r="BN393" s="90"/>
      <c r="BO393" s="90"/>
      <c r="BP393" s="90"/>
      <c r="BQ393" s="90"/>
    </row>
    <row r="394" ht="12.75" customHeight="1" outlineLevel="1">
      <c r="A394" s="316"/>
      <c r="B394" s="90"/>
      <c r="C394" s="90"/>
      <c r="D394" s="90"/>
      <c r="E394" s="90"/>
      <c r="F394" s="90"/>
      <c r="G394" s="91"/>
      <c r="H394" s="91"/>
      <c r="I394" s="147"/>
      <c r="J394" s="147"/>
      <c r="K394" s="147"/>
      <c r="L394" s="147"/>
      <c r="M394" s="147"/>
      <c r="N394" s="147"/>
      <c r="O394" s="147"/>
      <c r="P394" s="147"/>
      <c r="Q394" s="147"/>
      <c r="R394" s="147"/>
      <c r="S394" s="147"/>
      <c r="T394" s="91"/>
      <c r="U394" s="91"/>
      <c r="V394" s="91"/>
      <c r="W394" s="91"/>
      <c r="X394" s="91"/>
      <c r="Y394" s="91"/>
      <c r="Z394" s="91"/>
      <c r="AA394" s="91"/>
      <c r="AB394" s="91"/>
      <c r="AC394" s="91"/>
      <c r="AD394" s="91"/>
      <c r="AE394" s="91"/>
      <c r="AF394" s="91"/>
      <c r="AG394" s="91"/>
      <c r="AH394" s="91"/>
      <c r="AI394" s="91"/>
      <c r="AJ394" s="91"/>
      <c r="AK394" s="91"/>
      <c r="AL394" s="91"/>
      <c r="AM394" s="91"/>
      <c r="AN394" s="91"/>
      <c r="AO394" s="91"/>
      <c r="AP394" s="91"/>
      <c r="AQ394" s="91"/>
      <c r="AR394" s="91"/>
      <c r="AS394" s="91"/>
      <c r="AT394" s="91"/>
      <c r="AU394" s="91"/>
      <c r="AV394" s="91"/>
      <c r="AW394" s="90"/>
      <c r="AX394" s="90"/>
      <c r="AY394" s="90"/>
      <c r="AZ394" s="90"/>
      <c r="BA394" s="90"/>
      <c r="BB394" s="90"/>
      <c r="BC394" s="90"/>
      <c r="BD394" s="90"/>
      <c r="BE394" s="90"/>
      <c r="BF394" s="90"/>
      <c r="BG394" s="90"/>
      <c r="BH394" s="90"/>
      <c r="BI394" s="90"/>
      <c r="BJ394" s="90"/>
      <c r="BK394" s="90"/>
      <c r="BL394" s="90"/>
      <c r="BM394" s="90"/>
      <c r="BN394" s="90"/>
      <c r="BO394" s="90"/>
      <c r="BP394" s="90"/>
      <c r="BQ394" s="90"/>
    </row>
    <row r="395" ht="12.75" customHeight="1" outlineLevel="1">
      <c r="A395" s="108" t="s">
        <v>843</v>
      </c>
      <c r="B395" s="143"/>
      <c r="C395" s="143"/>
      <c r="D395" s="143"/>
      <c r="E395" s="143"/>
      <c r="F395" s="143"/>
      <c r="G395" s="293"/>
      <c r="H395" s="293"/>
      <c r="I395" s="293">
        <f>I393+I383+I339+I330+I319</f>
        <v>0</v>
      </c>
      <c r="J395" s="293">
        <v>45648.1</v>
      </c>
      <c r="K395" s="293">
        <f t="shared" ref="K395:AV395" si="261">K393+K383+K339+K330+K319</f>
        <v>353083.43</v>
      </c>
      <c r="L395" s="293" t="str">
        <f t="shared" si="261"/>
        <v>#REF!</v>
      </c>
      <c r="M395" s="293" t="str">
        <f t="shared" si="261"/>
        <v>#REF!</v>
      </c>
      <c r="N395" s="293" t="str">
        <f t="shared" si="261"/>
        <v>#REF!</v>
      </c>
      <c r="O395" s="293" t="str">
        <f t="shared" si="261"/>
        <v>#REF!</v>
      </c>
      <c r="P395" s="293" t="str">
        <f t="shared" si="261"/>
        <v>#REF!</v>
      </c>
      <c r="Q395" s="293" t="str">
        <f t="shared" si="261"/>
        <v>#REF!</v>
      </c>
      <c r="R395" s="293" t="str">
        <f t="shared" si="261"/>
        <v>#REF!</v>
      </c>
      <c r="S395" s="293" t="str">
        <f t="shared" si="261"/>
        <v>#REF!</v>
      </c>
      <c r="T395" s="293" t="str">
        <f t="shared" si="261"/>
        <v>#REF!</v>
      </c>
      <c r="U395" s="293" t="str">
        <f t="shared" si="261"/>
        <v>#REF!</v>
      </c>
      <c r="V395" s="293" t="str">
        <f t="shared" si="261"/>
        <v>#REF!</v>
      </c>
      <c r="W395" s="293" t="str">
        <f t="shared" si="261"/>
        <v>#REF!</v>
      </c>
      <c r="X395" s="293" t="str">
        <f t="shared" si="261"/>
        <v>#REF!</v>
      </c>
      <c r="Y395" s="293" t="str">
        <f t="shared" si="261"/>
        <v>#REF!</v>
      </c>
      <c r="Z395" s="293" t="str">
        <f t="shared" si="261"/>
        <v>#REF!</v>
      </c>
      <c r="AA395" s="293" t="str">
        <f t="shared" si="261"/>
        <v>#REF!</v>
      </c>
      <c r="AB395" s="293" t="str">
        <f t="shared" si="261"/>
        <v>#REF!</v>
      </c>
      <c r="AC395" s="293" t="str">
        <f t="shared" si="261"/>
        <v>#REF!</v>
      </c>
      <c r="AD395" s="293" t="str">
        <f t="shared" si="261"/>
        <v>#REF!</v>
      </c>
      <c r="AE395" s="293" t="str">
        <f t="shared" si="261"/>
        <v>#REF!</v>
      </c>
      <c r="AF395" s="293" t="str">
        <f t="shared" si="261"/>
        <v>#REF!</v>
      </c>
      <c r="AG395" s="293" t="str">
        <f t="shared" si="261"/>
        <v>#REF!</v>
      </c>
      <c r="AH395" s="293" t="str">
        <f t="shared" si="261"/>
        <v>#REF!</v>
      </c>
      <c r="AI395" s="293" t="str">
        <f t="shared" si="261"/>
        <v>#REF!</v>
      </c>
      <c r="AJ395" s="293" t="str">
        <f t="shared" si="261"/>
        <v>#REF!</v>
      </c>
      <c r="AK395" s="293" t="str">
        <f t="shared" si="261"/>
        <v>#REF!</v>
      </c>
      <c r="AL395" s="293" t="str">
        <f t="shared" si="261"/>
        <v>#REF!</v>
      </c>
      <c r="AM395" s="293" t="str">
        <f t="shared" si="261"/>
        <v>#REF!</v>
      </c>
      <c r="AN395" s="293" t="str">
        <f t="shared" si="261"/>
        <v>#REF!</v>
      </c>
      <c r="AO395" s="293" t="str">
        <f t="shared" si="261"/>
        <v>#REF!</v>
      </c>
      <c r="AP395" s="293" t="str">
        <f t="shared" si="261"/>
        <v>#REF!</v>
      </c>
      <c r="AQ395" s="293" t="str">
        <f t="shared" si="261"/>
        <v>#REF!</v>
      </c>
      <c r="AR395" s="293" t="str">
        <f t="shared" si="261"/>
        <v>#REF!</v>
      </c>
      <c r="AS395" s="293" t="str">
        <f t="shared" si="261"/>
        <v>#REF!</v>
      </c>
      <c r="AT395" s="293" t="str">
        <f t="shared" si="261"/>
        <v>#REF!</v>
      </c>
      <c r="AU395" s="293" t="str">
        <f t="shared" si="261"/>
        <v>#REF!</v>
      </c>
      <c r="AV395" s="293" t="str">
        <f t="shared" si="261"/>
        <v>#REF!</v>
      </c>
      <c r="AW395" s="293"/>
      <c r="AX395" s="90"/>
      <c r="AY395" s="90"/>
      <c r="AZ395" s="90"/>
      <c r="BA395" s="90"/>
      <c r="BB395" s="90"/>
      <c r="BC395" s="90"/>
      <c r="BD395" s="90"/>
      <c r="BE395" s="90"/>
      <c r="BF395" s="90"/>
      <c r="BG395" s="90"/>
      <c r="BH395" s="90"/>
      <c r="BI395" s="90"/>
      <c r="BJ395" s="90"/>
      <c r="BK395" s="90"/>
      <c r="BL395" s="90"/>
      <c r="BM395" s="90"/>
      <c r="BN395" s="90"/>
      <c r="BO395" s="90"/>
      <c r="BP395" s="90"/>
      <c r="BQ395" s="90"/>
    </row>
    <row r="396" ht="12.75" customHeight="1" outlineLevel="1">
      <c r="A396" s="515"/>
      <c r="B396" s="90"/>
      <c r="C396" s="90"/>
      <c r="D396" s="90"/>
      <c r="E396" s="90"/>
      <c r="F396" s="90"/>
      <c r="G396" s="79"/>
      <c r="H396" s="79"/>
      <c r="I396" s="79"/>
      <c r="J396" s="79"/>
      <c r="K396" s="79"/>
      <c r="L396" s="79"/>
      <c r="M396" s="79"/>
      <c r="N396" s="79"/>
      <c r="O396" s="79"/>
      <c r="P396" s="79"/>
      <c r="Q396" s="79"/>
      <c r="R396" s="79"/>
      <c r="S396" s="79"/>
      <c r="T396" s="79"/>
      <c r="U396" s="79"/>
      <c r="V396" s="79"/>
      <c r="W396" s="79"/>
      <c r="X396" s="79"/>
      <c r="Y396" s="79"/>
      <c r="Z396" s="79"/>
      <c r="AA396" s="79"/>
      <c r="AB396" s="79"/>
      <c r="AC396" s="79"/>
      <c r="AD396" s="79"/>
      <c r="AE396" s="79"/>
      <c r="AF396" s="79"/>
      <c r="AG396" s="79"/>
      <c r="AH396" s="79"/>
      <c r="AI396" s="79"/>
      <c r="AJ396" s="79"/>
      <c r="AK396" s="79"/>
      <c r="AL396" s="79"/>
      <c r="AM396" s="79"/>
      <c r="AN396" s="79"/>
      <c r="AO396" s="79"/>
      <c r="AP396" s="79"/>
      <c r="AQ396" s="79"/>
      <c r="AR396" s="79"/>
      <c r="AS396" s="79"/>
      <c r="AT396" s="79"/>
      <c r="AU396" s="79"/>
      <c r="AV396" s="79"/>
      <c r="AW396" s="79"/>
      <c r="AX396" s="90"/>
      <c r="AY396" s="90"/>
      <c r="AZ396" s="90"/>
      <c r="BA396" s="90"/>
      <c r="BB396" s="90"/>
      <c r="BC396" s="90"/>
      <c r="BD396" s="90"/>
      <c r="BE396" s="90"/>
      <c r="BF396" s="90"/>
      <c r="BG396" s="90"/>
      <c r="BH396" s="90"/>
      <c r="BI396" s="90"/>
      <c r="BJ396" s="90"/>
      <c r="BK396" s="90"/>
      <c r="BL396" s="90"/>
      <c r="BM396" s="90"/>
      <c r="BN396" s="90"/>
      <c r="BO396" s="90"/>
      <c r="BP396" s="90"/>
      <c r="BQ396" s="90"/>
    </row>
    <row r="397" ht="12.75" customHeight="1" outlineLevel="1">
      <c r="A397" s="550" t="s">
        <v>844</v>
      </c>
      <c r="B397" s="298"/>
      <c r="C397" s="298"/>
      <c r="D397" s="298"/>
      <c r="E397" s="298"/>
      <c r="F397" s="298"/>
      <c r="G397" s="128"/>
      <c r="H397" s="128"/>
      <c r="I397" s="128">
        <f>I296-I395</f>
        <v>0</v>
      </c>
      <c r="J397" s="128">
        <v>79351.9</v>
      </c>
      <c r="K397" s="128">
        <f t="shared" ref="K397:AV397" si="262">K296-K395</f>
        <v>-203083.43</v>
      </c>
      <c r="L397" s="128" t="str">
        <f t="shared" si="262"/>
        <v>#REF!</v>
      </c>
      <c r="M397" s="128" t="str">
        <f t="shared" si="262"/>
        <v>#REF!</v>
      </c>
      <c r="N397" s="128" t="str">
        <f t="shared" si="262"/>
        <v>#REF!</v>
      </c>
      <c r="O397" s="128" t="str">
        <f t="shared" si="262"/>
        <v>#REF!</v>
      </c>
      <c r="P397" s="128" t="str">
        <f t="shared" si="262"/>
        <v>#REF!</v>
      </c>
      <c r="Q397" s="128" t="str">
        <f t="shared" si="262"/>
        <v>#REF!</v>
      </c>
      <c r="R397" s="128" t="str">
        <f t="shared" si="262"/>
        <v>#REF!</v>
      </c>
      <c r="S397" s="128" t="str">
        <f t="shared" si="262"/>
        <v>#REF!</v>
      </c>
      <c r="T397" s="128" t="str">
        <f t="shared" si="262"/>
        <v>#REF!</v>
      </c>
      <c r="U397" s="128" t="str">
        <f t="shared" si="262"/>
        <v>#REF!</v>
      </c>
      <c r="V397" s="128" t="str">
        <f t="shared" si="262"/>
        <v>#REF!</v>
      </c>
      <c r="W397" s="128" t="str">
        <f t="shared" si="262"/>
        <v>#REF!</v>
      </c>
      <c r="X397" s="128" t="str">
        <f t="shared" si="262"/>
        <v>#REF!</v>
      </c>
      <c r="Y397" s="128" t="str">
        <f t="shared" si="262"/>
        <v>#REF!</v>
      </c>
      <c r="Z397" s="128" t="str">
        <f t="shared" si="262"/>
        <v>#REF!</v>
      </c>
      <c r="AA397" s="128" t="str">
        <f t="shared" si="262"/>
        <v>#REF!</v>
      </c>
      <c r="AB397" s="128" t="str">
        <f t="shared" si="262"/>
        <v>#REF!</v>
      </c>
      <c r="AC397" s="128" t="str">
        <f t="shared" si="262"/>
        <v>#REF!</v>
      </c>
      <c r="AD397" s="128" t="str">
        <f t="shared" si="262"/>
        <v>#REF!</v>
      </c>
      <c r="AE397" s="128" t="str">
        <f t="shared" si="262"/>
        <v>#REF!</v>
      </c>
      <c r="AF397" s="128" t="str">
        <f t="shared" si="262"/>
        <v>#REF!</v>
      </c>
      <c r="AG397" s="128" t="str">
        <f t="shared" si="262"/>
        <v>#REF!</v>
      </c>
      <c r="AH397" s="128" t="str">
        <f t="shared" si="262"/>
        <v>#REF!</v>
      </c>
      <c r="AI397" s="128" t="str">
        <f t="shared" si="262"/>
        <v>#REF!</v>
      </c>
      <c r="AJ397" s="128" t="str">
        <f t="shared" si="262"/>
        <v>#REF!</v>
      </c>
      <c r="AK397" s="128" t="str">
        <f t="shared" si="262"/>
        <v>#REF!</v>
      </c>
      <c r="AL397" s="128" t="str">
        <f t="shared" si="262"/>
        <v>#REF!</v>
      </c>
      <c r="AM397" s="128" t="str">
        <f t="shared" si="262"/>
        <v>#REF!</v>
      </c>
      <c r="AN397" s="128" t="str">
        <f t="shared" si="262"/>
        <v>#REF!</v>
      </c>
      <c r="AO397" s="128" t="str">
        <f t="shared" si="262"/>
        <v>#REF!</v>
      </c>
      <c r="AP397" s="128" t="str">
        <f t="shared" si="262"/>
        <v>#REF!</v>
      </c>
      <c r="AQ397" s="128" t="str">
        <f t="shared" si="262"/>
        <v>#REF!</v>
      </c>
      <c r="AR397" s="128" t="str">
        <f t="shared" si="262"/>
        <v>#REF!</v>
      </c>
      <c r="AS397" s="128" t="str">
        <f t="shared" si="262"/>
        <v>#REF!</v>
      </c>
      <c r="AT397" s="128" t="str">
        <f t="shared" si="262"/>
        <v>#REF!</v>
      </c>
      <c r="AU397" s="128" t="str">
        <f t="shared" si="262"/>
        <v>#REF!</v>
      </c>
      <c r="AV397" s="128" t="str">
        <f t="shared" si="262"/>
        <v>#REF!</v>
      </c>
      <c r="AW397" s="128"/>
      <c r="AX397" s="90"/>
      <c r="AY397" s="90"/>
      <c r="AZ397" s="90"/>
      <c r="BA397" s="90"/>
      <c r="BB397" s="90"/>
      <c r="BC397" s="90"/>
      <c r="BD397" s="90"/>
      <c r="BE397" s="90"/>
      <c r="BF397" s="90"/>
      <c r="BG397" s="90"/>
      <c r="BH397" s="90"/>
      <c r="BI397" s="90"/>
      <c r="BJ397" s="90"/>
      <c r="BK397" s="90"/>
      <c r="BL397" s="90"/>
      <c r="BM397" s="90"/>
      <c r="BN397" s="90"/>
      <c r="BO397" s="90"/>
      <c r="BP397" s="90"/>
      <c r="BQ397" s="90"/>
    </row>
    <row r="398" ht="12.75" customHeight="1">
      <c r="A398" s="515"/>
      <c r="B398" s="90"/>
      <c r="C398" s="90"/>
      <c r="D398" s="90"/>
      <c r="E398" s="90"/>
      <c r="F398" s="90"/>
      <c r="G398" s="179"/>
      <c r="H398" s="179"/>
      <c r="I398" s="114"/>
      <c r="J398" s="114"/>
      <c r="K398" s="114"/>
      <c r="L398" s="114"/>
      <c r="M398" s="114"/>
      <c r="N398" s="114"/>
      <c r="O398" s="114"/>
      <c r="P398" s="114"/>
      <c r="Q398" s="114"/>
      <c r="R398" s="114"/>
      <c r="S398" s="114"/>
      <c r="T398" s="91"/>
      <c r="U398" s="91"/>
      <c r="V398" s="91"/>
      <c r="W398" s="91"/>
      <c r="X398" s="91"/>
      <c r="Y398" s="91"/>
      <c r="Z398" s="91"/>
      <c r="AA398" s="91"/>
      <c r="AB398" s="91"/>
      <c r="AC398" s="91"/>
      <c r="AD398" s="91"/>
      <c r="AE398" s="91"/>
      <c r="AF398" s="91"/>
      <c r="AG398" s="91"/>
      <c r="AH398" s="91"/>
      <c r="AI398" s="91"/>
      <c r="AJ398" s="91"/>
      <c r="AK398" s="91"/>
      <c r="AL398" s="91"/>
      <c r="AM398" s="91"/>
      <c r="AN398" s="91"/>
      <c r="AO398" s="91"/>
      <c r="AP398" s="91"/>
      <c r="AQ398" s="91"/>
      <c r="AR398" s="91"/>
      <c r="AS398" s="91"/>
      <c r="AT398" s="91"/>
      <c r="AU398" s="91"/>
      <c r="AV398" s="91"/>
      <c r="AW398" s="90"/>
      <c r="AX398" s="90"/>
      <c r="AY398" s="90"/>
      <c r="AZ398" s="90"/>
      <c r="BA398" s="90"/>
      <c r="BB398" s="90"/>
      <c r="BC398" s="90"/>
      <c r="BD398" s="90"/>
      <c r="BE398" s="90"/>
      <c r="BF398" s="90"/>
      <c r="BG398" s="90"/>
      <c r="BH398" s="90"/>
      <c r="BI398" s="90"/>
      <c r="BJ398" s="90"/>
      <c r="BK398" s="90"/>
      <c r="BL398" s="90"/>
      <c r="BM398" s="90"/>
      <c r="BN398" s="90"/>
      <c r="BO398" s="90"/>
      <c r="BP398" s="90"/>
      <c r="BQ398" s="90"/>
    </row>
    <row r="399" ht="12.75" customHeight="1">
      <c r="A399" s="105" t="s">
        <v>845</v>
      </c>
      <c r="B399" s="253"/>
      <c r="C399" s="253"/>
      <c r="D399" s="253"/>
      <c r="E399" s="253"/>
      <c r="F399" s="253"/>
      <c r="G399" s="253"/>
      <c r="H399" s="253"/>
      <c r="I399" s="253"/>
      <c r="J399" s="253"/>
      <c r="K399" s="253"/>
      <c r="L399" s="253"/>
      <c r="M399" s="253"/>
      <c r="N399" s="253"/>
      <c r="O399" s="253"/>
      <c r="P399" s="253"/>
      <c r="Q399" s="253"/>
      <c r="R399" s="253"/>
      <c r="S399" s="253"/>
      <c r="T399" s="253"/>
      <c r="U399" s="253"/>
      <c r="V399" s="253"/>
      <c r="W399" s="253"/>
      <c r="X399" s="253"/>
      <c r="Y399" s="253"/>
      <c r="Z399" s="253"/>
      <c r="AA399" s="253"/>
      <c r="AB399" s="253"/>
      <c r="AC399" s="253"/>
      <c r="AD399" s="253"/>
      <c r="AE399" s="253"/>
      <c r="AF399" s="253"/>
      <c r="AG399" s="253"/>
      <c r="AH399" s="253"/>
      <c r="AI399" s="253"/>
      <c r="AJ399" s="253"/>
      <c r="AK399" s="253"/>
      <c r="AL399" s="253"/>
      <c r="AM399" s="253"/>
      <c r="AN399" s="253"/>
      <c r="AO399" s="253"/>
      <c r="AP399" s="253"/>
      <c r="AQ399" s="253"/>
      <c r="AR399" s="253"/>
      <c r="AS399" s="253"/>
      <c r="AT399" s="253"/>
      <c r="AU399" s="253"/>
      <c r="AV399" s="253"/>
      <c r="AW399" s="253"/>
      <c r="AX399" s="90"/>
      <c r="AY399" s="90"/>
      <c r="AZ399" s="90"/>
      <c r="BA399" s="90"/>
      <c r="BB399" s="90"/>
      <c r="BC399" s="90"/>
      <c r="BD399" s="90"/>
      <c r="BE399" s="90"/>
      <c r="BF399" s="90"/>
      <c r="BG399" s="90"/>
      <c r="BH399" s="90"/>
      <c r="BI399" s="90"/>
      <c r="BJ399" s="90"/>
      <c r="BK399" s="90"/>
      <c r="BL399" s="90"/>
      <c r="BM399" s="90"/>
      <c r="BN399" s="90"/>
      <c r="BO399" s="90"/>
      <c r="BP399" s="90"/>
      <c r="BQ399" s="90"/>
    </row>
    <row r="400" ht="12.75" hidden="1" customHeight="1" outlineLevel="1">
      <c r="A400" s="551"/>
      <c r="B400" s="201" t="s">
        <v>464</v>
      </c>
      <c r="C400" s="201"/>
      <c r="D400" s="201"/>
      <c r="E400" s="201"/>
      <c r="F400" s="201"/>
      <c r="G400" s="179"/>
      <c r="H400" s="179"/>
      <c r="I400" s="114"/>
      <c r="J400" s="114"/>
      <c r="K400" s="114"/>
      <c r="L400" s="114"/>
      <c r="M400" s="114"/>
      <c r="N400" s="114"/>
      <c r="O400" s="114"/>
      <c r="P400" s="114"/>
      <c r="Q400" s="114"/>
      <c r="R400" s="114"/>
      <c r="S400" s="114"/>
      <c r="T400" s="91"/>
      <c r="U400" s="91"/>
      <c r="V400" s="91"/>
      <c r="W400" s="91"/>
      <c r="X400" s="91"/>
      <c r="Y400" s="91"/>
      <c r="Z400" s="91"/>
      <c r="AA400" s="91"/>
      <c r="AB400" s="91"/>
      <c r="AC400" s="91"/>
      <c r="AD400" s="91"/>
      <c r="AE400" s="91"/>
      <c r="AF400" s="91"/>
      <c r="AG400" s="91"/>
      <c r="AH400" s="91"/>
      <c r="AI400" s="91"/>
      <c r="AJ400" s="91"/>
      <c r="AK400" s="91"/>
      <c r="AL400" s="91"/>
      <c r="AM400" s="91"/>
      <c r="AN400" s="91"/>
      <c r="AO400" s="91"/>
      <c r="AP400" s="91"/>
      <c r="AQ400" s="91"/>
      <c r="AR400" s="91"/>
      <c r="AS400" s="91"/>
      <c r="AT400" s="91"/>
      <c r="AU400" s="91"/>
      <c r="AV400" s="91"/>
      <c r="AW400" s="90"/>
      <c r="AX400" s="90"/>
      <c r="AY400" s="90"/>
      <c r="AZ400" s="90"/>
      <c r="BA400" s="90"/>
      <c r="BB400" s="90"/>
      <c r="BC400" s="90"/>
      <c r="BD400" s="90"/>
      <c r="BE400" s="90"/>
      <c r="BF400" s="90"/>
      <c r="BG400" s="90"/>
      <c r="BH400" s="90"/>
      <c r="BI400" s="90"/>
      <c r="BJ400" s="90"/>
      <c r="BK400" s="90"/>
      <c r="BL400" s="90"/>
      <c r="BM400" s="90"/>
      <c r="BN400" s="90"/>
      <c r="BO400" s="90"/>
      <c r="BP400" s="90"/>
      <c r="BQ400" s="90"/>
    </row>
    <row r="401" ht="12.75" hidden="1" customHeight="1" outlineLevel="1">
      <c r="A401" s="316"/>
      <c r="B401" s="90"/>
      <c r="C401" s="90" t="s">
        <v>194</v>
      </c>
      <c r="D401" s="90"/>
      <c r="E401" s="90"/>
      <c r="F401" s="90"/>
      <c r="G401" s="179"/>
      <c r="H401" s="179"/>
      <c r="I401" s="147">
        <f>I397</f>
        <v>0</v>
      </c>
      <c r="J401" s="147">
        <v>79351.9</v>
      </c>
      <c r="K401" s="147">
        <f t="shared" ref="K401:AV401" si="263">K397</f>
        <v>-203083.43</v>
      </c>
      <c r="L401" s="147" t="str">
        <f t="shared" si="263"/>
        <v>#REF!</v>
      </c>
      <c r="M401" s="147" t="str">
        <f t="shared" si="263"/>
        <v>#REF!</v>
      </c>
      <c r="N401" s="147" t="str">
        <f t="shared" si="263"/>
        <v>#REF!</v>
      </c>
      <c r="O401" s="147" t="str">
        <f t="shared" si="263"/>
        <v>#REF!</v>
      </c>
      <c r="P401" s="147" t="str">
        <f t="shared" si="263"/>
        <v>#REF!</v>
      </c>
      <c r="Q401" s="147" t="str">
        <f t="shared" si="263"/>
        <v>#REF!</v>
      </c>
      <c r="R401" s="147" t="str">
        <f t="shared" si="263"/>
        <v>#REF!</v>
      </c>
      <c r="S401" s="147" t="str">
        <f t="shared" si="263"/>
        <v>#REF!</v>
      </c>
      <c r="T401" s="147" t="str">
        <f t="shared" si="263"/>
        <v>#REF!</v>
      </c>
      <c r="U401" s="147" t="str">
        <f t="shared" si="263"/>
        <v>#REF!</v>
      </c>
      <c r="V401" s="147" t="str">
        <f t="shared" si="263"/>
        <v>#REF!</v>
      </c>
      <c r="W401" s="147" t="str">
        <f t="shared" si="263"/>
        <v>#REF!</v>
      </c>
      <c r="X401" s="147" t="str">
        <f t="shared" si="263"/>
        <v>#REF!</v>
      </c>
      <c r="Y401" s="147" t="str">
        <f t="shared" si="263"/>
        <v>#REF!</v>
      </c>
      <c r="Z401" s="147" t="str">
        <f t="shared" si="263"/>
        <v>#REF!</v>
      </c>
      <c r="AA401" s="147" t="str">
        <f t="shared" si="263"/>
        <v>#REF!</v>
      </c>
      <c r="AB401" s="147" t="str">
        <f t="shared" si="263"/>
        <v>#REF!</v>
      </c>
      <c r="AC401" s="147" t="str">
        <f t="shared" si="263"/>
        <v>#REF!</v>
      </c>
      <c r="AD401" s="147" t="str">
        <f t="shared" si="263"/>
        <v>#REF!</v>
      </c>
      <c r="AE401" s="147" t="str">
        <f t="shared" si="263"/>
        <v>#REF!</v>
      </c>
      <c r="AF401" s="147" t="str">
        <f t="shared" si="263"/>
        <v>#REF!</v>
      </c>
      <c r="AG401" s="147" t="str">
        <f t="shared" si="263"/>
        <v>#REF!</v>
      </c>
      <c r="AH401" s="147" t="str">
        <f t="shared" si="263"/>
        <v>#REF!</v>
      </c>
      <c r="AI401" s="147" t="str">
        <f t="shared" si="263"/>
        <v>#REF!</v>
      </c>
      <c r="AJ401" s="147" t="str">
        <f t="shared" si="263"/>
        <v>#REF!</v>
      </c>
      <c r="AK401" s="147" t="str">
        <f t="shared" si="263"/>
        <v>#REF!</v>
      </c>
      <c r="AL401" s="147" t="str">
        <f t="shared" si="263"/>
        <v>#REF!</v>
      </c>
      <c r="AM401" s="147" t="str">
        <f t="shared" si="263"/>
        <v>#REF!</v>
      </c>
      <c r="AN401" s="147" t="str">
        <f t="shared" si="263"/>
        <v>#REF!</v>
      </c>
      <c r="AO401" s="147" t="str">
        <f t="shared" si="263"/>
        <v>#REF!</v>
      </c>
      <c r="AP401" s="147" t="str">
        <f t="shared" si="263"/>
        <v>#REF!</v>
      </c>
      <c r="AQ401" s="147" t="str">
        <f t="shared" si="263"/>
        <v>#REF!</v>
      </c>
      <c r="AR401" s="147" t="str">
        <f t="shared" si="263"/>
        <v>#REF!</v>
      </c>
      <c r="AS401" s="147" t="str">
        <f t="shared" si="263"/>
        <v>#REF!</v>
      </c>
      <c r="AT401" s="147" t="str">
        <f t="shared" si="263"/>
        <v>#REF!</v>
      </c>
      <c r="AU401" s="147" t="str">
        <f t="shared" si="263"/>
        <v>#REF!</v>
      </c>
      <c r="AV401" s="147" t="str">
        <f t="shared" si="263"/>
        <v>#REF!</v>
      </c>
      <c r="AW401" s="90"/>
      <c r="AX401" s="90"/>
      <c r="AY401" s="90"/>
      <c r="AZ401" s="90"/>
      <c r="BA401" s="90"/>
      <c r="BB401" s="90"/>
      <c r="BC401" s="90"/>
      <c r="BD401" s="90"/>
      <c r="BE401" s="90"/>
      <c r="BF401" s="90"/>
      <c r="BG401" s="90"/>
      <c r="BH401" s="90"/>
      <c r="BI401" s="90"/>
      <c r="BJ401" s="90"/>
      <c r="BK401" s="90"/>
      <c r="BL401" s="90"/>
      <c r="BM401" s="90"/>
      <c r="BN401" s="90"/>
      <c r="BO401" s="90"/>
      <c r="BP401" s="90"/>
      <c r="BQ401" s="90"/>
    </row>
    <row r="402" ht="12.75" hidden="1" customHeight="1" outlineLevel="1">
      <c r="A402" s="316"/>
      <c r="B402" s="90"/>
      <c r="C402" s="90" t="s">
        <v>465</v>
      </c>
      <c r="D402" s="90"/>
      <c r="E402" s="90"/>
      <c r="F402" s="90"/>
      <c r="G402" s="179"/>
      <c r="H402" s="179"/>
      <c r="I402" s="147" t="str">
        <f>I361</f>
        <v/>
      </c>
      <c r="J402" s="147">
        <v>0.0</v>
      </c>
      <c r="K402" s="147">
        <f t="shared" ref="K402:AV402" si="264">K361</f>
        <v>0</v>
      </c>
      <c r="L402" s="147" t="str">
        <f t="shared" si="264"/>
        <v/>
      </c>
      <c r="M402" s="147" t="str">
        <f t="shared" si="264"/>
        <v/>
      </c>
      <c r="N402" s="147" t="str">
        <f t="shared" si="264"/>
        <v/>
      </c>
      <c r="O402" s="147" t="str">
        <f t="shared" si="264"/>
        <v/>
      </c>
      <c r="P402" s="147" t="str">
        <f t="shared" si="264"/>
        <v/>
      </c>
      <c r="Q402" s="147" t="str">
        <f t="shared" si="264"/>
        <v/>
      </c>
      <c r="R402" s="147" t="str">
        <f t="shared" si="264"/>
        <v/>
      </c>
      <c r="S402" s="147" t="str">
        <f t="shared" si="264"/>
        <v/>
      </c>
      <c r="T402" s="147" t="str">
        <f t="shared" si="264"/>
        <v/>
      </c>
      <c r="U402" s="147" t="str">
        <f t="shared" si="264"/>
        <v/>
      </c>
      <c r="V402" s="147" t="str">
        <f t="shared" si="264"/>
        <v/>
      </c>
      <c r="W402" s="147" t="str">
        <f t="shared" si="264"/>
        <v/>
      </c>
      <c r="X402" s="147" t="str">
        <f t="shared" si="264"/>
        <v/>
      </c>
      <c r="Y402" s="147" t="str">
        <f t="shared" si="264"/>
        <v/>
      </c>
      <c r="Z402" s="147" t="str">
        <f t="shared" si="264"/>
        <v/>
      </c>
      <c r="AA402" s="147" t="str">
        <f t="shared" si="264"/>
        <v/>
      </c>
      <c r="AB402" s="147" t="str">
        <f t="shared" si="264"/>
        <v/>
      </c>
      <c r="AC402" s="147" t="str">
        <f t="shared" si="264"/>
        <v/>
      </c>
      <c r="AD402" s="147" t="str">
        <f t="shared" si="264"/>
        <v/>
      </c>
      <c r="AE402" s="147" t="str">
        <f t="shared" si="264"/>
        <v/>
      </c>
      <c r="AF402" s="147" t="str">
        <f t="shared" si="264"/>
        <v/>
      </c>
      <c r="AG402" s="147" t="str">
        <f t="shared" si="264"/>
        <v/>
      </c>
      <c r="AH402" s="147" t="str">
        <f t="shared" si="264"/>
        <v/>
      </c>
      <c r="AI402" s="147" t="str">
        <f t="shared" si="264"/>
        <v/>
      </c>
      <c r="AJ402" s="147" t="str">
        <f t="shared" si="264"/>
        <v/>
      </c>
      <c r="AK402" s="147" t="str">
        <f t="shared" si="264"/>
        <v/>
      </c>
      <c r="AL402" s="147" t="str">
        <f t="shared" si="264"/>
        <v/>
      </c>
      <c r="AM402" s="147" t="str">
        <f t="shared" si="264"/>
        <v/>
      </c>
      <c r="AN402" s="147" t="str">
        <f t="shared" si="264"/>
        <v/>
      </c>
      <c r="AO402" s="147" t="str">
        <f t="shared" si="264"/>
        <v/>
      </c>
      <c r="AP402" s="147" t="str">
        <f t="shared" si="264"/>
        <v/>
      </c>
      <c r="AQ402" s="147" t="str">
        <f t="shared" si="264"/>
        <v/>
      </c>
      <c r="AR402" s="147" t="str">
        <f t="shared" si="264"/>
        <v/>
      </c>
      <c r="AS402" s="147" t="str">
        <f t="shared" si="264"/>
        <v/>
      </c>
      <c r="AT402" s="147" t="str">
        <f t="shared" si="264"/>
        <v/>
      </c>
      <c r="AU402" s="147" t="str">
        <f t="shared" si="264"/>
        <v/>
      </c>
      <c r="AV402" s="147" t="str">
        <f t="shared" si="264"/>
        <v/>
      </c>
      <c r="AW402" s="90"/>
      <c r="AX402" s="90"/>
      <c r="AY402" s="90"/>
      <c r="AZ402" s="90"/>
      <c r="BA402" s="90"/>
      <c r="BB402" s="90"/>
      <c r="BC402" s="90"/>
      <c r="BD402" s="90"/>
      <c r="BE402" s="90"/>
      <c r="BF402" s="90"/>
      <c r="BG402" s="90"/>
      <c r="BH402" s="90"/>
      <c r="BI402" s="90"/>
      <c r="BJ402" s="90"/>
      <c r="BK402" s="90"/>
      <c r="BL402" s="90"/>
      <c r="BM402" s="90"/>
      <c r="BN402" s="90"/>
      <c r="BO402" s="90"/>
      <c r="BP402" s="90"/>
      <c r="BQ402" s="90"/>
    </row>
    <row r="403" ht="12.75" hidden="1" customHeight="1" outlineLevel="1">
      <c r="A403" s="316"/>
      <c r="B403" s="90"/>
      <c r="C403" s="90" t="s">
        <v>466</v>
      </c>
      <c r="D403" s="90"/>
      <c r="E403" s="90"/>
      <c r="F403" s="90"/>
      <c r="G403" s="179"/>
      <c r="H403" s="179"/>
      <c r="I403" s="147">
        <v>0.0</v>
      </c>
      <c r="J403" s="147">
        <v>0.0</v>
      </c>
      <c r="K403" s="147">
        <v>0.0</v>
      </c>
      <c r="L403" s="147">
        <v>0.0</v>
      </c>
      <c r="M403" s="147">
        <v>0.0</v>
      </c>
      <c r="N403" s="147">
        <v>0.0</v>
      </c>
      <c r="O403" s="147">
        <v>0.0</v>
      </c>
      <c r="P403" s="147">
        <v>0.0</v>
      </c>
      <c r="Q403" s="147">
        <v>0.0</v>
      </c>
      <c r="R403" s="147">
        <v>0.0</v>
      </c>
      <c r="S403" s="147">
        <v>0.0</v>
      </c>
      <c r="T403" s="147">
        <v>0.0</v>
      </c>
      <c r="U403" s="147">
        <v>0.0</v>
      </c>
      <c r="V403" s="147">
        <v>0.0</v>
      </c>
      <c r="W403" s="147">
        <v>0.0</v>
      </c>
      <c r="X403" s="147">
        <v>0.0</v>
      </c>
      <c r="Y403" s="147">
        <v>0.0</v>
      </c>
      <c r="Z403" s="147">
        <v>0.0</v>
      </c>
      <c r="AA403" s="147">
        <v>0.0</v>
      </c>
      <c r="AB403" s="147">
        <v>0.0</v>
      </c>
      <c r="AC403" s="147">
        <v>0.0</v>
      </c>
      <c r="AD403" s="147">
        <v>0.0</v>
      </c>
      <c r="AE403" s="147">
        <v>0.0</v>
      </c>
      <c r="AF403" s="147">
        <v>0.0</v>
      </c>
      <c r="AG403" s="147">
        <v>0.0</v>
      </c>
      <c r="AH403" s="147">
        <v>0.0</v>
      </c>
      <c r="AI403" s="147">
        <v>0.0</v>
      </c>
      <c r="AJ403" s="147">
        <v>0.0</v>
      </c>
      <c r="AK403" s="147">
        <v>0.0</v>
      </c>
      <c r="AL403" s="147">
        <v>0.0</v>
      </c>
      <c r="AM403" s="147">
        <v>0.0</v>
      </c>
      <c r="AN403" s="147">
        <v>0.0</v>
      </c>
      <c r="AO403" s="147">
        <v>0.0</v>
      </c>
      <c r="AP403" s="147">
        <v>0.0</v>
      </c>
      <c r="AQ403" s="147">
        <v>0.0</v>
      </c>
      <c r="AR403" s="147">
        <v>0.0</v>
      </c>
      <c r="AS403" s="147">
        <v>0.0</v>
      </c>
      <c r="AT403" s="147">
        <v>0.0</v>
      </c>
      <c r="AU403" s="147">
        <v>0.0</v>
      </c>
      <c r="AV403" s="147">
        <v>0.0</v>
      </c>
      <c r="AW403" s="90"/>
      <c r="AX403" s="90"/>
      <c r="AY403" s="90"/>
      <c r="AZ403" s="90"/>
      <c r="BA403" s="90"/>
      <c r="BB403" s="90"/>
      <c r="BC403" s="90"/>
      <c r="BD403" s="90"/>
      <c r="BE403" s="90"/>
      <c r="BF403" s="90"/>
      <c r="BG403" s="90"/>
      <c r="BH403" s="90"/>
      <c r="BI403" s="90"/>
      <c r="BJ403" s="90"/>
      <c r="BK403" s="90"/>
      <c r="BL403" s="90"/>
      <c r="BM403" s="90"/>
      <c r="BN403" s="90"/>
      <c r="BO403" s="90"/>
      <c r="BP403" s="90"/>
      <c r="BQ403" s="90"/>
    </row>
    <row r="404" ht="12.75" hidden="1" customHeight="1" outlineLevel="1">
      <c r="A404" s="316"/>
      <c r="B404" s="90"/>
      <c r="C404" s="90" t="s">
        <v>1254</v>
      </c>
      <c r="D404" s="90"/>
      <c r="E404" s="90"/>
      <c r="F404" s="90"/>
      <c r="G404" s="179"/>
      <c r="H404" s="179"/>
      <c r="I404" s="99">
        <f>-1*(I$484-H$484)+(I$490-H$490)</f>
        <v>0</v>
      </c>
      <c r="J404" s="99">
        <v>0.0</v>
      </c>
      <c r="K404" s="99" t="str">
        <f t="shared" ref="K404:AV404" si="265">-1*(K$484-J$484)+(K$490-J$490)-(K486-J486)</f>
        <v>#REF!</v>
      </c>
      <c r="L404" s="99" t="str">
        <f t="shared" si="265"/>
        <v>#REF!</v>
      </c>
      <c r="M404" s="99">
        <f t="shared" si="265"/>
        <v>-68338.04882</v>
      </c>
      <c r="N404" s="99">
        <f t="shared" si="265"/>
        <v>-40175.60828</v>
      </c>
      <c r="O404" s="99">
        <f t="shared" si="265"/>
        <v>-10255.19191</v>
      </c>
      <c r="P404" s="99">
        <f t="shared" si="265"/>
        <v>-6309.161255</v>
      </c>
      <c r="Q404" s="99">
        <f t="shared" si="265"/>
        <v>-5305.119865</v>
      </c>
      <c r="R404" s="99">
        <f t="shared" si="265"/>
        <v>-9995.682869</v>
      </c>
      <c r="S404" s="99">
        <f t="shared" si="265"/>
        <v>-6772.624496</v>
      </c>
      <c r="T404" s="99">
        <f t="shared" si="265"/>
        <v>-7265.995609</v>
      </c>
      <c r="U404" s="99">
        <f t="shared" si="265"/>
        <v>-7821.933819</v>
      </c>
      <c r="V404" s="99">
        <f t="shared" si="265"/>
        <v>-7953.579554</v>
      </c>
      <c r="W404" s="99">
        <f t="shared" si="265"/>
        <v>-8133.255563</v>
      </c>
      <c r="X404" s="99">
        <f t="shared" si="265"/>
        <v>-8285.516463</v>
      </c>
      <c r="Y404" s="99">
        <f t="shared" si="265"/>
        <v>-8451.226793</v>
      </c>
      <c r="Z404" s="99">
        <f t="shared" si="265"/>
        <v>-8620.251328</v>
      </c>
      <c r="AA404" s="99">
        <f t="shared" si="265"/>
        <v>-8792.656355</v>
      </c>
      <c r="AB404" s="99">
        <f t="shared" si="265"/>
        <v>-8968.509482</v>
      </c>
      <c r="AC404" s="99">
        <f t="shared" si="265"/>
        <v>-9147.879672</v>
      </c>
      <c r="AD404" s="99">
        <f t="shared" si="265"/>
        <v>-9330.837265</v>
      </c>
      <c r="AE404" s="99">
        <f t="shared" si="265"/>
        <v>-9517.45401</v>
      </c>
      <c r="AF404" s="99">
        <f t="shared" si="265"/>
        <v>-9707.803091</v>
      </c>
      <c r="AG404" s="99">
        <f t="shared" si="265"/>
        <v>-9901.959153</v>
      </c>
      <c r="AH404" s="99">
        <f t="shared" si="265"/>
        <v>-10099.99834</v>
      </c>
      <c r="AI404" s="99">
        <f t="shared" si="265"/>
        <v>-10301.9983</v>
      </c>
      <c r="AJ404" s="99">
        <f t="shared" si="265"/>
        <v>-10508.03827</v>
      </c>
      <c r="AK404" s="99">
        <f t="shared" si="265"/>
        <v>-10718.19903</v>
      </c>
      <c r="AL404" s="99">
        <f t="shared" si="265"/>
        <v>-10932.56301</v>
      </c>
      <c r="AM404" s="99">
        <f t="shared" si="265"/>
        <v>-11151.21427</v>
      </c>
      <c r="AN404" s="99">
        <f t="shared" si="265"/>
        <v>-11374.23856</v>
      </c>
      <c r="AO404" s="99">
        <f t="shared" si="265"/>
        <v>-11601.72333</v>
      </c>
      <c r="AP404" s="99">
        <f t="shared" si="265"/>
        <v>-11833.7578</v>
      </c>
      <c r="AQ404" s="99">
        <f t="shared" si="265"/>
        <v>-12070.43295</v>
      </c>
      <c r="AR404" s="99">
        <f t="shared" si="265"/>
        <v>-12311.84161</v>
      </c>
      <c r="AS404" s="99">
        <f t="shared" si="265"/>
        <v>-12558.07845</v>
      </c>
      <c r="AT404" s="99">
        <f t="shared" si="265"/>
        <v>-12809.24001</v>
      </c>
      <c r="AU404" s="99">
        <f t="shared" si="265"/>
        <v>-13065.42481</v>
      </c>
      <c r="AV404" s="99">
        <f t="shared" si="265"/>
        <v>-13326.73331</v>
      </c>
      <c r="AW404" s="90"/>
      <c r="AX404" s="90"/>
      <c r="AY404" s="90"/>
      <c r="AZ404" s="90"/>
      <c r="BA404" s="90"/>
      <c r="BB404" s="90"/>
      <c r="BC404" s="90"/>
      <c r="BD404" s="90"/>
      <c r="BE404" s="90"/>
      <c r="BF404" s="90"/>
      <c r="BG404" s="90"/>
      <c r="BH404" s="90"/>
      <c r="BI404" s="90"/>
      <c r="BJ404" s="90"/>
      <c r="BK404" s="90"/>
      <c r="BL404" s="90"/>
      <c r="BM404" s="90"/>
      <c r="BN404" s="90"/>
      <c r="BO404" s="90"/>
      <c r="BP404" s="90"/>
      <c r="BQ404" s="90"/>
    </row>
    <row r="405" ht="12.75" hidden="1" customHeight="1" outlineLevel="1">
      <c r="A405" s="90"/>
      <c r="B405" s="90"/>
      <c r="C405" s="90" t="s">
        <v>468</v>
      </c>
      <c r="D405" s="90"/>
      <c r="E405" s="90"/>
      <c r="F405" s="90"/>
      <c r="G405" s="179"/>
      <c r="H405" s="179"/>
      <c r="I405" s="147">
        <v>0.0</v>
      </c>
      <c r="J405" s="147">
        <v>0.0</v>
      </c>
      <c r="K405" s="147">
        <v>0.0</v>
      </c>
      <c r="L405" s="147">
        <v>0.0</v>
      </c>
      <c r="M405" s="147">
        <v>0.0</v>
      </c>
      <c r="N405" s="147">
        <v>0.0</v>
      </c>
      <c r="O405" s="147">
        <v>0.0</v>
      </c>
      <c r="P405" s="147">
        <v>0.0</v>
      </c>
      <c r="Q405" s="147">
        <v>0.0</v>
      </c>
      <c r="R405" s="147">
        <v>0.0</v>
      </c>
      <c r="S405" s="147">
        <v>0.0</v>
      </c>
      <c r="T405" s="147">
        <v>0.0</v>
      </c>
      <c r="U405" s="147">
        <v>0.0</v>
      </c>
      <c r="V405" s="147">
        <v>0.0</v>
      </c>
      <c r="W405" s="147">
        <v>0.0</v>
      </c>
      <c r="X405" s="147">
        <v>0.0</v>
      </c>
      <c r="Y405" s="147">
        <v>0.0</v>
      </c>
      <c r="Z405" s="147">
        <v>0.0</v>
      </c>
      <c r="AA405" s="147">
        <v>0.0</v>
      </c>
      <c r="AB405" s="147">
        <v>0.0</v>
      </c>
      <c r="AC405" s="147">
        <v>0.0</v>
      </c>
      <c r="AD405" s="147">
        <v>0.0</v>
      </c>
      <c r="AE405" s="147">
        <v>0.0</v>
      </c>
      <c r="AF405" s="147">
        <v>0.0</v>
      </c>
      <c r="AG405" s="147">
        <v>0.0</v>
      </c>
      <c r="AH405" s="147">
        <v>0.0</v>
      </c>
      <c r="AI405" s="147">
        <v>0.0</v>
      </c>
      <c r="AJ405" s="147">
        <v>0.0</v>
      </c>
      <c r="AK405" s="147">
        <v>0.0</v>
      </c>
      <c r="AL405" s="147">
        <v>0.0</v>
      </c>
      <c r="AM405" s="147">
        <v>0.0</v>
      </c>
      <c r="AN405" s="147">
        <v>0.0</v>
      </c>
      <c r="AO405" s="147">
        <v>0.0</v>
      </c>
      <c r="AP405" s="147">
        <v>0.0</v>
      </c>
      <c r="AQ405" s="147">
        <v>0.0</v>
      </c>
      <c r="AR405" s="147">
        <v>0.0</v>
      </c>
      <c r="AS405" s="147">
        <v>0.0</v>
      </c>
      <c r="AT405" s="147">
        <v>0.0</v>
      </c>
      <c r="AU405" s="147">
        <v>0.0</v>
      </c>
      <c r="AV405" s="147">
        <v>0.0</v>
      </c>
      <c r="AW405" s="90"/>
      <c r="AX405" s="90"/>
      <c r="AY405" s="90"/>
      <c r="AZ405" s="90"/>
      <c r="BA405" s="90"/>
      <c r="BB405" s="90"/>
      <c r="BC405" s="90"/>
      <c r="BD405" s="90"/>
      <c r="BE405" s="90"/>
      <c r="BF405" s="90"/>
      <c r="BG405" s="90"/>
      <c r="BH405" s="90"/>
      <c r="BI405" s="90"/>
      <c r="BJ405" s="90"/>
      <c r="BK405" s="90"/>
      <c r="BL405" s="90"/>
      <c r="BM405" s="90"/>
      <c r="BN405" s="90"/>
      <c r="BO405" s="90"/>
      <c r="BP405" s="90"/>
      <c r="BQ405" s="90"/>
    </row>
    <row r="406" ht="12.75" hidden="1" customHeight="1" outlineLevel="1">
      <c r="A406" s="90"/>
      <c r="B406" s="148" t="s">
        <v>469</v>
      </c>
      <c r="C406" s="148"/>
      <c r="D406" s="148"/>
      <c r="E406" s="148"/>
      <c r="F406" s="148"/>
      <c r="G406" s="300"/>
      <c r="H406" s="300"/>
      <c r="I406" s="251">
        <f>SUM(I401:I405)</f>
        <v>0</v>
      </c>
      <c r="J406" s="251">
        <v>79351.9</v>
      </c>
      <c r="K406" s="251" t="str">
        <f t="shared" ref="K406:AV406" si="266">SUM(K401:K405)</f>
        <v>#REF!</v>
      </c>
      <c r="L406" s="251" t="str">
        <f t="shared" si="266"/>
        <v>#REF!</v>
      </c>
      <c r="M406" s="251" t="str">
        <f t="shared" si="266"/>
        <v>#REF!</v>
      </c>
      <c r="N406" s="251" t="str">
        <f t="shared" si="266"/>
        <v>#REF!</v>
      </c>
      <c r="O406" s="251" t="str">
        <f t="shared" si="266"/>
        <v>#REF!</v>
      </c>
      <c r="P406" s="251" t="str">
        <f t="shared" si="266"/>
        <v>#REF!</v>
      </c>
      <c r="Q406" s="251" t="str">
        <f t="shared" si="266"/>
        <v>#REF!</v>
      </c>
      <c r="R406" s="251" t="str">
        <f t="shared" si="266"/>
        <v>#REF!</v>
      </c>
      <c r="S406" s="251" t="str">
        <f t="shared" si="266"/>
        <v>#REF!</v>
      </c>
      <c r="T406" s="251" t="str">
        <f t="shared" si="266"/>
        <v>#REF!</v>
      </c>
      <c r="U406" s="251" t="str">
        <f t="shared" si="266"/>
        <v>#REF!</v>
      </c>
      <c r="V406" s="251" t="str">
        <f t="shared" si="266"/>
        <v>#REF!</v>
      </c>
      <c r="W406" s="251" t="str">
        <f t="shared" si="266"/>
        <v>#REF!</v>
      </c>
      <c r="X406" s="251" t="str">
        <f t="shared" si="266"/>
        <v>#REF!</v>
      </c>
      <c r="Y406" s="251" t="str">
        <f t="shared" si="266"/>
        <v>#REF!</v>
      </c>
      <c r="Z406" s="251" t="str">
        <f t="shared" si="266"/>
        <v>#REF!</v>
      </c>
      <c r="AA406" s="251" t="str">
        <f t="shared" si="266"/>
        <v>#REF!</v>
      </c>
      <c r="AB406" s="251" t="str">
        <f t="shared" si="266"/>
        <v>#REF!</v>
      </c>
      <c r="AC406" s="251" t="str">
        <f t="shared" si="266"/>
        <v>#REF!</v>
      </c>
      <c r="AD406" s="251" t="str">
        <f t="shared" si="266"/>
        <v>#REF!</v>
      </c>
      <c r="AE406" s="251" t="str">
        <f t="shared" si="266"/>
        <v>#REF!</v>
      </c>
      <c r="AF406" s="251" t="str">
        <f t="shared" si="266"/>
        <v>#REF!</v>
      </c>
      <c r="AG406" s="251" t="str">
        <f t="shared" si="266"/>
        <v>#REF!</v>
      </c>
      <c r="AH406" s="251" t="str">
        <f t="shared" si="266"/>
        <v>#REF!</v>
      </c>
      <c r="AI406" s="251" t="str">
        <f t="shared" si="266"/>
        <v>#REF!</v>
      </c>
      <c r="AJ406" s="251" t="str">
        <f t="shared" si="266"/>
        <v>#REF!</v>
      </c>
      <c r="AK406" s="251" t="str">
        <f t="shared" si="266"/>
        <v>#REF!</v>
      </c>
      <c r="AL406" s="251" t="str">
        <f t="shared" si="266"/>
        <v>#REF!</v>
      </c>
      <c r="AM406" s="251" t="str">
        <f t="shared" si="266"/>
        <v>#REF!</v>
      </c>
      <c r="AN406" s="251" t="str">
        <f t="shared" si="266"/>
        <v>#REF!</v>
      </c>
      <c r="AO406" s="251" t="str">
        <f t="shared" si="266"/>
        <v>#REF!</v>
      </c>
      <c r="AP406" s="251" t="str">
        <f t="shared" si="266"/>
        <v>#REF!</v>
      </c>
      <c r="AQ406" s="251" t="str">
        <f t="shared" si="266"/>
        <v>#REF!</v>
      </c>
      <c r="AR406" s="251" t="str">
        <f t="shared" si="266"/>
        <v>#REF!</v>
      </c>
      <c r="AS406" s="251" t="str">
        <f t="shared" si="266"/>
        <v>#REF!</v>
      </c>
      <c r="AT406" s="251" t="str">
        <f t="shared" si="266"/>
        <v>#REF!</v>
      </c>
      <c r="AU406" s="251" t="str">
        <f t="shared" si="266"/>
        <v>#REF!</v>
      </c>
      <c r="AV406" s="251" t="str">
        <f t="shared" si="266"/>
        <v>#REF!</v>
      </c>
      <c r="AW406" s="90"/>
      <c r="AX406" s="90"/>
      <c r="AY406" s="90"/>
      <c r="AZ406" s="90"/>
      <c r="BA406" s="90"/>
      <c r="BB406" s="90"/>
      <c r="BC406" s="90"/>
      <c r="BD406" s="90"/>
      <c r="BE406" s="90"/>
      <c r="BF406" s="90"/>
      <c r="BG406" s="90"/>
      <c r="BH406" s="90"/>
      <c r="BI406" s="90"/>
      <c r="BJ406" s="90"/>
      <c r="BK406" s="90"/>
      <c r="BL406" s="90"/>
      <c r="BM406" s="90"/>
      <c r="BN406" s="90"/>
      <c r="BO406" s="90"/>
      <c r="BP406" s="90"/>
      <c r="BQ406" s="90"/>
    </row>
    <row r="407" ht="12.75" hidden="1" customHeight="1" outlineLevel="1">
      <c r="A407" s="90"/>
      <c r="B407" s="90"/>
      <c r="C407" s="90"/>
      <c r="D407" s="90"/>
      <c r="E407" s="90"/>
      <c r="F407" s="90"/>
      <c r="G407" s="179"/>
      <c r="H407" s="179"/>
      <c r="I407" s="114"/>
      <c r="J407" s="114"/>
      <c r="K407" s="114"/>
      <c r="L407" s="114"/>
      <c r="M407" s="114"/>
      <c r="N407" s="114"/>
      <c r="O407" s="114"/>
      <c r="P407" s="114"/>
      <c r="Q407" s="114"/>
      <c r="R407" s="114"/>
      <c r="S407" s="114"/>
      <c r="T407" s="114"/>
      <c r="U407" s="114"/>
      <c r="V407" s="114"/>
      <c r="W407" s="114"/>
      <c r="X407" s="114"/>
      <c r="Y407" s="114"/>
      <c r="Z407" s="114"/>
      <c r="AA407" s="114"/>
      <c r="AB407" s="114"/>
      <c r="AC407" s="114"/>
      <c r="AD407" s="114"/>
      <c r="AE407" s="114"/>
      <c r="AF407" s="114"/>
      <c r="AG407" s="114"/>
      <c r="AH407" s="114"/>
      <c r="AI407" s="114"/>
      <c r="AJ407" s="114"/>
      <c r="AK407" s="114"/>
      <c r="AL407" s="114"/>
      <c r="AM407" s="114"/>
      <c r="AN407" s="114"/>
      <c r="AO407" s="114"/>
      <c r="AP407" s="114"/>
      <c r="AQ407" s="114"/>
      <c r="AR407" s="114"/>
      <c r="AS407" s="114"/>
      <c r="AT407" s="114"/>
      <c r="AU407" s="114"/>
      <c r="AV407" s="114"/>
      <c r="AW407" s="90"/>
      <c r="AX407" s="90"/>
      <c r="AY407" s="90"/>
      <c r="AZ407" s="90"/>
      <c r="BA407" s="90"/>
      <c r="BB407" s="90"/>
      <c r="BC407" s="90"/>
      <c r="BD407" s="90"/>
      <c r="BE407" s="90"/>
      <c r="BF407" s="90"/>
      <c r="BG407" s="90"/>
      <c r="BH407" s="90"/>
      <c r="BI407" s="90"/>
      <c r="BJ407" s="90"/>
      <c r="BK407" s="90"/>
      <c r="BL407" s="90"/>
      <c r="BM407" s="90"/>
      <c r="BN407" s="90"/>
      <c r="BO407" s="90"/>
      <c r="BP407" s="90"/>
      <c r="BQ407" s="90"/>
    </row>
    <row r="408" ht="12.75" hidden="1" customHeight="1" outlineLevel="1">
      <c r="A408" s="90"/>
      <c r="B408" s="201" t="s">
        <v>470</v>
      </c>
      <c r="C408" s="90"/>
      <c r="D408" s="90"/>
      <c r="E408" s="90"/>
      <c r="F408" s="90"/>
      <c r="G408" s="179"/>
      <c r="H408" s="179"/>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c r="AK408" s="114"/>
      <c r="AL408" s="114"/>
      <c r="AM408" s="114"/>
      <c r="AN408" s="114"/>
      <c r="AO408" s="114"/>
      <c r="AP408" s="114"/>
      <c r="AQ408" s="114"/>
      <c r="AR408" s="114"/>
      <c r="AS408" s="114"/>
      <c r="AT408" s="114"/>
      <c r="AU408" s="114"/>
      <c r="AV408" s="114"/>
      <c r="AW408" s="90"/>
      <c r="AX408" s="90"/>
      <c r="AY408" s="90"/>
      <c r="AZ408" s="90"/>
      <c r="BA408" s="90"/>
      <c r="BB408" s="90"/>
      <c r="BC408" s="90"/>
      <c r="BD408" s="90"/>
      <c r="BE408" s="90"/>
      <c r="BF408" s="90"/>
      <c r="BG408" s="90"/>
      <c r="BH408" s="90"/>
      <c r="BI408" s="90"/>
      <c r="BJ408" s="90"/>
      <c r="BK408" s="90"/>
      <c r="BL408" s="90"/>
      <c r="BM408" s="90"/>
      <c r="BN408" s="90"/>
      <c r="BO408" s="90"/>
      <c r="BP408" s="90"/>
      <c r="BQ408" s="90"/>
    </row>
    <row r="409" ht="12.75" hidden="1" customHeight="1" outlineLevel="1">
      <c r="A409" s="90"/>
      <c r="B409" s="201"/>
      <c r="C409" s="90" t="s">
        <v>563</v>
      </c>
      <c r="D409" s="90"/>
      <c r="E409" s="90"/>
      <c r="F409" s="90"/>
      <c r="G409" s="179"/>
      <c r="H409" s="179"/>
      <c r="I409" s="114">
        <v>0.0</v>
      </c>
      <c r="J409" s="114">
        <v>0.0</v>
      </c>
      <c r="K409" s="114">
        <v>0.0</v>
      </c>
      <c r="L409" s="114">
        <v>0.0</v>
      </c>
      <c r="M409" s="114">
        <v>0.0</v>
      </c>
      <c r="N409" s="114">
        <v>0.0</v>
      </c>
      <c r="O409" s="114">
        <v>0.0</v>
      </c>
      <c r="P409" s="114">
        <v>0.0</v>
      </c>
      <c r="Q409" s="114">
        <v>0.0</v>
      </c>
      <c r="R409" s="114">
        <v>0.0</v>
      </c>
      <c r="S409" s="114">
        <v>0.0</v>
      </c>
      <c r="T409" s="114">
        <v>0.0</v>
      </c>
      <c r="U409" s="114">
        <v>0.0</v>
      </c>
      <c r="V409" s="114">
        <v>0.0</v>
      </c>
      <c r="W409" s="114">
        <v>0.0</v>
      </c>
      <c r="X409" s="114">
        <v>0.0</v>
      </c>
      <c r="Y409" s="114">
        <v>0.0</v>
      </c>
      <c r="Z409" s="114">
        <v>0.0</v>
      </c>
      <c r="AA409" s="114">
        <v>0.0</v>
      </c>
      <c r="AB409" s="114">
        <v>0.0</v>
      </c>
      <c r="AC409" s="114">
        <v>0.0</v>
      </c>
      <c r="AD409" s="114">
        <v>0.0</v>
      </c>
      <c r="AE409" s="114">
        <v>0.0</v>
      </c>
      <c r="AF409" s="114">
        <v>0.0</v>
      </c>
      <c r="AG409" s="114">
        <v>0.0</v>
      </c>
      <c r="AH409" s="114">
        <v>0.0</v>
      </c>
      <c r="AI409" s="114">
        <v>0.0</v>
      </c>
      <c r="AJ409" s="114">
        <v>0.0</v>
      </c>
      <c r="AK409" s="114">
        <v>0.0</v>
      </c>
      <c r="AL409" s="114">
        <v>0.0</v>
      </c>
      <c r="AM409" s="114">
        <v>0.0</v>
      </c>
      <c r="AN409" s="114">
        <v>0.0</v>
      </c>
      <c r="AO409" s="114">
        <v>0.0</v>
      </c>
      <c r="AP409" s="114">
        <v>0.0</v>
      </c>
      <c r="AQ409" s="114">
        <v>0.0</v>
      </c>
      <c r="AR409" s="114">
        <v>0.0</v>
      </c>
      <c r="AS409" s="114">
        <v>0.0</v>
      </c>
      <c r="AT409" s="114">
        <v>0.0</v>
      </c>
      <c r="AU409" s="114">
        <v>0.0</v>
      </c>
      <c r="AV409" s="114">
        <v>0.0</v>
      </c>
      <c r="AW409" s="90"/>
      <c r="AX409" s="90"/>
      <c r="AY409" s="90"/>
      <c r="AZ409" s="90"/>
      <c r="BA409" s="90"/>
      <c r="BB409" s="90"/>
      <c r="BC409" s="90"/>
      <c r="BD409" s="90"/>
      <c r="BE409" s="90"/>
      <c r="BF409" s="90"/>
      <c r="BG409" s="90"/>
      <c r="BH409" s="90"/>
      <c r="BI409" s="90"/>
      <c r="BJ409" s="90"/>
      <c r="BK409" s="90"/>
      <c r="BL409" s="90"/>
      <c r="BM409" s="90"/>
      <c r="BN409" s="90"/>
      <c r="BO409" s="90"/>
      <c r="BP409" s="90"/>
      <c r="BQ409" s="90"/>
    </row>
    <row r="410" ht="12.75" hidden="1" customHeight="1" outlineLevel="1">
      <c r="A410" s="90"/>
      <c r="B410" s="90"/>
      <c r="C410" s="90" t="s">
        <v>471</v>
      </c>
      <c r="D410" s="90"/>
      <c r="E410" s="90"/>
      <c r="F410" s="90"/>
      <c r="G410" s="179"/>
      <c r="H410" s="179"/>
      <c r="I410" s="147">
        <v>0.0</v>
      </c>
      <c r="J410" s="147">
        <v>0.0</v>
      </c>
      <c r="K410" s="567">
        <v>-250000.0</v>
      </c>
      <c r="L410" s="147">
        <f t="shared" ref="L410:Q410" si="267">-L238</f>
        <v>0</v>
      </c>
      <c r="M410" s="147">
        <f t="shared" si="267"/>
        <v>0</v>
      </c>
      <c r="N410" s="147">
        <f t="shared" si="267"/>
        <v>0</v>
      </c>
      <c r="O410" s="147">
        <f t="shared" si="267"/>
        <v>0</v>
      </c>
      <c r="P410" s="147">
        <f t="shared" si="267"/>
        <v>0</v>
      </c>
      <c r="Q410" s="147">
        <f t="shared" si="267"/>
        <v>0</v>
      </c>
      <c r="R410" s="147">
        <f>-K410</f>
        <v>250000</v>
      </c>
      <c r="S410" s="147">
        <f t="shared" ref="S410:AV410" si="268">-S238</f>
        <v>0</v>
      </c>
      <c r="T410" s="147">
        <f t="shared" si="268"/>
        <v>0</v>
      </c>
      <c r="U410" s="147">
        <f t="shared" si="268"/>
        <v>0</v>
      </c>
      <c r="V410" s="147">
        <f t="shared" si="268"/>
        <v>0</v>
      </c>
      <c r="W410" s="147">
        <f t="shared" si="268"/>
        <v>0</v>
      </c>
      <c r="X410" s="147">
        <f t="shared" si="268"/>
        <v>0</v>
      </c>
      <c r="Y410" s="147">
        <f t="shared" si="268"/>
        <v>0</v>
      </c>
      <c r="Z410" s="147">
        <f t="shared" si="268"/>
        <v>0</v>
      </c>
      <c r="AA410" s="147">
        <f t="shared" si="268"/>
        <v>0</v>
      </c>
      <c r="AB410" s="147">
        <f t="shared" si="268"/>
        <v>0</v>
      </c>
      <c r="AC410" s="147">
        <f t="shared" si="268"/>
        <v>0</v>
      </c>
      <c r="AD410" s="147">
        <f t="shared" si="268"/>
        <v>0</v>
      </c>
      <c r="AE410" s="147">
        <f t="shared" si="268"/>
        <v>0</v>
      </c>
      <c r="AF410" s="147">
        <f t="shared" si="268"/>
        <v>0</v>
      </c>
      <c r="AG410" s="147">
        <f t="shared" si="268"/>
        <v>0</v>
      </c>
      <c r="AH410" s="147">
        <f t="shared" si="268"/>
        <v>0</v>
      </c>
      <c r="AI410" s="147">
        <f t="shared" si="268"/>
        <v>0</v>
      </c>
      <c r="AJ410" s="147">
        <f t="shared" si="268"/>
        <v>0</v>
      </c>
      <c r="AK410" s="147">
        <f t="shared" si="268"/>
        <v>0</v>
      </c>
      <c r="AL410" s="147">
        <f t="shared" si="268"/>
        <v>0</v>
      </c>
      <c r="AM410" s="147">
        <f t="shared" si="268"/>
        <v>0</v>
      </c>
      <c r="AN410" s="147">
        <f t="shared" si="268"/>
        <v>0</v>
      </c>
      <c r="AO410" s="147">
        <f t="shared" si="268"/>
        <v>0</v>
      </c>
      <c r="AP410" s="147">
        <f t="shared" si="268"/>
        <v>0</v>
      </c>
      <c r="AQ410" s="147">
        <f t="shared" si="268"/>
        <v>0</v>
      </c>
      <c r="AR410" s="147">
        <f t="shared" si="268"/>
        <v>0</v>
      </c>
      <c r="AS410" s="147">
        <f t="shared" si="268"/>
        <v>0</v>
      </c>
      <c r="AT410" s="147">
        <f t="shared" si="268"/>
        <v>0</v>
      </c>
      <c r="AU410" s="147">
        <f t="shared" si="268"/>
        <v>0</v>
      </c>
      <c r="AV410" s="147">
        <f t="shared" si="268"/>
        <v>0</v>
      </c>
      <c r="AW410" s="90"/>
      <c r="AX410" s="90"/>
      <c r="AY410" s="90"/>
      <c r="AZ410" s="90"/>
      <c r="BA410" s="90"/>
      <c r="BB410" s="90"/>
      <c r="BC410" s="90"/>
      <c r="BD410" s="90"/>
      <c r="BE410" s="90"/>
      <c r="BF410" s="90"/>
      <c r="BG410" s="90"/>
      <c r="BH410" s="90"/>
      <c r="BI410" s="90"/>
      <c r="BJ410" s="90"/>
      <c r="BK410" s="90"/>
      <c r="BL410" s="90"/>
      <c r="BM410" s="90"/>
      <c r="BN410" s="90"/>
      <c r="BO410" s="90"/>
      <c r="BP410" s="90"/>
      <c r="BQ410" s="90"/>
    </row>
    <row r="411" ht="12.75" hidden="1" customHeight="1" outlineLevel="1">
      <c r="A411" s="90"/>
      <c r="B411" s="148" t="s">
        <v>473</v>
      </c>
      <c r="C411" s="148"/>
      <c r="D411" s="148"/>
      <c r="E411" s="148"/>
      <c r="F411" s="148"/>
      <c r="G411" s="300"/>
      <c r="H411" s="300"/>
      <c r="I411" s="251">
        <f>SUM(I409:I410)</f>
        <v>0</v>
      </c>
      <c r="J411" s="251">
        <v>0.0</v>
      </c>
      <c r="K411" s="251">
        <f t="shared" ref="K411:AV411" si="269">SUM(K409:K410)</f>
        <v>-250000</v>
      </c>
      <c r="L411" s="251">
        <f t="shared" si="269"/>
        <v>0</v>
      </c>
      <c r="M411" s="251">
        <f t="shared" si="269"/>
        <v>0</v>
      </c>
      <c r="N411" s="251">
        <f t="shared" si="269"/>
        <v>0</v>
      </c>
      <c r="O411" s="251">
        <f t="shared" si="269"/>
        <v>0</v>
      </c>
      <c r="P411" s="251">
        <f t="shared" si="269"/>
        <v>0</v>
      </c>
      <c r="Q411" s="251">
        <f t="shared" si="269"/>
        <v>0</v>
      </c>
      <c r="R411" s="251">
        <f t="shared" si="269"/>
        <v>250000</v>
      </c>
      <c r="S411" s="251">
        <f t="shared" si="269"/>
        <v>0</v>
      </c>
      <c r="T411" s="251">
        <f t="shared" si="269"/>
        <v>0</v>
      </c>
      <c r="U411" s="251">
        <f t="shared" si="269"/>
        <v>0</v>
      </c>
      <c r="V411" s="251">
        <f t="shared" si="269"/>
        <v>0</v>
      </c>
      <c r="W411" s="251">
        <f t="shared" si="269"/>
        <v>0</v>
      </c>
      <c r="X411" s="251">
        <f t="shared" si="269"/>
        <v>0</v>
      </c>
      <c r="Y411" s="251">
        <f t="shared" si="269"/>
        <v>0</v>
      </c>
      <c r="Z411" s="251">
        <f t="shared" si="269"/>
        <v>0</v>
      </c>
      <c r="AA411" s="251">
        <f t="shared" si="269"/>
        <v>0</v>
      </c>
      <c r="AB411" s="251">
        <f t="shared" si="269"/>
        <v>0</v>
      </c>
      <c r="AC411" s="251">
        <f t="shared" si="269"/>
        <v>0</v>
      </c>
      <c r="AD411" s="251">
        <f t="shared" si="269"/>
        <v>0</v>
      </c>
      <c r="AE411" s="251">
        <f t="shared" si="269"/>
        <v>0</v>
      </c>
      <c r="AF411" s="251">
        <f t="shared" si="269"/>
        <v>0</v>
      </c>
      <c r="AG411" s="251">
        <f t="shared" si="269"/>
        <v>0</v>
      </c>
      <c r="AH411" s="251">
        <f t="shared" si="269"/>
        <v>0</v>
      </c>
      <c r="AI411" s="251">
        <f t="shared" si="269"/>
        <v>0</v>
      </c>
      <c r="AJ411" s="251">
        <f t="shared" si="269"/>
        <v>0</v>
      </c>
      <c r="AK411" s="251">
        <f t="shared" si="269"/>
        <v>0</v>
      </c>
      <c r="AL411" s="251">
        <f t="shared" si="269"/>
        <v>0</v>
      </c>
      <c r="AM411" s="251">
        <f t="shared" si="269"/>
        <v>0</v>
      </c>
      <c r="AN411" s="251">
        <f t="shared" si="269"/>
        <v>0</v>
      </c>
      <c r="AO411" s="251">
        <f t="shared" si="269"/>
        <v>0</v>
      </c>
      <c r="AP411" s="251">
        <f t="shared" si="269"/>
        <v>0</v>
      </c>
      <c r="AQ411" s="251">
        <f t="shared" si="269"/>
        <v>0</v>
      </c>
      <c r="AR411" s="251">
        <f t="shared" si="269"/>
        <v>0</v>
      </c>
      <c r="AS411" s="251">
        <f t="shared" si="269"/>
        <v>0</v>
      </c>
      <c r="AT411" s="251">
        <f t="shared" si="269"/>
        <v>0</v>
      </c>
      <c r="AU411" s="251">
        <f t="shared" si="269"/>
        <v>0</v>
      </c>
      <c r="AV411" s="251">
        <f t="shared" si="269"/>
        <v>0</v>
      </c>
      <c r="AW411" s="90"/>
      <c r="AX411" s="90"/>
      <c r="AY411" s="90"/>
      <c r="AZ411" s="90"/>
      <c r="BA411" s="90"/>
      <c r="BB411" s="90"/>
      <c r="BC411" s="90"/>
      <c r="BD411" s="90"/>
      <c r="BE411" s="90"/>
      <c r="BF411" s="90"/>
      <c r="BG411" s="90"/>
      <c r="BH411" s="90"/>
      <c r="BI411" s="90"/>
      <c r="BJ411" s="90"/>
      <c r="BK411" s="90"/>
      <c r="BL411" s="90"/>
      <c r="BM411" s="90"/>
      <c r="BN411" s="90"/>
      <c r="BO411" s="90"/>
      <c r="BP411" s="90"/>
      <c r="BQ411" s="90"/>
    </row>
    <row r="412" ht="12.75" hidden="1" customHeight="1" outlineLevel="1">
      <c r="A412" s="90"/>
      <c r="B412" s="90"/>
      <c r="C412" s="90"/>
      <c r="D412" s="90"/>
      <c r="E412" s="90"/>
      <c r="F412" s="90"/>
      <c r="G412" s="179"/>
      <c r="H412" s="179"/>
      <c r="I412" s="114"/>
      <c r="J412" s="114"/>
      <c r="K412" s="114"/>
      <c r="L412" s="114"/>
      <c r="M412" s="114"/>
      <c r="N412" s="114"/>
      <c r="O412" s="114"/>
      <c r="P412" s="114"/>
      <c r="Q412" s="114"/>
      <c r="R412" s="114"/>
      <c r="S412" s="114"/>
      <c r="T412" s="114"/>
      <c r="U412" s="114"/>
      <c r="V412" s="114"/>
      <c r="W412" s="114"/>
      <c r="X412" s="114"/>
      <c r="Y412" s="114"/>
      <c r="Z412" s="114"/>
      <c r="AA412" s="114"/>
      <c r="AB412" s="114"/>
      <c r="AC412" s="114"/>
      <c r="AD412" s="114"/>
      <c r="AE412" s="114"/>
      <c r="AF412" s="114"/>
      <c r="AG412" s="114"/>
      <c r="AH412" s="114"/>
      <c r="AI412" s="114"/>
      <c r="AJ412" s="114"/>
      <c r="AK412" s="114"/>
      <c r="AL412" s="114"/>
      <c r="AM412" s="114"/>
      <c r="AN412" s="114"/>
      <c r="AO412" s="114"/>
      <c r="AP412" s="114"/>
      <c r="AQ412" s="114"/>
      <c r="AR412" s="114"/>
      <c r="AS412" s="114"/>
      <c r="AT412" s="114"/>
      <c r="AU412" s="114"/>
      <c r="AV412" s="114"/>
      <c r="AW412" s="90"/>
      <c r="AX412" s="90"/>
      <c r="AY412" s="90"/>
      <c r="AZ412" s="90"/>
      <c r="BA412" s="90"/>
      <c r="BB412" s="90"/>
      <c r="BC412" s="90"/>
      <c r="BD412" s="90"/>
      <c r="BE412" s="90"/>
      <c r="BF412" s="90"/>
      <c r="BG412" s="90"/>
      <c r="BH412" s="90"/>
      <c r="BI412" s="90"/>
      <c r="BJ412" s="90"/>
      <c r="BK412" s="90"/>
      <c r="BL412" s="90"/>
      <c r="BM412" s="90"/>
      <c r="BN412" s="90"/>
      <c r="BO412" s="90"/>
      <c r="BP412" s="90"/>
      <c r="BQ412" s="90"/>
    </row>
    <row r="413" ht="12.75" hidden="1" customHeight="1" outlineLevel="1">
      <c r="A413" s="90"/>
      <c r="B413" s="201" t="s">
        <v>474</v>
      </c>
      <c r="C413" s="90"/>
      <c r="D413" s="90"/>
      <c r="E413" s="90"/>
      <c r="F413" s="90"/>
      <c r="G413" s="179"/>
      <c r="H413" s="179"/>
      <c r="I413" s="114"/>
      <c r="J413" s="114"/>
      <c r="K413" s="114"/>
      <c r="L413" s="114"/>
      <c r="M413" s="114"/>
      <c r="N413" s="114"/>
      <c r="O413" s="114"/>
      <c r="P413" s="114"/>
      <c r="Q413" s="114"/>
      <c r="R413" s="114"/>
      <c r="S413" s="114"/>
      <c r="T413" s="114"/>
      <c r="U413" s="114"/>
      <c r="V413" s="114"/>
      <c r="W413" s="114"/>
      <c r="X413" s="114"/>
      <c r="Y413" s="114"/>
      <c r="Z413" s="114"/>
      <c r="AA413" s="114"/>
      <c r="AB413" s="114"/>
      <c r="AC413" s="114"/>
      <c r="AD413" s="114"/>
      <c r="AE413" s="114"/>
      <c r="AF413" s="114"/>
      <c r="AG413" s="114"/>
      <c r="AH413" s="114"/>
      <c r="AI413" s="114"/>
      <c r="AJ413" s="114"/>
      <c r="AK413" s="114"/>
      <c r="AL413" s="114"/>
      <c r="AM413" s="114"/>
      <c r="AN413" s="114"/>
      <c r="AO413" s="114"/>
      <c r="AP413" s="114"/>
      <c r="AQ413" s="114"/>
      <c r="AR413" s="114"/>
      <c r="AS413" s="114"/>
      <c r="AT413" s="114"/>
      <c r="AU413" s="114"/>
      <c r="AV413" s="114"/>
      <c r="AW413" s="90"/>
      <c r="AX413" s="90"/>
      <c r="AY413" s="90"/>
      <c r="AZ413" s="90"/>
      <c r="BA413" s="90"/>
      <c r="BB413" s="90"/>
      <c r="BC413" s="90"/>
      <c r="BD413" s="90"/>
      <c r="BE413" s="90"/>
      <c r="BF413" s="90"/>
      <c r="BG413" s="90"/>
      <c r="BH413" s="90"/>
      <c r="BI413" s="90"/>
      <c r="BJ413" s="90"/>
      <c r="BK413" s="90"/>
      <c r="BL413" s="90"/>
      <c r="BM413" s="90"/>
      <c r="BN413" s="90"/>
      <c r="BO413" s="90"/>
      <c r="BP413" s="90"/>
      <c r="BQ413" s="90"/>
    </row>
    <row r="414" ht="12.75" hidden="1" customHeight="1" outlineLevel="1">
      <c r="A414" s="90"/>
      <c r="B414" s="90"/>
      <c r="C414" s="90" t="s">
        <v>846</v>
      </c>
      <c r="D414" s="90"/>
      <c r="E414" s="90"/>
      <c r="F414" s="90"/>
      <c r="G414" s="179"/>
      <c r="H414" s="179"/>
      <c r="I414" s="90"/>
      <c r="J414" s="90"/>
      <c r="K414" s="90"/>
      <c r="L414" s="90"/>
      <c r="M414" s="90"/>
      <c r="N414" s="90"/>
      <c r="O414" s="90"/>
      <c r="P414" s="90"/>
      <c r="Q414" s="90"/>
      <c r="R414" s="90"/>
      <c r="S414" s="90"/>
      <c r="T414" s="90"/>
      <c r="U414" s="90"/>
      <c r="V414" s="90"/>
      <c r="W414" s="90"/>
      <c r="X414" s="90"/>
      <c r="Y414" s="90"/>
      <c r="Z414" s="90"/>
      <c r="AA414" s="90"/>
      <c r="AB414" s="90"/>
      <c r="AC414" s="90"/>
      <c r="AD414" s="90"/>
      <c r="AE414" s="90"/>
      <c r="AF414" s="90"/>
      <c r="AG414" s="90"/>
      <c r="AH414" s="90"/>
      <c r="AI414" s="90"/>
      <c r="AJ414" s="90"/>
      <c r="AK414" s="90"/>
      <c r="AL414" s="90"/>
      <c r="AM414" s="90"/>
      <c r="AN414" s="90"/>
      <c r="AO414" s="90"/>
      <c r="AP414" s="90"/>
      <c r="AQ414" s="90"/>
      <c r="AR414" s="90"/>
      <c r="AS414" s="90"/>
      <c r="AT414" s="90"/>
      <c r="AU414" s="90"/>
      <c r="AV414" s="90"/>
      <c r="AW414" s="90"/>
      <c r="AX414" s="90"/>
      <c r="AY414" s="90"/>
      <c r="AZ414" s="90"/>
      <c r="BA414" s="90"/>
      <c r="BB414" s="90"/>
      <c r="BC414" s="90"/>
      <c r="BD414" s="90"/>
      <c r="BE414" s="90"/>
      <c r="BF414" s="90"/>
      <c r="BG414" s="90"/>
      <c r="BH414" s="90"/>
      <c r="BI414" s="90"/>
      <c r="BJ414" s="90"/>
      <c r="BK414" s="90"/>
      <c r="BL414" s="90"/>
      <c r="BM414" s="90"/>
      <c r="BN414" s="90"/>
      <c r="BO414" s="90"/>
      <c r="BP414" s="90"/>
      <c r="BQ414" s="90"/>
    </row>
    <row r="415" ht="12.75" hidden="1" customHeight="1" outlineLevel="1">
      <c r="A415" s="90"/>
      <c r="B415" s="90"/>
      <c r="C415" s="90"/>
      <c r="D415" s="90" t="s">
        <v>557</v>
      </c>
      <c r="E415" s="90"/>
      <c r="F415" s="90"/>
      <c r="G415" s="179"/>
      <c r="H415" s="179"/>
      <c r="I415" s="99">
        <v>0.0</v>
      </c>
      <c r="J415" s="99">
        <v>0.0</v>
      </c>
      <c r="K415" s="99">
        <f t="shared" ref="K415:AV415" si="270">K435</f>
        <v>100000</v>
      </c>
      <c r="L415" s="99">
        <f t="shared" si="270"/>
        <v>100000</v>
      </c>
      <c r="M415" s="99">
        <f t="shared" si="270"/>
        <v>0</v>
      </c>
      <c r="N415" s="99">
        <f t="shared" si="270"/>
        <v>0</v>
      </c>
      <c r="O415" s="99">
        <f t="shared" si="270"/>
        <v>0</v>
      </c>
      <c r="P415" s="99">
        <f t="shared" si="270"/>
        <v>0</v>
      </c>
      <c r="Q415" s="99">
        <f t="shared" si="270"/>
        <v>0</v>
      </c>
      <c r="R415" s="99">
        <f t="shared" si="270"/>
        <v>0</v>
      </c>
      <c r="S415" s="99">
        <f t="shared" si="270"/>
        <v>0</v>
      </c>
      <c r="T415" s="99">
        <f t="shared" si="270"/>
        <v>0</v>
      </c>
      <c r="U415" s="99">
        <f t="shared" si="270"/>
        <v>0</v>
      </c>
      <c r="V415" s="99">
        <f t="shared" si="270"/>
        <v>0</v>
      </c>
      <c r="W415" s="99">
        <f t="shared" si="270"/>
        <v>0</v>
      </c>
      <c r="X415" s="99">
        <f t="shared" si="270"/>
        <v>0</v>
      </c>
      <c r="Y415" s="99">
        <f t="shared" si="270"/>
        <v>0</v>
      </c>
      <c r="Z415" s="99">
        <f t="shared" si="270"/>
        <v>0</v>
      </c>
      <c r="AA415" s="99">
        <f t="shared" si="270"/>
        <v>0</v>
      </c>
      <c r="AB415" s="99">
        <f t="shared" si="270"/>
        <v>0</v>
      </c>
      <c r="AC415" s="99">
        <f t="shared" si="270"/>
        <v>0</v>
      </c>
      <c r="AD415" s="99">
        <f t="shared" si="270"/>
        <v>0</v>
      </c>
      <c r="AE415" s="99">
        <f t="shared" si="270"/>
        <v>0</v>
      </c>
      <c r="AF415" s="99">
        <f t="shared" si="270"/>
        <v>0</v>
      </c>
      <c r="AG415" s="99">
        <f t="shared" si="270"/>
        <v>0</v>
      </c>
      <c r="AH415" s="99">
        <f t="shared" si="270"/>
        <v>0</v>
      </c>
      <c r="AI415" s="99">
        <f t="shared" si="270"/>
        <v>0</v>
      </c>
      <c r="AJ415" s="99">
        <f t="shared" si="270"/>
        <v>0</v>
      </c>
      <c r="AK415" s="99">
        <f t="shared" si="270"/>
        <v>0</v>
      </c>
      <c r="AL415" s="99">
        <f t="shared" si="270"/>
        <v>0</v>
      </c>
      <c r="AM415" s="99">
        <f t="shared" si="270"/>
        <v>0</v>
      </c>
      <c r="AN415" s="99">
        <f t="shared" si="270"/>
        <v>0</v>
      </c>
      <c r="AO415" s="99">
        <f t="shared" si="270"/>
        <v>0</v>
      </c>
      <c r="AP415" s="99">
        <f t="shared" si="270"/>
        <v>0</v>
      </c>
      <c r="AQ415" s="99">
        <f t="shared" si="270"/>
        <v>0</v>
      </c>
      <c r="AR415" s="99">
        <f t="shared" si="270"/>
        <v>0</v>
      </c>
      <c r="AS415" s="99">
        <f t="shared" si="270"/>
        <v>0</v>
      </c>
      <c r="AT415" s="99">
        <f t="shared" si="270"/>
        <v>0</v>
      </c>
      <c r="AU415" s="99">
        <f t="shared" si="270"/>
        <v>0</v>
      </c>
      <c r="AV415" s="99">
        <f t="shared" si="270"/>
        <v>0</v>
      </c>
      <c r="AW415" s="90"/>
      <c r="AX415" s="90"/>
      <c r="AY415" s="90"/>
      <c r="AZ415" s="90"/>
      <c r="BA415" s="90"/>
      <c r="BB415" s="90"/>
      <c r="BC415" s="90"/>
      <c r="BD415" s="90"/>
      <c r="BE415" s="90"/>
      <c r="BF415" s="90"/>
      <c r="BG415" s="90"/>
      <c r="BH415" s="90"/>
      <c r="BI415" s="90"/>
      <c r="BJ415" s="90"/>
      <c r="BK415" s="90"/>
      <c r="BL415" s="90"/>
      <c r="BM415" s="90"/>
      <c r="BN415" s="90"/>
      <c r="BO415" s="90"/>
      <c r="BP415" s="90"/>
      <c r="BQ415" s="90"/>
    </row>
    <row r="416" ht="12.75" hidden="1" customHeight="1" outlineLevel="1">
      <c r="A416" s="90"/>
      <c r="B416" s="90"/>
      <c r="C416" s="90"/>
      <c r="D416" s="90" t="s">
        <v>614</v>
      </c>
      <c r="E416" s="90"/>
      <c r="F416" s="90"/>
      <c r="G416" s="179"/>
      <c r="H416" s="179"/>
      <c r="I416" s="99" t="str">
        <f>I455</f>
        <v/>
      </c>
      <c r="J416" s="99">
        <v>0.0</v>
      </c>
      <c r="K416" s="99">
        <f t="shared" ref="K416:AV416" si="271">K445</f>
        <v>250000</v>
      </c>
      <c r="L416" s="99">
        <f t="shared" si="271"/>
        <v>0</v>
      </c>
      <c r="M416" s="99">
        <f t="shared" si="271"/>
        <v>0</v>
      </c>
      <c r="N416" s="99">
        <f t="shared" si="271"/>
        <v>0</v>
      </c>
      <c r="O416" s="99">
        <f t="shared" si="271"/>
        <v>0</v>
      </c>
      <c r="P416" s="99">
        <f t="shared" si="271"/>
        <v>0</v>
      </c>
      <c r="Q416" s="99">
        <f t="shared" si="271"/>
        <v>0</v>
      </c>
      <c r="R416" s="99">
        <f t="shared" si="271"/>
        <v>0</v>
      </c>
      <c r="S416" s="99">
        <f t="shared" si="271"/>
        <v>0</v>
      </c>
      <c r="T416" s="99">
        <f t="shared" si="271"/>
        <v>0</v>
      </c>
      <c r="U416" s="99">
        <f t="shared" si="271"/>
        <v>0</v>
      </c>
      <c r="V416" s="99">
        <f t="shared" si="271"/>
        <v>0</v>
      </c>
      <c r="W416" s="99">
        <f t="shared" si="271"/>
        <v>0</v>
      </c>
      <c r="X416" s="99">
        <f t="shared" si="271"/>
        <v>0</v>
      </c>
      <c r="Y416" s="99">
        <f t="shared" si="271"/>
        <v>0</v>
      </c>
      <c r="Z416" s="99">
        <f t="shared" si="271"/>
        <v>0</v>
      </c>
      <c r="AA416" s="99">
        <f t="shared" si="271"/>
        <v>0</v>
      </c>
      <c r="AB416" s="99">
        <f t="shared" si="271"/>
        <v>0</v>
      </c>
      <c r="AC416" s="99">
        <f t="shared" si="271"/>
        <v>0</v>
      </c>
      <c r="AD416" s="99">
        <f t="shared" si="271"/>
        <v>0</v>
      </c>
      <c r="AE416" s="99">
        <f t="shared" si="271"/>
        <v>0</v>
      </c>
      <c r="AF416" s="99">
        <f t="shared" si="271"/>
        <v>0</v>
      </c>
      <c r="AG416" s="99">
        <f t="shared" si="271"/>
        <v>0</v>
      </c>
      <c r="AH416" s="99">
        <f t="shared" si="271"/>
        <v>0</v>
      </c>
      <c r="AI416" s="99">
        <f t="shared" si="271"/>
        <v>0</v>
      </c>
      <c r="AJ416" s="99">
        <f t="shared" si="271"/>
        <v>0</v>
      </c>
      <c r="AK416" s="99">
        <f t="shared" si="271"/>
        <v>0</v>
      </c>
      <c r="AL416" s="99">
        <f t="shared" si="271"/>
        <v>0</v>
      </c>
      <c r="AM416" s="99">
        <f t="shared" si="271"/>
        <v>0</v>
      </c>
      <c r="AN416" s="99">
        <f t="shared" si="271"/>
        <v>0</v>
      </c>
      <c r="AO416" s="99">
        <f t="shared" si="271"/>
        <v>0</v>
      </c>
      <c r="AP416" s="99">
        <f t="shared" si="271"/>
        <v>0</v>
      </c>
      <c r="AQ416" s="99">
        <f t="shared" si="271"/>
        <v>0</v>
      </c>
      <c r="AR416" s="99">
        <f t="shared" si="271"/>
        <v>0</v>
      </c>
      <c r="AS416" s="99">
        <f t="shared" si="271"/>
        <v>0</v>
      </c>
      <c r="AT416" s="99">
        <f t="shared" si="271"/>
        <v>0</v>
      </c>
      <c r="AU416" s="99">
        <f t="shared" si="271"/>
        <v>0</v>
      </c>
      <c r="AV416" s="99">
        <f t="shared" si="271"/>
        <v>0</v>
      </c>
      <c r="AW416" s="90"/>
      <c r="AX416" s="90"/>
      <c r="AY416" s="90"/>
      <c r="AZ416" s="90"/>
      <c r="BA416" s="90"/>
      <c r="BB416" s="90"/>
      <c r="BC416" s="90"/>
      <c r="BD416" s="90"/>
      <c r="BE416" s="90"/>
      <c r="BF416" s="90"/>
      <c r="BG416" s="90"/>
      <c r="BH416" s="90"/>
      <c r="BI416" s="90"/>
      <c r="BJ416" s="90"/>
      <c r="BK416" s="90"/>
      <c r="BL416" s="90"/>
      <c r="BM416" s="90"/>
      <c r="BN416" s="90"/>
      <c r="BO416" s="90"/>
      <c r="BP416" s="90"/>
      <c r="BQ416" s="90"/>
    </row>
    <row r="417" ht="12.75" hidden="1" customHeight="1" outlineLevel="1">
      <c r="A417" s="90"/>
      <c r="B417" s="90"/>
      <c r="C417" s="90"/>
      <c r="D417" s="90" t="s">
        <v>479</v>
      </c>
      <c r="E417" s="90"/>
      <c r="F417" s="90"/>
      <c r="G417" s="179"/>
      <c r="H417" s="179"/>
      <c r="I417" s="99" t="str">
        <f>I469</f>
        <v/>
      </c>
      <c r="J417" s="99">
        <v>0.0</v>
      </c>
      <c r="K417" s="99">
        <f t="shared" ref="K417:AV417" si="272">K469</f>
        <v>250000</v>
      </c>
      <c r="L417" s="99">
        <f t="shared" si="272"/>
        <v>0</v>
      </c>
      <c r="M417" s="99">
        <f t="shared" si="272"/>
        <v>0</v>
      </c>
      <c r="N417" s="99">
        <f t="shared" si="272"/>
        <v>0</v>
      </c>
      <c r="O417" s="99">
        <f t="shared" si="272"/>
        <v>0</v>
      </c>
      <c r="P417" s="99">
        <f t="shared" si="272"/>
        <v>0</v>
      </c>
      <c r="Q417" s="99">
        <f t="shared" si="272"/>
        <v>0</v>
      </c>
      <c r="R417" s="99">
        <f t="shared" si="272"/>
        <v>0</v>
      </c>
      <c r="S417" s="99">
        <f t="shared" si="272"/>
        <v>0</v>
      </c>
      <c r="T417" s="99">
        <f t="shared" si="272"/>
        <v>0</v>
      </c>
      <c r="U417" s="99">
        <f t="shared" si="272"/>
        <v>0</v>
      </c>
      <c r="V417" s="99">
        <f t="shared" si="272"/>
        <v>0</v>
      </c>
      <c r="W417" s="99">
        <f t="shared" si="272"/>
        <v>0</v>
      </c>
      <c r="X417" s="99">
        <f t="shared" si="272"/>
        <v>0</v>
      </c>
      <c r="Y417" s="99">
        <f t="shared" si="272"/>
        <v>0</v>
      </c>
      <c r="Z417" s="99">
        <f t="shared" si="272"/>
        <v>0</v>
      </c>
      <c r="AA417" s="99">
        <f t="shared" si="272"/>
        <v>0</v>
      </c>
      <c r="AB417" s="99">
        <f t="shared" si="272"/>
        <v>0</v>
      </c>
      <c r="AC417" s="99">
        <f t="shared" si="272"/>
        <v>0</v>
      </c>
      <c r="AD417" s="99">
        <f t="shared" si="272"/>
        <v>0</v>
      </c>
      <c r="AE417" s="99">
        <f t="shared" si="272"/>
        <v>0</v>
      </c>
      <c r="AF417" s="99">
        <f t="shared" si="272"/>
        <v>0</v>
      </c>
      <c r="AG417" s="99">
        <f t="shared" si="272"/>
        <v>0</v>
      </c>
      <c r="AH417" s="99">
        <f t="shared" si="272"/>
        <v>0</v>
      </c>
      <c r="AI417" s="99">
        <f t="shared" si="272"/>
        <v>0</v>
      </c>
      <c r="AJ417" s="99">
        <f t="shared" si="272"/>
        <v>0</v>
      </c>
      <c r="AK417" s="99">
        <f t="shared" si="272"/>
        <v>0</v>
      </c>
      <c r="AL417" s="99">
        <f t="shared" si="272"/>
        <v>0</v>
      </c>
      <c r="AM417" s="99">
        <f t="shared" si="272"/>
        <v>0</v>
      </c>
      <c r="AN417" s="99">
        <f t="shared" si="272"/>
        <v>0</v>
      </c>
      <c r="AO417" s="99">
        <f t="shared" si="272"/>
        <v>0</v>
      </c>
      <c r="AP417" s="99">
        <f t="shared" si="272"/>
        <v>0</v>
      </c>
      <c r="AQ417" s="99">
        <f t="shared" si="272"/>
        <v>0</v>
      </c>
      <c r="AR417" s="99">
        <f t="shared" si="272"/>
        <v>0</v>
      </c>
      <c r="AS417" s="99">
        <f t="shared" si="272"/>
        <v>0</v>
      </c>
      <c r="AT417" s="99">
        <f t="shared" si="272"/>
        <v>0</v>
      </c>
      <c r="AU417" s="99">
        <f t="shared" si="272"/>
        <v>0</v>
      </c>
      <c r="AV417" s="99">
        <f t="shared" si="272"/>
        <v>0</v>
      </c>
      <c r="AW417" s="90"/>
      <c r="AX417" s="90"/>
      <c r="AY417" s="90"/>
      <c r="AZ417" s="90"/>
      <c r="BA417" s="90"/>
      <c r="BB417" s="90"/>
      <c r="BC417" s="90"/>
      <c r="BD417" s="90"/>
      <c r="BE417" s="90"/>
      <c r="BF417" s="90"/>
      <c r="BG417" s="90"/>
      <c r="BH417" s="90"/>
      <c r="BI417" s="90"/>
      <c r="BJ417" s="90"/>
      <c r="BK417" s="90"/>
      <c r="BL417" s="90"/>
      <c r="BM417" s="90"/>
      <c r="BN417" s="90"/>
      <c r="BO417" s="90"/>
      <c r="BP417" s="90"/>
      <c r="BQ417" s="90"/>
    </row>
    <row r="418" ht="12.75" hidden="1" customHeight="1" outlineLevel="1">
      <c r="A418" s="90"/>
      <c r="B418" s="90"/>
      <c r="C418" s="90"/>
      <c r="D418" s="90" t="s">
        <v>148</v>
      </c>
      <c r="E418" s="90"/>
      <c r="F418" s="90"/>
      <c r="G418" s="179"/>
      <c r="H418" s="179"/>
      <c r="I418" s="99" t="str">
        <f>I455</f>
        <v/>
      </c>
      <c r="J418" s="99">
        <v>0.0</v>
      </c>
      <c r="K418" s="99" t="str">
        <f t="shared" ref="K418:AV418" si="273">K455</f>
        <v>#REF!</v>
      </c>
      <c r="L418" s="99" t="str">
        <f t="shared" si="273"/>
        <v>#REF!</v>
      </c>
      <c r="M418" s="99" t="str">
        <f t="shared" si="273"/>
        <v>#REF!</v>
      </c>
      <c r="N418" s="99" t="str">
        <f t="shared" si="273"/>
        <v>#REF!</v>
      </c>
      <c r="O418" s="99" t="str">
        <f t="shared" si="273"/>
        <v>#REF!</v>
      </c>
      <c r="P418" s="99" t="str">
        <f t="shared" si="273"/>
        <v>#REF!</v>
      </c>
      <c r="Q418" s="99" t="str">
        <f t="shared" si="273"/>
        <v>#REF!</v>
      </c>
      <c r="R418" s="99" t="str">
        <f t="shared" si="273"/>
        <v>#REF!</v>
      </c>
      <c r="S418" s="99" t="str">
        <f t="shared" si="273"/>
        <v>#REF!</v>
      </c>
      <c r="T418" s="99" t="str">
        <f t="shared" si="273"/>
        <v>#REF!</v>
      </c>
      <c r="U418" s="99" t="str">
        <f t="shared" si="273"/>
        <v>#REF!</v>
      </c>
      <c r="V418" s="99" t="str">
        <f t="shared" si="273"/>
        <v>#REF!</v>
      </c>
      <c r="W418" s="99">
        <f t="shared" si="273"/>
        <v>0</v>
      </c>
      <c r="X418" s="99">
        <f t="shared" si="273"/>
        <v>0</v>
      </c>
      <c r="Y418" s="99">
        <f t="shared" si="273"/>
        <v>0</v>
      </c>
      <c r="Z418" s="99">
        <f t="shared" si="273"/>
        <v>0</v>
      </c>
      <c r="AA418" s="99">
        <f t="shared" si="273"/>
        <v>0</v>
      </c>
      <c r="AB418" s="99">
        <f t="shared" si="273"/>
        <v>0</v>
      </c>
      <c r="AC418" s="99">
        <f t="shared" si="273"/>
        <v>0</v>
      </c>
      <c r="AD418" s="99">
        <f t="shared" si="273"/>
        <v>0</v>
      </c>
      <c r="AE418" s="99">
        <f t="shared" si="273"/>
        <v>0</v>
      </c>
      <c r="AF418" s="99">
        <f t="shared" si="273"/>
        <v>0</v>
      </c>
      <c r="AG418" s="99">
        <f t="shared" si="273"/>
        <v>0</v>
      </c>
      <c r="AH418" s="99">
        <f t="shared" si="273"/>
        <v>0</v>
      </c>
      <c r="AI418" s="99">
        <f t="shared" si="273"/>
        <v>0</v>
      </c>
      <c r="AJ418" s="99">
        <f t="shared" si="273"/>
        <v>0</v>
      </c>
      <c r="AK418" s="99">
        <f t="shared" si="273"/>
        <v>0</v>
      </c>
      <c r="AL418" s="99">
        <f t="shared" si="273"/>
        <v>0</v>
      </c>
      <c r="AM418" s="99">
        <f t="shared" si="273"/>
        <v>0</v>
      </c>
      <c r="AN418" s="99">
        <f t="shared" si="273"/>
        <v>0</v>
      </c>
      <c r="AO418" s="99">
        <f t="shared" si="273"/>
        <v>0</v>
      </c>
      <c r="AP418" s="99">
        <f t="shared" si="273"/>
        <v>0</v>
      </c>
      <c r="AQ418" s="99">
        <f t="shared" si="273"/>
        <v>0</v>
      </c>
      <c r="AR418" s="99">
        <f t="shared" si="273"/>
        <v>0</v>
      </c>
      <c r="AS418" s="99">
        <f t="shared" si="273"/>
        <v>0</v>
      </c>
      <c r="AT418" s="99">
        <f t="shared" si="273"/>
        <v>0</v>
      </c>
      <c r="AU418" s="99">
        <f t="shared" si="273"/>
        <v>0</v>
      </c>
      <c r="AV418" s="99">
        <f t="shared" si="273"/>
        <v>0</v>
      </c>
      <c r="AW418" s="90"/>
      <c r="AX418" s="90"/>
      <c r="AY418" s="90"/>
      <c r="AZ418" s="90"/>
      <c r="BA418" s="90"/>
      <c r="BB418" s="90"/>
      <c r="BC418" s="90"/>
      <c r="BD418" s="90"/>
      <c r="BE418" s="90"/>
      <c r="BF418" s="90"/>
      <c r="BG418" s="90"/>
      <c r="BH418" s="90"/>
      <c r="BI418" s="90"/>
      <c r="BJ418" s="90"/>
      <c r="BK418" s="90"/>
      <c r="BL418" s="90"/>
      <c r="BM418" s="90"/>
      <c r="BN418" s="90"/>
      <c r="BO418" s="90"/>
      <c r="BP418" s="90"/>
      <c r="BQ418" s="90"/>
    </row>
    <row r="419" ht="12.75" hidden="1" customHeight="1" outlineLevel="1">
      <c r="A419" s="90"/>
      <c r="B419" s="90"/>
      <c r="C419" s="90" t="s">
        <v>481</v>
      </c>
      <c r="D419" s="90"/>
      <c r="E419" s="90"/>
      <c r="F419" s="90"/>
      <c r="G419" s="179"/>
      <c r="H419" s="179"/>
      <c r="I419" s="99">
        <v>0.0</v>
      </c>
      <c r="J419" s="99">
        <v>0.0</v>
      </c>
      <c r="K419" s="99">
        <v>0.0</v>
      </c>
      <c r="L419" s="99">
        <v>0.0</v>
      </c>
      <c r="M419" s="99">
        <v>0.0</v>
      </c>
      <c r="N419" s="99">
        <v>0.0</v>
      </c>
      <c r="O419" s="99">
        <v>0.0</v>
      </c>
      <c r="P419" s="99">
        <v>0.0</v>
      </c>
      <c r="Q419" s="99">
        <v>0.0</v>
      </c>
      <c r="R419" s="99">
        <v>0.0</v>
      </c>
      <c r="S419" s="99">
        <v>0.0</v>
      </c>
      <c r="T419" s="99">
        <v>0.0</v>
      </c>
      <c r="U419" s="99">
        <v>0.0</v>
      </c>
      <c r="V419" s="99">
        <v>0.0</v>
      </c>
      <c r="W419" s="99">
        <v>0.0</v>
      </c>
      <c r="X419" s="99">
        <v>0.0</v>
      </c>
      <c r="Y419" s="99">
        <v>0.0</v>
      </c>
      <c r="Z419" s="99">
        <v>0.0</v>
      </c>
      <c r="AA419" s="99">
        <v>0.0</v>
      </c>
      <c r="AB419" s="99">
        <v>0.0</v>
      </c>
      <c r="AC419" s="99">
        <v>0.0</v>
      </c>
      <c r="AD419" s="99">
        <v>0.0</v>
      </c>
      <c r="AE419" s="99">
        <v>0.0</v>
      </c>
      <c r="AF419" s="99">
        <v>0.0</v>
      </c>
      <c r="AG419" s="99">
        <v>0.0</v>
      </c>
      <c r="AH419" s="99">
        <v>0.0</v>
      </c>
      <c r="AI419" s="99">
        <v>0.0</v>
      </c>
      <c r="AJ419" s="99">
        <v>0.0</v>
      </c>
      <c r="AK419" s="99">
        <v>0.0</v>
      </c>
      <c r="AL419" s="99">
        <v>0.0</v>
      </c>
      <c r="AM419" s="99">
        <v>0.0</v>
      </c>
      <c r="AN419" s="99">
        <v>0.0</v>
      </c>
      <c r="AO419" s="99">
        <v>0.0</v>
      </c>
      <c r="AP419" s="99">
        <v>0.0</v>
      </c>
      <c r="AQ419" s="99">
        <v>0.0</v>
      </c>
      <c r="AR419" s="99">
        <v>0.0</v>
      </c>
      <c r="AS419" s="99">
        <v>0.0</v>
      </c>
      <c r="AT419" s="99">
        <v>0.0</v>
      </c>
      <c r="AU419" s="99">
        <v>0.0</v>
      </c>
      <c r="AV419" s="99">
        <v>0.0</v>
      </c>
      <c r="AW419" s="90"/>
      <c r="AX419" s="90"/>
      <c r="AY419" s="90"/>
      <c r="AZ419" s="90"/>
      <c r="BA419" s="90"/>
      <c r="BB419" s="90"/>
      <c r="BC419" s="90"/>
      <c r="BD419" s="90"/>
      <c r="BE419" s="90"/>
      <c r="BF419" s="90"/>
      <c r="BG419" s="90"/>
      <c r="BH419" s="90"/>
      <c r="BI419" s="90"/>
      <c r="BJ419" s="90"/>
      <c r="BK419" s="90"/>
      <c r="BL419" s="90"/>
      <c r="BM419" s="90"/>
      <c r="BN419" s="90"/>
      <c r="BO419" s="90"/>
      <c r="BP419" s="90"/>
      <c r="BQ419" s="90"/>
    </row>
    <row r="420" ht="12.75" hidden="1" customHeight="1" outlineLevel="1">
      <c r="A420" s="90"/>
      <c r="B420" s="90"/>
      <c r="C420" s="90" t="s">
        <v>847</v>
      </c>
      <c r="D420" s="90"/>
      <c r="E420" s="90"/>
      <c r="F420" s="90"/>
      <c r="G420" s="179"/>
      <c r="H420" s="179"/>
      <c r="I420" s="99"/>
      <c r="J420" s="99"/>
      <c r="K420" s="99"/>
      <c r="L420" s="99"/>
      <c r="M420" s="99"/>
      <c r="N420" s="99"/>
      <c r="O420" s="99"/>
      <c r="P420" s="99"/>
      <c r="Q420" s="99"/>
      <c r="R420" s="99"/>
      <c r="S420" s="99"/>
      <c r="T420" s="99"/>
      <c r="U420" s="99"/>
      <c r="V420" s="99"/>
      <c r="W420" s="99"/>
      <c r="X420" s="99"/>
      <c r="Y420" s="99"/>
      <c r="Z420" s="99"/>
      <c r="AA420" s="99"/>
      <c r="AB420" s="99"/>
      <c r="AC420" s="99"/>
      <c r="AD420" s="99"/>
      <c r="AE420" s="99"/>
      <c r="AF420" s="99"/>
      <c r="AG420" s="99"/>
      <c r="AH420" s="99"/>
      <c r="AI420" s="99"/>
      <c r="AJ420" s="99"/>
      <c r="AK420" s="99"/>
      <c r="AL420" s="99"/>
      <c r="AM420" s="99"/>
      <c r="AN420" s="99"/>
      <c r="AO420" s="99"/>
      <c r="AP420" s="99"/>
      <c r="AQ420" s="99"/>
      <c r="AR420" s="99"/>
      <c r="AS420" s="99"/>
      <c r="AT420" s="99"/>
      <c r="AU420" s="99"/>
      <c r="AV420" s="99"/>
      <c r="AW420" s="90"/>
      <c r="AX420" s="90"/>
      <c r="AY420" s="90"/>
      <c r="AZ420" s="90"/>
      <c r="BA420" s="90"/>
      <c r="BB420" s="90"/>
      <c r="BC420" s="90"/>
      <c r="BD420" s="90"/>
      <c r="BE420" s="90"/>
      <c r="BF420" s="90"/>
      <c r="BG420" s="90"/>
      <c r="BH420" s="90"/>
      <c r="BI420" s="90"/>
      <c r="BJ420" s="90"/>
      <c r="BK420" s="90"/>
      <c r="BL420" s="90"/>
      <c r="BM420" s="90"/>
      <c r="BN420" s="90"/>
      <c r="BO420" s="90"/>
      <c r="BP420" s="90"/>
      <c r="BQ420" s="90"/>
    </row>
    <row r="421" ht="12.75" hidden="1" customHeight="1" outlineLevel="1">
      <c r="A421" s="90"/>
      <c r="B421" s="90"/>
      <c r="C421" s="90"/>
      <c r="D421" s="90" t="s">
        <v>557</v>
      </c>
      <c r="E421" s="90"/>
      <c r="F421" s="90"/>
      <c r="G421" s="179"/>
      <c r="H421" s="179"/>
      <c r="I421" s="99">
        <f>I439+I440</f>
        <v>0</v>
      </c>
      <c r="J421" s="99">
        <v>0.0</v>
      </c>
      <c r="K421" s="99">
        <f>K439+K440</f>
        <v>0</v>
      </c>
      <c r="L421" s="99">
        <f t="shared" ref="L421:AV421" si="274">-L437</f>
        <v>-40000</v>
      </c>
      <c r="M421" s="99">
        <f t="shared" si="274"/>
        <v>-40000</v>
      </c>
      <c r="N421" s="99">
        <f t="shared" si="274"/>
        <v>-40000</v>
      </c>
      <c r="O421" s="99">
        <f t="shared" si="274"/>
        <v>-40000</v>
      </c>
      <c r="P421" s="99">
        <f t="shared" si="274"/>
        <v>-40000</v>
      </c>
      <c r="Q421" s="99">
        <f t="shared" si="274"/>
        <v>0</v>
      </c>
      <c r="R421" s="99">
        <f t="shared" si="274"/>
        <v>0</v>
      </c>
      <c r="S421" s="99">
        <f t="shared" si="274"/>
        <v>0</v>
      </c>
      <c r="T421" s="99">
        <f t="shared" si="274"/>
        <v>0</v>
      </c>
      <c r="U421" s="99">
        <f t="shared" si="274"/>
        <v>0</v>
      </c>
      <c r="V421" s="99">
        <f t="shared" si="274"/>
        <v>0</v>
      </c>
      <c r="W421" s="99">
        <f t="shared" si="274"/>
        <v>0</v>
      </c>
      <c r="X421" s="99">
        <f t="shared" si="274"/>
        <v>0</v>
      </c>
      <c r="Y421" s="99">
        <f t="shared" si="274"/>
        <v>0</v>
      </c>
      <c r="Z421" s="99">
        <f t="shared" si="274"/>
        <v>0</v>
      </c>
      <c r="AA421" s="99">
        <f t="shared" si="274"/>
        <v>0</v>
      </c>
      <c r="AB421" s="99">
        <f t="shared" si="274"/>
        <v>0</v>
      </c>
      <c r="AC421" s="99">
        <f t="shared" si="274"/>
        <v>0</v>
      </c>
      <c r="AD421" s="99">
        <f t="shared" si="274"/>
        <v>0</v>
      </c>
      <c r="AE421" s="99">
        <f t="shared" si="274"/>
        <v>0</v>
      </c>
      <c r="AF421" s="99">
        <f t="shared" si="274"/>
        <v>0</v>
      </c>
      <c r="AG421" s="99">
        <f t="shared" si="274"/>
        <v>0</v>
      </c>
      <c r="AH421" s="99">
        <f t="shared" si="274"/>
        <v>0</v>
      </c>
      <c r="AI421" s="99">
        <f t="shared" si="274"/>
        <v>0</v>
      </c>
      <c r="AJ421" s="99">
        <f t="shared" si="274"/>
        <v>0</v>
      </c>
      <c r="AK421" s="99">
        <f t="shared" si="274"/>
        <v>0</v>
      </c>
      <c r="AL421" s="99">
        <f t="shared" si="274"/>
        <v>0</v>
      </c>
      <c r="AM421" s="99">
        <f t="shared" si="274"/>
        <v>0</v>
      </c>
      <c r="AN421" s="99">
        <f t="shared" si="274"/>
        <v>0</v>
      </c>
      <c r="AO421" s="99">
        <f t="shared" si="274"/>
        <v>0</v>
      </c>
      <c r="AP421" s="99">
        <f t="shared" si="274"/>
        <v>0</v>
      </c>
      <c r="AQ421" s="99">
        <f t="shared" si="274"/>
        <v>0</v>
      </c>
      <c r="AR421" s="99">
        <f t="shared" si="274"/>
        <v>0</v>
      </c>
      <c r="AS421" s="99">
        <f t="shared" si="274"/>
        <v>0</v>
      </c>
      <c r="AT421" s="99">
        <f t="shared" si="274"/>
        <v>0</v>
      </c>
      <c r="AU421" s="99">
        <f t="shared" si="274"/>
        <v>0</v>
      </c>
      <c r="AV421" s="99">
        <f t="shared" si="274"/>
        <v>0</v>
      </c>
      <c r="AW421" s="90"/>
      <c r="AX421" s="90"/>
      <c r="AY421" s="90"/>
      <c r="AZ421" s="90"/>
      <c r="BA421" s="90"/>
      <c r="BB421" s="90"/>
      <c r="BC421" s="90"/>
      <c r="BD421" s="90"/>
      <c r="BE421" s="90"/>
      <c r="BF421" s="90"/>
      <c r="BG421" s="90"/>
      <c r="BH421" s="90"/>
      <c r="BI421" s="90"/>
      <c r="BJ421" s="90"/>
      <c r="BK421" s="90"/>
      <c r="BL421" s="90"/>
      <c r="BM421" s="90"/>
      <c r="BN421" s="90"/>
      <c r="BO421" s="90"/>
      <c r="BP421" s="90"/>
      <c r="BQ421" s="90"/>
    </row>
    <row r="422" ht="12.75" hidden="1" customHeight="1" outlineLevel="1">
      <c r="A422" s="90"/>
      <c r="B422" s="90"/>
      <c r="C422" s="90"/>
      <c r="D422" s="90" t="s">
        <v>614</v>
      </c>
      <c r="E422" s="90"/>
      <c r="F422" s="90"/>
      <c r="G422" s="179"/>
      <c r="H422" s="179"/>
      <c r="I422" s="99" t="str">
        <f>I458</f>
        <v/>
      </c>
      <c r="J422" s="99">
        <v>0.0</v>
      </c>
      <c r="K422" s="99">
        <f t="shared" ref="K422:AV422" si="275">K449</f>
        <v>0</v>
      </c>
      <c r="L422" s="99">
        <f t="shared" si="275"/>
        <v>-250000</v>
      </c>
      <c r="M422" s="99">
        <f t="shared" si="275"/>
        <v>0</v>
      </c>
      <c r="N422" s="99">
        <f t="shared" si="275"/>
        <v>0</v>
      </c>
      <c r="O422" s="99">
        <f t="shared" si="275"/>
        <v>0</v>
      </c>
      <c r="P422" s="99">
        <f t="shared" si="275"/>
        <v>0</v>
      </c>
      <c r="Q422" s="99">
        <f t="shared" si="275"/>
        <v>0</v>
      </c>
      <c r="R422" s="99">
        <f t="shared" si="275"/>
        <v>0</v>
      </c>
      <c r="S422" s="99">
        <f t="shared" si="275"/>
        <v>0</v>
      </c>
      <c r="T422" s="99">
        <f t="shared" si="275"/>
        <v>0</v>
      </c>
      <c r="U422" s="99">
        <f t="shared" si="275"/>
        <v>0</v>
      </c>
      <c r="V422" s="99">
        <f t="shared" si="275"/>
        <v>0</v>
      </c>
      <c r="W422" s="99">
        <f t="shared" si="275"/>
        <v>0</v>
      </c>
      <c r="X422" s="99">
        <f t="shared" si="275"/>
        <v>0</v>
      </c>
      <c r="Y422" s="99">
        <f t="shared" si="275"/>
        <v>0</v>
      </c>
      <c r="Z422" s="99">
        <f t="shared" si="275"/>
        <v>0</v>
      </c>
      <c r="AA422" s="99">
        <f t="shared" si="275"/>
        <v>0</v>
      </c>
      <c r="AB422" s="99">
        <f t="shared" si="275"/>
        <v>0</v>
      </c>
      <c r="AC422" s="99">
        <f t="shared" si="275"/>
        <v>0</v>
      </c>
      <c r="AD422" s="99">
        <f t="shared" si="275"/>
        <v>0</v>
      </c>
      <c r="AE422" s="99">
        <f t="shared" si="275"/>
        <v>0</v>
      </c>
      <c r="AF422" s="99">
        <f t="shared" si="275"/>
        <v>0</v>
      </c>
      <c r="AG422" s="99">
        <f t="shared" si="275"/>
        <v>0</v>
      </c>
      <c r="AH422" s="99">
        <f t="shared" si="275"/>
        <v>0</v>
      </c>
      <c r="AI422" s="99">
        <f t="shared" si="275"/>
        <v>0</v>
      </c>
      <c r="AJ422" s="99">
        <f t="shared" si="275"/>
        <v>0</v>
      </c>
      <c r="AK422" s="99">
        <f t="shared" si="275"/>
        <v>0</v>
      </c>
      <c r="AL422" s="99">
        <f t="shared" si="275"/>
        <v>0</v>
      </c>
      <c r="AM422" s="99">
        <f t="shared" si="275"/>
        <v>0</v>
      </c>
      <c r="AN422" s="99">
        <f t="shared" si="275"/>
        <v>0</v>
      </c>
      <c r="AO422" s="99">
        <f t="shared" si="275"/>
        <v>0</v>
      </c>
      <c r="AP422" s="99">
        <f t="shared" si="275"/>
        <v>0</v>
      </c>
      <c r="AQ422" s="99">
        <f t="shared" si="275"/>
        <v>0</v>
      </c>
      <c r="AR422" s="99">
        <f t="shared" si="275"/>
        <v>0</v>
      </c>
      <c r="AS422" s="99">
        <f t="shared" si="275"/>
        <v>0</v>
      </c>
      <c r="AT422" s="99">
        <f t="shared" si="275"/>
        <v>0</v>
      </c>
      <c r="AU422" s="99">
        <f t="shared" si="275"/>
        <v>0</v>
      </c>
      <c r="AV422" s="99">
        <f t="shared" si="275"/>
        <v>0</v>
      </c>
      <c r="AW422" s="90"/>
      <c r="AX422" s="90"/>
      <c r="AY422" s="90"/>
      <c r="AZ422" s="90"/>
      <c r="BA422" s="90"/>
      <c r="BB422" s="90"/>
      <c r="BC422" s="90"/>
      <c r="BD422" s="90"/>
      <c r="BE422" s="90"/>
      <c r="BF422" s="90"/>
      <c r="BG422" s="90"/>
      <c r="BH422" s="90"/>
      <c r="BI422" s="90"/>
      <c r="BJ422" s="90"/>
      <c r="BK422" s="90"/>
      <c r="BL422" s="90"/>
      <c r="BM422" s="90"/>
      <c r="BN422" s="90"/>
      <c r="BO422" s="90"/>
      <c r="BP422" s="90"/>
      <c r="BQ422" s="90"/>
    </row>
    <row r="423" ht="12.75" hidden="1" customHeight="1" outlineLevel="1">
      <c r="A423" s="90"/>
      <c r="B423" s="90"/>
      <c r="C423" s="90"/>
      <c r="D423" s="90" t="s">
        <v>479</v>
      </c>
      <c r="E423" s="90"/>
      <c r="F423" s="90"/>
      <c r="G423" s="179"/>
      <c r="H423" s="179"/>
      <c r="I423" s="99">
        <v>0.0</v>
      </c>
      <c r="J423" s="99">
        <v>0.0</v>
      </c>
      <c r="K423" s="99">
        <f t="shared" ref="K423:AV423" si="276">K474</f>
        <v>0</v>
      </c>
      <c r="L423" s="99">
        <f t="shared" si="276"/>
        <v>0</v>
      </c>
      <c r="M423" s="99">
        <f t="shared" si="276"/>
        <v>0</v>
      </c>
      <c r="N423" s="99">
        <f t="shared" si="276"/>
        <v>0</v>
      </c>
      <c r="O423" s="99">
        <f t="shared" si="276"/>
        <v>0</v>
      </c>
      <c r="P423" s="99">
        <f t="shared" si="276"/>
        <v>0</v>
      </c>
      <c r="Q423" s="99">
        <f t="shared" si="276"/>
        <v>0</v>
      </c>
      <c r="R423" s="99">
        <f t="shared" si="276"/>
        <v>-250000</v>
      </c>
      <c r="S423" s="99">
        <f t="shared" si="276"/>
        <v>0</v>
      </c>
      <c r="T423" s="99">
        <f t="shared" si="276"/>
        <v>0</v>
      </c>
      <c r="U423" s="99">
        <f t="shared" si="276"/>
        <v>0</v>
      </c>
      <c r="V423" s="99">
        <f t="shared" si="276"/>
        <v>0</v>
      </c>
      <c r="W423" s="99">
        <f t="shared" si="276"/>
        <v>0</v>
      </c>
      <c r="X423" s="99">
        <f t="shared" si="276"/>
        <v>0</v>
      </c>
      <c r="Y423" s="99">
        <f t="shared" si="276"/>
        <v>0</v>
      </c>
      <c r="Z423" s="99">
        <f t="shared" si="276"/>
        <v>0</v>
      </c>
      <c r="AA423" s="99">
        <f t="shared" si="276"/>
        <v>0</v>
      </c>
      <c r="AB423" s="99">
        <f t="shared" si="276"/>
        <v>0</v>
      </c>
      <c r="AC423" s="99">
        <f t="shared" si="276"/>
        <v>0</v>
      </c>
      <c r="AD423" s="99">
        <f t="shared" si="276"/>
        <v>0</v>
      </c>
      <c r="AE423" s="99">
        <f t="shared" si="276"/>
        <v>0</v>
      </c>
      <c r="AF423" s="99">
        <f t="shared" si="276"/>
        <v>0</v>
      </c>
      <c r="AG423" s="99">
        <f t="shared" si="276"/>
        <v>0</v>
      </c>
      <c r="AH423" s="99">
        <f t="shared" si="276"/>
        <v>0</v>
      </c>
      <c r="AI423" s="99">
        <f t="shared" si="276"/>
        <v>0</v>
      </c>
      <c r="AJ423" s="99">
        <f t="shared" si="276"/>
        <v>0</v>
      </c>
      <c r="AK423" s="99">
        <f t="shared" si="276"/>
        <v>0</v>
      </c>
      <c r="AL423" s="99">
        <f t="shared" si="276"/>
        <v>0</v>
      </c>
      <c r="AM423" s="99">
        <f t="shared" si="276"/>
        <v>0</v>
      </c>
      <c r="AN423" s="99">
        <f t="shared" si="276"/>
        <v>0</v>
      </c>
      <c r="AO423" s="99">
        <f t="shared" si="276"/>
        <v>0</v>
      </c>
      <c r="AP423" s="99">
        <f t="shared" si="276"/>
        <v>0</v>
      </c>
      <c r="AQ423" s="99">
        <f t="shared" si="276"/>
        <v>0</v>
      </c>
      <c r="AR423" s="99">
        <f t="shared" si="276"/>
        <v>0</v>
      </c>
      <c r="AS423" s="99">
        <f t="shared" si="276"/>
        <v>0</v>
      </c>
      <c r="AT423" s="99">
        <f t="shared" si="276"/>
        <v>0</v>
      </c>
      <c r="AU423" s="99">
        <f t="shared" si="276"/>
        <v>0</v>
      </c>
      <c r="AV423" s="99">
        <f t="shared" si="276"/>
        <v>0</v>
      </c>
      <c r="AW423" s="90"/>
      <c r="AX423" s="90"/>
      <c r="AY423" s="90"/>
      <c r="AZ423" s="90"/>
      <c r="BA423" s="90"/>
      <c r="BB423" s="90"/>
      <c r="BC423" s="90"/>
      <c r="BD423" s="90"/>
      <c r="BE423" s="90"/>
      <c r="BF423" s="90"/>
      <c r="BG423" s="90"/>
      <c r="BH423" s="90"/>
      <c r="BI423" s="90"/>
      <c r="BJ423" s="90"/>
      <c r="BK423" s="90"/>
      <c r="BL423" s="90"/>
      <c r="BM423" s="90"/>
      <c r="BN423" s="90"/>
      <c r="BO423" s="90"/>
      <c r="BP423" s="90"/>
      <c r="BQ423" s="90"/>
    </row>
    <row r="424" ht="12.75" hidden="1" customHeight="1" outlineLevel="1">
      <c r="A424" s="90"/>
      <c r="B424" s="90"/>
      <c r="C424" s="90"/>
      <c r="D424" s="90" t="s">
        <v>148</v>
      </c>
      <c r="E424" s="90"/>
      <c r="F424" s="90"/>
      <c r="G424" s="179"/>
      <c r="H424" s="179"/>
      <c r="I424" s="99" t="str">
        <f>I459</f>
        <v/>
      </c>
      <c r="J424" s="99">
        <v>0.0</v>
      </c>
      <c r="K424" s="99" t="str">
        <f t="shared" ref="K424:AV424" si="277">K457</f>
        <v>#REF!</v>
      </c>
      <c r="L424" s="99" t="str">
        <f t="shared" si="277"/>
        <v>#REF!</v>
      </c>
      <c r="M424" s="99" t="str">
        <f t="shared" si="277"/>
        <v>#REF!</v>
      </c>
      <c r="N424" s="99" t="str">
        <f t="shared" si="277"/>
        <v>#REF!</v>
      </c>
      <c r="O424" s="99" t="str">
        <f t="shared" si="277"/>
        <v>#REF!</v>
      </c>
      <c r="P424" s="99" t="str">
        <f t="shared" si="277"/>
        <v>#REF!</v>
      </c>
      <c r="Q424" s="99" t="str">
        <f t="shared" si="277"/>
        <v>#REF!</v>
      </c>
      <c r="R424" s="99" t="str">
        <f t="shared" si="277"/>
        <v>#REF!</v>
      </c>
      <c r="S424" s="99" t="str">
        <f t="shared" si="277"/>
        <v>#REF!</v>
      </c>
      <c r="T424" s="99" t="str">
        <f t="shared" si="277"/>
        <v>#REF!</v>
      </c>
      <c r="U424" s="99" t="str">
        <f t="shared" si="277"/>
        <v>#REF!</v>
      </c>
      <c r="V424" s="99" t="str">
        <f t="shared" si="277"/>
        <v>#REF!</v>
      </c>
      <c r="W424" s="99" t="str">
        <f t="shared" si="277"/>
        <v>#REF!</v>
      </c>
      <c r="X424" s="99" t="str">
        <f t="shared" si="277"/>
        <v>#REF!</v>
      </c>
      <c r="Y424" s="99" t="str">
        <f t="shared" si="277"/>
        <v>#REF!</v>
      </c>
      <c r="Z424" s="99" t="str">
        <f t="shared" si="277"/>
        <v>#REF!</v>
      </c>
      <c r="AA424" s="99" t="str">
        <f t="shared" si="277"/>
        <v>#REF!</v>
      </c>
      <c r="AB424" s="99" t="str">
        <f t="shared" si="277"/>
        <v>#REF!</v>
      </c>
      <c r="AC424" s="99" t="str">
        <f t="shared" si="277"/>
        <v>#REF!</v>
      </c>
      <c r="AD424" s="99" t="str">
        <f t="shared" si="277"/>
        <v>#REF!</v>
      </c>
      <c r="AE424" s="99" t="str">
        <f t="shared" si="277"/>
        <v>#REF!</v>
      </c>
      <c r="AF424" s="99" t="str">
        <f t="shared" si="277"/>
        <v>#REF!</v>
      </c>
      <c r="AG424" s="99" t="str">
        <f t="shared" si="277"/>
        <v>#REF!</v>
      </c>
      <c r="AH424" s="99" t="str">
        <f t="shared" si="277"/>
        <v>#REF!</v>
      </c>
      <c r="AI424" s="99" t="str">
        <f t="shared" si="277"/>
        <v>#REF!</v>
      </c>
      <c r="AJ424" s="99" t="str">
        <f t="shared" si="277"/>
        <v>#REF!</v>
      </c>
      <c r="AK424" s="99" t="str">
        <f t="shared" si="277"/>
        <v>#REF!</v>
      </c>
      <c r="AL424" s="99" t="str">
        <f t="shared" si="277"/>
        <v>#REF!</v>
      </c>
      <c r="AM424" s="99" t="str">
        <f t="shared" si="277"/>
        <v>#REF!</v>
      </c>
      <c r="AN424" s="99" t="str">
        <f t="shared" si="277"/>
        <v>#REF!</v>
      </c>
      <c r="AO424" s="99" t="str">
        <f t="shared" si="277"/>
        <v>#REF!</v>
      </c>
      <c r="AP424" s="99" t="str">
        <f t="shared" si="277"/>
        <v>#REF!</v>
      </c>
      <c r="AQ424" s="99" t="str">
        <f t="shared" si="277"/>
        <v>#REF!</v>
      </c>
      <c r="AR424" s="99" t="str">
        <f t="shared" si="277"/>
        <v>#REF!</v>
      </c>
      <c r="AS424" s="99" t="str">
        <f t="shared" si="277"/>
        <v>#REF!</v>
      </c>
      <c r="AT424" s="99" t="str">
        <f t="shared" si="277"/>
        <v>#REF!</v>
      </c>
      <c r="AU424" s="99" t="str">
        <f t="shared" si="277"/>
        <v>#REF!</v>
      </c>
      <c r="AV424" s="99" t="str">
        <f t="shared" si="277"/>
        <v>#REF!</v>
      </c>
      <c r="AW424" s="90"/>
      <c r="AX424" s="90"/>
      <c r="AY424" s="90"/>
      <c r="AZ424" s="90"/>
      <c r="BA424" s="90"/>
      <c r="BB424" s="90"/>
      <c r="BC424" s="90"/>
      <c r="BD424" s="90"/>
      <c r="BE424" s="90"/>
      <c r="BF424" s="90"/>
      <c r="BG424" s="90"/>
      <c r="BH424" s="90"/>
      <c r="BI424" s="90"/>
      <c r="BJ424" s="90"/>
      <c r="BK424" s="90"/>
      <c r="BL424" s="90"/>
      <c r="BM424" s="90"/>
      <c r="BN424" s="90"/>
      <c r="BO424" s="90"/>
      <c r="BP424" s="90"/>
      <c r="BQ424" s="90"/>
    </row>
    <row r="425" ht="12.75" hidden="1" customHeight="1" outlineLevel="1">
      <c r="A425" s="90"/>
      <c r="B425" s="148" t="s">
        <v>482</v>
      </c>
      <c r="C425" s="148"/>
      <c r="D425" s="148"/>
      <c r="E425" s="148"/>
      <c r="F425" s="148"/>
      <c r="G425" s="148"/>
      <c r="H425" s="148"/>
      <c r="I425" s="150">
        <f>SUM(I415:I424)</f>
        <v>0</v>
      </c>
      <c r="J425" s="150">
        <v>0.0</v>
      </c>
      <c r="K425" s="150" t="str">
        <f t="shared" ref="K425:AV425" si="278">SUM(K415:K424)</f>
        <v>#REF!</v>
      </c>
      <c r="L425" s="150" t="str">
        <f t="shared" si="278"/>
        <v>#REF!</v>
      </c>
      <c r="M425" s="150" t="str">
        <f t="shared" si="278"/>
        <v>#REF!</v>
      </c>
      <c r="N425" s="150" t="str">
        <f t="shared" si="278"/>
        <v>#REF!</v>
      </c>
      <c r="O425" s="150" t="str">
        <f t="shared" si="278"/>
        <v>#REF!</v>
      </c>
      <c r="P425" s="150" t="str">
        <f t="shared" si="278"/>
        <v>#REF!</v>
      </c>
      <c r="Q425" s="150" t="str">
        <f t="shared" si="278"/>
        <v>#REF!</v>
      </c>
      <c r="R425" s="150" t="str">
        <f t="shared" si="278"/>
        <v>#REF!</v>
      </c>
      <c r="S425" s="150" t="str">
        <f t="shared" si="278"/>
        <v>#REF!</v>
      </c>
      <c r="T425" s="150" t="str">
        <f t="shared" si="278"/>
        <v>#REF!</v>
      </c>
      <c r="U425" s="150" t="str">
        <f t="shared" si="278"/>
        <v>#REF!</v>
      </c>
      <c r="V425" s="150" t="str">
        <f t="shared" si="278"/>
        <v>#REF!</v>
      </c>
      <c r="W425" s="150" t="str">
        <f t="shared" si="278"/>
        <v>#REF!</v>
      </c>
      <c r="X425" s="150" t="str">
        <f t="shared" si="278"/>
        <v>#REF!</v>
      </c>
      <c r="Y425" s="150" t="str">
        <f t="shared" si="278"/>
        <v>#REF!</v>
      </c>
      <c r="Z425" s="150" t="str">
        <f t="shared" si="278"/>
        <v>#REF!</v>
      </c>
      <c r="AA425" s="150" t="str">
        <f t="shared" si="278"/>
        <v>#REF!</v>
      </c>
      <c r="AB425" s="150" t="str">
        <f t="shared" si="278"/>
        <v>#REF!</v>
      </c>
      <c r="AC425" s="150" t="str">
        <f t="shared" si="278"/>
        <v>#REF!</v>
      </c>
      <c r="AD425" s="150" t="str">
        <f t="shared" si="278"/>
        <v>#REF!</v>
      </c>
      <c r="AE425" s="150" t="str">
        <f t="shared" si="278"/>
        <v>#REF!</v>
      </c>
      <c r="AF425" s="150" t="str">
        <f t="shared" si="278"/>
        <v>#REF!</v>
      </c>
      <c r="AG425" s="150" t="str">
        <f t="shared" si="278"/>
        <v>#REF!</v>
      </c>
      <c r="AH425" s="150" t="str">
        <f t="shared" si="278"/>
        <v>#REF!</v>
      </c>
      <c r="AI425" s="150" t="str">
        <f t="shared" si="278"/>
        <v>#REF!</v>
      </c>
      <c r="AJ425" s="150" t="str">
        <f t="shared" si="278"/>
        <v>#REF!</v>
      </c>
      <c r="AK425" s="150" t="str">
        <f t="shared" si="278"/>
        <v>#REF!</v>
      </c>
      <c r="AL425" s="150" t="str">
        <f t="shared" si="278"/>
        <v>#REF!</v>
      </c>
      <c r="AM425" s="150" t="str">
        <f t="shared" si="278"/>
        <v>#REF!</v>
      </c>
      <c r="AN425" s="150" t="str">
        <f t="shared" si="278"/>
        <v>#REF!</v>
      </c>
      <c r="AO425" s="150" t="str">
        <f t="shared" si="278"/>
        <v>#REF!</v>
      </c>
      <c r="AP425" s="150" t="str">
        <f t="shared" si="278"/>
        <v>#REF!</v>
      </c>
      <c r="AQ425" s="150" t="str">
        <f t="shared" si="278"/>
        <v>#REF!</v>
      </c>
      <c r="AR425" s="150" t="str">
        <f t="shared" si="278"/>
        <v>#REF!</v>
      </c>
      <c r="AS425" s="150" t="str">
        <f t="shared" si="278"/>
        <v>#REF!</v>
      </c>
      <c r="AT425" s="150" t="str">
        <f t="shared" si="278"/>
        <v>#REF!</v>
      </c>
      <c r="AU425" s="150" t="str">
        <f t="shared" si="278"/>
        <v>#REF!</v>
      </c>
      <c r="AV425" s="150" t="str">
        <f t="shared" si="278"/>
        <v>#REF!</v>
      </c>
      <c r="AW425" s="90"/>
      <c r="AX425" s="90"/>
      <c r="AY425" s="90"/>
      <c r="AZ425" s="90"/>
      <c r="BA425" s="90"/>
      <c r="BB425" s="90"/>
      <c r="BC425" s="90"/>
      <c r="BD425" s="90"/>
      <c r="BE425" s="90"/>
      <c r="BF425" s="90"/>
      <c r="BG425" s="90"/>
      <c r="BH425" s="90"/>
      <c r="BI425" s="90"/>
      <c r="BJ425" s="90"/>
      <c r="BK425" s="90"/>
      <c r="BL425" s="90"/>
      <c r="BM425" s="90"/>
      <c r="BN425" s="90"/>
      <c r="BO425" s="90"/>
      <c r="BP425" s="90"/>
      <c r="BQ425" s="90"/>
    </row>
    <row r="426" ht="12.75" hidden="1" customHeight="1" outlineLevel="1">
      <c r="A426" s="553" t="s">
        <v>483</v>
      </c>
      <c r="B426" s="134"/>
      <c r="C426" s="134"/>
      <c r="D426" s="134"/>
      <c r="E426" s="134"/>
      <c r="F426" s="134"/>
      <c r="G426" s="300"/>
      <c r="H426" s="300"/>
      <c r="I426" s="251">
        <f>I406+I411+I425</f>
        <v>0</v>
      </c>
      <c r="J426" s="251">
        <v>79351.9</v>
      </c>
      <c r="K426" s="251" t="str">
        <f t="shared" ref="K426:AV426" si="279">K406+K411+K425</f>
        <v>#REF!</v>
      </c>
      <c r="L426" s="251" t="str">
        <f t="shared" si="279"/>
        <v>#REF!</v>
      </c>
      <c r="M426" s="251" t="str">
        <f t="shared" si="279"/>
        <v>#REF!</v>
      </c>
      <c r="N426" s="251" t="str">
        <f t="shared" si="279"/>
        <v>#REF!</v>
      </c>
      <c r="O426" s="251" t="str">
        <f t="shared" si="279"/>
        <v>#REF!</v>
      </c>
      <c r="P426" s="251" t="str">
        <f t="shared" si="279"/>
        <v>#REF!</v>
      </c>
      <c r="Q426" s="251" t="str">
        <f t="shared" si="279"/>
        <v>#REF!</v>
      </c>
      <c r="R426" s="251" t="str">
        <f t="shared" si="279"/>
        <v>#REF!</v>
      </c>
      <c r="S426" s="251" t="str">
        <f t="shared" si="279"/>
        <v>#REF!</v>
      </c>
      <c r="T426" s="251" t="str">
        <f t="shared" si="279"/>
        <v>#REF!</v>
      </c>
      <c r="U426" s="251" t="str">
        <f t="shared" si="279"/>
        <v>#REF!</v>
      </c>
      <c r="V426" s="251" t="str">
        <f t="shared" si="279"/>
        <v>#REF!</v>
      </c>
      <c r="W426" s="251" t="str">
        <f t="shared" si="279"/>
        <v>#REF!</v>
      </c>
      <c r="X426" s="251" t="str">
        <f t="shared" si="279"/>
        <v>#REF!</v>
      </c>
      <c r="Y426" s="251" t="str">
        <f t="shared" si="279"/>
        <v>#REF!</v>
      </c>
      <c r="Z426" s="251" t="str">
        <f t="shared" si="279"/>
        <v>#REF!</v>
      </c>
      <c r="AA426" s="251" t="str">
        <f t="shared" si="279"/>
        <v>#REF!</v>
      </c>
      <c r="AB426" s="251" t="str">
        <f t="shared" si="279"/>
        <v>#REF!</v>
      </c>
      <c r="AC426" s="251" t="str">
        <f t="shared" si="279"/>
        <v>#REF!</v>
      </c>
      <c r="AD426" s="251" t="str">
        <f t="shared" si="279"/>
        <v>#REF!</v>
      </c>
      <c r="AE426" s="251" t="str">
        <f t="shared" si="279"/>
        <v>#REF!</v>
      </c>
      <c r="AF426" s="251" t="str">
        <f t="shared" si="279"/>
        <v>#REF!</v>
      </c>
      <c r="AG426" s="251" t="str">
        <f t="shared" si="279"/>
        <v>#REF!</v>
      </c>
      <c r="AH426" s="251" t="str">
        <f t="shared" si="279"/>
        <v>#REF!</v>
      </c>
      <c r="AI426" s="251" t="str">
        <f t="shared" si="279"/>
        <v>#REF!</v>
      </c>
      <c r="AJ426" s="251" t="str">
        <f t="shared" si="279"/>
        <v>#REF!</v>
      </c>
      <c r="AK426" s="251" t="str">
        <f t="shared" si="279"/>
        <v>#REF!</v>
      </c>
      <c r="AL426" s="251" t="str">
        <f t="shared" si="279"/>
        <v>#REF!</v>
      </c>
      <c r="AM426" s="251" t="str">
        <f t="shared" si="279"/>
        <v>#REF!</v>
      </c>
      <c r="AN426" s="251" t="str">
        <f t="shared" si="279"/>
        <v>#REF!</v>
      </c>
      <c r="AO426" s="251" t="str">
        <f t="shared" si="279"/>
        <v>#REF!</v>
      </c>
      <c r="AP426" s="251" t="str">
        <f t="shared" si="279"/>
        <v>#REF!</v>
      </c>
      <c r="AQ426" s="251" t="str">
        <f t="shared" si="279"/>
        <v>#REF!</v>
      </c>
      <c r="AR426" s="251" t="str">
        <f t="shared" si="279"/>
        <v>#REF!</v>
      </c>
      <c r="AS426" s="251" t="str">
        <f t="shared" si="279"/>
        <v>#REF!</v>
      </c>
      <c r="AT426" s="251" t="str">
        <f t="shared" si="279"/>
        <v>#REF!</v>
      </c>
      <c r="AU426" s="251" t="str">
        <f t="shared" si="279"/>
        <v>#REF!</v>
      </c>
      <c r="AV426" s="251" t="str">
        <f t="shared" si="279"/>
        <v>#REF!</v>
      </c>
      <c r="AW426" s="90"/>
      <c r="AX426" s="90"/>
      <c r="AY426" s="90"/>
      <c r="AZ426" s="90"/>
      <c r="BA426" s="90"/>
      <c r="BB426" s="90"/>
      <c r="BC426" s="90"/>
      <c r="BD426" s="90"/>
      <c r="BE426" s="90"/>
      <c r="BF426" s="90"/>
      <c r="BG426" s="90"/>
      <c r="BH426" s="90"/>
      <c r="BI426" s="90"/>
      <c r="BJ426" s="90"/>
      <c r="BK426" s="90"/>
      <c r="BL426" s="90"/>
      <c r="BM426" s="90"/>
      <c r="BN426" s="90"/>
      <c r="BO426" s="90"/>
      <c r="BP426" s="90"/>
      <c r="BQ426" s="90"/>
    </row>
    <row r="427" ht="12.75" hidden="1" customHeight="1" outlineLevel="1">
      <c r="A427" s="515"/>
      <c r="B427" s="90" t="s">
        <v>216</v>
      </c>
      <c r="C427" s="67"/>
      <c r="D427" s="67"/>
      <c r="E427" s="67"/>
      <c r="F427" s="67"/>
      <c r="G427" s="179"/>
      <c r="H427" s="179"/>
      <c r="I427" s="147" t="str">
        <f>H428</f>
        <v/>
      </c>
      <c r="J427" s="147">
        <v>0.0</v>
      </c>
      <c r="K427" s="147">
        <f t="shared" ref="K427:AV427" si="280">J428</f>
        <v>79351.9</v>
      </c>
      <c r="L427" s="147" t="str">
        <f t="shared" si="280"/>
        <v>#REF!</v>
      </c>
      <c r="M427" s="147" t="str">
        <f t="shared" si="280"/>
        <v>#REF!</v>
      </c>
      <c r="N427" s="147" t="str">
        <f t="shared" si="280"/>
        <v>#REF!</v>
      </c>
      <c r="O427" s="147" t="str">
        <f t="shared" si="280"/>
        <v>#REF!</v>
      </c>
      <c r="P427" s="147" t="str">
        <f t="shared" si="280"/>
        <v>#REF!</v>
      </c>
      <c r="Q427" s="147" t="str">
        <f t="shared" si="280"/>
        <v>#REF!</v>
      </c>
      <c r="R427" s="147" t="str">
        <f t="shared" si="280"/>
        <v>#REF!</v>
      </c>
      <c r="S427" s="147" t="str">
        <f t="shared" si="280"/>
        <v>#REF!</v>
      </c>
      <c r="T427" s="147" t="str">
        <f t="shared" si="280"/>
        <v>#REF!</v>
      </c>
      <c r="U427" s="147" t="str">
        <f t="shared" si="280"/>
        <v>#REF!</v>
      </c>
      <c r="V427" s="147" t="str">
        <f t="shared" si="280"/>
        <v>#REF!</v>
      </c>
      <c r="W427" s="147" t="str">
        <f t="shared" si="280"/>
        <v>#REF!</v>
      </c>
      <c r="X427" s="147" t="str">
        <f t="shared" si="280"/>
        <v>#REF!</v>
      </c>
      <c r="Y427" s="147" t="str">
        <f t="shared" si="280"/>
        <v>#REF!</v>
      </c>
      <c r="Z427" s="147" t="str">
        <f t="shared" si="280"/>
        <v>#REF!</v>
      </c>
      <c r="AA427" s="147" t="str">
        <f t="shared" si="280"/>
        <v>#REF!</v>
      </c>
      <c r="AB427" s="147" t="str">
        <f t="shared" si="280"/>
        <v>#REF!</v>
      </c>
      <c r="AC427" s="147" t="str">
        <f t="shared" si="280"/>
        <v>#REF!</v>
      </c>
      <c r="AD427" s="147" t="str">
        <f t="shared" si="280"/>
        <v>#REF!</v>
      </c>
      <c r="AE427" s="147" t="str">
        <f t="shared" si="280"/>
        <v>#REF!</v>
      </c>
      <c r="AF427" s="147" t="str">
        <f t="shared" si="280"/>
        <v>#REF!</v>
      </c>
      <c r="AG427" s="147" t="str">
        <f t="shared" si="280"/>
        <v>#REF!</v>
      </c>
      <c r="AH427" s="147" t="str">
        <f t="shared" si="280"/>
        <v>#REF!</v>
      </c>
      <c r="AI427" s="147" t="str">
        <f t="shared" si="280"/>
        <v>#REF!</v>
      </c>
      <c r="AJ427" s="147" t="str">
        <f t="shared" si="280"/>
        <v>#REF!</v>
      </c>
      <c r="AK427" s="147" t="str">
        <f t="shared" si="280"/>
        <v>#REF!</v>
      </c>
      <c r="AL427" s="147" t="str">
        <f t="shared" si="280"/>
        <v>#REF!</v>
      </c>
      <c r="AM427" s="147" t="str">
        <f t="shared" si="280"/>
        <v>#REF!</v>
      </c>
      <c r="AN427" s="147" t="str">
        <f t="shared" si="280"/>
        <v>#REF!</v>
      </c>
      <c r="AO427" s="147" t="str">
        <f t="shared" si="280"/>
        <v>#REF!</v>
      </c>
      <c r="AP427" s="147" t="str">
        <f t="shared" si="280"/>
        <v>#REF!</v>
      </c>
      <c r="AQ427" s="147" t="str">
        <f t="shared" si="280"/>
        <v>#REF!</v>
      </c>
      <c r="AR427" s="147" t="str">
        <f t="shared" si="280"/>
        <v>#REF!</v>
      </c>
      <c r="AS427" s="147" t="str">
        <f t="shared" si="280"/>
        <v>#REF!</v>
      </c>
      <c r="AT427" s="147" t="str">
        <f t="shared" si="280"/>
        <v>#REF!</v>
      </c>
      <c r="AU427" s="147" t="str">
        <f t="shared" si="280"/>
        <v>#REF!</v>
      </c>
      <c r="AV427" s="147" t="str">
        <f t="shared" si="280"/>
        <v>#REF!</v>
      </c>
      <c r="AW427" s="90"/>
      <c r="AX427" s="90"/>
      <c r="AY427" s="90"/>
      <c r="AZ427" s="90"/>
      <c r="BA427" s="90"/>
      <c r="BB427" s="90"/>
      <c r="BC427" s="90"/>
      <c r="BD427" s="90"/>
      <c r="BE427" s="90"/>
      <c r="BF427" s="90"/>
      <c r="BG427" s="90"/>
      <c r="BH427" s="90"/>
      <c r="BI427" s="90"/>
      <c r="BJ427" s="90"/>
      <c r="BK427" s="90"/>
      <c r="BL427" s="90"/>
      <c r="BM427" s="90"/>
      <c r="BN427" s="90"/>
      <c r="BO427" s="90"/>
      <c r="BP427" s="90"/>
      <c r="BQ427" s="90"/>
    </row>
    <row r="428" ht="12.75" hidden="1" customHeight="1" outlineLevel="1">
      <c r="A428" s="554" t="s">
        <v>484</v>
      </c>
      <c r="B428" s="131"/>
      <c r="C428" s="131"/>
      <c r="D428" s="131"/>
      <c r="E428" s="131"/>
      <c r="F428" s="131"/>
      <c r="G428" s="131"/>
      <c r="H428" s="131"/>
      <c r="I428" s="252">
        <f>I426+I427</f>
        <v>0</v>
      </c>
      <c r="J428" s="252">
        <v>79351.9</v>
      </c>
      <c r="K428" s="252" t="str">
        <f t="shared" ref="K428:AV428" si="281">K426+K427</f>
        <v>#REF!</v>
      </c>
      <c r="L428" s="252" t="str">
        <f t="shared" si="281"/>
        <v>#REF!</v>
      </c>
      <c r="M428" s="252" t="str">
        <f t="shared" si="281"/>
        <v>#REF!</v>
      </c>
      <c r="N428" s="252" t="str">
        <f t="shared" si="281"/>
        <v>#REF!</v>
      </c>
      <c r="O428" s="252" t="str">
        <f t="shared" si="281"/>
        <v>#REF!</v>
      </c>
      <c r="P428" s="252" t="str">
        <f t="shared" si="281"/>
        <v>#REF!</v>
      </c>
      <c r="Q428" s="252" t="str">
        <f t="shared" si="281"/>
        <v>#REF!</v>
      </c>
      <c r="R428" s="252" t="str">
        <f t="shared" si="281"/>
        <v>#REF!</v>
      </c>
      <c r="S428" s="252" t="str">
        <f t="shared" si="281"/>
        <v>#REF!</v>
      </c>
      <c r="T428" s="252" t="str">
        <f t="shared" si="281"/>
        <v>#REF!</v>
      </c>
      <c r="U428" s="252" t="str">
        <f t="shared" si="281"/>
        <v>#REF!</v>
      </c>
      <c r="V428" s="252" t="str">
        <f t="shared" si="281"/>
        <v>#REF!</v>
      </c>
      <c r="W428" s="252" t="str">
        <f t="shared" si="281"/>
        <v>#REF!</v>
      </c>
      <c r="X428" s="252" t="str">
        <f t="shared" si="281"/>
        <v>#REF!</v>
      </c>
      <c r="Y428" s="252" t="str">
        <f t="shared" si="281"/>
        <v>#REF!</v>
      </c>
      <c r="Z428" s="252" t="str">
        <f t="shared" si="281"/>
        <v>#REF!</v>
      </c>
      <c r="AA428" s="252" t="str">
        <f t="shared" si="281"/>
        <v>#REF!</v>
      </c>
      <c r="AB428" s="252" t="str">
        <f t="shared" si="281"/>
        <v>#REF!</v>
      </c>
      <c r="AC428" s="252" t="str">
        <f t="shared" si="281"/>
        <v>#REF!</v>
      </c>
      <c r="AD428" s="252" t="str">
        <f t="shared" si="281"/>
        <v>#REF!</v>
      </c>
      <c r="AE428" s="252" t="str">
        <f t="shared" si="281"/>
        <v>#REF!</v>
      </c>
      <c r="AF428" s="252" t="str">
        <f t="shared" si="281"/>
        <v>#REF!</v>
      </c>
      <c r="AG428" s="252" t="str">
        <f t="shared" si="281"/>
        <v>#REF!</v>
      </c>
      <c r="AH428" s="252" t="str">
        <f t="shared" si="281"/>
        <v>#REF!</v>
      </c>
      <c r="AI428" s="252" t="str">
        <f t="shared" si="281"/>
        <v>#REF!</v>
      </c>
      <c r="AJ428" s="252" t="str">
        <f t="shared" si="281"/>
        <v>#REF!</v>
      </c>
      <c r="AK428" s="252" t="str">
        <f t="shared" si="281"/>
        <v>#REF!</v>
      </c>
      <c r="AL428" s="252" t="str">
        <f t="shared" si="281"/>
        <v>#REF!</v>
      </c>
      <c r="AM428" s="252" t="str">
        <f t="shared" si="281"/>
        <v>#REF!</v>
      </c>
      <c r="AN428" s="252" t="str">
        <f t="shared" si="281"/>
        <v>#REF!</v>
      </c>
      <c r="AO428" s="252" t="str">
        <f t="shared" si="281"/>
        <v>#REF!</v>
      </c>
      <c r="AP428" s="252" t="str">
        <f t="shared" si="281"/>
        <v>#REF!</v>
      </c>
      <c r="AQ428" s="252" t="str">
        <f t="shared" si="281"/>
        <v>#REF!</v>
      </c>
      <c r="AR428" s="252" t="str">
        <f t="shared" si="281"/>
        <v>#REF!</v>
      </c>
      <c r="AS428" s="252" t="str">
        <f t="shared" si="281"/>
        <v>#REF!</v>
      </c>
      <c r="AT428" s="252" t="str">
        <f t="shared" si="281"/>
        <v>#REF!</v>
      </c>
      <c r="AU428" s="252" t="str">
        <f t="shared" si="281"/>
        <v>#REF!</v>
      </c>
      <c r="AV428" s="252" t="str">
        <f t="shared" si="281"/>
        <v>#REF!</v>
      </c>
      <c r="AW428" s="90"/>
      <c r="AX428" s="90"/>
      <c r="AY428" s="90"/>
      <c r="AZ428" s="90"/>
      <c r="BA428" s="90"/>
      <c r="BB428" s="90"/>
      <c r="BC428" s="90"/>
      <c r="BD428" s="90"/>
      <c r="BE428" s="90"/>
      <c r="BF428" s="90"/>
      <c r="BG428" s="90"/>
      <c r="BH428" s="90"/>
      <c r="BI428" s="90"/>
      <c r="BJ428" s="90"/>
      <c r="BK428" s="90"/>
      <c r="BL428" s="90"/>
      <c r="BM428" s="90"/>
      <c r="BN428" s="90"/>
      <c r="BO428" s="90"/>
      <c r="BP428" s="90"/>
      <c r="BQ428" s="90"/>
    </row>
    <row r="429" ht="12.75" hidden="1" customHeight="1" outlineLevel="1">
      <c r="A429" s="515"/>
      <c r="B429" s="90"/>
      <c r="C429" s="90"/>
      <c r="D429" s="90"/>
      <c r="E429" s="90"/>
      <c r="F429" s="90"/>
      <c r="G429" s="179"/>
      <c r="H429" s="179"/>
      <c r="I429" s="114"/>
      <c r="J429" s="114"/>
      <c r="K429" s="114"/>
      <c r="L429" s="114"/>
      <c r="M429" s="114"/>
      <c r="N429" s="114"/>
      <c r="O429" s="114"/>
      <c r="P429" s="114"/>
      <c r="Q429" s="114"/>
      <c r="R429" s="114"/>
      <c r="S429" s="114"/>
      <c r="T429" s="91"/>
      <c r="U429" s="91"/>
      <c r="V429" s="91"/>
      <c r="W429" s="91"/>
      <c r="X429" s="91"/>
      <c r="Y429" s="91"/>
      <c r="Z429" s="91"/>
      <c r="AA429" s="91"/>
      <c r="AB429" s="91"/>
      <c r="AC429" s="91"/>
      <c r="AD429" s="91"/>
      <c r="AE429" s="91"/>
      <c r="AF429" s="91"/>
      <c r="AG429" s="91"/>
      <c r="AH429" s="91"/>
      <c r="AI429" s="91"/>
      <c r="AJ429" s="91"/>
      <c r="AK429" s="91"/>
      <c r="AL429" s="91"/>
      <c r="AM429" s="91"/>
      <c r="AN429" s="91"/>
      <c r="AO429" s="91"/>
      <c r="AP429" s="91"/>
      <c r="AQ429" s="91"/>
      <c r="AR429" s="91"/>
      <c r="AS429" s="91"/>
      <c r="AT429" s="91"/>
      <c r="AU429" s="91"/>
      <c r="AV429" s="91"/>
      <c r="AW429" s="90"/>
      <c r="AX429" s="90"/>
      <c r="AY429" s="90"/>
      <c r="AZ429" s="90"/>
      <c r="BA429" s="90"/>
      <c r="BB429" s="90"/>
      <c r="BC429" s="90"/>
      <c r="BD429" s="90"/>
      <c r="BE429" s="90"/>
      <c r="BF429" s="90"/>
      <c r="BG429" s="90"/>
      <c r="BH429" s="90"/>
      <c r="BI429" s="90"/>
      <c r="BJ429" s="90"/>
      <c r="BK429" s="90"/>
      <c r="BL429" s="90"/>
      <c r="BM429" s="90"/>
      <c r="BN429" s="90"/>
      <c r="BO429" s="90"/>
      <c r="BP429" s="90"/>
      <c r="BQ429" s="90"/>
    </row>
    <row r="430" ht="12.75" customHeight="1">
      <c r="A430" s="316"/>
      <c r="B430" s="90"/>
      <c r="C430" s="90"/>
      <c r="D430" s="90"/>
      <c r="E430" s="90"/>
      <c r="F430" s="90"/>
      <c r="G430" s="90"/>
      <c r="H430" s="90"/>
      <c r="I430" s="90"/>
      <c r="J430" s="90"/>
      <c r="K430" s="90"/>
      <c r="L430" s="90"/>
      <c r="M430" s="90"/>
      <c r="N430" s="90"/>
      <c r="O430" s="90"/>
      <c r="P430" s="90"/>
      <c r="Q430" s="90"/>
      <c r="R430" s="90"/>
      <c r="S430" s="90"/>
      <c r="T430" s="90"/>
      <c r="U430" s="90"/>
      <c r="V430" s="90"/>
      <c r="W430" s="90"/>
      <c r="X430" s="90"/>
      <c r="Y430" s="90"/>
      <c r="Z430" s="90"/>
      <c r="AA430" s="90"/>
      <c r="AB430" s="90"/>
      <c r="AC430" s="90"/>
      <c r="AD430" s="90"/>
      <c r="AE430" s="90"/>
      <c r="AF430" s="90"/>
      <c r="AG430" s="90"/>
      <c r="AH430" s="90"/>
      <c r="AI430" s="90"/>
      <c r="AJ430" s="90"/>
      <c r="AK430" s="90"/>
      <c r="AL430" s="90"/>
      <c r="AM430" s="90"/>
      <c r="AN430" s="90"/>
      <c r="AO430" s="90"/>
      <c r="AP430" s="90"/>
      <c r="AQ430" s="90"/>
      <c r="AR430" s="90"/>
      <c r="AS430" s="90"/>
      <c r="AT430" s="90"/>
      <c r="AU430" s="90"/>
      <c r="AV430" s="90"/>
      <c r="AW430" s="90"/>
      <c r="AX430" s="90"/>
      <c r="AY430" s="90"/>
      <c r="AZ430" s="90"/>
      <c r="BA430" s="90"/>
      <c r="BB430" s="90"/>
      <c r="BC430" s="90"/>
      <c r="BD430" s="90"/>
      <c r="BE430" s="90"/>
      <c r="BF430" s="90"/>
      <c r="BG430" s="90"/>
      <c r="BH430" s="90"/>
      <c r="BI430" s="90"/>
      <c r="BJ430" s="90"/>
      <c r="BK430" s="90"/>
      <c r="BL430" s="90"/>
      <c r="BM430" s="90"/>
      <c r="BN430" s="90"/>
      <c r="BO430" s="90"/>
      <c r="BP430" s="90"/>
      <c r="BQ430" s="90"/>
    </row>
    <row r="431" ht="12.75" customHeight="1">
      <c r="A431" s="105" t="s">
        <v>848</v>
      </c>
      <c r="B431" s="253"/>
      <c r="C431" s="253"/>
      <c r="D431" s="253"/>
      <c r="E431" s="253"/>
      <c r="F431" s="253"/>
      <c r="G431" s="253"/>
      <c r="H431" s="253"/>
      <c r="I431" s="253"/>
      <c r="J431" s="253"/>
      <c r="K431" s="253"/>
      <c r="L431" s="253"/>
      <c r="M431" s="253"/>
      <c r="N431" s="253"/>
      <c r="O431" s="253"/>
      <c r="P431" s="253"/>
      <c r="Q431" s="253"/>
      <c r="R431" s="253"/>
      <c r="S431" s="253"/>
      <c r="T431" s="253"/>
      <c r="U431" s="253"/>
      <c r="V431" s="253"/>
      <c r="W431" s="253"/>
      <c r="X431" s="253"/>
      <c r="Y431" s="253"/>
      <c r="Z431" s="253"/>
      <c r="AA431" s="253"/>
      <c r="AB431" s="253"/>
      <c r="AC431" s="253"/>
      <c r="AD431" s="253"/>
      <c r="AE431" s="253"/>
      <c r="AF431" s="253"/>
      <c r="AG431" s="253"/>
      <c r="AH431" s="253"/>
      <c r="AI431" s="253"/>
      <c r="AJ431" s="253"/>
      <c r="AK431" s="253"/>
      <c r="AL431" s="253"/>
      <c r="AM431" s="253"/>
      <c r="AN431" s="253"/>
      <c r="AO431" s="253"/>
      <c r="AP431" s="253"/>
      <c r="AQ431" s="253"/>
      <c r="AR431" s="253"/>
      <c r="AS431" s="253"/>
      <c r="AT431" s="253"/>
      <c r="AU431" s="253"/>
      <c r="AV431" s="253"/>
      <c r="AW431" s="253"/>
      <c r="AX431" s="90"/>
      <c r="AY431" s="90"/>
      <c r="AZ431" s="90"/>
      <c r="BA431" s="90"/>
      <c r="BB431" s="90"/>
      <c r="BC431" s="90"/>
      <c r="BD431" s="90"/>
      <c r="BE431" s="90"/>
      <c r="BF431" s="90"/>
      <c r="BG431" s="90"/>
      <c r="BH431" s="90"/>
      <c r="BI431" s="90"/>
      <c r="BJ431" s="90"/>
      <c r="BK431" s="90"/>
      <c r="BL431" s="90"/>
      <c r="BM431" s="90"/>
      <c r="BN431" s="90"/>
      <c r="BO431" s="90"/>
      <c r="BP431" s="90"/>
      <c r="BQ431" s="90"/>
    </row>
    <row r="432" ht="12.75" hidden="1" customHeight="1" outlineLevel="1">
      <c r="A432" s="316"/>
      <c r="B432" s="90"/>
      <c r="C432" s="90"/>
      <c r="D432" s="90"/>
      <c r="E432" s="90"/>
      <c r="F432" s="90"/>
      <c r="G432" s="90"/>
      <c r="H432" s="90"/>
      <c r="I432" s="90"/>
      <c r="J432" s="90"/>
      <c r="K432" s="90"/>
      <c r="L432" s="90"/>
      <c r="M432" s="90"/>
      <c r="N432" s="90"/>
      <c r="O432" s="90"/>
      <c r="P432" s="90"/>
      <c r="Q432" s="90"/>
      <c r="R432" s="90"/>
      <c r="S432" s="90"/>
      <c r="T432" s="90"/>
      <c r="U432" s="90"/>
      <c r="V432" s="90"/>
      <c r="W432" s="90"/>
      <c r="X432" s="90"/>
      <c r="Y432" s="90"/>
      <c r="Z432" s="90"/>
      <c r="AA432" s="90"/>
      <c r="AB432" s="90"/>
      <c r="AC432" s="90"/>
      <c r="AD432" s="90"/>
      <c r="AE432" s="90"/>
      <c r="AF432" s="90"/>
      <c r="AG432" s="90"/>
      <c r="AH432" s="90"/>
      <c r="AI432" s="90"/>
      <c r="AJ432" s="90"/>
      <c r="AK432" s="90"/>
      <c r="AL432" s="90"/>
      <c r="AM432" s="90"/>
      <c r="AN432" s="90"/>
      <c r="AO432" s="90"/>
      <c r="AP432" s="90"/>
      <c r="AQ432" s="90"/>
      <c r="AR432" s="90"/>
      <c r="AS432" s="90"/>
      <c r="AT432" s="90"/>
      <c r="AU432" s="90"/>
      <c r="AV432" s="90"/>
      <c r="AW432" s="90"/>
      <c r="AX432" s="90"/>
      <c r="AY432" s="90"/>
      <c r="AZ432" s="90"/>
      <c r="BA432" s="90"/>
      <c r="BB432" s="90"/>
      <c r="BC432" s="90"/>
      <c r="BD432" s="90"/>
      <c r="BE432" s="90"/>
      <c r="BF432" s="90"/>
      <c r="BG432" s="90"/>
      <c r="BH432" s="90"/>
      <c r="BI432" s="90"/>
      <c r="BJ432" s="90"/>
      <c r="BK432" s="90"/>
      <c r="BL432" s="90"/>
      <c r="BM432" s="90"/>
      <c r="BN432" s="90"/>
      <c r="BO432" s="90"/>
      <c r="BP432" s="90"/>
      <c r="BQ432" s="90"/>
    </row>
    <row r="433" ht="12.75" hidden="1" customHeight="1" outlineLevel="1">
      <c r="A433" s="316"/>
      <c r="B433" s="67" t="s">
        <v>557</v>
      </c>
      <c r="C433" s="90"/>
      <c r="D433" s="90"/>
      <c r="E433" s="90"/>
      <c r="F433" s="90"/>
      <c r="G433" s="90"/>
      <c r="H433" s="90"/>
      <c r="I433" s="90"/>
      <c r="J433" s="90"/>
      <c r="K433" s="90"/>
      <c r="L433" s="90"/>
      <c r="M433" s="90"/>
      <c r="N433" s="90"/>
      <c r="O433" s="90"/>
      <c r="P433" s="90"/>
      <c r="Q433" s="90"/>
      <c r="R433" s="90"/>
      <c r="S433" s="90"/>
      <c r="T433" s="90"/>
      <c r="U433" s="90"/>
      <c r="V433" s="90"/>
      <c r="W433" s="90"/>
      <c r="X433" s="90"/>
      <c r="Y433" s="90"/>
      <c r="Z433" s="90"/>
      <c r="AA433" s="90"/>
      <c r="AB433" s="90"/>
      <c r="AC433" s="90"/>
      <c r="AD433" s="90"/>
      <c r="AE433" s="90"/>
      <c r="AF433" s="90"/>
      <c r="AG433" s="90"/>
      <c r="AH433" s="90"/>
      <c r="AI433" s="90"/>
      <c r="AJ433" s="90"/>
      <c r="AK433" s="90"/>
      <c r="AL433" s="90"/>
      <c r="AM433" s="90"/>
      <c r="AN433" s="90"/>
      <c r="AO433" s="90"/>
      <c r="AP433" s="90"/>
      <c r="AQ433" s="90"/>
      <c r="AR433" s="90"/>
      <c r="AS433" s="90"/>
      <c r="AT433" s="90"/>
      <c r="AU433" s="90"/>
      <c r="AV433" s="90"/>
      <c r="AW433" s="90"/>
      <c r="AX433" s="90"/>
      <c r="AY433" s="90"/>
      <c r="AZ433" s="90"/>
      <c r="BA433" s="90"/>
      <c r="BB433" s="90"/>
      <c r="BC433" s="90"/>
      <c r="BD433" s="90"/>
      <c r="BE433" s="90"/>
      <c r="BF433" s="90"/>
      <c r="BG433" s="90"/>
      <c r="BH433" s="90"/>
      <c r="BI433" s="90"/>
      <c r="BJ433" s="90"/>
      <c r="BK433" s="90"/>
      <c r="BL433" s="90"/>
      <c r="BM433" s="90"/>
      <c r="BN433" s="90"/>
      <c r="BO433" s="90"/>
      <c r="BP433" s="90"/>
      <c r="BQ433" s="90"/>
    </row>
    <row r="434" ht="12.75" hidden="1" customHeight="1" outlineLevel="1">
      <c r="A434" s="316"/>
      <c r="B434" s="90"/>
      <c r="C434" s="90" t="s">
        <v>487</v>
      </c>
      <c r="D434" s="90"/>
      <c r="E434" s="90"/>
      <c r="F434" s="90"/>
      <c r="G434" s="254"/>
      <c r="H434" s="254"/>
      <c r="I434" s="254"/>
      <c r="J434" s="99">
        <v>0.0</v>
      </c>
      <c r="K434" s="99">
        <f t="shared" ref="K434:AV434" si="282">+J441</f>
        <v>0</v>
      </c>
      <c r="L434" s="99">
        <f t="shared" si="282"/>
        <v>100000</v>
      </c>
      <c r="M434" s="99">
        <f t="shared" si="282"/>
        <v>160000</v>
      </c>
      <c r="N434" s="99">
        <f t="shared" si="282"/>
        <v>120000</v>
      </c>
      <c r="O434" s="99">
        <f t="shared" si="282"/>
        <v>80000</v>
      </c>
      <c r="P434" s="99">
        <f t="shared" si="282"/>
        <v>40000</v>
      </c>
      <c r="Q434" s="99">
        <f t="shared" si="282"/>
        <v>0</v>
      </c>
      <c r="R434" s="99">
        <f t="shared" si="282"/>
        <v>0</v>
      </c>
      <c r="S434" s="99">
        <f t="shared" si="282"/>
        <v>0</v>
      </c>
      <c r="T434" s="99">
        <f t="shared" si="282"/>
        <v>0</v>
      </c>
      <c r="U434" s="99">
        <f t="shared" si="282"/>
        <v>0</v>
      </c>
      <c r="V434" s="99">
        <f t="shared" si="282"/>
        <v>0</v>
      </c>
      <c r="W434" s="99">
        <f t="shared" si="282"/>
        <v>0</v>
      </c>
      <c r="X434" s="99">
        <f t="shared" si="282"/>
        <v>0</v>
      </c>
      <c r="Y434" s="99">
        <f t="shared" si="282"/>
        <v>0</v>
      </c>
      <c r="Z434" s="99">
        <f t="shared" si="282"/>
        <v>0</v>
      </c>
      <c r="AA434" s="99">
        <f t="shared" si="282"/>
        <v>0</v>
      </c>
      <c r="AB434" s="99">
        <f t="shared" si="282"/>
        <v>0</v>
      </c>
      <c r="AC434" s="99">
        <f t="shared" si="282"/>
        <v>0</v>
      </c>
      <c r="AD434" s="99">
        <f t="shared" si="282"/>
        <v>0</v>
      </c>
      <c r="AE434" s="99">
        <f t="shared" si="282"/>
        <v>0</v>
      </c>
      <c r="AF434" s="99">
        <f t="shared" si="282"/>
        <v>0</v>
      </c>
      <c r="AG434" s="99">
        <f t="shared" si="282"/>
        <v>0</v>
      </c>
      <c r="AH434" s="99">
        <f t="shared" si="282"/>
        <v>0</v>
      </c>
      <c r="AI434" s="99">
        <f t="shared" si="282"/>
        <v>0</v>
      </c>
      <c r="AJ434" s="99">
        <f t="shared" si="282"/>
        <v>0</v>
      </c>
      <c r="AK434" s="99">
        <f t="shared" si="282"/>
        <v>0</v>
      </c>
      <c r="AL434" s="99">
        <f t="shared" si="282"/>
        <v>0</v>
      </c>
      <c r="AM434" s="99">
        <f t="shared" si="282"/>
        <v>0</v>
      </c>
      <c r="AN434" s="99">
        <f t="shared" si="282"/>
        <v>0</v>
      </c>
      <c r="AO434" s="99">
        <f t="shared" si="282"/>
        <v>0</v>
      </c>
      <c r="AP434" s="99">
        <f t="shared" si="282"/>
        <v>0</v>
      </c>
      <c r="AQ434" s="99">
        <f t="shared" si="282"/>
        <v>0</v>
      </c>
      <c r="AR434" s="99">
        <f t="shared" si="282"/>
        <v>0</v>
      </c>
      <c r="AS434" s="99">
        <f t="shared" si="282"/>
        <v>0</v>
      </c>
      <c r="AT434" s="99">
        <f t="shared" si="282"/>
        <v>0</v>
      </c>
      <c r="AU434" s="99">
        <f t="shared" si="282"/>
        <v>0</v>
      </c>
      <c r="AV434" s="99">
        <f t="shared" si="282"/>
        <v>0</v>
      </c>
      <c r="AW434" s="90"/>
      <c r="AX434" s="90"/>
      <c r="AY434" s="90"/>
      <c r="AZ434" s="90"/>
      <c r="BA434" s="90"/>
      <c r="BB434" s="90"/>
      <c r="BC434" s="90"/>
      <c r="BD434" s="90"/>
      <c r="BE434" s="90"/>
      <c r="BF434" s="90"/>
      <c r="BG434" s="90"/>
      <c r="BH434" s="90"/>
      <c r="BI434" s="90"/>
      <c r="BJ434" s="90"/>
      <c r="BK434" s="90"/>
      <c r="BL434" s="90"/>
      <c r="BM434" s="90"/>
      <c r="BN434" s="90"/>
      <c r="BO434" s="90"/>
      <c r="BP434" s="90"/>
      <c r="BQ434" s="90"/>
    </row>
    <row r="435" ht="12.75" hidden="1" customHeight="1" outlineLevel="1">
      <c r="A435" s="316"/>
      <c r="B435" s="90"/>
      <c r="C435" s="90" t="s">
        <v>488</v>
      </c>
      <c r="D435" s="90"/>
      <c r="E435" s="90"/>
      <c r="F435" s="90"/>
      <c r="G435" s="254"/>
      <c r="H435" s="254"/>
      <c r="I435" s="254"/>
      <c r="J435" s="254">
        <v>0.0</v>
      </c>
      <c r="K435" s="254">
        <v>100000.0</v>
      </c>
      <c r="L435" s="254">
        <v>100000.0</v>
      </c>
      <c r="M435" s="254">
        <v>0.0</v>
      </c>
      <c r="N435" s="254">
        <v>0.0</v>
      </c>
      <c r="O435" s="254">
        <v>0.0</v>
      </c>
      <c r="P435" s="254">
        <v>0.0</v>
      </c>
      <c r="Q435" s="254">
        <v>0.0</v>
      </c>
      <c r="R435" s="99">
        <v>0.0</v>
      </c>
      <c r="S435" s="99">
        <v>0.0</v>
      </c>
      <c r="T435" s="99">
        <v>0.0</v>
      </c>
      <c r="U435" s="99">
        <v>0.0</v>
      </c>
      <c r="V435" s="99">
        <v>0.0</v>
      </c>
      <c r="W435" s="99">
        <v>0.0</v>
      </c>
      <c r="X435" s="99">
        <v>0.0</v>
      </c>
      <c r="Y435" s="99">
        <v>0.0</v>
      </c>
      <c r="Z435" s="99">
        <v>0.0</v>
      </c>
      <c r="AA435" s="99">
        <v>0.0</v>
      </c>
      <c r="AB435" s="99">
        <v>0.0</v>
      </c>
      <c r="AC435" s="99">
        <v>0.0</v>
      </c>
      <c r="AD435" s="99">
        <v>0.0</v>
      </c>
      <c r="AE435" s="99">
        <v>0.0</v>
      </c>
      <c r="AF435" s="99">
        <v>0.0</v>
      </c>
      <c r="AG435" s="99">
        <v>0.0</v>
      </c>
      <c r="AH435" s="99">
        <v>0.0</v>
      </c>
      <c r="AI435" s="99">
        <v>0.0</v>
      </c>
      <c r="AJ435" s="99">
        <v>0.0</v>
      </c>
      <c r="AK435" s="99">
        <v>0.0</v>
      </c>
      <c r="AL435" s="99">
        <v>0.0</v>
      </c>
      <c r="AM435" s="99">
        <v>0.0</v>
      </c>
      <c r="AN435" s="99">
        <v>0.0</v>
      </c>
      <c r="AO435" s="99">
        <v>0.0</v>
      </c>
      <c r="AP435" s="99">
        <v>0.0</v>
      </c>
      <c r="AQ435" s="99">
        <v>0.0</v>
      </c>
      <c r="AR435" s="99">
        <v>0.0</v>
      </c>
      <c r="AS435" s="99">
        <v>0.0</v>
      </c>
      <c r="AT435" s="99">
        <v>0.0</v>
      </c>
      <c r="AU435" s="99">
        <v>0.0</v>
      </c>
      <c r="AV435" s="99">
        <v>0.0</v>
      </c>
      <c r="AW435" s="90"/>
      <c r="AX435" s="90"/>
      <c r="AY435" s="90"/>
      <c r="AZ435" s="90"/>
      <c r="BA435" s="90"/>
      <c r="BB435" s="90"/>
      <c r="BC435" s="90"/>
      <c r="BD435" s="90"/>
      <c r="BE435" s="90"/>
      <c r="BF435" s="90"/>
      <c r="BG435" s="90"/>
      <c r="BH435" s="90"/>
      <c r="BI435" s="90"/>
      <c r="BJ435" s="90"/>
      <c r="BK435" s="90"/>
      <c r="BL435" s="90"/>
      <c r="BM435" s="90"/>
      <c r="BN435" s="90"/>
      <c r="BO435" s="90"/>
      <c r="BP435" s="90"/>
      <c r="BQ435" s="90"/>
    </row>
    <row r="436" ht="12.75" hidden="1" customHeight="1" outlineLevel="1">
      <c r="A436" s="316"/>
      <c r="B436" s="90"/>
      <c r="C436" s="90" t="s">
        <v>490</v>
      </c>
      <c r="D436" s="90"/>
      <c r="E436" s="90"/>
      <c r="F436" s="90"/>
      <c r="G436" s="254"/>
      <c r="H436" s="254"/>
      <c r="I436" s="254"/>
      <c r="J436" s="254"/>
      <c r="K436" s="254"/>
      <c r="L436" s="254"/>
      <c r="M436" s="254"/>
      <c r="N436" s="254"/>
      <c r="O436" s="254"/>
      <c r="P436" s="254"/>
      <c r="Q436" s="254"/>
      <c r="R436" s="99"/>
      <c r="S436" s="99"/>
      <c r="T436" s="99"/>
      <c r="U436" s="99"/>
      <c r="V436" s="99"/>
      <c r="W436" s="99"/>
      <c r="X436" s="99"/>
      <c r="Y436" s="99"/>
      <c r="Z436" s="99"/>
      <c r="AA436" s="99"/>
      <c r="AB436" s="99"/>
      <c r="AC436" s="99"/>
      <c r="AD436" s="99"/>
      <c r="AE436" s="99"/>
      <c r="AF436" s="99"/>
      <c r="AG436" s="99"/>
      <c r="AH436" s="99"/>
      <c r="AI436" s="99"/>
      <c r="AJ436" s="99"/>
      <c r="AK436" s="99"/>
      <c r="AL436" s="99"/>
      <c r="AM436" s="99"/>
      <c r="AN436" s="99"/>
      <c r="AO436" s="99"/>
      <c r="AP436" s="99"/>
      <c r="AQ436" s="99"/>
      <c r="AR436" s="99"/>
      <c r="AS436" s="99"/>
      <c r="AT436" s="99"/>
      <c r="AU436" s="99"/>
      <c r="AV436" s="99"/>
      <c r="AW436" s="90"/>
      <c r="AX436" s="90"/>
      <c r="AY436" s="90"/>
      <c r="AZ436" s="90"/>
      <c r="BA436" s="90"/>
      <c r="BB436" s="90"/>
      <c r="BC436" s="90"/>
      <c r="BD436" s="90"/>
      <c r="BE436" s="90"/>
      <c r="BF436" s="90"/>
      <c r="BG436" s="90"/>
      <c r="BH436" s="90"/>
      <c r="BI436" s="90"/>
      <c r="BJ436" s="90"/>
      <c r="BK436" s="90"/>
      <c r="BL436" s="90"/>
      <c r="BM436" s="90"/>
      <c r="BN436" s="90"/>
      <c r="BO436" s="90"/>
      <c r="BP436" s="90"/>
      <c r="BQ436" s="90"/>
    </row>
    <row r="437" ht="12.75" hidden="1" customHeight="1" outlineLevel="1">
      <c r="A437" s="316"/>
      <c r="B437" s="90"/>
      <c r="C437" s="90"/>
      <c r="D437" s="90" t="s">
        <v>701</v>
      </c>
      <c r="E437" s="90"/>
      <c r="F437" s="90"/>
      <c r="G437" s="254"/>
      <c r="H437" s="254"/>
      <c r="I437" s="99"/>
      <c r="J437" s="99">
        <v>0.0</v>
      </c>
      <c r="K437" s="99">
        <v>0.0</v>
      </c>
      <c r="L437" s="99">
        <v>40000.0</v>
      </c>
      <c r="M437" s="99">
        <v>40000.0</v>
      </c>
      <c r="N437" s="99">
        <v>40000.0</v>
      </c>
      <c r="O437" s="99">
        <v>40000.0</v>
      </c>
      <c r="P437" s="99">
        <v>40000.0</v>
      </c>
      <c r="Q437" s="99">
        <f>Q439-Q438</f>
        <v>0</v>
      </c>
      <c r="R437" s="99">
        <v>0.0</v>
      </c>
      <c r="S437" s="99">
        <v>0.0</v>
      </c>
      <c r="T437" s="99">
        <v>0.0</v>
      </c>
      <c r="U437" s="99">
        <v>0.0</v>
      </c>
      <c r="V437" s="99">
        <v>0.0</v>
      </c>
      <c r="W437" s="99">
        <v>0.0</v>
      </c>
      <c r="X437" s="99">
        <v>0.0</v>
      </c>
      <c r="Y437" s="99">
        <v>0.0</v>
      </c>
      <c r="Z437" s="99">
        <v>0.0</v>
      </c>
      <c r="AA437" s="99">
        <v>0.0</v>
      </c>
      <c r="AB437" s="99">
        <v>0.0</v>
      </c>
      <c r="AC437" s="99">
        <v>0.0</v>
      </c>
      <c r="AD437" s="99">
        <v>0.0</v>
      </c>
      <c r="AE437" s="99">
        <v>0.0</v>
      </c>
      <c r="AF437" s="99">
        <v>0.0</v>
      </c>
      <c r="AG437" s="99">
        <v>0.0</v>
      </c>
      <c r="AH437" s="99">
        <v>0.0</v>
      </c>
      <c r="AI437" s="99">
        <v>0.0</v>
      </c>
      <c r="AJ437" s="99">
        <v>0.0</v>
      </c>
      <c r="AK437" s="99">
        <v>0.0</v>
      </c>
      <c r="AL437" s="99">
        <v>0.0</v>
      </c>
      <c r="AM437" s="99">
        <v>0.0</v>
      </c>
      <c r="AN437" s="99">
        <v>0.0</v>
      </c>
      <c r="AO437" s="99">
        <v>0.0</v>
      </c>
      <c r="AP437" s="99">
        <v>0.0</v>
      </c>
      <c r="AQ437" s="99">
        <v>0.0</v>
      </c>
      <c r="AR437" s="99">
        <v>0.0</v>
      </c>
      <c r="AS437" s="99">
        <v>0.0</v>
      </c>
      <c r="AT437" s="99">
        <v>0.0</v>
      </c>
      <c r="AU437" s="99">
        <v>0.0</v>
      </c>
      <c r="AV437" s="99">
        <v>0.0</v>
      </c>
      <c r="AW437" s="90"/>
      <c r="AX437" s="90"/>
      <c r="AY437" s="90"/>
      <c r="AZ437" s="90"/>
      <c r="BA437" s="90"/>
      <c r="BB437" s="90"/>
      <c r="BC437" s="90"/>
      <c r="BD437" s="90"/>
      <c r="BE437" s="90"/>
      <c r="BF437" s="90"/>
      <c r="BG437" s="90"/>
      <c r="BH437" s="90"/>
      <c r="BI437" s="90"/>
      <c r="BJ437" s="90"/>
      <c r="BK437" s="90"/>
      <c r="BL437" s="90"/>
      <c r="BM437" s="90"/>
      <c r="BN437" s="90"/>
      <c r="BO437" s="90"/>
      <c r="BP437" s="90"/>
      <c r="BQ437" s="90"/>
    </row>
    <row r="438" ht="12.75" hidden="1" customHeight="1" outlineLevel="1">
      <c r="A438" s="316"/>
      <c r="B438" s="90"/>
      <c r="C438" s="90"/>
      <c r="D438" s="90" t="s">
        <v>489</v>
      </c>
      <c r="E438" s="90"/>
      <c r="F438" s="90"/>
      <c r="G438" s="254"/>
      <c r="H438" s="254"/>
      <c r="I438" s="99"/>
      <c r="J438" s="99">
        <v>0.0</v>
      </c>
      <c r="K438" s="99">
        <v>0.0</v>
      </c>
      <c r="L438" s="99"/>
      <c r="M438" s="99"/>
      <c r="N438" s="99"/>
      <c r="O438" s="99"/>
      <c r="P438" s="99"/>
      <c r="Q438" s="99">
        <f>-Q434*Q249</f>
        <v>0</v>
      </c>
      <c r="R438" s="99">
        <v>0.0</v>
      </c>
      <c r="S438" s="99">
        <v>0.0</v>
      </c>
      <c r="T438" s="99">
        <v>0.0</v>
      </c>
      <c r="U438" s="99">
        <v>0.0</v>
      </c>
      <c r="V438" s="99">
        <v>0.0</v>
      </c>
      <c r="W438" s="99">
        <v>0.0</v>
      </c>
      <c r="X438" s="99">
        <v>0.0</v>
      </c>
      <c r="Y438" s="99">
        <v>0.0</v>
      </c>
      <c r="Z438" s="99">
        <v>0.0</v>
      </c>
      <c r="AA438" s="99">
        <v>0.0</v>
      </c>
      <c r="AB438" s="99">
        <v>0.0</v>
      </c>
      <c r="AC438" s="99">
        <v>0.0</v>
      </c>
      <c r="AD438" s="99">
        <v>0.0</v>
      </c>
      <c r="AE438" s="99">
        <v>0.0</v>
      </c>
      <c r="AF438" s="99">
        <v>0.0</v>
      </c>
      <c r="AG438" s="99">
        <v>0.0</v>
      </c>
      <c r="AH438" s="99">
        <v>0.0</v>
      </c>
      <c r="AI438" s="99">
        <v>0.0</v>
      </c>
      <c r="AJ438" s="99">
        <v>0.0</v>
      </c>
      <c r="AK438" s="99">
        <v>0.0</v>
      </c>
      <c r="AL438" s="99">
        <v>0.0</v>
      </c>
      <c r="AM438" s="99">
        <v>0.0</v>
      </c>
      <c r="AN438" s="99">
        <v>0.0</v>
      </c>
      <c r="AO438" s="99">
        <v>0.0</v>
      </c>
      <c r="AP438" s="99">
        <v>0.0</v>
      </c>
      <c r="AQ438" s="99">
        <v>0.0</v>
      </c>
      <c r="AR438" s="99">
        <v>0.0</v>
      </c>
      <c r="AS438" s="99">
        <v>0.0</v>
      </c>
      <c r="AT438" s="99">
        <v>0.0</v>
      </c>
      <c r="AU438" s="99">
        <v>0.0</v>
      </c>
      <c r="AV438" s="99">
        <v>0.0</v>
      </c>
      <c r="AW438" s="90"/>
      <c r="AX438" s="90"/>
      <c r="AY438" s="90"/>
      <c r="AZ438" s="90"/>
      <c r="BA438" s="90"/>
      <c r="BB438" s="90"/>
      <c r="BC438" s="90"/>
      <c r="BD438" s="90"/>
      <c r="BE438" s="90"/>
      <c r="BF438" s="90"/>
      <c r="BG438" s="90"/>
      <c r="BH438" s="90"/>
      <c r="BI438" s="90"/>
      <c r="BJ438" s="90"/>
      <c r="BK438" s="90"/>
      <c r="BL438" s="90"/>
      <c r="BM438" s="90"/>
      <c r="BN438" s="90"/>
      <c r="BO438" s="90"/>
      <c r="BP438" s="90"/>
      <c r="BQ438" s="90"/>
    </row>
    <row r="439" ht="12.75" hidden="1" customHeight="1" outlineLevel="1">
      <c r="A439" s="316"/>
      <c r="B439" s="90"/>
      <c r="C439" s="148" t="s">
        <v>849</v>
      </c>
      <c r="D439" s="148"/>
      <c r="E439" s="148"/>
      <c r="F439" s="148"/>
      <c r="G439" s="394"/>
      <c r="H439" s="394"/>
      <c r="I439" s="394"/>
      <c r="J439" s="394">
        <v>0.0</v>
      </c>
      <c r="K439" s="150">
        <f>J439</f>
        <v>0</v>
      </c>
      <c r="L439" s="394">
        <f t="shared" ref="L439:P439" si="283">-SUM(L437:L438)</f>
        <v>-40000</v>
      </c>
      <c r="M439" s="394">
        <f t="shared" si="283"/>
        <v>-40000</v>
      </c>
      <c r="N439" s="394">
        <f t="shared" si="283"/>
        <v>-40000</v>
      </c>
      <c r="O439" s="394">
        <f t="shared" si="283"/>
        <v>-40000</v>
      </c>
      <c r="P439" s="394">
        <f t="shared" si="283"/>
        <v>-40000</v>
      </c>
      <c r="Q439" s="394">
        <v>0.0</v>
      </c>
      <c r="R439" s="150">
        <v>0.0</v>
      </c>
      <c r="S439" s="150">
        <v>0.0</v>
      </c>
      <c r="T439" s="150">
        <v>0.0</v>
      </c>
      <c r="U439" s="150">
        <v>0.0</v>
      </c>
      <c r="V439" s="150">
        <v>0.0</v>
      </c>
      <c r="W439" s="150">
        <v>0.0</v>
      </c>
      <c r="X439" s="150">
        <v>0.0</v>
      </c>
      <c r="Y439" s="150">
        <v>0.0</v>
      </c>
      <c r="Z439" s="150">
        <v>0.0</v>
      </c>
      <c r="AA439" s="150">
        <v>0.0</v>
      </c>
      <c r="AB439" s="150">
        <v>0.0</v>
      </c>
      <c r="AC439" s="150">
        <v>0.0</v>
      </c>
      <c r="AD439" s="150">
        <v>0.0</v>
      </c>
      <c r="AE439" s="150">
        <v>0.0</v>
      </c>
      <c r="AF439" s="150">
        <v>0.0</v>
      </c>
      <c r="AG439" s="150">
        <v>0.0</v>
      </c>
      <c r="AH439" s="150">
        <v>0.0</v>
      </c>
      <c r="AI439" s="150">
        <v>0.0</v>
      </c>
      <c r="AJ439" s="150">
        <v>0.0</v>
      </c>
      <c r="AK439" s="150">
        <v>0.0</v>
      </c>
      <c r="AL439" s="150">
        <v>0.0</v>
      </c>
      <c r="AM439" s="150">
        <v>0.0</v>
      </c>
      <c r="AN439" s="150">
        <v>0.0</v>
      </c>
      <c r="AO439" s="150">
        <v>0.0</v>
      </c>
      <c r="AP439" s="150">
        <v>0.0</v>
      </c>
      <c r="AQ439" s="150">
        <v>0.0</v>
      </c>
      <c r="AR439" s="150">
        <v>0.0</v>
      </c>
      <c r="AS439" s="150">
        <v>0.0</v>
      </c>
      <c r="AT439" s="150">
        <v>0.0</v>
      </c>
      <c r="AU439" s="150">
        <v>0.0</v>
      </c>
      <c r="AV439" s="150">
        <v>0.0</v>
      </c>
      <c r="AW439" s="90"/>
      <c r="AX439" s="90"/>
      <c r="AY439" s="90"/>
      <c r="AZ439" s="90"/>
      <c r="BA439" s="90"/>
      <c r="BB439" s="90"/>
      <c r="BC439" s="90"/>
      <c r="BD439" s="90"/>
      <c r="BE439" s="90"/>
      <c r="BF439" s="90"/>
      <c r="BG439" s="90"/>
      <c r="BH439" s="90"/>
      <c r="BI439" s="90"/>
      <c r="BJ439" s="90"/>
      <c r="BK439" s="90"/>
      <c r="BL439" s="90"/>
      <c r="BM439" s="90"/>
      <c r="BN439" s="90"/>
      <c r="BO439" s="90"/>
      <c r="BP439" s="90"/>
      <c r="BQ439" s="90"/>
    </row>
    <row r="440" ht="12.75" hidden="1" customHeight="1" outlineLevel="1">
      <c r="A440" s="555"/>
      <c r="B440" s="90"/>
      <c r="C440" s="90" t="s">
        <v>850</v>
      </c>
      <c r="D440" s="90"/>
      <c r="E440" s="90"/>
      <c r="F440" s="90"/>
      <c r="G440" s="99"/>
      <c r="H440" s="99"/>
      <c r="I440" s="254"/>
      <c r="J440" s="254">
        <v>0.0</v>
      </c>
      <c r="K440" s="99">
        <v>0.0</v>
      </c>
      <c r="L440" s="254">
        <v>0.0</v>
      </c>
      <c r="M440" s="254">
        <v>0.0</v>
      </c>
      <c r="N440" s="254">
        <v>0.0</v>
      </c>
      <c r="O440" s="254">
        <v>0.0</v>
      </c>
      <c r="P440" s="254">
        <v>0.0</v>
      </c>
      <c r="Q440" s="254">
        <v>0.0</v>
      </c>
      <c r="R440" s="99">
        <v>0.0</v>
      </c>
      <c r="S440" s="99">
        <v>0.0</v>
      </c>
      <c r="T440" s="99">
        <v>0.0</v>
      </c>
      <c r="U440" s="99">
        <v>0.0</v>
      </c>
      <c r="V440" s="99">
        <v>0.0</v>
      </c>
      <c r="W440" s="99">
        <v>0.0</v>
      </c>
      <c r="X440" s="99">
        <v>0.0</v>
      </c>
      <c r="Y440" s="99">
        <v>0.0</v>
      </c>
      <c r="Z440" s="99">
        <v>0.0</v>
      </c>
      <c r="AA440" s="99">
        <v>0.0</v>
      </c>
      <c r="AB440" s="99">
        <v>0.0</v>
      </c>
      <c r="AC440" s="99">
        <v>0.0</v>
      </c>
      <c r="AD440" s="99">
        <v>0.0</v>
      </c>
      <c r="AE440" s="99">
        <v>0.0</v>
      </c>
      <c r="AF440" s="99">
        <v>0.0</v>
      </c>
      <c r="AG440" s="99">
        <v>0.0</v>
      </c>
      <c r="AH440" s="99">
        <v>0.0</v>
      </c>
      <c r="AI440" s="99">
        <v>0.0</v>
      </c>
      <c r="AJ440" s="99">
        <v>0.0</v>
      </c>
      <c r="AK440" s="99">
        <v>0.0</v>
      </c>
      <c r="AL440" s="99">
        <v>0.0</v>
      </c>
      <c r="AM440" s="99">
        <v>0.0</v>
      </c>
      <c r="AN440" s="99">
        <v>0.0</v>
      </c>
      <c r="AO440" s="99">
        <v>0.0</v>
      </c>
      <c r="AP440" s="99">
        <v>0.0</v>
      </c>
      <c r="AQ440" s="99">
        <v>0.0</v>
      </c>
      <c r="AR440" s="99">
        <v>0.0</v>
      </c>
      <c r="AS440" s="99">
        <v>0.0</v>
      </c>
      <c r="AT440" s="99">
        <v>0.0</v>
      </c>
      <c r="AU440" s="99">
        <v>0.0</v>
      </c>
      <c r="AV440" s="99">
        <v>0.0</v>
      </c>
      <c r="AW440" s="90"/>
      <c r="AX440" s="90"/>
      <c r="AY440" s="90"/>
      <c r="AZ440" s="90"/>
      <c r="BA440" s="90"/>
      <c r="BB440" s="90"/>
      <c r="BC440" s="90"/>
      <c r="BD440" s="90"/>
      <c r="BE440" s="90"/>
      <c r="BF440" s="90"/>
      <c r="BG440" s="90"/>
      <c r="BH440" s="90"/>
      <c r="BI440" s="90"/>
      <c r="BJ440" s="90"/>
      <c r="BK440" s="90"/>
      <c r="BL440" s="90"/>
      <c r="BM440" s="90"/>
      <c r="BN440" s="90"/>
      <c r="BO440" s="90"/>
      <c r="BP440" s="90"/>
      <c r="BQ440" s="90"/>
    </row>
    <row r="441" ht="12.75" hidden="1" customHeight="1" outlineLevel="1">
      <c r="A441" s="316"/>
      <c r="B441" s="90"/>
      <c r="C441" s="148" t="s">
        <v>491</v>
      </c>
      <c r="D441" s="148"/>
      <c r="E441" s="148"/>
      <c r="F441" s="148"/>
      <c r="G441" s="150"/>
      <c r="H441" s="150"/>
      <c r="I441" s="150"/>
      <c r="J441" s="150">
        <v>0.0</v>
      </c>
      <c r="K441" s="150">
        <f t="shared" ref="K441:Q441" si="284">K434+K435+K439+K440</f>
        <v>100000</v>
      </c>
      <c r="L441" s="150">
        <f t="shared" si="284"/>
        <v>160000</v>
      </c>
      <c r="M441" s="150">
        <f t="shared" si="284"/>
        <v>120000</v>
      </c>
      <c r="N441" s="150">
        <f t="shared" si="284"/>
        <v>80000</v>
      </c>
      <c r="O441" s="150">
        <f t="shared" si="284"/>
        <v>40000</v>
      </c>
      <c r="P441" s="150">
        <f t="shared" si="284"/>
        <v>0</v>
      </c>
      <c r="Q441" s="150">
        <f t="shared" si="284"/>
        <v>0</v>
      </c>
      <c r="R441" s="150">
        <f t="shared" ref="R441:AV441" si="285">R434+R439</f>
        <v>0</v>
      </c>
      <c r="S441" s="150">
        <f t="shared" si="285"/>
        <v>0</v>
      </c>
      <c r="T441" s="150">
        <f t="shared" si="285"/>
        <v>0</v>
      </c>
      <c r="U441" s="150">
        <f t="shared" si="285"/>
        <v>0</v>
      </c>
      <c r="V441" s="150">
        <f t="shared" si="285"/>
        <v>0</v>
      </c>
      <c r="W441" s="150">
        <f t="shared" si="285"/>
        <v>0</v>
      </c>
      <c r="X441" s="150">
        <f t="shared" si="285"/>
        <v>0</v>
      </c>
      <c r="Y441" s="150">
        <f t="shared" si="285"/>
        <v>0</v>
      </c>
      <c r="Z441" s="150">
        <f t="shared" si="285"/>
        <v>0</v>
      </c>
      <c r="AA441" s="150">
        <f t="shared" si="285"/>
        <v>0</v>
      </c>
      <c r="AB441" s="150">
        <f t="shared" si="285"/>
        <v>0</v>
      </c>
      <c r="AC441" s="150">
        <f t="shared" si="285"/>
        <v>0</v>
      </c>
      <c r="AD441" s="150">
        <f t="shared" si="285"/>
        <v>0</v>
      </c>
      <c r="AE441" s="150">
        <f t="shared" si="285"/>
        <v>0</v>
      </c>
      <c r="AF441" s="150">
        <f t="shared" si="285"/>
        <v>0</v>
      </c>
      <c r="AG441" s="150">
        <f t="shared" si="285"/>
        <v>0</v>
      </c>
      <c r="AH441" s="150">
        <f t="shared" si="285"/>
        <v>0</v>
      </c>
      <c r="AI441" s="150">
        <f t="shared" si="285"/>
        <v>0</v>
      </c>
      <c r="AJ441" s="150">
        <f t="shared" si="285"/>
        <v>0</v>
      </c>
      <c r="AK441" s="150">
        <f t="shared" si="285"/>
        <v>0</v>
      </c>
      <c r="AL441" s="150">
        <f t="shared" si="285"/>
        <v>0</v>
      </c>
      <c r="AM441" s="150">
        <f t="shared" si="285"/>
        <v>0</v>
      </c>
      <c r="AN441" s="150">
        <f t="shared" si="285"/>
        <v>0</v>
      </c>
      <c r="AO441" s="150">
        <f t="shared" si="285"/>
        <v>0</v>
      </c>
      <c r="AP441" s="150">
        <f t="shared" si="285"/>
        <v>0</v>
      </c>
      <c r="AQ441" s="150">
        <f t="shared" si="285"/>
        <v>0</v>
      </c>
      <c r="AR441" s="150">
        <f t="shared" si="285"/>
        <v>0</v>
      </c>
      <c r="AS441" s="150">
        <f t="shared" si="285"/>
        <v>0</v>
      </c>
      <c r="AT441" s="150">
        <f t="shared" si="285"/>
        <v>0</v>
      </c>
      <c r="AU441" s="150">
        <f t="shared" si="285"/>
        <v>0</v>
      </c>
      <c r="AV441" s="150">
        <f t="shared" si="285"/>
        <v>0</v>
      </c>
      <c r="AW441" s="90"/>
      <c r="AX441" s="90"/>
      <c r="AY441" s="90"/>
      <c r="AZ441" s="90"/>
      <c r="BA441" s="90"/>
      <c r="BB441" s="90"/>
      <c r="BC441" s="90"/>
      <c r="BD441" s="90"/>
      <c r="BE441" s="90"/>
      <c r="BF441" s="90"/>
      <c r="BG441" s="90"/>
      <c r="BH441" s="90"/>
      <c r="BI441" s="90"/>
      <c r="BJ441" s="90"/>
      <c r="BK441" s="90"/>
      <c r="BL441" s="90"/>
      <c r="BM441" s="90"/>
      <c r="BN441" s="90"/>
      <c r="BO441" s="90"/>
      <c r="BP441" s="90"/>
      <c r="BQ441" s="90"/>
    </row>
    <row r="442" ht="12.75" hidden="1" customHeight="1" outlineLevel="1">
      <c r="A442" s="316"/>
      <c r="B442" s="90"/>
      <c r="C442" s="90"/>
      <c r="D442" s="90"/>
      <c r="E442" s="90"/>
      <c r="F442" s="90"/>
      <c r="G442" s="99"/>
      <c r="H442" s="99"/>
      <c r="I442" s="99"/>
      <c r="J442" s="99"/>
      <c r="K442" s="99"/>
      <c r="L442" s="99"/>
      <c r="M442" s="99"/>
      <c r="N442" s="99"/>
      <c r="O442" s="99"/>
      <c r="P442" s="99"/>
      <c r="Q442" s="99"/>
      <c r="R442" s="99"/>
      <c r="S442" s="99"/>
      <c r="T442" s="99"/>
      <c r="U442" s="99"/>
      <c r="V442" s="99"/>
      <c r="W442" s="99"/>
      <c r="X442" s="99"/>
      <c r="Y442" s="99"/>
      <c r="Z442" s="99"/>
      <c r="AA442" s="99"/>
      <c r="AB442" s="99"/>
      <c r="AC442" s="99"/>
      <c r="AD442" s="99"/>
      <c r="AE442" s="99"/>
      <c r="AF442" s="99"/>
      <c r="AG442" s="99"/>
      <c r="AH442" s="99"/>
      <c r="AI442" s="99"/>
      <c r="AJ442" s="99"/>
      <c r="AK442" s="99"/>
      <c r="AL442" s="99"/>
      <c r="AM442" s="99"/>
      <c r="AN442" s="99"/>
      <c r="AO442" s="99"/>
      <c r="AP442" s="99"/>
      <c r="AQ442" s="99"/>
      <c r="AR442" s="99"/>
      <c r="AS442" s="99"/>
      <c r="AT442" s="99"/>
      <c r="AU442" s="99"/>
      <c r="AV442" s="99"/>
      <c r="AW442" s="90"/>
      <c r="AX442" s="90"/>
      <c r="AY442" s="90"/>
      <c r="AZ442" s="90"/>
      <c r="BA442" s="90"/>
      <c r="BB442" s="90"/>
      <c r="BC442" s="90"/>
      <c r="BD442" s="90"/>
      <c r="BE442" s="90"/>
      <c r="BF442" s="90"/>
      <c r="BG442" s="90"/>
      <c r="BH442" s="90"/>
      <c r="BI442" s="90"/>
      <c r="BJ442" s="90"/>
      <c r="BK442" s="90"/>
      <c r="BL442" s="90"/>
      <c r="BM442" s="90"/>
      <c r="BN442" s="90"/>
      <c r="BO442" s="90"/>
      <c r="BP442" s="90"/>
      <c r="BQ442" s="90"/>
    </row>
    <row r="443" ht="12.75" hidden="1" customHeight="1" outlineLevel="1">
      <c r="A443" s="316"/>
      <c r="B443" s="67" t="s">
        <v>614</v>
      </c>
      <c r="C443" s="90"/>
      <c r="D443" s="90"/>
      <c r="E443" s="90"/>
      <c r="F443" s="90"/>
      <c r="G443" s="90"/>
      <c r="H443" s="90"/>
      <c r="I443" s="90"/>
      <c r="J443" s="90"/>
      <c r="K443" s="90"/>
      <c r="L443" s="90"/>
      <c r="M443" s="90"/>
      <c r="N443" s="90"/>
      <c r="O443" s="90"/>
      <c r="P443" s="90"/>
      <c r="Q443" s="90"/>
      <c r="R443" s="90"/>
      <c r="S443" s="90"/>
      <c r="T443" s="90"/>
      <c r="U443" s="90"/>
      <c r="V443" s="90"/>
      <c r="W443" s="90"/>
      <c r="X443" s="90"/>
      <c r="Y443" s="90"/>
      <c r="Z443" s="90"/>
      <c r="AA443" s="90"/>
      <c r="AB443" s="90"/>
      <c r="AC443" s="90"/>
      <c r="AD443" s="90"/>
      <c r="AE443" s="90"/>
      <c r="AF443" s="90"/>
      <c r="AG443" s="90"/>
      <c r="AH443" s="90"/>
      <c r="AI443" s="90"/>
      <c r="AJ443" s="90"/>
      <c r="AK443" s="90"/>
      <c r="AL443" s="90"/>
      <c r="AM443" s="90"/>
      <c r="AN443" s="90"/>
      <c r="AO443" s="90"/>
      <c r="AP443" s="90"/>
      <c r="AQ443" s="90"/>
      <c r="AR443" s="90"/>
      <c r="AS443" s="90"/>
      <c r="AT443" s="90"/>
      <c r="AU443" s="90"/>
      <c r="AV443" s="90"/>
      <c r="AW443" s="90"/>
      <c r="AX443" s="90"/>
      <c r="AY443" s="90"/>
      <c r="AZ443" s="90"/>
      <c r="BA443" s="90"/>
      <c r="BB443" s="90"/>
      <c r="BC443" s="90"/>
      <c r="BD443" s="90"/>
      <c r="BE443" s="90"/>
      <c r="BF443" s="90"/>
      <c r="BG443" s="90"/>
      <c r="BH443" s="90"/>
      <c r="BI443" s="90"/>
      <c r="BJ443" s="90"/>
      <c r="BK443" s="90"/>
      <c r="BL443" s="90"/>
      <c r="BM443" s="90"/>
      <c r="BN443" s="90"/>
      <c r="BO443" s="90"/>
      <c r="BP443" s="90"/>
      <c r="BQ443" s="90"/>
    </row>
    <row r="444" ht="12.75" hidden="1" customHeight="1" outlineLevel="1">
      <c r="A444" s="316"/>
      <c r="B444" s="90"/>
      <c r="C444" s="90" t="s">
        <v>487</v>
      </c>
      <c r="D444" s="90"/>
      <c r="E444" s="90"/>
      <c r="F444" s="90"/>
      <c r="G444" s="254"/>
      <c r="H444" s="99"/>
      <c r="I444" s="99"/>
      <c r="J444" s="99">
        <v>0.0</v>
      </c>
      <c r="K444" s="99">
        <v>0.0</v>
      </c>
      <c r="L444" s="99">
        <f t="shared" ref="L444:AV444" si="286">+K451</f>
        <v>250000</v>
      </c>
      <c r="M444" s="99">
        <f t="shared" si="286"/>
        <v>0</v>
      </c>
      <c r="N444" s="99">
        <f t="shared" si="286"/>
        <v>0</v>
      </c>
      <c r="O444" s="99">
        <f t="shared" si="286"/>
        <v>0</v>
      </c>
      <c r="P444" s="99">
        <f t="shared" si="286"/>
        <v>0</v>
      </c>
      <c r="Q444" s="99">
        <f t="shared" si="286"/>
        <v>0</v>
      </c>
      <c r="R444" s="99">
        <f t="shared" si="286"/>
        <v>0</v>
      </c>
      <c r="S444" s="99">
        <f t="shared" si="286"/>
        <v>0</v>
      </c>
      <c r="T444" s="99">
        <f t="shared" si="286"/>
        <v>0</v>
      </c>
      <c r="U444" s="99">
        <f t="shared" si="286"/>
        <v>0</v>
      </c>
      <c r="V444" s="99">
        <f t="shared" si="286"/>
        <v>0</v>
      </c>
      <c r="W444" s="99">
        <f t="shared" si="286"/>
        <v>0</v>
      </c>
      <c r="X444" s="99">
        <f t="shared" si="286"/>
        <v>0</v>
      </c>
      <c r="Y444" s="99">
        <f t="shared" si="286"/>
        <v>0</v>
      </c>
      <c r="Z444" s="99">
        <f t="shared" si="286"/>
        <v>0</v>
      </c>
      <c r="AA444" s="99">
        <f t="shared" si="286"/>
        <v>0</v>
      </c>
      <c r="AB444" s="99">
        <f t="shared" si="286"/>
        <v>0</v>
      </c>
      <c r="AC444" s="99">
        <f t="shared" si="286"/>
        <v>0</v>
      </c>
      <c r="AD444" s="99">
        <f t="shared" si="286"/>
        <v>0</v>
      </c>
      <c r="AE444" s="99">
        <f t="shared" si="286"/>
        <v>0</v>
      </c>
      <c r="AF444" s="99">
        <f t="shared" si="286"/>
        <v>0</v>
      </c>
      <c r="AG444" s="99">
        <f t="shared" si="286"/>
        <v>0</v>
      </c>
      <c r="AH444" s="99">
        <f t="shared" si="286"/>
        <v>0</v>
      </c>
      <c r="AI444" s="99">
        <f t="shared" si="286"/>
        <v>0</v>
      </c>
      <c r="AJ444" s="99">
        <f t="shared" si="286"/>
        <v>0</v>
      </c>
      <c r="AK444" s="99">
        <f t="shared" si="286"/>
        <v>0</v>
      </c>
      <c r="AL444" s="99">
        <f t="shared" si="286"/>
        <v>0</v>
      </c>
      <c r="AM444" s="99">
        <f t="shared" si="286"/>
        <v>0</v>
      </c>
      <c r="AN444" s="99">
        <f t="shared" si="286"/>
        <v>0</v>
      </c>
      <c r="AO444" s="99">
        <f t="shared" si="286"/>
        <v>0</v>
      </c>
      <c r="AP444" s="99">
        <f t="shared" si="286"/>
        <v>0</v>
      </c>
      <c r="AQ444" s="99">
        <f t="shared" si="286"/>
        <v>0</v>
      </c>
      <c r="AR444" s="99">
        <f t="shared" si="286"/>
        <v>0</v>
      </c>
      <c r="AS444" s="99">
        <f t="shared" si="286"/>
        <v>0</v>
      </c>
      <c r="AT444" s="99">
        <f t="shared" si="286"/>
        <v>0</v>
      </c>
      <c r="AU444" s="99">
        <f t="shared" si="286"/>
        <v>0</v>
      </c>
      <c r="AV444" s="99">
        <f t="shared" si="286"/>
        <v>0</v>
      </c>
      <c r="AW444" s="90"/>
      <c r="AX444" s="90"/>
      <c r="AY444" s="90"/>
      <c r="AZ444" s="90"/>
      <c r="BA444" s="90"/>
      <c r="BB444" s="90"/>
      <c r="BC444" s="90"/>
      <c r="BD444" s="90"/>
      <c r="BE444" s="90"/>
      <c r="BF444" s="90"/>
      <c r="BG444" s="90"/>
      <c r="BH444" s="90"/>
      <c r="BI444" s="90"/>
      <c r="BJ444" s="90"/>
      <c r="BK444" s="90"/>
      <c r="BL444" s="90"/>
      <c r="BM444" s="90"/>
      <c r="BN444" s="90"/>
      <c r="BO444" s="90"/>
      <c r="BP444" s="90"/>
      <c r="BQ444" s="90"/>
    </row>
    <row r="445" ht="12.75" hidden="1" customHeight="1" outlineLevel="1">
      <c r="A445" s="555"/>
      <c r="B445" s="90"/>
      <c r="C445" s="90" t="s">
        <v>488</v>
      </c>
      <c r="D445" s="90"/>
      <c r="E445" s="90"/>
      <c r="F445" s="90"/>
      <c r="G445" s="99"/>
      <c r="H445" s="99"/>
      <c r="I445" s="99"/>
      <c r="J445" s="254">
        <v>0.0</v>
      </c>
      <c r="K445" s="99">
        <v>250000.0</v>
      </c>
      <c r="L445" s="99">
        <v>0.0</v>
      </c>
      <c r="M445" s="99">
        <v>0.0</v>
      </c>
      <c r="N445" s="99">
        <v>0.0</v>
      </c>
      <c r="O445" s="99">
        <v>0.0</v>
      </c>
      <c r="P445" s="99">
        <v>0.0</v>
      </c>
      <c r="Q445" s="99">
        <v>0.0</v>
      </c>
      <c r="R445" s="99">
        <v>0.0</v>
      </c>
      <c r="S445" s="99">
        <v>0.0</v>
      </c>
      <c r="T445" s="99">
        <v>0.0</v>
      </c>
      <c r="U445" s="99">
        <v>0.0</v>
      </c>
      <c r="V445" s="99">
        <v>0.0</v>
      </c>
      <c r="W445" s="99">
        <v>0.0</v>
      </c>
      <c r="X445" s="99">
        <v>0.0</v>
      </c>
      <c r="Y445" s="99">
        <v>0.0</v>
      </c>
      <c r="Z445" s="99">
        <v>0.0</v>
      </c>
      <c r="AA445" s="99">
        <v>0.0</v>
      </c>
      <c r="AB445" s="99">
        <v>0.0</v>
      </c>
      <c r="AC445" s="99">
        <v>0.0</v>
      </c>
      <c r="AD445" s="99">
        <v>0.0</v>
      </c>
      <c r="AE445" s="99">
        <v>0.0</v>
      </c>
      <c r="AF445" s="99">
        <v>0.0</v>
      </c>
      <c r="AG445" s="99">
        <v>0.0</v>
      </c>
      <c r="AH445" s="99">
        <v>0.0</v>
      </c>
      <c r="AI445" s="99">
        <v>0.0</v>
      </c>
      <c r="AJ445" s="99">
        <v>0.0</v>
      </c>
      <c r="AK445" s="99">
        <v>0.0</v>
      </c>
      <c r="AL445" s="99">
        <v>0.0</v>
      </c>
      <c r="AM445" s="99">
        <v>0.0</v>
      </c>
      <c r="AN445" s="99">
        <v>0.0</v>
      </c>
      <c r="AO445" s="99">
        <v>0.0</v>
      </c>
      <c r="AP445" s="99">
        <v>0.0</v>
      </c>
      <c r="AQ445" s="99">
        <v>0.0</v>
      </c>
      <c r="AR445" s="99">
        <v>0.0</v>
      </c>
      <c r="AS445" s="99">
        <v>0.0</v>
      </c>
      <c r="AT445" s="99">
        <v>0.0</v>
      </c>
      <c r="AU445" s="99">
        <v>0.0</v>
      </c>
      <c r="AV445" s="99">
        <v>0.0</v>
      </c>
      <c r="AW445" s="90"/>
      <c r="AX445" s="90"/>
      <c r="AY445" s="90"/>
      <c r="AZ445" s="90"/>
      <c r="BA445" s="90"/>
      <c r="BB445" s="90"/>
      <c r="BC445" s="90"/>
      <c r="BD445" s="90"/>
      <c r="BE445" s="90"/>
      <c r="BF445" s="90"/>
      <c r="BG445" s="90"/>
      <c r="BH445" s="90"/>
      <c r="BI445" s="90"/>
      <c r="BJ445" s="90"/>
      <c r="BK445" s="90"/>
      <c r="BL445" s="90"/>
      <c r="BM445" s="90"/>
      <c r="BN445" s="90"/>
      <c r="BO445" s="90"/>
      <c r="BP445" s="90"/>
      <c r="BQ445" s="90"/>
    </row>
    <row r="446" ht="12.75" hidden="1" customHeight="1" outlineLevel="1">
      <c r="A446" s="316"/>
      <c r="B446" s="90"/>
      <c r="C446" s="90" t="s">
        <v>490</v>
      </c>
      <c r="D446" s="90"/>
      <c r="E446" s="90"/>
      <c r="F446" s="90"/>
      <c r="G446" s="254"/>
      <c r="H446" s="254"/>
      <c r="I446" s="254"/>
      <c r="J446" s="254"/>
      <c r="K446" s="99"/>
      <c r="L446" s="99"/>
      <c r="M446" s="99"/>
      <c r="N446" s="99"/>
      <c r="O446" s="99"/>
      <c r="P446" s="99"/>
      <c r="Q446" s="99"/>
      <c r="R446" s="99"/>
      <c r="S446" s="99"/>
      <c r="T446" s="99"/>
      <c r="U446" s="99"/>
      <c r="V446" s="99"/>
      <c r="W446" s="99"/>
      <c r="X446" s="99"/>
      <c r="Y446" s="99"/>
      <c r="Z446" s="99"/>
      <c r="AA446" s="99"/>
      <c r="AB446" s="99"/>
      <c r="AC446" s="99"/>
      <c r="AD446" s="99"/>
      <c r="AE446" s="99"/>
      <c r="AF446" s="99"/>
      <c r="AG446" s="99"/>
      <c r="AH446" s="99"/>
      <c r="AI446" s="99"/>
      <c r="AJ446" s="99"/>
      <c r="AK446" s="99"/>
      <c r="AL446" s="99"/>
      <c r="AM446" s="99"/>
      <c r="AN446" s="99"/>
      <c r="AO446" s="99"/>
      <c r="AP446" s="99"/>
      <c r="AQ446" s="99"/>
      <c r="AR446" s="99"/>
      <c r="AS446" s="99"/>
      <c r="AT446" s="99"/>
      <c r="AU446" s="99"/>
      <c r="AV446" s="99"/>
      <c r="AW446" s="90"/>
      <c r="AX446" s="90"/>
      <c r="AY446" s="90"/>
      <c r="AZ446" s="90"/>
      <c r="BA446" s="90"/>
      <c r="BB446" s="90"/>
      <c r="BC446" s="90"/>
      <c r="BD446" s="90"/>
      <c r="BE446" s="90"/>
      <c r="BF446" s="90"/>
      <c r="BG446" s="90"/>
      <c r="BH446" s="90"/>
      <c r="BI446" s="90"/>
      <c r="BJ446" s="90"/>
      <c r="BK446" s="90"/>
      <c r="BL446" s="90"/>
      <c r="BM446" s="90"/>
      <c r="BN446" s="90"/>
      <c r="BO446" s="90"/>
      <c r="BP446" s="90"/>
      <c r="BQ446" s="90"/>
    </row>
    <row r="447" ht="12.75" hidden="1" customHeight="1" outlineLevel="1">
      <c r="A447" s="316"/>
      <c r="B447" s="90"/>
      <c r="C447" s="90"/>
      <c r="D447" s="90" t="s">
        <v>701</v>
      </c>
      <c r="E447" s="90"/>
      <c r="F447" s="90"/>
      <c r="G447" s="254"/>
      <c r="H447" s="254"/>
      <c r="I447" s="99"/>
      <c r="J447" s="99">
        <v>0.0</v>
      </c>
      <c r="K447" s="99">
        <v>0.0</v>
      </c>
      <c r="L447" s="99">
        <v>0.0</v>
      </c>
      <c r="M447" s="99">
        <f t="shared" ref="M447:AV447" si="287">MIN(M449-M448,0)</f>
        <v>0</v>
      </c>
      <c r="N447" s="99">
        <f t="shared" si="287"/>
        <v>0</v>
      </c>
      <c r="O447" s="99">
        <f t="shared" si="287"/>
        <v>0</v>
      </c>
      <c r="P447" s="99">
        <f t="shared" si="287"/>
        <v>0</v>
      </c>
      <c r="Q447" s="99">
        <f t="shared" si="287"/>
        <v>0</v>
      </c>
      <c r="R447" s="99">
        <f t="shared" si="287"/>
        <v>0</v>
      </c>
      <c r="S447" s="99">
        <f t="shared" si="287"/>
        <v>0</v>
      </c>
      <c r="T447" s="99">
        <f t="shared" si="287"/>
        <v>0</v>
      </c>
      <c r="U447" s="99">
        <f t="shared" si="287"/>
        <v>0</v>
      </c>
      <c r="V447" s="99">
        <f t="shared" si="287"/>
        <v>0</v>
      </c>
      <c r="W447" s="99">
        <f t="shared" si="287"/>
        <v>0</v>
      </c>
      <c r="X447" s="99">
        <f t="shared" si="287"/>
        <v>0</v>
      </c>
      <c r="Y447" s="99">
        <f t="shared" si="287"/>
        <v>0</v>
      </c>
      <c r="Z447" s="99">
        <f t="shared" si="287"/>
        <v>0</v>
      </c>
      <c r="AA447" s="99">
        <f t="shared" si="287"/>
        <v>0</v>
      </c>
      <c r="AB447" s="99">
        <f t="shared" si="287"/>
        <v>0</v>
      </c>
      <c r="AC447" s="99">
        <f t="shared" si="287"/>
        <v>0</v>
      </c>
      <c r="AD447" s="99">
        <f t="shared" si="287"/>
        <v>0</v>
      </c>
      <c r="AE447" s="99">
        <f t="shared" si="287"/>
        <v>0</v>
      </c>
      <c r="AF447" s="99">
        <f t="shared" si="287"/>
        <v>0</v>
      </c>
      <c r="AG447" s="99">
        <f t="shared" si="287"/>
        <v>0</v>
      </c>
      <c r="AH447" s="99">
        <f t="shared" si="287"/>
        <v>0</v>
      </c>
      <c r="AI447" s="99">
        <f t="shared" si="287"/>
        <v>0</v>
      </c>
      <c r="AJ447" s="99">
        <f t="shared" si="287"/>
        <v>0</v>
      </c>
      <c r="AK447" s="99">
        <f t="shared" si="287"/>
        <v>0</v>
      </c>
      <c r="AL447" s="99">
        <f t="shared" si="287"/>
        <v>0</v>
      </c>
      <c r="AM447" s="99">
        <f t="shared" si="287"/>
        <v>0</v>
      </c>
      <c r="AN447" s="99">
        <f t="shared" si="287"/>
        <v>0</v>
      </c>
      <c r="AO447" s="99">
        <f t="shared" si="287"/>
        <v>0</v>
      </c>
      <c r="AP447" s="99">
        <f t="shared" si="287"/>
        <v>0</v>
      </c>
      <c r="AQ447" s="99">
        <f t="shared" si="287"/>
        <v>0</v>
      </c>
      <c r="AR447" s="99">
        <f t="shared" si="287"/>
        <v>0</v>
      </c>
      <c r="AS447" s="99">
        <f t="shared" si="287"/>
        <v>0</v>
      </c>
      <c r="AT447" s="99">
        <f t="shared" si="287"/>
        <v>0</v>
      </c>
      <c r="AU447" s="99">
        <f t="shared" si="287"/>
        <v>0</v>
      </c>
      <c r="AV447" s="99">
        <f t="shared" si="287"/>
        <v>0</v>
      </c>
      <c r="AW447" s="90"/>
      <c r="AX447" s="90"/>
      <c r="AY447" s="90"/>
      <c r="AZ447" s="90"/>
      <c r="BA447" s="90"/>
      <c r="BB447" s="90"/>
      <c r="BC447" s="90"/>
      <c r="BD447" s="90"/>
      <c r="BE447" s="90"/>
      <c r="BF447" s="90"/>
      <c r="BG447" s="90"/>
      <c r="BH447" s="90"/>
      <c r="BI447" s="90"/>
      <c r="BJ447" s="90"/>
      <c r="BK447" s="90"/>
      <c r="BL447" s="90"/>
      <c r="BM447" s="90"/>
      <c r="BN447" s="90"/>
      <c r="BO447" s="90"/>
      <c r="BP447" s="90"/>
      <c r="BQ447" s="90"/>
    </row>
    <row r="448" ht="12.75" hidden="1" customHeight="1" outlineLevel="1">
      <c r="A448" s="316"/>
      <c r="B448" s="90"/>
      <c r="C448" s="90"/>
      <c r="D448" s="90" t="s">
        <v>489</v>
      </c>
      <c r="E448" s="90"/>
      <c r="F448" s="90"/>
      <c r="G448" s="254"/>
      <c r="H448" s="254"/>
      <c r="I448" s="99"/>
      <c r="J448" s="99">
        <v>0.0</v>
      </c>
      <c r="K448" s="99">
        <v>0.0</v>
      </c>
      <c r="L448" s="99"/>
      <c r="M448" s="99"/>
      <c r="N448" s="99"/>
      <c r="O448" s="99"/>
      <c r="P448" s="99"/>
      <c r="Q448" s="99"/>
      <c r="R448" s="99"/>
      <c r="S448" s="99"/>
      <c r="T448" s="99"/>
      <c r="U448" s="99"/>
      <c r="V448" s="99"/>
      <c r="W448" s="99"/>
      <c r="X448" s="99"/>
      <c r="Y448" s="99"/>
      <c r="Z448" s="99"/>
      <c r="AA448" s="99"/>
      <c r="AB448" s="99"/>
      <c r="AC448" s="99"/>
      <c r="AD448" s="99"/>
      <c r="AE448" s="99"/>
      <c r="AF448" s="99"/>
      <c r="AG448" s="99"/>
      <c r="AH448" s="99"/>
      <c r="AI448" s="99"/>
      <c r="AJ448" s="99"/>
      <c r="AK448" s="99"/>
      <c r="AL448" s="99"/>
      <c r="AM448" s="99"/>
      <c r="AN448" s="99"/>
      <c r="AO448" s="99"/>
      <c r="AP448" s="99"/>
      <c r="AQ448" s="99"/>
      <c r="AR448" s="99"/>
      <c r="AS448" s="99"/>
      <c r="AT448" s="99"/>
      <c r="AU448" s="99"/>
      <c r="AV448" s="99"/>
      <c r="AW448" s="90"/>
      <c r="AX448" s="90"/>
      <c r="AY448" s="90"/>
      <c r="AZ448" s="90"/>
      <c r="BA448" s="90"/>
      <c r="BB448" s="90"/>
      <c r="BC448" s="90"/>
      <c r="BD448" s="90"/>
      <c r="BE448" s="90"/>
      <c r="BF448" s="90"/>
      <c r="BG448" s="90"/>
      <c r="BH448" s="90"/>
      <c r="BI448" s="90"/>
      <c r="BJ448" s="90"/>
      <c r="BK448" s="90"/>
      <c r="BL448" s="90"/>
      <c r="BM448" s="90"/>
      <c r="BN448" s="90"/>
      <c r="BO448" s="90"/>
      <c r="BP448" s="90"/>
      <c r="BQ448" s="90"/>
    </row>
    <row r="449" ht="12.75" hidden="1" customHeight="1" outlineLevel="1">
      <c r="A449" s="316"/>
      <c r="B449" s="90"/>
      <c r="C449" s="148" t="s">
        <v>490</v>
      </c>
      <c r="D449" s="148"/>
      <c r="E449" s="148"/>
      <c r="F449" s="148"/>
      <c r="G449" s="394"/>
      <c r="H449" s="394"/>
      <c r="I449" s="394"/>
      <c r="J449" s="394">
        <v>0.0</v>
      </c>
      <c r="K449" s="394">
        <v>0.0</v>
      </c>
      <c r="L449" s="394">
        <v>-250000.0</v>
      </c>
      <c r="M449" s="394">
        <v>0.0</v>
      </c>
      <c r="N449" s="394">
        <v>0.0</v>
      </c>
      <c r="O449" s="394">
        <v>0.0</v>
      </c>
      <c r="P449" s="394">
        <v>0.0</v>
      </c>
      <c r="Q449" s="394">
        <v>0.0</v>
      </c>
      <c r="R449" s="394">
        <v>0.0</v>
      </c>
      <c r="S449" s="394">
        <v>0.0</v>
      </c>
      <c r="T449" s="394">
        <v>0.0</v>
      </c>
      <c r="U449" s="394">
        <v>0.0</v>
      </c>
      <c r="V449" s="394">
        <v>0.0</v>
      </c>
      <c r="W449" s="394">
        <v>0.0</v>
      </c>
      <c r="X449" s="394">
        <v>0.0</v>
      </c>
      <c r="Y449" s="394">
        <v>0.0</v>
      </c>
      <c r="Z449" s="394">
        <v>0.0</v>
      </c>
      <c r="AA449" s="394">
        <v>0.0</v>
      </c>
      <c r="AB449" s="394">
        <v>0.0</v>
      </c>
      <c r="AC449" s="394">
        <v>0.0</v>
      </c>
      <c r="AD449" s="394">
        <v>0.0</v>
      </c>
      <c r="AE449" s="394">
        <v>0.0</v>
      </c>
      <c r="AF449" s="394">
        <v>0.0</v>
      </c>
      <c r="AG449" s="394">
        <v>0.0</v>
      </c>
      <c r="AH449" s="394">
        <v>0.0</v>
      </c>
      <c r="AI449" s="394">
        <v>0.0</v>
      </c>
      <c r="AJ449" s="394">
        <v>0.0</v>
      </c>
      <c r="AK449" s="394">
        <v>0.0</v>
      </c>
      <c r="AL449" s="394">
        <v>0.0</v>
      </c>
      <c r="AM449" s="394">
        <v>0.0</v>
      </c>
      <c r="AN449" s="394">
        <v>0.0</v>
      </c>
      <c r="AO449" s="394">
        <v>0.0</v>
      </c>
      <c r="AP449" s="394">
        <v>0.0</v>
      </c>
      <c r="AQ449" s="394">
        <v>0.0</v>
      </c>
      <c r="AR449" s="394">
        <v>0.0</v>
      </c>
      <c r="AS449" s="394">
        <v>0.0</v>
      </c>
      <c r="AT449" s="394">
        <v>0.0</v>
      </c>
      <c r="AU449" s="394">
        <v>0.0</v>
      </c>
      <c r="AV449" s="394">
        <v>0.0</v>
      </c>
      <c r="AW449" s="90"/>
      <c r="AX449" s="90"/>
      <c r="AY449" s="90"/>
      <c r="AZ449" s="90"/>
      <c r="BA449" s="90"/>
      <c r="BB449" s="90"/>
      <c r="BC449" s="90"/>
      <c r="BD449" s="90"/>
      <c r="BE449" s="90"/>
      <c r="BF449" s="90"/>
      <c r="BG449" s="90"/>
      <c r="BH449" s="90"/>
      <c r="BI449" s="90"/>
      <c r="BJ449" s="90"/>
      <c r="BK449" s="90"/>
      <c r="BL449" s="90"/>
      <c r="BM449" s="90"/>
      <c r="BN449" s="90"/>
      <c r="BO449" s="90"/>
      <c r="BP449" s="90"/>
      <c r="BQ449" s="90"/>
    </row>
    <row r="450" ht="12.75" hidden="1" customHeight="1" outlineLevel="1">
      <c r="A450" s="555"/>
      <c r="B450" s="90"/>
      <c r="C450" s="90" t="s">
        <v>850</v>
      </c>
      <c r="D450" s="90"/>
      <c r="E450" s="90"/>
      <c r="F450" s="90"/>
      <c r="G450" s="99"/>
      <c r="H450" s="99"/>
      <c r="I450" s="99"/>
      <c r="J450" s="99">
        <v>0.0</v>
      </c>
      <c r="K450" s="99">
        <v>0.0</v>
      </c>
      <c r="L450" s="99">
        <v>0.0</v>
      </c>
      <c r="M450" s="99">
        <v>0.0</v>
      </c>
      <c r="N450" s="99">
        <v>0.0</v>
      </c>
      <c r="O450" s="99">
        <v>0.0</v>
      </c>
      <c r="P450" s="99">
        <v>0.0</v>
      </c>
      <c r="Q450" s="99">
        <v>0.0</v>
      </c>
      <c r="R450" s="99">
        <v>0.0</v>
      </c>
      <c r="S450" s="99">
        <v>0.0</v>
      </c>
      <c r="T450" s="99">
        <v>0.0</v>
      </c>
      <c r="U450" s="99">
        <v>0.0</v>
      </c>
      <c r="V450" s="99">
        <v>0.0</v>
      </c>
      <c r="W450" s="99">
        <v>0.0</v>
      </c>
      <c r="X450" s="99">
        <v>0.0</v>
      </c>
      <c r="Y450" s="99">
        <v>0.0</v>
      </c>
      <c r="Z450" s="99">
        <v>0.0</v>
      </c>
      <c r="AA450" s="99">
        <v>0.0</v>
      </c>
      <c r="AB450" s="99">
        <v>0.0</v>
      </c>
      <c r="AC450" s="99">
        <v>0.0</v>
      </c>
      <c r="AD450" s="99">
        <v>0.0</v>
      </c>
      <c r="AE450" s="99">
        <v>0.0</v>
      </c>
      <c r="AF450" s="99">
        <v>0.0</v>
      </c>
      <c r="AG450" s="99">
        <v>0.0</v>
      </c>
      <c r="AH450" s="99">
        <v>0.0</v>
      </c>
      <c r="AI450" s="99">
        <v>0.0</v>
      </c>
      <c r="AJ450" s="99">
        <v>0.0</v>
      </c>
      <c r="AK450" s="99">
        <v>0.0</v>
      </c>
      <c r="AL450" s="99">
        <v>0.0</v>
      </c>
      <c r="AM450" s="99">
        <v>0.0</v>
      </c>
      <c r="AN450" s="99">
        <v>0.0</v>
      </c>
      <c r="AO450" s="99">
        <v>0.0</v>
      </c>
      <c r="AP450" s="99">
        <v>0.0</v>
      </c>
      <c r="AQ450" s="99">
        <v>0.0</v>
      </c>
      <c r="AR450" s="99">
        <v>0.0</v>
      </c>
      <c r="AS450" s="99">
        <v>0.0</v>
      </c>
      <c r="AT450" s="99">
        <v>0.0</v>
      </c>
      <c r="AU450" s="99">
        <v>0.0</v>
      </c>
      <c r="AV450" s="99">
        <v>0.0</v>
      </c>
      <c r="AW450" s="90"/>
      <c r="AX450" s="90"/>
      <c r="AY450" s="90"/>
      <c r="AZ450" s="90"/>
      <c r="BA450" s="90"/>
      <c r="BB450" s="90"/>
      <c r="BC450" s="90"/>
      <c r="BD450" s="90"/>
      <c r="BE450" s="90"/>
      <c r="BF450" s="90"/>
      <c r="BG450" s="90"/>
      <c r="BH450" s="90"/>
      <c r="BI450" s="90"/>
      <c r="BJ450" s="90"/>
      <c r="BK450" s="90"/>
      <c r="BL450" s="90"/>
      <c r="BM450" s="90"/>
      <c r="BN450" s="90"/>
      <c r="BO450" s="90"/>
      <c r="BP450" s="90"/>
      <c r="BQ450" s="90"/>
    </row>
    <row r="451" ht="12.75" hidden="1" customHeight="1" outlineLevel="1">
      <c r="A451" s="316"/>
      <c r="B451" s="90"/>
      <c r="C451" s="148" t="s">
        <v>491</v>
      </c>
      <c r="D451" s="148"/>
      <c r="E451" s="148"/>
      <c r="F451" s="148"/>
      <c r="G451" s="150"/>
      <c r="H451" s="150"/>
      <c r="I451" s="150"/>
      <c r="J451" s="150">
        <v>0.0</v>
      </c>
      <c r="K451" s="150">
        <f t="shared" ref="K451:AV451" si="288">+SUM(K444:K450)</f>
        <v>250000</v>
      </c>
      <c r="L451" s="150">
        <f t="shared" si="288"/>
        <v>0</v>
      </c>
      <c r="M451" s="150">
        <f t="shared" si="288"/>
        <v>0</v>
      </c>
      <c r="N451" s="150">
        <f t="shared" si="288"/>
        <v>0</v>
      </c>
      <c r="O451" s="150">
        <f t="shared" si="288"/>
        <v>0</v>
      </c>
      <c r="P451" s="150">
        <f t="shared" si="288"/>
        <v>0</v>
      </c>
      <c r="Q451" s="150">
        <f t="shared" si="288"/>
        <v>0</v>
      </c>
      <c r="R451" s="150">
        <f t="shared" si="288"/>
        <v>0</v>
      </c>
      <c r="S451" s="150">
        <f t="shared" si="288"/>
        <v>0</v>
      </c>
      <c r="T451" s="150">
        <f t="shared" si="288"/>
        <v>0</v>
      </c>
      <c r="U451" s="150">
        <f t="shared" si="288"/>
        <v>0</v>
      </c>
      <c r="V451" s="150">
        <f t="shared" si="288"/>
        <v>0</v>
      </c>
      <c r="W451" s="150">
        <f t="shared" si="288"/>
        <v>0</v>
      </c>
      <c r="X451" s="150">
        <f t="shared" si="288"/>
        <v>0</v>
      </c>
      <c r="Y451" s="150">
        <f t="shared" si="288"/>
        <v>0</v>
      </c>
      <c r="Z451" s="150">
        <f t="shared" si="288"/>
        <v>0</v>
      </c>
      <c r="AA451" s="150">
        <f t="shared" si="288"/>
        <v>0</v>
      </c>
      <c r="AB451" s="150">
        <f t="shared" si="288"/>
        <v>0</v>
      </c>
      <c r="AC451" s="150">
        <f t="shared" si="288"/>
        <v>0</v>
      </c>
      <c r="AD451" s="150">
        <f t="shared" si="288"/>
        <v>0</v>
      </c>
      <c r="AE451" s="150">
        <f t="shared" si="288"/>
        <v>0</v>
      </c>
      <c r="AF451" s="150">
        <f t="shared" si="288"/>
        <v>0</v>
      </c>
      <c r="AG451" s="150">
        <f t="shared" si="288"/>
        <v>0</v>
      </c>
      <c r="AH451" s="150">
        <f t="shared" si="288"/>
        <v>0</v>
      </c>
      <c r="AI451" s="150">
        <f t="shared" si="288"/>
        <v>0</v>
      </c>
      <c r="AJ451" s="150">
        <f t="shared" si="288"/>
        <v>0</v>
      </c>
      <c r="AK451" s="150">
        <f t="shared" si="288"/>
        <v>0</v>
      </c>
      <c r="AL451" s="150">
        <f t="shared" si="288"/>
        <v>0</v>
      </c>
      <c r="AM451" s="150">
        <f t="shared" si="288"/>
        <v>0</v>
      </c>
      <c r="AN451" s="150">
        <f t="shared" si="288"/>
        <v>0</v>
      </c>
      <c r="AO451" s="150">
        <f t="shared" si="288"/>
        <v>0</v>
      </c>
      <c r="AP451" s="150">
        <f t="shared" si="288"/>
        <v>0</v>
      </c>
      <c r="AQ451" s="150">
        <f t="shared" si="288"/>
        <v>0</v>
      </c>
      <c r="AR451" s="150">
        <f t="shared" si="288"/>
        <v>0</v>
      </c>
      <c r="AS451" s="150">
        <f t="shared" si="288"/>
        <v>0</v>
      </c>
      <c r="AT451" s="150">
        <f t="shared" si="288"/>
        <v>0</v>
      </c>
      <c r="AU451" s="150">
        <f t="shared" si="288"/>
        <v>0</v>
      </c>
      <c r="AV451" s="150">
        <f t="shared" si="288"/>
        <v>0</v>
      </c>
      <c r="AW451" s="90"/>
      <c r="AX451" s="90"/>
      <c r="AY451" s="90"/>
      <c r="AZ451" s="90"/>
      <c r="BA451" s="90"/>
      <c r="BB451" s="90"/>
      <c r="BC451" s="90"/>
      <c r="BD451" s="90"/>
      <c r="BE451" s="90"/>
      <c r="BF451" s="90"/>
      <c r="BG451" s="90"/>
      <c r="BH451" s="90"/>
      <c r="BI451" s="90"/>
      <c r="BJ451" s="90"/>
      <c r="BK451" s="90"/>
      <c r="BL451" s="90"/>
      <c r="BM451" s="90"/>
      <c r="BN451" s="90"/>
      <c r="BO451" s="90"/>
      <c r="BP451" s="90"/>
      <c r="BQ451" s="90"/>
    </row>
    <row r="452" ht="12.75" hidden="1" customHeight="1" outlineLevel="1">
      <c r="A452" s="316"/>
      <c r="B452" s="90"/>
      <c r="C452" s="90"/>
      <c r="D452" s="90"/>
      <c r="E452" s="90"/>
      <c r="F452" s="90"/>
      <c r="G452" s="99"/>
      <c r="H452" s="99"/>
      <c r="I452" s="99"/>
      <c r="J452" s="99"/>
      <c r="K452" s="99"/>
      <c r="L452" s="99"/>
      <c r="M452" s="99"/>
      <c r="N452" s="99"/>
      <c r="O452" s="99"/>
      <c r="P452" s="99"/>
      <c r="Q452" s="99"/>
      <c r="R452" s="99"/>
      <c r="S452" s="99"/>
      <c r="T452" s="99"/>
      <c r="U452" s="99"/>
      <c r="V452" s="99"/>
      <c r="W452" s="99"/>
      <c r="X452" s="99"/>
      <c r="Y452" s="99"/>
      <c r="Z452" s="99"/>
      <c r="AA452" s="99"/>
      <c r="AB452" s="99"/>
      <c r="AC452" s="99"/>
      <c r="AD452" s="99"/>
      <c r="AE452" s="99"/>
      <c r="AF452" s="99"/>
      <c r="AG452" s="99"/>
      <c r="AH452" s="99"/>
      <c r="AI452" s="99"/>
      <c r="AJ452" s="99"/>
      <c r="AK452" s="99"/>
      <c r="AL452" s="99"/>
      <c r="AM452" s="99"/>
      <c r="AN452" s="99"/>
      <c r="AO452" s="99"/>
      <c r="AP452" s="99"/>
      <c r="AQ452" s="99"/>
      <c r="AR452" s="99"/>
      <c r="AS452" s="99"/>
      <c r="AT452" s="99"/>
      <c r="AU452" s="99"/>
      <c r="AV452" s="99"/>
      <c r="AW452" s="90"/>
      <c r="AX452" s="90"/>
      <c r="AY452" s="90"/>
      <c r="AZ452" s="90"/>
      <c r="BA452" s="90"/>
      <c r="BB452" s="90"/>
      <c r="BC452" s="90"/>
      <c r="BD452" s="90"/>
      <c r="BE452" s="90"/>
      <c r="BF452" s="90"/>
      <c r="BG452" s="90"/>
      <c r="BH452" s="90"/>
      <c r="BI452" s="90"/>
      <c r="BJ452" s="90"/>
      <c r="BK452" s="90"/>
      <c r="BL452" s="90"/>
      <c r="BM452" s="90"/>
      <c r="BN452" s="90"/>
      <c r="BO452" s="90"/>
      <c r="BP452" s="90"/>
      <c r="BQ452" s="90"/>
    </row>
    <row r="453" ht="12.75" hidden="1" customHeight="1" outlineLevel="1">
      <c r="A453" s="316"/>
      <c r="B453" s="67" t="s">
        <v>148</v>
      </c>
      <c r="C453" s="90"/>
      <c r="D453" s="90"/>
      <c r="E453" s="90"/>
      <c r="F453" s="90"/>
      <c r="G453" s="90"/>
      <c r="H453" s="90"/>
      <c r="I453" s="90"/>
      <c r="J453" s="90"/>
      <c r="K453" s="90"/>
      <c r="L453" s="90"/>
      <c r="M453" s="90"/>
      <c r="N453" s="90"/>
      <c r="O453" s="90"/>
      <c r="P453" s="90"/>
      <c r="Q453" s="90"/>
      <c r="R453" s="90"/>
      <c r="S453" s="90"/>
      <c r="T453" s="90"/>
      <c r="U453" s="90"/>
      <c r="V453" s="90"/>
      <c r="W453" s="90"/>
      <c r="X453" s="90"/>
      <c r="Y453" s="90"/>
      <c r="Z453" s="90"/>
      <c r="AA453" s="90"/>
      <c r="AB453" s="90"/>
      <c r="AC453" s="90"/>
      <c r="AD453" s="90"/>
      <c r="AE453" s="90"/>
      <c r="AF453" s="90"/>
      <c r="AG453" s="90"/>
      <c r="AH453" s="90"/>
      <c r="AI453" s="90"/>
      <c r="AJ453" s="90"/>
      <c r="AK453" s="90"/>
      <c r="AL453" s="90"/>
      <c r="AM453" s="90"/>
      <c r="AN453" s="90"/>
      <c r="AO453" s="90"/>
      <c r="AP453" s="90"/>
      <c r="AQ453" s="90"/>
      <c r="AR453" s="90"/>
      <c r="AS453" s="90"/>
      <c r="AT453" s="90"/>
      <c r="AU453" s="90"/>
      <c r="AV453" s="90"/>
      <c r="AW453" s="90"/>
      <c r="AX453" s="90"/>
      <c r="AY453" s="90"/>
      <c r="AZ453" s="90"/>
      <c r="BA453" s="90"/>
      <c r="BB453" s="90"/>
      <c r="BC453" s="90"/>
      <c r="BD453" s="90"/>
      <c r="BE453" s="90"/>
      <c r="BF453" s="90"/>
      <c r="BG453" s="90"/>
      <c r="BH453" s="90"/>
      <c r="BI453" s="90"/>
      <c r="BJ453" s="90"/>
      <c r="BK453" s="90"/>
      <c r="BL453" s="90"/>
      <c r="BM453" s="90"/>
      <c r="BN453" s="90"/>
      <c r="BO453" s="90"/>
      <c r="BP453" s="90"/>
      <c r="BQ453" s="90"/>
    </row>
    <row r="454" ht="12.75" hidden="1" customHeight="1" outlineLevel="1">
      <c r="A454" s="316"/>
      <c r="B454" s="90"/>
      <c r="C454" s="90" t="s">
        <v>487</v>
      </c>
      <c r="D454" s="90"/>
      <c r="E454" s="90"/>
      <c r="F454" s="90"/>
      <c r="G454" s="254"/>
      <c r="H454" s="99"/>
      <c r="I454" s="99"/>
      <c r="J454" s="99">
        <v>0.0</v>
      </c>
      <c r="K454" s="99">
        <v>0.0</v>
      </c>
      <c r="L454" s="99" t="str">
        <f t="shared" ref="L454:AV454" si="289">+K461</f>
        <v>#REF!</v>
      </c>
      <c r="M454" s="99" t="str">
        <f t="shared" si="289"/>
        <v>#REF!</v>
      </c>
      <c r="N454" s="99" t="str">
        <f t="shared" si="289"/>
        <v>#REF!</v>
      </c>
      <c r="O454" s="99" t="str">
        <f t="shared" si="289"/>
        <v>#REF!</v>
      </c>
      <c r="P454" s="99" t="str">
        <f t="shared" si="289"/>
        <v>#REF!</v>
      </c>
      <c r="Q454" s="99" t="str">
        <f t="shared" si="289"/>
        <v>#REF!</v>
      </c>
      <c r="R454" s="99" t="str">
        <f t="shared" si="289"/>
        <v>#REF!</v>
      </c>
      <c r="S454" s="99" t="str">
        <f t="shared" si="289"/>
        <v>#REF!</v>
      </c>
      <c r="T454" s="99" t="str">
        <f t="shared" si="289"/>
        <v>#REF!</v>
      </c>
      <c r="U454" s="99" t="str">
        <f t="shared" si="289"/>
        <v>#REF!</v>
      </c>
      <c r="V454" s="99" t="str">
        <f t="shared" si="289"/>
        <v>#REF!</v>
      </c>
      <c r="W454" s="99" t="str">
        <f t="shared" si="289"/>
        <v>#REF!</v>
      </c>
      <c r="X454" s="99" t="str">
        <f t="shared" si="289"/>
        <v>#REF!</v>
      </c>
      <c r="Y454" s="99" t="str">
        <f t="shared" si="289"/>
        <v>#REF!</v>
      </c>
      <c r="Z454" s="99" t="str">
        <f t="shared" si="289"/>
        <v>#REF!</v>
      </c>
      <c r="AA454" s="99" t="str">
        <f t="shared" si="289"/>
        <v>#REF!</v>
      </c>
      <c r="AB454" s="99" t="str">
        <f t="shared" si="289"/>
        <v>#REF!</v>
      </c>
      <c r="AC454" s="99" t="str">
        <f t="shared" si="289"/>
        <v>#REF!</v>
      </c>
      <c r="AD454" s="99" t="str">
        <f t="shared" si="289"/>
        <v>#REF!</v>
      </c>
      <c r="AE454" s="99" t="str">
        <f t="shared" si="289"/>
        <v>#REF!</v>
      </c>
      <c r="AF454" s="99" t="str">
        <f t="shared" si="289"/>
        <v>#REF!</v>
      </c>
      <c r="AG454" s="99" t="str">
        <f t="shared" si="289"/>
        <v>#REF!</v>
      </c>
      <c r="AH454" s="99" t="str">
        <f t="shared" si="289"/>
        <v>#REF!</v>
      </c>
      <c r="AI454" s="99" t="str">
        <f t="shared" si="289"/>
        <v>#REF!</v>
      </c>
      <c r="AJ454" s="99" t="str">
        <f t="shared" si="289"/>
        <v>#REF!</v>
      </c>
      <c r="AK454" s="99" t="str">
        <f t="shared" si="289"/>
        <v>#REF!</v>
      </c>
      <c r="AL454" s="99" t="str">
        <f t="shared" si="289"/>
        <v>#REF!</v>
      </c>
      <c r="AM454" s="99" t="str">
        <f t="shared" si="289"/>
        <v>#REF!</v>
      </c>
      <c r="AN454" s="99" t="str">
        <f t="shared" si="289"/>
        <v>#REF!</v>
      </c>
      <c r="AO454" s="99" t="str">
        <f t="shared" si="289"/>
        <v>#REF!</v>
      </c>
      <c r="AP454" s="99" t="str">
        <f t="shared" si="289"/>
        <v>#REF!</v>
      </c>
      <c r="AQ454" s="99" t="str">
        <f t="shared" si="289"/>
        <v>#REF!</v>
      </c>
      <c r="AR454" s="99" t="str">
        <f t="shared" si="289"/>
        <v>#REF!</v>
      </c>
      <c r="AS454" s="99" t="str">
        <f t="shared" si="289"/>
        <v>#REF!</v>
      </c>
      <c r="AT454" s="99" t="str">
        <f t="shared" si="289"/>
        <v>#REF!</v>
      </c>
      <c r="AU454" s="99" t="str">
        <f t="shared" si="289"/>
        <v>#REF!</v>
      </c>
      <c r="AV454" s="99" t="str">
        <f t="shared" si="289"/>
        <v>#REF!</v>
      </c>
      <c r="AW454" s="90"/>
      <c r="AX454" s="90"/>
      <c r="AY454" s="90"/>
      <c r="AZ454" s="90"/>
      <c r="BA454" s="90"/>
      <c r="BB454" s="90"/>
      <c r="BC454" s="90"/>
      <c r="BD454" s="90"/>
      <c r="BE454" s="90"/>
      <c r="BF454" s="90"/>
      <c r="BG454" s="90"/>
      <c r="BH454" s="90"/>
      <c r="BI454" s="90"/>
      <c r="BJ454" s="90"/>
      <c r="BK454" s="90"/>
      <c r="BL454" s="90"/>
      <c r="BM454" s="90"/>
      <c r="BN454" s="90"/>
      <c r="BO454" s="90"/>
      <c r="BP454" s="90"/>
      <c r="BQ454" s="90"/>
    </row>
    <row r="455" ht="12.75" hidden="1" customHeight="1" outlineLevel="1">
      <c r="A455" s="555"/>
      <c r="B455" s="90"/>
      <c r="C455" s="90" t="s">
        <v>488</v>
      </c>
      <c r="D455" s="90"/>
      <c r="E455" s="90"/>
      <c r="F455" s="90"/>
      <c r="G455" s="99"/>
      <c r="H455" s="99"/>
      <c r="I455" s="99"/>
      <c r="J455" s="254">
        <v>0.0</v>
      </c>
      <c r="K455" s="99" t="str">
        <f t="shared" ref="K455:L455" si="290">IF(K465&gt;K463,0,IF(K463-K465&lt;J461,0,MIN(K464-J461,K464-J461-K465)))</f>
        <v>#REF!</v>
      </c>
      <c r="L455" s="99" t="str">
        <f t="shared" si="290"/>
        <v>#REF!</v>
      </c>
      <c r="M455" s="99" t="str">
        <f>IF(M465&gt;M463,0,IF(M463-M465&lt;L461,0,MAX(0,MIN(M464-L461,M464-L461-M465))))</f>
        <v>#REF!</v>
      </c>
      <c r="N455" s="99" t="str">
        <f t="shared" ref="N455:U455" si="291">IF(N465&gt;N463,0,IF(N463-N465&lt;M461,0,MAX(0,MIN(N464-M461,N463-N465-M461))))</f>
        <v>#REF!</v>
      </c>
      <c r="O455" s="99" t="str">
        <f t="shared" si="291"/>
        <v>#REF!</v>
      </c>
      <c r="P455" s="99" t="str">
        <f t="shared" si="291"/>
        <v>#REF!</v>
      </c>
      <c r="Q455" s="99" t="str">
        <f t="shared" si="291"/>
        <v>#REF!</v>
      </c>
      <c r="R455" s="99" t="str">
        <f t="shared" si="291"/>
        <v>#REF!</v>
      </c>
      <c r="S455" s="99" t="str">
        <f t="shared" si="291"/>
        <v>#REF!</v>
      </c>
      <c r="T455" s="99" t="str">
        <f t="shared" si="291"/>
        <v>#REF!</v>
      </c>
      <c r="U455" s="99" t="str">
        <f t="shared" si="291"/>
        <v>#REF!</v>
      </c>
      <c r="V455" s="99" t="str">
        <f>IF(V464&gt;V463,0,IF(V463-V464&lt;U461,0,MAX(0,MIN(V465-U461,V463-V464-U461))))</f>
        <v>#REF!</v>
      </c>
      <c r="W455" s="99">
        <v>0.0</v>
      </c>
      <c r="X455" s="99">
        <v>0.0</v>
      </c>
      <c r="Y455" s="99">
        <v>0.0</v>
      </c>
      <c r="Z455" s="99">
        <v>0.0</v>
      </c>
      <c r="AA455" s="99">
        <v>0.0</v>
      </c>
      <c r="AB455" s="99">
        <v>0.0</v>
      </c>
      <c r="AC455" s="99">
        <v>0.0</v>
      </c>
      <c r="AD455" s="99">
        <v>0.0</v>
      </c>
      <c r="AE455" s="99">
        <v>0.0</v>
      </c>
      <c r="AF455" s="99">
        <v>0.0</v>
      </c>
      <c r="AG455" s="99">
        <v>0.0</v>
      </c>
      <c r="AH455" s="99">
        <v>0.0</v>
      </c>
      <c r="AI455" s="99">
        <v>0.0</v>
      </c>
      <c r="AJ455" s="99">
        <v>0.0</v>
      </c>
      <c r="AK455" s="99">
        <v>0.0</v>
      </c>
      <c r="AL455" s="99">
        <v>0.0</v>
      </c>
      <c r="AM455" s="99">
        <v>0.0</v>
      </c>
      <c r="AN455" s="99">
        <v>0.0</v>
      </c>
      <c r="AO455" s="99">
        <v>0.0</v>
      </c>
      <c r="AP455" s="99">
        <v>0.0</v>
      </c>
      <c r="AQ455" s="99">
        <v>0.0</v>
      </c>
      <c r="AR455" s="99">
        <v>0.0</v>
      </c>
      <c r="AS455" s="99">
        <v>0.0</v>
      </c>
      <c r="AT455" s="99">
        <v>0.0</v>
      </c>
      <c r="AU455" s="99">
        <v>0.0</v>
      </c>
      <c r="AV455" s="99">
        <v>0.0</v>
      </c>
      <c r="AW455" s="90"/>
      <c r="AX455" s="90"/>
      <c r="AY455" s="90"/>
      <c r="AZ455" s="90"/>
      <c r="BA455" s="90"/>
      <c r="BB455" s="90"/>
      <c r="BC455" s="90"/>
      <c r="BD455" s="90"/>
      <c r="BE455" s="90"/>
      <c r="BF455" s="90"/>
      <c r="BG455" s="90"/>
      <c r="BH455" s="90"/>
      <c r="BI455" s="90"/>
      <c r="BJ455" s="90"/>
      <c r="BK455" s="90"/>
      <c r="BL455" s="90"/>
      <c r="BM455" s="90"/>
      <c r="BN455" s="90"/>
      <c r="BO455" s="90"/>
      <c r="BP455" s="90"/>
      <c r="BQ455" s="90"/>
    </row>
    <row r="456" ht="12.75" hidden="1" customHeight="1" outlineLevel="1">
      <c r="A456" s="316"/>
      <c r="B456" s="90"/>
      <c r="C456" s="90" t="s">
        <v>490</v>
      </c>
      <c r="D456" s="90"/>
      <c r="E456" s="90"/>
      <c r="F456" s="90"/>
      <c r="G456" s="254"/>
      <c r="H456" s="254"/>
      <c r="I456" s="254"/>
      <c r="J456" s="254"/>
      <c r="K456" s="99"/>
      <c r="L456" s="99"/>
      <c r="M456" s="99"/>
      <c r="N456" s="99"/>
      <c r="O456" s="99"/>
      <c r="P456" s="99"/>
      <c r="Q456" s="99"/>
      <c r="R456" s="99"/>
      <c r="S456" s="99"/>
      <c r="T456" s="99"/>
      <c r="U456" s="99"/>
      <c r="V456" s="99"/>
      <c r="W456" s="99"/>
      <c r="X456" s="99"/>
      <c r="Y456" s="99"/>
      <c r="Z456" s="99"/>
      <c r="AA456" s="99"/>
      <c r="AB456" s="99"/>
      <c r="AC456" s="99"/>
      <c r="AD456" s="99"/>
      <c r="AE456" s="99"/>
      <c r="AF456" s="99"/>
      <c r="AG456" s="99"/>
      <c r="AH456" s="99"/>
      <c r="AI456" s="99"/>
      <c r="AJ456" s="99"/>
      <c r="AK456" s="99"/>
      <c r="AL456" s="99"/>
      <c r="AM456" s="99"/>
      <c r="AN456" s="99"/>
      <c r="AO456" s="99"/>
      <c r="AP456" s="99"/>
      <c r="AQ456" s="99"/>
      <c r="AR456" s="99"/>
      <c r="AS456" s="99"/>
      <c r="AT456" s="99"/>
      <c r="AU456" s="99"/>
      <c r="AV456" s="99"/>
      <c r="AW456" s="90"/>
      <c r="AX456" s="90"/>
      <c r="AY456" s="90"/>
      <c r="AZ456" s="90"/>
      <c r="BA456" s="90"/>
      <c r="BB456" s="90"/>
      <c r="BC456" s="90"/>
      <c r="BD456" s="90"/>
      <c r="BE456" s="90"/>
      <c r="BF456" s="90"/>
      <c r="BG456" s="90"/>
      <c r="BH456" s="90"/>
      <c r="BI456" s="90"/>
      <c r="BJ456" s="90"/>
      <c r="BK456" s="90"/>
      <c r="BL456" s="90"/>
      <c r="BM456" s="90"/>
      <c r="BN456" s="90"/>
      <c r="BO456" s="90"/>
      <c r="BP456" s="90"/>
      <c r="BQ456" s="90"/>
    </row>
    <row r="457" ht="12.75" hidden="1" customHeight="1" outlineLevel="1">
      <c r="A457" s="316"/>
      <c r="B457" s="90"/>
      <c r="C457" s="90"/>
      <c r="D457" s="90" t="s">
        <v>701</v>
      </c>
      <c r="E457" s="90"/>
      <c r="F457" s="90"/>
      <c r="G457" s="254"/>
      <c r="H457" s="254"/>
      <c r="I457" s="99"/>
      <c r="J457" s="99">
        <v>0.0</v>
      </c>
      <c r="K457" s="99" t="str">
        <f t="shared" ref="K457:AV457" si="292">IF(K455&gt;0,0,IF(J461=0,0,IF(K465+J461&gt;K463,MAX(-J461,K463-J461-K465),IF(K464&lt;J461,K464-J461,0))))</f>
        <v>#REF!</v>
      </c>
      <c r="L457" s="99" t="str">
        <f t="shared" si="292"/>
        <v>#REF!</v>
      </c>
      <c r="M457" s="99" t="str">
        <f t="shared" si="292"/>
        <v>#REF!</v>
      </c>
      <c r="N457" s="99" t="str">
        <f t="shared" si="292"/>
        <v>#REF!</v>
      </c>
      <c r="O457" s="99" t="str">
        <f t="shared" si="292"/>
        <v>#REF!</v>
      </c>
      <c r="P457" s="99" t="str">
        <f t="shared" si="292"/>
        <v>#REF!</v>
      </c>
      <c r="Q457" s="99" t="str">
        <f t="shared" si="292"/>
        <v>#REF!</v>
      </c>
      <c r="R457" s="99" t="str">
        <f t="shared" si="292"/>
        <v>#REF!</v>
      </c>
      <c r="S457" s="99" t="str">
        <f t="shared" si="292"/>
        <v>#REF!</v>
      </c>
      <c r="T457" s="99" t="str">
        <f t="shared" si="292"/>
        <v>#REF!</v>
      </c>
      <c r="U457" s="99" t="str">
        <f t="shared" si="292"/>
        <v>#REF!</v>
      </c>
      <c r="V457" s="99" t="str">
        <f t="shared" si="292"/>
        <v>#REF!</v>
      </c>
      <c r="W457" s="99" t="str">
        <f t="shared" si="292"/>
        <v>#REF!</v>
      </c>
      <c r="X457" s="99" t="str">
        <f t="shared" si="292"/>
        <v>#REF!</v>
      </c>
      <c r="Y457" s="99" t="str">
        <f t="shared" si="292"/>
        <v>#REF!</v>
      </c>
      <c r="Z457" s="99" t="str">
        <f t="shared" si="292"/>
        <v>#REF!</v>
      </c>
      <c r="AA457" s="99" t="str">
        <f t="shared" si="292"/>
        <v>#REF!</v>
      </c>
      <c r="AB457" s="99" t="str">
        <f t="shared" si="292"/>
        <v>#REF!</v>
      </c>
      <c r="AC457" s="99" t="str">
        <f t="shared" si="292"/>
        <v>#REF!</v>
      </c>
      <c r="AD457" s="99" t="str">
        <f t="shared" si="292"/>
        <v>#REF!</v>
      </c>
      <c r="AE457" s="99" t="str">
        <f t="shared" si="292"/>
        <v>#REF!</v>
      </c>
      <c r="AF457" s="99" t="str">
        <f t="shared" si="292"/>
        <v>#REF!</v>
      </c>
      <c r="AG457" s="99" t="str">
        <f t="shared" si="292"/>
        <v>#REF!</v>
      </c>
      <c r="AH457" s="99" t="str">
        <f t="shared" si="292"/>
        <v>#REF!</v>
      </c>
      <c r="AI457" s="99" t="str">
        <f t="shared" si="292"/>
        <v>#REF!</v>
      </c>
      <c r="AJ457" s="99" t="str">
        <f t="shared" si="292"/>
        <v>#REF!</v>
      </c>
      <c r="AK457" s="99" t="str">
        <f t="shared" si="292"/>
        <v>#REF!</v>
      </c>
      <c r="AL457" s="99" t="str">
        <f t="shared" si="292"/>
        <v>#REF!</v>
      </c>
      <c r="AM457" s="99" t="str">
        <f t="shared" si="292"/>
        <v>#REF!</v>
      </c>
      <c r="AN457" s="99" t="str">
        <f t="shared" si="292"/>
        <v>#REF!</v>
      </c>
      <c r="AO457" s="99" t="str">
        <f t="shared" si="292"/>
        <v>#REF!</v>
      </c>
      <c r="AP457" s="99" t="str">
        <f t="shared" si="292"/>
        <v>#REF!</v>
      </c>
      <c r="AQ457" s="99" t="str">
        <f t="shared" si="292"/>
        <v>#REF!</v>
      </c>
      <c r="AR457" s="99" t="str">
        <f t="shared" si="292"/>
        <v>#REF!</v>
      </c>
      <c r="AS457" s="99" t="str">
        <f t="shared" si="292"/>
        <v>#REF!</v>
      </c>
      <c r="AT457" s="99" t="str">
        <f t="shared" si="292"/>
        <v>#REF!</v>
      </c>
      <c r="AU457" s="99" t="str">
        <f t="shared" si="292"/>
        <v>#REF!</v>
      </c>
      <c r="AV457" s="99" t="str">
        <f t="shared" si="292"/>
        <v>#REF!</v>
      </c>
      <c r="AW457" s="90"/>
      <c r="AX457" s="90"/>
      <c r="AY457" s="90"/>
      <c r="AZ457" s="90"/>
      <c r="BA457" s="90"/>
      <c r="BB457" s="90"/>
      <c r="BC457" s="90"/>
      <c r="BD457" s="90"/>
      <c r="BE457" s="90"/>
      <c r="BF457" s="90"/>
      <c r="BG457" s="90"/>
      <c r="BH457" s="90"/>
      <c r="BI457" s="90"/>
      <c r="BJ457" s="90"/>
      <c r="BK457" s="90"/>
      <c r="BL457" s="90"/>
      <c r="BM457" s="90"/>
      <c r="BN457" s="90"/>
      <c r="BO457" s="90"/>
      <c r="BP457" s="90"/>
      <c r="BQ457" s="90"/>
    </row>
    <row r="458" ht="12.75" hidden="1" customHeight="1" outlineLevel="1">
      <c r="A458" s="316"/>
      <c r="B458" s="90"/>
      <c r="C458" s="90"/>
      <c r="D458" s="90" t="s">
        <v>489</v>
      </c>
      <c r="E458" s="90"/>
      <c r="F458" s="90"/>
      <c r="G458" s="254"/>
      <c r="H458" s="254"/>
      <c r="I458" s="99"/>
      <c r="J458" s="99">
        <v>0.0</v>
      </c>
      <c r="K458" s="99">
        <v>0.0</v>
      </c>
      <c r="L458" s="99"/>
      <c r="M458" s="99"/>
      <c r="N458" s="99"/>
      <c r="O458" s="99"/>
      <c r="P458" s="99"/>
      <c r="Q458" s="99"/>
      <c r="R458" s="99"/>
      <c r="S458" s="99"/>
      <c r="T458" s="99"/>
      <c r="U458" s="99"/>
      <c r="V458" s="99"/>
      <c r="W458" s="99"/>
      <c r="X458" s="99"/>
      <c r="Y458" s="99"/>
      <c r="Z458" s="99"/>
      <c r="AA458" s="99"/>
      <c r="AB458" s="99"/>
      <c r="AC458" s="99"/>
      <c r="AD458" s="99"/>
      <c r="AE458" s="99"/>
      <c r="AF458" s="99"/>
      <c r="AG458" s="99"/>
      <c r="AH458" s="99"/>
      <c r="AI458" s="99"/>
      <c r="AJ458" s="99"/>
      <c r="AK458" s="99"/>
      <c r="AL458" s="99"/>
      <c r="AM458" s="99"/>
      <c r="AN458" s="99"/>
      <c r="AO458" s="99"/>
      <c r="AP458" s="99"/>
      <c r="AQ458" s="99"/>
      <c r="AR458" s="99"/>
      <c r="AS458" s="99"/>
      <c r="AT458" s="99"/>
      <c r="AU458" s="99"/>
      <c r="AV458" s="99"/>
      <c r="AW458" s="90"/>
      <c r="AX458" s="90"/>
      <c r="AY458" s="90"/>
      <c r="AZ458" s="90"/>
      <c r="BA458" s="90"/>
      <c r="BB458" s="90"/>
      <c r="BC458" s="90"/>
      <c r="BD458" s="90"/>
      <c r="BE458" s="90"/>
      <c r="BF458" s="90"/>
      <c r="BG458" s="90"/>
      <c r="BH458" s="90"/>
      <c r="BI458" s="90"/>
      <c r="BJ458" s="90"/>
      <c r="BK458" s="90"/>
      <c r="BL458" s="90"/>
      <c r="BM458" s="90"/>
      <c r="BN458" s="90"/>
      <c r="BO458" s="90"/>
      <c r="BP458" s="90"/>
      <c r="BQ458" s="90"/>
    </row>
    <row r="459" ht="12.75" hidden="1" customHeight="1" outlineLevel="1">
      <c r="A459" s="316"/>
      <c r="B459" s="90"/>
      <c r="C459" s="148" t="s">
        <v>490</v>
      </c>
      <c r="D459" s="148"/>
      <c r="E459" s="148"/>
      <c r="F459" s="148"/>
      <c r="G459" s="394"/>
      <c r="H459" s="394"/>
      <c r="I459" s="394"/>
      <c r="J459" s="394">
        <v>0.0</v>
      </c>
      <c r="K459" s="394">
        <v>0.0</v>
      </c>
      <c r="L459" s="394">
        <v>0.0</v>
      </c>
      <c r="M459" s="394">
        <v>0.0</v>
      </c>
      <c r="N459" s="394">
        <v>0.0</v>
      </c>
      <c r="O459" s="394">
        <v>0.0</v>
      </c>
      <c r="P459" s="394">
        <v>0.0</v>
      </c>
      <c r="Q459" s="394">
        <v>0.0</v>
      </c>
      <c r="R459" s="394">
        <v>0.0</v>
      </c>
      <c r="S459" s="394">
        <v>0.0</v>
      </c>
      <c r="T459" s="394">
        <v>0.0</v>
      </c>
      <c r="U459" s="394">
        <v>0.0</v>
      </c>
      <c r="V459" s="394">
        <v>0.0</v>
      </c>
      <c r="W459" s="394">
        <v>0.0</v>
      </c>
      <c r="X459" s="394">
        <v>0.0</v>
      </c>
      <c r="Y459" s="394">
        <v>0.0</v>
      </c>
      <c r="Z459" s="394">
        <v>0.0</v>
      </c>
      <c r="AA459" s="394">
        <v>0.0</v>
      </c>
      <c r="AB459" s="394">
        <v>0.0</v>
      </c>
      <c r="AC459" s="394">
        <v>0.0</v>
      </c>
      <c r="AD459" s="394">
        <v>0.0</v>
      </c>
      <c r="AE459" s="394">
        <v>0.0</v>
      </c>
      <c r="AF459" s="394">
        <v>0.0</v>
      </c>
      <c r="AG459" s="394">
        <v>0.0</v>
      </c>
      <c r="AH459" s="394">
        <v>0.0</v>
      </c>
      <c r="AI459" s="394">
        <v>0.0</v>
      </c>
      <c r="AJ459" s="394">
        <v>0.0</v>
      </c>
      <c r="AK459" s="394">
        <v>0.0</v>
      </c>
      <c r="AL459" s="394">
        <v>0.0</v>
      </c>
      <c r="AM459" s="394">
        <v>0.0</v>
      </c>
      <c r="AN459" s="394">
        <v>0.0</v>
      </c>
      <c r="AO459" s="394">
        <v>0.0</v>
      </c>
      <c r="AP459" s="394">
        <v>0.0</v>
      </c>
      <c r="AQ459" s="394">
        <v>0.0</v>
      </c>
      <c r="AR459" s="394">
        <v>0.0</v>
      </c>
      <c r="AS459" s="394">
        <v>0.0</v>
      </c>
      <c r="AT459" s="394">
        <v>0.0</v>
      </c>
      <c r="AU459" s="394">
        <v>0.0</v>
      </c>
      <c r="AV459" s="394">
        <v>0.0</v>
      </c>
      <c r="AW459" s="90"/>
      <c r="AX459" s="90"/>
      <c r="AY459" s="90"/>
      <c r="AZ459" s="90"/>
      <c r="BA459" s="90"/>
      <c r="BB459" s="90"/>
      <c r="BC459" s="90"/>
      <c r="BD459" s="90"/>
      <c r="BE459" s="90"/>
      <c r="BF459" s="90"/>
      <c r="BG459" s="90"/>
      <c r="BH459" s="90"/>
      <c r="BI459" s="90"/>
      <c r="BJ459" s="90"/>
      <c r="BK459" s="90"/>
      <c r="BL459" s="90"/>
      <c r="BM459" s="90"/>
      <c r="BN459" s="90"/>
      <c r="BO459" s="90"/>
      <c r="BP459" s="90"/>
      <c r="BQ459" s="90"/>
    </row>
    <row r="460" ht="12.75" hidden="1" customHeight="1" outlineLevel="1">
      <c r="A460" s="555"/>
      <c r="B460" s="90"/>
      <c r="C460" s="90" t="s">
        <v>850</v>
      </c>
      <c r="D460" s="90"/>
      <c r="E460" s="90"/>
      <c r="F460" s="90"/>
      <c r="G460" s="99"/>
      <c r="H460" s="99"/>
      <c r="I460" s="99"/>
      <c r="J460" s="99">
        <v>0.0</v>
      </c>
      <c r="K460" s="99">
        <v>0.0</v>
      </c>
      <c r="L460" s="99">
        <v>0.0</v>
      </c>
      <c r="M460" s="99">
        <v>0.0</v>
      </c>
      <c r="N460" s="99">
        <v>0.0</v>
      </c>
      <c r="O460" s="99">
        <v>0.0</v>
      </c>
      <c r="P460" s="99">
        <v>0.0</v>
      </c>
      <c r="Q460" s="99">
        <v>0.0</v>
      </c>
      <c r="R460" s="99">
        <v>0.0</v>
      </c>
      <c r="S460" s="99">
        <v>0.0</v>
      </c>
      <c r="T460" s="99">
        <v>0.0</v>
      </c>
      <c r="U460" s="99">
        <v>0.0</v>
      </c>
      <c r="V460" s="99">
        <v>0.0</v>
      </c>
      <c r="W460" s="99">
        <v>0.0</v>
      </c>
      <c r="X460" s="99">
        <v>0.0</v>
      </c>
      <c r="Y460" s="99">
        <v>0.0</v>
      </c>
      <c r="Z460" s="99">
        <v>0.0</v>
      </c>
      <c r="AA460" s="99">
        <v>0.0</v>
      </c>
      <c r="AB460" s="99">
        <v>0.0</v>
      </c>
      <c r="AC460" s="99">
        <v>0.0</v>
      </c>
      <c r="AD460" s="99">
        <v>0.0</v>
      </c>
      <c r="AE460" s="99">
        <v>0.0</v>
      </c>
      <c r="AF460" s="99">
        <v>0.0</v>
      </c>
      <c r="AG460" s="99">
        <v>0.0</v>
      </c>
      <c r="AH460" s="99">
        <v>0.0</v>
      </c>
      <c r="AI460" s="99">
        <v>0.0</v>
      </c>
      <c r="AJ460" s="99">
        <v>0.0</v>
      </c>
      <c r="AK460" s="99">
        <v>0.0</v>
      </c>
      <c r="AL460" s="99">
        <v>0.0</v>
      </c>
      <c r="AM460" s="99">
        <v>0.0</v>
      </c>
      <c r="AN460" s="99">
        <v>0.0</v>
      </c>
      <c r="AO460" s="99">
        <v>0.0</v>
      </c>
      <c r="AP460" s="99">
        <v>0.0</v>
      </c>
      <c r="AQ460" s="99">
        <v>0.0</v>
      </c>
      <c r="AR460" s="99">
        <v>0.0</v>
      </c>
      <c r="AS460" s="99">
        <v>0.0</v>
      </c>
      <c r="AT460" s="99">
        <v>0.0</v>
      </c>
      <c r="AU460" s="99">
        <v>0.0</v>
      </c>
      <c r="AV460" s="99">
        <v>0.0</v>
      </c>
      <c r="AW460" s="90"/>
      <c r="AX460" s="90"/>
      <c r="AY460" s="90"/>
      <c r="AZ460" s="90"/>
      <c r="BA460" s="90"/>
      <c r="BB460" s="90"/>
      <c r="BC460" s="90"/>
      <c r="BD460" s="90"/>
      <c r="BE460" s="90"/>
      <c r="BF460" s="90"/>
      <c r="BG460" s="90"/>
      <c r="BH460" s="90"/>
      <c r="BI460" s="90"/>
      <c r="BJ460" s="90"/>
      <c r="BK460" s="90"/>
      <c r="BL460" s="90"/>
      <c r="BM460" s="90"/>
      <c r="BN460" s="90"/>
      <c r="BO460" s="90"/>
      <c r="BP460" s="90"/>
      <c r="BQ460" s="90"/>
    </row>
    <row r="461" ht="12.75" hidden="1" customHeight="1" outlineLevel="1">
      <c r="A461" s="316"/>
      <c r="B461" s="90"/>
      <c r="C461" s="148" t="s">
        <v>491</v>
      </c>
      <c r="D461" s="148"/>
      <c r="E461" s="148"/>
      <c r="F461" s="148"/>
      <c r="G461" s="150"/>
      <c r="H461" s="150"/>
      <c r="I461" s="150"/>
      <c r="J461" s="150">
        <v>0.0</v>
      </c>
      <c r="K461" s="150" t="str">
        <f>+SUM(K454:K460)</f>
        <v>#REF!</v>
      </c>
      <c r="L461" s="150" t="str">
        <f t="shared" ref="L461:AV461" si="293">SUM(L454:L460)</f>
        <v>#REF!</v>
      </c>
      <c r="M461" s="150" t="str">
        <f t="shared" si="293"/>
        <v>#REF!</v>
      </c>
      <c r="N461" s="150" t="str">
        <f t="shared" si="293"/>
        <v>#REF!</v>
      </c>
      <c r="O461" s="150" t="str">
        <f t="shared" si="293"/>
        <v>#REF!</v>
      </c>
      <c r="P461" s="150" t="str">
        <f t="shared" si="293"/>
        <v>#REF!</v>
      </c>
      <c r="Q461" s="150" t="str">
        <f t="shared" si="293"/>
        <v>#REF!</v>
      </c>
      <c r="R461" s="150" t="str">
        <f t="shared" si="293"/>
        <v>#REF!</v>
      </c>
      <c r="S461" s="150" t="str">
        <f t="shared" si="293"/>
        <v>#REF!</v>
      </c>
      <c r="T461" s="150" t="str">
        <f t="shared" si="293"/>
        <v>#REF!</v>
      </c>
      <c r="U461" s="150" t="str">
        <f t="shared" si="293"/>
        <v>#REF!</v>
      </c>
      <c r="V461" s="150" t="str">
        <f t="shared" si="293"/>
        <v>#REF!</v>
      </c>
      <c r="W461" s="150" t="str">
        <f t="shared" si="293"/>
        <v>#REF!</v>
      </c>
      <c r="X461" s="150" t="str">
        <f t="shared" si="293"/>
        <v>#REF!</v>
      </c>
      <c r="Y461" s="150" t="str">
        <f t="shared" si="293"/>
        <v>#REF!</v>
      </c>
      <c r="Z461" s="150" t="str">
        <f t="shared" si="293"/>
        <v>#REF!</v>
      </c>
      <c r="AA461" s="150" t="str">
        <f t="shared" si="293"/>
        <v>#REF!</v>
      </c>
      <c r="AB461" s="150" t="str">
        <f t="shared" si="293"/>
        <v>#REF!</v>
      </c>
      <c r="AC461" s="150" t="str">
        <f t="shared" si="293"/>
        <v>#REF!</v>
      </c>
      <c r="AD461" s="150" t="str">
        <f t="shared" si="293"/>
        <v>#REF!</v>
      </c>
      <c r="AE461" s="150" t="str">
        <f t="shared" si="293"/>
        <v>#REF!</v>
      </c>
      <c r="AF461" s="150" t="str">
        <f t="shared" si="293"/>
        <v>#REF!</v>
      </c>
      <c r="AG461" s="150" t="str">
        <f t="shared" si="293"/>
        <v>#REF!</v>
      </c>
      <c r="AH461" s="150" t="str">
        <f t="shared" si="293"/>
        <v>#REF!</v>
      </c>
      <c r="AI461" s="150" t="str">
        <f t="shared" si="293"/>
        <v>#REF!</v>
      </c>
      <c r="AJ461" s="150" t="str">
        <f t="shared" si="293"/>
        <v>#REF!</v>
      </c>
      <c r="AK461" s="150" t="str">
        <f t="shared" si="293"/>
        <v>#REF!</v>
      </c>
      <c r="AL461" s="150" t="str">
        <f t="shared" si="293"/>
        <v>#REF!</v>
      </c>
      <c r="AM461" s="150" t="str">
        <f t="shared" si="293"/>
        <v>#REF!</v>
      </c>
      <c r="AN461" s="150" t="str">
        <f t="shared" si="293"/>
        <v>#REF!</v>
      </c>
      <c r="AO461" s="150" t="str">
        <f t="shared" si="293"/>
        <v>#REF!</v>
      </c>
      <c r="AP461" s="150" t="str">
        <f t="shared" si="293"/>
        <v>#REF!</v>
      </c>
      <c r="AQ461" s="150" t="str">
        <f t="shared" si="293"/>
        <v>#REF!</v>
      </c>
      <c r="AR461" s="150" t="str">
        <f t="shared" si="293"/>
        <v>#REF!</v>
      </c>
      <c r="AS461" s="150" t="str">
        <f t="shared" si="293"/>
        <v>#REF!</v>
      </c>
      <c r="AT461" s="150" t="str">
        <f t="shared" si="293"/>
        <v>#REF!</v>
      </c>
      <c r="AU461" s="150" t="str">
        <f t="shared" si="293"/>
        <v>#REF!</v>
      </c>
      <c r="AV461" s="150" t="str">
        <f t="shared" si="293"/>
        <v>#REF!</v>
      </c>
      <c r="AW461" s="90"/>
      <c r="AX461" s="90"/>
      <c r="AY461" s="90"/>
      <c r="AZ461" s="90"/>
      <c r="BA461" s="90"/>
      <c r="BB461" s="90"/>
      <c r="BC461" s="90"/>
      <c r="BD461" s="90"/>
      <c r="BE461" s="90"/>
      <c r="BF461" s="90"/>
      <c r="BG461" s="90"/>
      <c r="BH461" s="90"/>
      <c r="BI461" s="90"/>
      <c r="BJ461" s="90"/>
      <c r="BK461" s="90"/>
      <c r="BL461" s="90"/>
      <c r="BM461" s="90"/>
      <c r="BN461" s="90"/>
      <c r="BO461" s="90"/>
      <c r="BP461" s="90"/>
      <c r="BQ461" s="90"/>
    </row>
    <row r="462" ht="12.75" hidden="1" customHeight="1" outlineLevel="1">
      <c r="A462" s="316"/>
      <c r="B462" s="90"/>
      <c r="C462" s="90"/>
      <c r="D462" s="90"/>
      <c r="E462" s="90"/>
      <c r="F462" s="90"/>
      <c r="G462" s="99"/>
      <c r="H462" s="99"/>
      <c r="I462" s="99"/>
      <c r="J462" s="99"/>
      <c r="K462" s="99"/>
      <c r="L462" s="99"/>
      <c r="M462" s="99"/>
      <c r="N462" s="99"/>
      <c r="O462" s="99"/>
      <c r="P462" s="99"/>
      <c r="Q462" s="99"/>
      <c r="R462" s="99"/>
      <c r="S462" s="99"/>
      <c r="T462" s="99"/>
      <c r="U462" s="99"/>
      <c r="V462" s="99"/>
      <c r="W462" s="99"/>
      <c r="X462" s="99"/>
      <c r="Y462" s="99"/>
      <c r="Z462" s="99"/>
      <c r="AA462" s="99"/>
      <c r="AB462" s="99"/>
      <c r="AC462" s="99"/>
      <c r="AD462" s="99"/>
      <c r="AE462" s="99"/>
      <c r="AF462" s="99"/>
      <c r="AG462" s="99"/>
      <c r="AH462" s="99"/>
      <c r="AI462" s="99"/>
      <c r="AJ462" s="99"/>
      <c r="AK462" s="99"/>
      <c r="AL462" s="99"/>
      <c r="AM462" s="99"/>
      <c r="AN462" s="99"/>
      <c r="AO462" s="99"/>
      <c r="AP462" s="99"/>
      <c r="AQ462" s="99"/>
      <c r="AR462" s="99"/>
      <c r="AS462" s="99"/>
      <c r="AT462" s="99"/>
      <c r="AU462" s="99"/>
      <c r="AV462" s="99"/>
      <c r="AW462" s="90"/>
      <c r="AX462" s="90"/>
      <c r="AY462" s="90"/>
      <c r="AZ462" s="90"/>
      <c r="BA462" s="90"/>
      <c r="BB462" s="90"/>
      <c r="BC462" s="90"/>
      <c r="BD462" s="90"/>
      <c r="BE462" s="90"/>
      <c r="BF462" s="90"/>
      <c r="BG462" s="90"/>
      <c r="BH462" s="90"/>
      <c r="BI462" s="90"/>
      <c r="BJ462" s="90"/>
      <c r="BK462" s="90"/>
      <c r="BL462" s="90"/>
      <c r="BM462" s="90"/>
      <c r="BN462" s="90"/>
      <c r="BO462" s="90"/>
      <c r="BP462" s="90"/>
      <c r="BQ462" s="90"/>
    </row>
    <row r="463" ht="12.75" hidden="1" customHeight="1" outlineLevel="1">
      <c r="A463" s="316"/>
      <c r="B463" s="90"/>
      <c r="C463" s="90" t="s">
        <v>1255</v>
      </c>
      <c r="D463" s="90"/>
      <c r="E463" s="369">
        <f>Assumptions!H32</f>
        <v>2</v>
      </c>
      <c r="F463" s="90"/>
      <c r="G463" s="99"/>
      <c r="H463" s="99"/>
      <c r="I463" s="99"/>
      <c r="J463" s="99">
        <v>3804.00833333333</v>
      </c>
      <c r="K463" s="99">
        <f t="shared" ref="K463:AV463" si="294">$E$463*(K383+K339+K330+K319)/12</f>
        <v>57180.58667</v>
      </c>
      <c r="L463" s="99">
        <f t="shared" si="294"/>
        <v>527423.5065</v>
      </c>
      <c r="M463" s="99">
        <f t="shared" si="294"/>
        <v>546061.3557</v>
      </c>
      <c r="N463" s="99">
        <f t="shared" si="294"/>
        <v>582617.0484</v>
      </c>
      <c r="O463" s="99">
        <f t="shared" si="294"/>
        <v>588140.7643</v>
      </c>
      <c r="P463" s="99">
        <f t="shared" si="294"/>
        <v>598815.9753</v>
      </c>
      <c r="Q463" s="99">
        <f t="shared" si="294"/>
        <v>613690.5487</v>
      </c>
      <c r="R463" s="99">
        <f t="shared" si="294"/>
        <v>630186.7105</v>
      </c>
      <c r="S463" s="99">
        <f t="shared" si="294"/>
        <v>641507.5412</v>
      </c>
      <c r="T463" s="99">
        <f t="shared" si="294"/>
        <v>653636.2465</v>
      </c>
      <c r="U463" s="99">
        <f t="shared" si="294"/>
        <v>666674.5971</v>
      </c>
      <c r="V463" s="99">
        <f t="shared" si="294"/>
        <v>680055.5396</v>
      </c>
      <c r="W463" s="99">
        <f t="shared" si="294"/>
        <v>693636.0995</v>
      </c>
      <c r="X463" s="99">
        <f t="shared" si="294"/>
        <v>707522.608</v>
      </c>
      <c r="Y463" s="99">
        <f t="shared" si="294"/>
        <v>721686.8467</v>
      </c>
      <c r="Z463" s="99">
        <f t="shared" si="294"/>
        <v>736134.3701</v>
      </c>
      <c r="AA463" s="99">
        <f t="shared" si="294"/>
        <v>750870.844</v>
      </c>
      <c r="AB463" s="99">
        <f t="shared" si="294"/>
        <v>765902.0474</v>
      </c>
      <c r="AC463" s="99">
        <f t="shared" si="294"/>
        <v>781233.8749</v>
      </c>
      <c r="AD463" s="99">
        <f t="shared" si="294"/>
        <v>796872.3389</v>
      </c>
      <c r="AE463" s="99">
        <f t="shared" si="294"/>
        <v>812823.5722</v>
      </c>
      <c r="AF463" s="99">
        <f t="shared" si="294"/>
        <v>829093.8301</v>
      </c>
      <c r="AG463" s="99">
        <f t="shared" si="294"/>
        <v>845689.4932</v>
      </c>
      <c r="AH463" s="99">
        <f t="shared" si="294"/>
        <v>862617.0696</v>
      </c>
      <c r="AI463" s="99">
        <f t="shared" si="294"/>
        <v>879883.1975</v>
      </c>
      <c r="AJ463" s="99">
        <f t="shared" si="294"/>
        <v>897494.6479</v>
      </c>
      <c r="AK463" s="99">
        <f t="shared" si="294"/>
        <v>915458.3274</v>
      </c>
      <c r="AL463" s="99">
        <f t="shared" si="294"/>
        <v>933781.2805</v>
      </c>
      <c r="AM463" s="99">
        <f t="shared" si="294"/>
        <v>952470.6926</v>
      </c>
      <c r="AN463" s="99">
        <f t="shared" si="294"/>
        <v>971533.8929</v>
      </c>
      <c r="AO463" s="99">
        <f t="shared" si="294"/>
        <v>990978.3573</v>
      </c>
      <c r="AP463" s="99">
        <f t="shared" si="294"/>
        <v>1010811.711</v>
      </c>
      <c r="AQ463" s="99">
        <f t="shared" si="294"/>
        <v>1031041.732</v>
      </c>
      <c r="AR463" s="99">
        <f t="shared" si="294"/>
        <v>1051676.353</v>
      </c>
      <c r="AS463" s="99">
        <f t="shared" si="294"/>
        <v>1072723.666</v>
      </c>
      <c r="AT463" s="99">
        <f t="shared" si="294"/>
        <v>1094191.926</v>
      </c>
      <c r="AU463" s="99">
        <f t="shared" si="294"/>
        <v>1116089.551</v>
      </c>
      <c r="AV463" s="99">
        <f t="shared" si="294"/>
        <v>1138425.129</v>
      </c>
      <c r="AW463" s="90"/>
      <c r="AX463" s="90"/>
      <c r="AY463" s="90"/>
      <c r="AZ463" s="90"/>
      <c r="BA463" s="90"/>
      <c r="BB463" s="90"/>
      <c r="BC463" s="90"/>
      <c r="BD463" s="90"/>
      <c r="BE463" s="90"/>
      <c r="BF463" s="90"/>
      <c r="BG463" s="90"/>
      <c r="BH463" s="90"/>
      <c r="BI463" s="90"/>
      <c r="BJ463" s="90"/>
      <c r="BK463" s="90"/>
      <c r="BL463" s="90"/>
      <c r="BM463" s="90"/>
      <c r="BN463" s="90"/>
      <c r="BO463" s="90"/>
      <c r="BP463" s="90"/>
      <c r="BQ463" s="90"/>
    </row>
    <row r="464" ht="12.75" hidden="1" customHeight="1" outlineLevel="1">
      <c r="A464" s="316"/>
      <c r="B464" s="90"/>
      <c r="C464" s="90" t="s">
        <v>1256</v>
      </c>
      <c r="D464" s="90"/>
      <c r="E464" s="152">
        <f>Assumptions!H31</f>
        <v>0.65</v>
      </c>
      <c r="F464" s="90"/>
      <c r="G464" s="99"/>
      <c r="H464" s="99"/>
      <c r="I464" s="99"/>
      <c r="J464" s="99">
        <v>0.0</v>
      </c>
      <c r="K464" s="99">
        <f t="shared" ref="K464:AV464" si="295">$E$464*K484</f>
        <v>0</v>
      </c>
      <c r="L464" s="99">
        <f t="shared" si="295"/>
        <v>258771.0232</v>
      </c>
      <c r="M464" s="99">
        <f t="shared" si="295"/>
        <v>306552.7099</v>
      </c>
      <c r="N464" s="99">
        <f t="shared" si="295"/>
        <v>339888.0896</v>
      </c>
      <c r="O464" s="99">
        <f t="shared" si="295"/>
        <v>347598.0963</v>
      </c>
      <c r="P464" s="99">
        <f t="shared" si="295"/>
        <v>353752.4955</v>
      </c>
      <c r="Q464" s="99">
        <f t="shared" si="295"/>
        <v>360081.8242</v>
      </c>
      <c r="R464" s="99">
        <f t="shared" si="295"/>
        <v>369854.524</v>
      </c>
      <c r="S464" s="99">
        <f t="shared" si="295"/>
        <v>376503.6746</v>
      </c>
      <c r="T464" s="99">
        <f t="shared" si="295"/>
        <v>383634.1344</v>
      </c>
      <c r="U464" s="99">
        <f t="shared" si="295"/>
        <v>391306.8171</v>
      </c>
      <c r="V464" s="99">
        <f t="shared" si="295"/>
        <v>399132.9535</v>
      </c>
      <c r="W464" s="99">
        <f t="shared" si="295"/>
        <v>407115.6125</v>
      </c>
      <c r="X464" s="99">
        <f t="shared" si="295"/>
        <v>415257.9248</v>
      </c>
      <c r="Y464" s="99">
        <f t="shared" si="295"/>
        <v>423563.0833</v>
      </c>
      <c r="Z464" s="99">
        <f t="shared" si="295"/>
        <v>432034.3449</v>
      </c>
      <c r="AA464" s="99">
        <f t="shared" si="295"/>
        <v>440675.0318</v>
      </c>
      <c r="AB464" s="99">
        <f t="shared" si="295"/>
        <v>449488.5325</v>
      </c>
      <c r="AC464" s="99">
        <f t="shared" si="295"/>
        <v>458478.3031</v>
      </c>
      <c r="AD464" s="99">
        <f t="shared" si="295"/>
        <v>467647.8692</v>
      </c>
      <c r="AE464" s="99">
        <f t="shared" si="295"/>
        <v>477000.8266</v>
      </c>
      <c r="AF464" s="99">
        <f t="shared" si="295"/>
        <v>486540.8431</v>
      </c>
      <c r="AG464" s="99">
        <f t="shared" si="295"/>
        <v>496271.66</v>
      </c>
      <c r="AH464" s="99">
        <f t="shared" si="295"/>
        <v>506197.0932</v>
      </c>
      <c r="AI464" s="99">
        <f t="shared" si="295"/>
        <v>516321.035</v>
      </c>
      <c r="AJ464" s="99">
        <f t="shared" si="295"/>
        <v>526647.4557</v>
      </c>
      <c r="AK464" s="99">
        <f t="shared" si="295"/>
        <v>537180.4048</v>
      </c>
      <c r="AL464" s="99">
        <f t="shared" si="295"/>
        <v>547924.0129</v>
      </c>
      <c r="AM464" s="99">
        <f t="shared" si="295"/>
        <v>558882.4932</v>
      </c>
      <c r="AN464" s="99">
        <f t="shared" si="295"/>
        <v>570060.1431</v>
      </c>
      <c r="AO464" s="99">
        <f t="shared" si="295"/>
        <v>581461.3459</v>
      </c>
      <c r="AP464" s="99">
        <f t="shared" si="295"/>
        <v>593090.5728</v>
      </c>
      <c r="AQ464" s="99">
        <f t="shared" si="295"/>
        <v>604952.3843</v>
      </c>
      <c r="AR464" s="99">
        <f t="shared" si="295"/>
        <v>617051.432</v>
      </c>
      <c r="AS464" s="99">
        <f t="shared" si="295"/>
        <v>629392.4606</v>
      </c>
      <c r="AT464" s="99">
        <f t="shared" si="295"/>
        <v>641980.3098</v>
      </c>
      <c r="AU464" s="99">
        <f t="shared" si="295"/>
        <v>654819.916</v>
      </c>
      <c r="AV464" s="99">
        <f t="shared" si="295"/>
        <v>667916.3144</v>
      </c>
      <c r="AW464" s="90"/>
      <c r="AX464" s="90"/>
      <c r="AY464" s="90"/>
      <c r="AZ464" s="90"/>
      <c r="BA464" s="90"/>
      <c r="BB464" s="90"/>
      <c r="BC464" s="90"/>
      <c r="BD464" s="90"/>
      <c r="BE464" s="90"/>
      <c r="BF464" s="90"/>
      <c r="BG464" s="90"/>
      <c r="BH464" s="90"/>
      <c r="BI464" s="90"/>
      <c r="BJ464" s="90"/>
      <c r="BK464" s="90"/>
      <c r="BL464" s="90"/>
      <c r="BM464" s="90"/>
      <c r="BN464" s="90"/>
      <c r="BO464" s="90"/>
      <c r="BP464" s="90"/>
      <c r="BQ464" s="90"/>
    </row>
    <row r="465" ht="12.75" hidden="1" customHeight="1" outlineLevel="1">
      <c r="A465" s="316"/>
      <c r="B465" s="90"/>
      <c r="C465" s="90" t="s">
        <v>1257</v>
      </c>
      <c r="D465" s="90"/>
      <c r="E465" s="90"/>
      <c r="F465" s="90"/>
      <c r="G465" s="99"/>
      <c r="H465" s="99"/>
      <c r="I465" s="99"/>
      <c r="J465" s="99">
        <v>79351.9</v>
      </c>
      <c r="K465" s="99" t="str">
        <f>J465+K11-SUM(K14:K20,K389:K390)+K404+K411+SUM(K415:K417,K419:K423)-J391</f>
        <v>#REF!</v>
      </c>
      <c r="L465" s="99" t="str">
        <f t="shared" ref="L465:AV465" si="296">K465+L11-SUM(L14:L20,L389,K390)+L404+L411+SUM(L415:L417,L419:L423)-K391</f>
        <v>#REF!</v>
      </c>
      <c r="M465" s="99" t="str">
        <f t="shared" si="296"/>
        <v>#REF!</v>
      </c>
      <c r="N465" s="99" t="str">
        <f t="shared" si="296"/>
        <v>#REF!</v>
      </c>
      <c r="O465" s="99" t="str">
        <f t="shared" si="296"/>
        <v>#REF!</v>
      </c>
      <c r="P465" s="99" t="str">
        <f t="shared" si="296"/>
        <v>#REF!</v>
      </c>
      <c r="Q465" s="99" t="str">
        <f t="shared" si="296"/>
        <v>#REF!</v>
      </c>
      <c r="R465" s="99" t="str">
        <f t="shared" si="296"/>
        <v>#REF!</v>
      </c>
      <c r="S465" s="99" t="str">
        <f t="shared" si="296"/>
        <v>#REF!</v>
      </c>
      <c r="T465" s="99" t="str">
        <f t="shared" si="296"/>
        <v>#REF!</v>
      </c>
      <c r="U465" s="99" t="str">
        <f t="shared" si="296"/>
        <v>#REF!</v>
      </c>
      <c r="V465" s="99" t="str">
        <f t="shared" si="296"/>
        <v>#REF!</v>
      </c>
      <c r="W465" s="99" t="str">
        <f t="shared" si="296"/>
        <v>#REF!</v>
      </c>
      <c r="X465" s="99" t="str">
        <f t="shared" si="296"/>
        <v>#REF!</v>
      </c>
      <c r="Y465" s="99" t="str">
        <f t="shared" si="296"/>
        <v>#REF!</v>
      </c>
      <c r="Z465" s="99" t="str">
        <f t="shared" si="296"/>
        <v>#REF!</v>
      </c>
      <c r="AA465" s="99" t="str">
        <f t="shared" si="296"/>
        <v>#REF!</v>
      </c>
      <c r="AB465" s="99" t="str">
        <f t="shared" si="296"/>
        <v>#REF!</v>
      </c>
      <c r="AC465" s="99" t="str">
        <f t="shared" si="296"/>
        <v>#REF!</v>
      </c>
      <c r="AD465" s="99" t="str">
        <f t="shared" si="296"/>
        <v>#REF!</v>
      </c>
      <c r="AE465" s="99" t="str">
        <f t="shared" si="296"/>
        <v>#REF!</v>
      </c>
      <c r="AF465" s="99" t="str">
        <f t="shared" si="296"/>
        <v>#REF!</v>
      </c>
      <c r="AG465" s="99" t="str">
        <f t="shared" si="296"/>
        <v>#REF!</v>
      </c>
      <c r="AH465" s="99" t="str">
        <f t="shared" si="296"/>
        <v>#REF!</v>
      </c>
      <c r="AI465" s="99" t="str">
        <f t="shared" si="296"/>
        <v>#REF!</v>
      </c>
      <c r="AJ465" s="99" t="str">
        <f t="shared" si="296"/>
        <v>#REF!</v>
      </c>
      <c r="AK465" s="99" t="str">
        <f t="shared" si="296"/>
        <v>#REF!</v>
      </c>
      <c r="AL465" s="99" t="str">
        <f t="shared" si="296"/>
        <v>#REF!</v>
      </c>
      <c r="AM465" s="99" t="str">
        <f t="shared" si="296"/>
        <v>#REF!</v>
      </c>
      <c r="AN465" s="99" t="str">
        <f t="shared" si="296"/>
        <v>#REF!</v>
      </c>
      <c r="AO465" s="99" t="str">
        <f t="shared" si="296"/>
        <v>#REF!</v>
      </c>
      <c r="AP465" s="99" t="str">
        <f t="shared" si="296"/>
        <v>#REF!</v>
      </c>
      <c r="AQ465" s="99" t="str">
        <f t="shared" si="296"/>
        <v>#REF!</v>
      </c>
      <c r="AR465" s="99" t="str">
        <f t="shared" si="296"/>
        <v>#REF!</v>
      </c>
      <c r="AS465" s="99" t="str">
        <f t="shared" si="296"/>
        <v>#REF!</v>
      </c>
      <c r="AT465" s="99" t="str">
        <f t="shared" si="296"/>
        <v>#REF!</v>
      </c>
      <c r="AU465" s="99" t="str">
        <f t="shared" si="296"/>
        <v>#REF!</v>
      </c>
      <c r="AV465" s="99" t="str">
        <f t="shared" si="296"/>
        <v>#REF!</v>
      </c>
      <c r="AW465" s="90"/>
      <c r="AX465" s="90"/>
      <c r="AY465" s="90"/>
      <c r="AZ465" s="90"/>
      <c r="BA465" s="90"/>
      <c r="BB465" s="90"/>
      <c r="BC465" s="90"/>
      <c r="BD465" s="90"/>
      <c r="BE465" s="90"/>
      <c r="BF465" s="90"/>
      <c r="BG465" s="90"/>
      <c r="BH465" s="90"/>
      <c r="BI465" s="90"/>
      <c r="BJ465" s="90"/>
      <c r="BK465" s="90"/>
      <c r="BL465" s="90"/>
      <c r="BM465" s="90"/>
      <c r="BN465" s="90"/>
      <c r="BO465" s="90"/>
      <c r="BP465" s="90"/>
      <c r="BQ465" s="90"/>
    </row>
    <row r="466" ht="12.75" hidden="1" customHeight="1" outlineLevel="1">
      <c r="A466" s="316"/>
      <c r="B466" s="90"/>
      <c r="C466" s="90"/>
      <c r="D466" s="90"/>
      <c r="E466" s="90"/>
      <c r="F466" s="90"/>
      <c r="G466" s="99"/>
      <c r="H466" s="99"/>
      <c r="I466" s="99"/>
      <c r="J466" s="99"/>
      <c r="K466" s="99"/>
      <c r="L466" s="99"/>
      <c r="M466" s="99"/>
      <c r="N466" s="99"/>
      <c r="O466" s="99"/>
      <c r="P466" s="99"/>
      <c r="Q466" s="99"/>
      <c r="R466" s="99"/>
      <c r="S466" s="99"/>
      <c r="T466" s="99"/>
      <c r="U466" s="99"/>
      <c r="V466" s="99"/>
      <c r="W466" s="99"/>
      <c r="X466" s="99"/>
      <c r="Y466" s="99"/>
      <c r="Z466" s="99"/>
      <c r="AA466" s="99"/>
      <c r="AB466" s="99"/>
      <c r="AC466" s="99"/>
      <c r="AD466" s="99"/>
      <c r="AE466" s="99"/>
      <c r="AF466" s="99"/>
      <c r="AG466" s="99"/>
      <c r="AH466" s="99"/>
      <c r="AI466" s="99"/>
      <c r="AJ466" s="99"/>
      <c r="AK466" s="99"/>
      <c r="AL466" s="99"/>
      <c r="AM466" s="99"/>
      <c r="AN466" s="99"/>
      <c r="AO466" s="99"/>
      <c r="AP466" s="99"/>
      <c r="AQ466" s="99"/>
      <c r="AR466" s="99"/>
      <c r="AS466" s="99"/>
      <c r="AT466" s="99"/>
      <c r="AU466" s="99"/>
      <c r="AV466" s="99"/>
      <c r="AW466" s="90"/>
      <c r="AX466" s="90"/>
      <c r="AY466" s="90"/>
      <c r="AZ466" s="90"/>
      <c r="BA466" s="90"/>
      <c r="BB466" s="90"/>
      <c r="BC466" s="90"/>
      <c r="BD466" s="90"/>
      <c r="BE466" s="90"/>
      <c r="BF466" s="90"/>
      <c r="BG466" s="90"/>
      <c r="BH466" s="90"/>
      <c r="BI466" s="90"/>
      <c r="BJ466" s="90"/>
      <c r="BK466" s="90"/>
      <c r="BL466" s="90"/>
      <c r="BM466" s="90"/>
      <c r="BN466" s="90"/>
      <c r="BO466" s="90"/>
      <c r="BP466" s="90"/>
      <c r="BQ466" s="90"/>
    </row>
    <row r="467" ht="12.75" hidden="1" customHeight="1" outlineLevel="1">
      <c r="A467" s="316"/>
      <c r="B467" s="67" t="s">
        <v>479</v>
      </c>
      <c r="C467" s="90"/>
      <c r="D467" s="90"/>
      <c r="E467" s="90"/>
      <c r="F467" s="90"/>
      <c r="G467" s="90"/>
      <c r="H467" s="90"/>
      <c r="I467" s="90"/>
      <c r="J467" s="90"/>
      <c r="K467" s="90"/>
      <c r="L467" s="90"/>
      <c r="M467" s="90"/>
      <c r="N467" s="90"/>
      <c r="O467" s="90"/>
      <c r="P467" s="90"/>
      <c r="Q467" s="90"/>
      <c r="R467" s="90"/>
      <c r="S467" s="90"/>
      <c r="T467" s="90"/>
      <c r="U467" s="90"/>
      <c r="V467" s="90"/>
      <c r="W467" s="90"/>
      <c r="X467" s="90"/>
      <c r="Y467" s="90"/>
      <c r="Z467" s="90"/>
      <c r="AA467" s="90"/>
      <c r="AB467" s="90"/>
      <c r="AC467" s="90"/>
      <c r="AD467" s="90"/>
      <c r="AE467" s="90"/>
      <c r="AF467" s="90"/>
      <c r="AG467" s="90"/>
      <c r="AH467" s="90"/>
      <c r="AI467" s="90"/>
      <c r="AJ467" s="90"/>
      <c r="AK467" s="90"/>
      <c r="AL467" s="90"/>
      <c r="AM467" s="90"/>
      <c r="AN467" s="90"/>
      <c r="AO467" s="90"/>
      <c r="AP467" s="90"/>
      <c r="AQ467" s="90"/>
      <c r="AR467" s="90"/>
      <c r="AS467" s="90"/>
      <c r="AT467" s="90"/>
      <c r="AU467" s="90"/>
      <c r="AV467" s="90"/>
      <c r="AW467" s="90"/>
      <c r="AX467" s="90"/>
      <c r="AY467" s="90"/>
      <c r="AZ467" s="90"/>
      <c r="BA467" s="90"/>
      <c r="BB467" s="90"/>
      <c r="BC467" s="90"/>
      <c r="BD467" s="90"/>
      <c r="BE467" s="90"/>
      <c r="BF467" s="90"/>
      <c r="BG467" s="90"/>
      <c r="BH467" s="90"/>
      <c r="BI467" s="90"/>
      <c r="BJ467" s="90"/>
      <c r="BK467" s="90"/>
      <c r="BL467" s="90"/>
      <c r="BM467" s="90"/>
      <c r="BN467" s="90"/>
      <c r="BO467" s="90"/>
      <c r="BP467" s="90"/>
      <c r="BQ467" s="90"/>
    </row>
    <row r="468" ht="12.75" hidden="1" customHeight="1" outlineLevel="1">
      <c r="A468" s="316"/>
      <c r="B468" s="67"/>
      <c r="C468" s="90" t="s">
        <v>487</v>
      </c>
      <c r="D468" s="90"/>
      <c r="E468" s="90"/>
      <c r="F468" s="90"/>
      <c r="G468" s="254"/>
      <c r="H468" s="99"/>
      <c r="I468" s="99"/>
      <c r="J468" s="99">
        <v>0.0</v>
      </c>
      <c r="K468" s="99">
        <f t="shared" ref="K468:AV468" si="297">+J475</f>
        <v>0</v>
      </c>
      <c r="L468" s="99">
        <f t="shared" si="297"/>
        <v>250000</v>
      </c>
      <c r="M468" s="99">
        <f t="shared" si="297"/>
        <v>250000</v>
      </c>
      <c r="N468" s="99">
        <f t="shared" si="297"/>
        <v>250000</v>
      </c>
      <c r="O468" s="99">
        <f t="shared" si="297"/>
        <v>250000</v>
      </c>
      <c r="P468" s="99">
        <f t="shared" si="297"/>
        <v>250000</v>
      </c>
      <c r="Q468" s="99">
        <f t="shared" si="297"/>
        <v>250000</v>
      </c>
      <c r="R468" s="99">
        <f t="shared" si="297"/>
        <v>250000</v>
      </c>
      <c r="S468" s="99">
        <f t="shared" si="297"/>
        <v>0</v>
      </c>
      <c r="T468" s="99">
        <f t="shared" si="297"/>
        <v>0</v>
      </c>
      <c r="U468" s="99">
        <f t="shared" si="297"/>
        <v>0</v>
      </c>
      <c r="V468" s="99">
        <f t="shared" si="297"/>
        <v>0</v>
      </c>
      <c r="W468" s="99">
        <f t="shared" si="297"/>
        <v>0</v>
      </c>
      <c r="X468" s="99">
        <f t="shared" si="297"/>
        <v>0</v>
      </c>
      <c r="Y468" s="99">
        <f t="shared" si="297"/>
        <v>0</v>
      </c>
      <c r="Z468" s="99">
        <f t="shared" si="297"/>
        <v>0</v>
      </c>
      <c r="AA468" s="99">
        <f t="shared" si="297"/>
        <v>0</v>
      </c>
      <c r="AB468" s="99">
        <f t="shared" si="297"/>
        <v>0</v>
      </c>
      <c r="AC468" s="99">
        <f t="shared" si="297"/>
        <v>0</v>
      </c>
      <c r="AD468" s="99">
        <f t="shared" si="297"/>
        <v>0</v>
      </c>
      <c r="AE468" s="99">
        <f t="shared" si="297"/>
        <v>0</v>
      </c>
      <c r="AF468" s="99">
        <f t="shared" si="297"/>
        <v>0</v>
      </c>
      <c r="AG468" s="99">
        <f t="shared" si="297"/>
        <v>0</v>
      </c>
      <c r="AH468" s="99">
        <f t="shared" si="297"/>
        <v>0</v>
      </c>
      <c r="AI468" s="99">
        <f t="shared" si="297"/>
        <v>0</v>
      </c>
      <c r="AJ468" s="99">
        <f t="shared" si="297"/>
        <v>0</v>
      </c>
      <c r="AK468" s="99">
        <f t="shared" si="297"/>
        <v>0</v>
      </c>
      <c r="AL468" s="99">
        <f t="shared" si="297"/>
        <v>0</v>
      </c>
      <c r="AM468" s="99">
        <f t="shared" si="297"/>
        <v>0</v>
      </c>
      <c r="AN468" s="99">
        <f t="shared" si="297"/>
        <v>0</v>
      </c>
      <c r="AO468" s="99">
        <f t="shared" si="297"/>
        <v>0</v>
      </c>
      <c r="AP468" s="99">
        <f t="shared" si="297"/>
        <v>0</v>
      </c>
      <c r="AQ468" s="99">
        <f t="shared" si="297"/>
        <v>0</v>
      </c>
      <c r="AR468" s="99">
        <f t="shared" si="297"/>
        <v>0</v>
      </c>
      <c r="AS468" s="99">
        <f t="shared" si="297"/>
        <v>0</v>
      </c>
      <c r="AT468" s="99">
        <f t="shared" si="297"/>
        <v>0</v>
      </c>
      <c r="AU468" s="99">
        <f t="shared" si="297"/>
        <v>0</v>
      </c>
      <c r="AV468" s="99">
        <f t="shared" si="297"/>
        <v>0</v>
      </c>
      <c r="AW468" s="90"/>
      <c r="AX468" s="90"/>
      <c r="AY468" s="90"/>
      <c r="AZ468" s="90"/>
      <c r="BA468" s="90"/>
      <c r="BB468" s="90"/>
      <c r="BC468" s="90"/>
      <c r="BD468" s="90"/>
      <c r="BE468" s="90"/>
      <c r="BF468" s="90"/>
      <c r="BG468" s="90"/>
      <c r="BH468" s="90"/>
      <c r="BI468" s="90"/>
      <c r="BJ468" s="90"/>
      <c r="BK468" s="90"/>
      <c r="BL468" s="90"/>
      <c r="BM468" s="90"/>
      <c r="BN468" s="90"/>
      <c r="BO468" s="90"/>
      <c r="BP468" s="90"/>
      <c r="BQ468" s="90"/>
    </row>
    <row r="469" ht="12.75" hidden="1" customHeight="1" outlineLevel="1">
      <c r="A469" s="316"/>
      <c r="B469" s="90"/>
      <c r="C469" s="90" t="s">
        <v>488</v>
      </c>
      <c r="D469" s="90"/>
      <c r="E469" s="90"/>
      <c r="F469" s="90"/>
      <c r="G469" s="254"/>
      <c r="H469" s="254"/>
      <c r="I469" s="254"/>
      <c r="J469" s="254">
        <v>0.0</v>
      </c>
      <c r="K469" s="99">
        <v>250000.0</v>
      </c>
      <c r="L469" s="99">
        <v>0.0</v>
      </c>
      <c r="M469" s="99">
        <v>0.0</v>
      </c>
      <c r="N469" s="99">
        <v>0.0</v>
      </c>
      <c r="O469" s="99">
        <v>0.0</v>
      </c>
      <c r="P469" s="99">
        <v>0.0</v>
      </c>
      <c r="Q469" s="99">
        <v>0.0</v>
      </c>
      <c r="R469" s="99">
        <v>0.0</v>
      </c>
      <c r="S469" s="99">
        <v>0.0</v>
      </c>
      <c r="T469" s="99">
        <v>0.0</v>
      </c>
      <c r="U469" s="99">
        <v>0.0</v>
      </c>
      <c r="V469" s="99">
        <v>0.0</v>
      </c>
      <c r="W469" s="99">
        <v>0.0</v>
      </c>
      <c r="X469" s="99">
        <v>0.0</v>
      </c>
      <c r="Y469" s="99">
        <v>0.0</v>
      </c>
      <c r="Z469" s="99">
        <v>0.0</v>
      </c>
      <c r="AA469" s="99">
        <v>0.0</v>
      </c>
      <c r="AB469" s="99">
        <v>0.0</v>
      </c>
      <c r="AC469" s="99">
        <v>0.0</v>
      </c>
      <c r="AD469" s="99">
        <v>0.0</v>
      </c>
      <c r="AE469" s="99">
        <v>0.0</v>
      </c>
      <c r="AF469" s="99">
        <v>0.0</v>
      </c>
      <c r="AG469" s="99">
        <v>0.0</v>
      </c>
      <c r="AH469" s="99">
        <v>0.0</v>
      </c>
      <c r="AI469" s="99">
        <v>0.0</v>
      </c>
      <c r="AJ469" s="99">
        <v>0.0</v>
      </c>
      <c r="AK469" s="99">
        <v>0.0</v>
      </c>
      <c r="AL469" s="99">
        <v>0.0</v>
      </c>
      <c r="AM469" s="99">
        <v>0.0</v>
      </c>
      <c r="AN469" s="99">
        <v>0.0</v>
      </c>
      <c r="AO469" s="99">
        <v>0.0</v>
      </c>
      <c r="AP469" s="99">
        <v>0.0</v>
      </c>
      <c r="AQ469" s="99">
        <v>0.0</v>
      </c>
      <c r="AR469" s="99">
        <v>0.0</v>
      </c>
      <c r="AS469" s="99">
        <v>0.0</v>
      </c>
      <c r="AT469" s="99">
        <v>0.0</v>
      </c>
      <c r="AU469" s="99">
        <v>0.0</v>
      </c>
      <c r="AV469" s="99">
        <v>0.0</v>
      </c>
      <c r="AW469" s="90"/>
      <c r="AX469" s="90"/>
      <c r="AY469" s="90"/>
      <c r="AZ469" s="90"/>
      <c r="BA469" s="90"/>
      <c r="BB469" s="90"/>
      <c r="BC469" s="90"/>
      <c r="BD469" s="90"/>
      <c r="BE469" s="90"/>
      <c r="BF469" s="90"/>
      <c r="BG469" s="90"/>
      <c r="BH469" s="90"/>
      <c r="BI469" s="90"/>
      <c r="BJ469" s="90"/>
      <c r="BK469" s="90"/>
      <c r="BL469" s="90"/>
      <c r="BM469" s="90"/>
      <c r="BN469" s="90"/>
      <c r="BO469" s="90"/>
      <c r="BP469" s="90"/>
      <c r="BQ469" s="90"/>
    </row>
    <row r="470" ht="12.75" hidden="1" customHeight="1" outlineLevel="1">
      <c r="A470" s="316"/>
      <c r="B470" s="90"/>
      <c r="C470" s="90" t="s">
        <v>490</v>
      </c>
      <c r="D470" s="90"/>
      <c r="E470" s="90"/>
      <c r="F470" s="90"/>
      <c r="G470" s="254"/>
      <c r="H470" s="254"/>
      <c r="I470" s="254"/>
      <c r="J470" s="254"/>
      <c r="K470" s="99"/>
      <c r="L470" s="99"/>
      <c r="M470" s="99"/>
      <c r="N470" s="99"/>
      <c r="O470" s="99"/>
      <c r="P470" s="99"/>
      <c r="Q470" s="99"/>
      <c r="R470" s="99"/>
      <c r="S470" s="99"/>
      <c r="T470" s="99"/>
      <c r="U470" s="99"/>
      <c r="V470" s="99"/>
      <c r="W470" s="99"/>
      <c r="X470" s="99"/>
      <c r="Y470" s="99"/>
      <c r="Z470" s="99"/>
      <c r="AA470" s="99"/>
      <c r="AB470" s="99"/>
      <c r="AC470" s="99"/>
      <c r="AD470" s="99"/>
      <c r="AE470" s="99"/>
      <c r="AF470" s="99"/>
      <c r="AG470" s="99"/>
      <c r="AH470" s="99"/>
      <c r="AI470" s="99"/>
      <c r="AJ470" s="99"/>
      <c r="AK470" s="99"/>
      <c r="AL470" s="99"/>
      <c r="AM470" s="99"/>
      <c r="AN470" s="99"/>
      <c r="AO470" s="99"/>
      <c r="AP470" s="99"/>
      <c r="AQ470" s="99"/>
      <c r="AR470" s="99"/>
      <c r="AS470" s="99"/>
      <c r="AT470" s="99"/>
      <c r="AU470" s="99"/>
      <c r="AV470" s="99"/>
      <c r="AW470" s="90"/>
      <c r="AX470" s="90"/>
      <c r="AY470" s="90"/>
      <c r="AZ470" s="90"/>
      <c r="BA470" s="90"/>
      <c r="BB470" s="90"/>
      <c r="BC470" s="90"/>
      <c r="BD470" s="90"/>
      <c r="BE470" s="90"/>
      <c r="BF470" s="90"/>
      <c r="BG470" s="90"/>
      <c r="BH470" s="90"/>
      <c r="BI470" s="90"/>
      <c r="BJ470" s="90"/>
      <c r="BK470" s="90"/>
      <c r="BL470" s="90"/>
      <c r="BM470" s="90"/>
      <c r="BN470" s="90"/>
      <c r="BO470" s="90"/>
      <c r="BP470" s="90"/>
      <c r="BQ470" s="90"/>
    </row>
    <row r="471" ht="12.75" hidden="1" customHeight="1" outlineLevel="1">
      <c r="A471" s="316"/>
      <c r="B471" s="90"/>
      <c r="C471" s="90"/>
      <c r="D471" s="90" t="s">
        <v>701</v>
      </c>
      <c r="E471" s="90"/>
      <c r="F471" s="90"/>
      <c r="G471" s="254"/>
      <c r="H471" s="254"/>
      <c r="I471" s="99"/>
      <c r="J471" s="99">
        <v>0.0</v>
      </c>
      <c r="K471" s="99">
        <v>0.0</v>
      </c>
      <c r="L471" s="99">
        <v>0.0</v>
      </c>
      <c r="M471" s="99">
        <v>0.0</v>
      </c>
      <c r="N471" s="99">
        <v>0.0</v>
      </c>
      <c r="O471" s="99">
        <v>0.0</v>
      </c>
      <c r="P471" s="99">
        <v>0.0</v>
      </c>
      <c r="Q471" s="99">
        <v>0.0</v>
      </c>
      <c r="R471" s="99">
        <v>0.0</v>
      </c>
      <c r="S471" s="99">
        <v>0.0</v>
      </c>
      <c r="T471" s="99">
        <v>0.0</v>
      </c>
      <c r="U471" s="99">
        <v>0.0</v>
      </c>
      <c r="V471" s="99">
        <v>0.0</v>
      </c>
      <c r="W471" s="99">
        <v>0.0</v>
      </c>
      <c r="X471" s="99">
        <v>0.0</v>
      </c>
      <c r="Y471" s="99">
        <v>0.0</v>
      </c>
      <c r="Z471" s="99">
        <v>0.0</v>
      </c>
      <c r="AA471" s="99">
        <v>0.0</v>
      </c>
      <c r="AB471" s="99">
        <v>0.0</v>
      </c>
      <c r="AC471" s="99">
        <v>0.0</v>
      </c>
      <c r="AD471" s="99">
        <v>0.0</v>
      </c>
      <c r="AE471" s="99">
        <v>0.0</v>
      </c>
      <c r="AF471" s="99">
        <v>0.0</v>
      </c>
      <c r="AG471" s="99">
        <v>0.0</v>
      </c>
      <c r="AH471" s="99">
        <v>0.0</v>
      </c>
      <c r="AI471" s="99">
        <v>0.0</v>
      </c>
      <c r="AJ471" s="99">
        <v>0.0</v>
      </c>
      <c r="AK471" s="99">
        <v>0.0</v>
      </c>
      <c r="AL471" s="99">
        <v>0.0</v>
      </c>
      <c r="AM471" s="99">
        <v>0.0</v>
      </c>
      <c r="AN471" s="99">
        <v>0.0</v>
      </c>
      <c r="AO471" s="99">
        <v>0.0</v>
      </c>
      <c r="AP471" s="99">
        <v>0.0</v>
      </c>
      <c r="AQ471" s="99">
        <v>0.0</v>
      </c>
      <c r="AR471" s="99">
        <v>0.0</v>
      </c>
      <c r="AS471" s="99">
        <v>0.0</v>
      </c>
      <c r="AT471" s="99">
        <v>0.0</v>
      </c>
      <c r="AU471" s="99">
        <v>0.0</v>
      </c>
      <c r="AV471" s="99">
        <v>0.0</v>
      </c>
      <c r="AW471" s="90"/>
      <c r="AX471" s="90"/>
      <c r="AY471" s="90"/>
      <c r="AZ471" s="90"/>
      <c r="BA471" s="90"/>
      <c r="BB471" s="90"/>
      <c r="BC471" s="90"/>
      <c r="BD471" s="90"/>
      <c r="BE471" s="90"/>
      <c r="BF471" s="90"/>
      <c r="BG471" s="90"/>
      <c r="BH471" s="90"/>
      <c r="BI471" s="90"/>
      <c r="BJ471" s="90"/>
      <c r="BK471" s="90"/>
      <c r="BL471" s="90"/>
      <c r="BM471" s="90"/>
      <c r="BN471" s="90"/>
      <c r="BO471" s="90"/>
      <c r="BP471" s="90"/>
      <c r="BQ471" s="90"/>
    </row>
    <row r="472" ht="12.75" hidden="1" customHeight="1" outlineLevel="1">
      <c r="A472" s="316"/>
      <c r="B472" s="90"/>
      <c r="C472" s="90"/>
      <c r="D472" s="90" t="s">
        <v>489</v>
      </c>
      <c r="E472" s="90"/>
      <c r="F472" s="90"/>
      <c r="G472" s="254"/>
      <c r="H472" s="254"/>
      <c r="I472" s="99"/>
      <c r="J472" s="99">
        <v>0.0</v>
      </c>
      <c r="K472" s="99">
        <v>0.0</v>
      </c>
      <c r="L472" s="99">
        <v>0.0</v>
      </c>
      <c r="M472" s="99">
        <v>0.0</v>
      </c>
      <c r="N472" s="99">
        <v>0.0</v>
      </c>
      <c r="O472" s="99">
        <v>0.0</v>
      </c>
      <c r="P472" s="99">
        <v>0.0</v>
      </c>
      <c r="Q472" s="99">
        <v>0.0</v>
      </c>
      <c r="R472" s="99">
        <v>0.0</v>
      </c>
      <c r="S472" s="99">
        <v>0.0</v>
      </c>
      <c r="T472" s="99">
        <v>0.0</v>
      </c>
      <c r="U472" s="99">
        <v>0.0</v>
      </c>
      <c r="V472" s="99">
        <v>0.0</v>
      </c>
      <c r="W472" s="99">
        <v>0.0</v>
      </c>
      <c r="X472" s="99">
        <v>0.0</v>
      </c>
      <c r="Y472" s="99">
        <v>0.0</v>
      </c>
      <c r="Z472" s="99">
        <v>0.0</v>
      </c>
      <c r="AA472" s="99">
        <v>0.0</v>
      </c>
      <c r="AB472" s="99">
        <v>0.0</v>
      </c>
      <c r="AC472" s="99">
        <v>0.0</v>
      </c>
      <c r="AD472" s="99">
        <v>0.0</v>
      </c>
      <c r="AE472" s="99">
        <v>0.0</v>
      </c>
      <c r="AF472" s="99">
        <v>0.0</v>
      </c>
      <c r="AG472" s="99">
        <v>0.0</v>
      </c>
      <c r="AH472" s="99">
        <v>0.0</v>
      </c>
      <c r="AI472" s="99">
        <v>0.0</v>
      </c>
      <c r="AJ472" s="99">
        <v>0.0</v>
      </c>
      <c r="AK472" s="99">
        <v>0.0</v>
      </c>
      <c r="AL472" s="99">
        <v>0.0</v>
      </c>
      <c r="AM472" s="99">
        <v>0.0</v>
      </c>
      <c r="AN472" s="99">
        <v>0.0</v>
      </c>
      <c r="AO472" s="99">
        <v>0.0</v>
      </c>
      <c r="AP472" s="99">
        <v>0.0</v>
      </c>
      <c r="AQ472" s="99">
        <v>0.0</v>
      </c>
      <c r="AR472" s="99">
        <v>0.0</v>
      </c>
      <c r="AS472" s="99">
        <v>0.0</v>
      </c>
      <c r="AT472" s="99">
        <v>0.0</v>
      </c>
      <c r="AU472" s="99">
        <v>0.0</v>
      </c>
      <c r="AV472" s="99">
        <v>0.0</v>
      </c>
      <c r="AW472" s="90"/>
      <c r="AX472" s="90"/>
      <c r="AY472" s="90"/>
      <c r="AZ472" s="90"/>
      <c r="BA472" s="90"/>
      <c r="BB472" s="90"/>
      <c r="BC472" s="90"/>
      <c r="BD472" s="90"/>
      <c r="BE472" s="90"/>
      <c r="BF472" s="90"/>
      <c r="BG472" s="90"/>
      <c r="BH472" s="90"/>
      <c r="BI472" s="90"/>
      <c r="BJ472" s="90"/>
      <c r="BK472" s="90"/>
      <c r="BL472" s="90"/>
      <c r="BM472" s="90"/>
      <c r="BN472" s="90"/>
      <c r="BO472" s="90"/>
      <c r="BP472" s="90"/>
      <c r="BQ472" s="90"/>
    </row>
    <row r="473" ht="12.75" hidden="1" customHeight="1" outlineLevel="1">
      <c r="A473" s="316"/>
      <c r="B473" s="90"/>
      <c r="C473" s="148" t="s">
        <v>490</v>
      </c>
      <c r="D473" s="148"/>
      <c r="E473" s="148"/>
      <c r="F473" s="148"/>
      <c r="G473" s="394"/>
      <c r="H473" s="394"/>
      <c r="I473" s="394"/>
      <c r="J473" s="394">
        <v>0.0</v>
      </c>
      <c r="K473" s="394">
        <f t="shared" ref="K473:AV473" si="298">SUM(K471:K472)</f>
        <v>0</v>
      </c>
      <c r="L473" s="394">
        <f t="shared" si="298"/>
        <v>0</v>
      </c>
      <c r="M473" s="394">
        <f t="shared" si="298"/>
        <v>0</v>
      </c>
      <c r="N473" s="394">
        <f t="shared" si="298"/>
        <v>0</v>
      </c>
      <c r="O473" s="394">
        <f t="shared" si="298"/>
        <v>0</v>
      </c>
      <c r="P473" s="394">
        <f t="shared" si="298"/>
        <v>0</v>
      </c>
      <c r="Q473" s="394">
        <f t="shared" si="298"/>
        <v>0</v>
      </c>
      <c r="R473" s="394">
        <f t="shared" si="298"/>
        <v>0</v>
      </c>
      <c r="S473" s="394">
        <f t="shared" si="298"/>
        <v>0</v>
      </c>
      <c r="T473" s="394">
        <f t="shared" si="298"/>
        <v>0</v>
      </c>
      <c r="U473" s="394">
        <f t="shared" si="298"/>
        <v>0</v>
      </c>
      <c r="V473" s="394">
        <f t="shared" si="298"/>
        <v>0</v>
      </c>
      <c r="W473" s="394">
        <f t="shared" si="298"/>
        <v>0</v>
      </c>
      <c r="X473" s="394">
        <f t="shared" si="298"/>
        <v>0</v>
      </c>
      <c r="Y473" s="394">
        <f t="shared" si="298"/>
        <v>0</v>
      </c>
      <c r="Z473" s="394">
        <f t="shared" si="298"/>
        <v>0</v>
      </c>
      <c r="AA473" s="394">
        <f t="shared" si="298"/>
        <v>0</v>
      </c>
      <c r="AB473" s="394">
        <f t="shared" si="298"/>
        <v>0</v>
      </c>
      <c r="AC473" s="394">
        <f t="shared" si="298"/>
        <v>0</v>
      </c>
      <c r="AD473" s="394">
        <f t="shared" si="298"/>
        <v>0</v>
      </c>
      <c r="AE473" s="394">
        <f t="shared" si="298"/>
        <v>0</v>
      </c>
      <c r="AF473" s="394">
        <f t="shared" si="298"/>
        <v>0</v>
      </c>
      <c r="AG473" s="394">
        <f t="shared" si="298"/>
        <v>0</v>
      </c>
      <c r="AH473" s="394">
        <f t="shared" si="298"/>
        <v>0</v>
      </c>
      <c r="AI473" s="394">
        <f t="shared" si="298"/>
        <v>0</v>
      </c>
      <c r="AJ473" s="394">
        <f t="shared" si="298"/>
        <v>0</v>
      </c>
      <c r="AK473" s="394">
        <f t="shared" si="298"/>
        <v>0</v>
      </c>
      <c r="AL473" s="394">
        <f t="shared" si="298"/>
        <v>0</v>
      </c>
      <c r="AM473" s="394">
        <f t="shared" si="298"/>
        <v>0</v>
      </c>
      <c r="AN473" s="394">
        <f t="shared" si="298"/>
        <v>0</v>
      </c>
      <c r="AO473" s="394">
        <f t="shared" si="298"/>
        <v>0</v>
      </c>
      <c r="AP473" s="394">
        <f t="shared" si="298"/>
        <v>0</v>
      </c>
      <c r="AQ473" s="394">
        <f t="shared" si="298"/>
        <v>0</v>
      </c>
      <c r="AR473" s="394">
        <f t="shared" si="298"/>
        <v>0</v>
      </c>
      <c r="AS473" s="394">
        <f t="shared" si="298"/>
        <v>0</v>
      </c>
      <c r="AT473" s="394">
        <f t="shared" si="298"/>
        <v>0</v>
      </c>
      <c r="AU473" s="394">
        <f t="shared" si="298"/>
        <v>0</v>
      </c>
      <c r="AV473" s="394">
        <f t="shared" si="298"/>
        <v>0</v>
      </c>
      <c r="AW473" s="90"/>
      <c r="AX473" s="90"/>
      <c r="AY473" s="90"/>
      <c r="AZ473" s="90"/>
      <c r="BA473" s="90"/>
      <c r="BB473" s="90"/>
      <c r="BC473" s="90"/>
      <c r="BD473" s="90"/>
      <c r="BE473" s="90"/>
      <c r="BF473" s="90"/>
      <c r="BG473" s="90"/>
      <c r="BH473" s="90"/>
      <c r="BI473" s="90"/>
      <c r="BJ473" s="90"/>
      <c r="BK473" s="90"/>
      <c r="BL473" s="90"/>
      <c r="BM473" s="90"/>
      <c r="BN473" s="90"/>
      <c r="BO473" s="90"/>
      <c r="BP473" s="90"/>
      <c r="BQ473" s="90"/>
    </row>
    <row r="474" ht="12.75" hidden="1" customHeight="1" outlineLevel="1">
      <c r="A474" s="555"/>
      <c r="B474" s="90"/>
      <c r="C474" s="90" t="s">
        <v>850</v>
      </c>
      <c r="D474" s="90"/>
      <c r="E474" s="90"/>
      <c r="F474" s="90"/>
      <c r="G474" s="397"/>
      <c r="H474" s="397"/>
      <c r="I474" s="397"/>
      <c r="J474" s="397">
        <v>0.0</v>
      </c>
      <c r="K474" s="397">
        <v>0.0</v>
      </c>
      <c r="L474" s="397">
        <v>0.0</v>
      </c>
      <c r="M474" s="397">
        <v>0.0</v>
      </c>
      <c r="N474" s="397">
        <v>0.0</v>
      </c>
      <c r="O474" s="397">
        <v>0.0</v>
      </c>
      <c r="P474" s="397">
        <v>0.0</v>
      </c>
      <c r="Q474" s="397">
        <v>0.0</v>
      </c>
      <c r="R474" s="397">
        <v>-250000.0</v>
      </c>
      <c r="S474" s="397">
        <v>0.0</v>
      </c>
      <c r="T474" s="397">
        <v>0.0</v>
      </c>
      <c r="U474" s="397">
        <v>0.0</v>
      </c>
      <c r="V474" s="397">
        <v>0.0</v>
      </c>
      <c r="W474" s="397">
        <v>0.0</v>
      </c>
      <c r="X474" s="397">
        <v>0.0</v>
      </c>
      <c r="Y474" s="397">
        <v>0.0</v>
      </c>
      <c r="Z474" s="397">
        <v>0.0</v>
      </c>
      <c r="AA474" s="397">
        <v>0.0</v>
      </c>
      <c r="AB474" s="397">
        <v>0.0</v>
      </c>
      <c r="AC474" s="397">
        <v>0.0</v>
      </c>
      <c r="AD474" s="397">
        <v>0.0</v>
      </c>
      <c r="AE474" s="397">
        <v>0.0</v>
      </c>
      <c r="AF474" s="397">
        <v>0.0</v>
      </c>
      <c r="AG474" s="397">
        <v>0.0</v>
      </c>
      <c r="AH474" s="397">
        <v>0.0</v>
      </c>
      <c r="AI474" s="397">
        <v>0.0</v>
      </c>
      <c r="AJ474" s="397">
        <v>0.0</v>
      </c>
      <c r="AK474" s="397">
        <v>0.0</v>
      </c>
      <c r="AL474" s="397">
        <v>0.0</v>
      </c>
      <c r="AM474" s="397">
        <v>0.0</v>
      </c>
      <c r="AN474" s="397">
        <v>0.0</v>
      </c>
      <c r="AO474" s="397">
        <v>0.0</v>
      </c>
      <c r="AP474" s="397">
        <v>0.0</v>
      </c>
      <c r="AQ474" s="397">
        <v>0.0</v>
      </c>
      <c r="AR474" s="397">
        <v>0.0</v>
      </c>
      <c r="AS474" s="397">
        <v>0.0</v>
      </c>
      <c r="AT474" s="397">
        <v>0.0</v>
      </c>
      <c r="AU474" s="397">
        <v>0.0</v>
      </c>
      <c r="AV474" s="397">
        <v>0.0</v>
      </c>
      <c r="AW474" s="90"/>
      <c r="AX474" s="90"/>
      <c r="AY474" s="90"/>
      <c r="AZ474" s="90"/>
      <c r="BA474" s="90"/>
      <c r="BB474" s="90"/>
      <c r="BC474" s="90"/>
      <c r="BD474" s="90"/>
      <c r="BE474" s="90"/>
      <c r="BF474" s="90"/>
      <c r="BG474" s="90"/>
      <c r="BH474" s="90"/>
      <c r="BI474" s="90"/>
      <c r="BJ474" s="90"/>
      <c r="BK474" s="90"/>
      <c r="BL474" s="90"/>
      <c r="BM474" s="90"/>
      <c r="BN474" s="90"/>
      <c r="BO474" s="90"/>
      <c r="BP474" s="90"/>
      <c r="BQ474" s="90"/>
    </row>
    <row r="475" ht="12.75" hidden="1" customHeight="1" outlineLevel="1">
      <c r="A475" s="316"/>
      <c r="B475" s="90"/>
      <c r="C475" s="148" t="s">
        <v>491</v>
      </c>
      <c r="D475" s="148"/>
      <c r="E475" s="148"/>
      <c r="F475" s="148"/>
      <c r="G475" s="150"/>
      <c r="H475" s="150"/>
      <c r="I475" s="150"/>
      <c r="J475" s="150">
        <v>0.0</v>
      </c>
      <c r="K475" s="150">
        <f t="shared" ref="K475:AV475" si="299">SUM(K473:K474,K468:K469)</f>
        <v>250000</v>
      </c>
      <c r="L475" s="150">
        <f t="shared" si="299"/>
        <v>250000</v>
      </c>
      <c r="M475" s="150">
        <f t="shared" si="299"/>
        <v>250000</v>
      </c>
      <c r="N475" s="150">
        <f t="shared" si="299"/>
        <v>250000</v>
      </c>
      <c r="O475" s="150">
        <f t="shared" si="299"/>
        <v>250000</v>
      </c>
      <c r="P475" s="150">
        <f t="shared" si="299"/>
        <v>250000</v>
      </c>
      <c r="Q475" s="150">
        <f t="shared" si="299"/>
        <v>250000</v>
      </c>
      <c r="R475" s="150">
        <f t="shared" si="299"/>
        <v>0</v>
      </c>
      <c r="S475" s="150">
        <f t="shared" si="299"/>
        <v>0</v>
      </c>
      <c r="T475" s="150">
        <f t="shared" si="299"/>
        <v>0</v>
      </c>
      <c r="U475" s="150">
        <f t="shared" si="299"/>
        <v>0</v>
      </c>
      <c r="V475" s="150">
        <f t="shared" si="299"/>
        <v>0</v>
      </c>
      <c r="W475" s="150">
        <f t="shared" si="299"/>
        <v>0</v>
      </c>
      <c r="X475" s="150">
        <f t="shared" si="299"/>
        <v>0</v>
      </c>
      <c r="Y475" s="150">
        <f t="shared" si="299"/>
        <v>0</v>
      </c>
      <c r="Z475" s="150">
        <f t="shared" si="299"/>
        <v>0</v>
      </c>
      <c r="AA475" s="150">
        <f t="shared" si="299"/>
        <v>0</v>
      </c>
      <c r="AB475" s="150">
        <f t="shared" si="299"/>
        <v>0</v>
      </c>
      <c r="AC475" s="150">
        <f t="shared" si="299"/>
        <v>0</v>
      </c>
      <c r="AD475" s="150">
        <f t="shared" si="299"/>
        <v>0</v>
      </c>
      <c r="AE475" s="150">
        <f t="shared" si="299"/>
        <v>0</v>
      </c>
      <c r="AF475" s="150">
        <f t="shared" si="299"/>
        <v>0</v>
      </c>
      <c r="AG475" s="150">
        <f t="shared" si="299"/>
        <v>0</v>
      </c>
      <c r="AH475" s="150">
        <f t="shared" si="299"/>
        <v>0</v>
      </c>
      <c r="AI475" s="150">
        <f t="shared" si="299"/>
        <v>0</v>
      </c>
      <c r="AJ475" s="150">
        <f t="shared" si="299"/>
        <v>0</v>
      </c>
      <c r="AK475" s="150">
        <f t="shared" si="299"/>
        <v>0</v>
      </c>
      <c r="AL475" s="150">
        <f t="shared" si="299"/>
        <v>0</v>
      </c>
      <c r="AM475" s="150">
        <f t="shared" si="299"/>
        <v>0</v>
      </c>
      <c r="AN475" s="150">
        <f t="shared" si="299"/>
        <v>0</v>
      </c>
      <c r="AO475" s="150">
        <f t="shared" si="299"/>
        <v>0</v>
      </c>
      <c r="AP475" s="150">
        <f t="shared" si="299"/>
        <v>0</v>
      </c>
      <c r="AQ475" s="150">
        <f t="shared" si="299"/>
        <v>0</v>
      </c>
      <c r="AR475" s="150">
        <f t="shared" si="299"/>
        <v>0</v>
      </c>
      <c r="AS475" s="150">
        <f t="shared" si="299"/>
        <v>0</v>
      </c>
      <c r="AT475" s="150">
        <f t="shared" si="299"/>
        <v>0</v>
      </c>
      <c r="AU475" s="150">
        <f t="shared" si="299"/>
        <v>0</v>
      </c>
      <c r="AV475" s="150">
        <f t="shared" si="299"/>
        <v>0</v>
      </c>
      <c r="AW475" s="90"/>
      <c r="AX475" s="90"/>
      <c r="AY475" s="90"/>
      <c r="AZ475" s="90"/>
      <c r="BA475" s="90"/>
      <c r="BB475" s="90"/>
      <c r="BC475" s="90"/>
      <c r="BD475" s="90"/>
      <c r="BE475" s="90"/>
      <c r="BF475" s="90"/>
      <c r="BG475" s="90"/>
      <c r="BH475" s="90"/>
      <c r="BI475" s="90"/>
      <c r="BJ475" s="90"/>
      <c r="BK475" s="90"/>
      <c r="BL475" s="90"/>
      <c r="BM475" s="90"/>
      <c r="BN475" s="90"/>
      <c r="BO475" s="90"/>
      <c r="BP475" s="90"/>
      <c r="BQ475" s="90"/>
    </row>
    <row r="476" ht="12.75" hidden="1" customHeight="1" outlineLevel="1">
      <c r="A476" s="316"/>
      <c r="B476" s="90"/>
      <c r="C476" s="90"/>
      <c r="D476" s="90"/>
      <c r="E476" s="90"/>
      <c r="F476" s="90"/>
      <c r="G476" s="90"/>
      <c r="H476" s="90"/>
      <c r="I476" s="90"/>
      <c r="J476" s="90"/>
      <c r="K476" s="90"/>
      <c r="L476" s="90"/>
      <c r="M476" s="90"/>
      <c r="N476" s="90"/>
      <c r="O476" s="90"/>
      <c r="P476" s="90"/>
      <c r="Q476" s="90"/>
      <c r="R476" s="90"/>
      <c r="S476" s="90"/>
      <c r="T476" s="90"/>
      <c r="U476" s="90"/>
      <c r="V476" s="90"/>
      <c r="W476" s="90"/>
      <c r="X476" s="90"/>
      <c r="Y476" s="90"/>
      <c r="Z476" s="90"/>
      <c r="AA476" s="90"/>
      <c r="AB476" s="90"/>
      <c r="AC476" s="90"/>
      <c r="AD476" s="90"/>
      <c r="AE476" s="90"/>
      <c r="AF476" s="90"/>
      <c r="AG476" s="90"/>
      <c r="AH476" s="90"/>
      <c r="AI476" s="90"/>
      <c r="AJ476" s="90"/>
      <c r="AK476" s="90"/>
      <c r="AL476" s="90"/>
      <c r="AM476" s="90"/>
      <c r="AN476" s="90"/>
      <c r="AO476" s="90"/>
      <c r="AP476" s="90"/>
      <c r="AQ476" s="90"/>
      <c r="AR476" s="90"/>
      <c r="AS476" s="90"/>
      <c r="AT476" s="90"/>
      <c r="AU476" s="90"/>
      <c r="AV476" s="90"/>
      <c r="AW476" s="90"/>
      <c r="AX476" s="90"/>
      <c r="AY476" s="90"/>
      <c r="AZ476" s="90"/>
      <c r="BA476" s="90"/>
      <c r="BB476" s="90"/>
      <c r="BC476" s="90"/>
      <c r="BD476" s="90"/>
      <c r="BE476" s="90"/>
      <c r="BF476" s="90"/>
      <c r="BG476" s="90"/>
      <c r="BH476" s="90"/>
      <c r="BI476" s="90"/>
      <c r="BJ476" s="90"/>
      <c r="BK476" s="90"/>
      <c r="BL476" s="90"/>
      <c r="BM476" s="90"/>
      <c r="BN476" s="90"/>
      <c r="BO476" s="90"/>
      <c r="BP476" s="90"/>
      <c r="BQ476" s="90"/>
    </row>
    <row r="477" ht="12.75" hidden="1" customHeight="1" outlineLevel="1">
      <c r="A477" s="316"/>
      <c r="B477" s="67" t="s">
        <v>494</v>
      </c>
      <c r="C477" s="90"/>
      <c r="D477" s="90"/>
      <c r="E477" s="90"/>
      <c r="F477" s="90"/>
      <c r="G477" s="99"/>
      <c r="H477" s="99"/>
      <c r="I477" s="99"/>
      <c r="J477" s="99">
        <v>0.0</v>
      </c>
      <c r="K477" s="99" t="str">
        <f t="shared" ref="K477:AV477" si="300">+K475+K461+K441+K451</f>
        <v>#REF!</v>
      </c>
      <c r="L477" s="99" t="str">
        <f t="shared" si="300"/>
        <v>#REF!</v>
      </c>
      <c r="M477" s="99" t="str">
        <f t="shared" si="300"/>
        <v>#REF!</v>
      </c>
      <c r="N477" s="99" t="str">
        <f t="shared" si="300"/>
        <v>#REF!</v>
      </c>
      <c r="O477" s="99" t="str">
        <f t="shared" si="300"/>
        <v>#REF!</v>
      </c>
      <c r="P477" s="99" t="str">
        <f t="shared" si="300"/>
        <v>#REF!</v>
      </c>
      <c r="Q477" s="99" t="str">
        <f t="shared" si="300"/>
        <v>#REF!</v>
      </c>
      <c r="R477" s="99" t="str">
        <f t="shared" si="300"/>
        <v>#REF!</v>
      </c>
      <c r="S477" s="99" t="str">
        <f t="shared" si="300"/>
        <v>#REF!</v>
      </c>
      <c r="T477" s="99" t="str">
        <f t="shared" si="300"/>
        <v>#REF!</v>
      </c>
      <c r="U477" s="99" t="str">
        <f t="shared" si="300"/>
        <v>#REF!</v>
      </c>
      <c r="V477" s="99" t="str">
        <f t="shared" si="300"/>
        <v>#REF!</v>
      </c>
      <c r="W477" s="99" t="str">
        <f t="shared" si="300"/>
        <v>#REF!</v>
      </c>
      <c r="X477" s="99" t="str">
        <f t="shared" si="300"/>
        <v>#REF!</v>
      </c>
      <c r="Y477" s="99" t="str">
        <f t="shared" si="300"/>
        <v>#REF!</v>
      </c>
      <c r="Z477" s="99" t="str">
        <f t="shared" si="300"/>
        <v>#REF!</v>
      </c>
      <c r="AA477" s="99" t="str">
        <f t="shared" si="300"/>
        <v>#REF!</v>
      </c>
      <c r="AB477" s="99" t="str">
        <f t="shared" si="300"/>
        <v>#REF!</v>
      </c>
      <c r="AC477" s="99" t="str">
        <f t="shared" si="300"/>
        <v>#REF!</v>
      </c>
      <c r="AD477" s="99" t="str">
        <f t="shared" si="300"/>
        <v>#REF!</v>
      </c>
      <c r="AE477" s="99" t="str">
        <f t="shared" si="300"/>
        <v>#REF!</v>
      </c>
      <c r="AF477" s="99" t="str">
        <f t="shared" si="300"/>
        <v>#REF!</v>
      </c>
      <c r="AG477" s="99" t="str">
        <f t="shared" si="300"/>
        <v>#REF!</v>
      </c>
      <c r="AH477" s="99" t="str">
        <f t="shared" si="300"/>
        <v>#REF!</v>
      </c>
      <c r="AI477" s="99" t="str">
        <f t="shared" si="300"/>
        <v>#REF!</v>
      </c>
      <c r="AJ477" s="99" t="str">
        <f t="shared" si="300"/>
        <v>#REF!</v>
      </c>
      <c r="AK477" s="99" t="str">
        <f t="shared" si="300"/>
        <v>#REF!</v>
      </c>
      <c r="AL477" s="99" t="str">
        <f t="shared" si="300"/>
        <v>#REF!</v>
      </c>
      <c r="AM477" s="99" t="str">
        <f t="shared" si="300"/>
        <v>#REF!</v>
      </c>
      <c r="AN477" s="99" t="str">
        <f t="shared" si="300"/>
        <v>#REF!</v>
      </c>
      <c r="AO477" s="99" t="str">
        <f t="shared" si="300"/>
        <v>#REF!</v>
      </c>
      <c r="AP477" s="99" t="str">
        <f t="shared" si="300"/>
        <v>#REF!</v>
      </c>
      <c r="AQ477" s="99" t="str">
        <f t="shared" si="300"/>
        <v>#REF!</v>
      </c>
      <c r="AR477" s="99" t="str">
        <f t="shared" si="300"/>
        <v>#REF!</v>
      </c>
      <c r="AS477" s="99" t="str">
        <f t="shared" si="300"/>
        <v>#REF!</v>
      </c>
      <c r="AT477" s="99" t="str">
        <f t="shared" si="300"/>
        <v>#REF!</v>
      </c>
      <c r="AU477" s="99" t="str">
        <f t="shared" si="300"/>
        <v>#REF!</v>
      </c>
      <c r="AV477" s="99" t="str">
        <f t="shared" si="300"/>
        <v>#REF!</v>
      </c>
      <c r="AW477" s="90"/>
      <c r="AX477" s="90"/>
      <c r="AY477" s="90"/>
      <c r="AZ477" s="90"/>
      <c r="BA477" s="90"/>
      <c r="BB477" s="90"/>
      <c r="BC477" s="90"/>
      <c r="BD477" s="90"/>
      <c r="BE477" s="90"/>
      <c r="BF477" s="90"/>
      <c r="BG477" s="90"/>
      <c r="BH477" s="90"/>
      <c r="BI477" s="90"/>
      <c r="BJ477" s="90"/>
      <c r="BK477" s="90"/>
      <c r="BL477" s="90"/>
      <c r="BM477" s="90"/>
      <c r="BN477" s="90"/>
      <c r="BO477" s="90"/>
      <c r="BP477" s="90"/>
      <c r="BQ477" s="90"/>
    </row>
    <row r="478" ht="12.75" hidden="1" customHeight="1" outlineLevel="1">
      <c r="A478" s="316"/>
      <c r="B478" s="90"/>
      <c r="C478" s="90"/>
      <c r="D478" s="90"/>
      <c r="E478" s="90"/>
      <c r="F478" s="90"/>
      <c r="G478" s="90"/>
      <c r="H478" s="90"/>
      <c r="I478" s="90"/>
      <c r="J478" s="90"/>
      <c r="K478" s="90"/>
      <c r="L478" s="90"/>
      <c r="M478" s="90"/>
      <c r="N478" s="90"/>
      <c r="O478" s="90"/>
      <c r="P478" s="90"/>
      <c r="Q478" s="90"/>
      <c r="R478" s="90"/>
      <c r="S478" s="90"/>
      <c r="T478" s="90"/>
      <c r="U478" s="90"/>
      <c r="V478" s="90"/>
      <c r="W478" s="90"/>
      <c r="X478" s="90"/>
      <c r="Y478" s="90"/>
      <c r="Z478" s="90"/>
      <c r="AA478" s="90"/>
      <c r="AB478" s="90"/>
      <c r="AC478" s="90"/>
      <c r="AD478" s="90"/>
      <c r="AE478" s="90"/>
      <c r="AF478" s="90"/>
      <c r="AG478" s="90"/>
      <c r="AH478" s="90"/>
      <c r="AI478" s="90"/>
      <c r="AJ478" s="90"/>
      <c r="AK478" s="90"/>
      <c r="AL478" s="90"/>
      <c r="AM478" s="90"/>
      <c r="AN478" s="90"/>
      <c r="AO478" s="90"/>
      <c r="AP478" s="90"/>
      <c r="AQ478" s="90"/>
      <c r="AR478" s="90"/>
      <c r="AS478" s="90"/>
      <c r="AT478" s="90"/>
      <c r="AU478" s="90"/>
      <c r="AV478" s="90"/>
      <c r="AW478" s="90"/>
      <c r="AX478" s="90"/>
      <c r="AY478" s="90"/>
      <c r="AZ478" s="90"/>
      <c r="BA478" s="90"/>
      <c r="BB478" s="90"/>
      <c r="BC478" s="90"/>
      <c r="BD478" s="90"/>
      <c r="BE478" s="90"/>
      <c r="BF478" s="90"/>
      <c r="BG478" s="90"/>
      <c r="BH478" s="90"/>
      <c r="BI478" s="90"/>
      <c r="BJ478" s="90"/>
      <c r="BK478" s="90"/>
      <c r="BL478" s="90"/>
      <c r="BM478" s="90"/>
      <c r="BN478" s="90"/>
      <c r="BO478" s="90"/>
      <c r="BP478" s="90"/>
      <c r="BQ478" s="90"/>
    </row>
    <row r="479" ht="12.75" customHeight="1">
      <c r="A479" s="316"/>
      <c r="B479" s="90"/>
      <c r="C479" s="90"/>
      <c r="D479" s="90"/>
      <c r="E479" s="90"/>
      <c r="F479" s="90"/>
      <c r="G479" s="90"/>
      <c r="H479" s="90"/>
      <c r="I479" s="90"/>
      <c r="J479" s="90"/>
      <c r="K479" s="90"/>
      <c r="L479" s="90"/>
      <c r="M479" s="90"/>
      <c r="N479" s="90"/>
      <c r="O479" s="90"/>
      <c r="P479" s="90"/>
      <c r="Q479" s="90"/>
      <c r="R479" s="90"/>
      <c r="S479" s="90"/>
      <c r="T479" s="90"/>
      <c r="U479" s="90"/>
      <c r="V479" s="90"/>
      <c r="W479" s="90"/>
      <c r="X479" s="90"/>
      <c r="Y479" s="90"/>
      <c r="Z479" s="90"/>
      <c r="AA479" s="90"/>
      <c r="AB479" s="90"/>
      <c r="AC479" s="90"/>
      <c r="AD479" s="90"/>
      <c r="AE479" s="90"/>
      <c r="AF479" s="90"/>
      <c r="AG479" s="90"/>
      <c r="AH479" s="90"/>
      <c r="AI479" s="90"/>
      <c r="AJ479" s="90"/>
      <c r="AK479" s="90"/>
      <c r="AL479" s="90"/>
      <c r="AM479" s="90"/>
      <c r="AN479" s="90"/>
      <c r="AO479" s="90"/>
      <c r="AP479" s="90"/>
      <c r="AQ479" s="90"/>
      <c r="AR479" s="90"/>
      <c r="AS479" s="90"/>
      <c r="AT479" s="90"/>
      <c r="AU479" s="90"/>
      <c r="AV479" s="90"/>
      <c r="AW479" s="90"/>
      <c r="AX479" s="90"/>
      <c r="AY479" s="90"/>
      <c r="AZ479" s="90"/>
      <c r="BA479" s="90"/>
      <c r="BB479" s="90"/>
      <c r="BC479" s="90"/>
      <c r="BD479" s="90"/>
      <c r="BE479" s="90"/>
      <c r="BF479" s="90"/>
      <c r="BG479" s="90"/>
      <c r="BH479" s="90"/>
      <c r="BI479" s="90"/>
      <c r="BJ479" s="90"/>
      <c r="BK479" s="90"/>
      <c r="BL479" s="90"/>
      <c r="BM479" s="90"/>
      <c r="BN479" s="90"/>
      <c r="BO479" s="90"/>
      <c r="BP479" s="90"/>
      <c r="BQ479" s="90"/>
    </row>
    <row r="480" ht="12.75" customHeight="1">
      <c r="A480" s="105" t="s">
        <v>496</v>
      </c>
      <c r="B480" s="253"/>
      <c r="C480" s="253"/>
      <c r="D480" s="253"/>
      <c r="E480" s="253"/>
      <c r="F480" s="253"/>
      <c r="G480" s="253"/>
      <c r="H480" s="253"/>
      <c r="I480" s="253"/>
      <c r="J480" s="253"/>
      <c r="K480" s="253"/>
      <c r="L480" s="253"/>
      <c r="M480" s="253"/>
      <c r="N480" s="253"/>
      <c r="O480" s="253"/>
      <c r="P480" s="253"/>
      <c r="Q480" s="253"/>
      <c r="R480" s="253"/>
      <c r="S480" s="253"/>
      <c r="T480" s="253"/>
      <c r="U480" s="253"/>
      <c r="V480" s="253"/>
      <c r="W480" s="253"/>
      <c r="X480" s="253"/>
      <c r="Y480" s="253"/>
      <c r="Z480" s="253"/>
      <c r="AA480" s="253"/>
      <c r="AB480" s="253"/>
      <c r="AC480" s="253"/>
      <c r="AD480" s="253"/>
      <c r="AE480" s="253"/>
      <c r="AF480" s="253"/>
      <c r="AG480" s="253"/>
      <c r="AH480" s="253"/>
      <c r="AI480" s="253"/>
      <c r="AJ480" s="253"/>
      <c r="AK480" s="253"/>
      <c r="AL480" s="253"/>
      <c r="AM480" s="253"/>
      <c r="AN480" s="253"/>
      <c r="AO480" s="253"/>
      <c r="AP480" s="253"/>
      <c r="AQ480" s="253"/>
      <c r="AR480" s="253"/>
      <c r="AS480" s="253"/>
      <c r="AT480" s="253"/>
      <c r="AU480" s="253"/>
      <c r="AV480" s="253"/>
      <c r="AW480" s="253"/>
      <c r="AX480" s="90"/>
      <c r="AY480" s="90"/>
      <c r="AZ480" s="90"/>
      <c r="BA480" s="90"/>
      <c r="BB480" s="90"/>
      <c r="BC480" s="90"/>
      <c r="BD480" s="90"/>
      <c r="BE480" s="90"/>
      <c r="BF480" s="90"/>
      <c r="BG480" s="90"/>
      <c r="BH480" s="90"/>
      <c r="BI480" s="90"/>
      <c r="BJ480" s="90"/>
      <c r="BK480" s="90"/>
      <c r="BL480" s="90"/>
      <c r="BM480" s="90"/>
      <c r="BN480" s="90"/>
      <c r="BO480" s="90"/>
      <c r="BP480" s="90"/>
      <c r="BQ480" s="90"/>
    </row>
    <row r="481" ht="12.75" customHeight="1" outlineLevel="1">
      <c r="A481" s="316"/>
      <c r="B481" s="90"/>
      <c r="C481" s="90"/>
      <c r="D481" s="90"/>
      <c r="E481" s="90"/>
      <c r="F481" s="90"/>
      <c r="G481" s="90"/>
      <c r="H481" s="90"/>
      <c r="I481" s="90"/>
      <c r="J481" s="90"/>
      <c r="K481" s="90"/>
      <c r="L481" s="90"/>
      <c r="M481" s="90"/>
      <c r="N481" s="90"/>
      <c r="O481" s="90"/>
      <c r="P481" s="90"/>
      <c r="Q481" s="90"/>
      <c r="R481" s="90"/>
      <c r="S481" s="90"/>
      <c r="T481" s="90"/>
      <c r="U481" s="90"/>
      <c r="V481" s="90"/>
      <c r="W481" s="90"/>
      <c r="X481" s="90"/>
      <c r="Y481" s="90"/>
      <c r="Z481" s="90"/>
      <c r="AA481" s="90"/>
      <c r="AB481" s="90"/>
      <c r="AC481" s="90"/>
      <c r="AD481" s="90"/>
      <c r="AE481" s="90"/>
      <c r="AF481" s="90"/>
      <c r="AG481" s="90"/>
      <c r="AH481" s="90"/>
      <c r="AI481" s="90"/>
      <c r="AJ481" s="90"/>
      <c r="AK481" s="90"/>
      <c r="AL481" s="90"/>
      <c r="AM481" s="90"/>
      <c r="AN481" s="90"/>
      <c r="AO481" s="90"/>
      <c r="AP481" s="90"/>
      <c r="AQ481" s="90"/>
      <c r="AR481" s="90"/>
      <c r="AS481" s="90"/>
      <c r="AT481" s="90"/>
      <c r="AU481" s="90"/>
      <c r="AV481" s="90"/>
      <c r="AW481" s="90"/>
      <c r="AX481" s="90"/>
      <c r="AY481" s="90"/>
      <c r="AZ481" s="90"/>
      <c r="BA481" s="90"/>
      <c r="BB481" s="90"/>
      <c r="BC481" s="90"/>
      <c r="BD481" s="90"/>
      <c r="BE481" s="90"/>
      <c r="BF481" s="90"/>
      <c r="BG481" s="90"/>
      <c r="BH481" s="90"/>
      <c r="BI481" s="90"/>
      <c r="BJ481" s="90"/>
      <c r="BK481" s="90"/>
      <c r="BL481" s="90"/>
      <c r="BM481" s="90"/>
      <c r="BN481" s="90"/>
      <c r="BO481" s="90"/>
      <c r="BP481" s="90"/>
      <c r="BQ481" s="90"/>
    </row>
    <row r="482" ht="12.75" customHeight="1" outlineLevel="1">
      <c r="A482" s="316"/>
      <c r="B482" s="90" t="s">
        <v>242</v>
      </c>
      <c r="C482" s="90"/>
      <c r="D482" s="90"/>
      <c r="E482" s="90"/>
      <c r="F482" s="90"/>
      <c r="G482" s="90"/>
      <c r="H482" s="90"/>
      <c r="I482" s="90"/>
      <c r="J482" s="90"/>
      <c r="K482" s="90"/>
      <c r="L482" s="90"/>
      <c r="M482" s="90"/>
      <c r="N482" s="90"/>
      <c r="O482" s="90"/>
      <c r="P482" s="90"/>
      <c r="Q482" s="90"/>
      <c r="R482" s="90"/>
      <c r="S482" s="90"/>
      <c r="T482" s="90"/>
      <c r="U482" s="90"/>
      <c r="V482" s="90"/>
      <c r="W482" s="90"/>
      <c r="X482" s="90"/>
      <c r="Y482" s="90"/>
      <c r="Z482" s="90"/>
      <c r="AA482" s="90"/>
      <c r="AB482" s="90"/>
      <c r="AC482" s="90"/>
      <c r="AD482" s="90"/>
      <c r="AE482" s="90"/>
      <c r="AF482" s="90"/>
      <c r="AG482" s="90"/>
      <c r="AH482" s="90"/>
      <c r="AI482" s="90"/>
      <c r="AJ482" s="90"/>
      <c r="AK482" s="90"/>
      <c r="AL482" s="90"/>
      <c r="AM482" s="90"/>
      <c r="AN482" s="90"/>
      <c r="AO482" s="90"/>
      <c r="AP482" s="90"/>
      <c r="AQ482" s="90"/>
      <c r="AR482" s="90"/>
      <c r="AS482" s="90"/>
      <c r="AT482" s="90"/>
      <c r="AU482" s="90"/>
      <c r="AV482" s="90"/>
      <c r="AW482" s="90"/>
      <c r="AX482" s="90"/>
      <c r="AY482" s="90"/>
      <c r="AZ482" s="90"/>
      <c r="BA482" s="90"/>
      <c r="BB482" s="90"/>
      <c r="BC482" s="90"/>
      <c r="BD482" s="90"/>
      <c r="BE482" s="90"/>
      <c r="BF482" s="90"/>
      <c r="BG482" s="90"/>
      <c r="BH482" s="90"/>
      <c r="BI482" s="90"/>
      <c r="BJ482" s="90"/>
      <c r="BK482" s="90"/>
      <c r="BL482" s="90"/>
      <c r="BM482" s="90"/>
      <c r="BN482" s="90"/>
      <c r="BO482" s="90"/>
      <c r="BP482" s="90"/>
      <c r="BQ482" s="90"/>
    </row>
    <row r="483" ht="12.75" customHeight="1" outlineLevel="1">
      <c r="A483" s="316"/>
      <c r="B483" s="90"/>
      <c r="C483" s="90" t="s">
        <v>243</v>
      </c>
      <c r="D483" s="90"/>
      <c r="E483" s="90"/>
      <c r="F483" s="90"/>
      <c r="G483" s="90"/>
      <c r="H483" s="99"/>
      <c r="I483" s="99"/>
      <c r="J483" s="99">
        <v>79351.9</v>
      </c>
      <c r="K483" s="99" t="str">
        <f t="shared" ref="K483:AV483" si="301">K428</f>
        <v>#REF!</v>
      </c>
      <c r="L483" s="99" t="str">
        <f t="shared" si="301"/>
        <v>#REF!</v>
      </c>
      <c r="M483" s="99" t="str">
        <f t="shared" si="301"/>
        <v>#REF!</v>
      </c>
      <c r="N483" s="99" t="str">
        <f t="shared" si="301"/>
        <v>#REF!</v>
      </c>
      <c r="O483" s="99" t="str">
        <f t="shared" si="301"/>
        <v>#REF!</v>
      </c>
      <c r="P483" s="99" t="str">
        <f t="shared" si="301"/>
        <v>#REF!</v>
      </c>
      <c r="Q483" s="99" t="str">
        <f t="shared" si="301"/>
        <v>#REF!</v>
      </c>
      <c r="R483" s="99" t="str">
        <f t="shared" si="301"/>
        <v>#REF!</v>
      </c>
      <c r="S483" s="99" t="str">
        <f t="shared" si="301"/>
        <v>#REF!</v>
      </c>
      <c r="T483" s="99" t="str">
        <f t="shared" si="301"/>
        <v>#REF!</v>
      </c>
      <c r="U483" s="99" t="str">
        <f t="shared" si="301"/>
        <v>#REF!</v>
      </c>
      <c r="V483" s="99" t="str">
        <f t="shared" si="301"/>
        <v>#REF!</v>
      </c>
      <c r="W483" s="99" t="str">
        <f t="shared" si="301"/>
        <v>#REF!</v>
      </c>
      <c r="X483" s="99" t="str">
        <f t="shared" si="301"/>
        <v>#REF!</v>
      </c>
      <c r="Y483" s="99" t="str">
        <f t="shared" si="301"/>
        <v>#REF!</v>
      </c>
      <c r="Z483" s="99" t="str">
        <f t="shared" si="301"/>
        <v>#REF!</v>
      </c>
      <c r="AA483" s="99" t="str">
        <f t="shared" si="301"/>
        <v>#REF!</v>
      </c>
      <c r="AB483" s="99" t="str">
        <f t="shared" si="301"/>
        <v>#REF!</v>
      </c>
      <c r="AC483" s="99" t="str">
        <f t="shared" si="301"/>
        <v>#REF!</v>
      </c>
      <c r="AD483" s="99" t="str">
        <f t="shared" si="301"/>
        <v>#REF!</v>
      </c>
      <c r="AE483" s="99" t="str">
        <f t="shared" si="301"/>
        <v>#REF!</v>
      </c>
      <c r="AF483" s="99" t="str">
        <f t="shared" si="301"/>
        <v>#REF!</v>
      </c>
      <c r="AG483" s="99" t="str">
        <f t="shared" si="301"/>
        <v>#REF!</v>
      </c>
      <c r="AH483" s="99" t="str">
        <f t="shared" si="301"/>
        <v>#REF!</v>
      </c>
      <c r="AI483" s="99" t="str">
        <f t="shared" si="301"/>
        <v>#REF!</v>
      </c>
      <c r="AJ483" s="99" t="str">
        <f t="shared" si="301"/>
        <v>#REF!</v>
      </c>
      <c r="AK483" s="99" t="str">
        <f t="shared" si="301"/>
        <v>#REF!</v>
      </c>
      <c r="AL483" s="99" t="str">
        <f t="shared" si="301"/>
        <v>#REF!</v>
      </c>
      <c r="AM483" s="99" t="str">
        <f t="shared" si="301"/>
        <v>#REF!</v>
      </c>
      <c r="AN483" s="99" t="str">
        <f t="shared" si="301"/>
        <v>#REF!</v>
      </c>
      <c r="AO483" s="99" t="str">
        <f t="shared" si="301"/>
        <v>#REF!</v>
      </c>
      <c r="AP483" s="99" t="str">
        <f t="shared" si="301"/>
        <v>#REF!</v>
      </c>
      <c r="AQ483" s="99" t="str">
        <f t="shared" si="301"/>
        <v>#REF!</v>
      </c>
      <c r="AR483" s="99" t="str">
        <f t="shared" si="301"/>
        <v>#REF!</v>
      </c>
      <c r="AS483" s="99" t="str">
        <f t="shared" si="301"/>
        <v>#REF!</v>
      </c>
      <c r="AT483" s="99" t="str">
        <f t="shared" si="301"/>
        <v>#REF!</v>
      </c>
      <c r="AU483" s="99" t="str">
        <f t="shared" si="301"/>
        <v>#REF!</v>
      </c>
      <c r="AV483" s="99" t="str">
        <f t="shared" si="301"/>
        <v>#REF!</v>
      </c>
      <c r="AW483" s="99"/>
      <c r="AX483" s="90"/>
      <c r="AY483" s="90"/>
      <c r="AZ483" s="90"/>
      <c r="BA483" s="90"/>
      <c r="BB483" s="90"/>
      <c r="BC483" s="90"/>
      <c r="BD483" s="90"/>
      <c r="BE483" s="90"/>
      <c r="BF483" s="90"/>
      <c r="BG483" s="90"/>
      <c r="BH483" s="90"/>
      <c r="BI483" s="90"/>
      <c r="BJ483" s="90"/>
      <c r="BK483" s="90"/>
      <c r="BL483" s="90"/>
      <c r="BM483" s="90"/>
      <c r="BN483" s="90"/>
      <c r="BO483" s="90"/>
      <c r="BP483" s="90"/>
      <c r="BQ483" s="90"/>
    </row>
    <row r="484" ht="12.75" customHeight="1" outlineLevel="1">
      <c r="A484" s="316"/>
      <c r="B484" s="568">
        <f>Assumptions!H28</f>
        <v>0.15</v>
      </c>
      <c r="C484" s="90" t="s">
        <v>142</v>
      </c>
      <c r="D484" s="90"/>
      <c r="E484" s="90"/>
      <c r="F484" s="90"/>
      <c r="G484" s="90"/>
      <c r="H484" s="99"/>
      <c r="I484" s="99"/>
      <c r="J484" s="99">
        <v>0.0</v>
      </c>
      <c r="K484" s="99">
        <f t="shared" ref="K484:AV484" si="302">$B$484*(K272+K281)</f>
        <v>0</v>
      </c>
      <c r="L484" s="99">
        <f t="shared" si="302"/>
        <v>398109.2664</v>
      </c>
      <c r="M484" s="99">
        <f t="shared" si="302"/>
        <v>471619.5537</v>
      </c>
      <c r="N484" s="99">
        <f t="shared" si="302"/>
        <v>522904.7532</v>
      </c>
      <c r="O484" s="99">
        <f t="shared" si="302"/>
        <v>534766.3021</v>
      </c>
      <c r="P484" s="99">
        <f t="shared" si="302"/>
        <v>544234.6085</v>
      </c>
      <c r="Q484" s="99">
        <f t="shared" si="302"/>
        <v>553972.0373</v>
      </c>
      <c r="R484" s="99">
        <f t="shared" si="302"/>
        <v>569006.96</v>
      </c>
      <c r="S484" s="99">
        <f t="shared" si="302"/>
        <v>579236.4224</v>
      </c>
      <c r="T484" s="99">
        <f t="shared" si="302"/>
        <v>590206.3607</v>
      </c>
      <c r="U484" s="99">
        <f t="shared" si="302"/>
        <v>602010.4879</v>
      </c>
      <c r="V484" s="99">
        <f t="shared" si="302"/>
        <v>614050.6976</v>
      </c>
      <c r="W484" s="99">
        <f t="shared" si="302"/>
        <v>626331.7116</v>
      </c>
      <c r="X484" s="99">
        <f t="shared" si="302"/>
        <v>638858.3458</v>
      </c>
      <c r="Y484" s="99">
        <f t="shared" si="302"/>
        <v>651635.5127</v>
      </c>
      <c r="Z484" s="99">
        <f t="shared" si="302"/>
        <v>664668.223</v>
      </c>
      <c r="AA484" s="99">
        <f t="shared" si="302"/>
        <v>677961.5874</v>
      </c>
      <c r="AB484" s="99">
        <f t="shared" si="302"/>
        <v>691520.8192</v>
      </c>
      <c r="AC484" s="99">
        <f t="shared" si="302"/>
        <v>705351.2356</v>
      </c>
      <c r="AD484" s="99">
        <f t="shared" si="302"/>
        <v>719458.2603</v>
      </c>
      <c r="AE484" s="99">
        <f t="shared" si="302"/>
        <v>733847.4255</v>
      </c>
      <c r="AF484" s="99">
        <f t="shared" si="302"/>
        <v>748524.374</v>
      </c>
      <c r="AG484" s="99">
        <f t="shared" si="302"/>
        <v>763494.8615</v>
      </c>
      <c r="AH484" s="99">
        <f t="shared" si="302"/>
        <v>778764.7587</v>
      </c>
      <c r="AI484" s="99">
        <f t="shared" si="302"/>
        <v>794340.0539</v>
      </c>
      <c r="AJ484" s="99">
        <f t="shared" si="302"/>
        <v>810226.855</v>
      </c>
      <c r="AK484" s="99">
        <f t="shared" si="302"/>
        <v>826431.3921</v>
      </c>
      <c r="AL484" s="99">
        <f t="shared" si="302"/>
        <v>842960.0199</v>
      </c>
      <c r="AM484" s="99">
        <f t="shared" si="302"/>
        <v>859819.2203</v>
      </c>
      <c r="AN484" s="99">
        <f t="shared" si="302"/>
        <v>877015.6047</v>
      </c>
      <c r="AO484" s="99">
        <f t="shared" si="302"/>
        <v>894555.9168</v>
      </c>
      <c r="AP484" s="99">
        <f t="shared" si="302"/>
        <v>912447.0351</v>
      </c>
      <c r="AQ484" s="99">
        <f t="shared" si="302"/>
        <v>930695.9758</v>
      </c>
      <c r="AR484" s="99">
        <f t="shared" si="302"/>
        <v>949309.8954</v>
      </c>
      <c r="AS484" s="99">
        <f t="shared" si="302"/>
        <v>968296.0933</v>
      </c>
      <c r="AT484" s="99">
        <f t="shared" si="302"/>
        <v>987662.0151</v>
      </c>
      <c r="AU484" s="99">
        <f t="shared" si="302"/>
        <v>1007415.255</v>
      </c>
      <c r="AV484" s="99">
        <f t="shared" si="302"/>
        <v>1027563.561</v>
      </c>
      <c r="AW484" s="99"/>
      <c r="AX484" s="90"/>
      <c r="AY484" s="90"/>
      <c r="AZ484" s="90"/>
      <c r="BA484" s="90"/>
      <c r="BB484" s="90"/>
      <c r="BC484" s="90"/>
      <c r="BD484" s="90"/>
      <c r="BE484" s="90"/>
      <c r="BF484" s="90"/>
      <c r="BG484" s="90"/>
      <c r="BH484" s="90"/>
      <c r="BI484" s="90"/>
      <c r="BJ484" s="90"/>
      <c r="BK484" s="90"/>
      <c r="BL484" s="90"/>
      <c r="BM484" s="90"/>
      <c r="BN484" s="90"/>
      <c r="BO484" s="90"/>
      <c r="BP484" s="90"/>
      <c r="BQ484" s="90"/>
    </row>
    <row r="485" ht="12.75" customHeight="1" outlineLevel="1">
      <c r="A485" s="316"/>
      <c r="B485" s="157"/>
      <c r="C485" s="90" t="s">
        <v>471</v>
      </c>
      <c r="D485" s="90"/>
      <c r="E485" s="90"/>
      <c r="F485" s="90"/>
      <c r="G485" s="90"/>
      <c r="H485" s="99"/>
      <c r="I485" s="99"/>
      <c r="J485" s="99">
        <v>0.0</v>
      </c>
      <c r="K485" s="99">
        <f t="shared" ref="K485:AV485" si="303">J485-K410</f>
        <v>250000</v>
      </c>
      <c r="L485" s="99">
        <f t="shared" si="303"/>
        <v>250000</v>
      </c>
      <c r="M485" s="99">
        <f t="shared" si="303"/>
        <v>250000</v>
      </c>
      <c r="N485" s="99">
        <f t="shared" si="303"/>
        <v>250000</v>
      </c>
      <c r="O485" s="99">
        <f t="shared" si="303"/>
        <v>250000</v>
      </c>
      <c r="P485" s="99">
        <f t="shared" si="303"/>
        <v>250000</v>
      </c>
      <c r="Q485" s="99">
        <f t="shared" si="303"/>
        <v>250000</v>
      </c>
      <c r="R485" s="99">
        <f t="shared" si="303"/>
        <v>0</v>
      </c>
      <c r="S485" s="99">
        <f t="shared" si="303"/>
        <v>0</v>
      </c>
      <c r="T485" s="99">
        <f t="shared" si="303"/>
        <v>0</v>
      </c>
      <c r="U485" s="99">
        <f t="shared" si="303"/>
        <v>0</v>
      </c>
      <c r="V485" s="99">
        <f t="shared" si="303"/>
        <v>0</v>
      </c>
      <c r="W485" s="99">
        <f t="shared" si="303"/>
        <v>0</v>
      </c>
      <c r="X485" s="99">
        <f t="shared" si="303"/>
        <v>0</v>
      </c>
      <c r="Y485" s="99">
        <f t="shared" si="303"/>
        <v>0</v>
      </c>
      <c r="Z485" s="99">
        <f t="shared" si="303"/>
        <v>0</v>
      </c>
      <c r="AA485" s="99">
        <f t="shared" si="303"/>
        <v>0</v>
      </c>
      <c r="AB485" s="99">
        <f t="shared" si="303"/>
        <v>0</v>
      </c>
      <c r="AC485" s="99">
        <f t="shared" si="303"/>
        <v>0</v>
      </c>
      <c r="AD485" s="99">
        <f t="shared" si="303"/>
        <v>0</v>
      </c>
      <c r="AE485" s="99">
        <f t="shared" si="303"/>
        <v>0</v>
      </c>
      <c r="AF485" s="99">
        <f t="shared" si="303"/>
        <v>0</v>
      </c>
      <c r="AG485" s="99">
        <f t="shared" si="303"/>
        <v>0</v>
      </c>
      <c r="AH485" s="99">
        <f t="shared" si="303"/>
        <v>0</v>
      </c>
      <c r="AI485" s="99">
        <f t="shared" si="303"/>
        <v>0</v>
      </c>
      <c r="AJ485" s="99">
        <f t="shared" si="303"/>
        <v>0</v>
      </c>
      <c r="AK485" s="99">
        <f t="shared" si="303"/>
        <v>0</v>
      </c>
      <c r="AL485" s="99">
        <f t="shared" si="303"/>
        <v>0</v>
      </c>
      <c r="AM485" s="99">
        <f t="shared" si="303"/>
        <v>0</v>
      </c>
      <c r="AN485" s="99">
        <f t="shared" si="303"/>
        <v>0</v>
      </c>
      <c r="AO485" s="99">
        <f t="shared" si="303"/>
        <v>0</v>
      </c>
      <c r="AP485" s="99">
        <f t="shared" si="303"/>
        <v>0</v>
      </c>
      <c r="AQ485" s="99">
        <f t="shared" si="303"/>
        <v>0</v>
      </c>
      <c r="AR485" s="99">
        <f t="shared" si="303"/>
        <v>0</v>
      </c>
      <c r="AS485" s="99">
        <f t="shared" si="303"/>
        <v>0</v>
      </c>
      <c r="AT485" s="99">
        <f t="shared" si="303"/>
        <v>0</v>
      </c>
      <c r="AU485" s="99">
        <f t="shared" si="303"/>
        <v>0</v>
      </c>
      <c r="AV485" s="99">
        <f t="shared" si="303"/>
        <v>0</v>
      </c>
      <c r="AW485" s="99"/>
      <c r="AX485" s="90"/>
      <c r="AY485" s="90"/>
      <c r="AZ485" s="90"/>
      <c r="BA485" s="90"/>
      <c r="BB485" s="90"/>
      <c r="BC485" s="90"/>
      <c r="BD485" s="90"/>
      <c r="BE485" s="90"/>
      <c r="BF485" s="90"/>
      <c r="BG485" s="90"/>
      <c r="BH485" s="90"/>
      <c r="BI485" s="90"/>
      <c r="BJ485" s="90"/>
      <c r="BK485" s="90"/>
      <c r="BL485" s="90"/>
      <c r="BM485" s="90"/>
      <c r="BN485" s="90"/>
      <c r="BO485" s="90"/>
      <c r="BP485" s="90"/>
      <c r="BQ485" s="90"/>
    </row>
    <row r="486" ht="12.75" customHeight="1" outlineLevel="1">
      <c r="A486" s="316"/>
      <c r="B486" s="87"/>
      <c r="C486" s="87" t="s">
        <v>248</v>
      </c>
      <c r="D486" s="87"/>
      <c r="E486" s="87"/>
      <c r="F486" s="87"/>
      <c r="G486" s="87"/>
      <c r="H486" s="125"/>
      <c r="I486" s="125"/>
      <c r="J486" s="125">
        <v>0.0</v>
      </c>
      <c r="K486" s="125">
        <v>13045.25</v>
      </c>
      <c r="L486" s="125">
        <v>0.0</v>
      </c>
      <c r="M486" s="125">
        <v>0.0</v>
      </c>
      <c r="N486" s="125">
        <v>0.0</v>
      </c>
      <c r="O486" s="125">
        <v>0.0</v>
      </c>
      <c r="P486" s="125">
        <v>0.0</v>
      </c>
      <c r="Q486" s="125">
        <v>0.0</v>
      </c>
      <c r="R486" s="125">
        <v>0.0</v>
      </c>
      <c r="S486" s="125">
        <v>0.0</v>
      </c>
      <c r="T486" s="125">
        <v>0.0</v>
      </c>
      <c r="U486" s="125">
        <v>0.0</v>
      </c>
      <c r="V486" s="125">
        <v>0.0</v>
      </c>
      <c r="W486" s="125">
        <v>0.0</v>
      </c>
      <c r="X486" s="125">
        <v>0.0</v>
      </c>
      <c r="Y486" s="125">
        <v>0.0</v>
      </c>
      <c r="Z486" s="125">
        <v>0.0</v>
      </c>
      <c r="AA486" s="125">
        <v>0.0</v>
      </c>
      <c r="AB486" s="125">
        <v>0.0</v>
      </c>
      <c r="AC486" s="125">
        <v>0.0</v>
      </c>
      <c r="AD486" s="125">
        <v>0.0</v>
      </c>
      <c r="AE486" s="125">
        <v>0.0</v>
      </c>
      <c r="AF486" s="125">
        <v>0.0</v>
      </c>
      <c r="AG486" s="125">
        <v>0.0</v>
      </c>
      <c r="AH486" s="125">
        <v>0.0</v>
      </c>
      <c r="AI486" s="125">
        <v>0.0</v>
      </c>
      <c r="AJ486" s="125">
        <v>0.0</v>
      </c>
      <c r="AK486" s="125">
        <v>0.0</v>
      </c>
      <c r="AL486" s="125">
        <v>0.0</v>
      </c>
      <c r="AM486" s="125">
        <v>0.0</v>
      </c>
      <c r="AN486" s="125">
        <v>0.0</v>
      </c>
      <c r="AO486" s="125">
        <v>0.0</v>
      </c>
      <c r="AP486" s="125">
        <v>0.0</v>
      </c>
      <c r="AQ486" s="125">
        <v>0.0</v>
      </c>
      <c r="AR486" s="125">
        <v>0.0</v>
      </c>
      <c r="AS486" s="125">
        <v>0.0</v>
      </c>
      <c r="AT486" s="125">
        <v>0.0</v>
      </c>
      <c r="AU486" s="125">
        <v>0.0</v>
      </c>
      <c r="AV486" s="125">
        <v>0.0</v>
      </c>
      <c r="AW486" s="125"/>
      <c r="AX486" s="90"/>
      <c r="AY486" s="90"/>
      <c r="AZ486" s="90"/>
      <c r="BA486" s="90"/>
      <c r="BB486" s="90"/>
      <c r="BC486" s="90"/>
      <c r="BD486" s="90"/>
      <c r="BE486" s="90"/>
      <c r="BF486" s="90"/>
      <c r="BG486" s="90"/>
      <c r="BH486" s="90"/>
      <c r="BI486" s="90"/>
      <c r="BJ486" s="90"/>
      <c r="BK486" s="90"/>
      <c r="BL486" s="90"/>
      <c r="BM486" s="90"/>
      <c r="BN486" s="90"/>
      <c r="BO486" s="90"/>
      <c r="BP486" s="90"/>
      <c r="BQ486" s="90"/>
    </row>
    <row r="487" ht="12.75" customHeight="1" outlineLevel="1">
      <c r="A487" s="316"/>
      <c r="B487" s="90" t="s">
        <v>249</v>
      </c>
      <c r="C487" s="90"/>
      <c r="D487" s="90"/>
      <c r="E487" s="90"/>
      <c r="F487" s="90"/>
      <c r="G487" s="90"/>
      <c r="H487" s="99"/>
      <c r="I487" s="99"/>
      <c r="J487" s="99">
        <v>79351.9</v>
      </c>
      <c r="K487" s="99" t="str">
        <f t="shared" ref="K487:AV487" si="304">SUM(K483:K486)</f>
        <v>#REF!</v>
      </c>
      <c r="L487" s="99" t="str">
        <f t="shared" si="304"/>
        <v>#REF!</v>
      </c>
      <c r="M487" s="99" t="str">
        <f t="shared" si="304"/>
        <v>#REF!</v>
      </c>
      <c r="N487" s="99" t="str">
        <f t="shared" si="304"/>
        <v>#REF!</v>
      </c>
      <c r="O487" s="99" t="str">
        <f t="shared" si="304"/>
        <v>#REF!</v>
      </c>
      <c r="P487" s="99" t="str">
        <f t="shared" si="304"/>
        <v>#REF!</v>
      </c>
      <c r="Q487" s="99" t="str">
        <f t="shared" si="304"/>
        <v>#REF!</v>
      </c>
      <c r="R487" s="99" t="str">
        <f t="shared" si="304"/>
        <v>#REF!</v>
      </c>
      <c r="S487" s="99" t="str">
        <f t="shared" si="304"/>
        <v>#REF!</v>
      </c>
      <c r="T487" s="99" t="str">
        <f t="shared" si="304"/>
        <v>#REF!</v>
      </c>
      <c r="U487" s="99" t="str">
        <f t="shared" si="304"/>
        <v>#REF!</v>
      </c>
      <c r="V487" s="99" t="str">
        <f t="shared" si="304"/>
        <v>#REF!</v>
      </c>
      <c r="W487" s="99" t="str">
        <f t="shared" si="304"/>
        <v>#REF!</v>
      </c>
      <c r="X487" s="99" t="str">
        <f t="shared" si="304"/>
        <v>#REF!</v>
      </c>
      <c r="Y487" s="99" t="str">
        <f t="shared" si="304"/>
        <v>#REF!</v>
      </c>
      <c r="Z487" s="99" t="str">
        <f t="shared" si="304"/>
        <v>#REF!</v>
      </c>
      <c r="AA487" s="99" t="str">
        <f t="shared" si="304"/>
        <v>#REF!</v>
      </c>
      <c r="AB487" s="99" t="str">
        <f t="shared" si="304"/>
        <v>#REF!</v>
      </c>
      <c r="AC487" s="99" t="str">
        <f t="shared" si="304"/>
        <v>#REF!</v>
      </c>
      <c r="AD487" s="99" t="str">
        <f t="shared" si="304"/>
        <v>#REF!</v>
      </c>
      <c r="AE487" s="99" t="str">
        <f t="shared" si="304"/>
        <v>#REF!</v>
      </c>
      <c r="AF487" s="99" t="str">
        <f t="shared" si="304"/>
        <v>#REF!</v>
      </c>
      <c r="AG487" s="99" t="str">
        <f t="shared" si="304"/>
        <v>#REF!</v>
      </c>
      <c r="AH487" s="99" t="str">
        <f t="shared" si="304"/>
        <v>#REF!</v>
      </c>
      <c r="AI487" s="99" t="str">
        <f t="shared" si="304"/>
        <v>#REF!</v>
      </c>
      <c r="AJ487" s="99" t="str">
        <f t="shared" si="304"/>
        <v>#REF!</v>
      </c>
      <c r="AK487" s="99" t="str">
        <f t="shared" si="304"/>
        <v>#REF!</v>
      </c>
      <c r="AL487" s="99" t="str">
        <f t="shared" si="304"/>
        <v>#REF!</v>
      </c>
      <c r="AM487" s="99" t="str">
        <f t="shared" si="304"/>
        <v>#REF!</v>
      </c>
      <c r="AN487" s="99" t="str">
        <f t="shared" si="304"/>
        <v>#REF!</v>
      </c>
      <c r="AO487" s="99" t="str">
        <f t="shared" si="304"/>
        <v>#REF!</v>
      </c>
      <c r="AP487" s="99" t="str">
        <f t="shared" si="304"/>
        <v>#REF!</v>
      </c>
      <c r="AQ487" s="99" t="str">
        <f t="shared" si="304"/>
        <v>#REF!</v>
      </c>
      <c r="AR487" s="99" t="str">
        <f t="shared" si="304"/>
        <v>#REF!</v>
      </c>
      <c r="AS487" s="99" t="str">
        <f t="shared" si="304"/>
        <v>#REF!</v>
      </c>
      <c r="AT487" s="99" t="str">
        <f t="shared" si="304"/>
        <v>#REF!</v>
      </c>
      <c r="AU487" s="99" t="str">
        <f t="shared" si="304"/>
        <v>#REF!</v>
      </c>
      <c r="AV487" s="99" t="str">
        <f t="shared" si="304"/>
        <v>#REF!</v>
      </c>
      <c r="AW487" s="99"/>
      <c r="AX487" s="90"/>
      <c r="AY487" s="90"/>
      <c r="AZ487" s="90"/>
      <c r="BA487" s="90"/>
      <c r="BB487" s="90"/>
      <c r="BC487" s="90"/>
      <c r="BD487" s="90"/>
      <c r="BE487" s="90"/>
      <c r="BF487" s="90"/>
      <c r="BG487" s="90"/>
      <c r="BH487" s="90"/>
      <c r="BI487" s="90"/>
      <c r="BJ487" s="90"/>
      <c r="BK487" s="90"/>
      <c r="BL487" s="90"/>
      <c r="BM487" s="90"/>
      <c r="BN487" s="90"/>
      <c r="BO487" s="90"/>
      <c r="BP487" s="90"/>
      <c r="BQ487" s="90"/>
    </row>
    <row r="488" ht="12.75" customHeight="1" outlineLevel="1">
      <c r="A488" s="316"/>
      <c r="B488" s="90"/>
      <c r="C488" s="90"/>
      <c r="D488" s="90"/>
      <c r="E488" s="90"/>
      <c r="F488" s="90"/>
      <c r="G488" s="90"/>
      <c r="H488" s="99"/>
      <c r="I488" s="99"/>
      <c r="J488" s="99"/>
      <c r="K488" s="99"/>
      <c r="L488" s="99"/>
      <c r="M488" s="99"/>
      <c r="N488" s="99"/>
      <c r="O488" s="99"/>
      <c r="P488" s="99"/>
      <c r="Q488" s="99"/>
      <c r="R488" s="99"/>
      <c r="S488" s="99"/>
      <c r="T488" s="99"/>
      <c r="U488" s="99"/>
      <c r="V488" s="99"/>
      <c r="W488" s="99"/>
      <c r="X488" s="99"/>
      <c r="Y488" s="99"/>
      <c r="Z488" s="99"/>
      <c r="AA488" s="99"/>
      <c r="AB488" s="99"/>
      <c r="AC488" s="99"/>
      <c r="AD488" s="99"/>
      <c r="AE488" s="99"/>
      <c r="AF488" s="99"/>
      <c r="AG488" s="99"/>
      <c r="AH488" s="99"/>
      <c r="AI488" s="99"/>
      <c r="AJ488" s="99"/>
      <c r="AK488" s="99"/>
      <c r="AL488" s="99"/>
      <c r="AM488" s="99"/>
      <c r="AN488" s="99"/>
      <c r="AO488" s="99"/>
      <c r="AP488" s="99"/>
      <c r="AQ488" s="99"/>
      <c r="AR488" s="99"/>
      <c r="AS488" s="99"/>
      <c r="AT488" s="99"/>
      <c r="AU488" s="99"/>
      <c r="AV488" s="99"/>
      <c r="AW488" s="99"/>
      <c r="AX488" s="90"/>
      <c r="AY488" s="90"/>
      <c r="AZ488" s="90"/>
      <c r="BA488" s="90"/>
      <c r="BB488" s="90"/>
      <c r="BC488" s="90"/>
      <c r="BD488" s="90"/>
      <c r="BE488" s="90"/>
      <c r="BF488" s="90"/>
      <c r="BG488" s="90"/>
      <c r="BH488" s="90"/>
      <c r="BI488" s="90"/>
      <c r="BJ488" s="90"/>
      <c r="BK488" s="90"/>
      <c r="BL488" s="90"/>
      <c r="BM488" s="90"/>
      <c r="BN488" s="90"/>
      <c r="BO488" s="90"/>
      <c r="BP488" s="90"/>
      <c r="BQ488" s="90"/>
    </row>
    <row r="489" ht="12.75" customHeight="1" outlineLevel="1">
      <c r="A489" s="316"/>
      <c r="B489" s="90" t="s">
        <v>250</v>
      </c>
      <c r="C489" s="90"/>
      <c r="D489" s="90"/>
      <c r="E489" s="90"/>
      <c r="F489" s="90"/>
      <c r="G489" s="90"/>
      <c r="H489" s="99"/>
      <c r="I489" s="99"/>
      <c r="J489" s="99"/>
      <c r="K489" s="99"/>
      <c r="L489" s="99"/>
      <c r="M489" s="99"/>
      <c r="N489" s="99"/>
      <c r="O489" s="99"/>
      <c r="P489" s="99"/>
      <c r="Q489" s="99"/>
      <c r="R489" s="99"/>
      <c r="S489" s="99"/>
      <c r="T489" s="99"/>
      <c r="U489" s="99"/>
      <c r="V489" s="99"/>
      <c r="W489" s="99"/>
      <c r="X489" s="99"/>
      <c r="Y489" s="99"/>
      <c r="Z489" s="99"/>
      <c r="AA489" s="99"/>
      <c r="AB489" s="99"/>
      <c r="AC489" s="99"/>
      <c r="AD489" s="99"/>
      <c r="AE489" s="99"/>
      <c r="AF489" s="99"/>
      <c r="AG489" s="99"/>
      <c r="AH489" s="99"/>
      <c r="AI489" s="99"/>
      <c r="AJ489" s="99"/>
      <c r="AK489" s="99"/>
      <c r="AL489" s="99"/>
      <c r="AM489" s="99"/>
      <c r="AN489" s="99"/>
      <c r="AO489" s="99"/>
      <c r="AP489" s="99"/>
      <c r="AQ489" s="99"/>
      <c r="AR489" s="99"/>
      <c r="AS489" s="99"/>
      <c r="AT489" s="99"/>
      <c r="AU489" s="99"/>
      <c r="AV489" s="99"/>
      <c r="AW489" s="99"/>
      <c r="AX489" s="90"/>
      <c r="AY489" s="90"/>
      <c r="AZ489" s="90"/>
      <c r="BA489" s="90"/>
      <c r="BB489" s="90"/>
      <c r="BC489" s="90"/>
      <c r="BD489" s="90"/>
      <c r="BE489" s="90"/>
      <c r="BF489" s="90"/>
      <c r="BG489" s="90"/>
      <c r="BH489" s="90"/>
      <c r="BI489" s="90"/>
      <c r="BJ489" s="90"/>
      <c r="BK489" s="90"/>
      <c r="BL489" s="90"/>
      <c r="BM489" s="90"/>
      <c r="BN489" s="90"/>
      <c r="BO489" s="90"/>
      <c r="BP489" s="90"/>
      <c r="BQ489" s="90"/>
    </row>
    <row r="490" ht="12.75" customHeight="1" outlineLevel="1">
      <c r="A490" s="316"/>
      <c r="B490" s="157">
        <f>Assumptions!H29</f>
        <v>0.05</v>
      </c>
      <c r="C490" s="90" t="s">
        <v>145</v>
      </c>
      <c r="D490" s="90"/>
      <c r="E490" s="90"/>
      <c r="F490" s="90"/>
      <c r="G490" s="90"/>
      <c r="H490" s="99"/>
      <c r="I490" s="99"/>
      <c r="J490" s="99">
        <v>0.0</v>
      </c>
      <c r="K490" s="99" t="str">
        <f>'[6]Balance Sheet'!$K$157+'[6]Balance Sheet'!$K$118+'[6]Balance Sheet'!$K$141</f>
        <v>#REF!</v>
      </c>
      <c r="L490" s="99">
        <f t="shared" ref="L490:AV490" si="305">$B$490*(L319+L330+L339+L383+L386+L387+L389+L392)</f>
        <v>161933.2797</v>
      </c>
      <c r="M490" s="99">
        <f t="shared" si="305"/>
        <v>167105.5182</v>
      </c>
      <c r="N490" s="99">
        <f t="shared" si="305"/>
        <v>178215.1094</v>
      </c>
      <c r="O490" s="99">
        <f t="shared" si="305"/>
        <v>179821.4664</v>
      </c>
      <c r="P490" s="99">
        <f t="shared" si="305"/>
        <v>182980.6115</v>
      </c>
      <c r="Q490" s="99">
        <f t="shared" si="305"/>
        <v>187412.9205</v>
      </c>
      <c r="R490" s="99">
        <f t="shared" si="305"/>
        <v>192452.1603</v>
      </c>
      <c r="S490" s="99">
        <f t="shared" si="305"/>
        <v>195908.9982</v>
      </c>
      <c r="T490" s="99">
        <f t="shared" si="305"/>
        <v>199612.9409</v>
      </c>
      <c r="U490" s="99">
        <f t="shared" si="305"/>
        <v>203595.1343</v>
      </c>
      <c r="V490" s="99">
        <f t="shared" si="305"/>
        <v>207681.7645</v>
      </c>
      <c r="W490" s="99">
        <f t="shared" si="305"/>
        <v>211829.5229</v>
      </c>
      <c r="X490" s="99">
        <f t="shared" si="305"/>
        <v>216070.6406</v>
      </c>
      <c r="Y490" s="99">
        <f t="shared" si="305"/>
        <v>220396.5807</v>
      </c>
      <c r="Z490" s="99">
        <f t="shared" si="305"/>
        <v>224809.0397</v>
      </c>
      <c r="AA490" s="99">
        <f t="shared" si="305"/>
        <v>229309.7478</v>
      </c>
      <c r="AB490" s="99">
        <f t="shared" si="305"/>
        <v>233900.47</v>
      </c>
      <c r="AC490" s="99">
        <f t="shared" si="305"/>
        <v>238583.0068</v>
      </c>
      <c r="AD490" s="99">
        <f t="shared" si="305"/>
        <v>243359.1942</v>
      </c>
      <c r="AE490" s="99">
        <f t="shared" si="305"/>
        <v>248230.9054</v>
      </c>
      <c r="AF490" s="99">
        <f t="shared" si="305"/>
        <v>253200.0508</v>
      </c>
      <c r="AG490" s="99">
        <f t="shared" si="305"/>
        <v>258268.5791</v>
      </c>
      <c r="AH490" s="99">
        <f t="shared" si="305"/>
        <v>263438.478</v>
      </c>
      <c r="AI490" s="99">
        <f t="shared" si="305"/>
        <v>268711.7749</v>
      </c>
      <c r="AJ490" s="99">
        <f t="shared" si="305"/>
        <v>274090.5377</v>
      </c>
      <c r="AK490" s="99">
        <f t="shared" si="305"/>
        <v>279576.8758</v>
      </c>
      <c r="AL490" s="99">
        <f t="shared" si="305"/>
        <v>285172.9406</v>
      </c>
      <c r="AM490" s="99">
        <f t="shared" si="305"/>
        <v>290880.9267</v>
      </c>
      <c r="AN490" s="99">
        <f t="shared" si="305"/>
        <v>296703.0726</v>
      </c>
      <c r="AO490" s="99">
        <f t="shared" si="305"/>
        <v>302641.6613</v>
      </c>
      <c r="AP490" s="99">
        <f t="shared" si="305"/>
        <v>308699.0219</v>
      </c>
      <c r="AQ490" s="99">
        <f t="shared" si="305"/>
        <v>314877.5296</v>
      </c>
      <c r="AR490" s="99">
        <f t="shared" si="305"/>
        <v>321179.6075</v>
      </c>
      <c r="AS490" s="99">
        <f t="shared" si="305"/>
        <v>327607.727</v>
      </c>
      <c r="AT490" s="99">
        <f t="shared" si="305"/>
        <v>334164.4088</v>
      </c>
      <c r="AU490" s="99">
        <f t="shared" si="305"/>
        <v>340852.2243</v>
      </c>
      <c r="AV490" s="99">
        <f t="shared" si="305"/>
        <v>347673.7961</v>
      </c>
      <c r="AW490" s="99"/>
      <c r="AX490" s="90"/>
      <c r="AY490" s="90"/>
      <c r="AZ490" s="90"/>
      <c r="BA490" s="90"/>
      <c r="BB490" s="90"/>
      <c r="BC490" s="90"/>
      <c r="BD490" s="90"/>
      <c r="BE490" s="90"/>
      <c r="BF490" s="90"/>
      <c r="BG490" s="90"/>
      <c r="BH490" s="90"/>
      <c r="BI490" s="90"/>
      <c r="BJ490" s="90"/>
      <c r="BK490" s="90"/>
      <c r="BL490" s="90"/>
      <c r="BM490" s="90"/>
      <c r="BN490" s="90"/>
      <c r="BO490" s="90"/>
      <c r="BP490" s="90"/>
      <c r="BQ490" s="90"/>
    </row>
    <row r="491" ht="12.75" customHeight="1" outlineLevel="1">
      <c r="A491" s="316"/>
      <c r="B491" s="90"/>
      <c r="C491" s="90" t="s">
        <v>251</v>
      </c>
      <c r="D491" s="90"/>
      <c r="E491" s="90"/>
      <c r="F491" s="90"/>
      <c r="G491" s="90"/>
      <c r="H491" s="99"/>
      <c r="I491" s="99"/>
      <c r="J491" s="99">
        <v>0.0</v>
      </c>
      <c r="K491" s="99" t="str">
        <f t="shared" ref="K491:AV491" si="306">K477</f>
        <v>#REF!</v>
      </c>
      <c r="L491" s="99" t="str">
        <f t="shared" si="306"/>
        <v>#REF!</v>
      </c>
      <c r="M491" s="99" t="str">
        <f t="shared" si="306"/>
        <v>#REF!</v>
      </c>
      <c r="N491" s="99" t="str">
        <f t="shared" si="306"/>
        <v>#REF!</v>
      </c>
      <c r="O491" s="99" t="str">
        <f t="shared" si="306"/>
        <v>#REF!</v>
      </c>
      <c r="P491" s="99" t="str">
        <f t="shared" si="306"/>
        <v>#REF!</v>
      </c>
      <c r="Q491" s="99" t="str">
        <f t="shared" si="306"/>
        <v>#REF!</v>
      </c>
      <c r="R491" s="99" t="str">
        <f t="shared" si="306"/>
        <v>#REF!</v>
      </c>
      <c r="S491" s="99" t="str">
        <f t="shared" si="306"/>
        <v>#REF!</v>
      </c>
      <c r="T491" s="99" t="str">
        <f t="shared" si="306"/>
        <v>#REF!</v>
      </c>
      <c r="U491" s="99" t="str">
        <f t="shared" si="306"/>
        <v>#REF!</v>
      </c>
      <c r="V491" s="99" t="str">
        <f t="shared" si="306"/>
        <v>#REF!</v>
      </c>
      <c r="W491" s="99" t="str">
        <f t="shared" si="306"/>
        <v>#REF!</v>
      </c>
      <c r="X491" s="99" t="str">
        <f t="shared" si="306"/>
        <v>#REF!</v>
      </c>
      <c r="Y491" s="99" t="str">
        <f t="shared" si="306"/>
        <v>#REF!</v>
      </c>
      <c r="Z491" s="99" t="str">
        <f t="shared" si="306"/>
        <v>#REF!</v>
      </c>
      <c r="AA491" s="99" t="str">
        <f t="shared" si="306"/>
        <v>#REF!</v>
      </c>
      <c r="AB491" s="99" t="str">
        <f t="shared" si="306"/>
        <v>#REF!</v>
      </c>
      <c r="AC491" s="99" t="str">
        <f t="shared" si="306"/>
        <v>#REF!</v>
      </c>
      <c r="AD491" s="99" t="str">
        <f t="shared" si="306"/>
        <v>#REF!</v>
      </c>
      <c r="AE491" s="99" t="str">
        <f t="shared" si="306"/>
        <v>#REF!</v>
      </c>
      <c r="AF491" s="99" t="str">
        <f t="shared" si="306"/>
        <v>#REF!</v>
      </c>
      <c r="AG491" s="99" t="str">
        <f t="shared" si="306"/>
        <v>#REF!</v>
      </c>
      <c r="AH491" s="99" t="str">
        <f t="shared" si="306"/>
        <v>#REF!</v>
      </c>
      <c r="AI491" s="99" t="str">
        <f t="shared" si="306"/>
        <v>#REF!</v>
      </c>
      <c r="AJ491" s="99" t="str">
        <f t="shared" si="306"/>
        <v>#REF!</v>
      </c>
      <c r="AK491" s="99" t="str">
        <f t="shared" si="306"/>
        <v>#REF!</v>
      </c>
      <c r="AL491" s="99" t="str">
        <f t="shared" si="306"/>
        <v>#REF!</v>
      </c>
      <c r="AM491" s="99" t="str">
        <f t="shared" si="306"/>
        <v>#REF!</v>
      </c>
      <c r="AN491" s="99" t="str">
        <f t="shared" si="306"/>
        <v>#REF!</v>
      </c>
      <c r="AO491" s="99" t="str">
        <f t="shared" si="306"/>
        <v>#REF!</v>
      </c>
      <c r="AP491" s="99" t="str">
        <f t="shared" si="306"/>
        <v>#REF!</v>
      </c>
      <c r="AQ491" s="99" t="str">
        <f t="shared" si="306"/>
        <v>#REF!</v>
      </c>
      <c r="AR491" s="99" t="str">
        <f t="shared" si="306"/>
        <v>#REF!</v>
      </c>
      <c r="AS491" s="99" t="str">
        <f t="shared" si="306"/>
        <v>#REF!</v>
      </c>
      <c r="AT491" s="99" t="str">
        <f t="shared" si="306"/>
        <v>#REF!</v>
      </c>
      <c r="AU491" s="99" t="str">
        <f t="shared" si="306"/>
        <v>#REF!</v>
      </c>
      <c r="AV491" s="99" t="str">
        <f t="shared" si="306"/>
        <v>#REF!</v>
      </c>
      <c r="AW491" s="99"/>
      <c r="AX491" s="90"/>
      <c r="AY491" s="90"/>
      <c r="AZ491" s="90"/>
      <c r="BA491" s="90"/>
      <c r="BB491" s="90"/>
      <c r="BC491" s="90"/>
      <c r="BD491" s="90"/>
      <c r="BE491" s="90"/>
      <c r="BF491" s="90"/>
      <c r="BG491" s="90"/>
      <c r="BH491" s="90"/>
      <c r="BI491" s="90"/>
      <c r="BJ491" s="90"/>
      <c r="BK491" s="90"/>
      <c r="BL491" s="90"/>
      <c r="BM491" s="90"/>
      <c r="BN491" s="90"/>
      <c r="BO491" s="90"/>
      <c r="BP491" s="90"/>
      <c r="BQ491" s="90"/>
    </row>
    <row r="492" ht="12.75" customHeight="1" outlineLevel="1">
      <c r="A492" s="316"/>
      <c r="B492" s="87"/>
      <c r="C492" s="87" t="s">
        <v>253</v>
      </c>
      <c r="D492" s="87"/>
      <c r="E492" s="87"/>
      <c r="F492" s="87"/>
      <c r="G492" s="87"/>
      <c r="H492" s="125"/>
      <c r="I492" s="125"/>
      <c r="J492" s="125">
        <v>79351.9</v>
      </c>
      <c r="K492" s="125">
        <f t="shared" ref="K492:AV492" si="307">J492+K397</f>
        <v>-123731.53</v>
      </c>
      <c r="L492" s="125" t="str">
        <f t="shared" si="307"/>
        <v>#REF!</v>
      </c>
      <c r="M492" s="125" t="str">
        <f t="shared" si="307"/>
        <v>#REF!</v>
      </c>
      <c r="N492" s="125" t="str">
        <f t="shared" si="307"/>
        <v>#REF!</v>
      </c>
      <c r="O492" s="125" t="str">
        <f t="shared" si="307"/>
        <v>#REF!</v>
      </c>
      <c r="P492" s="125" t="str">
        <f t="shared" si="307"/>
        <v>#REF!</v>
      </c>
      <c r="Q492" s="125" t="str">
        <f t="shared" si="307"/>
        <v>#REF!</v>
      </c>
      <c r="R492" s="125" t="str">
        <f t="shared" si="307"/>
        <v>#REF!</v>
      </c>
      <c r="S492" s="125" t="str">
        <f t="shared" si="307"/>
        <v>#REF!</v>
      </c>
      <c r="T492" s="125" t="str">
        <f t="shared" si="307"/>
        <v>#REF!</v>
      </c>
      <c r="U492" s="125" t="str">
        <f t="shared" si="307"/>
        <v>#REF!</v>
      </c>
      <c r="V492" s="125" t="str">
        <f t="shared" si="307"/>
        <v>#REF!</v>
      </c>
      <c r="W492" s="125" t="str">
        <f t="shared" si="307"/>
        <v>#REF!</v>
      </c>
      <c r="X492" s="125" t="str">
        <f t="shared" si="307"/>
        <v>#REF!</v>
      </c>
      <c r="Y492" s="125" t="str">
        <f t="shared" si="307"/>
        <v>#REF!</v>
      </c>
      <c r="Z492" s="125" t="str">
        <f t="shared" si="307"/>
        <v>#REF!</v>
      </c>
      <c r="AA492" s="125" t="str">
        <f t="shared" si="307"/>
        <v>#REF!</v>
      </c>
      <c r="AB492" s="125" t="str">
        <f t="shared" si="307"/>
        <v>#REF!</v>
      </c>
      <c r="AC492" s="125" t="str">
        <f t="shared" si="307"/>
        <v>#REF!</v>
      </c>
      <c r="AD492" s="125" t="str">
        <f t="shared" si="307"/>
        <v>#REF!</v>
      </c>
      <c r="AE492" s="125" t="str">
        <f t="shared" si="307"/>
        <v>#REF!</v>
      </c>
      <c r="AF492" s="125" t="str">
        <f t="shared" si="307"/>
        <v>#REF!</v>
      </c>
      <c r="AG492" s="125" t="str">
        <f t="shared" si="307"/>
        <v>#REF!</v>
      </c>
      <c r="AH492" s="125" t="str">
        <f t="shared" si="307"/>
        <v>#REF!</v>
      </c>
      <c r="AI492" s="125" t="str">
        <f t="shared" si="307"/>
        <v>#REF!</v>
      </c>
      <c r="AJ492" s="125" t="str">
        <f t="shared" si="307"/>
        <v>#REF!</v>
      </c>
      <c r="AK492" s="125" t="str">
        <f t="shared" si="307"/>
        <v>#REF!</v>
      </c>
      <c r="AL492" s="125" t="str">
        <f t="shared" si="307"/>
        <v>#REF!</v>
      </c>
      <c r="AM492" s="125" t="str">
        <f t="shared" si="307"/>
        <v>#REF!</v>
      </c>
      <c r="AN492" s="125" t="str">
        <f t="shared" si="307"/>
        <v>#REF!</v>
      </c>
      <c r="AO492" s="125" t="str">
        <f t="shared" si="307"/>
        <v>#REF!</v>
      </c>
      <c r="AP492" s="125" t="str">
        <f t="shared" si="307"/>
        <v>#REF!</v>
      </c>
      <c r="AQ492" s="125" t="str">
        <f t="shared" si="307"/>
        <v>#REF!</v>
      </c>
      <c r="AR492" s="125" t="str">
        <f t="shared" si="307"/>
        <v>#REF!</v>
      </c>
      <c r="AS492" s="125" t="str">
        <f t="shared" si="307"/>
        <v>#REF!</v>
      </c>
      <c r="AT492" s="125" t="str">
        <f t="shared" si="307"/>
        <v>#REF!</v>
      </c>
      <c r="AU492" s="125" t="str">
        <f t="shared" si="307"/>
        <v>#REF!</v>
      </c>
      <c r="AV492" s="125" t="str">
        <f t="shared" si="307"/>
        <v>#REF!</v>
      </c>
      <c r="AW492" s="125"/>
      <c r="AX492" s="90"/>
      <c r="AY492" s="90"/>
      <c r="AZ492" s="90"/>
      <c r="BA492" s="90"/>
      <c r="BB492" s="90"/>
      <c r="BC492" s="90"/>
      <c r="BD492" s="90"/>
      <c r="BE492" s="90"/>
      <c r="BF492" s="90"/>
      <c r="BG492" s="90"/>
      <c r="BH492" s="90"/>
      <c r="BI492" s="90"/>
      <c r="BJ492" s="90"/>
      <c r="BK492" s="90"/>
      <c r="BL492" s="90"/>
      <c r="BM492" s="90"/>
      <c r="BN492" s="90"/>
      <c r="BO492" s="90"/>
      <c r="BP492" s="90"/>
      <c r="BQ492" s="90"/>
    </row>
    <row r="493" ht="12.75" customHeight="1" outlineLevel="1">
      <c r="A493" s="316"/>
      <c r="B493" s="90" t="s">
        <v>254</v>
      </c>
      <c r="C493" s="90"/>
      <c r="D493" s="90"/>
      <c r="E493" s="90"/>
      <c r="F493" s="90"/>
      <c r="G493" s="90"/>
      <c r="H493" s="90"/>
      <c r="I493" s="99"/>
      <c r="J493" s="99">
        <v>79351.9</v>
      </c>
      <c r="K493" s="99" t="str">
        <f t="shared" ref="K493:AV493" si="308">SUM(K490:K492)</f>
        <v>#REF!</v>
      </c>
      <c r="L493" s="99" t="str">
        <f t="shared" si="308"/>
        <v>#REF!</v>
      </c>
      <c r="M493" s="99" t="str">
        <f t="shared" si="308"/>
        <v>#REF!</v>
      </c>
      <c r="N493" s="99" t="str">
        <f t="shared" si="308"/>
        <v>#REF!</v>
      </c>
      <c r="O493" s="99" t="str">
        <f t="shared" si="308"/>
        <v>#REF!</v>
      </c>
      <c r="P493" s="99" t="str">
        <f t="shared" si="308"/>
        <v>#REF!</v>
      </c>
      <c r="Q493" s="99" t="str">
        <f t="shared" si="308"/>
        <v>#REF!</v>
      </c>
      <c r="R493" s="99" t="str">
        <f t="shared" si="308"/>
        <v>#REF!</v>
      </c>
      <c r="S493" s="99" t="str">
        <f t="shared" si="308"/>
        <v>#REF!</v>
      </c>
      <c r="T493" s="99" t="str">
        <f t="shared" si="308"/>
        <v>#REF!</v>
      </c>
      <c r="U493" s="99" t="str">
        <f t="shared" si="308"/>
        <v>#REF!</v>
      </c>
      <c r="V493" s="99" t="str">
        <f t="shared" si="308"/>
        <v>#REF!</v>
      </c>
      <c r="W493" s="99" t="str">
        <f t="shared" si="308"/>
        <v>#REF!</v>
      </c>
      <c r="X493" s="99" t="str">
        <f t="shared" si="308"/>
        <v>#REF!</v>
      </c>
      <c r="Y493" s="99" t="str">
        <f t="shared" si="308"/>
        <v>#REF!</v>
      </c>
      <c r="Z493" s="99" t="str">
        <f t="shared" si="308"/>
        <v>#REF!</v>
      </c>
      <c r="AA493" s="99" t="str">
        <f t="shared" si="308"/>
        <v>#REF!</v>
      </c>
      <c r="AB493" s="99" t="str">
        <f t="shared" si="308"/>
        <v>#REF!</v>
      </c>
      <c r="AC493" s="99" t="str">
        <f t="shared" si="308"/>
        <v>#REF!</v>
      </c>
      <c r="AD493" s="99" t="str">
        <f t="shared" si="308"/>
        <v>#REF!</v>
      </c>
      <c r="AE493" s="99" t="str">
        <f t="shared" si="308"/>
        <v>#REF!</v>
      </c>
      <c r="AF493" s="99" t="str">
        <f t="shared" si="308"/>
        <v>#REF!</v>
      </c>
      <c r="AG493" s="99" t="str">
        <f t="shared" si="308"/>
        <v>#REF!</v>
      </c>
      <c r="AH493" s="99" t="str">
        <f t="shared" si="308"/>
        <v>#REF!</v>
      </c>
      <c r="AI493" s="99" t="str">
        <f t="shared" si="308"/>
        <v>#REF!</v>
      </c>
      <c r="AJ493" s="99" t="str">
        <f t="shared" si="308"/>
        <v>#REF!</v>
      </c>
      <c r="AK493" s="99" t="str">
        <f t="shared" si="308"/>
        <v>#REF!</v>
      </c>
      <c r="AL493" s="99" t="str">
        <f t="shared" si="308"/>
        <v>#REF!</v>
      </c>
      <c r="AM493" s="99" t="str">
        <f t="shared" si="308"/>
        <v>#REF!</v>
      </c>
      <c r="AN493" s="99" t="str">
        <f t="shared" si="308"/>
        <v>#REF!</v>
      </c>
      <c r="AO493" s="99" t="str">
        <f t="shared" si="308"/>
        <v>#REF!</v>
      </c>
      <c r="AP493" s="99" t="str">
        <f t="shared" si="308"/>
        <v>#REF!</v>
      </c>
      <c r="AQ493" s="99" t="str">
        <f t="shared" si="308"/>
        <v>#REF!</v>
      </c>
      <c r="AR493" s="99" t="str">
        <f t="shared" si="308"/>
        <v>#REF!</v>
      </c>
      <c r="AS493" s="99" t="str">
        <f t="shared" si="308"/>
        <v>#REF!</v>
      </c>
      <c r="AT493" s="99" t="str">
        <f t="shared" si="308"/>
        <v>#REF!</v>
      </c>
      <c r="AU493" s="99" t="str">
        <f t="shared" si="308"/>
        <v>#REF!</v>
      </c>
      <c r="AV493" s="99" t="str">
        <f t="shared" si="308"/>
        <v>#REF!</v>
      </c>
      <c r="AW493" s="99"/>
      <c r="AX493" s="90"/>
      <c r="AY493" s="90"/>
      <c r="AZ493" s="90"/>
      <c r="BA493" s="90"/>
      <c r="BB493" s="90"/>
      <c r="BC493" s="90"/>
      <c r="BD493" s="90"/>
      <c r="BE493" s="90"/>
      <c r="BF493" s="90"/>
      <c r="BG493" s="90"/>
      <c r="BH493" s="90"/>
      <c r="BI493" s="90"/>
      <c r="BJ493" s="90"/>
      <c r="BK493" s="90"/>
      <c r="BL493" s="90"/>
      <c r="BM493" s="90"/>
      <c r="BN493" s="90"/>
      <c r="BO493" s="90"/>
      <c r="BP493" s="90"/>
      <c r="BQ493" s="90"/>
    </row>
    <row r="494" ht="12.75" customHeight="1" outlineLevel="1">
      <c r="A494" s="273"/>
      <c r="B494" s="274"/>
      <c r="C494" s="274"/>
      <c r="D494" s="274"/>
      <c r="E494" s="274"/>
      <c r="F494" s="274"/>
      <c r="G494" s="274"/>
      <c r="H494" s="274"/>
      <c r="I494" s="275"/>
      <c r="J494" s="275">
        <v>0.0</v>
      </c>
      <c r="K494" s="275" t="str">
        <f t="shared" ref="K494:AV494" si="309">K493-K487</f>
        <v>#REF!</v>
      </c>
      <c r="L494" s="275" t="str">
        <f t="shared" si="309"/>
        <v>#REF!</v>
      </c>
      <c r="M494" s="275" t="str">
        <f t="shared" si="309"/>
        <v>#REF!</v>
      </c>
      <c r="N494" s="275" t="str">
        <f t="shared" si="309"/>
        <v>#REF!</v>
      </c>
      <c r="O494" s="275" t="str">
        <f t="shared" si="309"/>
        <v>#REF!</v>
      </c>
      <c r="P494" s="275" t="str">
        <f t="shared" si="309"/>
        <v>#REF!</v>
      </c>
      <c r="Q494" s="275" t="str">
        <f t="shared" si="309"/>
        <v>#REF!</v>
      </c>
      <c r="R494" s="275" t="str">
        <f t="shared" si="309"/>
        <v>#REF!</v>
      </c>
      <c r="S494" s="275" t="str">
        <f t="shared" si="309"/>
        <v>#REF!</v>
      </c>
      <c r="T494" s="275" t="str">
        <f t="shared" si="309"/>
        <v>#REF!</v>
      </c>
      <c r="U494" s="275" t="str">
        <f t="shared" si="309"/>
        <v>#REF!</v>
      </c>
      <c r="V494" s="275" t="str">
        <f t="shared" si="309"/>
        <v>#REF!</v>
      </c>
      <c r="W494" s="275" t="str">
        <f t="shared" si="309"/>
        <v>#REF!</v>
      </c>
      <c r="X494" s="275" t="str">
        <f t="shared" si="309"/>
        <v>#REF!</v>
      </c>
      <c r="Y494" s="275" t="str">
        <f t="shared" si="309"/>
        <v>#REF!</v>
      </c>
      <c r="Z494" s="275" t="str">
        <f t="shared" si="309"/>
        <v>#REF!</v>
      </c>
      <c r="AA494" s="275" t="str">
        <f t="shared" si="309"/>
        <v>#REF!</v>
      </c>
      <c r="AB494" s="275" t="str">
        <f t="shared" si="309"/>
        <v>#REF!</v>
      </c>
      <c r="AC494" s="275" t="str">
        <f t="shared" si="309"/>
        <v>#REF!</v>
      </c>
      <c r="AD494" s="275" t="str">
        <f t="shared" si="309"/>
        <v>#REF!</v>
      </c>
      <c r="AE494" s="275" t="str">
        <f t="shared" si="309"/>
        <v>#REF!</v>
      </c>
      <c r="AF494" s="275" t="str">
        <f t="shared" si="309"/>
        <v>#REF!</v>
      </c>
      <c r="AG494" s="275" t="str">
        <f t="shared" si="309"/>
        <v>#REF!</v>
      </c>
      <c r="AH494" s="275" t="str">
        <f t="shared" si="309"/>
        <v>#REF!</v>
      </c>
      <c r="AI494" s="275" t="str">
        <f t="shared" si="309"/>
        <v>#REF!</v>
      </c>
      <c r="AJ494" s="275" t="str">
        <f t="shared" si="309"/>
        <v>#REF!</v>
      </c>
      <c r="AK494" s="275" t="str">
        <f t="shared" si="309"/>
        <v>#REF!</v>
      </c>
      <c r="AL494" s="275" t="str">
        <f t="shared" si="309"/>
        <v>#REF!</v>
      </c>
      <c r="AM494" s="275" t="str">
        <f t="shared" si="309"/>
        <v>#REF!</v>
      </c>
      <c r="AN494" s="275" t="str">
        <f t="shared" si="309"/>
        <v>#REF!</v>
      </c>
      <c r="AO494" s="275" t="str">
        <f t="shared" si="309"/>
        <v>#REF!</v>
      </c>
      <c r="AP494" s="275" t="str">
        <f t="shared" si="309"/>
        <v>#REF!</v>
      </c>
      <c r="AQ494" s="275" t="str">
        <f t="shared" si="309"/>
        <v>#REF!</v>
      </c>
      <c r="AR494" s="275" t="str">
        <f t="shared" si="309"/>
        <v>#REF!</v>
      </c>
      <c r="AS494" s="275" t="str">
        <f t="shared" si="309"/>
        <v>#REF!</v>
      </c>
      <c r="AT494" s="275" t="str">
        <f t="shared" si="309"/>
        <v>#REF!</v>
      </c>
      <c r="AU494" s="275" t="str">
        <f t="shared" si="309"/>
        <v>#REF!</v>
      </c>
      <c r="AV494" s="275" t="str">
        <f t="shared" si="309"/>
        <v>#REF!</v>
      </c>
      <c r="AW494" s="274"/>
      <c r="AX494" s="90"/>
      <c r="AY494" s="90"/>
      <c r="AZ494" s="90"/>
      <c r="BA494" s="90"/>
      <c r="BB494" s="90"/>
      <c r="BC494" s="90"/>
      <c r="BD494" s="90"/>
      <c r="BE494" s="90"/>
      <c r="BF494" s="90"/>
      <c r="BG494" s="90"/>
      <c r="BH494" s="90"/>
      <c r="BI494" s="90"/>
      <c r="BJ494" s="90"/>
      <c r="BK494" s="90"/>
      <c r="BL494" s="90"/>
      <c r="BM494" s="90"/>
      <c r="BN494" s="90"/>
      <c r="BO494" s="90"/>
      <c r="BP494" s="90"/>
      <c r="BQ494" s="90"/>
    </row>
    <row r="495" ht="12.75" customHeight="1" outlineLevel="1">
      <c r="I495" s="90"/>
      <c r="K495" s="90"/>
      <c r="L495" s="90"/>
      <c r="M495" s="90"/>
      <c r="N495" s="90"/>
      <c r="O495" s="90"/>
      <c r="P495" s="90"/>
      <c r="Q495" s="90"/>
      <c r="R495" s="90"/>
      <c r="S495" s="90"/>
      <c r="T495" s="90"/>
      <c r="U495" s="90"/>
      <c r="V495" s="90"/>
      <c r="W495" s="90"/>
      <c r="X495" s="90"/>
      <c r="Y495" s="90"/>
      <c r="Z495" s="90"/>
      <c r="AA495" s="90"/>
      <c r="AB495" s="90"/>
      <c r="AC495" s="90"/>
      <c r="AD495" s="90"/>
      <c r="AE495" s="90"/>
      <c r="AF495" s="90"/>
      <c r="AG495" s="90"/>
      <c r="AH495" s="90"/>
      <c r="AI495" s="90"/>
      <c r="AJ495" s="90"/>
      <c r="AK495" s="90"/>
      <c r="AL495" s="90"/>
      <c r="AM495" s="90"/>
      <c r="AN495" s="90"/>
      <c r="AO495" s="90"/>
      <c r="AP495" s="90"/>
      <c r="AQ495" s="90"/>
      <c r="AR495" s="90"/>
      <c r="AS495" s="90"/>
      <c r="AT495" s="90"/>
      <c r="AU495" s="90"/>
      <c r="AV495" s="90"/>
      <c r="AX495" s="90"/>
      <c r="AY495" s="90"/>
      <c r="AZ495" s="90"/>
      <c r="BA495" s="90"/>
      <c r="BB495" s="90"/>
      <c r="BC495" s="90"/>
      <c r="BD495" s="90"/>
      <c r="BE495" s="90"/>
      <c r="BF495" s="90"/>
      <c r="BG495" s="90"/>
      <c r="BH495" s="90"/>
      <c r="BI495" s="90"/>
      <c r="BJ495" s="90"/>
      <c r="BK495" s="90"/>
      <c r="BL495" s="90"/>
      <c r="BM495" s="90"/>
      <c r="BN495" s="90"/>
      <c r="BO495" s="90"/>
      <c r="BP495" s="90"/>
      <c r="BQ495" s="90"/>
    </row>
    <row r="496" ht="12.75" customHeight="1">
      <c r="I496" s="90"/>
      <c r="K496" s="90"/>
      <c r="L496" s="90"/>
      <c r="M496" s="90"/>
      <c r="N496" s="90"/>
      <c r="O496" s="90"/>
      <c r="P496" s="90"/>
      <c r="Q496" s="90"/>
      <c r="R496" s="90"/>
      <c r="S496" s="90"/>
      <c r="T496" s="90"/>
      <c r="U496" s="90"/>
      <c r="V496" s="90"/>
      <c r="W496" s="90"/>
      <c r="X496" s="90"/>
      <c r="Y496" s="90"/>
      <c r="Z496" s="90"/>
      <c r="AA496" s="90"/>
      <c r="AB496" s="90"/>
      <c r="AC496" s="90"/>
      <c r="AD496" s="90"/>
      <c r="AE496" s="90"/>
      <c r="AF496" s="90"/>
      <c r="AG496" s="90"/>
      <c r="AH496" s="90"/>
      <c r="AI496" s="90"/>
      <c r="AJ496" s="90"/>
      <c r="AK496" s="90"/>
      <c r="AL496" s="90"/>
      <c r="AM496" s="90"/>
      <c r="AN496" s="90"/>
      <c r="AO496" s="90"/>
      <c r="AP496" s="90"/>
      <c r="AQ496" s="90"/>
      <c r="AR496" s="90"/>
      <c r="AS496" s="90"/>
      <c r="AT496" s="90"/>
      <c r="AU496" s="90"/>
      <c r="AV496" s="90"/>
      <c r="AX496" s="90"/>
      <c r="AY496" s="90"/>
      <c r="AZ496" s="90"/>
      <c r="BA496" s="90"/>
      <c r="BB496" s="90"/>
      <c r="BC496" s="90"/>
      <c r="BD496" s="90"/>
      <c r="BE496" s="90"/>
      <c r="BF496" s="90"/>
      <c r="BG496" s="90"/>
      <c r="BH496" s="90"/>
      <c r="BI496" s="90"/>
      <c r="BJ496" s="90"/>
      <c r="BK496" s="90"/>
      <c r="BL496" s="90"/>
      <c r="BM496" s="90"/>
      <c r="BN496" s="90"/>
      <c r="BO496" s="90"/>
      <c r="BP496" s="90"/>
      <c r="BQ496" s="90"/>
    </row>
    <row r="497" ht="12.75" customHeight="1">
      <c r="I497" s="90"/>
      <c r="L497" s="99"/>
      <c r="AX497" s="90"/>
      <c r="AY497" s="90"/>
      <c r="AZ497" s="90"/>
      <c r="BA497" s="90"/>
      <c r="BB497" s="90"/>
      <c r="BC497" s="90"/>
      <c r="BD497" s="90"/>
      <c r="BE497" s="90"/>
      <c r="BF497" s="90"/>
      <c r="BG497" s="90"/>
      <c r="BH497" s="90"/>
      <c r="BI497" s="90"/>
      <c r="BJ497" s="90"/>
      <c r="BK497" s="90"/>
      <c r="BL497" s="90"/>
      <c r="BM497" s="90"/>
      <c r="BN497" s="90"/>
      <c r="BO497" s="90"/>
      <c r="BP497" s="90"/>
      <c r="BQ497" s="90"/>
    </row>
    <row r="498" ht="12.75" customHeight="1">
      <c r="I498" s="90"/>
      <c r="L498" s="99"/>
      <c r="AX498" s="90"/>
      <c r="AY498" s="90"/>
      <c r="AZ498" s="90"/>
      <c r="BA498" s="90"/>
      <c r="BB498" s="90"/>
      <c r="BC498" s="90"/>
      <c r="BD498" s="90"/>
      <c r="BE498" s="90"/>
      <c r="BF498" s="90"/>
      <c r="BG498" s="90"/>
      <c r="BH498" s="90"/>
      <c r="BI498" s="90"/>
      <c r="BJ498" s="90"/>
      <c r="BK498" s="90"/>
      <c r="BL498" s="90"/>
      <c r="BM498" s="90"/>
      <c r="BN498" s="90"/>
      <c r="BO498" s="90"/>
      <c r="BP498" s="90"/>
      <c r="BQ498" s="90"/>
    </row>
    <row r="499" ht="12.75" customHeight="1">
      <c r="I499" s="90"/>
      <c r="AX499" s="90"/>
      <c r="AY499" s="90"/>
      <c r="AZ499" s="90"/>
      <c r="BA499" s="90"/>
      <c r="BB499" s="90"/>
      <c r="BC499" s="90"/>
      <c r="BD499" s="90"/>
      <c r="BE499" s="90"/>
      <c r="BF499" s="90"/>
      <c r="BG499" s="90"/>
      <c r="BH499" s="90"/>
      <c r="BI499" s="90"/>
      <c r="BJ499" s="90"/>
      <c r="BK499" s="90"/>
      <c r="BL499" s="90"/>
      <c r="BM499" s="90"/>
      <c r="BN499" s="90"/>
      <c r="BO499" s="90"/>
      <c r="BP499" s="90"/>
      <c r="BQ499" s="90"/>
    </row>
    <row r="500" ht="12.75" customHeight="1">
      <c r="I500" s="90"/>
      <c r="AX500" s="90"/>
      <c r="AY500" s="90"/>
      <c r="AZ500" s="90"/>
      <c r="BA500" s="90"/>
      <c r="BB500" s="90"/>
      <c r="BC500" s="90"/>
      <c r="BD500" s="90"/>
      <c r="BE500" s="90"/>
      <c r="BF500" s="90"/>
      <c r="BG500" s="90"/>
      <c r="BH500" s="90"/>
      <c r="BI500" s="90"/>
      <c r="BJ500" s="90"/>
      <c r="BK500" s="90"/>
      <c r="BL500" s="90"/>
      <c r="BM500" s="90"/>
      <c r="BN500" s="90"/>
      <c r="BO500" s="90"/>
      <c r="BP500" s="90"/>
      <c r="BQ500" s="90"/>
    </row>
    <row r="501" ht="12.75" customHeight="1">
      <c r="I501" s="90"/>
      <c r="AX501" s="90"/>
      <c r="AY501" s="90"/>
      <c r="AZ501" s="90"/>
      <c r="BA501" s="90"/>
      <c r="BB501" s="90"/>
      <c r="BC501" s="90"/>
      <c r="BD501" s="90"/>
      <c r="BE501" s="90"/>
      <c r="BF501" s="90"/>
      <c r="BG501" s="90"/>
      <c r="BH501" s="90"/>
      <c r="BI501" s="90"/>
      <c r="BJ501" s="90"/>
      <c r="BK501" s="90"/>
      <c r="BL501" s="90"/>
      <c r="BM501" s="90"/>
      <c r="BN501" s="90"/>
      <c r="BO501" s="90"/>
      <c r="BP501" s="90"/>
      <c r="BQ501" s="90"/>
    </row>
    <row r="502" ht="12.75" customHeight="1">
      <c r="I502" s="90"/>
      <c r="AX502" s="90"/>
      <c r="AY502" s="90"/>
      <c r="AZ502" s="90"/>
      <c r="BA502" s="90"/>
      <c r="BB502" s="90"/>
      <c r="BC502" s="90"/>
      <c r="BD502" s="90"/>
      <c r="BE502" s="90"/>
      <c r="BF502" s="90"/>
      <c r="BG502" s="90"/>
      <c r="BH502" s="90"/>
      <c r="BI502" s="90"/>
      <c r="BJ502" s="90"/>
      <c r="BK502" s="90"/>
      <c r="BL502" s="90"/>
      <c r="BM502" s="90"/>
      <c r="BN502" s="90"/>
      <c r="BO502" s="90"/>
      <c r="BP502" s="90"/>
      <c r="BQ502" s="90"/>
    </row>
    <row r="503" ht="12.75" customHeight="1">
      <c r="I503" s="90"/>
      <c r="AX503" s="90"/>
      <c r="AY503" s="90"/>
      <c r="AZ503" s="90"/>
      <c r="BA503" s="90"/>
      <c r="BB503" s="90"/>
      <c r="BC503" s="90"/>
      <c r="BD503" s="90"/>
      <c r="BE503" s="90"/>
      <c r="BF503" s="90"/>
      <c r="BG503" s="90"/>
      <c r="BH503" s="90"/>
      <c r="BI503" s="90"/>
      <c r="BJ503" s="90"/>
      <c r="BK503" s="90"/>
      <c r="BL503" s="90"/>
      <c r="BM503" s="90"/>
      <c r="BN503" s="90"/>
      <c r="BO503" s="90"/>
      <c r="BP503" s="90"/>
      <c r="BQ503" s="90"/>
    </row>
    <row r="504" ht="12.75" customHeight="1">
      <c r="I504" s="90"/>
      <c r="AX504" s="90"/>
      <c r="AY504" s="90"/>
      <c r="AZ504" s="90"/>
      <c r="BA504" s="90"/>
      <c r="BB504" s="90"/>
      <c r="BC504" s="90"/>
      <c r="BD504" s="90"/>
      <c r="BE504" s="90"/>
      <c r="BF504" s="90"/>
      <c r="BG504" s="90"/>
      <c r="BH504" s="90"/>
      <c r="BI504" s="90"/>
      <c r="BJ504" s="90"/>
      <c r="BK504" s="90"/>
      <c r="BL504" s="90"/>
      <c r="BM504" s="90"/>
      <c r="BN504" s="90"/>
      <c r="BO504" s="90"/>
      <c r="BP504" s="90"/>
      <c r="BQ504" s="90"/>
    </row>
    <row r="505" ht="12.75" customHeight="1">
      <c r="I505" s="90"/>
      <c r="AX505" s="90"/>
      <c r="AY505" s="90"/>
      <c r="AZ505" s="90"/>
      <c r="BA505" s="90"/>
      <c r="BB505" s="90"/>
      <c r="BC505" s="90"/>
      <c r="BD505" s="90"/>
      <c r="BE505" s="90"/>
      <c r="BF505" s="90"/>
      <c r="BG505" s="90"/>
      <c r="BH505" s="90"/>
      <c r="BI505" s="90"/>
      <c r="BJ505" s="90"/>
      <c r="BK505" s="90"/>
      <c r="BL505" s="90"/>
      <c r="BM505" s="90"/>
      <c r="BN505" s="90"/>
      <c r="BO505" s="90"/>
      <c r="BP505" s="90"/>
      <c r="BQ505" s="90"/>
    </row>
    <row r="506" ht="12.75" customHeight="1">
      <c r="I506" s="90"/>
      <c r="AX506" s="90"/>
      <c r="AY506" s="90"/>
      <c r="AZ506" s="90"/>
      <c r="BA506" s="90"/>
      <c r="BB506" s="90"/>
      <c r="BC506" s="90"/>
      <c r="BD506" s="90"/>
      <c r="BE506" s="90"/>
      <c r="BF506" s="90"/>
      <c r="BG506" s="90"/>
      <c r="BH506" s="90"/>
      <c r="BI506" s="90"/>
      <c r="BJ506" s="90"/>
      <c r="BK506" s="90"/>
      <c r="BL506" s="90"/>
      <c r="BM506" s="90"/>
      <c r="BN506" s="90"/>
      <c r="BO506" s="90"/>
      <c r="BP506" s="90"/>
      <c r="BQ506" s="90"/>
    </row>
    <row r="507" ht="12.75" customHeight="1">
      <c r="I507" s="90"/>
      <c r="AX507" s="90"/>
      <c r="AY507" s="90"/>
      <c r="AZ507" s="90"/>
      <c r="BA507" s="90"/>
      <c r="BB507" s="90"/>
      <c r="BC507" s="90"/>
      <c r="BD507" s="90"/>
      <c r="BE507" s="90"/>
      <c r="BF507" s="90"/>
      <c r="BG507" s="90"/>
      <c r="BH507" s="90"/>
      <c r="BI507" s="90"/>
      <c r="BJ507" s="90"/>
      <c r="BK507" s="90"/>
      <c r="BL507" s="90"/>
      <c r="BM507" s="90"/>
      <c r="BN507" s="90"/>
      <c r="BO507" s="90"/>
      <c r="BP507" s="90"/>
      <c r="BQ507" s="90"/>
    </row>
    <row r="508" ht="12.75" customHeight="1">
      <c r="I508" s="90"/>
      <c r="AX508" s="90"/>
      <c r="AY508" s="90"/>
      <c r="AZ508" s="90"/>
      <c r="BA508" s="90"/>
      <c r="BB508" s="90"/>
      <c r="BC508" s="90"/>
      <c r="BD508" s="90"/>
      <c r="BE508" s="90"/>
      <c r="BF508" s="90"/>
      <c r="BG508" s="90"/>
      <c r="BH508" s="90"/>
      <c r="BI508" s="90"/>
      <c r="BJ508" s="90"/>
      <c r="BK508" s="90"/>
      <c r="BL508" s="90"/>
      <c r="BM508" s="90"/>
      <c r="BN508" s="90"/>
      <c r="BO508" s="90"/>
      <c r="BP508" s="90"/>
      <c r="BQ508" s="90"/>
    </row>
    <row r="509" ht="12.75" customHeight="1">
      <c r="I509" s="90"/>
      <c r="AX509" s="90"/>
      <c r="AY509" s="90"/>
      <c r="AZ509" s="90"/>
      <c r="BA509" s="90"/>
      <c r="BB509" s="90"/>
      <c r="BC509" s="90"/>
      <c r="BD509" s="90"/>
      <c r="BE509" s="90"/>
      <c r="BF509" s="90"/>
      <c r="BG509" s="90"/>
      <c r="BH509" s="90"/>
      <c r="BI509" s="90"/>
      <c r="BJ509" s="90"/>
      <c r="BK509" s="90"/>
      <c r="BL509" s="90"/>
      <c r="BM509" s="90"/>
      <c r="BN509" s="90"/>
      <c r="BO509" s="90"/>
      <c r="BP509" s="90"/>
      <c r="BQ509" s="90"/>
    </row>
    <row r="510" ht="12.75" customHeight="1">
      <c r="I510" s="90"/>
      <c r="AX510" s="90"/>
      <c r="AY510" s="90"/>
      <c r="AZ510" s="90"/>
      <c r="BA510" s="90"/>
      <c r="BB510" s="90"/>
      <c r="BC510" s="90"/>
      <c r="BD510" s="90"/>
      <c r="BE510" s="90"/>
      <c r="BF510" s="90"/>
      <c r="BG510" s="90"/>
      <c r="BH510" s="90"/>
      <c r="BI510" s="90"/>
      <c r="BJ510" s="90"/>
      <c r="BK510" s="90"/>
      <c r="BL510" s="90"/>
      <c r="BM510" s="90"/>
      <c r="BN510" s="90"/>
      <c r="BO510" s="90"/>
      <c r="BP510" s="90"/>
      <c r="BQ510" s="90"/>
    </row>
    <row r="511" ht="12.75" customHeight="1">
      <c r="I511" s="90"/>
      <c r="AX511" s="90"/>
      <c r="AY511" s="90"/>
      <c r="AZ511" s="90"/>
      <c r="BA511" s="90"/>
      <c r="BB511" s="90"/>
      <c r="BC511" s="90"/>
      <c r="BD511" s="90"/>
      <c r="BE511" s="90"/>
      <c r="BF511" s="90"/>
      <c r="BG511" s="90"/>
      <c r="BH511" s="90"/>
      <c r="BI511" s="90"/>
      <c r="BJ511" s="90"/>
      <c r="BK511" s="90"/>
      <c r="BL511" s="90"/>
      <c r="BM511" s="90"/>
      <c r="BN511" s="90"/>
      <c r="BO511" s="90"/>
      <c r="BP511" s="90"/>
      <c r="BQ511" s="90"/>
    </row>
    <row r="512" ht="12.75" customHeight="1">
      <c r="I512" s="90"/>
      <c r="AX512" s="90"/>
      <c r="AY512" s="90"/>
      <c r="AZ512" s="90"/>
      <c r="BA512" s="90"/>
      <c r="BB512" s="90"/>
      <c r="BC512" s="90"/>
      <c r="BD512" s="90"/>
      <c r="BE512" s="90"/>
      <c r="BF512" s="90"/>
      <c r="BG512" s="90"/>
      <c r="BH512" s="90"/>
      <c r="BI512" s="90"/>
      <c r="BJ512" s="90"/>
      <c r="BK512" s="90"/>
      <c r="BL512" s="90"/>
      <c r="BM512" s="90"/>
      <c r="BN512" s="90"/>
      <c r="BO512" s="90"/>
      <c r="BP512" s="90"/>
      <c r="BQ512" s="90"/>
    </row>
    <row r="513" ht="12.75" customHeight="1">
      <c r="I513" s="90"/>
      <c r="AX513" s="90"/>
      <c r="AY513" s="90"/>
      <c r="AZ513" s="90"/>
      <c r="BA513" s="90"/>
      <c r="BB513" s="90"/>
      <c r="BC513" s="90"/>
      <c r="BD513" s="90"/>
      <c r="BE513" s="90"/>
      <c r="BF513" s="90"/>
      <c r="BG513" s="90"/>
      <c r="BH513" s="90"/>
      <c r="BI513" s="90"/>
      <c r="BJ513" s="90"/>
      <c r="BK513" s="90"/>
      <c r="BL513" s="90"/>
      <c r="BM513" s="90"/>
      <c r="BN513" s="90"/>
      <c r="BO513" s="90"/>
      <c r="BP513" s="90"/>
      <c r="BQ513" s="90"/>
    </row>
    <row r="514" ht="12.75" customHeight="1">
      <c r="I514" s="90"/>
      <c r="AX514" s="90"/>
      <c r="AY514" s="90"/>
      <c r="AZ514" s="90"/>
      <c r="BA514" s="90"/>
      <c r="BB514" s="90"/>
      <c r="BC514" s="90"/>
      <c r="BD514" s="90"/>
      <c r="BE514" s="90"/>
      <c r="BF514" s="90"/>
      <c r="BG514" s="90"/>
      <c r="BH514" s="90"/>
      <c r="BI514" s="90"/>
      <c r="BJ514" s="90"/>
      <c r="BK514" s="90"/>
      <c r="BL514" s="90"/>
      <c r="BM514" s="90"/>
      <c r="BN514" s="90"/>
      <c r="BO514" s="90"/>
      <c r="BP514" s="90"/>
      <c r="BQ514" s="90"/>
    </row>
    <row r="515" ht="12.75" customHeight="1">
      <c r="I515" s="90"/>
      <c r="AX515" s="90"/>
      <c r="AY515" s="90"/>
      <c r="AZ515" s="90"/>
      <c r="BA515" s="90"/>
      <c r="BB515" s="90"/>
      <c r="BC515" s="90"/>
      <c r="BD515" s="90"/>
      <c r="BE515" s="90"/>
      <c r="BF515" s="90"/>
      <c r="BG515" s="90"/>
      <c r="BH515" s="90"/>
      <c r="BI515" s="90"/>
      <c r="BJ515" s="90"/>
      <c r="BK515" s="90"/>
      <c r="BL515" s="90"/>
      <c r="BM515" s="90"/>
      <c r="BN515" s="90"/>
      <c r="BO515" s="90"/>
      <c r="BP515" s="90"/>
      <c r="BQ515" s="90"/>
    </row>
    <row r="516" ht="12.75" customHeight="1">
      <c r="I516" s="90"/>
      <c r="AX516" s="90"/>
      <c r="AY516" s="90"/>
      <c r="AZ516" s="90"/>
      <c r="BA516" s="90"/>
      <c r="BB516" s="90"/>
      <c r="BC516" s="90"/>
      <c r="BD516" s="90"/>
      <c r="BE516" s="90"/>
      <c r="BF516" s="90"/>
      <c r="BG516" s="90"/>
      <c r="BH516" s="90"/>
      <c r="BI516" s="90"/>
      <c r="BJ516" s="90"/>
      <c r="BK516" s="90"/>
      <c r="BL516" s="90"/>
      <c r="BM516" s="90"/>
      <c r="BN516" s="90"/>
      <c r="BO516" s="90"/>
      <c r="BP516" s="90"/>
      <c r="BQ516" s="90"/>
    </row>
    <row r="517" ht="12.75" customHeight="1">
      <c r="I517" s="90"/>
      <c r="AX517" s="90"/>
      <c r="AY517" s="90"/>
      <c r="AZ517" s="90"/>
      <c r="BA517" s="90"/>
      <c r="BB517" s="90"/>
      <c r="BC517" s="90"/>
      <c r="BD517" s="90"/>
      <c r="BE517" s="90"/>
      <c r="BF517" s="90"/>
      <c r="BG517" s="90"/>
      <c r="BH517" s="90"/>
      <c r="BI517" s="90"/>
      <c r="BJ517" s="90"/>
      <c r="BK517" s="90"/>
      <c r="BL517" s="90"/>
      <c r="BM517" s="90"/>
      <c r="BN517" s="90"/>
      <c r="BO517" s="90"/>
      <c r="BP517" s="90"/>
      <c r="BQ517" s="90"/>
    </row>
    <row r="518" ht="12.75" customHeight="1">
      <c r="I518" s="90"/>
      <c r="AX518" s="90"/>
      <c r="AY518" s="90"/>
      <c r="AZ518" s="90"/>
      <c r="BA518" s="90"/>
      <c r="BB518" s="90"/>
      <c r="BC518" s="90"/>
      <c r="BD518" s="90"/>
      <c r="BE518" s="90"/>
      <c r="BF518" s="90"/>
      <c r="BG518" s="90"/>
      <c r="BH518" s="90"/>
      <c r="BI518" s="90"/>
      <c r="BJ518" s="90"/>
      <c r="BK518" s="90"/>
      <c r="BL518" s="90"/>
      <c r="BM518" s="90"/>
      <c r="BN518" s="90"/>
      <c r="BO518" s="90"/>
      <c r="BP518" s="90"/>
      <c r="BQ518" s="90"/>
    </row>
    <row r="519" ht="12.75" customHeight="1">
      <c r="I519" s="90"/>
      <c r="AX519" s="90"/>
      <c r="AY519" s="90"/>
      <c r="AZ519" s="90"/>
      <c r="BA519" s="90"/>
      <c r="BB519" s="90"/>
      <c r="BC519" s="90"/>
      <c r="BD519" s="90"/>
      <c r="BE519" s="90"/>
      <c r="BF519" s="90"/>
      <c r="BG519" s="90"/>
      <c r="BH519" s="90"/>
      <c r="BI519" s="90"/>
      <c r="BJ519" s="90"/>
      <c r="BK519" s="90"/>
      <c r="BL519" s="90"/>
      <c r="BM519" s="90"/>
      <c r="BN519" s="90"/>
      <c r="BO519" s="90"/>
      <c r="BP519" s="90"/>
      <c r="BQ519" s="90"/>
    </row>
    <row r="520" ht="12.75" customHeight="1">
      <c r="I520" s="90"/>
      <c r="AX520" s="90"/>
      <c r="AY520" s="90"/>
      <c r="AZ520" s="90"/>
      <c r="BA520" s="90"/>
      <c r="BB520" s="90"/>
      <c r="BC520" s="90"/>
      <c r="BD520" s="90"/>
      <c r="BE520" s="90"/>
      <c r="BF520" s="90"/>
      <c r="BG520" s="90"/>
      <c r="BH520" s="90"/>
      <c r="BI520" s="90"/>
      <c r="BJ520" s="90"/>
      <c r="BK520" s="90"/>
      <c r="BL520" s="90"/>
      <c r="BM520" s="90"/>
      <c r="BN520" s="90"/>
      <c r="BO520" s="90"/>
      <c r="BP520" s="90"/>
      <c r="BQ520" s="90"/>
    </row>
    <row r="521" ht="12.75" customHeight="1">
      <c r="I521" s="90"/>
      <c r="AX521" s="90"/>
      <c r="AY521" s="90"/>
      <c r="AZ521" s="90"/>
      <c r="BA521" s="90"/>
      <c r="BB521" s="90"/>
      <c r="BC521" s="90"/>
      <c r="BD521" s="90"/>
      <c r="BE521" s="90"/>
      <c r="BF521" s="90"/>
      <c r="BG521" s="90"/>
      <c r="BH521" s="90"/>
      <c r="BI521" s="90"/>
      <c r="BJ521" s="90"/>
      <c r="BK521" s="90"/>
      <c r="BL521" s="90"/>
      <c r="BM521" s="90"/>
      <c r="BN521" s="90"/>
      <c r="BO521" s="90"/>
      <c r="BP521" s="90"/>
      <c r="BQ521" s="90"/>
    </row>
    <row r="522" ht="12.75" customHeight="1">
      <c r="I522" s="90"/>
      <c r="AX522" s="90"/>
      <c r="AY522" s="90"/>
      <c r="AZ522" s="90"/>
      <c r="BA522" s="90"/>
      <c r="BB522" s="90"/>
      <c r="BC522" s="90"/>
      <c r="BD522" s="90"/>
      <c r="BE522" s="90"/>
      <c r="BF522" s="90"/>
      <c r="BG522" s="90"/>
      <c r="BH522" s="90"/>
      <c r="BI522" s="90"/>
      <c r="BJ522" s="90"/>
      <c r="BK522" s="90"/>
      <c r="BL522" s="90"/>
      <c r="BM522" s="90"/>
      <c r="BN522" s="90"/>
      <c r="BO522" s="90"/>
      <c r="BP522" s="90"/>
      <c r="BQ522" s="90"/>
    </row>
    <row r="523" ht="12.75" customHeight="1">
      <c r="I523" s="90"/>
      <c r="AX523" s="90"/>
      <c r="AY523" s="90"/>
      <c r="AZ523" s="90"/>
      <c r="BA523" s="90"/>
      <c r="BB523" s="90"/>
      <c r="BC523" s="90"/>
      <c r="BD523" s="90"/>
      <c r="BE523" s="90"/>
      <c r="BF523" s="90"/>
      <c r="BG523" s="90"/>
      <c r="BH523" s="90"/>
      <c r="BI523" s="90"/>
      <c r="BJ523" s="90"/>
      <c r="BK523" s="90"/>
      <c r="BL523" s="90"/>
      <c r="BM523" s="90"/>
      <c r="BN523" s="90"/>
      <c r="BO523" s="90"/>
      <c r="BP523" s="90"/>
      <c r="BQ523" s="90"/>
    </row>
    <row r="524" ht="12.75" customHeight="1">
      <c r="I524" s="90"/>
      <c r="AX524" s="90"/>
      <c r="AY524" s="90"/>
      <c r="AZ524" s="90"/>
      <c r="BA524" s="90"/>
      <c r="BB524" s="90"/>
      <c r="BC524" s="90"/>
      <c r="BD524" s="90"/>
      <c r="BE524" s="90"/>
      <c r="BF524" s="90"/>
      <c r="BG524" s="90"/>
      <c r="BH524" s="90"/>
      <c r="BI524" s="90"/>
      <c r="BJ524" s="90"/>
      <c r="BK524" s="90"/>
      <c r="BL524" s="90"/>
      <c r="BM524" s="90"/>
      <c r="BN524" s="90"/>
      <c r="BO524" s="90"/>
      <c r="BP524" s="90"/>
      <c r="BQ524" s="90"/>
    </row>
    <row r="525" ht="12.75" customHeight="1">
      <c r="I525" s="90"/>
      <c r="AX525" s="90"/>
      <c r="AY525" s="90"/>
      <c r="AZ525" s="90"/>
      <c r="BA525" s="90"/>
      <c r="BB525" s="90"/>
      <c r="BC525" s="90"/>
      <c r="BD525" s="90"/>
      <c r="BE525" s="90"/>
      <c r="BF525" s="90"/>
      <c r="BG525" s="90"/>
      <c r="BH525" s="90"/>
      <c r="BI525" s="90"/>
      <c r="BJ525" s="90"/>
      <c r="BK525" s="90"/>
      <c r="BL525" s="90"/>
      <c r="BM525" s="90"/>
      <c r="BN525" s="90"/>
      <c r="BO525" s="90"/>
      <c r="BP525" s="90"/>
      <c r="BQ525" s="90"/>
    </row>
    <row r="526" ht="12.75" customHeight="1">
      <c r="I526" s="90"/>
      <c r="AX526" s="90"/>
      <c r="AY526" s="90"/>
      <c r="AZ526" s="90"/>
      <c r="BA526" s="90"/>
      <c r="BB526" s="90"/>
      <c r="BC526" s="90"/>
      <c r="BD526" s="90"/>
      <c r="BE526" s="90"/>
      <c r="BF526" s="90"/>
      <c r="BG526" s="90"/>
      <c r="BH526" s="90"/>
      <c r="BI526" s="90"/>
      <c r="BJ526" s="90"/>
      <c r="BK526" s="90"/>
      <c r="BL526" s="90"/>
      <c r="BM526" s="90"/>
      <c r="BN526" s="90"/>
      <c r="BO526" s="90"/>
      <c r="BP526" s="90"/>
      <c r="BQ526" s="90"/>
    </row>
    <row r="527" ht="12.75" customHeight="1">
      <c r="I527" s="90"/>
      <c r="AX527" s="90"/>
      <c r="AY527" s="90"/>
      <c r="AZ527" s="90"/>
      <c r="BA527" s="90"/>
      <c r="BB527" s="90"/>
      <c r="BC527" s="90"/>
      <c r="BD527" s="90"/>
      <c r="BE527" s="90"/>
      <c r="BF527" s="90"/>
      <c r="BG527" s="90"/>
      <c r="BH527" s="90"/>
      <c r="BI527" s="90"/>
      <c r="BJ527" s="90"/>
      <c r="BK527" s="90"/>
      <c r="BL527" s="90"/>
      <c r="BM527" s="90"/>
      <c r="BN527" s="90"/>
      <c r="BO527" s="90"/>
      <c r="BP527" s="90"/>
      <c r="BQ527" s="90"/>
    </row>
    <row r="528" ht="12.75" customHeight="1">
      <c r="I528" s="90"/>
      <c r="AX528" s="90"/>
      <c r="AY528" s="90"/>
      <c r="AZ528" s="90"/>
      <c r="BA528" s="90"/>
      <c r="BB528" s="90"/>
      <c r="BC528" s="90"/>
      <c r="BD528" s="90"/>
      <c r="BE528" s="90"/>
      <c r="BF528" s="90"/>
      <c r="BG528" s="90"/>
      <c r="BH528" s="90"/>
      <c r="BI528" s="90"/>
      <c r="BJ528" s="90"/>
      <c r="BK528" s="90"/>
      <c r="BL528" s="90"/>
      <c r="BM528" s="90"/>
      <c r="BN528" s="90"/>
      <c r="BO528" s="90"/>
      <c r="BP528" s="90"/>
      <c r="BQ528" s="90"/>
    </row>
    <row r="529" ht="12.75" customHeight="1">
      <c r="I529" s="90"/>
      <c r="AX529" s="90"/>
      <c r="AY529" s="90"/>
      <c r="AZ529" s="90"/>
      <c r="BA529" s="90"/>
      <c r="BB529" s="90"/>
      <c r="BC529" s="90"/>
      <c r="BD529" s="90"/>
      <c r="BE529" s="90"/>
      <c r="BF529" s="90"/>
      <c r="BG529" s="90"/>
      <c r="BH529" s="90"/>
      <c r="BI529" s="90"/>
      <c r="BJ529" s="90"/>
      <c r="BK529" s="90"/>
      <c r="BL529" s="90"/>
      <c r="BM529" s="90"/>
      <c r="BN529" s="90"/>
      <c r="BO529" s="90"/>
      <c r="BP529" s="90"/>
      <c r="BQ529" s="90"/>
    </row>
    <row r="530" ht="12.75" customHeight="1">
      <c r="I530" s="90"/>
      <c r="AX530" s="90"/>
      <c r="AY530" s="90"/>
      <c r="AZ530" s="90"/>
      <c r="BA530" s="90"/>
      <c r="BB530" s="90"/>
      <c r="BC530" s="90"/>
      <c r="BD530" s="90"/>
      <c r="BE530" s="90"/>
      <c r="BF530" s="90"/>
      <c r="BG530" s="90"/>
      <c r="BH530" s="90"/>
      <c r="BI530" s="90"/>
      <c r="BJ530" s="90"/>
      <c r="BK530" s="90"/>
      <c r="BL530" s="90"/>
      <c r="BM530" s="90"/>
      <c r="BN530" s="90"/>
      <c r="BO530" s="90"/>
      <c r="BP530" s="90"/>
      <c r="BQ530" s="90"/>
    </row>
    <row r="531" ht="12.75" customHeight="1">
      <c r="I531" s="90"/>
      <c r="AX531" s="90"/>
      <c r="AY531" s="90"/>
      <c r="AZ531" s="90"/>
      <c r="BA531" s="90"/>
      <c r="BB531" s="90"/>
      <c r="BC531" s="90"/>
      <c r="BD531" s="90"/>
      <c r="BE531" s="90"/>
      <c r="BF531" s="90"/>
      <c r="BG531" s="90"/>
      <c r="BH531" s="90"/>
      <c r="BI531" s="90"/>
      <c r="BJ531" s="90"/>
      <c r="BK531" s="90"/>
      <c r="BL531" s="90"/>
      <c r="BM531" s="90"/>
      <c r="BN531" s="90"/>
      <c r="BO531" s="90"/>
      <c r="BP531" s="90"/>
      <c r="BQ531" s="90"/>
    </row>
    <row r="532" ht="12.75" customHeight="1">
      <c r="I532" s="90"/>
      <c r="AX532" s="90"/>
      <c r="AY532" s="90"/>
      <c r="AZ532" s="90"/>
      <c r="BA532" s="90"/>
      <c r="BB532" s="90"/>
      <c r="BC532" s="90"/>
      <c r="BD532" s="90"/>
      <c r="BE532" s="90"/>
      <c r="BF532" s="90"/>
      <c r="BG532" s="90"/>
      <c r="BH532" s="90"/>
      <c r="BI532" s="90"/>
      <c r="BJ532" s="90"/>
      <c r="BK532" s="90"/>
      <c r="BL532" s="90"/>
      <c r="BM532" s="90"/>
      <c r="BN532" s="90"/>
      <c r="BO532" s="90"/>
      <c r="BP532" s="90"/>
      <c r="BQ532" s="90"/>
    </row>
    <row r="533" ht="12.75" customHeight="1">
      <c r="I533" s="90"/>
      <c r="AX533" s="90"/>
      <c r="AY533" s="90"/>
      <c r="AZ533" s="90"/>
      <c r="BA533" s="90"/>
      <c r="BB533" s="90"/>
      <c r="BC533" s="90"/>
      <c r="BD533" s="90"/>
      <c r="BE533" s="90"/>
      <c r="BF533" s="90"/>
      <c r="BG533" s="90"/>
      <c r="BH533" s="90"/>
      <c r="BI533" s="90"/>
      <c r="BJ533" s="90"/>
      <c r="BK533" s="90"/>
      <c r="BL533" s="90"/>
      <c r="BM533" s="90"/>
      <c r="BN533" s="90"/>
      <c r="BO533" s="90"/>
      <c r="BP533" s="90"/>
      <c r="BQ533" s="90"/>
    </row>
    <row r="534" ht="12.75" customHeight="1">
      <c r="I534" s="90"/>
      <c r="AX534" s="90"/>
      <c r="AY534" s="90"/>
      <c r="AZ534" s="90"/>
      <c r="BA534" s="90"/>
      <c r="BB534" s="90"/>
      <c r="BC534" s="90"/>
      <c r="BD534" s="90"/>
      <c r="BE534" s="90"/>
      <c r="BF534" s="90"/>
      <c r="BG534" s="90"/>
      <c r="BH534" s="90"/>
      <c r="BI534" s="90"/>
      <c r="BJ534" s="90"/>
      <c r="BK534" s="90"/>
      <c r="BL534" s="90"/>
      <c r="BM534" s="90"/>
      <c r="BN534" s="90"/>
      <c r="BO534" s="90"/>
      <c r="BP534" s="90"/>
      <c r="BQ534" s="90"/>
    </row>
    <row r="535" ht="12.75" customHeight="1">
      <c r="I535" s="90"/>
      <c r="AX535" s="90"/>
      <c r="AY535" s="90"/>
      <c r="AZ535" s="90"/>
      <c r="BA535" s="90"/>
      <c r="BB535" s="90"/>
      <c r="BC535" s="90"/>
      <c r="BD535" s="90"/>
      <c r="BE535" s="90"/>
      <c r="BF535" s="90"/>
      <c r="BG535" s="90"/>
      <c r="BH535" s="90"/>
      <c r="BI535" s="90"/>
      <c r="BJ535" s="90"/>
      <c r="BK535" s="90"/>
      <c r="BL535" s="90"/>
      <c r="BM535" s="90"/>
      <c r="BN535" s="90"/>
      <c r="BO535" s="90"/>
      <c r="BP535" s="90"/>
      <c r="BQ535" s="90"/>
    </row>
    <row r="536" ht="12.75" customHeight="1">
      <c r="I536" s="90"/>
      <c r="AX536" s="90"/>
      <c r="AY536" s="90"/>
      <c r="AZ536" s="90"/>
      <c r="BA536" s="90"/>
      <c r="BB536" s="90"/>
      <c r="BC536" s="90"/>
      <c r="BD536" s="90"/>
      <c r="BE536" s="90"/>
      <c r="BF536" s="90"/>
      <c r="BG536" s="90"/>
      <c r="BH536" s="90"/>
      <c r="BI536" s="90"/>
      <c r="BJ536" s="90"/>
      <c r="BK536" s="90"/>
      <c r="BL536" s="90"/>
      <c r="BM536" s="90"/>
      <c r="BN536" s="90"/>
      <c r="BO536" s="90"/>
      <c r="BP536" s="90"/>
      <c r="BQ536" s="90"/>
    </row>
  </sheetData>
  <autoFilter ref="$A$2:$A$397"/>
  <printOptions/>
  <pageMargins bottom="0.35" footer="0.0" header="0.0" left="0.629861111111111" right="0.390277777777778" top="1.04027777777778"/>
  <pageSetup paperSize="5" orientation="landscape"/>
  <headerFooter>
    <oddHeader>&amp;CRocketship Three Financials</oddHeader>
    <oddFooter>&amp;C&amp;A&amp;R&amp;P</oddFooter>
  </headerFooter>
  <rowBreaks count="2" manualBreakCount="2">
    <brk id="340" man="1"/>
    <brk id="297" man="1"/>
  </rowBreaks>
  <colBreaks count="1" manualBreakCount="1">
    <brk id="21" man="1"/>
  </colBreaks>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outlineLevelCol="1" outlineLevelRow="1"/>
  <cols>
    <col customWidth="1" min="1" max="1" width="4.0"/>
    <col customWidth="1" min="2" max="2" width="45.75"/>
    <col customWidth="1" min="3" max="3" width="7.25"/>
    <col customWidth="1" min="4" max="6" width="10.88" outlineLevel="1"/>
    <col customWidth="1" min="7" max="7" width="10.5" outlineLevel="1"/>
    <col customWidth="1" min="8" max="8" width="13.75"/>
    <col customWidth="1" min="9" max="9" width="0.75"/>
    <col customWidth="1" min="10" max="10" width="13.38" outlineLevel="1"/>
    <col customWidth="1" min="11" max="11" width="18.25" outlineLevel="1"/>
    <col customWidth="1" min="12" max="12" width="14.0" outlineLevel="1"/>
    <col customWidth="1" min="13" max="13" width="13.38" outlineLevel="1"/>
    <col customWidth="1" min="14" max="14" width="15.38" outlineLevel="1"/>
    <col customWidth="1" min="15" max="15" width="13.75" outlineLevel="1"/>
    <col customWidth="1" min="16" max="16" width="17.75"/>
    <col customWidth="1" min="17" max="17" width="0.88"/>
    <col customWidth="1" min="18" max="18" width="15.38"/>
    <col customWidth="1" min="19" max="19" width="0.75"/>
    <col customWidth="1" min="20" max="20" width="13.25" outlineLevel="1"/>
    <col customWidth="1" min="21" max="21" width="13.38" outlineLevel="1"/>
    <col customWidth="1" min="22" max="24" width="13.25" outlineLevel="1"/>
    <col customWidth="1" min="25" max="25" width="19.88"/>
    <col customWidth="1" min="26" max="26" width="1.0"/>
    <col customWidth="1" min="27" max="27" width="23.38"/>
  </cols>
  <sheetData>
    <row r="1" ht="12.75" customHeight="1">
      <c r="A1" s="569"/>
      <c r="B1" s="570" t="s">
        <v>1258</v>
      </c>
      <c r="D1" s="571"/>
      <c r="E1" s="571"/>
      <c r="F1" s="571"/>
      <c r="G1" s="571"/>
      <c r="H1" s="571"/>
      <c r="I1" s="569"/>
      <c r="J1" s="571"/>
      <c r="K1" s="571"/>
      <c r="L1" s="571"/>
      <c r="M1" s="571"/>
      <c r="N1" s="571"/>
      <c r="O1" s="571"/>
      <c r="P1" s="571"/>
      <c r="Q1" s="569"/>
      <c r="R1" s="571"/>
      <c r="S1" s="569"/>
      <c r="T1" s="569"/>
      <c r="U1" s="569"/>
      <c r="V1" s="569"/>
      <c r="W1" s="569"/>
      <c r="X1" s="569"/>
      <c r="Y1" s="569"/>
      <c r="Z1" s="569"/>
      <c r="AA1" s="569"/>
    </row>
    <row r="2" ht="12.75" customHeight="1">
      <c r="A2" s="569"/>
      <c r="B2" s="569"/>
      <c r="D2" s="571"/>
      <c r="E2" s="571"/>
      <c r="F2" s="571"/>
      <c r="G2" s="571"/>
      <c r="H2" s="571"/>
      <c r="I2" s="569"/>
      <c r="J2" s="571"/>
      <c r="K2" s="571"/>
      <c r="L2" s="571"/>
      <c r="M2" s="571"/>
      <c r="N2" s="571"/>
      <c r="O2" s="571"/>
      <c r="P2" s="571"/>
      <c r="Q2" s="569"/>
      <c r="R2" s="571"/>
      <c r="S2" s="569"/>
      <c r="T2" s="569"/>
      <c r="U2" s="569"/>
      <c r="V2" s="569"/>
      <c r="W2" s="569"/>
      <c r="X2" s="569"/>
      <c r="Y2" s="569"/>
      <c r="Z2" s="569"/>
      <c r="AA2" s="569"/>
    </row>
    <row r="3" ht="12.75" customHeight="1">
      <c r="A3" s="569"/>
      <c r="B3" s="572" t="s">
        <v>1259</v>
      </c>
      <c r="D3" s="573" t="s">
        <v>48</v>
      </c>
      <c r="E3" s="18"/>
      <c r="F3" s="18"/>
      <c r="G3" s="18"/>
      <c r="H3" s="19"/>
      <c r="I3" s="569"/>
      <c r="J3" s="573" t="s">
        <v>1260</v>
      </c>
      <c r="K3" s="18"/>
      <c r="L3" s="18"/>
      <c r="M3" s="18"/>
      <c r="N3" s="18"/>
      <c r="O3" s="18"/>
      <c r="P3" s="19"/>
      <c r="Q3" s="569"/>
      <c r="R3" s="574" t="s">
        <v>1261</v>
      </c>
      <c r="S3" s="569"/>
      <c r="T3" s="573" t="s">
        <v>1262</v>
      </c>
      <c r="U3" s="18"/>
      <c r="V3" s="18"/>
      <c r="W3" s="18"/>
      <c r="X3" s="18"/>
      <c r="Y3" s="19"/>
      <c r="Z3" s="569"/>
      <c r="AA3" s="569"/>
    </row>
    <row r="4" ht="12.75" customHeight="1">
      <c r="A4" s="569"/>
      <c r="B4" s="483"/>
      <c r="D4" s="327" t="s">
        <v>1263</v>
      </c>
      <c r="E4" s="327" t="s">
        <v>72</v>
      </c>
      <c r="F4" s="327" t="s">
        <v>73</v>
      </c>
      <c r="G4" s="327" t="s">
        <v>1264</v>
      </c>
      <c r="H4" s="327" t="s">
        <v>1265</v>
      </c>
      <c r="I4" s="313"/>
      <c r="J4" s="327" t="s">
        <v>608</v>
      </c>
      <c r="K4" s="327" t="s">
        <v>1266</v>
      </c>
      <c r="L4" s="327" t="s">
        <v>138</v>
      </c>
      <c r="M4" s="327" t="s">
        <v>1267</v>
      </c>
      <c r="N4" s="327" t="s">
        <v>137</v>
      </c>
      <c r="O4" s="327" t="s">
        <v>1145</v>
      </c>
      <c r="P4" s="575" t="s">
        <v>1268</v>
      </c>
      <c r="Q4" s="313"/>
      <c r="R4" s="576" t="s">
        <v>1269</v>
      </c>
      <c r="S4" s="313"/>
      <c r="T4" s="327" t="s">
        <v>1270</v>
      </c>
      <c r="U4" s="327" t="s">
        <v>1271</v>
      </c>
      <c r="V4" s="327" t="s">
        <v>1272</v>
      </c>
      <c r="W4" s="327" t="s">
        <v>1273</v>
      </c>
      <c r="X4" s="327" t="s">
        <v>1274</v>
      </c>
      <c r="Y4" s="575" t="s">
        <v>1275</v>
      </c>
      <c r="Z4" s="313"/>
      <c r="AA4" s="577" t="s">
        <v>1276</v>
      </c>
    </row>
    <row r="5" ht="12.75" hidden="1" customHeight="1" outlineLevel="1">
      <c r="A5" s="569"/>
      <c r="B5" s="572" t="s">
        <v>1277</v>
      </c>
      <c r="D5" s="571"/>
      <c r="E5" s="571"/>
      <c r="F5" s="571"/>
      <c r="G5" s="571"/>
      <c r="H5" s="571"/>
      <c r="I5" s="569"/>
      <c r="J5" s="571"/>
      <c r="K5" s="571"/>
      <c r="L5" s="571"/>
      <c r="M5" s="571"/>
      <c r="N5" s="571"/>
      <c r="O5" s="571"/>
      <c r="P5" s="571"/>
      <c r="Q5" s="569"/>
      <c r="R5" s="571"/>
      <c r="S5" s="569"/>
      <c r="T5" s="571"/>
      <c r="U5" s="571"/>
      <c r="V5" s="569"/>
      <c r="W5" s="569"/>
      <c r="X5" s="569"/>
      <c r="Y5" s="569"/>
      <c r="Z5" s="569"/>
      <c r="AA5" s="569"/>
    </row>
    <row r="6" ht="12.75" hidden="1" customHeight="1" outlineLevel="1">
      <c r="A6" s="569"/>
      <c r="B6" s="578" t="s">
        <v>1278</v>
      </c>
      <c r="D6" s="579">
        <v>2106937.6128</v>
      </c>
      <c r="E6" s="579">
        <v>818937.9264</v>
      </c>
      <c r="F6" s="579">
        <v>0.0</v>
      </c>
      <c r="G6" s="579">
        <v>0.0</v>
      </c>
      <c r="H6" s="579">
        <v>2925875.5392</v>
      </c>
      <c r="I6" s="569"/>
      <c r="J6" s="579">
        <v>0.0</v>
      </c>
      <c r="K6" s="579">
        <v>0.0</v>
      </c>
      <c r="L6" s="579">
        <v>0.0</v>
      </c>
      <c r="M6" s="579">
        <v>0.0</v>
      </c>
      <c r="N6" s="579">
        <v>0.0</v>
      </c>
      <c r="O6" s="579">
        <v>0.0</v>
      </c>
      <c r="P6" s="579">
        <v>0.0</v>
      </c>
      <c r="Q6" s="569"/>
      <c r="R6" s="579">
        <v>2925875.5392</v>
      </c>
      <c r="S6" s="569"/>
      <c r="T6" s="579">
        <v>0.0</v>
      </c>
      <c r="U6" s="579">
        <v>0.0</v>
      </c>
      <c r="V6" s="579">
        <v>0.0</v>
      </c>
      <c r="W6" s="579"/>
      <c r="X6" s="579"/>
      <c r="Y6" s="579">
        <v>0.0</v>
      </c>
      <c r="Z6" s="569"/>
      <c r="AA6" s="579">
        <v>2925875.5392</v>
      </c>
    </row>
    <row r="7" ht="12.75" hidden="1" customHeight="1" outlineLevel="1">
      <c r="A7" s="569"/>
      <c r="B7" s="578" t="s">
        <v>1279</v>
      </c>
      <c r="D7" s="579">
        <v>-2808.97280000007</v>
      </c>
      <c r="E7" s="579">
        <v>1225837.0736</v>
      </c>
      <c r="F7" s="579">
        <v>0.0</v>
      </c>
      <c r="G7" s="579">
        <v>0.0</v>
      </c>
      <c r="H7" s="579">
        <v>1223028.1008</v>
      </c>
      <c r="I7" s="569"/>
      <c r="J7" s="579">
        <v>0.0</v>
      </c>
      <c r="K7" s="579">
        <v>0.0</v>
      </c>
      <c r="L7" s="579">
        <v>0.0</v>
      </c>
      <c r="M7" s="579">
        <v>0.0</v>
      </c>
      <c r="N7" s="579">
        <v>0.0</v>
      </c>
      <c r="O7" s="579">
        <v>0.0</v>
      </c>
      <c r="P7" s="579">
        <v>0.0</v>
      </c>
      <c r="Q7" s="569"/>
      <c r="R7" s="579">
        <v>1223028.1008</v>
      </c>
      <c r="S7" s="569"/>
      <c r="T7" s="579">
        <v>0.0</v>
      </c>
      <c r="U7" s="579">
        <v>0.0</v>
      </c>
      <c r="V7" s="579">
        <v>0.0</v>
      </c>
      <c r="W7" s="579"/>
      <c r="X7" s="579"/>
      <c r="Y7" s="579">
        <v>0.0</v>
      </c>
      <c r="Z7" s="569"/>
      <c r="AA7" s="579">
        <v>1223028.1008</v>
      </c>
    </row>
    <row r="8" ht="12.75" hidden="1" customHeight="1" outlineLevel="1">
      <c r="A8" s="569"/>
      <c r="B8" s="578" t="s">
        <v>1280</v>
      </c>
      <c r="D8" s="579"/>
      <c r="E8" s="579"/>
      <c r="F8" s="579"/>
      <c r="G8" s="579"/>
      <c r="H8" s="579"/>
      <c r="I8" s="569"/>
      <c r="J8" s="579"/>
      <c r="K8" s="579"/>
      <c r="L8" s="579"/>
      <c r="M8" s="579"/>
      <c r="N8" s="579"/>
      <c r="O8" s="579"/>
      <c r="P8" s="579"/>
      <c r="Q8" s="569"/>
      <c r="R8" s="579"/>
      <c r="S8" s="569"/>
      <c r="T8" s="579"/>
      <c r="U8" s="579"/>
      <c r="V8" s="579"/>
      <c r="W8" s="579"/>
      <c r="X8" s="579"/>
      <c r="Y8" s="579"/>
      <c r="Z8" s="569"/>
      <c r="AA8" s="579"/>
    </row>
    <row r="9" ht="12.75" hidden="1" customHeight="1" outlineLevel="1">
      <c r="A9" s="569"/>
      <c r="B9" s="68" t="s">
        <v>1281</v>
      </c>
      <c r="D9" s="579"/>
      <c r="E9" s="579"/>
      <c r="F9" s="579"/>
      <c r="G9" s="579"/>
      <c r="H9" s="579"/>
      <c r="I9" s="569"/>
      <c r="J9" s="579"/>
      <c r="K9" s="579"/>
      <c r="L9" s="579"/>
      <c r="M9" s="579"/>
      <c r="N9" s="579"/>
      <c r="O9" s="579"/>
      <c r="P9" s="579"/>
      <c r="Q9" s="569"/>
      <c r="R9" s="579"/>
      <c r="S9" s="569"/>
      <c r="T9" s="579"/>
      <c r="U9" s="579"/>
      <c r="V9" s="579"/>
      <c r="W9" s="579"/>
      <c r="X9" s="579"/>
      <c r="Y9" s="579"/>
      <c r="Z9" s="569"/>
      <c r="AA9" s="579"/>
    </row>
    <row r="10" ht="12.75" hidden="1" customHeight="1" outlineLevel="1">
      <c r="A10" s="569"/>
      <c r="B10" s="578" t="s">
        <v>1282</v>
      </c>
      <c r="D10" s="579">
        <v>332440.155</v>
      </c>
      <c r="E10" s="579">
        <v>421607.88</v>
      </c>
      <c r="F10" s="579">
        <v>0.0</v>
      </c>
      <c r="G10" s="579">
        <v>0.0</v>
      </c>
      <c r="H10" s="579">
        <v>754048.035</v>
      </c>
      <c r="I10" s="569"/>
      <c r="J10" s="579">
        <v>0.0</v>
      </c>
      <c r="K10" s="579">
        <v>0.0</v>
      </c>
      <c r="L10" s="579">
        <v>0.0</v>
      </c>
      <c r="M10" s="579">
        <v>0.0</v>
      </c>
      <c r="N10" s="579">
        <v>0.0</v>
      </c>
      <c r="O10" s="579">
        <v>0.0</v>
      </c>
      <c r="P10" s="579">
        <v>0.0</v>
      </c>
      <c r="Q10" s="569"/>
      <c r="R10" s="579">
        <v>754048.035</v>
      </c>
      <c r="S10" s="569"/>
      <c r="T10" s="579">
        <v>0.0</v>
      </c>
      <c r="U10" s="579">
        <v>0.0</v>
      </c>
      <c r="V10" s="579">
        <v>0.0</v>
      </c>
      <c r="W10" s="579"/>
      <c r="X10" s="579"/>
      <c r="Y10" s="579">
        <v>0.0</v>
      </c>
      <c r="Z10" s="569"/>
      <c r="AA10" s="579">
        <v>649009.264</v>
      </c>
    </row>
    <row r="11" ht="12.75" hidden="1" customHeight="1" outlineLevel="1">
      <c r="A11" s="569"/>
      <c r="B11" s="580" t="s">
        <v>1283</v>
      </c>
      <c r="D11" s="581">
        <v>0.0</v>
      </c>
      <c r="E11" s="581">
        <v>0.0</v>
      </c>
      <c r="F11" s="581">
        <v>0.0</v>
      </c>
      <c r="G11" s="581">
        <v>0.0</v>
      </c>
      <c r="H11" s="581">
        <v>0.0</v>
      </c>
      <c r="I11" s="569"/>
      <c r="J11" s="581">
        <v>0.0</v>
      </c>
      <c r="K11" s="581">
        <v>0.0</v>
      </c>
      <c r="L11" s="581">
        <v>0.0</v>
      </c>
      <c r="M11" s="581">
        <v>0.0</v>
      </c>
      <c r="N11" s="581">
        <v>0.0</v>
      </c>
      <c r="O11" s="581">
        <v>0.0</v>
      </c>
      <c r="P11" s="581">
        <v>0.0</v>
      </c>
      <c r="Q11" s="569"/>
      <c r="R11" s="581">
        <v>0.0</v>
      </c>
      <c r="S11" s="569"/>
      <c r="T11" s="581">
        <v>0.0</v>
      </c>
      <c r="U11" s="581">
        <v>0.0</v>
      </c>
      <c r="V11" s="581">
        <v>0.0</v>
      </c>
      <c r="W11" s="581"/>
      <c r="X11" s="581"/>
      <c r="Y11" s="581">
        <v>0.0</v>
      </c>
      <c r="Z11" s="569"/>
      <c r="AA11" s="581">
        <v>0.0</v>
      </c>
    </row>
    <row r="12" ht="12.75" customHeight="1">
      <c r="A12" s="572"/>
      <c r="B12" s="570" t="s">
        <v>1284</v>
      </c>
      <c r="D12" s="582">
        <v>2436568.795</v>
      </c>
      <c r="E12" s="582">
        <v>2466382.88</v>
      </c>
      <c r="F12" s="582">
        <v>0.0</v>
      </c>
      <c r="G12" s="582">
        <v>0.0</v>
      </c>
      <c r="H12" s="582">
        <v>4902951.675</v>
      </c>
      <c r="I12" s="569"/>
      <c r="J12" s="582">
        <v>0.0</v>
      </c>
      <c r="K12" s="582">
        <v>0.0</v>
      </c>
      <c r="L12" s="582">
        <v>0.0</v>
      </c>
      <c r="M12" s="582">
        <v>0.0</v>
      </c>
      <c r="N12" s="582">
        <v>0.0</v>
      </c>
      <c r="O12" s="582">
        <v>0.0</v>
      </c>
      <c r="P12" s="582">
        <v>0.0</v>
      </c>
      <c r="Q12" s="569"/>
      <c r="R12" s="582">
        <v>4902951.675</v>
      </c>
      <c r="S12" s="569"/>
      <c r="T12" s="582">
        <v>0.0</v>
      </c>
      <c r="U12" s="582">
        <v>0.0</v>
      </c>
      <c r="V12" s="582">
        <v>0.0</v>
      </c>
      <c r="W12" s="582"/>
      <c r="X12" s="582"/>
      <c r="Y12" s="582">
        <v>0.0</v>
      </c>
      <c r="Z12" s="569"/>
      <c r="AA12" s="582">
        <v>4797912.904</v>
      </c>
    </row>
    <row r="13" ht="2.25" customHeight="1">
      <c r="A13" s="569"/>
      <c r="B13" s="578"/>
      <c r="D13" s="571"/>
      <c r="E13" s="571"/>
      <c r="F13" s="571"/>
      <c r="G13" s="571"/>
      <c r="H13" s="571"/>
      <c r="I13" s="569"/>
      <c r="J13" s="571"/>
      <c r="K13" s="571"/>
      <c r="L13" s="571"/>
      <c r="M13" s="571"/>
      <c r="N13" s="571"/>
      <c r="O13" s="571"/>
      <c r="P13" s="571"/>
      <c r="Q13" s="569"/>
      <c r="R13" s="571"/>
      <c r="S13" s="569"/>
      <c r="T13" s="571"/>
      <c r="U13" s="571"/>
      <c r="V13" s="571"/>
      <c r="W13" s="571"/>
      <c r="X13" s="571"/>
      <c r="Y13" s="571"/>
      <c r="Z13" s="569"/>
      <c r="AA13" s="571"/>
    </row>
    <row r="14" ht="12.75" hidden="1" customHeight="1" outlineLevel="1">
      <c r="A14" s="569"/>
      <c r="B14" s="570" t="s">
        <v>176</v>
      </c>
      <c r="D14" s="571"/>
      <c r="E14" s="571"/>
      <c r="F14" s="571"/>
      <c r="G14" s="571"/>
      <c r="H14" s="571"/>
      <c r="I14" s="569"/>
      <c r="J14" s="571"/>
      <c r="K14" s="571"/>
      <c r="L14" s="571"/>
      <c r="M14" s="571"/>
      <c r="N14" s="571"/>
      <c r="O14" s="571"/>
      <c r="P14" s="571"/>
      <c r="Q14" s="569"/>
      <c r="R14" s="571"/>
      <c r="S14" s="569"/>
      <c r="T14" s="571"/>
      <c r="U14" s="571"/>
      <c r="V14" s="571"/>
      <c r="W14" s="571"/>
      <c r="X14" s="571"/>
      <c r="Y14" s="571"/>
      <c r="Z14" s="569"/>
      <c r="AA14" s="571"/>
    </row>
    <row r="15" ht="12.75" hidden="1" customHeight="1" outlineLevel="1">
      <c r="A15" s="569"/>
      <c r="B15" s="578" t="s">
        <v>1285</v>
      </c>
      <c r="D15" s="579">
        <v>198000.0</v>
      </c>
      <c r="E15" s="579">
        <v>0.0</v>
      </c>
      <c r="F15" s="579">
        <v>0.0</v>
      </c>
      <c r="G15" s="579">
        <v>0.0</v>
      </c>
      <c r="H15" s="579">
        <v>198000.0</v>
      </c>
      <c r="I15" s="569"/>
      <c r="J15" s="579">
        <v>0.0</v>
      </c>
      <c r="K15" s="579">
        <v>0.0</v>
      </c>
      <c r="L15" s="579">
        <v>0.0</v>
      </c>
      <c r="M15" s="579">
        <v>0.0</v>
      </c>
      <c r="N15" s="579">
        <v>0.0</v>
      </c>
      <c r="O15" s="579">
        <v>0.0</v>
      </c>
      <c r="P15" s="579">
        <v>0.0</v>
      </c>
      <c r="Q15" s="569"/>
      <c r="R15" s="579">
        <v>198000.0</v>
      </c>
      <c r="S15" s="569"/>
      <c r="T15" s="579">
        <v>0.0</v>
      </c>
      <c r="U15" s="579">
        <v>0.0</v>
      </c>
      <c r="V15" s="579">
        <v>0.0</v>
      </c>
      <c r="W15" s="579"/>
      <c r="X15" s="579"/>
      <c r="Y15" s="579">
        <v>0.0</v>
      </c>
      <c r="Z15" s="569"/>
      <c r="AA15" s="579">
        <v>198000.0</v>
      </c>
    </row>
    <row r="16" ht="12.75" hidden="1" customHeight="1" outlineLevel="1">
      <c r="A16" s="569"/>
      <c r="B16" s="578" t="s">
        <v>1286</v>
      </c>
      <c r="D16" s="579">
        <v>50665.12</v>
      </c>
      <c r="E16" s="579">
        <v>44968.32</v>
      </c>
      <c r="F16" s="579">
        <v>0.0</v>
      </c>
      <c r="G16" s="579">
        <v>0.0</v>
      </c>
      <c r="H16" s="579">
        <v>95633.44</v>
      </c>
      <c r="I16" s="569"/>
      <c r="J16" s="579">
        <v>0.0</v>
      </c>
      <c r="K16" s="579">
        <v>0.0</v>
      </c>
      <c r="L16" s="579">
        <v>0.0</v>
      </c>
      <c r="M16" s="579">
        <v>0.0</v>
      </c>
      <c r="N16" s="579">
        <v>0.0</v>
      </c>
      <c r="O16" s="579">
        <v>0.0</v>
      </c>
      <c r="P16" s="579">
        <v>0.0</v>
      </c>
      <c r="Q16" s="569"/>
      <c r="R16" s="579">
        <v>95633.44</v>
      </c>
      <c r="S16" s="569"/>
      <c r="T16" s="579">
        <v>0.0</v>
      </c>
      <c r="U16" s="579">
        <v>0.0</v>
      </c>
      <c r="V16" s="579">
        <v>0.0</v>
      </c>
      <c r="W16" s="579"/>
      <c r="X16" s="579"/>
      <c r="Y16" s="579">
        <v>0.0</v>
      </c>
      <c r="Z16" s="569"/>
      <c r="AA16" s="579">
        <v>95633.44</v>
      </c>
    </row>
    <row r="17" ht="12.75" hidden="1" customHeight="1" outlineLevel="1">
      <c r="A17" s="569"/>
      <c r="B17" s="578" t="s">
        <v>1287</v>
      </c>
      <c r="D17" s="579">
        <v>5749.44</v>
      </c>
      <c r="E17" s="579">
        <v>5367.84</v>
      </c>
      <c r="F17" s="579">
        <v>0.0</v>
      </c>
      <c r="G17" s="579">
        <v>0.0</v>
      </c>
      <c r="H17" s="579">
        <v>11117.28</v>
      </c>
      <c r="I17" s="569"/>
      <c r="J17" s="579">
        <v>0.0</v>
      </c>
      <c r="K17" s="579">
        <v>0.0</v>
      </c>
      <c r="L17" s="579">
        <v>0.0</v>
      </c>
      <c r="M17" s="579">
        <v>0.0</v>
      </c>
      <c r="N17" s="579">
        <v>0.0</v>
      </c>
      <c r="O17" s="579">
        <v>0.0</v>
      </c>
      <c r="P17" s="579">
        <v>0.0</v>
      </c>
      <c r="Q17" s="569"/>
      <c r="R17" s="579">
        <v>11117.28</v>
      </c>
      <c r="S17" s="569"/>
      <c r="T17" s="579">
        <v>0.0</v>
      </c>
      <c r="U17" s="579">
        <v>0.0</v>
      </c>
      <c r="V17" s="579">
        <v>0.0</v>
      </c>
      <c r="W17" s="579"/>
      <c r="X17" s="579"/>
      <c r="Y17" s="579">
        <v>0.0</v>
      </c>
      <c r="Z17" s="569"/>
      <c r="AA17" s="579">
        <v>11117.28</v>
      </c>
    </row>
    <row r="18" ht="12.75" hidden="1" customHeight="1" outlineLevel="1">
      <c r="A18" s="569"/>
      <c r="B18" s="578" t="s">
        <v>1288</v>
      </c>
      <c r="D18" s="579">
        <v>-74502.0</v>
      </c>
      <c r="E18" s="579">
        <v>0.0</v>
      </c>
      <c r="F18" s="579">
        <v>0.0</v>
      </c>
      <c r="G18" s="579">
        <v>0.0</v>
      </c>
      <c r="H18" s="579">
        <v>-74502.0</v>
      </c>
      <c r="I18" s="569"/>
      <c r="J18" s="579">
        <v>0.0</v>
      </c>
      <c r="K18" s="579">
        <v>0.0</v>
      </c>
      <c r="L18" s="579">
        <v>0.0</v>
      </c>
      <c r="M18" s="579">
        <v>0.0</v>
      </c>
      <c r="N18" s="579">
        <v>0.0</v>
      </c>
      <c r="O18" s="579">
        <v>0.0</v>
      </c>
      <c r="P18" s="579">
        <v>0.0</v>
      </c>
      <c r="Q18" s="569"/>
      <c r="R18" s="579">
        <v>-74502.0</v>
      </c>
      <c r="S18" s="569"/>
      <c r="T18" s="579">
        <v>0.0</v>
      </c>
      <c r="U18" s="579">
        <v>0.0</v>
      </c>
      <c r="V18" s="579">
        <v>0.0</v>
      </c>
      <c r="W18" s="579"/>
      <c r="X18" s="579"/>
      <c r="Y18" s="579">
        <v>0.0</v>
      </c>
      <c r="Z18" s="569"/>
      <c r="AA18" s="579">
        <v>-74502.0</v>
      </c>
    </row>
    <row r="19" ht="12.75" hidden="1" customHeight="1" outlineLevel="1">
      <c r="A19" s="569"/>
      <c r="B19" s="578" t="s">
        <v>1289</v>
      </c>
      <c r="D19" s="579">
        <v>297722.0</v>
      </c>
      <c r="E19" s="579">
        <v>243072.0</v>
      </c>
      <c r="F19" s="579">
        <v>0.0</v>
      </c>
      <c r="G19" s="579">
        <v>0.0</v>
      </c>
      <c r="H19" s="579">
        <v>540794.0</v>
      </c>
      <c r="I19" s="569"/>
      <c r="J19" s="579">
        <v>0.0</v>
      </c>
      <c r="K19" s="579">
        <v>0.0</v>
      </c>
      <c r="L19" s="579">
        <v>0.0</v>
      </c>
      <c r="M19" s="579">
        <v>0.0</v>
      </c>
      <c r="N19" s="579">
        <v>0.0</v>
      </c>
      <c r="O19" s="579">
        <v>0.0</v>
      </c>
      <c r="P19" s="579">
        <v>0.0</v>
      </c>
      <c r="Q19" s="569"/>
      <c r="R19" s="579">
        <v>540794.0</v>
      </c>
      <c r="S19" s="569"/>
      <c r="T19" s="579">
        <v>0.0</v>
      </c>
      <c r="U19" s="579">
        <v>0.0</v>
      </c>
      <c r="V19" s="579">
        <v>0.0</v>
      </c>
      <c r="W19" s="579"/>
      <c r="X19" s="579"/>
      <c r="Y19" s="579">
        <v>0.0</v>
      </c>
      <c r="Z19" s="569"/>
      <c r="AA19" s="579">
        <v>540794.0</v>
      </c>
    </row>
    <row r="20" ht="12.75" hidden="1" customHeight="1" outlineLevel="1">
      <c r="A20" s="569"/>
      <c r="B20" s="580" t="s">
        <v>1290</v>
      </c>
      <c r="D20" s="581">
        <v>5139.0</v>
      </c>
      <c r="E20" s="581">
        <v>0.0</v>
      </c>
      <c r="F20" s="581">
        <v>0.0</v>
      </c>
      <c r="G20" s="581">
        <v>0.0</v>
      </c>
      <c r="H20" s="581">
        <v>5139.0</v>
      </c>
      <c r="I20" s="569"/>
      <c r="J20" s="581">
        <v>0.0</v>
      </c>
      <c r="K20" s="581">
        <v>0.0</v>
      </c>
      <c r="L20" s="581">
        <v>0.0</v>
      </c>
      <c r="M20" s="581">
        <v>0.0</v>
      </c>
      <c r="N20" s="581">
        <v>0.0</v>
      </c>
      <c r="O20" s="581">
        <v>0.0</v>
      </c>
      <c r="P20" s="581">
        <v>0.0</v>
      </c>
      <c r="Q20" s="569"/>
      <c r="R20" s="581">
        <v>5139.0</v>
      </c>
      <c r="S20" s="569"/>
      <c r="T20" s="581">
        <v>0.0</v>
      </c>
      <c r="U20" s="581">
        <v>0.0</v>
      </c>
      <c r="V20" s="581">
        <v>0.0</v>
      </c>
      <c r="W20" s="581"/>
      <c r="X20" s="581"/>
      <c r="Y20" s="581">
        <v>0.0</v>
      </c>
      <c r="Z20" s="569"/>
      <c r="AA20" s="581">
        <v>5139.0</v>
      </c>
    </row>
    <row r="21" ht="12.75" customHeight="1">
      <c r="A21" s="572"/>
      <c r="B21" s="570" t="s">
        <v>1291</v>
      </c>
      <c r="D21" s="582">
        <v>482773.56</v>
      </c>
      <c r="E21" s="582">
        <v>293408.16</v>
      </c>
      <c r="F21" s="582">
        <v>0.0</v>
      </c>
      <c r="G21" s="582">
        <v>0.0</v>
      </c>
      <c r="H21" s="582">
        <v>776181.72</v>
      </c>
      <c r="I21" s="569"/>
      <c r="J21" s="582">
        <v>0.0</v>
      </c>
      <c r="K21" s="582">
        <v>0.0</v>
      </c>
      <c r="L21" s="582">
        <v>0.0</v>
      </c>
      <c r="M21" s="582">
        <v>0.0</v>
      </c>
      <c r="N21" s="582">
        <v>0.0</v>
      </c>
      <c r="O21" s="582">
        <v>0.0</v>
      </c>
      <c r="P21" s="582">
        <v>0.0</v>
      </c>
      <c r="Q21" s="569"/>
      <c r="R21" s="582">
        <v>776181.72</v>
      </c>
      <c r="S21" s="569"/>
      <c r="T21" s="582">
        <v>0.0</v>
      </c>
      <c r="U21" s="582">
        <v>0.0</v>
      </c>
      <c r="V21" s="582">
        <v>0.0</v>
      </c>
      <c r="W21" s="582"/>
      <c r="X21" s="582"/>
      <c r="Y21" s="582">
        <v>0.0</v>
      </c>
      <c r="Z21" s="569"/>
      <c r="AA21" s="582">
        <v>776181.72</v>
      </c>
    </row>
    <row r="22" ht="2.25" customHeight="1">
      <c r="A22" s="569"/>
      <c r="B22" s="578"/>
      <c r="D22" s="571"/>
      <c r="E22" s="571"/>
      <c r="F22" s="571"/>
      <c r="G22" s="571"/>
      <c r="H22" s="571"/>
      <c r="I22" s="569"/>
      <c r="J22" s="571"/>
      <c r="K22" s="571"/>
      <c r="L22" s="571"/>
      <c r="M22" s="571"/>
      <c r="N22" s="571"/>
      <c r="O22" s="571"/>
      <c r="P22" s="571"/>
      <c r="Q22" s="569"/>
      <c r="R22" s="571"/>
      <c r="S22" s="569"/>
      <c r="T22" s="571"/>
      <c r="U22" s="571"/>
      <c r="V22" s="571"/>
      <c r="W22" s="571"/>
      <c r="X22" s="571"/>
      <c r="Y22" s="571"/>
      <c r="Z22" s="569"/>
      <c r="AA22" s="571"/>
    </row>
    <row r="23" ht="12.75" hidden="1" customHeight="1" outlineLevel="1">
      <c r="A23" s="569"/>
      <c r="B23" s="570" t="s">
        <v>1292</v>
      </c>
      <c r="D23" s="571"/>
      <c r="E23" s="571"/>
      <c r="F23" s="571"/>
      <c r="G23" s="571"/>
      <c r="H23" s="571"/>
      <c r="I23" s="569"/>
      <c r="J23" s="571"/>
      <c r="K23" s="571"/>
      <c r="L23" s="571"/>
      <c r="M23" s="571"/>
      <c r="N23" s="571"/>
      <c r="O23" s="571"/>
      <c r="P23" s="571"/>
      <c r="Q23" s="569"/>
      <c r="R23" s="571"/>
      <c r="S23" s="569"/>
      <c r="T23" s="571"/>
      <c r="U23" s="571"/>
      <c r="V23" s="571"/>
      <c r="W23" s="571"/>
      <c r="X23" s="571"/>
      <c r="Y23" s="571"/>
      <c r="Z23" s="569"/>
      <c r="AA23" s="571"/>
    </row>
    <row r="24" ht="12.75" hidden="1" customHeight="1" outlineLevel="1">
      <c r="A24" s="569"/>
      <c r="B24" s="578" t="s">
        <v>1293</v>
      </c>
      <c r="D24" s="579">
        <v>36317.0</v>
      </c>
      <c r="E24" s="579">
        <v>0.0</v>
      </c>
      <c r="F24" s="579">
        <v>0.0</v>
      </c>
      <c r="G24" s="579">
        <v>0.0</v>
      </c>
      <c r="H24" s="579">
        <v>36317.0</v>
      </c>
      <c r="I24" s="569"/>
      <c r="J24" s="579">
        <v>0.0</v>
      </c>
      <c r="K24" s="579">
        <v>0.0</v>
      </c>
      <c r="L24" s="579">
        <v>0.0</v>
      </c>
      <c r="M24" s="579">
        <v>0.0</v>
      </c>
      <c r="N24" s="579">
        <v>0.0</v>
      </c>
      <c r="O24" s="579">
        <v>0.0</v>
      </c>
      <c r="P24" s="579">
        <v>0.0</v>
      </c>
      <c r="Q24" s="569"/>
      <c r="R24" s="579">
        <v>36317.0</v>
      </c>
      <c r="S24" s="569"/>
      <c r="T24" s="579">
        <v>0.0</v>
      </c>
      <c r="U24" s="579">
        <v>0.0</v>
      </c>
      <c r="V24" s="579">
        <v>0.0</v>
      </c>
      <c r="W24" s="579"/>
      <c r="X24" s="579"/>
      <c r="Y24" s="579">
        <v>0.0</v>
      </c>
      <c r="Z24" s="569"/>
      <c r="AA24" s="579">
        <v>36317.0</v>
      </c>
    </row>
    <row r="25" ht="12.75" hidden="1" customHeight="1" outlineLevel="1">
      <c r="A25" s="569"/>
      <c r="B25" s="578" t="s">
        <v>1294</v>
      </c>
      <c r="D25" s="579">
        <v>4500.0</v>
      </c>
      <c r="E25" s="579">
        <v>0.0</v>
      </c>
      <c r="F25" s="579">
        <v>0.0</v>
      </c>
      <c r="G25" s="579">
        <v>0.0</v>
      </c>
      <c r="H25" s="579">
        <v>4500.0</v>
      </c>
      <c r="I25" s="569"/>
      <c r="J25" s="579">
        <v>0.0</v>
      </c>
      <c r="K25" s="579">
        <v>0.0</v>
      </c>
      <c r="L25" s="579">
        <v>0.0</v>
      </c>
      <c r="M25" s="579">
        <v>0.0</v>
      </c>
      <c r="N25" s="579">
        <v>0.0</v>
      </c>
      <c r="O25" s="579">
        <v>0.0</v>
      </c>
      <c r="P25" s="579">
        <v>0.0</v>
      </c>
      <c r="Q25" s="569"/>
      <c r="R25" s="579">
        <v>4500.0</v>
      </c>
      <c r="S25" s="569"/>
      <c r="T25" s="579">
        <v>0.0</v>
      </c>
      <c r="U25" s="579">
        <v>0.0</v>
      </c>
      <c r="V25" s="579">
        <v>0.0</v>
      </c>
      <c r="W25" s="579"/>
      <c r="X25" s="579"/>
      <c r="Y25" s="579">
        <v>0.0</v>
      </c>
      <c r="Z25" s="569"/>
      <c r="AA25" s="579">
        <v>4500.0</v>
      </c>
    </row>
    <row r="26" ht="12.75" hidden="1" customHeight="1" outlineLevel="1">
      <c r="A26" s="569"/>
      <c r="B26" s="578" t="s">
        <v>1295</v>
      </c>
      <c r="D26" s="579">
        <v>0.0</v>
      </c>
      <c r="E26" s="579">
        <v>0.0</v>
      </c>
      <c r="F26" s="579">
        <v>0.0</v>
      </c>
      <c r="G26" s="579">
        <v>0.0</v>
      </c>
      <c r="H26" s="579">
        <v>0.0</v>
      </c>
      <c r="I26" s="569"/>
      <c r="J26" s="579">
        <v>49516.0</v>
      </c>
      <c r="K26" s="579">
        <v>0.0</v>
      </c>
      <c r="L26" s="579">
        <v>0.0</v>
      </c>
      <c r="M26" s="579">
        <v>0.0</v>
      </c>
      <c r="N26" s="579">
        <v>0.0</v>
      </c>
      <c r="O26" s="579">
        <v>0.0</v>
      </c>
      <c r="P26" s="579">
        <v>49516.0</v>
      </c>
      <c r="Q26" s="569"/>
      <c r="R26" s="579">
        <v>49516.0</v>
      </c>
      <c r="S26" s="569"/>
      <c r="T26" s="579">
        <v>0.0</v>
      </c>
      <c r="U26" s="579">
        <v>0.0</v>
      </c>
      <c r="V26" s="579">
        <v>0.0</v>
      </c>
      <c r="W26" s="579"/>
      <c r="X26" s="579"/>
      <c r="Y26" s="579">
        <v>0.0</v>
      </c>
      <c r="Z26" s="569"/>
      <c r="AA26" s="579">
        <v>49516.0</v>
      </c>
    </row>
    <row r="27" ht="12.75" hidden="1" customHeight="1" outlineLevel="1">
      <c r="A27" s="569"/>
      <c r="B27" s="580" t="s">
        <v>1296</v>
      </c>
      <c r="D27" s="581">
        <v>0.0</v>
      </c>
      <c r="E27" s="581">
        <v>0.0</v>
      </c>
      <c r="F27" s="581">
        <v>0.0</v>
      </c>
      <c r="G27" s="581">
        <v>0.0</v>
      </c>
      <c r="H27" s="581">
        <v>0.0</v>
      </c>
      <c r="I27" s="569"/>
      <c r="J27" s="581">
        <v>0.0</v>
      </c>
      <c r="K27" s="581">
        <v>0.0</v>
      </c>
      <c r="L27" s="581">
        <v>0.0</v>
      </c>
      <c r="M27" s="581">
        <v>0.0</v>
      </c>
      <c r="N27" s="581">
        <v>0.0</v>
      </c>
      <c r="O27" s="581">
        <v>0.0</v>
      </c>
      <c r="P27" s="581">
        <v>0.0</v>
      </c>
      <c r="Q27" s="569"/>
      <c r="R27" s="581">
        <v>0.0</v>
      </c>
      <c r="S27" s="569"/>
      <c r="T27" s="581">
        <v>0.0</v>
      </c>
      <c r="U27" s="581">
        <v>0.0</v>
      </c>
      <c r="V27" s="581">
        <v>0.0</v>
      </c>
      <c r="W27" s="581"/>
      <c r="X27" s="581"/>
      <c r="Y27" s="581">
        <v>0.0</v>
      </c>
      <c r="Z27" s="569"/>
      <c r="AA27" s="581">
        <v>0.0</v>
      </c>
    </row>
    <row r="28" ht="12.75" customHeight="1">
      <c r="A28" s="572"/>
      <c r="B28" s="570" t="s">
        <v>1297</v>
      </c>
      <c r="D28" s="582">
        <v>40817.0</v>
      </c>
      <c r="E28" s="582">
        <v>0.0</v>
      </c>
      <c r="F28" s="582">
        <v>0.0</v>
      </c>
      <c r="G28" s="582">
        <v>0.0</v>
      </c>
      <c r="H28" s="582">
        <v>40817.0</v>
      </c>
      <c r="I28" s="569"/>
      <c r="J28" s="582">
        <v>49516.0</v>
      </c>
      <c r="K28" s="582">
        <v>0.0</v>
      </c>
      <c r="L28" s="582">
        <v>0.0</v>
      </c>
      <c r="M28" s="582">
        <v>0.0</v>
      </c>
      <c r="N28" s="582">
        <v>0.0</v>
      </c>
      <c r="O28" s="582">
        <v>0.0</v>
      </c>
      <c r="P28" s="582">
        <v>49516.0</v>
      </c>
      <c r="Q28" s="569"/>
      <c r="R28" s="582">
        <v>90333.0</v>
      </c>
      <c r="S28" s="569"/>
      <c r="T28" s="582">
        <v>0.0</v>
      </c>
      <c r="U28" s="582">
        <v>0.0</v>
      </c>
      <c r="V28" s="582">
        <v>0.0</v>
      </c>
      <c r="W28" s="582"/>
      <c r="X28" s="582"/>
      <c r="Y28" s="582">
        <v>0.0</v>
      </c>
      <c r="Z28" s="569"/>
      <c r="AA28" s="582">
        <v>90333.0</v>
      </c>
    </row>
    <row r="29" ht="1.5" customHeight="1">
      <c r="A29" s="569"/>
      <c r="B29" s="578"/>
      <c r="D29" s="571"/>
      <c r="E29" s="571"/>
      <c r="F29" s="571"/>
      <c r="G29" s="571"/>
      <c r="H29" s="571"/>
      <c r="I29" s="569"/>
      <c r="J29" s="571"/>
      <c r="K29" s="571"/>
      <c r="L29" s="571"/>
      <c r="M29" s="571"/>
      <c r="N29" s="571"/>
      <c r="O29" s="571"/>
      <c r="P29" s="571"/>
      <c r="Q29" s="569"/>
      <c r="R29" s="571"/>
      <c r="S29" s="569"/>
      <c r="T29" s="571"/>
      <c r="U29" s="571"/>
      <c r="V29" s="571"/>
      <c r="W29" s="571"/>
      <c r="X29" s="571"/>
      <c r="Y29" s="571"/>
      <c r="Z29" s="569"/>
      <c r="AA29" s="571"/>
    </row>
    <row r="30" ht="12.75" hidden="1" customHeight="1" outlineLevel="1">
      <c r="A30" s="569"/>
      <c r="B30" s="570" t="s">
        <v>302</v>
      </c>
      <c r="D30" s="571"/>
      <c r="E30" s="571"/>
      <c r="F30" s="571"/>
      <c r="G30" s="571"/>
      <c r="H30" s="571"/>
      <c r="I30" s="569"/>
      <c r="J30" s="571"/>
      <c r="K30" s="571"/>
      <c r="L30" s="571"/>
      <c r="M30" s="571"/>
      <c r="N30" s="571"/>
      <c r="O30" s="571"/>
      <c r="P30" s="571"/>
      <c r="Q30" s="569"/>
      <c r="R30" s="571"/>
      <c r="S30" s="569"/>
      <c r="T30" s="571"/>
      <c r="U30" s="571"/>
      <c r="V30" s="571"/>
      <c r="W30" s="571"/>
      <c r="X30" s="571"/>
      <c r="Y30" s="571"/>
      <c r="Z30" s="569"/>
      <c r="AA30" s="571"/>
    </row>
    <row r="31" ht="12.75" hidden="1" customHeight="1" outlineLevel="1">
      <c r="A31" s="569"/>
      <c r="B31" s="578" t="s">
        <v>1298</v>
      </c>
      <c r="D31" s="579">
        <v>0.0</v>
      </c>
      <c r="E31" s="579">
        <v>0.0</v>
      </c>
      <c r="F31" s="579">
        <v>0.0</v>
      </c>
      <c r="G31" s="579">
        <v>0.0</v>
      </c>
      <c r="H31" s="579">
        <v>0.0</v>
      </c>
      <c r="I31" s="569"/>
      <c r="J31" s="583">
        <v>359285.3184</v>
      </c>
      <c r="K31" s="583">
        <v>0.0</v>
      </c>
      <c r="L31" s="583">
        <v>0.0</v>
      </c>
      <c r="M31" s="583">
        <v>0.0</v>
      </c>
      <c r="N31" s="583">
        <v>0.0</v>
      </c>
      <c r="O31" s="583">
        <v>0.0</v>
      </c>
      <c r="P31" s="583">
        <v>359285.3184</v>
      </c>
      <c r="Q31" s="569"/>
      <c r="R31" s="583">
        <v>359285.3184</v>
      </c>
      <c r="S31" s="569"/>
      <c r="T31" s="583">
        <v>0.0</v>
      </c>
      <c r="U31" s="583">
        <v>0.0</v>
      </c>
      <c r="V31" s="583">
        <v>0.0</v>
      </c>
      <c r="W31" s="583"/>
      <c r="X31" s="583"/>
      <c r="Y31" s="583">
        <v>0.0</v>
      </c>
      <c r="Z31" s="569"/>
      <c r="AA31" s="583">
        <v>359285.3184</v>
      </c>
    </row>
    <row r="32" ht="12.75" hidden="1" customHeight="1" outlineLevel="1">
      <c r="A32" s="569"/>
      <c r="B32" s="578" t="s">
        <v>1299</v>
      </c>
      <c r="D32" s="579">
        <v>0.0</v>
      </c>
      <c r="E32" s="579">
        <v>0.0</v>
      </c>
      <c r="F32" s="579">
        <v>0.0</v>
      </c>
      <c r="G32" s="579">
        <v>0.0</v>
      </c>
      <c r="H32" s="579">
        <v>0.0</v>
      </c>
      <c r="I32" s="569"/>
      <c r="J32" s="583">
        <v>4363.008</v>
      </c>
      <c r="K32" s="583">
        <v>0.0</v>
      </c>
      <c r="L32" s="583">
        <v>0.0</v>
      </c>
      <c r="M32" s="583">
        <v>0.0</v>
      </c>
      <c r="N32" s="583">
        <v>0.0</v>
      </c>
      <c r="O32" s="583">
        <v>0.0</v>
      </c>
      <c r="P32" s="583">
        <v>4363.008</v>
      </c>
      <c r="Q32" s="569"/>
      <c r="R32" s="583">
        <v>4363.008</v>
      </c>
      <c r="S32" s="569"/>
      <c r="T32" s="583">
        <v>0.0</v>
      </c>
      <c r="U32" s="583">
        <v>0.0</v>
      </c>
      <c r="V32" s="583">
        <v>0.0</v>
      </c>
      <c r="W32" s="583"/>
      <c r="X32" s="583"/>
      <c r="Y32" s="583">
        <v>0.0</v>
      </c>
      <c r="Z32" s="569"/>
      <c r="AA32" s="583">
        <v>4363.008</v>
      </c>
    </row>
    <row r="33" ht="12.75" hidden="1" customHeight="1" outlineLevel="1">
      <c r="A33" s="569"/>
      <c r="B33" s="580" t="s">
        <v>1300</v>
      </c>
      <c r="D33" s="581">
        <v>0.0</v>
      </c>
      <c r="E33" s="581">
        <v>0.0</v>
      </c>
      <c r="F33" s="581">
        <v>0.0</v>
      </c>
      <c r="G33" s="581">
        <v>0.0</v>
      </c>
      <c r="H33" s="581">
        <v>0.0</v>
      </c>
      <c r="I33" s="569"/>
      <c r="J33" s="584">
        <v>47754.0</v>
      </c>
      <c r="K33" s="584">
        <v>0.0</v>
      </c>
      <c r="L33" s="584">
        <v>0.0</v>
      </c>
      <c r="M33" s="584">
        <v>0.0</v>
      </c>
      <c r="N33" s="584">
        <v>0.0</v>
      </c>
      <c r="O33" s="584">
        <v>0.0</v>
      </c>
      <c r="P33" s="584">
        <v>47754.0</v>
      </c>
      <c r="Q33" s="569"/>
      <c r="R33" s="584">
        <v>47754.0</v>
      </c>
      <c r="S33" s="569"/>
      <c r="T33" s="584">
        <v>0.0</v>
      </c>
      <c r="U33" s="584">
        <v>0.0</v>
      </c>
      <c r="V33" s="584">
        <v>0.0</v>
      </c>
      <c r="W33" s="584"/>
      <c r="X33" s="584"/>
      <c r="Y33" s="584">
        <v>0.0</v>
      </c>
      <c r="Z33" s="569"/>
      <c r="AA33" s="584">
        <v>47754.0</v>
      </c>
    </row>
    <row r="34" ht="12.75" customHeight="1">
      <c r="A34" s="569"/>
      <c r="B34" s="570" t="s">
        <v>1301</v>
      </c>
      <c r="D34" s="582">
        <v>0.0</v>
      </c>
      <c r="E34" s="582">
        <v>0.0</v>
      </c>
      <c r="F34" s="582">
        <v>0.0</v>
      </c>
      <c r="G34" s="582">
        <v>0.0</v>
      </c>
      <c r="H34" s="582">
        <v>0.0</v>
      </c>
      <c r="I34" s="569"/>
      <c r="J34" s="582">
        <v>411402.3264</v>
      </c>
      <c r="K34" s="582">
        <v>0.0</v>
      </c>
      <c r="L34" s="582">
        <v>0.0</v>
      </c>
      <c r="M34" s="582">
        <v>0.0</v>
      </c>
      <c r="N34" s="582">
        <v>0.0</v>
      </c>
      <c r="O34" s="582">
        <v>0.0</v>
      </c>
      <c r="P34" s="582">
        <v>411402.3264</v>
      </c>
      <c r="Q34" s="569"/>
      <c r="R34" s="582">
        <v>411402.3264</v>
      </c>
      <c r="S34" s="569"/>
      <c r="T34" s="582">
        <v>0.0</v>
      </c>
      <c r="U34" s="582">
        <v>0.0</v>
      </c>
      <c r="V34" s="582">
        <v>0.0</v>
      </c>
      <c r="W34" s="582"/>
      <c r="X34" s="582"/>
      <c r="Y34" s="582">
        <v>0.0</v>
      </c>
      <c r="Z34" s="569"/>
      <c r="AA34" s="582">
        <v>411402.3264</v>
      </c>
    </row>
    <row r="35" ht="2.25" customHeight="1">
      <c r="A35" s="569"/>
      <c r="B35" s="578"/>
      <c r="D35" s="579">
        <v>0.0</v>
      </c>
      <c r="E35" s="579">
        <v>0.0</v>
      </c>
      <c r="F35" s="579">
        <v>0.0</v>
      </c>
      <c r="G35" s="579">
        <v>0.0</v>
      </c>
      <c r="H35" s="579">
        <v>0.0</v>
      </c>
      <c r="I35" s="569"/>
      <c r="J35" s="571"/>
      <c r="K35" s="571"/>
      <c r="L35" s="571"/>
      <c r="M35" s="571"/>
      <c r="N35" s="571"/>
      <c r="O35" s="571"/>
      <c r="P35" s="571"/>
      <c r="Q35" s="569"/>
      <c r="R35" s="571"/>
      <c r="S35" s="569"/>
      <c r="T35" s="571"/>
      <c r="U35" s="571"/>
      <c r="V35" s="571"/>
      <c r="W35" s="571"/>
      <c r="X35" s="571"/>
      <c r="Y35" s="571"/>
      <c r="Z35" s="569"/>
      <c r="AA35" s="571"/>
    </row>
    <row r="36" ht="12.75" hidden="1" customHeight="1" outlineLevel="1">
      <c r="A36" s="569"/>
      <c r="B36" s="570" t="s">
        <v>1302</v>
      </c>
      <c r="D36" s="571"/>
      <c r="E36" s="571"/>
      <c r="F36" s="571"/>
      <c r="G36" s="571"/>
      <c r="H36" s="571"/>
      <c r="I36" s="569"/>
      <c r="J36" s="571"/>
      <c r="K36" s="571"/>
      <c r="L36" s="571"/>
      <c r="M36" s="571"/>
      <c r="N36" s="571"/>
      <c r="O36" s="571"/>
      <c r="P36" s="571"/>
      <c r="Q36" s="569"/>
      <c r="R36" s="571"/>
      <c r="S36" s="569"/>
      <c r="T36" s="571"/>
      <c r="U36" s="571"/>
      <c r="V36" s="571"/>
      <c r="W36" s="571"/>
      <c r="X36" s="571"/>
      <c r="Y36" s="571"/>
      <c r="Z36" s="569"/>
      <c r="AA36" s="571"/>
    </row>
    <row r="37" ht="12.75" hidden="1" customHeight="1" outlineLevel="1">
      <c r="A37" s="569"/>
      <c r="B37" s="578" t="s">
        <v>1303</v>
      </c>
      <c r="D37" s="579">
        <v>121564.0</v>
      </c>
      <c r="E37" s="579">
        <v>114191.0</v>
      </c>
      <c r="F37" s="579">
        <v>0.0</v>
      </c>
      <c r="G37" s="579">
        <v>0.0</v>
      </c>
      <c r="H37" s="579">
        <v>235755.0</v>
      </c>
      <c r="I37" s="569"/>
      <c r="J37" s="579">
        <v>0.0</v>
      </c>
      <c r="K37" s="579">
        <v>0.0</v>
      </c>
      <c r="L37" s="579">
        <v>0.0</v>
      </c>
      <c r="M37" s="579">
        <v>0.0</v>
      </c>
      <c r="N37" s="579">
        <v>0.0</v>
      </c>
      <c r="O37" s="579">
        <v>0.0</v>
      </c>
      <c r="P37" s="579">
        <v>0.0</v>
      </c>
      <c r="Q37" s="569"/>
      <c r="R37" s="579">
        <v>235755.0</v>
      </c>
      <c r="S37" s="569"/>
      <c r="T37" s="579">
        <v>0.0</v>
      </c>
      <c r="U37" s="579">
        <v>0.0</v>
      </c>
      <c r="V37" s="579">
        <v>0.0</v>
      </c>
      <c r="W37" s="579"/>
      <c r="X37" s="579"/>
      <c r="Y37" s="579">
        <v>0.0</v>
      </c>
      <c r="Z37" s="569"/>
      <c r="AA37" s="579">
        <v>235755.0</v>
      </c>
    </row>
    <row r="38" ht="12.75" hidden="1" customHeight="1" outlineLevel="1">
      <c r="A38" s="569"/>
      <c r="B38" s="578" t="s">
        <v>1304</v>
      </c>
      <c r="D38" s="579">
        <v>9365.0</v>
      </c>
      <c r="E38" s="579">
        <v>8808.0</v>
      </c>
      <c r="F38" s="579">
        <v>0.0</v>
      </c>
      <c r="G38" s="579">
        <v>0.0</v>
      </c>
      <c r="H38" s="579">
        <v>18173.0</v>
      </c>
      <c r="I38" s="569"/>
      <c r="J38" s="579">
        <v>0.0</v>
      </c>
      <c r="K38" s="579">
        <v>0.0</v>
      </c>
      <c r="L38" s="579">
        <v>0.0</v>
      </c>
      <c r="M38" s="579">
        <v>0.0</v>
      </c>
      <c r="N38" s="579">
        <v>0.0</v>
      </c>
      <c r="O38" s="579">
        <v>0.0</v>
      </c>
      <c r="P38" s="579">
        <v>0.0</v>
      </c>
      <c r="Q38" s="569"/>
      <c r="R38" s="579">
        <v>18173.0</v>
      </c>
      <c r="S38" s="569"/>
      <c r="T38" s="579">
        <v>0.0</v>
      </c>
      <c r="U38" s="579">
        <v>0.0</v>
      </c>
      <c r="V38" s="579">
        <v>0.0</v>
      </c>
      <c r="W38" s="579"/>
      <c r="X38" s="579"/>
      <c r="Y38" s="579">
        <v>0.0</v>
      </c>
      <c r="Z38" s="569"/>
      <c r="AA38" s="579">
        <v>18173.0</v>
      </c>
    </row>
    <row r="39" ht="12.75" hidden="1" customHeight="1" outlineLevel="1">
      <c r="A39" s="569"/>
      <c r="B39" s="578" t="s">
        <v>1305</v>
      </c>
      <c r="D39" s="579">
        <v>11600.0</v>
      </c>
      <c r="E39" s="579">
        <v>0.0</v>
      </c>
      <c r="F39" s="579">
        <v>0.0</v>
      </c>
      <c r="G39" s="579">
        <v>0.0</v>
      </c>
      <c r="H39" s="579">
        <v>11600.0</v>
      </c>
      <c r="I39" s="569"/>
      <c r="J39" s="579">
        <v>0.0</v>
      </c>
      <c r="K39" s="579">
        <v>0.0</v>
      </c>
      <c r="L39" s="579">
        <v>0.0</v>
      </c>
      <c r="M39" s="579">
        <v>0.0</v>
      </c>
      <c r="N39" s="579">
        <v>0.0</v>
      </c>
      <c r="O39" s="579">
        <v>0.0</v>
      </c>
      <c r="P39" s="579">
        <v>0.0</v>
      </c>
      <c r="Q39" s="569"/>
      <c r="R39" s="579">
        <v>11600.0</v>
      </c>
      <c r="S39" s="569"/>
      <c r="T39" s="579">
        <v>0.0</v>
      </c>
      <c r="U39" s="579">
        <v>0.0</v>
      </c>
      <c r="V39" s="579">
        <v>0.0</v>
      </c>
      <c r="W39" s="579"/>
      <c r="X39" s="579"/>
      <c r="Y39" s="579">
        <v>0.0</v>
      </c>
      <c r="Z39" s="569"/>
      <c r="AA39" s="579">
        <v>11600.0</v>
      </c>
    </row>
    <row r="40" ht="12.75" hidden="1" customHeight="1" outlineLevel="1">
      <c r="A40" s="569"/>
      <c r="B40" s="578" t="s">
        <v>1306</v>
      </c>
      <c r="D40" s="579">
        <v>1714.0</v>
      </c>
      <c r="E40" s="579">
        <v>707.0</v>
      </c>
      <c r="F40" s="579">
        <v>0.0</v>
      </c>
      <c r="G40" s="579">
        <v>0.0</v>
      </c>
      <c r="H40" s="579">
        <v>2421.0</v>
      </c>
      <c r="I40" s="569"/>
      <c r="J40" s="579">
        <v>0.0</v>
      </c>
      <c r="K40" s="579">
        <v>0.0</v>
      </c>
      <c r="L40" s="579">
        <v>0.0</v>
      </c>
      <c r="M40" s="579">
        <v>0.0</v>
      </c>
      <c r="N40" s="579">
        <v>0.0</v>
      </c>
      <c r="O40" s="579">
        <v>0.0</v>
      </c>
      <c r="P40" s="579">
        <v>0.0</v>
      </c>
      <c r="Q40" s="569"/>
      <c r="R40" s="579">
        <v>2421.0</v>
      </c>
      <c r="S40" s="569"/>
      <c r="T40" s="579">
        <v>0.0</v>
      </c>
      <c r="U40" s="579">
        <v>0.0</v>
      </c>
      <c r="V40" s="579">
        <v>0.0</v>
      </c>
      <c r="W40" s="579"/>
      <c r="X40" s="579"/>
      <c r="Y40" s="579">
        <v>0.0</v>
      </c>
      <c r="Z40" s="569"/>
      <c r="AA40" s="579">
        <v>2421.0</v>
      </c>
    </row>
    <row r="41" ht="12.75" hidden="1" customHeight="1" outlineLevel="1">
      <c r="A41" s="569"/>
      <c r="B41" s="580" t="s">
        <v>1307</v>
      </c>
      <c r="D41" s="581">
        <v>0.0</v>
      </c>
      <c r="E41" s="581">
        <v>537500.0</v>
      </c>
      <c r="F41" s="581">
        <v>150000.0</v>
      </c>
      <c r="G41" s="581">
        <v>0.0</v>
      </c>
      <c r="H41" s="581">
        <v>687500.0</v>
      </c>
      <c r="I41" s="569"/>
      <c r="J41" s="581">
        <v>0.0</v>
      </c>
      <c r="K41" s="581">
        <v>0.0</v>
      </c>
      <c r="L41" s="581">
        <v>0.0</v>
      </c>
      <c r="M41" s="581">
        <v>0.0</v>
      </c>
      <c r="N41" s="581">
        <v>0.0</v>
      </c>
      <c r="O41" s="581">
        <v>0.0</v>
      </c>
      <c r="P41" s="581">
        <v>0.0</v>
      </c>
      <c r="Q41" s="569"/>
      <c r="R41" s="581">
        <v>687500.0</v>
      </c>
      <c r="S41" s="569"/>
      <c r="T41" s="581">
        <v>0.0</v>
      </c>
      <c r="U41" s="581">
        <v>0.0</v>
      </c>
      <c r="V41" s="581">
        <v>0.0</v>
      </c>
      <c r="W41" s="581"/>
      <c r="X41" s="581"/>
      <c r="Y41" s="581">
        <v>0.0</v>
      </c>
      <c r="Z41" s="569"/>
      <c r="AA41" s="581">
        <v>687500.0</v>
      </c>
    </row>
    <row r="42" ht="12.75" customHeight="1">
      <c r="A42" s="572"/>
      <c r="B42" s="570" t="s">
        <v>1308</v>
      </c>
      <c r="D42" s="582">
        <v>144243.0</v>
      </c>
      <c r="E42" s="582">
        <v>661206.0</v>
      </c>
      <c r="F42" s="582">
        <v>150000.0</v>
      </c>
      <c r="G42" s="582">
        <v>0.0</v>
      </c>
      <c r="H42" s="582">
        <v>955449.0</v>
      </c>
      <c r="I42" s="569"/>
      <c r="J42" s="582">
        <v>0.0</v>
      </c>
      <c r="K42" s="582">
        <v>0.0</v>
      </c>
      <c r="L42" s="582">
        <v>0.0</v>
      </c>
      <c r="M42" s="582">
        <v>0.0</v>
      </c>
      <c r="N42" s="582">
        <v>0.0</v>
      </c>
      <c r="O42" s="582">
        <v>0.0</v>
      </c>
      <c r="P42" s="582">
        <v>0.0</v>
      </c>
      <c r="Q42" s="569"/>
      <c r="R42" s="582">
        <v>955449.0</v>
      </c>
      <c r="S42" s="569"/>
      <c r="T42" s="582">
        <v>0.0</v>
      </c>
      <c r="U42" s="582">
        <v>0.0</v>
      </c>
      <c r="V42" s="582">
        <v>0.0</v>
      </c>
      <c r="W42" s="582"/>
      <c r="X42" s="582"/>
      <c r="Y42" s="582">
        <v>0.0</v>
      </c>
      <c r="Z42" s="569"/>
      <c r="AA42" s="582">
        <v>955449.0</v>
      </c>
    </row>
    <row r="43" ht="2.25" customHeight="1">
      <c r="A43" s="569"/>
      <c r="B43" s="578"/>
      <c r="D43" s="571"/>
      <c r="E43" s="571"/>
      <c r="F43" s="571"/>
      <c r="G43" s="571"/>
      <c r="H43" s="571"/>
      <c r="I43" s="569"/>
      <c r="J43" s="571"/>
      <c r="K43" s="571"/>
      <c r="L43" s="571"/>
      <c r="M43" s="571"/>
      <c r="N43" s="571"/>
      <c r="O43" s="571"/>
      <c r="P43" s="571"/>
      <c r="Q43" s="569"/>
      <c r="R43" s="571"/>
      <c r="S43" s="569"/>
      <c r="T43" s="571"/>
      <c r="U43" s="571"/>
      <c r="V43" s="571"/>
      <c r="W43" s="571"/>
      <c r="X43" s="571"/>
      <c r="Y43" s="571"/>
      <c r="Z43" s="569"/>
      <c r="AA43" s="571"/>
    </row>
    <row r="44" ht="12.75" hidden="1" customHeight="1" outlineLevel="1">
      <c r="A44" s="572"/>
      <c r="B44" s="572" t="s">
        <v>1309</v>
      </c>
      <c r="D44" s="585"/>
      <c r="E44" s="585"/>
      <c r="F44" s="585"/>
      <c r="G44" s="585"/>
      <c r="H44" s="585"/>
      <c r="I44" s="569"/>
      <c r="J44" s="585"/>
      <c r="K44" s="585"/>
      <c r="L44" s="585"/>
      <c r="M44" s="585"/>
      <c r="N44" s="585"/>
      <c r="O44" s="585"/>
      <c r="P44" s="585"/>
      <c r="Q44" s="569"/>
      <c r="R44" s="585"/>
      <c r="S44" s="569"/>
      <c r="T44" s="585"/>
      <c r="U44" s="585"/>
      <c r="V44" s="585"/>
      <c r="W44" s="585"/>
      <c r="X44" s="585"/>
      <c r="Y44" s="585"/>
      <c r="Z44" s="569"/>
      <c r="AA44" s="585"/>
    </row>
    <row r="45" ht="12.75" hidden="1" customHeight="1" outlineLevel="1">
      <c r="A45" s="569"/>
      <c r="B45" s="578" t="s">
        <v>1310</v>
      </c>
      <c r="D45" s="579">
        <v>166266.2025216</v>
      </c>
      <c r="E45" s="579">
        <v>155230.8350976</v>
      </c>
      <c r="F45" s="579">
        <v>0.0</v>
      </c>
      <c r="G45" s="579">
        <v>0.0</v>
      </c>
      <c r="H45" s="579">
        <v>321497.0376192</v>
      </c>
      <c r="I45" s="569"/>
      <c r="J45" s="579">
        <v>0.0</v>
      </c>
      <c r="K45" s="579">
        <v>0.0</v>
      </c>
      <c r="L45" s="579">
        <v>0.0</v>
      </c>
      <c r="M45" s="579">
        <v>0.0</v>
      </c>
      <c r="N45" s="579">
        <v>0.0</v>
      </c>
      <c r="O45" s="579">
        <v>0.0</v>
      </c>
      <c r="P45" s="579">
        <v>0.0</v>
      </c>
      <c r="Q45" s="569"/>
      <c r="R45" s="579">
        <v>321497.0376192</v>
      </c>
      <c r="S45" s="569"/>
      <c r="T45" s="579">
        <v>0.0</v>
      </c>
      <c r="U45" s="579">
        <v>0.0</v>
      </c>
      <c r="V45" s="579">
        <v>0.0</v>
      </c>
      <c r="W45" s="579"/>
      <c r="X45" s="579"/>
      <c r="Y45" s="579">
        <v>0.0</v>
      </c>
      <c r="Z45" s="569"/>
      <c r="AA45" s="579">
        <v>321497.0376192</v>
      </c>
    </row>
    <row r="46" ht="12.75" hidden="1" customHeight="1" outlineLevel="1">
      <c r="A46" s="569"/>
      <c r="B46" s="578" t="s">
        <v>1311</v>
      </c>
      <c r="D46" s="579">
        <v>11866.7400192</v>
      </c>
      <c r="E46" s="579">
        <v>11079.1245312</v>
      </c>
      <c r="F46" s="579">
        <v>0.0</v>
      </c>
      <c r="G46" s="579">
        <v>0.0</v>
      </c>
      <c r="H46" s="579">
        <v>22945.8645504</v>
      </c>
      <c r="I46" s="569"/>
      <c r="J46" s="579">
        <v>0.0</v>
      </c>
      <c r="K46" s="579">
        <v>0.0</v>
      </c>
      <c r="L46" s="579">
        <v>0.0</v>
      </c>
      <c r="M46" s="579">
        <v>0.0</v>
      </c>
      <c r="N46" s="579">
        <v>0.0</v>
      </c>
      <c r="O46" s="579">
        <v>0.0</v>
      </c>
      <c r="P46" s="579">
        <v>0.0</v>
      </c>
      <c r="Q46" s="569"/>
      <c r="R46" s="579">
        <v>22945.8645504</v>
      </c>
      <c r="S46" s="569"/>
      <c r="T46" s="579">
        <v>0.0</v>
      </c>
      <c r="U46" s="579">
        <v>0.0</v>
      </c>
      <c r="V46" s="579">
        <v>0.0</v>
      </c>
      <c r="W46" s="579"/>
      <c r="X46" s="579"/>
      <c r="Y46" s="579">
        <v>0.0</v>
      </c>
      <c r="Z46" s="569"/>
      <c r="AA46" s="579">
        <v>22945.8645504</v>
      </c>
    </row>
    <row r="47" ht="12.75" hidden="1" customHeight="1" outlineLevel="1">
      <c r="A47" s="569"/>
      <c r="B47" s="580" t="s">
        <v>1312</v>
      </c>
      <c r="D47" s="581">
        <v>8717.8346496</v>
      </c>
      <c r="E47" s="581">
        <v>8139.2173056</v>
      </c>
      <c r="F47" s="581">
        <v>0.0</v>
      </c>
      <c r="G47" s="581">
        <v>0.0</v>
      </c>
      <c r="H47" s="581">
        <v>16857.0519552</v>
      </c>
      <c r="I47" s="569"/>
      <c r="J47" s="581">
        <v>0.0</v>
      </c>
      <c r="K47" s="581">
        <v>0.0</v>
      </c>
      <c r="L47" s="581">
        <v>0.0</v>
      </c>
      <c r="M47" s="581">
        <v>0.0</v>
      </c>
      <c r="N47" s="581">
        <v>0.0</v>
      </c>
      <c r="O47" s="581">
        <v>0.0</v>
      </c>
      <c r="P47" s="581">
        <v>0.0</v>
      </c>
      <c r="Q47" s="569"/>
      <c r="R47" s="581">
        <v>16857.0519552</v>
      </c>
      <c r="S47" s="569"/>
      <c r="T47" s="581">
        <v>0.0</v>
      </c>
      <c r="U47" s="581">
        <v>0.0</v>
      </c>
      <c r="V47" s="581">
        <v>0.0</v>
      </c>
      <c r="W47" s="581"/>
      <c r="X47" s="581"/>
      <c r="Y47" s="581">
        <v>0.0</v>
      </c>
      <c r="Z47" s="569"/>
      <c r="AA47" s="581">
        <v>16857.0519552</v>
      </c>
    </row>
    <row r="48" ht="12.75" customHeight="1">
      <c r="A48" s="572"/>
      <c r="B48" s="570" t="s">
        <v>1313</v>
      </c>
      <c r="D48" s="582">
        <v>186850.7771904</v>
      </c>
      <c r="E48" s="582">
        <v>174449.1769344</v>
      </c>
      <c r="F48" s="582">
        <v>0.0</v>
      </c>
      <c r="G48" s="582">
        <v>0.0</v>
      </c>
      <c r="H48" s="582">
        <v>361299.9541248</v>
      </c>
      <c r="I48" s="569"/>
      <c r="J48" s="582">
        <v>0.0</v>
      </c>
      <c r="K48" s="582">
        <v>0.0</v>
      </c>
      <c r="L48" s="582">
        <v>0.0</v>
      </c>
      <c r="M48" s="582">
        <v>0.0</v>
      </c>
      <c r="N48" s="582">
        <v>0.0</v>
      </c>
      <c r="O48" s="582">
        <v>0.0</v>
      </c>
      <c r="P48" s="582">
        <v>0.0</v>
      </c>
      <c r="Q48" s="569"/>
      <c r="R48" s="582">
        <v>361299.9541248</v>
      </c>
      <c r="S48" s="569"/>
      <c r="T48" s="582">
        <v>0.0</v>
      </c>
      <c r="U48" s="582">
        <v>0.0</v>
      </c>
      <c r="V48" s="582">
        <v>0.0</v>
      </c>
      <c r="W48" s="582"/>
      <c r="X48" s="582"/>
      <c r="Y48" s="582">
        <v>0.0</v>
      </c>
      <c r="Z48" s="569"/>
      <c r="AA48" s="582">
        <v>361299.9541248</v>
      </c>
    </row>
    <row r="49" ht="2.25" customHeight="1">
      <c r="A49" s="569"/>
      <c r="B49" s="578"/>
      <c r="D49" s="579"/>
      <c r="E49" s="579"/>
      <c r="F49" s="579"/>
      <c r="G49" s="579"/>
      <c r="H49" s="579"/>
      <c r="I49" s="569"/>
      <c r="J49" s="579"/>
      <c r="K49" s="579"/>
      <c r="L49" s="579"/>
      <c r="M49" s="579"/>
      <c r="N49" s="579"/>
      <c r="O49" s="579"/>
      <c r="P49" s="579"/>
      <c r="Q49" s="569"/>
      <c r="R49" s="579"/>
      <c r="S49" s="569"/>
      <c r="T49" s="579"/>
      <c r="U49" s="579"/>
      <c r="V49" s="579"/>
      <c r="W49" s="579"/>
      <c r="X49" s="579"/>
      <c r="Y49" s="579"/>
      <c r="Z49" s="569"/>
      <c r="AA49" s="579"/>
    </row>
    <row r="50" ht="12.75" hidden="1" customHeight="1" outlineLevel="1">
      <c r="A50" s="569"/>
      <c r="B50" s="570" t="s">
        <v>1314</v>
      </c>
      <c r="D50" s="571"/>
      <c r="E50" s="571"/>
      <c r="F50" s="571"/>
      <c r="G50" s="571"/>
      <c r="H50" s="571"/>
      <c r="I50" s="569"/>
      <c r="J50" s="571"/>
      <c r="K50" s="571"/>
      <c r="L50" s="571"/>
      <c r="M50" s="571"/>
      <c r="N50" s="571"/>
      <c r="O50" s="571"/>
      <c r="P50" s="571"/>
      <c r="Q50" s="569"/>
      <c r="R50" s="571"/>
      <c r="S50" s="569"/>
      <c r="T50" s="571"/>
      <c r="U50" s="571"/>
      <c r="V50" s="571"/>
      <c r="W50" s="571"/>
      <c r="X50" s="571"/>
      <c r="Y50" s="571"/>
      <c r="Z50" s="569"/>
      <c r="AA50" s="571"/>
    </row>
    <row r="51" ht="12.75" hidden="1" customHeight="1" outlineLevel="1">
      <c r="A51" s="569"/>
      <c r="B51" s="578" t="s">
        <v>1315</v>
      </c>
      <c r="D51" s="579">
        <v>0.0</v>
      </c>
      <c r="E51" s="579">
        <v>0.0</v>
      </c>
      <c r="F51" s="579">
        <v>0.0</v>
      </c>
      <c r="G51" s="579">
        <v>0.0</v>
      </c>
      <c r="H51" s="579">
        <v>0.0</v>
      </c>
      <c r="I51" s="569"/>
      <c r="J51" s="579">
        <v>0.0</v>
      </c>
      <c r="K51" s="579">
        <v>0.0</v>
      </c>
      <c r="L51" s="579">
        <v>0.0</v>
      </c>
      <c r="M51" s="579">
        <v>0.0</v>
      </c>
      <c r="N51" s="579">
        <v>0.0</v>
      </c>
      <c r="O51" s="579">
        <v>0.0</v>
      </c>
      <c r="P51" s="579">
        <v>0.0</v>
      </c>
      <c r="Q51" s="569"/>
      <c r="R51" s="579">
        <v>0.0</v>
      </c>
      <c r="S51" s="569"/>
      <c r="T51" s="579">
        <v>0.0</v>
      </c>
      <c r="U51" s="579">
        <v>0.0</v>
      </c>
      <c r="V51" s="579">
        <v>0.0</v>
      </c>
      <c r="W51" s="579"/>
      <c r="X51" s="579"/>
      <c r="Y51" s="579">
        <v>0.0</v>
      </c>
      <c r="Z51" s="569"/>
      <c r="AA51" s="579">
        <v>0.0</v>
      </c>
    </row>
    <row r="52" ht="12.75" hidden="1" customHeight="1" outlineLevel="1">
      <c r="A52" s="569"/>
      <c r="B52" s="580" t="s">
        <v>1316</v>
      </c>
      <c r="D52" s="581">
        <v>0.0</v>
      </c>
      <c r="E52" s="581">
        <v>259945.205479452</v>
      </c>
      <c r="F52" s="581">
        <v>0.0</v>
      </c>
      <c r="G52" s="581">
        <v>250000.0</v>
      </c>
      <c r="H52" s="581">
        <v>509945.205479452</v>
      </c>
      <c r="I52" s="569"/>
      <c r="J52" s="581">
        <v>0.0</v>
      </c>
      <c r="K52" s="581">
        <v>0.0</v>
      </c>
      <c r="L52" s="581">
        <v>0.0</v>
      </c>
      <c r="M52" s="581">
        <v>520909.589041096</v>
      </c>
      <c r="N52" s="581">
        <v>0.0</v>
      </c>
      <c r="O52" s="581">
        <v>0.0</v>
      </c>
      <c r="P52" s="581">
        <v>520909.589041096</v>
      </c>
      <c r="Q52" s="569"/>
      <c r="R52" s="581">
        <v>1030854.79452055</v>
      </c>
      <c r="S52" s="569"/>
      <c r="T52" s="581">
        <v>0.0</v>
      </c>
      <c r="U52" s="581">
        <v>0.0</v>
      </c>
      <c r="V52" s="581">
        <v>0.0</v>
      </c>
      <c r="W52" s="581"/>
      <c r="X52" s="581"/>
      <c r="Y52" s="581">
        <v>0.0</v>
      </c>
      <c r="Z52" s="569"/>
      <c r="AA52" s="581">
        <v>1030854.79452055</v>
      </c>
    </row>
    <row r="53" ht="12.75" customHeight="1">
      <c r="A53" s="572"/>
      <c r="B53" s="570" t="s">
        <v>797</v>
      </c>
      <c r="D53" s="582">
        <v>0.0</v>
      </c>
      <c r="E53" s="582">
        <v>259945.205479452</v>
      </c>
      <c r="F53" s="582">
        <v>0.0</v>
      </c>
      <c r="G53" s="582">
        <v>250000.0</v>
      </c>
      <c r="H53" s="582">
        <v>509945.205479452</v>
      </c>
      <c r="I53" s="569"/>
      <c r="J53" s="582">
        <v>0.0</v>
      </c>
      <c r="K53" s="582">
        <v>0.0</v>
      </c>
      <c r="L53" s="582">
        <v>0.0</v>
      </c>
      <c r="M53" s="582">
        <v>520909.589041096</v>
      </c>
      <c r="N53" s="582">
        <v>0.0</v>
      </c>
      <c r="O53" s="582">
        <v>0.0</v>
      </c>
      <c r="P53" s="582">
        <v>520909.589041096</v>
      </c>
      <c r="Q53" s="569"/>
      <c r="R53" s="582">
        <v>1030854.79452055</v>
      </c>
      <c r="S53" s="569"/>
      <c r="T53" s="582">
        <v>0.0</v>
      </c>
      <c r="U53" s="582">
        <v>0.0</v>
      </c>
      <c r="V53" s="582">
        <v>0.0</v>
      </c>
      <c r="W53" s="582"/>
      <c r="X53" s="582"/>
      <c r="Y53" s="582">
        <v>0.0</v>
      </c>
      <c r="Z53" s="569"/>
      <c r="AA53" s="582">
        <v>1030854.79452055</v>
      </c>
    </row>
    <row r="54" ht="2.25" customHeight="1">
      <c r="A54" s="569"/>
      <c r="B54" s="578"/>
      <c r="D54" s="571"/>
      <c r="E54" s="571"/>
      <c r="F54" s="571"/>
      <c r="G54" s="571"/>
      <c r="H54" s="571"/>
      <c r="I54" s="569"/>
      <c r="J54" s="571"/>
      <c r="K54" s="571"/>
      <c r="L54" s="571"/>
      <c r="M54" s="571"/>
      <c r="N54" s="571"/>
      <c r="O54" s="571"/>
      <c r="P54" s="571"/>
      <c r="Q54" s="569"/>
      <c r="R54" s="571"/>
      <c r="S54" s="569"/>
      <c r="T54" s="571"/>
      <c r="U54" s="571"/>
      <c r="V54" s="571"/>
      <c r="W54" s="571"/>
      <c r="X54" s="571"/>
      <c r="Y54" s="571"/>
      <c r="Z54" s="569"/>
      <c r="AA54" s="571"/>
    </row>
    <row r="55" ht="12.75" hidden="1" customHeight="1" outlineLevel="1">
      <c r="A55" s="569"/>
      <c r="B55" s="570" t="s">
        <v>1317</v>
      </c>
      <c r="D55" s="571"/>
      <c r="E55" s="571"/>
      <c r="F55" s="571"/>
      <c r="G55" s="571"/>
      <c r="H55" s="571"/>
      <c r="I55" s="569"/>
      <c r="J55" s="571"/>
      <c r="K55" s="571"/>
      <c r="L55" s="571"/>
      <c r="M55" s="571"/>
      <c r="N55" s="571"/>
      <c r="O55" s="571"/>
      <c r="P55" s="571"/>
      <c r="Q55" s="569"/>
      <c r="R55" s="571"/>
      <c r="S55" s="569"/>
      <c r="T55" s="571"/>
      <c r="U55" s="571"/>
      <c r="V55" s="571"/>
      <c r="W55" s="571"/>
      <c r="X55" s="571"/>
      <c r="Y55" s="571"/>
      <c r="Z55" s="569"/>
      <c r="AA55" s="571"/>
    </row>
    <row r="56" ht="12.75" hidden="1" customHeight="1" outlineLevel="1">
      <c r="A56" s="569"/>
      <c r="B56" s="578" t="s">
        <v>1318</v>
      </c>
      <c r="D56" s="579">
        <v>0.0</v>
      </c>
      <c r="E56" s="579">
        <v>30000.0</v>
      </c>
      <c r="F56" s="579">
        <v>0.0</v>
      </c>
      <c r="G56" s="579">
        <v>0.0</v>
      </c>
      <c r="H56" s="579">
        <v>30000.0</v>
      </c>
      <c r="I56" s="569"/>
      <c r="J56" s="579">
        <v>0.0</v>
      </c>
      <c r="K56" s="579">
        <v>0.0</v>
      </c>
      <c r="L56" s="579">
        <v>-30000.0</v>
      </c>
      <c r="M56" s="579">
        <v>0.0</v>
      </c>
      <c r="N56" s="579">
        <v>0.0</v>
      </c>
      <c r="O56" s="579">
        <v>0.0</v>
      </c>
      <c r="P56" s="579">
        <v>-30000.0</v>
      </c>
      <c r="Q56" s="569"/>
      <c r="R56" s="579">
        <v>0.0</v>
      </c>
      <c r="S56" s="569"/>
      <c r="T56" s="579">
        <v>0.0</v>
      </c>
      <c r="U56" s="579">
        <v>0.0</v>
      </c>
      <c r="V56" s="579">
        <v>0.0</v>
      </c>
      <c r="W56" s="579"/>
      <c r="X56" s="579">
        <v>0.0</v>
      </c>
      <c r="Y56" s="579">
        <v>0.0</v>
      </c>
      <c r="Z56" s="569"/>
      <c r="AA56" s="579">
        <v>0.0</v>
      </c>
    </row>
    <row r="57" ht="12.75" hidden="1" customHeight="1" outlineLevel="1">
      <c r="A57" s="569"/>
      <c r="B57" s="578" t="s">
        <v>1319</v>
      </c>
      <c r="D57" s="579">
        <v>0.0</v>
      </c>
      <c r="E57" s="579">
        <v>0.0</v>
      </c>
      <c r="F57" s="579">
        <v>0.0</v>
      </c>
      <c r="G57" s="579">
        <v>0.0</v>
      </c>
      <c r="H57" s="579">
        <v>0.0</v>
      </c>
      <c r="I57" s="569"/>
      <c r="J57" s="579">
        <v>0.0</v>
      </c>
      <c r="K57" s="579">
        <v>0.0</v>
      </c>
      <c r="L57" s="579">
        <v>819334.460047945</v>
      </c>
      <c r="M57" s="579">
        <v>0.0</v>
      </c>
      <c r="N57" s="579">
        <v>0.0</v>
      </c>
      <c r="O57" s="579">
        <v>0.0</v>
      </c>
      <c r="P57" s="579">
        <v>819334.460047945</v>
      </c>
      <c r="Q57" s="569"/>
      <c r="R57" s="579">
        <v>819334.460047945</v>
      </c>
      <c r="S57" s="569"/>
      <c r="T57" s="579">
        <v>0.0</v>
      </c>
      <c r="U57" s="579">
        <v>0.0</v>
      </c>
      <c r="V57" s="579">
        <v>0.0</v>
      </c>
      <c r="W57" s="579"/>
      <c r="X57" s="579">
        <v>85637.5</v>
      </c>
      <c r="Y57" s="579">
        <v>85637.5</v>
      </c>
      <c r="Z57" s="569"/>
      <c r="AA57" s="579">
        <v>894468.082947945</v>
      </c>
    </row>
    <row r="58" ht="12.75" hidden="1" customHeight="1" outlineLevel="1">
      <c r="A58" s="569"/>
      <c r="B58" s="578" t="s">
        <v>1320</v>
      </c>
      <c r="D58" s="579">
        <v>0.0</v>
      </c>
      <c r="E58" s="579">
        <v>0.0</v>
      </c>
      <c r="F58" s="579">
        <v>0.0</v>
      </c>
      <c r="G58" s="579">
        <v>0.0</v>
      </c>
      <c r="H58" s="579">
        <v>0.0</v>
      </c>
      <c r="I58" s="569"/>
      <c r="J58" s="579">
        <v>0.0</v>
      </c>
      <c r="K58" s="579">
        <v>0.0</v>
      </c>
      <c r="L58" s="579">
        <v>0.0</v>
      </c>
      <c r="M58" s="579">
        <v>0.0</v>
      </c>
      <c r="N58" s="579">
        <v>0.0</v>
      </c>
      <c r="O58" s="579">
        <v>0.0</v>
      </c>
      <c r="P58" s="579">
        <v>0.0</v>
      </c>
      <c r="Q58" s="569"/>
      <c r="R58" s="579">
        <v>0.0</v>
      </c>
      <c r="S58" s="569"/>
      <c r="T58" s="579">
        <v>615667.671</v>
      </c>
      <c r="U58" s="579">
        <v>697350.24909589</v>
      </c>
      <c r="V58" s="579">
        <v>150000.0</v>
      </c>
      <c r="W58" s="579">
        <v>0.0</v>
      </c>
      <c r="X58" s="579">
        <v>104766.329375</v>
      </c>
      <c r="Y58" s="579">
        <v>1567784.24947089</v>
      </c>
      <c r="Z58" s="569"/>
      <c r="AA58" s="579">
        <v>1546776.49527089</v>
      </c>
    </row>
    <row r="59" ht="12.75" hidden="1" customHeight="1" outlineLevel="1">
      <c r="A59" s="569"/>
      <c r="B59" s="580" t="s">
        <v>1321</v>
      </c>
      <c r="D59" s="581">
        <v>0.0</v>
      </c>
      <c r="E59" s="581">
        <v>0.0</v>
      </c>
      <c r="F59" s="581">
        <v>0.0</v>
      </c>
      <c r="G59" s="581">
        <v>0.0</v>
      </c>
      <c r="H59" s="581">
        <v>0.0</v>
      </c>
      <c r="I59" s="569"/>
      <c r="J59" s="581">
        <v>0.0</v>
      </c>
      <c r="K59" s="581">
        <v>0.0</v>
      </c>
      <c r="L59" s="581">
        <v>354542.230023973</v>
      </c>
      <c r="M59" s="581">
        <v>0.0</v>
      </c>
      <c r="N59" s="581">
        <v>0.0</v>
      </c>
      <c r="O59" s="581">
        <v>0.0</v>
      </c>
      <c r="P59" s="581">
        <v>354542.230023973</v>
      </c>
      <c r="Q59" s="569"/>
      <c r="R59" s="581">
        <v>354542.230023973</v>
      </c>
      <c r="S59" s="569"/>
      <c r="T59" s="581">
        <v>0.0</v>
      </c>
      <c r="U59" s="581">
        <v>0.0</v>
      </c>
      <c r="V59" s="581">
        <v>0.0</v>
      </c>
      <c r="W59" s="581"/>
      <c r="X59" s="581">
        <v>0.0</v>
      </c>
      <c r="Y59" s="581">
        <v>0.0</v>
      </c>
      <c r="Z59" s="569"/>
      <c r="AA59" s="581">
        <v>349290.291473973</v>
      </c>
    </row>
    <row r="60" ht="12.75" customHeight="1">
      <c r="A60" s="572"/>
      <c r="B60" s="570" t="s">
        <v>1322</v>
      </c>
      <c r="D60" s="582">
        <v>0.0</v>
      </c>
      <c r="E60" s="582">
        <v>30000.0</v>
      </c>
      <c r="F60" s="582">
        <v>0.0</v>
      </c>
      <c r="G60" s="582">
        <v>0.0</v>
      </c>
      <c r="H60" s="582">
        <v>30000.0</v>
      </c>
      <c r="I60" s="569"/>
      <c r="J60" s="582">
        <v>0.0</v>
      </c>
      <c r="K60" s="582">
        <v>0.0</v>
      </c>
      <c r="L60" s="582">
        <v>1143876.69007192</v>
      </c>
      <c r="M60" s="582">
        <v>0.0</v>
      </c>
      <c r="N60" s="582">
        <v>0.0</v>
      </c>
      <c r="O60" s="582">
        <v>0.0</v>
      </c>
      <c r="P60" s="582">
        <v>1143876.69007192</v>
      </c>
      <c r="Q60" s="569"/>
      <c r="R60" s="582">
        <v>1173876.69007192</v>
      </c>
      <c r="S60" s="569"/>
      <c r="T60" s="582">
        <v>615667.671</v>
      </c>
      <c r="U60" s="582">
        <v>697350.24909589</v>
      </c>
      <c r="V60" s="582">
        <v>150000.0</v>
      </c>
      <c r="W60" s="582">
        <v>0.0</v>
      </c>
      <c r="X60" s="582">
        <v>190403.829375</v>
      </c>
      <c r="Y60" s="582">
        <v>1653421.74947089</v>
      </c>
      <c r="Z60" s="569"/>
      <c r="AA60" s="582">
        <v>2790534.86969281</v>
      </c>
    </row>
    <row r="61" ht="2.25" customHeight="1">
      <c r="A61" s="569"/>
      <c r="B61" s="578"/>
      <c r="D61" s="571"/>
      <c r="E61" s="571"/>
      <c r="F61" s="571"/>
      <c r="G61" s="571"/>
      <c r="H61" s="571"/>
      <c r="I61" s="569"/>
      <c r="J61" s="571"/>
      <c r="K61" s="571"/>
      <c r="L61" s="571"/>
      <c r="M61" s="571"/>
      <c r="N61" s="571"/>
      <c r="O61" s="571"/>
      <c r="P61" s="571"/>
      <c r="Q61" s="569"/>
      <c r="R61" s="571"/>
      <c r="S61" s="569"/>
      <c r="T61" s="571"/>
      <c r="U61" s="571"/>
      <c r="V61" s="571"/>
      <c r="W61" s="571"/>
      <c r="X61" s="571"/>
      <c r="Y61" s="571"/>
      <c r="Z61" s="569"/>
      <c r="AA61" s="571"/>
    </row>
    <row r="62" ht="12.75" hidden="1" customHeight="1" outlineLevel="1">
      <c r="A62" s="569"/>
      <c r="B62" s="570" t="s">
        <v>1323</v>
      </c>
      <c r="D62" s="571"/>
      <c r="E62" s="571"/>
      <c r="F62" s="571"/>
      <c r="G62" s="571"/>
      <c r="H62" s="571"/>
      <c r="I62" s="569"/>
      <c r="J62" s="571"/>
      <c r="K62" s="571"/>
      <c r="L62" s="571"/>
      <c r="M62" s="571"/>
      <c r="N62" s="571"/>
      <c r="O62" s="571"/>
      <c r="P62" s="571"/>
      <c r="Q62" s="569"/>
      <c r="R62" s="571"/>
      <c r="S62" s="569"/>
      <c r="T62" s="571"/>
      <c r="U62" s="571"/>
      <c r="V62" s="571"/>
      <c r="W62" s="571"/>
      <c r="X62" s="571"/>
      <c r="Y62" s="571"/>
      <c r="Z62" s="569"/>
      <c r="AA62" s="571"/>
    </row>
    <row r="63" ht="12.75" hidden="1" customHeight="1" outlineLevel="1">
      <c r="A63" s="569"/>
      <c r="B63" s="578" t="s">
        <v>1324</v>
      </c>
      <c r="D63" s="579">
        <v>0.0</v>
      </c>
      <c r="E63" s="579">
        <v>0.0</v>
      </c>
      <c r="F63" s="583">
        <v>5000.0</v>
      </c>
      <c r="G63" s="579">
        <v>0.0</v>
      </c>
      <c r="H63" s="579">
        <v>5000.0</v>
      </c>
      <c r="I63" s="569"/>
      <c r="J63" s="579">
        <v>0.0</v>
      </c>
      <c r="K63" s="579">
        <v>0.0</v>
      </c>
      <c r="L63" s="579">
        <v>0.0</v>
      </c>
      <c r="M63" s="579">
        <v>0.0</v>
      </c>
      <c r="N63" s="579">
        <v>0.0</v>
      </c>
      <c r="O63" s="579">
        <v>0.0</v>
      </c>
      <c r="P63" s="579">
        <v>0.0</v>
      </c>
      <c r="Q63" s="569"/>
      <c r="R63" s="579">
        <v>5000.0</v>
      </c>
      <c r="S63" s="569"/>
      <c r="T63" s="579">
        <v>0.0</v>
      </c>
      <c r="U63" s="579">
        <v>0.0</v>
      </c>
      <c r="V63" s="579">
        <v>0.0</v>
      </c>
      <c r="W63" s="579"/>
      <c r="X63" s="579"/>
      <c r="Y63" s="579">
        <v>0.0</v>
      </c>
      <c r="Z63" s="569"/>
      <c r="AA63" s="579">
        <v>5000.0</v>
      </c>
    </row>
    <row r="64" ht="12.75" hidden="1" customHeight="1" outlineLevel="1">
      <c r="A64" s="569"/>
      <c r="B64" s="578" t="s">
        <v>1325</v>
      </c>
      <c r="D64" s="579">
        <v>0.0</v>
      </c>
      <c r="E64" s="579">
        <v>0.0</v>
      </c>
      <c r="F64" s="579">
        <v>0.0</v>
      </c>
      <c r="G64" s="579">
        <v>0.0</v>
      </c>
      <c r="H64" s="579">
        <v>0.0</v>
      </c>
      <c r="I64" s="569"/>
      <c r="J64" s="579">
        <v>0.0</v>
      </c>
      <c r="K64" s="579">
        <v>0.0</v>
      </c>
      <c r="L64" s="579">
        <v>0.0</v>
      </c>
      <c r="M64" s="579">
        <v>90000.0</v>
      </c>
      <c r="N64" s="579">
        <v>50000.0</v>
      </c>
      <c r="O64" s="579">
        <v>0.0</v>
      </c>
      <c r="P64" s="579">
        <v>140000.0</v>
      </c>
      <c r="Q64" s="569"/>
      <c r="R64" s="579">
        <v>140000.0</v>
      </c>
      <c r="S64" s="569"/>
      <c r="T64" s="579">
        <v>0.0</v>
      </c>
      <c r="U64" s="579">
        <v>0.0</v>
      </c>
      <c r="V64" s="579">
        <v>0.0</v>
      </c>
      <c r="W64" s="579"/>
      <c r="X64" s="579"/>
      <c r="Y64" s="579">
        <v>0.0</v>
      </c>
      <c r="Z64" s="569"/>
      <c r="AA64" s="579">
        <v>50000.0</v>
      </c>
    </row>
    <row r="65" ht="12.75" hidden="1" customHeight="1" outlineLevel="1">
      <c r="A65" s="569"/>
      <c r="B65" s="578" t="s">
        <v>1326</v>
      </c>
      <c r="D65" s="579">
        <v>0.0</v>
      </c>
      <c r="E65" s="579">
        <v>5000.0</v>
      </c>
      <c r="F65" s="579">
        <v>0.0</v>
      </c>
      <c r="G65" s="579">
        <v>0.0</v>
      </c>
      <c r="H65" s="579">
        <v>5000.0</v>
      </c>
      <c r="I65" s="569"/>
      <c r="J65" s="579">
        <v>0.0</v>
      </c>
      <c r="K65" s="579">
        <v>0.0</v>
      </c>
      <c r="L65" s="579">
        <v>0.0</v>
      </c>
      <c r="M65" s="579">
        <v>0.0</v>
      </c>
      <c r="N65" s="579">
        <v>0.0</v>
      </c>
      <c r="O65" s="579">
        <v>0.0</v>
      </c>
      <c r="P65" s="579">
        <v>0.0</v>
      </c>
      <c r="Q65" s="569"/>
      <c r="R65" s="579">
        <v>5000.0</v>
      </c>
      <c r="S65" s="569"/>
      <c r="T65" s="579">
        <v>0.0</v>
      </c>
      <c r="U65" s="579">
        <v>0.0</v>
      </c>
      <c r="V65" s="579">
        <v>0.0</v>
      </c>
      <c r="W65" s="579"/>
      <c r="X65" s="579"/>
      <c r="Y65" s="579">
        <v>0.0</v>
      </c>
      <c r="Z65" s="569"/>
      <c r="AA65" s="579">
        <v>5000.0</v>
      </c>
    </row>
    <row r="66" ht="12.75" hidden="1" customHeight="1" outlineLevel="1">
      <c r="A66" s="569"/>
      <c r="B66" s="580" t="s">
        <v>1327</v>
      </c>
      <c r="D66" s="581">
        <v>0.0</v>
      </c>
      <c r="E66" s="581">
        <v>0.0</v>
      </c>
      <c r="F66" s="581">
        <v>0.0</v>
      </c>
      <c r="G66" s="581">
        <v>0.0</v>
      </c>
      <c r="H66" s="581">
        <v>0.0</v>
      </c>
      <c r="I66" s="569"/>
      <c r="J66" s="581">
        <v>0.0</v>
      </c>
      <c r="K66" s="581">
        <v>0.0</v>
      </c>
      <c r="L66" s="581">
        <v>0.0</v>
      </c>
      <c r="M66" s="581">
        <v>0.0</v>
      </c>
      <c r="N66" s="581">
        <v>0.0</v>
      </c>
      <c r="O66" s="581">
        <v>0.0</v>
      </c>
      <c r="P66" s="581">
        <v>0.0</v>
      </c>
      <c r="Q66" s="569"/>
      <c r="R66" s="581">
        <v>0.0</v>
      </c>
      <c r="S66" s="569"/>
      <c r="T66" s="581">
        <v>0.0</v>
      </c>
      <c r="U66" s="581">
        <v>0.0</v>
      </c>
      <c r="V66" s="581">
        <v>0.0</v>
      </c>
      <c r="W66" s="581"/>
      <c r="X66" s="581"/>
      <c r="Y66" s="581">
        <v>0.0</v>
      </c>
      <c r="Z66" s="569"/>
      <c r="AA66" s="581">
        <v>0.0</v>
      </c>
    </row>
    <row r="67" ht="12.75" customHeight="1">
      <c r="A67" s="572"/>
      <c r="B67" s="570" t="s">
        <v>1328</v>
      </c>
      <c r="D67" s="582">
        <v>0.0</v>
      </c>
      <c r="E67" s="582">
        <v>5000.0</v>
      </c>
      <c r="F67" s="582">
        <v>5000.0</v>
      </c>
      <c r="G67" s="582">
        <v>0.0</v>
      </c>
      <c r="H67" s="582">
        <v>10000.0</v>
      </c>
      <c r="I67" s="569"/>
      <c r="J67" s="582">
        <v>0.0</v>
      </c>
      <c r="K67" s="582">
        <v>0.0</v>
      </c>
      <c r="L67" s="582">
        <v>0.0</v>
      </c>
      <c r="M67" s="582">
        <v>90000.0</v>
      </c>
      <c r="N67" s="582">
        <v>50000.0</v>
      </c>
      <c r="O67" s="582">
        <v>0.0</v>
      </c>
      <c r="P67" s="582">
        <v>140000.0</v>
      </c>
      <c r="Q67" s="569"/>
      <c r="R67" s="582">
        <v>150000.0</v>
      </c>
      <c r="S67" s="569"/>
      <c r="T67" s="582">
        <v>0.0</v>
      </c>
      <c r="U67" s="582">
        <v>0.0</v>
      </c>
      <c r="V67" s="582">
        <v>0.0</v>
      </c>
      <c r="W67" s="582">
        <v>0.0</v>
      </c>
      <c r="X67" s="582">
        <v>0.0</v>
      </c>
      <c r="Y67" s="582">
        <v>0.0</v>
      </c>
      <c r="Z67" s="569"/>
      <c r="AA67" s="582">
        <v>60000.0</v>
      </c>
    </row>
    <row r="68" ht="2.25" customHeight="1">
      <c r="A68" s="569"/>
      <c r="B68" s="578"/>
      <c r="D68" s="571"/>
      <c r="E68" s="571"/>
      <c r="F68" s="571" t="s">
        <v>1329</v>
      </c>
      <c r="G68" s="571"/>
      <c r="H68" s="571"/>
      <c r="I68" s="569"/>
      <c r="J68" s="571"/>
      <c r="K68" s="571"/>
      <c r="L68" s="571"/>
      <c r="M68" s="571"/>
      <c r="N68" s="571"/>
      <c r="O68" s="571"/>
      <c r="P68" s="571"/>
      <c r="Q68" s="569"/>
      <c r="R68" s="571"/>
      <c r="S68" s="569"/>
      <c r="T68" s="571"/>
      <c r="U68" s="571"/>
      <c r="V68" s="571"/>
      <c r="W68" s="571"/>
      <c r="X68" s="571"/>
      <c r="Y68" s="571"/>
      <c r="Z68" s="569"/>
      <c r="AA68" s="571"/>
    </row>
    <row r="69" ht="12.75" customHeight="1">
      <c r="A69" s="572"/>
      <c r="B69" s="586" t="s">
        <v>239</v>
      </c>
      <c r="D69" s="587">
        <v>3291253.1321904</v>
      </c>
      <c r="E69" s="587">
        <v>3890391.42241385</v>
      </c>
      <c r="F69" s="587">
        <v>155000.0</v>
      </c>
      <c r="G69" s="587">
        <v>250000.0</v>
      </c>
      <c r="H69" s="587">
        <v>7586644.55460425</v>
      </c>
      <c r="I69" s="569"/>
      <c r="J69" s="587">
        <v>460918.3264</v>
      </c>
      <c r="K69" s="587">
        <v>0.0</v>
      </c>
      <c r="L69" s="587">
        <v>1143876.69007192</v>
      </c>
      <c r="M69" s="587">
        <v>610909.589041096</v>
      </c>
      <c r="N69" s="587">
        <v>50000.0</v>
      </c>
      <c r="O69" s="587">
        <v>0.0</v>
      </c>
      <c r="P69" s="587">
        <v>2265704.60551301</v>
      </c>
      <c r="Q69" s="569"/>
      <c r="R69" s="587">
        <v>9852349.16011727</v>
      </c>
      <c r="S69" s="569"/>
      <c r="T69" s="587">
        <v>615667.671</v>
      </c>
      <c r="U69" s="587">
        <v>697350.24909589</v>
      </c>
      <c r="V69" s="587">
        <v>150000.0</v>
      </c>
      <c r="W69" s="587">
        <v>0.0</v>
      </c>
      <c r="X69" s="587">
        <v>190403.829375</v>
      </c>
      <c r="Y69" s="587">
        <v>1653421.74947089</v>
      </c>
      <c r="Z69" s="569"/>
      <c r="AA69" s="587">
        <v>1.12739685687382E7</v>
      </c>
    </row>
    <row r="70" ht="12.75" customHeight="1">
      <c r="A70" s="569"/>
      <c r="B70" s="569"/>
      <c r="D70" s="571"/>
      <c r="E70" s="571"/>
      <c r="F70" s="571"/>
      <c r="G70" s="571"/>
      <c r="H70" s="571"/>
      <c r="I70" s="569"/>
      <c r="J70" s="571"/>
      <c r="K70" s="571"/>
      <c r="L70" s="571"/>
      <c r="M70" s="571"/>
      <c r="N70" s="571"/>
      <c r="O70" s="571"/>
      <c r="P70" s="571"/>
      <c r="Q70" s="569"/>
      <c r="R70" s="571"/>
      <c r="S70" s="569"/>
      <c r="T70" s="571"/>
      <c r="U70" s="571"/>
      <c r="V70" s="571"/>
      <c r="W70" s="571"/>
      <c r="X70" s="571"/>
      <c r="Y70" s="571"/>
      <c r="Z70" s="569"/>
      <c r="AA70" s="571"/>
    </row>
    <row r="71" ht="12.75" customHeight="1">
      <c r="A71" s="569"/>
      <c r="B71" s="572" t="s">
        <v>178</v>
      </c>
      <c r="D71" s="571"/>
      <c r="E71" s="571"/>
      <c r="F71" s="571"/>
      <c r="G71" s="571"/>
      <c r="H71" s="571"/>
      <c r="I71" s="569"/>
      <c r="J71" s="571"/>
      <c r="K71" s="571"/>
      <c r="L71" s="571"/>
      <c r="M71" s="571"/>
      <c r="N71" s="571"/>
      <c r="O71" s="571"/>
      <c r="P71" s="571"/>
      <c r="Q71" s="569"/>
      <c r="R71" s="571"/>
      <c r="S71" s="569"/>
      <c r="T71" s="571"/>
      <c r="U71" s="571"/>
      <c r="V71" s="571"/>
      <c r="W71" s="571"/>
      <c r="X71" s="571"/>
      <c r="Y71" s="571"/>
      <c r="Z71" s="569"/>
      <c r="AA71" s="571"/>
    </row>
    <row r="72" ht="12.75" hidden="1" customHeight="1" outlineLevel="1">
      <c r="A72" s="569"/>
      <c r="B72" s="569" t="s">
        <v>801</v>
      </c>
      <c r="D72" s="579"/>
      <c r="E72" s="579"/>
      <c r="F72" s="579"/>
      <c r="G72" s="579"/>
      <c r="H72" s="579"/>
      <c r="I72" s="569"/>
      <c r="J72" s="579"/>
      <c r="K72" s="579"/>
      <c r="L72" s="579"/>
      <c r="M72" s="579"/>
      <c r="N72" s="579"/>
      <c r="O72" s="579"/>
      <c r="P72" s="579"/>
      <c r="Q72" s="569"/>
      <c r="R72" s="579"/>
      <c r="S72" s="569"/>
      <c r="T72" s="579"/>
      <c r="U72" s="579"/>
      <c r="V72" s="579"/>
      <c r="W72" s="579"/>
      <c r="X72" s="579"/>
      <c r="Y72" s="579"/>
      <c r="Z72" s="569"/>
      <c r="AA72" s="579"/>
    </row>
    <row r="73" ht="12.75" hidden="1" customHeight="1" outlineLevel="1">
      <c r="A73" s="569"/>
      <c r="B73" s="578" t="s">
        <v>1330</v>
      </c>
      <c r="D73" s="583">
        <v>755127.083333334</v>
      </c>
      <c r="E73" s="583">
        <v>635593.75</v>
      </c>
      <c r="F73" s="583">
        <v>0.0</v>
      </c>
      <c r="G73" s="583">
        <v>0.0</v>
      </c>
      <c r="H73" s="583">
        <v>1390720.83333333</v>
      </c>
      <c r="I73" s="569"/>
      <c r="J73" s="583">
        <v>0.0</v>
      </c>
      <c r="K73" s="583">
        <v>0.0</v>
      </c>
      <c r="L73" s="583">
        <v>0.0</v>
      </c>
      <c r="M73" s="583">
        <v>0.0</v>
      </c>
      <c r="N73" s="583">
        <v>0.0</v>
      </c>
      <c r="O73" s="583">
        <v>0.0</v>
      </c>
      <c r="P73" s="583">
        <v>0.0</v>
      </c>
      <c r="Q73" s="569"/>
      <c r="R73" s="583">
        <v>1390720.83333333</v>
      </c>
      <c r="S73" s="569"/>
      <c r="T73" s="583">
        <v>0.0</v>
      </c>
      <c r="U73" s="583">
        <v>0.0</v>
      </c>
      <c r="V73" s="583">
        <v>0.0</v>
      </c>
      <c r="W73" s="583"/>
      <c r="X73" s="583">
        <v>0.0</v>
      </c>
      <c r="Y73" s="583">
        <v>0.0</v>
      </c>
      <c r="Z73" s="569"/>
      <c r="AA73" s="583">
        <v>1390720.83333333</v>
      </c>
    </row>
    <row r="74" ht="12.75" hidden="1" customHeight="1" outlineLevel="1">
      <c r="A74" s="569"/>
      <c r="B74" s="578" t="s">
        <v>1331</v>
      </c>
      <c r="D74" s="583">
        <v>79460.0</v>
      </c>
      <c r="E74" s="583">
        <v>68887.5</v>
      </c>
      <c r="F74" s="583">
        <v>0.0</v>
      </c>
      <c r="G74" s="583">
        <v>0.0</v>
      </c>
      <c r="H74" s="583">
        <v>148347.5</v>
      </c>
      <c r="I74" s="569"/>
      <c r="J74" s="583">
        <v>0.0</v>
      </c>
      <c r="K74" s="583">
        <v>0.0</v>
      </c>
      <c r="L74" s="583">
        <v>0.0</v>
      </c>
      <c r="M74" s="583">
        <v>0.0</v>
      </c>
      <c r="N74" s="583">
        <v>0.0</v>
      </c>
      <c r="O74" s="583">
        <v>0.0</v>
      </c>
      <c r="P74" s="583">
        <v>0.0</v>
      </c>
      <c r="Q74" s="569"/>
      <c r="R74" s="583">
        <v>148347.5</v>
      </c>
      <c r="S74" s="569"/>
      <c r="T74" s="583">
        <v>0.0</v>
      </c>
      <c r="U74" s="583">
        <v>0.0</v>
      </c>
      <c r="V74" s="583">
        <v>0.0</v>
      </c>
      <c r="W74" s="583"/>
      <c r="X74" s="583">
        <v>0.0</v>
      </c>
      <c r="Y74" s="583">
        <v>0.0</v>
      </c>
      <c r="Z74" s="569"/>
      <c r="AA74" s="583">
        <v>148347.5</v>
      </c>
    </row>
    <row r="75" ht="12.75" hidden="1" customHeight="1" outlineLevel="1">
      <c r="A75" s="569"/>
      <c r="B75" s="578" t="s">
        <v>1332</v>
      </c>
      <c r="D75" s="583">
        <v>30000.0</v>
      </c>
      <c r="E75" s="583">
        <v>50000.0</v>
      </c>
      <c r="F75" s="583">
        <v>0.0</v>
      </c>
      <c r="G75" s="583">
        <v>0.0</v>
      </c>
      <c r="H75" s="583">
        <v>80000.0</v>
      </c>
      <c r="I75" s="569"/>
      <c r="J75" s="583">
        <v>0.0</v>
      </c>
      <c r="K75" s="583">
        <v>0.0</v>
      </c>
      <c r="L75" s="583">
        <v>0.0</v>
      </c>
      <c r="M75" s="583">
        <v>0.0</v>
      </c>
      <c r="N75" s="583">
        <v>0.0</v>
      </c>
      <c r="O75" s="583">
        <v>0.0</v>
      </c>
      <c r="P75" s="583">
        <v>0.0</v>
      </c>
      <c r="Q75" s="569"/>
      <c r="R75" s="583">
        <v>80000.0</v>
      </c>
      <c r="S75" s="569"/>
      <c r="T75" s="583">
        <v>0.0</v>
      </c>
      <c r="U75" s="583">
        <v>0.0</v>
      </c>
      <c r="V75" s="583">
        <v>0.0</v>
      </c>
      <c r="W75" s="583"/>
      <c r="X75" s="583">
        <v>0.0</v>
      </c>
      <c r="Y75" s="583">
        <v>0.0</v>
      </c>
      <c r="Z75" s="569"/>
      <c r="AA75" s="583">
        <v>80000.0</v>
      </c>
    </row>
    <row r="76" ht="12.75" hidden="1" customHeight="1" outlineLevel="1">
      <c r="A76" s="569"/>
      <c r="B76" s="578" t="s">
        <v>1333</v>
      </c>
      <c r="D76" s="583">
        <v>0.0</v>
      </c>
      <c r="E76" s="583">
        <v>0.0</v>
      </c>
      <c r="F76" s="583">
        <v>0.0</v>
      </c>
      <c r="G76" s="583">
        <v>0.0</v>
      </c>
      <c r="H76" s="583">
        <v>0.0</v>
      </c>
      <c r="I76" s="569"/>
      <c r="J76" s="583">
        <v>47000.0</v>
      </c>
      <c r="K76" s="583">
        <v>0.0</v>
      </c>
      <c r="L76" s="583">
        <v>0.0</v>
      </c>
      <c r="M76" s="583">
        <v>0.0</v>
      </c>
      <c r="N76" s="583">
        <v>0.0</v>
      </c>
      <c r="O76" s="583">
        <v>0.0</v>
      </c>
      <c r="P76" s="583">
        <v>47000.0</v>
      </c>
      <c r="Q76" s="569"/>
      <c r="R76" s="583">
        <v>47000.0</v>
      </c>
      <c r="S76" s="569"/>
      <c r="T76" s="583">
        <v>0.0</v>
      </c>
      <c r="U76" s="583">
        <v>0.0</v>
      </c>
      <c r="V76" s="583">
        <v>0.0</v>
      </c>
      <c r="W76" s="583"/>
      <c r="X76" s="583">
        <v>0.0</v>
      </c>
      <c r="Y76" s="583">
        <v>0.0</v>
      </c>
      <c r="Z76" s="569"/>
      <c r="AA76" s="583">
        <v>47000.0</v>
      </c>
    </row>
    <row r="77" ht="12.75" hidden="1" customHeight="1" outlineLevel="1">
      <c r="A77" s="569"/>
      <c r="B77" s="578" t="s">
        <v>1334</v>
      </c>
      <c r="D77" s="583">
        <v>0.0</v>
      </c>
      <c r="E77" s="583">
        <v>0.0</v>
      </c>
      <c r="F77" s="583">
        <v>0.0</v>
      </c>
      <c r="G77" s="583">
        <v>0.0</v>
      </c>
      <c r="H77" s="583">
        <v>0.0</v>
      </c>
      <c r="I77" s="569"/>
      <c r="J77" s="583">
        <v>4700.0</v>
      </c>
      <c r="K77" s="583">
        <v>0.0</v>
      </c>
      <c r="L77" s="583">
        <v>0.0</v>
      </c>
      <c r="M77" s="583">
        <v>0.0</v>
      </c>
      <c r="N77" s="583">
        <v>0.0</v>
      </c>
      <c r="O77" s="583">
        <v>0.0</v>
      </c>
      <c r="P77" s="583">
        <v>4700.0</v>
      </c>
      <c r="Q77" s="569"/>
      <c r="R77" s="583">
        <v>4700.0</v>
      </c>
      <c r="S77" s="569"/>
      <c r="T77" s="583">
        <v>0.0</v>
      </c>
      <c r="U77" s="583">
        <v>0.0</v>
      </c>
      <c r="V77" s="583">
        <v>0.0</v>
      </c>
      <c r="W77" s="583"/>
      <c r="X77" s="583">
        <v>0.0</v>
      </c>
      <c r="Y77" s="583">
        <v>0.0</v>
      </c>
      <c r="Z77" s="569"/>
      <c r="AA77" s="583">
        <v>4700.0</v>
      </c>
    </row>
    <row r="78" ht="12.75" hidden="1" customHeight="1" outlineLevel="1">
      <c r="A78" s="569"/>
      <c r="B78" s="578" t="s">
        <v>1335</v>
      </c>
      <c r="D78" s="583">
        <v>0.0</v>
      </c>
      <c r="E78" s="583">
        <v>0.0</v>
      </c>
      <c r="F78" s="583">
        <v>0.0</v>
      </c>
      <c r="G78" s="583">
        <v>0.0</v>
      </c>
      <c r="H78" s="583">
        <v>0.0</v>
      </c>
      <c r="I78" s="569"/>
      <c r="J78" s="583">
        <v>0.0</v>
      </c>
      <c r="K78" s="583">
        <v>0.0</v>
      </c>
      <c r="L78" s="583">
        <v>0.0</v>
      </c>
      <c r="M78" s="583">
        <v>0.0</v>
      </c>
      <c r="N78" s="583">
        <v>0.0</v>
      </c>
      <c r="O78" s="583">
        <v>0.0</v>
      </c>
      <c r="P78" s="583">
        <v>0.0</v>
      </c>
      <c r="Q78" s="569"/>
      <c r="R78" s="583">
        <v>0.0</v>
      </c>
      <c r="S78" s="569"/>
      <c r="T78" s="583">
        <v>0.0</v>
      </c>
      <c r="U78" s="583">
        <v>0.0</v>
      </c>
      <c r="V78" s="583">
        <v>0.0</v>
      </c>
      <c r="W78" s="583"/>
      <c r="X78" s="583">
        <v>0.0</v>
      </c>
      <c r="Y78" s="583">
        <v>0.0</v>
      </c>
      <c r="Z78" s="569"/>
      <c r="AA78" s="583">
        <v>0.0</v>
      </c>
    </row>
    <row r="79" ht="12.75" hidden="1" customHeight="1" outlineLevel="1">
      <c r="A79" s="569"/>
      <c r="B79" s="578" t="s">
        <v>1336</v>
      </c>
      <c r="D79" s="583">
        <v>0.0</v>
      </c>
      <c r="E79" s="583">
        <v>0.0</v>
      </c>
      <c r="F79" s="583">
        <v>0.0</v>
      </c>
      <c r="G79" s="583">
        <v>0.0</v>
      </c>
      <c r="H79" s="583">
        <v>0.0</v>
      </c>
      <c r="I79" s="569"/>
      <c r="J79" s="583">
        <v>0.0</v>
      </c>
      <c r="K79" s="583">
        <v>0.0</v>
      </c>
      <c r="L79" s="583">
        <v>0.0</v>
      </c>
      <c r="M79" s="583">
        <v>0.0</v>
      </c>
      <c r="N79" s="583">
        <v>0.0</v>
      </c>
      <c r="O79" s="583">
        <v>0.0</v>
      </c>
      <c r="P79" s="583">
        <v>0.0</v>
      </c>
      <c r="Q79" s="569"/>
      <c r="R79" s="583">
        <v>0.0</v>
      </c>
      <c r="S79" s="569"/>
      <c r="T79" s="583">
        <v>0.0</v>
      </c>
      <c r="U79" s="583">
        <v>0.0</v>
      </c>
      <c r="V79" s="583">
        <v>0.0</v>
      </c>
      <c r="W79" s="583"/>
      <c r="X79" s="583">
        <v>0.0</v>
      </c>
      <c r="Y79" s="583">
        <v>0.0</v>
      </c>
      <c r="Z79" s="569"/>
      <c r="AA79" s="583">
        <v>0.0</v>
      </c>
    </row>
    <row r="80" ht="12.75" hidden="1" customHeight="1" outlineLevel="1">
      <c r="A80" s="569"/>
      <c r="B80" s="578" t="s">
        <v>1337</v>
      </c>
      <c r="D80" s="583">
        <v>152000.0</v>
      </c>
      <c r="E80" s="583">
        <v>152000.0</v>
      </c>
      <c r="F80" s="583">
        <v>85000.0</v>
      </c>
      <c r="G80" s="583">
        <v>0.0</v>
      </c>
      <c r="H80" s="583">
        <v>389000.0</v>
      </c>
      <c r="I80" s="569"/>
      <c r="J80" s="583">
        <v>0.0</v>
      </c>
      <c r="K80" s="583">
        <v>0.0</v>
      </c>
      <c r="L80" s="583">
        <v>0.0</v>
      </c>
      <c r="M80" s="583">
        <v>0.0</v>
      </c>
      <c r="N80" s="583">
        <v>120000.0</v>
      </c>
      <c r="O80" s="583">
        <v>0.0</v>
      </c>
      <c r="P80" s="583">
        <v>120000.0</v>
      </c>
      <c r="Q80" s="569"/>
      <c r="R80" s="583">
        <v>509000.0</v>
      </c>
      <c r="S80" s="569"/>
      <c r="T80" s="583">
        <v>0.0</v>
      </c>
      <c r="U80" s="583">
        <v>0.0</v>
      </c>
      <c r="V80" s="583">
        <v>0.0</v>
      </c>
      <c r="W80" s="583"/>
      <c r="X80" s="583">
        <v>0.0</v>
      </c>
      <c r="Y80" s="583">
        <v>0.0</v>
      </c>
      <c r="Z80" s="569"/>
      <c r="AA80" s="583">
        <v>509000.0</v>
      </c>
    </row>
    <row r="81" ht="12.75" hidden="1" customHeight="1" outlineLevel="1">
      <c r="A81" s="569"/>
      <c r="B81" s="580" t="s">
        <v>1338</v>
      </c>
      <c r="D81" s="584">
        <v>28000.0</v>
      </c>
      <c r="E81" s="584">
        <v>28000.0</v>
      </c>
      <c r="F81" s="584">
        <v>15000.0</v>
      </c>
      <c r="G81" s="584">
        <v>0.0</v>
      </c>
      <c r="H81" s="584">
        <v>71000.0</v>
      </c>
      <c r="I81" s="569"/>
      <c r="J81" s="584">
        <v>0.0</v>
      </c>
      <c r="K81" s="584">
        <v>0.0</v>
      </c>
      <c r="L81" s="584">
        <v>0.0</v>
      </c>
      <c r="M81" s="584">
        <v>0.0</v>
      </c>
      <c r="N81" s="584">
        <v>20000.0</v>
      </c>
      <c r="O81" s="584">
        <v>0.0</v>
      </c>
      <c r="P81" s="584">
        <v>20000.0</v>
      </c>
      <c r="Q81" s="569"/>
      <c r="R81" s="584">
        <v>91000.0</v>
      </c>
      <c r="S81" s="569"/>
      <c r="T81" s="584">
        <v>0.0</v>
      </c>
      <c r="U81" s="584">
        <v>0.0</v>
      </c>
      <c r="V81" s="584">
        <v>0.0</v>
      </c>
      <c r="W81" s="584"/>
      <c r="X81" s="584">
        <v>0.0</v>
      </c>
      <c r="Y81" s="584">
        <v>0.0</v>
      </c>
      <c r="Z81" s="569"/>
      <c r="AA81" s="584">
        <v>91000.0</v>
      </c>
    </row>
    <row r="82" ht="12.75" customHeight="1">
      <c r="A82" s="572"/>
      <c r="B82" s="570" t="s">
        <v>804</v>
      </c>
      <c r="D82" s="588">
        <v>1044587.08333333</v>
      </c>
      <c r="E82" s="588">
        <v>934481.25</v>
      </c>
      <c r="F82" s="588">
        <v>100000.0</v>
      </c>
      <c r="G82" s="588">
        <v>0.0</v>
      </c>
      <c r="H82" s="588">
        <v>2079068.33333333</v>
      </c>
      <c r="I82" s="569"/>
      <c r="J82" s="588">
        <v>51700.0</v>
      </c>
      <c r="K82" s="588">
        <v>0.0</v>
      </c>
      <c r="L82" s="588">
        <v>0.0</v>
      </c>
      <c r="M82" s="588">
        <v>0.0</v>
      </c>
      <c r="N82" s="588">
        <v>140000.0</v>
      </c>
      <c r="O82" s="588">
        <v>0.0</v>
      </c>
      <c r="P82" s="588">
        <v>191700.0</v>
      </c>
      <c r="Q82" s="569"/>
      <c r="R82" s="588">
        <v>2270768.33333333</v>
      </c>
      <c r="S82" s="569"/>
      <c r="T82" s="588">
        <v>0.0</v>
      </c>
      <c r="U82" s="588">
        <v>0.0</v>
      </c>
      <c r="V82" s="588">
        <v>0.0</v>
      </c>
      <c r="W82" s="588">
        <v>0.0</v>
      </c>
      <c r="X82" s="588">
        <v>0.0</v>
      </c>
      <c r="Y82" s="588">
        <v>0.0</v>
      </c>
      <c r="Z82" s="569"/>
      <c r="AA82" s="588">
        <v>2270768.33333333</v>
      </c>
    </row>
    <row r="83" ht="2.25" customHeight="1">
      <c r="A83" s="569"/>
      <c r="B83" s="569"/>
      <c r="D83" s="571"/>
      <c r="E83" s="571"/>
      <c r="F83" s="571"/>
      <c r="G83" s="571"/>
      <c r="H83" s="571"/>
      <c r="I83" s="569"/>
      <c r="J83" s="571"/>
      <c r="K83" s="571"/>
      <c r="L83" s="571"/>
      <c r="M83" s="571"/>
      <c r="N83" s="571"/>
      <c r="O83" s="571"/>
      <c r="P83" s="571"/>
      <c r="Q83" s="569"/>
      <c r="R83" s="571"/>
      <c r="S83" s="569"/>
      <c r="T83" s="571"/>
      <c r="U83" s="571"/>
      <c r="V83" s="571"/>
      <c r="W83" s="571"/>
      <c r="X83" s="571"/>
      <c r="Y83" s="571"/>
      <c r="Z83" s="569"/>
      <c r="AA83" s="571"/>
    </row>
    <row r="84" ht="12.75" hidden="1" customHeight="1" outlineLevel="1">
      <c r="A84" s="572"/>
      <c r="B84" s="570" t="s">
        <v>805</v>
      </c>
      <c r="D84" s="585"/>
      <c r="E84" s="585"/>
      <c r="F84" s="585"/>
      <c r="G84" s="585"/>
      <c r="H84" s="585"/>
      <c r="I84" s="569"/>
      <c r="J84" s="585"/>
      <c r="K84" s="585"/>
      <c r="L84" s="585"/>
      <c r="M84" s="585"/>
      <c r="N84" s="585"/>
      <c r="O84" s="585"/>
      <c r="P84" s="585"/>
      <c r="Q84" s="569"/>
      <c r="R84" s="585"/>
      <c r="S84" s="569"/>
      <c r="T84" s="585"/>
      <c r="U84" s="585"/>
      <c r="V84" s="585"/>
      <c r="W84" s="585"/>
      <c r="X84" s="585"/>
      <c r="Y84" s="585"/>
      <c r="Z84" s="569"/>
      <c r="AA84" s="585"/>
    </row>
    <row r="85" ht="12.75" hidden="1" customHeight="1" outlineLevel="1">
      <c r="A85" s="569"/>
      <c r="B85" s="578" t="s">
        <v>1339</v>
      </c>
      <c r="D85" s="583">
        <v>64800.0</v>
      </c>
      <c r="E85" s="583">
        <v>43200.0</v>
      </c>
      <c r="F85" s="583">
        <v>0.0</v>
      </c>
      <c r="G85" s="583">
        <v>0.0</v>
      </c>
      <c r="H85" s="583">
        <v>108000.0</v>
      </c>
      <c r="I85" s="569"/>
      <c r="J85" s="583">
        <v>40000.0</v>
      </c>
      <c r="K85" s="583">
        <v>0.0</v>
      </c>
      <c r="L85" s="583">
        <v>0.0</v>
      </c>
      <c r="M85" s="583">
        <v>0.0</v>
      </c>
      <c r="N85" s="583">
        <v>0.0</v>
      </c>
      <c r="O85" s="583">
        <v>0.0</v>
      </c>
      <c r="P85" s="583">
        <v>40000.0</v>
      </c>
      <c r="Q85" s="569"/>
      <c r="R85" s="583">
        <v>148000.0</v>
      </c>
      <c r="S85" s="569"/>
      <c r="T85" s="583">
        <v>0.0</v>
      </c>
      <c r="U85" s="583">
        <v>0.0</v>
      </c>
      <c r="V85" s="583">
        <v>0.0</v>
      </c>
      <c r="W85" s="583"/>
      <c r="X85" s="583">
        <v>0.0</v>
      </c>
      <c r="Y85" s="583">
        <v>0.0</v>
      </c>
      <c r="Z85" s="569"/>
      <c r="AA85" s="583">
        <v>148000.0</v>
      </c>
    </row>
    <row r="86" ht="12.75" hidden="1" customHeight="1" outlineLevel="1">
      <c r="A86" s="569"/>
      <c r="B86" s="578" t="s">
        <v>1340</v>
      </c>
      <c r="D86" s="583">
        <v>0.0</v>
      </c>
      <c r="E86" s="583">
        <v>0.0</v>
      </c>
      <c r="F86" s="583">
        <v>0.0</v>
      </c>
      <c r="G86" s="583">
        <v>0.0</v>
      </c>
      <c r="H86" s="583">
        <v>0.0</v>
      </c>
      <c r="I86" s="569"/>
      <c r="J86" s="583">
        <v>4000.0</v>
      </c>
      <c r="K86" s="583">
        <v>0.0</v>
      </c>
      <c r="L86" s="583">
        <v>0.0</v>
      </c>
      <c r="M86" s="583">
        <v>0.0</v>
      </c>
      <c r="N86" s="583">
        <v>0.0</v>
      </c>
      <c r="O86" s="583">
        <v>0.0</v>
      </c>
      <c r="P86" s="583">
        <v>4000.0</v>
      </c>
      <c r="Q86" s="569"/>
      <c r="R86" s="583">
        <v>4000.0</v>
      </c>
      <c r="S86" s="569"/>
      <c r="T86" s="583">
        <v>0.0</v>
      </c>
      <c r="U86" s="583">
        <v>0.0</v>
      </c>
      <c r="V86" s="583">
        <v>0.0</v>
      </c>
      <c r="W86" s="583"/>
      <c r="X86" s="583">
        <v>0.0</v>
      </c>
      <c r="Y86" s="583">
        <v>0.0</v>
      </c>
      <c r="Z86" s="569"/>
      <c r="AA86" s="583">
        <v>4000.0</v>
      </c>
    </row>
    <row r="87" ht="12.75" hidden="1" customHeight="1" outlineLevel="1">
      <c r="A87" s="569"/>
      <c r="B87" s="578" t="s">
        <v>1341</v>
      </c>
      <c r="D87" s="583">
        <v>21600.0</v>
      </c>
      <c r="E87" s="583">
        <v>21600.0</v>
      </c>
      <c r="F87" s="583">
        <v>0.0</v>
      </c>
      <c r="G87" s="583">
        <v>0.0</v>
      </c>
      <c r="H87" s="583">
        <v>43200.0</v>
      </c>
      <c r="I87" s="569"/>
      <c r="J87" s="583">
        <v>0.0</v>
      </c>
      <c r="K87" s="583">
        <v>0.0</v>
      </c>
      <c r="L87" s="583">
        <v>0.0</v>
      </c>
      <c r="M87" s="583">
        <v>0.0</v>
      </c>
      <c r="N87" s="583">
        <v>0.0</v>
      </c>
      <c r="O87" s="583">
        <v>0.0</v>
      </c>
      <c r="P87" s="583">
        <v>0.0</v>
      </c>
      <c r="Q87" s="569"/>
      <c r="R87" s="583">
        <v>43200.0</v>
      </c>
      <c r="S87" s="569"/>
      <c r="T87" s="583">
        <v>0.0</v>
      </c>
      <c r="U87" s="583">
        <v>0.0</v>
      </c>
      <c r="V87" s="583">
        <v>0.0</v>
      </c>
      <c r="W87" s="583"/>
      <c r="X87" s="583">
        <v>0.0</v>
      </c>
      <c r="Y87" s="583">
        <v>0.0</v>
      </c>
      <c r="Z87" s="569"/>
      <c r="AA87" s="583">
        <v>43200.0</v>
      </c>
    </row>
    <row r="88" ht="12.75" hidden="1" customHeight="1" outlineLevel="1">
      <c r="A88" s="569"/>
      <c r="B88" s="578" t="s">
        <v>1342</v>
      </c>
      <c r="D88" s="583">
        <v>0.0</v>
      </c>
      <c r="E88" s="583">
        <v>0.0</v>
      </c>
      <c r="F88" s="583">
        <v>0.0</v>
      </c>
      <c r="G88" s="583">
        <v>0.0</v>
      </c>
      <c r="H88" s="583">
        <v>0.0</v>
      </c>
      <c r="I88" s="569"/>
      <c r="J88" s="583">
        <v>0.0</v>
      </c>
      <c r="K88" s="583">
        <v>0.0</v>
      </c>
      <c r="L88" s="583">
        <v>0.0</v>
      </c>
      <c r="M88" s="583">
        <v>0.0</v>
      </c>
      <c r="N88" s="583">
        <v>0.0</v>
      </c>
      <c r="O88" s="583">
        <v>0.0</v>
      </c>
      <c r="P88" s="583">
        <v>0.0</v>
      </c>
      <c r="Q88" s="569"/>
      <c r="R88" s="583">
        <v>0.0</v>
      </c>
      <c r="S88" s="569"/>
      <c r="T88" s="583">
        <v>0.0</v>
      </c>
      <c r="U88" s="583">
        <v>0.0</v>
      </c>
      <c r="V88" s="583">
        <v>0.0</v>
      </c>
      <c r="W88" s="583"/>
      <c r="X88" s="583">
        <v>0.0</v>
      </c>
      <c r="Y88" s="583">
        <v>0.0</v>
      </c>
      <c r="Z88" s="569"/>
      <c r="AA88" s="583">
        <v>0.0</v>
      </c>
    </row>
    <row r="89" ht="12.75" hidden="1" customHeight="1" outlineLevel="1">
      <c r="A89" s="569"/>
      <c r="B89" s="578" t="s">
        <v>1343</v>
      </c>
      <c r="D89" s="583">
        <v>0.0</v>
      </c>
      <c r="E89" s="583">
        <v>0.0</v>
      </c>
      <c r="F89" s="583">
        <v>0.0</v>
      </c>
      <c r="G89" s="583">
        <v>0.0</v>
      </c>
      <c r="H89" s="583">
        <v>0.0</v>
      </c>
      <c r="I89" s="569"/>
      <c r="J89" s="583">
        <v>0.0</v>
      </c>
      <c r="K89" s="583">
        <v>101000.0</v>
      </c>
      <c r="L89" s="583">
        <v>210000.0</v>
      </c>
      <c r="M89" s="583">
        <v>130000.0</v>
      </c>
      <c r="N89" s="583">
        <v>0.0</v>
      </c>
      <c r="O89" s="583">
        <v>30000.0</v>
      </c>
      <c r="P89" s="583">
        <v>471000.0</v>
      </c>
      <c r="Q89" s="569"/>
      <c r="R89" s="583">
        <v>471000.0</v>
      </c>
      <c r="S89" s="569"/>
      <c r="T89" s="583">
        <v>0.0</v>
      </c>
      <c r="U89" s="583">
        <v>0.0</v>
      </c>
      <c r="V89" s="583">
        <v>0.0</v>
      </c>
      <c r="W89" s="583"/>
      <c r="X89" s="583">
        <v>0.0</v>
      </c>
      <c r="Y89" s="583">
        <v>0.0</v>
      </c>
      <c r="Z89" s="569"/>
      <c r="AA89" s="583">
        <v>471000.0</v>
      </c>
    </row>
    <row r="90" ht="12.75" hidden="1" customHeight="1" outlineLevel="1">
      <c r="A90" s="569"/>
      <c r="B90" s="578" t="s">
        <v>1344</v>
      </c>
      <c r="D90" s="583">
        <v>0.0</v>
      </c>
      <c r="E90" s="583">
        <v>0.0</v>
      </c>
      <c r="F90" s="583">
        <v>0.0</v>
      </c>
      <c r="G90" s="583">
        <v>0.0</v>
      </c>
      <c r="H90" s="583">
        <v>0.0</v>
      </c>
      <c r="I90" s="569"/>
      <c r="J90" s="583">
        <v>0.0</v>
      </c>
      <c r="K90" s="583">
        <v>20000.0</v>
      </c>
      <c r="L90" s="583">
        <v>30000.0</v>
      </c>
      <c r="M90" s="583">
        <v>20000.0</v>
      </c>
      <c r="N90" s="583">
        <v>0.0</v>
      </c>
      <c r="O90" s="583">
        <v>0.0</v>
      </c>
      <c r="P90" s="583">
        <v>70000.0</v>
      </c>
      <c r="Q90" s="569"/>
      <c r="R90" s="583">
        <v>70000.0</v>
      </c>
      <c r="S90" s="569"/>
      <c r="T90" s="583">
        <v>0.0</v>
      </c>
      <c r="U90" s="583">
        <v>0.0</v>
      </c>
      <c r="V90" s="583">
        <v>0.0</v>
      </c>
      <c r="W90" s="583"/>
      <c r="X90" s="583">
        <v>0.0</v>
      </c>
      <c r="Y90" s="583">
        <v>0.0</v>
      </c>
      <c r="Z90" s="569"/>
      <c r="AA90" s="583">
        <v>70000.0</v>
      </c>
    </row>
    <row r="91" ht="12.75" hidden="1" customHeight="1" outlineLevel="1">
      <c r="A91" s="569"/>
      <c r="B91" s="578" t="s">
        <v>1345</v>
      </c>
      <c r="D91" s="583">
        <v>50000.0</v>
      </c>
      <c r="E91" s="583">
        <v>46000.0</v>
      </c>
      <c r="F91" s="583">
        <v>16000.0</v>
      </c>
      <c r="G91" s="583">
        <v>0.0</v>
      </c>
      <c r="H91" s="583">
        <v>112000.0</v>
      </c>
      <c r="I91" s="569"/>
      <c r="J91" s="583">
        <v>0.0</v>
      </c>
      <c r="K91" s="583">
        <v>50000.0</v>
      </c>
      <c r="L91" s="583">
        <v>38933.3333333333</v>
      </c>
      <c r="M91" s="583">
        <v>0.0</v>
      </c>
      <c r="N91" s="583">
        <v>0.0</v>
      </c>
      <c r="O91" s="583">
        <v>0.0</v>
      </c>
      <c r="P91" s="583">
        <v>88933.3333333333</v>
      </c>
      <c r="Q91" s="569"/>
      <c r="R91" s="583">
        <v>200933.333333333</v>
      </c>
      <c r="S91" s="569"/>
      <c r="T91" s="583">
        <v>0.0</v>
      </c>
      <c r="U91" s="583">
        <v>0.0</v>
      </c>
      <c r="V91" s="583">
        <v>0.0</v>
      </c>
      <c r="W91" s="583"/>
      <c r="X91" s="583">
        <v>43208.3333333333</v>
      </c>
      <c r="Y91" s="583">
        <v>43208.3333333333</v>
      </c>
      <c r="Z91" s="569"/>
      <c r="AA91" s="583">
        <v>244141.666666667</v>
      </c>
    </row>
    <row r="92" ht="12.75" hidden="1" customHeight="1" outlineLevel="1">
      <c r="A92" s="569"/>
      <c r="B92" s="580" t="s">
        <v>1346</v>
      </c>
      <c r="D92" s="584">
        <v>5000.0</v>
      </c>
      <c r="E92" s="584">
        <v>4600.0</v>
      </c>
      <c r="F92" s="584">
        <v>2400.0</v>
      </c>
      <c r="G92" s="584">
        <v>0.0</v>
      </c>
      <c r="H92" s="584">
        <v>12000.0</v>
      </c>
      <c r="I92" s="569"/>
      <c r="J92" s="584">
        <v>0.0</v>
      </c>
      <c r="K92" s="584">
        <v>5000.0</v>
      </c>
      <c r="L92" s="584">
        <v>5000.0</v>
      </c>
      <c r="M92" s="584">
        <v>0.0</v>
      </c>
      <c r="N92" s="584">
        <v>0.0</v>
      </c>
      <c r="O92" s="584">
        <v>0.0</v>
      </c>
      <c r="P92" s="584">
        <v>10000.0</v>
      </c>
      <c r="Q92" s="569"/>
      <c r="R92" s="584">
        <v>22000.0</v>
      </c>
      <c r="S92" s="569"/>
      <c r="T92" s="584">
        <v>0.0</v>
      </c>
      <c r="U92" s="584">
        <v>0.0</v>
      </c>
      <c r="V92" s="584">
        <v>0.0</v>
      </c>
      <c r="W92" s="584"/>
      <c r="X92" s="584">
        <v>6000.0</v>
      </c>
      <c r="Y92" s="584">
        <v>6000.0</v>
      </c>
      <c r="Z92" s="569"/>
      <c r="AA92" s="584">
        <v>28000.0</v>
      </c>
    </row>
    <row r="93" ht="12.75" customHeight="1">
      <c r="A93" s="572"/>
      <c r="B93" s="570" t="s">
        <v>806</v>
      </c>
      <c r="D93" s="588">
        <v>141400.0</v>
      </c>
      <c r="E93" s="588">
        <v>115400.0</v>
      </c>
      <c r="F93" s="588">
        <v>18400.0</v>
      </c>
      <c r="G93" s="588">
        <v>0.0</v>
      </c>
      <c r="H93" s="588">
        <v>275200.0</v>
      </c>
      <c r="I93" s="569"/>
      <c r="J93" s="588">
        <v>44000.0</v>
      </c>
      <c r="K93" s="588">
        <v>176000.0</v>
      </c>
      <c r="L93" s="588">
        <v>283933.333333333</v>
      </c>
      <c r="M93" s="588">
        <v>150000.0</v>
      </c>
      <c r="N93" s="588">
        <v>0.0</v>
      </c>
      <c r="O93" s="588">
        <v>30000.0</v>
      </c>
      <c r="P93" s="588">
        <v>683933.333333333</v>
      </c>
      <c r="Q93" s="569"/>
      <c r="R93" s="588">
        <v>959133.333333333</v>
      </c>
      <c r="S93" s="569"/>
      <c r="T93" s="588">
        <v>0.0</v>
      </c>
      <c r="U93" s="588">
        <v>0.0</v>
      </c>
      <c r="V93" s="588">
        <v>0.0</v>
      </c>
      <c r="W93" s="588">
        <v>0.0</v>
      </c>
      <c r="X93" s="588">
        <v>49208.3333333333</v>
      </c>
      <c r="Y93" s="588">
        <v>49208.3333333333</v>
      </c>
      <c r="Z93" s="569"/>
      <c r="AA93" s="588">
        <v>1008341.66666667</v>
      </c>
    </row>
    <row r="94" ht="2.25" customHeight="1">
      <c r="A94" s="569"/>
      <c r="B94" s="569"/>
      <c r="D94" s="571"/>
      <c r="E94" s="571"/>
      <c r="F94" s="571"/>
      <c r="G94" s="571"/>
      <c r="H94" s="571"/>
      <c r="I94" s="569"/>
      <c r="J94" s="571"/>
      <c r="K94" s="571"/>
      <c r="L94" s="571"/>
      <c r="M94" s="571"/>
      <c r="N94" s="571"/>
      <c r="O94" s="571"/>
      <c r="P94" s="571"/>
      <c r="Q94" s="569"/>
      <c r="R94" s="571"/>
      <c r="S94" s="569"/>
      <c r="T94" s="571"/>
      <c r="U94" s="571"/>
      <c r="V94" s="571"/>
      <c r="W94" s="571"/>
      <c r="X94" s="571"/>
      <c r="Y94" s="571"/>
      <c r="Z94" s="569"/>
      <c r="AA94" s="571"/>
    </row>
    <row r="95" ht="12.75" hidden="1" customHeight="1" outlineLevel="1">
      <c r="A95" s="569"/>
      <c r="B95" s="570" t="s">
        <v>1347</v>
      </c>
      <c r="D95" s="571"/>
      <c r="E95" s="571"/>
      <c r="F95" s="571"/>
      <c r="G95" s="571"/>
      <c r="H95" s="571"/>
      <c r="I95" s="569"/>
      <c r="J95" s="571"/>
      <c r="K95" s="571"/>
      <c r="L95" s="571"/>
      <c r="M95" s="571"/>
      <c r="N95" s="571"/>
      <c r="O95" s="571"/>
      <c r="P95" s="571"/>
      <c r="Q95" s="569"/>
      <c r="R95" s="571"/>
      <c r="S95" s="569"/>
      <c r="T95" s="571"/>
      <c r="U95" s="571"/>
      <c r="V95" s="571"/>
      <c r="W95" s="571"/>
      <c r="X95" s="571"/>
      <c r="Y95" s="571"/>
      <c r="Z95" s="569"/>
      <c r="AA95" s="571"/>
    </row>
    <row r="96" ht="12.75" hidden="1" customHeight="1" outlineLevel="1">
      <c r="A96" s="569"/>
      <c r="B96" s="569" t="s">
        <v>1348</v>
      </c>
      <c r="D96" s="571"/>
      <c r="E96" s="571"/>
      <c r="F96" s="571"/>
      <c r="G96" s="571"/>
      <c r="H96" s="571"/>
      <c r="I96" s="569"/>
      <c r="J96" s="571"/>
      <c r="K96" s="571"/>
      <c r="L96" s="571"/>
      <c r="M96" s="571"/>
      <c r="N96" s="571"/>
      <c r="O96" s="571"/>
      <c r="P96" s="571"/>
      <c r="Q96" s="569"/>
      <c r="R96" s="571"/>
      <c r="S96" s="569"/>
      <c r="T96" s="571"/>
      <c r="U96" s="571"/>
      <c r="V96" s="571"/>
      <c r="W96" s="571"/>
      <c r="X96" s="571"/>
      <c r="Y96" s="571"/>
      <c r="Z96" s="569"/>
      <c r="AA96" s="571"/>
    </row>
    <row r="97" ht="12.75" hidden="1" customHeight="1" outlineLevel="1">
      <c r="A97" s="569"/>
      <c r="B97" s="578" t="s">
        <v>1349</v>
      </c>
      <c r="D97" s="583">
        <v>80573.0</v>
      </c>
      <c r="E97" s="583">
        <v>73501.0</v>
      </c>
      <c r="F97" s="583">
        <v>7013.0</v>
      </c>
      <c r="G97" s="583">
        <v>0.0</v>
      </c>
      <c r="H97" s="583">
        <v>161087.0</v>
      </c>
      <c r="I97" s="569"/>
      <c r="J97" s="583">
        <v>3878.0</v>
      </c>
      <c r="K97" s="583">
        <v>0.0</v>
      </c>
      <c r="L97" s="583">
        <v>0.0</v>
      </c>
      <c r="M97" s="583">
        <v>0.0</v>
      </c>
      <c r="N97" s="583">
        <v>9900.0</v>
      </c>
      <c r="O97" s="583">
        <v>0.0</v>
      </c>
      <c r="P97" s="583">
        <v>13778.0</v>
      </c>
      <c r="Q97" s="569"/>
      <c r="R97" s="583">
        <v>174865.0</v>
      </c>
      <c r="S97" s="569"/>
      <c r="T97" s="583">
        <v>0.0</v>
      </c>
      <c r="U97" s="583">
        <v>0.0</v>
      </c>
      <c r="V97" s="583">
        <v>0.0</v>
      </c>
      <c r="W97" s="583"/>
      <c r="X97" s="583">
        <v>0.0</v>
      </c>
      <c r="Y97" s="583">
        <v>0.0</v>
      </c>
      <c r="Z97" s="569"/>
      <c r="AA97" s="583">
        <v>174865.0</v>
      </c>
    </row>
    <row r="98" ht="12.75" hidden="1" customHeight="1" outlineLevel="1">
      <c r="A98" s="569"/>
      <c r="B98" s="580" t="s">
        <v>1350</v>
      </c>
      <c r="D98" s="584">
        <v>0.0</v>
      </c>
      <c r="E98" s="584">
        <v>0.0</v>
      </c>
      <c r="F98" s="584">
        <v>0.0</v>
      </c>
      <c r="G98" s="584">
        <v>0.0</v>
      </c>
      <c r="H98" s="584">
        <v>0.0</v>
      </c>
      <c r="I98" s="569"/>
      <c r="J98" s="584">
        <v>0.0</v>
      </c>
      <c r="K98" s="584">
        <v>0.0</v>
      </c>
      <c r="L98" s="584">
        <v>0.0</v>
      </c>
      <c r="M98" s="584">
        <v>0.0</v>
      </c>
      <c r="N98" s="584">
        <v>0.0</v>
      </c>
      <c r="O98" s="584">
        <v>0.0</v>
      </c>
      <c r="P98" s="584">
        <v>0.0</v>
      </c>
      <c r="Q98" s="569"/>
      <c r="R98" s="584">
        <v>0.0</v>
      </c>
      <c r="S98" s="569"/>
      <c r="T98" s="584">
        <v>0.0</v>
      </c>
      <c r="U98" s="584">
        <v>0.0</v>
      </c>
      <c r="V98" s="584">
        <v>0.0</v>
      </c>
      <c r="W98" s="584"/>
      <c r="X98" s="584">
        <v>0.0</v>
      </c>
      <c r="Y98" s="584">
        <v>0.0</v>
      </c>
      <c r="Z98" s="569"/>
      <c r="AA98" s="584">
        <v>0.0</v>
      </c>
    </row>
    <row r="99" ht="12.75" hidden="1" customHeight="1" outlineLevel="1">
      <c r="A99" s="569"/>
      <c r="B99" s="569" t="s">
        <v>1351</v>
      </c>
      <c r="D99" s="583">
        <v>80573.0</v>
      </c>
      <c r="E99" s="583">
        <v>73501.0</v>
      </c>
      <c r="F99" s="583">
        <v>7013.0</v>
      </c>
      <c r="G99" s="583">
        <v>0.0</v>
      </c>
      <c r="H99" s="583">
        <v>161087.0</v>
      </c>
      <c r="I99" s="569"/>
      <c r="J99" s="583">
        <v>3878.0</v>
      </c>
      <c r="K99" s="583">
        <v>0.0</v>
      </c>
      <c r="L99" s="583">
        <v>0.0</v>
      </c>
      <c r="M99" s="583">
        <v>0.0</v>
      </c>
      <c r="N99" s="583">
        <v>9900.0</v>
      </c>
      <c r="O99" s="583">
        <v>0.0</v>
      </c>
      <c r="P99" s="583">
        <v>13778.0</v>
      </c>
      <c r="Q99" s="569"/>
      <c r="R99" s="583">
        <v>174865.0</v>
      </c>
      <c r="S99" s="569"/>
      <c r="T99" s="583">
        <v>0.0</v>
      </c>
      <c r="U99" s="583">
        <v>0.0</v>
      </c>
      <c r="V99" s="583">
        <v>0.0</v>
      </c>
      <c r="W99" s="583"/>
      <c r="X99" s="583">
        <v>0.0</v>
      </c>
      <c r="Y99" s="583">
        <v>0.0</v>
      </c>
      <c r="Z99" s="569"/>
      <c r="AA99" s="583">
        <v>174865.0</v>
      </c>
    </row>
    <row r="100" ht="2.25" hidden="1" customHeight="1" outlineLevel="1">
      <c r="A100" s="569"/>
      <c r="B100" s="569"/>
      <c r="D100" s="583"/>
      <c r="E100" s="583"/>
      <c r="F100" s="583"/>
      <c r="G100" s="583"/>
      <c r="H100" s="583"/>
      <c r="I100" s="569"/>
      <c r="J100" s="583"/>
      <c r="K100" s="583"/>
      <c r="L100" s="583"/>
      <c r="M100" s="583"/>
      <c r="N100" s="583"/>
      <c r="O100" s="583"/>
      <c r="P100" s="583"/>
      <c r="Q100" s="569"/>
      <c r="R100" s="583"/>
      <c r="S100" s="569"/>
      <c r="T100" s="583"/>
      <c r="U100" s="583"/>
      <c r="V100" s="583"/>
      <c r="W100" s="583"/>
      <c r="X100" s="583"/>
      <c r="Y100" s="583"/>
      <c r="Z100" s="569"/>
      <c r="AA100" s="583"/>
    </row>
    <row r="101" ht="12.75" hidden="1" customHeight="1" outlineLevel="1">
      <c r="A101" s="569"/>
      <c r="B101" s="569" t="s">
        <v>1352</v>
      </c>
      <c r="D101" s="583"/>
      <c r="E101" s="583"/>
      <c r="F101" s="583"/>
      <c r="G101" s="583"/>
      <c r="H101" s="583"/>
      <c r="I101" s="569"/>
      <c r="J101" s="583"/>
      <c r="K101" s="583"/>
      <c r="L101" s="583"/>
      <c r="M101" s="583"/>
      <c r="N101" s="583"/>
      <c r="O101" s="583"/>
      <c r="P101" s="583"/>
      <c r="Q101" s="569"/>
      <c r="R101" s="583"/>
      <c r="S101" s="569"/>
      <c r="T101" s="583"/>
      <c r="U101" s="583"/>
      <c r="V101" s="583"/>
      <c r="W101" s="583"/>
      <c r="X101" s="583"/>
      <c r="Y101" s="583"/>
      <c r="Z101" s="569"/>
      <c r="AA101" s="583"/>
    </row>
    <row r="102" ht="12.75" hidden="1" customHeight="1" outlineLevel="1">
      <c r="A102" s="569"/>
      <c r="B102" s="578" t="s">
        <v>1353</v>
      </c>
      <c r="D102" s="583">
        <v>22380.0</v>
      </c>
      <c r="E102" s="583">
        <v>20327.0</v>
      </c>
      <c r="F102" s="583">
        <v>2380.0</v>
      </c>
      <c r="G102" s="583">
        <v>0.0</v>
      </c>
      <c r="H102" s="583">
        <v>45087.0</v>
      </c>
      <c r="I102" s="569"/>
      <c r="J102" s="583">
        <v>1041.0</v>
      </c>
      <c r="K102" s="583">
        <v>0.0</v>
      </c>
      <c r="L102" s="583">
        <v>0.0</v>
      </c>
      <c r="M102" s="583">
        <v>0.0</v>
      </c>
      <c r="N102" s="583">
        <v>2030.0</v>
      </c>
      <c r="O102" s="583">
        <v>0.0</v>
      </c>
      <c r="P102" s="583">
        <v>3071.0</v>
      </c>
      <c r="Q102" s="569"/>
      <c r="R102" s="583">
        <v>48158.0</v>
      </c>
      <c r="S102" s="569"/>
      <c r="T102" s="583">
        <v>0.0</v>
      </c>
      <c r="U102" s="583">
        <v>0.0</v>
      </c>
      <c r="V102" s="583">
        <v>0.0</v>
      </c>
      <c r="W102" s="583"/>
      <c r="X102" s="583">
        <v>0.0</v>
      </c>
      <c r="Y102" s="583">
        <v>0.0</v>
      </c>
      <c r="Z102" s="569"/>
      <c r="AA102" s="583">
        <v>48158.0</v>
      </c>
    </row>
    <row r="103" ht="12.75" hidden="1" customHeight="1" outlineLevel="1">
      <c r="A103" s="569"/>
      <c r="B103" s="580" t="s">
        <v>1354</v>
      </c>
      <c r="D103" s="584">
        <v>10817.1</v>
      </c>
      <c r="E103" s="584">
        <v>8828.1</v>
      </c>
      <c r="F103" s="584">
        <v>1407.6</v>
      </c>
      <c r="G103" s="584">
        <v>0.0</v>
      </c>
      <c r="H103" s="584">
        <v>21052.8</v>
      </c>
      <c r="I103" s="569"/>
      <c r="J103" s="584">
        <v>3366.0</v>
      </c>
      <c r="K103" s="584">
        <v>13464.0</v>
      </c>
      <c r="L103" s="584">
        <v>21720.9</v>
      </c>
      <c r="M103" s="584">
        <v>11475.0</v>
      </c>
      <c r="N103" s="584">
        <v>0.0</v>
      </c>
      <c r="O103" s="584">
        <v>2295.0</v>
      </c>
      <c r="P103" s="584">
        <v>52320.9</v>
      </c>
      <c r="Q103" s="569"/>
      <c r="R103" s="584">
        <v>73373.7</v>
      </c>
      <c r="S103" s="569"/>
      <c r="T103" s="584">
        <v>0.0</v>
      </c>
      <c r="U103" s="584">
        <v>0.0</v>
      </c>
      <c r="V103" s="584">
        <v>0.0</v>
      </c>
      <c r="W103" s="584"/>
      <c r="X103" s="584">
        <v>3764.4375</v>
      </c>
      <c r="Y103" s="584">
        <v>3764.4375</v>
      </c>
      <c r="Z103" s="569"/>
      <c r="AA103" s="584">
        <v>77138.1375</v>
      </c>
    </row>
    <row r="104" ht="12.75" hidden="1" customHeight="1" outlineLevel="1">
      <c r="A104" s="569"/>
      <c r="B104" s="578" t="s">
        <v>1355</v>
      </c>
      <c r="D104" s="583">
        <v>33197.1</v>
      </c>
      <c r="E104" s="583">
        <v>29155.1</v>
      </c>
      <c r="F104" s="583">
        <v>3787.6</v>
      </c>
      <c r="G104" s="583">
        <v>0.0</v>
      </c>
      <c r="H104" s="583">
        <v>66139.8</v>
      </c>
      <c r="I104" s="569"/>
      <c r="J104" s="583">
        <v>4407.0</v>
      </c>
      <c r="K104" s="583">
        <v>13464.0</v>
      </c>
      <c r="L104" s="583">
        <v>21720.9</v>
      </c>
      <c r="M104" s="583">
        <v>11475.0</v>
      </c>
      <c r="N104" s="583">
        <v>2030.0</v>
      </c>
      <c r="O104" s="583">
        <v>2295.0</v>
      </c>
      <c r="P104" s="583">
        <v>55391.9</v>
      </c>
      <c r="Q104" s="569"/>
      <c r="R104" s="583">
        <v>121531.7</v>
      </c>
      <c r="S104" s="569"/>
      <c r="T104" s="583">
        <v>0.0</v>
      </c>
      <c r="U104" s="583">
        <v>0.0</v>
      </c>
      <c r="V104" s="583">
        <v>0.0</v>
      </c>
      <c r="W104" s="583"/>
      <c r="X104" s="583">
        <v>3764.4375</v>
      </c>
      <c r="Y104" s="583">
        <v>3764.4375</v>
      </c>
      <c r="Z104" s="569"/>
      <c r="AA104" s="583">
        <v>125296.1375</v>
      </c>
    </row>
    <row r="105" ht="2.25" hidden="1" customHeight="1" outlineLevel="1">
      <c r="A105" s="569"/>
      <c r="B105" s="569"/>
      <c r="D105" s="583"/>
      <c r="E105" s="583"/>
      <c r="F105" s="583"/>
      <c r="G105" s="583"/>
      <c r="H105" s="583"/>
      <c r="I105" s="569"/>
      <c r="J105" s="583"/>
      <c r="K105" s="583"/>
      <c r="L105" s="583"/>
      <c r="M105" s="583"/>
      <c r="N105" s="583"/>
      <c r="O105" s="583"/>
      <c r="P105" s="583"/>
      <c r="Q105" s="569"/>
      <c r="R105" s="583"/>
      <c r="S105" s="569"/>
      <c r="T105" s="583"/>
      <c r="U105" s="583"/>
      <c r="V105" s="583"/>
      <c r="W105" s="583"/>
      <c r="X105" s="583"/>
      <c r="Y105" s="583"/>
      <c r="Z105" s="569"/>
      <c r="AA105" s="583"/>
    </row>
    <row r="106" ht="12.75" hidden="1" customHeight="1" outlineLevel="1">
      <c r="A106" s="569"/>
      <c r="B106" s="569" t="s">
        <v>1356</v>
      </c>
      <c r="D106" s="583"/>
      <c r="E106" s="583"/>
      <c r="F106" s="583"/>
      <c r="G106" s="583"/>
      <c r="H106" s="583"/>
      <c r="I106" s="569"/>
      <c r="J106" s="583"/>
      <c r="K106" s="583"/>
      <c r="L106" s="583"/>
      <c r="M106" s="583"/>
      <c r="N106" s="583"/>
      <c r="O106" s="583"/>
      <c r="P106" s="583"/>
      <c r="Q106" s="569"/>
      <c r="R106" s="583"/>
      <c r="S106" s="569"/>
      <c r="T106" s="583"/>
      <c r="U106" s="583"/>
      <c r="V106" s="583"/>
      <c r="W106" s="583"/>
      <c r="X106" s="583"/>
      <c r="Y106" s="583"/>
      <c r="Z106" s="569"/>
      <c r="AA106" s="583"/>
    </row>
    <row r="107" ht="12.75" hidden="1" customHeight="1" outlineLevel="1">
      <c r="A107" s="569"/>
      <c r="B107" s="578" t="s">
        <v>1357</v>
      </c>
      <c r="D107" s="583">
        <v>123599.888977083</v>
      </c>
      <c r="E107" s="583">
        <v>106553.55053125</v>
      </c>
      <c r="F107" s="583">
        <v>7850.5</v>
      </c>
      <c r="G107" s="583">
        <v>0.0</v>
      </c>
      <c r="H107" s="583">
        <v>238003.939508333</v>
      </c>
      <c r="I107" s="569"/>
      <c r="J107" s="583">
        <v>6936.3085</v>
      </c>
      <c r="K107" s="583">
        <v>0.0</v>
      </c>
      <c r="L107" s="583">
        <v>0.0</v>
      </c>
      <c r="M107" s="583">
        <v>0.0</v>
      </c>
      <c r="N107" s="583">
        <v>8110.7</v>
      </c>
      <c r="O107" s="583">
        <v>0.0</v>
      </c>
      <c r="P107" s="583">
        <v>15047.0085</v>
      </c>
      <c r="Q107" s="569"/>
      <c r="R107" s="583">
        <v>253050.948008333</v>
      </c>
      <c r="S107" s="569"/>
      <c r="T107" s="583">
        <v>0.0</v>
      </c>
      <c r="U107" s="583">
        <v>0.0</v>
      </c>
      <c r="V107" s="583">
        <v>0.0</v>
      </c>
      <c r="W107" s="583"/>
      <c r="X107" s="583">
        <v>0.0</v>
      </c>
      <c r="Y107" s="583">
        <v>0.0</v>
      </c>
      <c r="Z107" s="569"/>
      <c r="AA107" s="583">
        <v>253050.948008333</v>
      </c>
    </row>
    <row r="108" ht="12.75" hidden="1" customHeight="1" outlineLevel="1">
      <c r="A108" s="569"/>
      <c r="B108" s="580" t="s">
        <v>1358</v>
      </c>
      <c r="D108" s="584">
        <v>27694.9942</v>
      </c>
      <c r="E108" s="584">
        <v>14241.5594</v>
      </c>
      <c r="F108" s="584">
        <v>2519.692</v>
      </c>
      <c r="G108" s="584">
        <v>0.0</v>
      </c>
      <c r="H108" s="584">
        <v>44456.2456</v>
      </c>
      <c r="I108" s="569"/>
      <c r="J108" s="584">
        <v>6886.22</v>
      </c>
      <c r="K108" s="584">
        <v>14344.88</v>
      </c>
      <c r="L108" s="584">
        <v>20646.9863333333</v>
      </c>
      <c r="M108" s="584">
        <v>8175.75</v>
      </c>
      <c r="N108" s="584">
        <v>0.0</v>
      </c>
      <c r="O108" s="584">
        <v>2595.15</v>
      </c>
      <c r="P108" s="584">
        <v>52648.9863333333</v>
      </c>
      <c r="Q108" s="569"/>
      <c r="R108" s="584">
        <v>97105.2319333333</v>
      </c>
      <c r="S108" s="569"/>
      <c r="T108" s="584">
        <v>0.0</v>
      </c>
      <c r="U108" s="584">
        <v>0.0</v>
      </c>
      <c r="V108" s="584">
        <v>0.0</v>
      </c>
      <c r="W108" s="584"/>
      <c r="X108" s="584">
        <v>4995.10020833333</v>
      </c>
      <c r="Y108" s="584">
        <v>4995.10020833333</v>
      </c>
      <c r="Z108" s="569"/>
      <c r="AA108" s="584">
        <v>102100.332141667</v>
      </c>
    </row>
    <row r="109" ht="12.75" hidden="1" customHeight="1" outlineLevel="1">
      <c r="A109" s="569"/>
      <c r="B109" s="578" t="s">
        <v>1359</v>
      </c>
      <c r="D109" s="583">
        <v>151294.883177083</v>
      </c>
      <c r="E109" s="583">
        <v>120795.10993125</v>
      </c>
      <c r="F109" s="583">
        <v>10370.192</v>
      </c>
      <c r="G109" s="583">
        <v>0.0</v>
      </c>
      <c r="H109" s="583">
        <v>282460.185108333</v>
      </c>
      <c r="I109" s="569"/>
      <c r="J109" s="583">
        <v>13822.5285</v>
      </c>
      <c r="K109" s="583">
        <v>14344.88</v>
      </c>
      <c r="L109" s="583">
        <v>20646.9863333333</v>
      </c>
      <c r="M109" s="583">
        <v>8175.75</v>
      </c>
      <c r="N109" s="583">
        <v>8110.7</v>
      </c>
      <c r="O109" s="583">
        <v>2595.15</v>
      </c>
      <c r="P109" s="583">
        <v>67695.9948333334</v>
      </c>
      <c r="Q109" s="569"/>
      <c r="R109" s="583">
        <v>350156.179941667</v>
      </c>
      <c r="S109" s="569"/>
      <c r="T109" s="583">
        <v>0.0</v>
      </c>
      <c r="U109" s="583">
        <v>0.0</v>
      </c>
      <c r="V109" s="583">
        <v>0.0</v>
      </c>
      <c r="W109" s="583"/>
      <c r="X109" s="583">
        <v>4995.10020833333</v>
      </c>
      <c r="Y109" s="583">
        <v>4995.10020833333</v>
      </c>
      <c r="Z109" s="569"/>
      <c r="AA109" s="583">
        <v>355151.28015</v>
      </c>
    </row>
    <row r="110" ht="2.25" hidden="1" customHeight="1" outlineLevel="1">
      <c r="A110" s="569"/>
      <c r="B110" s="569"/>
      <c r="D110" s="571"/>
      <c r="E110" s="571"/>
      <c r="F110" s="571"/>
      <c r="G110" s="571"/>
      <c r="H110" s="571"/>
      <c r="I110" s="569"/>
      <c r="J110" s="571"/>
      <c r="K110" s="571"/>
      <c r="L110" s="571"/>
      <c r="M110" s="571"/>
      <c r="N110" s="571"/>
      <c r="O110" s="571"/>
      <c r="P110" s="571"/>
      <c r="Q110" s="569"/>
      <c r="R110" s="571"/>
      <c r="S110" s="569"/>
      <c r="T110" s="571"/>
      <c r="U110" s="571"/>
      <c r="V110" s="571"/>
      <c r="W110" s="571"/>
      <c r="X110" s="571"/>
      <c r="Y110" s="571"/>
      <c r="Z110" s="569"/>
      <c r="AA110" s="571"/>
    </row>
    <row r="111" ht="12.75" hidden="1" customHeight="1" outlineLevel="1">
      <c r="A111" s="569"/>
      <c r="B111" s="569" t="s">
        <v>1360</v>
      </c>
      <c r="D111" s="583"/>
      <c r="E111" s="583"/>
      <c r="F111" s="583"/>
      <c r="G111" s="583"/>
      <c r="H111" s="583"/>
      <c r="I111" s="569"/>
      <c r="J111" s="583"/>
      <c r="K111" s="583"/>
      <c r="L111" s="583"/>
      <c r="M111" s="583"/>
      <c r="N111" s="583"/>
      <c r="O111" s="583"/>
      <c r="P111" s="583"/>
      <c r="Q111" s="569"/>
      <c r="R111" s="583"/>
      <c r="S111" s="569"/>
      <c r="T111" s="583"/>
      <c r="U111" s="583"/>
      <c r="V111" s="583"/>
      <c r="W111" s="583"/>
      <c r="X111" s="583"/>
      <c r="Y111" s="583"/>
      <c r="Z111" s="569"/>
      <c r="AA111" s="583"/>
    </row>
    <row r="112" ht="12.75" hidden="1" customHeight="1" outlineLevel="1">
      <c r="A112" s="569"/>
      <c r="B112" s="578" t="s">
        <v>1361</v>
      </c>
      <c r="D112" s="583">
        <v>4914.0</v>
      </c>
      <c r="E112" s="583">
        <v>4641.0</v>
      </c>
      <c r="F112" s="583">
        <v>273.0</v>
      </c>
      <c r="G112" s="583">
        <v>0.0</v>
      </c>
      <c r="H112" s="583">
        <v>9828.0</v>
      </c>
      <c r="I112" s="569"/>
      <c r="J112" s="583">
        <v>273.0</v>
      </c>
      <c r="K112" s="583">
        <v>0.0</v>
      </c>
      <c r="L112" s="583">
        <v>0.0</v>
      </c>
      <c r="M112" s="583">
        <v>0.0</v>
      </c>
      <c r="N112" s="583">
        <v>273.0</v>
      </c>
      <c r="O112" s="583">
        <v>0.0</v>
      </c>
      <c r="P112" s="583">
        <v>546.0</v>
      </c>
      <c r="Q112" s="569"/>
      <c r="R112" s="583">
        <v>10374.0</v>
      </c>
      <c r="S112" s="569"/>
      <c r="T112" s="583">
        <v>0.0</v>
      </c>
      <c r="U112" s="583">
        <v>0.0</v>
      </c>
      <c r="V112" s="583">
        <v>0.0</v>
      </c>
      <c r="W112" s="583"/>
      <c r="X112" s="583">
        <v>0.0</v>
      </c>
      <c r="Y112" s="583">
        <v>0.0</v>
      </c>
      <c r="Z112" s="569"/>
      <c r="AA112" s="583">
        <v>10374.0</v>
      </c>
    </row>
    <row r="113" ht="12.75" hidden="1" customHeight="1" outlineLevel="1">
      <c r="A113" s="569"/>
      <c r="B113" s="580" t="s">
        <v>1362</v>
      </c>
      <c r="D113" s="584">
        <v>2052.72</v>
      </c>
      <c r="E113" s="584">
        <v>1921.44</v>
      </c>
      <c r="F113" s="584">
        <v>273.0</v>
      </c>
      <c r="G113" s="584">
        <v>0.0</v>
      </c>
      <c r="H113" s="584">
        <v>4247.16</v>
      </c>
      <c r="I113" s="569"/>
      <c r="J113" s="584">
        <v>273.0</v>
      </c>
      <c r="K113" s="584">
        <v>546.0</v>
      </c>
      <c r="L113" s="584">
        <v>993.72</v>
      </c>
      <c r="M113" s="584">
        <v>273.0</v>
      </c>
      <c r="N113" s="584">
        <v>0.0</v>
      </c>
      <c r="O113" s="584">
        <v>273.0</v>
      </c>
      <c r="P113" s="584">
        <v>2358.72</v>
      </c>
      <c r="Q113" s="569"/>
      <c r="R113" s="584">
        <v>6605.88</v>
      </c>
      <c r="S113" s="569"/>
      <c r="T113" s="584">
        <v>0.0</v>
      </c>
      <c r="U113" s="584">
        <v>0.0</v>
      </c>
      <c r="V113" s="584">
        <v>0.0</v>
      </c>
      <c r="W113" s="584"/>
      <c r="X113" s="584">
        <v>273.0</v>
      </c>
      <c r="Y113" s="584">
        <v>273.0</v>
      </c>
      <c r="Z113" s="569"/>
      <c r="AA113" s="584">
        <v>6878.88</v>
      </c>
    </row>
    <row r="114" ht="12.75" hidden="1" customHeight="1" outlineLevel="1">
      <c r="A114" s="569"/>
      <c r="B114" s="569" t="s">
        <v>1363</v>
      </c>
      <c r="D114" s="583">
        <v>6966.72</v>
      </c>
      <c r="E114" s="583">
        <v>6562.44</v>
      </c>
      <c r="F114" s="583">
        <v>546.0</v>
      </c>
      <c r="G114" s="583">
        <v>0.0</v>
      </c>
      <c r="H114" s="583">
        <v>14075.16</v>
      </c>
      <c r="I114" s="569"/>
      <c r="J114" s="583">
        <v>546.0</v>
      </c>
      <c r="K114" s="583">
        <v>546.0</v>
      </c>
      <c r="L114" s="583">
        <v>993.72</v>
      </c>
      <c r="M114" s="583">
        <v>273.0</v>
      </c>
      <c r="N114" s="583">
        <v>273.0</v>
      </c>
      <c r="O114" s="583">
        <v>273.0</v>
      </c>
      <c r="P114" s="583">
        <v>2904.72</v>
      </c>
      <c r="Q114" s="569"/>
      <c r="R114" s="583">
        <v>16979.88</v>
      </c>
      <c r="S114" s="569"/>
      <c r="T114" s="583">
        <v>0.0</v>
      </c>
      <c r="U114" s="583">
        <v>0.0</v>
      </c>
      <c r="V114" s="583">
        <v>0.0</v>
      </c>
      <c r="W114" s="583"/>
      <c r="X114" s="583">
        <v>273.0</v>
      </c>
      <c r="Y114" s="583">
        <v>273.0</v>
      </c>
      <c r="Z114" s="569"/>
      <c r="AA114" s="583">
        <v>17252.88</v>
      </c>
    </row>
    <row r="115" ht="2.25" hidden="1" customHeight="1" outlineLevel="1">
      <c r="A115" s="569"/>
      <c r="B115" s="569"/>
      <c r="D115" s="583"/>
      <c r="E115" s="583"/>
      <c r="F115" s="583"/>
      <c r="G115" s="583"/>
      <c r="H115" s="583"/>
      <c r="I115" s="569"/>
      <c r="J115" s="583"/>
      <c r="K115" s="583"/>
      <c r="L115" s="583"/>
      <c r="M115" s="583"/>
      <c r="N115" s="583"/>
      <c r="O115" s="583"/>
      <c r="P115" s="583"/>
      <c r="Q115" s="569"/>
      <c r="R115" s="583"/>
      <c r="S115" s="569"/>
      <c r="T115" s="583"/>
      <c r="U115" s="583"/>
      <c r="V115" s="583"/>
      <c r="W115" s="583"/>
      <c r="X115" s="583"/>
      <c r="Y115" s="583"/>
      <c r="Z115" s="569"/>
      <c r="AA115" s="583"/>
    </row>
    <row r="116" ht="12.75" hidden="1" customHeight="1" outlineLevel="1">
      <c r="A116" s="569"/>
      <c r="B116" s="569" t="s">
        <v>1364</v>
      </c>
      <c r="D116" s="583"/>
      <c r="E116" s="583"/>
      <c r="F116" s="583"/>
      <c r="G116" s="583"/>
      <c r="H116" s="583"/>
      <c r="I116" s="569"/>
      <c r="J116" s="583"/>
      <c r="K116" s="583"/>
      <c r="L116" s="583"/>
      <c r="M116" s="583"/>
      <c r="N116" s="583"/>
      <c r="O116" s="583"/>
      <c r="P116" s="583"/>
      <c r="Q116" s="569"/>
      <c r="R116" s="583"/>
      <c r="S116" s="569"/>
      <c r="T116" s="583"/>
      <c r="U116" s="583"/>
      <c r="V116" s="583"/>
      <c r="W116" s="583"/>
      <c r="X116" s="583"/>
      <c r="Y116" s="583"/>
      <c r="Z116" s="569"/>
      <c r="AA116" s="583"/>
    </row>
    <row r="117" ht="12.75" hidden="1" customHeight="1" outlineLevel="1">
      <c r="A117" s="569"/>
      <c r="B117" s="578" t="s">
        <v>1365</v>
      </c>
      <c r="D117" s="583">
        <v>15753.3933333333</v>
      </c>
      <c r="E117" s="583">
        <v>13991.7</v>
      </c>
      <c r="F117" s="583">
        <v>1600.0</v>
      </c>
      <c r="G117" s="583">
        <v>0.0</v>
      </c>
      <c r="H117" s="583">
        <v>31345.0933333333</v>
      </c>
      <c r="I117" s="569"/>
      <c r="J117" s="583">
        <v>827.2</v>
      </c>
      <c r="K117" s="583">
        <v>0.0</v>
      </c>
      <c r="L117" s="583">
        <v>0.0</v>
      </c>
      <c r="M117" s="583">
        <v>0.0</v>
      </c>
      <c r="N117" s="583">
        <v>2240.0</v>
      </c>
      <c r="O117" s="583">
        <v>0.0</v>
      </c>
      <c r="P117" s="583">
        <v>3067.2</v>
      </c>
      <c r="Q117" s="569"/>
      <c r="R117" s="583">
        <v>34412.2933333333</v>
      </c>
      <c r="S117" s="569"/>
      <c r="T117" s="583">
        <v>0.0</v>
      </c>
      <c r="U117" s="583">
        <v>0.0</v>
      </c>
      <c r="V117" s="583">
        <v>0.0</v>
      </c>
      <c r="W117" s="583"/>
      <c r="X117" s="583">
        <v>0.0</v>
      </c>
      <c r="Y117" s="583">
        <v>0.0</v>
      </c>
      <c r="Z117" s="569"/>
      <c r="AA117" s="583">
        <v>34412.2933333333</v>
      </c>
    </row>
    <row r="118" ht="12.75" hidden="1" customHeight="1" outlineLevel="1">
      <c r="A118" s="569"/>
      <c r="B118" s="580" t="s">
        <v>1366</v>
      </c>
      <c r="D118" s="584">
        <v>2262.4</v>
      </c>
      <c r="E118" s="584">
        <v>1846.4</v>
      </c>
      <c r="F118" s="584">
        <v>294.4</v>
      </c>
      <c r="G118" s="584">
        <v>0.0</v>
      </c>
      <c r="H118" s="584">
        <v>4403.2</v>
      </c>
      <c r="I118" s="569"/>
      <c r="J118" s="584">
        <v>704.0</v>
      </c>
      <c r="K118" s="584">
        <v>2816.0</v>
      </c>
      <c r="L118" s="584">
        <v>4542.93333333333</v>
      </c>
      <c r="M118" s="584">
        <v>2400.0</v>
      </c>
      <c r="N118" s="584">
        <v>0.0</v>
      </c>
      <c r="O118" s="584">
        <v>480.0</v>
      </c>
      <c r="P118" s="584">
        <v>10942.9333333333</v>
      </c>
      <c r="Q118" s="569"/>
      <c r="R118" s="584">
        <v>15346.1333333333</v>
      </c>
      <c r="S118" s="569"/>
      <c r="T118" s="584">
        <v>0.0</v>
      </c>
      <c r="U118" s="584">
        <v>0.0</v>
      </c>
      <c r="V118" s="584">
        <v>0.0</v>
      </c>
      <c r="W118" s="584"/>
      <c r="X118" s="584">
        <v>787.333333333333</v>
      </c>
      <c r="Y118" s="584">
        <v>787.333333333333</v>
      </c>
      <c r="Z118" s="569"/>
      <c r="AA118" s="584">
        <v>16133.4666666667</v>
      </c>
    </row>
    <row r="119" ht="12.75" hidden="1" customHeight="1" outlineLevel="1">
      <c r="A119" s="569"/>
      <c r="B119" s="569" t="s">
        <v>1367</v>
      </c>
      <c r="D119" s="583">
        <v>18015.7933333333</v>
      </c>
      <c r="E119" s="583">
        <v>15838.1</v>
      </c>
      <c r="F119" s="583">
        <v>1894.4</v>
      </c>
      <c r="G119" s="583">
        <v>0.0</v>
      </c>
      <c r="H119" s="583">
        <v>35748.2933333333</v>
      </c>
      <c r="I119" s="569"/>
      <c r="J119" s="583">
        <v>1531.2</v>
      </c>
      <c r="K119" s="583">
        <v>2816.0</v>
      </c>
      <c r="L119" s="583">
        <v>4542.93333333333</v>
      </c>
      <c r="M119" s="583">
        <v>2400.0</v>
      </c>
      <c r="N119" s="583">
        <v>2240.0</v>
      </c>
      <c r="O119" s="583">
        <v>480.0</v>
      </c>
      <c r="P119" s="583">
        <v>14010.1333333333</v>
      </c>
      <c r="Q119" s="569"/>
      <c r="R119" s="583">
        <v>49758.4266666667</v>
      </c>
      <c r="S119" s="569"/>
      <c r="T119" s="583">
        <v>0.0</v>
      </c>
      <c r="U119" s="583">
        <v>0.0</v>
      </c>
      <c r="V119" s="583">
        <v>0.0</v>
      </c>
      <c r="W119" s="583"/>
      <c r="X119" s="583">
        <v>787.333333333333</v>
      </c>
      <c r="Y119" s="583">
        <v>787.333333333333</v>
      </c>
      <c r="Z119" s="569"/>
      <c r="AA119" s="583">
        <v>50545.76</v>
      </c>
    </row>
    <row r="120" ht="2.25" hidden="1" customHeight="1" outlineLevel="1">
      <c r="A120" s="569"/>
      <c r="B120" s="569"/>
      <c r="D120" s="583"/>
      <c r="E120" s="583"/>
      <c r="F120" s="583"/>
      <c r="G120" s="583"/>
      <c r="H120" s="583"/>
      <c r="I120" s="569"/>
      <c r="J120" s="583"/>
      <c r="K120" s="583"/>
      <c r="L120" s="583"/>
      <c r="M120" s="583"/>
      <c r="N120" s="583"/>
      <c r="O120" s="583"/>
      <c r="P120" s="583"/>
      <c r="Q120" s="569"/>
      <c r="R120" s="583"/>
      <c r="S120" s="569"/>
      <c r="T120" s="583"/>
      <c r="U120" s="583"/>
      <c r="V120" s="583"/>
      <c r="W120" s="583"/>
      <c r="X120" s="583"/>
      <c r="Y120" s="583"/>
      <c r="Z120" s="569"/>
      <c r="AA120" s="583"/>
    </row>
    <row r="121" ht="12.75" hidden="1" customHeight="1" outlineLevel="1">
      <c r="A121" s="569"/>
      <c r="B121" s="569" t="s">
        <v>1368</v>
      </c>
      <c r="D121" s="583"/>
      <c r="E121" s="583"/>
      <c r="F121" s="583"/>
      <c r="G121" s="583"/>
      <c r="H121" s="583"/>
      <c r="I121" s="569"/>
      <c r="J121" s="583"/>
      <c r="K121" s="583"/>
      <c r="L121" s="583"/>
      <c r="M121" s="583"/>
      <c r="N121" s="583"/>
      <c r="O121" s="583"/>
      <c r="P121" s="583"/>
      <c r="Q121" s="569"/>
      <c r="R121" s="583"/>
      <c r="S121" s="569"/>
      <c r="T121" s="583"/>
      <c r="U121" s="583"/>
      <c r="V121" s="583"/>
      <c r="W121" s="583"/>
      <c r="X121" s="583"/>
      <c r="Y121" s="583"/>
      <c r="Z121" s="569"/>
      <c r="AA121" s="583"/>
    </row>
    <row r="122" ht="12.75" hidden="1" customHeight="1" outlineLevel="1">
      <c r="A122" s="569"/>
      <c r="B122" s="569" t="s">
        <v>1369</v>
      </c>
      <c r="D122" s="583">
        <v>0.0</v>
      </c>
      <c r="E122" s="583">
        <v>0.0</v>
      </c>
      <c r="F122" s="583">
        <v>0.0</v>
      </c>
      <c r="G122" s="583">
        <v>0.0</v>
      </c>
      <c r="H122" s="583">
        <v>0.0</v>
      </c>
      <c r="I122" s="569"/>
      <c r="J122" s="583">
        <v>0.0</v>
      </c>
      <c r="K122" s="583">
        <v>0.0</v>
      </c>
      <c r="L122" s="583">
        <v>0.0</v>
      </c>
      <c r="M122" s="583">
        <v>0.0</v>
      </c>
      <c r="N122" s="583">
        <v>0.0</v>
      </c>
      <c r="O122" s="583">
        <v>0.0</v>
      </c>
      <c r="P122" s="583">
        <v>0.0</v>
      </c>
      <c r="Q122" s="569"/>
      <c r="R122" s="583">
        <v>0.0</v>
      </c>
      <c r="S122" s="569"/>
      <c r="T122" s="583">
        <v>0.0</v>
      </c>
      <c r="U122" s="583">
        <v>0.0</v>
      </c>
      <c r="V122" s="583">
        <v>0.0</v>
      </c>
      <c r="W122" s="583"/>
      <c r="X122" s="583">
        <v>0.0</v>
      </c>
      <c r="Y122" s="583">
        <v>0.0</v>
      </c>
      <c r="Z122" s="569"/>
      <c r="AA122" s="583">
        <v>0.0</v>
      </c>
    </row>
    <row r="123" ht="12.75" hidden="1" customHeight="1" outlineLevel="1">
      <c r="A123" s="569"/>
      <c r="B123" s="589" t="s">
        <v>1370</v>
      </c>
      <c r="D123" s="584">
        <v>825.0</v>
      </c>
      <c r="E123" s="584">
        <v>759.0</v>
      </c>
      <c r="F123" s="584">
        <v>276.0</v>
      </c>
      <c r="G123" s="584">
        <v>0.0</v>
      </c>
      <c r="H123" s="584">
        <v>1860.0</v>
      </c>
      <c r="I123" s="569"/>
      <c r="J123" s="584">
        <v>660.0</v>
      </c>
      <c r="K123" s="584">
        <v>2640.0</v>
      </c>
      <c r="L123" s="584">
        <v>4259.0</v>
      </c>
      <c r="M123" s="584">
        <v>2250.0</v>
      </c>
      <c r="N123" s="584">
        <v>0.0</v>
      </c>
      <c r="O123" s="584">
        <v>450.0</v>
      </c>
      <c r="P123" s="584">
        <v>10259.0</v>
      </c>
      <c r="Q123" s="569"/>
      <c r="R123" s="584">
        <v>12119.0</v>
      </c>
      <c r="S123" s="569"/>
      <c r="T123" s="584">
        <v>0.0</v>
      </c>
      <c r="U123" s="584">
        <v>0.0</v>
      </c>
      <c r="V123" s="584">
        <v>0.0</v>
      </c>
      <c r="W123" s="584"/>
      <c r="X123" s="584">
        <v>738.125</v>
      </c>
      <c r="Y123" s="584">
        <v>738.125</v>
      </c>
      <c r="Z123" s="569"/>
      <c r="AA123" s="584">
        <v>12857.125</v>
      </c>
    </row>
    <row r="124" ht="12.75" hidden="1" customHeight="1" outlineLevel="1">
      <c r="A124" s="569"/>
      <c r="B124" s="569" t="s">
        <v>1371</v>
      </c>
      <c r="D124" s="583">
        <v>825.0</v>
      </c>
      <c r="E124" s="583">
        <v>759.0</v>
      </c>
      <c r="F124" s="583">
        <v>276.0</v>
      </c>
      <c r="G124" s="583">
        <v>0.0</v>
      </c>
      <c r="H124" s="583">
        <v>1860.0</v>
      </c>
      <c r="I124" s="569"/>
      <c r="J124" s="583">
        <v>660.0</v>
      </c>
      <c r="K124" s="583">
        <v>2640.0</v>
      </c>
      <c r="L124" s="583">
        <v>4259.0</v>
      </c>
      <c r="M124" s="583">
        <v>2250.0</v>
      </c>
      <c r="N124" s="583">
        <v>0.0</v>
      </c>
      <c r="O124" s="583">
        <v>450.0</v>
      </c>
      <c r="P124" s="583">
        <v>10259.0</v>
      </c>
      <c r="Q124" s="569"/>
      <c r="R124" s="583">
        <v>12119.0</v>
      </c>
      <c r="S124" s="569"/>
      <c r="T124" s="583">
        <v>0.0</v>
      </c>
      <c r="U124" s="583">
        <v>0.0</v>
      </c>
      <c r="V124" s="583">
        <v>0.0</v>
      </c>
      <c r="W124" s="583"/>
      <c r="X124" s="583">
        <v>738.125</v>
      </c>
      <c r="Y124" s="583">
        <v>738.125</v>
      </c>
      <c r="Z124" s="569"/>
      <c r="AA124" s="583">
        <v>12857.125</v>
      </c>
    </row>
    <row r="125" ht="2.25" hidden="1" customHeight="1" outlineLevel="1">
      <c r="A125" s="569"/>
      <c r="B125" s="569"/>
      <c r="D125" s="571"/>
      <c r="E125" s="571"/>
      <c r="F125" s="571"/>
      <c r="G125" s="571"/>
      <c r="H125" s="571"/>
      <c r="I125" s="569"/>
      <c r="J125" s="571"/>
      <c r="K125" s="571"/>
      <c r="L125" s="571"/>
      <c r="M125" s="571"/>
      <c r="N125" s="571"/>
      <c r="O125" s="571"/>
      <c r="P125" s="571"/>
      <c r="Q125" s="569"/>
      <c r="R125" s="571"/>
      <c r="S125" s="569"/>
      <c r="T125" s="571"/>
      <c r="U125" s="571"/>
      <c r="V125" s="571"/>
      <c r="W125" s="571"/>
      <c r="X125" s="571"/>
      <c r="Y125" s="571"/>
      <c r="Z125" s="569"/>
      <c r="AA125" s="571"/>
    </row>
    <row r="126" ht="12.75" customHeight="1">
      <c r="A126" s="569"/>
      <c r="B126" s="572" t="s">
        <v>1372</v>
      </c>
      <c r="D126" s="588">
        <v>290872.496510417</v>
      </c>
      <c r="E126" s="588">
        <v>246610.74993125</v>
      </c>
      <c r="F126" s="588">
        <v>23887.192</v>
      </c>
      <c r="G126" s="588">
        <v>0.0</v>
      </c>
      <c r="H126" s="588">
        <v>561370.438441667</v>
      </c>
      <c r="I126" s="569"/>
      <c r="J126" s="588">
        <v>24844.7285</v>
      </c>
      <c r="K126" s="588">
        <v>33810.88</v>
      </c>
      <c r="L126" s="588">
        <v>52163.5396666667</v>
      </c>
      <c r="M126" s="588">
        <v>24573.75</v>
      </c>
      <c r="N126" s="588">
        <v>22553.7</v>
      </c>
      <c r="O126" s="588">
        <v>6093.15</v>
      </c>
      <c r="P126" s="588">
        <v>164039.748166667</v>
      </c>
      <c r="Q126" s="569"/>
      <c r="R126" s="588">
        <v>725410.186608333</v>
      </c>
      <c r="S126" s="569"/>
      <c r="T126" s="588">
        <v>0.0</v>
      </c>
      <c r="U126" s="588">
        <v>0.0</v>
      </c>
      <c r="V126" s="588">
        <v>0.0</v>
      </c>
      <c r="W126" s="588"/>
      <c r="X126" s="588">
        <v>10557.9960416667</v>
      </c>
      <c r="Y126" s="588">
        <v>10557.9960416667</v>
      </c>
      <c r="Z126" s="569"/>
      <c r="AA126" s="588">
        <v>735968.18265</v>
      </c>
    </row>
    <row r="127" ht="2.25" customHeight="1">
      <c r="A127" s="569"/>
      <c r="B127" s="569"/>
      <c r="D127" s="571"/>
      <c r="E127" s="571"/>
      <c r="F127" s="571"/>
      <c r="G127" s="571"/>
      <c r="H127" s="571"/>
      <c r="I127" s="569"/>
      <c r="J127" s="571"/>
      <c r="K127" s="571"/>
      <c r="L127" s="571"/>
      <c r="M127" s="571"/>
      <c r="N127" s="571"/>
      <c r="O127" s="571"/>
      <c r="P127" s="571"/>
      <c r="Q127" s="569"/>
      <c r="R127" s="571"/>
      <c r="S127" s="569"/>
      <c r="T127" s="571"/>
      <c r="U127" s="571"/>
      <c r="V127" s="571"/>
      <c r="W127" s="571"/>
      <c r="X127" s="571"/>
      <c r="Y127" s="571"/>
      <c r="Z127" s="569"/>
      <c r="AA127" s="571"/>
    </row>
    <row r="128" ht="12.75" hidden="1" customHeight="1" outlineLevel="1">
      <c r="A128" s="569"/>
      <c r="B128" s="572" t="s">
        <v>1373</v>
      </c>
      <c r="D128" s="571"/>
      <c r="E128" s="571"/>
      <c r="F128" s="571"/>
      <c r="G128" s="571"/>
      <c r="H128" s="571"/>
      <c r="I128" s="569"/>
      <c r="J128" s="571"/>
      <c r="K128" s="571"/>
      <c r="L128" s="571"/>
      <c r="M128" s="571"/>
      <c r="N128" s="571"/>
      <c r="O128" s="571"/>
      <c r="P128" s="571"/>
      <c r="Q128" s="569"/>
      <c r="R128" s="571"/>
      <c r="S128" s="569"/>
      <c r="T128" s="571"/>
      <c r="U128" s="571"/>
      <c r="V128" s="571"/>
      <c r="W128" s="571"/>
      <c r="X128" s="571"/>
      <c r="Y128" s="571"/>
      <c r="Z128" s="569"/>
      <c r="AA128" s="571"/>
    </row>
    <row r="129" ht="12.75" hidden="1" customHeight="1" outlineLevel="1">
      <c r="A129" s="569"/>
      <c r="B129" s="569" t="s">
        <v>1374</v>
      </c>
      <c r="D129" s="579">
        <v>52571.4285714286</v>
      </c>
      <c r="E129" s="579">
        <v>65285.7142857143</v>
      </c>
      <c r="F129" s="583">
        <v>0.0</v>
      </c>
      <c r="G129" s="583">
        <v>0.0</v>
      </c>
      <c r="H129" s="579">
        <v>117857.142857143</v>
      </c>
      <c r="I129" s="569"/>
      <c r="J129" s="579">
        <v>0.0</v>
      </c>
      <c r="K129" s="579">
        <v>0.0</v>
      </c>
      <c r="L129" s="579">
        <v>0.0</v>
      </c>
      <c r="M129" s="579">
        <v>0.0</v>
      </c>
      <c r="N129" s="579">
        <v>0.0</v>
      </c>
      <c r="O129" s="579">
        <v>0.0</v>
      </c>
      <c r="P129" s="579">
        <v>0.0</v>
      </c>
      <c r="Q129" s="569"/>
      <c r="R129" s="579">
        <v>117857.142857143</v>
      </c>
      <c r="S129" s="569"/>
      <c r="T129" s="579">
        <v>0.0</v>
      </c>
      <c r="U129" s="579">
        <v>0.0</v>
      </c>
      <c r="V129" s="579">
        <v>0.0</v>
      </c>
      <c r="W129" s="579"/>
      <c r="X129" s="579">
        <v>0.0</v>
      </c>
      <c r="Y129" s="579">
        <v>0.0</v>
      </c>
      <c r="Z129" s="569"/>
      <c r="AA129" s="579">
        <v>117857.142857143</v>
      </c>
    </row>
    <row r="130" ht="12.75" hidden="1" customHeight="1" outlineLevel="1">
      <c r="A130" s="569"/>
      <c r="B130" s="569" t="s">
        <v>1375</v>
      </c>
      <c r="D130" s="579">
        <v>15000.0</v>
      </c>
      <c r="E130" s="579">
        <v>15000.0</v>
      </c>
      <c r="F130" s="583">
        <v>0.0</v>
      </c>
      <c r="G130" s="583">
        <v>0.0</v>
      </c>
      <c r="H130" s="579">
        <v>30000.0</v>
      </c>
      <c r="I130" s="569"/>
      <c r="J130" s="579">
        <v>5000.0</v>
      </c>
      <c r="K130" s="579">
        <v>0.0</v>
      </c>
      <c r="L130" s="579">
        <v>0.0</v>
      </c>
      <c r="M130" s="579">
        <v>0.0</v>
      </c>
      <c r="N130" s="579">
        <v>0.0</v>
      </c>
      <c r="O130" s="579">
        <v>0.0</v>
      </c>
      <c r="P130" s="579">
        <v>5000.0</v>
      </c>
      <c r="Q130" s="569"/>
      <c r="R130" s="579">
        <v>35000.0</v>
      </c>
      <c r="S130" s="569"/>
      <c r="T130" s="579">
        <v>0.0</v>
      </c>
      <c r="U130" s="579">
        <v>0.0</v>
      </c>
      <c r="V130" s="579">
        <v>0.0</v>
      </c>
      <c r="W130" s="579"/>
      <c r="X130" s="579">
        <v>0.0</v>
      </c>
      <c r="Y130" s="579">
        <v>0.0</v>
      </c>
      <c r="Z130" s="569"/>
      <c r="AA130" s="579">
        <v>35000.0</v>
      </c>
    </row>
    <row r="131" ht="7.5" hidden="1" customHeight="1" outlineLevel="1">
      <c r="A131" s="569"/>
      <c r="B131" s="569"/>
      <c r="D131" s="579"/>
      <c r="E131" s="579"/>
      <c r="F131" s="579"/>
      <c r="G131" s="579"/>
      <c r="H131" s="579"/>
      <c r="I131" s="569"/>
      <c r="J131" s="579"/>
      <c r="K131" s="579"/>
      <c r="L131" s="579"/>
      <c r="M131" s="579"/>
      <c r="N131" s="579"/>
      <c r="O131" s="579"/>
      <c r="P131" s="579"/>
      <c r="Q131" s="569"/>
      <c r="R131" s="579"/>
      <c r="S131" s="569"/>
      <c r="T131" s="579"/>
      <c r="U131" s="579"/>
      <c r="V131" s="579"/>
      <c r="W131" s="579"/>
      <c r="X131" s="579"/>
      <c r="Y131" s="579"/>
      <c r="Z131" s="569"/>
      <c r="AA131" s="579"/>
    </row>
    <row r="132" ht="12.75" hidden="1" customHeight="1" outlineLevel="1">
      <c r="A132" s="569"/>
      <c r="B132" s="569" t="s">
        <v>1376</v>
      </c>
      <c r="D132" s="579">
        <v>5000.0</v>
      </c>
      <c r="E132" s="579">
        <v>55000.0</v>
      </c>
      <c r="F132" s="583">
        <v>0.0</v>
      </c>
      <c r="G132" s="583">
        <v>0.0</v>
      </c>
      <c r="H132" s="579">
        <v>60000.0</v>
      </c>
      <c r="I132" s="569"/>
      <c r="J132" s="579">
        <v>0.0</v>
      </c>
      <c r="K132" s="579">
        <v>0.0</v>
      </c>
      <c r="L132" s="579">
        <v>0.0</v>
      </c>
      <c r="M132" s="579">
        <v>0.0</v>
      </c>
      <c r="N132" s="579">
        <v>0.0</v>
      </c>
      <c r="O132" s="579">
        <v>0.0</v>
      </c>
      <c r="P132" s="579">
        <v>0.0</v>
      </c>
      <c r="Q132" s="569"/>
      <c r="R132" s="579">
        <v>60000.0</v>
      </c>
      <c r="S132" s="569"/>
      <c r="T132" s="579">
        <v>0.0</v>
      </c>
      <c r="U132" s="579">
        <v>0.0</v>
      </c>
      <c r="V132" s="579">
        <v>0.0</v>
      </c>
      <c r="W132" s="579"/>
      <c r="X132" s="579">
        <v>0.0</v>
      </c>
      <c r="Y132" s="579">
        <v>0.0</v>
      </c>
      <c r="Z132" s="569"/>
      <c r="AA132" s="579">
        <v>60000.0</v>
      </c>
    </row>
    <row r="133" ht="2.25" hidden="1" customHeight="1" outlineLevel="1">
      <c r="A133" s="569"/>
      <c r="B133" s="569"/>
      <c r="D133" s="579"/>
      <c r="E133" s="579"/>
      <c r="F133" s="579"/>
      <c r="G133" s="579"/>
      <c r="H133" s="579"/>
      <c r="I133" s="569"/>
      <c r="J133" s="579"/>
      <c r="K133" s="579"/>
      <c r="L133" s="579"/>
      <c r="M133" s="579"/>
      <c r="N133" s="579"/>
      <c r="O133" s="579"/>
      <c r="P133" s="579"/>
      <c r="Q133" s="569"/>
      <c r="R133" s="579"/>
      <c r="S133" s="569"/>
      <c r="T133" s="579"/>
      <c r="U133" s="579"/>
      <c r="V133" s="579"/>
      <c r="W133" s="579"/>
      <c r="X133" s="579"/>
      <c r="Y133" s="579"/>
      <c r="Z133" s="569"/>
      <c r="AA133" s="579"/>
    </row>
    <row r="134" ht="12.75" hidden="1" customHeight="1" outlineLevel="1">
      <c r="A134" s="569"/>
      <c r="B134" s="569" t="s">
        <v>1377</v>
      </c>
      <c r="D134" s="571"/>
      <c r="E134" s="571"/>
      <c r="F134" s="571"/>
      <c r="G134" s="571"/>
      <c r="H134" s="571"/>
      <c r="I134" s="569"/>
      <c r="J134" s="571"/>
      <c r="K134" s="571"/>
      <c r="L134" s="571"/>
      <c r="M134" s="571"/>
      <c r="N134" s="571"/>
      <c r="O134" s="571"/>
      <c r="P134" s="571"/>
      <c r="Q134" s="569"/>
      <c r="R134" s="571"/>
      <c r="S134" s="569"/>
      <c r="T134" s="571"/>
      <c r="U134" s="571"/>
      <c r="V134" s="571"/>
      <c r="W134" s="571"/>
      <c r="X134" s="571"/>
      <c r="Y134" s="571"/>
      <c r="Z134" s="569"/>
      <c r="AA134" s="571"/>
    </row>
    <row r="135" ht="12.75" hidden="1" customHeight="1" outlineLevel="1">
      <c r="A135" s="569"/>
      <c r="B135" s="578" t="s">
        <v>1378</v>
      </c>
      <c r="D135" s="579">
        <v>1200.0</v>
      </c>
      <c r="E135" s="579">
        <v>6500.0</v>
      </c>
      <c r="F135" s="583">
        <v>0.0</v>
      </c>
      <c r="G135" s="583">
        <v>0.0</v>
      </c>
      <c r="H135" s="579">
        <v>7700.0</v>
      </c>
      <c r="I135" s="569"/>
      <c r="J135" s="579">
        <v>0.0</v>
      </c>
      <c r="K135" s="579">
        <v>0.0</v>
      </c>
      <c r="L135" s="579">
        <v>0.0</v>
      </c>
      <c r="M135" s="579">
        <v>0.0</v>
      </c>
      <c r="N135" s="579">
        <v>0.0</v>
      </c>
      <c r="O135" s="579">
        <v>0.0</v>
      </c>
      <c r="P135" s="579">
        <v>0.0</v>
      </c>
      <c r="Q135" s="569"/>
      <c r="R135" s="579">
        <v>7700.0</v>
      </c>
      <c r="S135" s="569"/>
      <c r="T135" s="579">
        <v>0.0</v>
      </c>
      <c r="U135" s="579">
        <v>0.0</v>
      </c>
      <c r="V135" s="579">
        <v>0.0</v>
      </c>
      <c r="W135" s="579"/>
      <c r="X135" s="579">
        <v>0.0</v>
      </c>
      <c r="Y135" s="579">
        <v>0.0</v>
      </c>
      <c r="Z135" s="569"/>
      <c r="AA135" s="579">
        <v>7700.0</v>
      </c>
    </row>
    <row r="136" ht="12.75" hidden="1" customHeight="1" outlineLevel="1">
      <c r="A136" s="569"/>
      <c r="B136" s="578" t="s">
        <v>1379</v>
      </c>
      <c r="D136" s="579">
        <v>10198.9743589744</v>
      </c>
      <c r="E136" s="579">
        <v>10610.2857142857</v>
      </c>
      <c r="F136" s="583">
        <v>0.0</v>
      </c>
      <c r="G136" s="583">
        <v>0.0</v>
      </c>
      <c r="H136" s="579">
        <v>20809.2600732601</v>
      </c>
      <c r="I136" s="569"/>
      <c r="J136" s="579">
        <v>0.0</v>
      </c>
      <c r="K136" s="579">
        <v>0.0</v>
      </c>
      <c r="L136" s="579">
        <v>0.0</v>
      </c>
      <c r="M136" s="579">
        <v>0.0</v>
      </c>
      <c r="N136" s="579">
        <v>0.0</v>
      </c>
      <c r="O136" s="579">
        <v>0.0</v>
      </c>
      <c r="P136" s="579">
        <v>0.0</v>
      </c>
      <c r="Q136" s="569"/>
      <c r="R136" s="579">
        <v>20809.2600732601</v>
      </c>
      <c r="S136" s="569"/>
      <c r="T136" s="579">
        <v>0.0</v>
      </c>
      <c r="U136" s="579">
        <v>0.0</v>
      </c>
      <c r="V136" s="579">
        <v>0.0</v>
      </c>
      <c r="W136" s="579"/>
      <c r="X136" s="579">
        <v>0.0</v>
      </c>
      <c r="Y136" s="579">
        <v>0.0</v>
      </c>
      <c r="Z136" s="569"/>
      <c r="AA136" s="579">
        <v>20809.2600732601</v>
      </c>
    </row>
    <row r="137" ht="12.75" hidden="1" customHeight="1" outlineLevel="1">
      <c r="A137" s="569"/>
      <c r="B137" s="578" t="s">
        <v>1380</v>
      </c>
      <c r="D137" s="579">
        <v>15000.0</v>
      </c>
      <c r="E137" s="579">
        <v>13000.0</v>
      </c>
      <c r="F137" s="583">
        <v>0.0</v>
      </c>
      <c r="G137" s="583">
        <v>0.0</v>
      </c>
      <c r="H137" s="579">
        <v>28000.0</v>
      </c>
      <c r="I137" s="569"/>
      <c r="J137" s="579">
        <v>4000.0</v>
      </c>
      <c r="K137" s="579">
        <v>0.0</v>
      </c>
      <c r="L137" s="579">
        <v>0.0</v>
      </c>
      <c r="M137" s="579">
        <v>0.0</v>
      </c>
      <c r="N137" s="579">
        <v>0.0</v>
      </c>
      <c r="O137" s="579">
        <v>0.0</v>
      </c>
      <c r="P137" s="579">
        <v>4000.0</v>
      </c>
      <c r="Q137" s="569"/>
      <c r="R137" s="579">
        <v>32000.0</v>
      </c>
      <c r="S137" s="569"/>
      <c r="T137" s="579">
        <v>0.0</v>
      </c>
      <c r="U137" s="579">
        <v>0.0</v>
      </c>
      <c r="V137" s="579">
        <v>0.0</v>
      </c>
      <c r="W137" s="579"/>
      <c r="X137" s="579">
        <v>0.0</v>
      </c>
      <c r="Y137" s="579">
        <v>0.0</v>
      </c>
      <c r="Z137" s="569"/>
      <c r="AA137" s="579">
        <v>32000.0</v>
      </c>
    </row>
    <row r="138" ht="12.75" hidden="1" customHeight="1" outlineLevel="1">
      <c r="A138" s="569"/>
      <c r="B138" s="578" t="s">
        <v>1381</v>
      </c>
      <c r="D138" s="579">
        <v>0.0</v>
      </c>
      <c r="E138" s="579">
        <v>0.0</v>
      </c>
      <c r="F138" s="583">
        <v>0.0</v>
      </c>
      <c r="G138" s="583">
        <v>0.0</v>
      </c>
      <c r="H138" s="579">
        <v>0.0</v>
      </c>
      <c r="I138" s="569"/>
      <c r="J138" s="579">
        <v>0.0</v>
      </c>
      <c r="K138" s="579">
        <v>0.0</v>
      </c>
      <c r="L138" s="579">
        <v>0.0</v>
      </c>
      <c r="M138" s="579">
        <v>0.0</v>
      </c>
      <c r="N138" s="579">
        <v>0.0</v>
      </c>
      <c r="O138" s="579">
        <v>0.0</v>
      </c>
      <c r="P138" s="579">
        <v>0.0</v>
      </c>
      <c r="Q138" s="569"/>
      <c r="R138" s="579">
        <v>0.0</v>
      </c>
      <c r="S138" s="569"/>
      <c r="T138" s="579">
        <v>0.0</v>
      </c>
      <c r="U138" s="579">
        <v>0.0</v>
      </c>
      <c r="V138" s="579">
        <v>0.0</v>
      </c>
      <c r="W138" s="579"/>
      <c r="X138" s="579">
        <v>0.0</v>
      </c>
      <c r="Y138" s="579">
        <v>0.0</v>
      </c>
      <c r="Z138" s="569"/>
      <c r="AA138" s="579">
        <v>0.0</v>
      </c>
    </row>
    <row r="139" ht="12.75" hidden="1" customHeight="1" outlineLevel="1">
      <c r="A139" s="569"/>
      <c r="B139" s="68" t="s">
        <v>1382</v>
      </c>
      <c r="D139" s="579"/>
      <c r="E139" s="579"/>
      <c r="F139" s="583"/>
      <c r="G139" s="583"/>
      <c r="H139" s="579"/>
      <c r="I139" s="569"/>
      <c r="J139" s="579"/>
      <c r="K139" s="579"/>
      <c r="L139" s="579"/>
      <c r="M139" s="579"/>
      <c r="N139" s="579"/>
      <c r="O139" s="579"/>
      <c r="P139" s="579"/>
      <c r="Q139" s="569"/>
      <c r="R139" s="579"/>
      <c r="S139" s="569"/>
      <c r="T139" s="579"/>
      <c r="U139" s="579"/>
      <c r="V139" s="579"/>
      <c r="W139" s="579"/>
      <c r="X139" s="579"/>
      <c r="Y139" s="579"/>
      <c r="Z139" s="569"/>
      <c r="AA139" s="579"/>
    </row>
    <row r="140" ht="12.75" hidden="1" customHeight="1" outlineLevel="1">
      <c r="A140" s="569"/>
      <c r="B140" s="578" t="s">
        <v>1383</v>
      </c>
      <c r="D140" s="579">
        <v>28000.0</v>
      </c>
      <c r="E140" s="579">
        <v>28000.0</v>
      </c>
      <c r="F140" s="583">
        <v>2000.0</v>
      </c>
      <c r="G140" s="583">
        <v>0.0</v>
      </c>
      <c r="H140" s="579">
        <v>58000.0</v>
      </c>
      <c r="I140" s="569"/>
      <c r="J140" s="579">
        <v>0.0</v>
      </c>
      <c r="K140" s="579">
        <v>0.0</v>
      </c>
      <c r="L140" s="579">
        <v>18000.0</v>
      </c>
      <c r="M140" s="579">
        <v>0.0</v>
      </c>
      <c r="N140" s="579">
        <v>0.0</v>
      </c>
      <c r="O140" s="579">
        <v>0.0</v>
      </c>
      <c r="P140" s="579">
        <v>18000.0</v>
      </c>
      <c r="Q140" s="569"/>
      <c r="R140" s="579">
        <v>76000.0</v>
      </c>
      <c r="S140" s="569"/>
      <c r="T140" s="579">
        <v>0.0</v>
      </c>
      <c r="U140" s="579">
        <v>0.0</v>
      </c>
      <c r="V140" s="579">
        <v>0.0</v>
      </c>
      <c r="W140" s="579"/>
      <c r="X140" s="579">
        <v>0.0</v>
      </c>
      <c r="Y140" s="579">
        <v>0.0</v>
      </c>
      <c r="Z140" s="569"/>
      <c r="AA140" s="579">
        <v>76000.0</v>
      </c>
    </row>
    <row r="141" ht="12.75" hidden="1" customHeight="1" outlineLevel="1">
      <c r="A141" s="569"/>
      <c r="B141" s="578" t="s">
        <v>1384</v>
      </c>
      <c r="D141" s="579">
        <v>500.0</v>
      </c>
      <c r="E141" s="579">
        <v>3000.0</v>
      </c>
      <c r="F141" s="583">
        <v>0.0</v>
      </c>
      <c r="G141" s="583">
        <v>0.0</v>
      </c>
      <c r="H141" s="579">
        <v>3500.0</v>
      </c>
      <c r="I141" s="569"/>
      <c r="J141" s="579">
        <v>0.0</v>
      </c>
      <c r="K141" s="579">
        <v>0.0</v>
      </c>
      <c r="L141" s="579">
        <v>0.0</v>
      </c>
      <c r="M141" s="579">
        <v>0.0</v>
      </c>
      <c r="N141" s="579">
        <v>0.0</v>
      </c>
      <c r="O141" s="579">
        <v>0.0</v>
      </c>
      <c r="P141" s="579">
        <v>0.0</v>
      </c>
      <c r="Q141" s="569"/>
      <c r="R141" s="579">
        <v>3500.0</v>
      </c>
      <c r="S141" s="569"/>
      <c r="T141" s="579">
        <v>0.0</v>
      </c>
      <c r="U141" s="579">
        <v>0.0</v>
      </c>
      <c r="V141" s="579">
        <v>0.0</v>
      </c>
      <c r="W141" s="579"/>
      <c r="X141" s="579">
        <v>0.0</v>
      </c>
      <c r="Y141" s="579">
        <v>0.0</v>
      </c>
      <c r="Z141" s="569"/>
      <c r="AA141" s="579">
        <v>3500.0</v>
      </c>
    </row>
    <row r="142" ht="2.25" hidden="1" customHeight="1" outlineLevel="1">
      <c r="A142" s="569"/>
      <c r="B142" s="578"/>
      <c r="D142" s="579"/>
      <c r="E142" s="579"/>
      <c r="F142" s="579"/>
      <c r="G142" s="579"/>
      <c r="H142" s="579"/>
      <c r="I142" s="569"/>
      <c r="J142" s="579"/>
      <c r="K142" s="579"/>
      <c r="L142" s="579"/>
      <c r="M142" s="579"/>
      <c r="N142" s="579"/>
      <c r="O142" s="579"/>
      <c r="P142" s="579"/>
      <c r="Q142" s="569"/>
      <c r="R142" s="579"/>
      <c r="S142" s="569"/>
      <c r="T142" s="579"/>
      <c r="U142" s="579"/>
      <c r="V142" s="579"/>
      <c r="W142" s="579"/>
      <c r="X142" s="579"/>
      <c r="Y142" s="579"/>
      <c r="Z142" s="569"/>
      <c r="AA142" s="579"/>
    </row>
    <row r="143" ht="2.25" hidden="1" customHeight="1" outlineLevel="1">
      <c r="A143" s="569"/>
      <c r="B143" s="578"/>
      <c r="D143" s="579"/>
      <c r="E143" s="579"/>
      <c r="F143" s="579"/>
      <c r="G143" s="579"/>
      <c r="H143" s="579"/>
      <c r="I143" s="569"/>
      <c r="J143" s="579"/>
      <c r="K143" s="579"/>
      <c r="L143" s="579"/>
      <c r="M143" s="579"/>
      <c r="N143" s="579"/>
      <c r="O143" s="579"/>
      <c r="P143" s="579"/>
      <c r="Q143" s="569"/>
      <c r="R143" s="579"/>
      <c r="S143" s="569"/>
      <c r="T143" s="579"/>
      <c r="U143" s="579"/>
      <c r="V143" s="579"/>
      <c r="W143" s="579"/>
      <c r="X143" s="579"/>
      <c r="Y143" s="579"/>
      <c r="Z143" s="569"/>
      <c r="AA143" s="579"/>
    </row>
    <row r="144" ht="12.75" hidden="1" customHeight="1" outlineLevel="1">
      <c r="A144" s="569"/>
      <c r="B144" s="569" t="s">
        <v>1385</v>
      </c>
      <c r="D144" s="571"/>
      <c r="E144" s="571"/>
      <c r="F144" s="571"/>
      <c r="G144" s="571"/>
      <c r="H144" s="571"/>
      <c r="I144" s="569"/>
      <c r="J144" s="571"/>
      <c r="K144" s="571"/>
      <c r="L144" s="571"/>
      <c r="M144" s="571"/>
      <c r="N144" s="571"/>
      <c r="O144" s="571"/>
      <c r="P144" s="571"/>
      <c r="Q144" s="569"/>
      <c r="R144" s="571"/>
      <c r="S144" s="569"/>
      <c r="T144" s="571"/>
      <c r="U144" s="571"/>
      <c r="V144" s="571"/>
      <c r="W144" s="571"/>
      <c r="X144" s="571"/>
      <c r="Y144" s="571"/>
      <c r="Z144" s="569"/>
      <c r="AA144" s="571"/>
    </row>
    <row r="145" ht="12.75" hidden="1" customHeight="1" outlineLevel="1">
      <c r="A145" s="569"/>
      <c r="B145" s="578" t="s">
        <v>1386</v>
      </c>
      <c r="D145" s="579">
        <v>9944.0</v>
      </c>
      <c r="E145" s="579">
        <v>9284.0</v>
      </c>
      <c r="F145" s="583">
        <v>0.0</v>
      </c>
      <c r="G145" s="583">
        <v>0.0</v>
      </c>
      <c r="H145" s="579">
        <v>19228.0</v>
      </c>
      <c r="I145" s="569"/>
      <c r="J145" s="579">
        <v>0.0</v>
      </c>
      <c r="K145" s="579">
        <v>28000.0</v>
      </c>
      <c r="L145" s="579">
        <v>0.0</v>
      </c>
      <c r="M145" s="579">
        <v>0.0</v>
      </c>
      <c r="N145" s="579">
        <v>0.0</v>
      </c>
      <c r="O145" s="579">
        <v>0.0</v>
      </c>
      <c r="P145" s="579">
        <v>28000.0</v>
      </c>
      <c r="Q145" s="569"/>
      <c r="R145" s="579">
        <v>47228.0</v>
      </c>
      <c r="S145" s="569"/>
      <c r="T145" s="579">
        <v>0.0</v>
      </c>
      <c r="U145" s="579">
        <v>0.0</v>
      </c>
      <c r="V145" s="579">
        <v>0.0</v>
      </c>
      <c r="W145" s="579"/>
      <c r="X145" s="579">
        <v>0.0</v>
      </c>
      <c r="Y145" s="579">
        <v>0.0</v>
      </c>
      <c r="Z145" s="569"/>
      <c r="AA145" s="579">
        <v>47228.0</v>
      </c>
    </row>
    <row r="146" ht="12.75" hidden="1" customHeight="1" outlineLevel="1">
      <c r="A146" s="569"/>
      <c r="B146" s="578" t="s">
        <v>1387</v>
      </c>
      <c r="D146" s="579">
        <v>15000.0</v>
      </c>
      <c r="E146" s="579">
        <v>10000.0</v>
      </c>
      <c r="F146" s="583">
        <v>0.0</v>
      </c>
      <c r="G146" s="583">
        <v>0.0</v>
      </c>
      <c r="H146" s="579">
        <v>25000.0</v>
      </c>
      <c r="I146" s="569"/>
      <c r="J146" s="579">
        <v>0.0</v>
      </c>
      <c r="K146" s="579">
        <v>0.0</v>
      </c>
      <c r="L146" s="579">
        <v>0.0</v>
      </c>
      <c r="M146" s="579">
        <v>0.0</v>
      </c>
      <c r="N146" s="579">
        <v>0.0</v>
      </c>
      <c r="O146" s="579">
        <v>0.0</v>
      </c>
      <c r="P146" s="579">
        <v>0.0</v>
      </c>
      <c r="Q146" s="569"/>
      <c r="R146" s="579">
        <v>25000.0</v>
      </c>
      <c r="S146" s="569"/>
      <c r="T146" s="579">
        <v>0.0</v>
      </c>
      <c r="U146" s="579">
        <v>0.0</v>
      </c>
      <c r="V146" s="579">
        <v>0.0</v>
      </c>
      <c r="W146" s="579"/>
      <c r="X146" s="579">
        <v>0.0</v>
      </c>
      <c r="Y146" s="579">
        <v>0.0</v>
      </c>
      <c r="Z146" s="569"/>
      <c r="AA146" s="579">
        <v>25000.0</v>
      </c>
    </row>
    <row r="147" ht="12.75" hidden="1" customHeight="1" outlineLevel="1">
      <c r="A147" s="569"/>
      <c r="B147" s="578" t="s">
        <v>1388</v>
      </c>
      <c r="D147" s="579">
        <v>0.0</v>
      </c>
      <c r="E147" s="579">
        <v>0.0</v>
      </c>
      <c r="F147" s="583">
        <v>1200.0</v>
      </c>
      <c r="G147" s="583">
        <v>0.0</v>
      </c>
      <c r="H147" s="579">
        <v>1200.0</v>
      </c>
      <c r="I147" s="569"/>
      <c r="J147" s="579">
        <v>1000.0</v>
      </c>
      <c r="K147" s="579">
        <v>0.0</v>
      </c>
      <c r="L147" s="579">
        <v>10000.0</v>
      </c>
      <c r="M147" s="579">
        <v>0.0</v>
      </c>
      <c r="N147" s="579">
        <v>0.0</v>
      </c>
      <c r="O147" s="579">
        <v>0.0</v>
      </c>
      <c r="P147" s="579">
        <v>11000.0</v>
      </c>
      <c r="Q147" s="569"/>
      <c r="R147" s="579">
        <v>12200.0</v>
      </c>
      <c r="S147" s="569"/>
      <c r="T147" s="579">
        <v>0.0</v>
      </c>
      <c r="U147" s="579">
        <v>0.0</v>
      </c>
      <c r="V147" s="579">
        <v>0.0</v>
      </c>
      <c r="W147" s="579"/>
      <c r="X147" s="579">
        <v>0.0</v>
      </c>
      <c r="Y147" s="579">
        <v>0.0</v>
      </c>
      <c r="Z147" s="569"/>
      <c r="AA147" s="579">
        <v>12200.0</v>
      </c>
    </row>
    <row r="148" ht="12.75" hidden="1" customHeight="1" outlineLevel="1">
      <c r="A148" s="569"/>
      <c r="B148" s="578" t="s">
        <v>1389</v>
      </c>
      <c r="D148" s="579">
        <v>13714.2857142857</v>
      </c>
      <c r="E148" s="579">
        <v>36500.0</v>
      </c>
      <c r="F148" s="583">
        <v>0.0</v>
      </c>
      <c r="G148" s="583">
        <v>0.0</v>
      </c>
      <c r="H148" s="579">
        <v>50214.2857142857</v>
      </c>
      <c r="I148" s="569"/>
      <c r="J148" s="579">
        <v>0.0</v>
      </c>
      <c r="K148" s="579">
        <v>0.0</v>
      </c>
      <c r="L148" s="579">
        <v>0.0</v>
      </c>
      <c r="M148" s="579">
        <v>0.0</v>
      </c>
      <c r="N148" s="579">
        <v>0.0</v>
      </c>
      <c r="O148" s="579">
        <v>0.0</v>
      </c>
      <c r="P148" s="579">
        <v>0.0</v>
      </c>
      <c r="Q148" s="569"/>
      <c r="R148" s="579">
        <v>50214.2857142857</v>
      </c>
      <c r="S148" s="569"/>
      <c r="T148" s="579">
        <v>0.0</v>
      </c>
      <c r="U148" s="579">
        <v>0.0</v>
      </c>
      <c r="V148" s="579">
        <v>0.0</v>
      </c>
      <c r="W148" s="579"/>
      <c r="X148" s="579">
        <v>0.0</v>
      </c>
      <c r="Y148" s="579">
        <v>0.0</v>
      </c>
      <c r="Z148" s="569"/>
      <c r="AA148" s="579">
        <v>50214.2857142857</v>
      </c>
    </row>
    <row r="149" ht="12.75" hidden="1" customHeight="1" outlineLevel="1">
      <c r="A149" s="569"/>
      <c r="B149" s="578" t="s">
        <v>1390</v>
      </c>
      <c r="D149" s="579">
        <v>4500.0</v>
      </c>
      <c r="E149" s="579">
        <v>8250.0</v>
      </c>
      <c r="F149" s="583">
        <v>0.0</v>
      </c>
      <c r="G149" s="583">
        <v>0.0</v>
      </c>
      <c r="H149" s="579">
        <v>12750.0</v>
      </c>
      <c r="I149" s="569"/>
      <c r="J149" s="579">
        <v>0.0</v>
      </c>
      <c r="K149" s="579">
        <v>0.0</v>
      </c>
      <c r="L149" s="579">
        <v>0.0</v>
      </c>
      <c r="M149" s="579">
        <v>0.0</v>
      </c>
      <c r="N149" s="579">
        <v>0.0</v>
      </c>
      <c r="O149" s="579">
        <v>0.0</v>
      </c>
      <c r="P149" s="579">
        <v>0.0</v>
      </c>
      <c r="Q149" s="569"/>
      <c r="R149" s="579">
        <v>12750.0</v>
      </c>
      <c r="S149" s="569"/>
      <c r="T149" s="579">
        <v>0.0</v>
      </c>
      <c r="U149" s="579">
        <v>0.0</v>
      </c>
      <c r="V149" s="579">
        <v>0.0</v>
      </c>
      <c r="W149" s="579"/>
      <c r="X149" s="579">
        <v>0.0</v>
      </c>
      <c r="Y149" s="579">
        <v>0.0</v>
      </c>
      <c r="Z149" s="569"/>
      <c r="AA149" s="579">
        <v>12750.0</v>
      </c>
    </row>
    <row r="150" ht="12.75" hidden="1" customHeight="1" outlineLevel="1">
      <c r="A150" s="569"/>
      <c r="B150" s="578" t="s">
        <v>1391</v>
      </c>
      <c r="D150" s="579">
        <v>0.0</v>
      </c>
      <c r="E150" s="579">
        <v>3000.0</v>
      </c>
      <c r="F150" s="583">
        <v>0.0</v>
      </c>
      <c r="G150" s="583">
        <v>0.0</v>
      </c>
      <c r="H150" s="579">
        <v>3000.0</v>
      </c>
      <c r="I150" s="569"/>
      <c r="J150" s="579">
        <v>0.0</v>
      </c>
      <c r="K150" s="579">
        <v>0.0</v>
      </c>
      <c r="L150" s="579">
        <v>15000.0</v>
      </c>
      <c r="M150" s="579">
        <v>0.0</v>
      </c>
      <c r="N150" s="579">
        <v>0.0</v>
      </c>
      <c r="O150" s="579">
        <v>0.0</v>
      </c>
      <c r="P150" s="579">
        <v>15000.0</v>
      </c>
      <c r="Q150" s="569"/>
      <c r="R150" s="579">
        <v>18000.0</v>
      </c>
      <c r="S150" s="569"/>
      <c r="T150" s="579">
        <v>0.0</v>
      </c>
      <c r="U150" s="579">
        <v>0.0</v>
      </c>
      <c r="V150" s="579">
        <v>0.0</v>
      </c>
      <c r="W150" s="579"/>
      <c r="X150" s="579">
        <v>0.0</v>
      </c>
      <c r="Y150" s="579">
        <v>0.0</v>
      </c>
      <c r="Z150" s="569"/>
      <c r="AA150" s="579">
        <v>18000.0</v>
      </c>
    </row>
    <row r="151" ht="12.75" hidden="1" customHeight="1" outlineLevel="1">
      <c r="A151" s="569"/>
      <c r="B151" s="578" t="s">
        <v>1392</v>
      </c>
      <c r="D151" s="579">
        <v>18857.1428571429</v>
      </c>
      <c r="E151" s="579">
        <v>64000.0</v>
      </c>
      <c r="F151" s="583">
        <v>0.0</v>
      </c>
      <c r="G151" s="583">
        <v>0.0</v>
      </c>
      <c r="H151" s="579">
        <v>82857.1428571429</v>
      </c>
      <c r="I151" s="569"/>
      <c r="J151" s="579">
        <v>0.0</v>
      </c>
      <c r="K151" s="579">
        <v>0.0</v>
      </c>
      <c r="L151" s="579">
        <v>0.0</v>
      </c>
      <c r="M151" s="579">
        <v>0.0</v>
      </c>
      <c r="N151" s="579">
        <v>0.0</v>
      </c>
      <c r="O151" s="579">
        <v>0.0</v>
      </c>
      <c r="P151" s="579">
        <v>0.0</v>
      </c>
      <c r="Q151" s="569"/>
      <c r="R151" s="579">
        <v>82857.1428571429</v>
      </c>
      <c r="S151" s="569"/>
      <c r="T151" s="579">
        <v>0.0</v>
      </c>
      <c r="U151" s="579">
        <v>0.0</v>
      </c>
      <c r="V151" s="579">
        <v>0.0</v>
      </c>
      <c r="W151" s="579"/>
      <c r="X151" s="579">
        <v>0.0</v>
      </c>
      <c r="Y151" s="579">
        <v>0.0</v>
      </c>
      <c r="Z151" s="569"/>
      <c r="AA151" s="579">
        <v>82857.1428571429</v>
      </c>
    </row>
    <row r="152" ht="2.25" hidden="1" customHeight="1" outlineLevel="1">
      <c r="A152" s="569"/>
      <c r="B152" s="569"/>
      <c r="D152" s="571"/>
      <c r="E152" s="571"/>
      <c r="F152" s="583">
        <v>0.0</v>
      </c>
      <c r="G152" s="583">
        <v>0.0</v>
      </c>
      <c r="H152" s="571"/>
      <c r="I152" s="569"/>
      <c r="J152" s="571">
        <v>0.0</v>
      </c>
      <c r="K152" s="571">
        <v>0.0</v>
      </c>
      <c r="L152" s="571">
        <v>0.0</v>
      </c>
      <c r="M152" s="571">
        <v>0.0</v>
      </c>
      <c r="N152" s="571">
        <v>0.0</v>
      </c>
      <c r="O152" s="571">
        <v>0.0</v>
      </c>
      <c r="P152" s="571">
        <v>0.0</v>
      </c>
      <c r="Q152" s="569"/>
      <c r="R152" s="571">
        <v>0.0</v>
      </c>
      <c r="S152" s="569"/>
      <c r="T152" s="571">
        <v>0.0</v>
      </c>
      <c r="U152" s="571">
        <v>0.0</v>
      </c>
      <c r="V152" s="571">
        <v>0.0</v>
      </c>
      <c r="W152" s="571"/>
      <c r="X152" s="571">
        <v>0.0</v>
      </c>
      <c r="Y152" s="571">
        <v>0.0</v>
      </c>
      <c r="Z152" s="569"/>
      <c r="AA152" s="571">
        <v>0.0</v>
      </c>
    </row>
    <row r="153" ht="2.25" hidden="1" customHeight="1" outlineLevel="1">
      <c r="A153" s="569"/>
      <c r="B153" s="569"/>
      <c r="D153" s="571"/>
      <c r="E153" s="571"/>
      <c r="F153" s="583"/>
      <c r="G153" s="583"/>
      <c r="H153" s="571"/>
      <c r="I153" s="569"/>
      <c r="J153" s="571"/>
      <c r="K153" s="571"/>
      <c r="L153" s="571"/>
      <c r="M153" s="571"/>
      <c r="N153" s="571"/>
      <c r="O153" s="571"/>
      <c r="P153" s="571"/>
      <c r="Q153" s="569"/>
      <c r="R153" s="571"/>
      <c r="S153" s="569"/>
      <c r="T153" s="571"/>
      <c r="U153" s="571"/>
      <c r="V153" s="571"/>
      <c r="W153" s="571"/>
      <c r="X153" s="571"/>
      <c r="Y153" s="571"/>
      <c r="Z153" s="569"/>
      <c r="AA153" s="571"/>
    </row>
    <row r="154" ht="12.75" hidden="1" customHeight="1" outlineLevel="1">
      <c r="A154" s="569"/>
      <c r="B154" s="578" t="s">
        <v>1393</v>
      </c>
      <c r="D154" s="571"/>
      <c r="E154" s="571"/>
      <c r="F154" s="571"/>
      <c r="G154" s="571"/>
      <c r="H154" s="571"/>
      <c r="I154" s="569"/>
      <c r="J154" s="571"/>
      <c r="K154" s="571"/>
      <c r="L154" s="571"/>
      <c r="M154" s="571"/>
      <c r="N154" s="571"/>
      <c r="O154" s="571"/>
      <c r="P154" s="571"/>
      <c r="Q154" s="569"/>
      <c r="R154" s="571"/>
      <c r="S154" s="569"/>
      <c r="T154" s="571"/>
      <c r="U154" s="571"/>
      <c r="V154" s="571"/>
      <c r="W154" s="571"/>
      <c r="X154" s="571"/>
      <c r="Y154" s="571"/>
      <c r="Z154" s="569"/>
      <c r="AA154" s="571"/>
    </row>
    <row r="155" ht="12.75" hidden="1" customHeight="1" outlineLevel="1">
      <c r="A155" s="569"/>
      <c r="B155" s="578" t="s">
        <v>1394</v>
      </c>
      <c r="D155" s="579">
        <v>212538.88111104</v>
      </c>
      <c r="E155" s="579">
        <v>198432.31820544</v>
      </c>
      <c r="F155" s="583">
        <v>0.0</v>
      </c>
      <c r="G155" s="583">
        <v>0.0</v>
      </c>
      <c r="H155" s="579">
        <v>410971.19931648</v>
      </c>
      <c r="I155" s="569"/>
      <c r="J155" s="579">
        <v>0.0</v>
      </c>
      <c r="K155" s="579">
        <v>0.0</v>
      </c>
      <c r="L155" s="579">
        <v>0.0</v>
      </c>
      <c r="M155" s="579">
        <v>0.0</v>
      </c>
      <c r="N155" s="579">
        <v>0.0</v>
      </c>
      <c r="O155" s="579">
        <v>0.0</v>
      </c>
      <c r="P155" s="579">
        <v>0.0</v>
      </c>
      <c r="Q155" s="569"/>
      <c r="R155" s="579">
        <v>410971.19931648</v>
      </c>
      <c r="S155" s="569"/>
      <c r="T155" s="579">
        <v>0.0</v>
      </c>
      <c r="U155" s="579">
        <v>0.0</v>
      </c>
      <c r="V155" s="579">
        <v>0.0</v>
      </c>
      <c r="W155" s="579"/>
      <c r="X155" s="579">
        <v>0.0</v>
      </c>
      <c r="Y155" s="579">
        <v>0.0</v>
      </c>
      <c r="Z155" s="569"/>
      <c r="AA155" s="579">
        <v>410971.19931648</v>
      </c>
    </row>
    <row r="156" ht="12.75" hidden="1" customHeight="1" outlineLevel="1">
      <c r="A156" s="569"/>
      <c r="B156" s="578" t="s">
        <v>1395</v>
      </c>
      <c r="D156" s="579">
        <v>300.0</v>
      </c>
      <c r="E156" s="579">
        <v>300.0</v>
      </c>
      <c r="F156" s="583">
        <v>0.0</v>
      </c>
      <c r="G156" s="583">
        <v>0.0</v>
      </c>
      <c r="H156" s="579">
        <v>600.0</v>
      </c>
      <c r="I156" s="569"/>
      <c r="J156" s="579">
        <v>0.0</v>
      </c>
      <c r="K156" s="579">
        <v>0.0</v>
      </c>
      <c r="L156" s="579">
        <v>0.0</v>
      </c>
      <c r="M156" s="579">
        <v>0.0</v>
      </c>
      <c r="N156" s="579">
        <v>0.0</v>
      </c>
      <c r="O156" s="579">
        <v>0.0</v>
      </c>
      <c r="P156" s="579">
        <v>0.0</v>
      </c>
      <c r="Q156" s="569"/>
      <c r="R156" s="579">
        <v>600.0</v>
      </c>
      <c r="S156" s="569"/>
      <c r="T156" s="579">
        <v>0.0</v>
      </c>
      <c r="U156" s="579">
        <v>0.0</v>
      </c>
      <c r="V156" s="579">
        <v>0.0</v>
      </c>
      <c r="W156" s="579"/>
      <c r="X156" s="579">
        <v>0.0</v>
      </c>
      <c r="Y156" s="579">
        <v>0.0</v>
      </c>
      <c r="Z156" s="569"/>
      <c r="AA156" s="579">
        <v>600.0</v>
      </c>
    </row>
    <row r="157" ht="2.25" hidden="1" customHeight="1" outlineLevel="1">
      <c r="A157" s="569"/>
      <c r="B157" s="578"/>
      <c r="D157" s="579"/>
      <c r="E157" s="579"/>
      <c r="F157" s="579"/>
      <c r="G157" s="579"/>
      <c r="H157" s="579"/>
      <c r="I157" s="569"/>
      <c r="J157" s="579"/>
      <c r="K157" s="579"/>
      <c r="L157" s="579"/>
      <c r="M157" s="579"/>
      <c r="N157" s="579"/>
      <c r="O157" s="579"/>
      <c r="P157" s="579"/>
      <c r="Q157" s="569"/>
      <c r="R157" s="579"/>
      <c r="S157" s="569"/>
      <c r="T157" s="579"/>
      <c r="U157" s="579"/>
      <c r="V157" s="579"/>
      <c r="W157" s="579"/>
      <c r="X157" s="579"/>
      <c r="Y157" s="579"/>
      <c r="Z157" s="569"/>
      <c r="AA157" s="579"/>
    </row>
    <row r="158" ht="12.75" customHeight="1">
      <c r="A158" s="569"/>
      <c r="B158" s="570" t="s">
        <v>598</v>
      </c>
      <c r="D158" s="582">
        <v>402324.712612871</v>
      </c>
      <c r="E158" s="582">
        <v>526162.31820544</v>
      </c>
      <c r="F158" s="582">
        <v>3200.0</v>
      </c>
      <c r="G158" s="582">
        <v>0.0</v>
      </c>
      <c r="H158" s="582">
        <v>931687.030818311</v>
      </c>
      <c r="I158" s="569"/>
      <c r="J158" s="582">
        <v>10000.0</v>
      </c>
      <c r="K158" s="582">
        <v>28000.0</v>
      </c>
      <c r="L158" s="582">
        <v>43000.0</v>
      </c>
      <c r="M158" s="582">
        <v>0.0</v>
      </c>
      <c r="N158" s="582">
        <v>0.0</v>
      </c>
      <c r="O158" s="582">
        <v>0.0</v>
      </c>
      <c r="P158" s="582">
        <v>81000.0</v>
      </c>
      <c r="Q158" s="569"/>
      <c r="R158" s="582">
        <v>1012687.03081831</v>
      </c>
      <c r="S158" s="569"/>
      <c r="T158" s="582">
        <v>0.0</v>
      </c>
      <c r="U158" s="582">
        <v>0.0</v>
      </c>
      <c r="V158" s="582">
        <v>0.0</v>
      </c>
      <c r="W158" s="582"/>
      <c r="X158" s="582">
        <v>0.0</v>
      </c>
      <c r="Y158" s="582">
        <v>0.0</v>
      </c>
      <c r="Z158" s="569"/>
      <c r="AA158" s="582">
        <v>1012687.03081831</v>
      </c>
    </row>
    <row r="159" ht="2.25" customHeight="1">
      <c r="A159" s="569"/>
      <c r="B159" s="570"/>
      <c r="D159" s="571"/>
      <c r="E159" s="571"/>
      <c r="F159" s="571"/>
      <c r="G159" s="571"/>
      <c r="H159" s="571"/>
      <c r="I159" s="569"/>
      <c r="J159" s="571"/>
      <c r="K159" s="571"/>
      <c r="L159" s="571"/>
      <c r="M159" s="571"/>
      <c r="N159" s="571"/>
      <c r="O159" s="571"/>
      <c r="P159" s="571"/>
      <c r="Q159" s="569"/>
      <c r="R159" s="571"/>
      <c r="S159" s="569"/>
      <c r="T159" s="571"/>
      <c r="U159" s="571"/>
      <c r="V159" s="571"/>
      <c r="W159" s="571"/>
      <c r="X159" s="571"/>
      <c r="Y159" s="571"/>
      <c r="Z159" s="569"/>
      <c r="AA159" s="571"/>
    </row>
    <row r="160" ht="12.75" customHeight="1" outlineLevel="1">
      <c r="A160" s="569"/>
      <c r="B160" s="570" t="s">
        <v>1396</v>
      </c>
      <c r="D160" s="571"/>
      <c r="E160" s="571"/>
      <c r="F160" s="571"/>
      <c r="G160" s="571"/>
      <c r="H160" s="571"/>
      <c r="I160" s="569"/>
      <c r="J160" s="571"/>
      <c r="K160" s="571"/>
      <c r="L160" s="571"/>
      <c r="M160" s="571"/>
      <c r="N160" s="571"/>
      <c r="O160" s="571"/>
      <c r="P160" s="571"/>
      <c r="Q160" s="569"/>
      <c r="R160" s="571"/>
      <c r="S160" s="569"/>
      <c r="T160" s="571"/>
      <c r="U160" s="571"/>
      <c r="V160" s="571"/>
      <c r="W160" s="571"/>
      <c r="X160" s="571"/>
      <c r="Y160" s="571"/>
      <c r="Z160" s="569"/>
      <c r="AA160" s="571"/>
    </row>
    <row r="161" ht="12.75" customHeight="1" outlineLevel="1">
      <c r="A161" s="569"/>
      <c r="B161" s="570"/>
      <c r="D161" s="571"/>
      <c r="E161" s="571"/>
      <c r="F161" s="571"/>
      <c r="G161" s="571"/>
      <c r="H161" s="571"/>
      <c r="I161" s="569"/>
      <c r="J161" s="571"/>
      <c r="K161" s="571"/>
      <c r="L161" s="571"/>
      <c r="M161" s="571"/>
      <c r="N161" s="571"/>
      <c r="O161" s="571"/>
      <c r="P161" s="571"/>
      <c r="Q161" s="569"/>
      <c r="R161" s="571"/>
      <c r="S161" s="569"/>
      <c r="T161" s="571"/>
      <c r="U161" s="571"/>
      <c r="V161" s="571"/>
      <c r="W161" s="571"/>
      <c r="X161" s="571"/>
      <c r="Y161" s="571"/>
      <c r="Z161" s="569"/>
      <c r="AA161" s="571"/>
    </row>
    <row r="162" ht="12.75" customHeight="1" outlineLevel="1">
      <c r="A162" s="569"/>
      <c r="B162" s="578" t="s">
        <v>1397</v>
      </c>
      <c r="D162" s="571"/>
      <c r="E162" s="571"/>
      <c r="F162" s="571"/>
      <c r="G162" s="571"/>
      <c r="H162" s="571"/>
      <c r="I162" s="569"/>
      <c r="J162" s="571"/>
      <c r="K162" s="571"/>
      <c r="L162" s="571"/>
      <c r="M162" s="571"/>
      <c r="N162" s="571"/>
      <c r="O162" s="571"/>
      <c r="P162" s="571"/>
      <c r="Q162" s="569"/>
      <c r="R162" s="571"/>
      <c r="S162" s="569"/>
      <c r="T162" s="571"/>
      <c r="U162" s="571"/>
      <c r="V162" s="571"/>
      <c r="W162" s="571"/>
      <c r="X162" s="571"/>
      <c r="Y162" s="571"/>
      <c r="Z162" s="569"/>
      <c r="AA162" s="571"/>
    </row>
    <row r="163" ht="12.75" customHeight="1" outlineLevel="1">
      <c r="A163" s="569"/>
      <c r="B163" s="578" t="s">
        <v>1398</v>
      </c>
      <c r="D163" s="583">
        <v>0.0</v>
      </c>
      <c r="E163" s="583">
        <v>0.0</v>
      </c>
      <c r="F163" s="583">
        <v>0.0</v>
      </c>
      <c r="G163" s="583">
        <v>0.0</v>
      </c>
      <c r="H163" s="583">
        <v>0.0</v>
      </c>
      <c r="I163" s="569"/>
      <c r="J163" s="583">
        <v>0.0</v>
      </c>
      <c r="K163" s="583">
        <v>0.0</v>
      </c>
      <c r="L163" s="583">
        <v>15000.0</v>
      </c>
      <c r="M163" s="583">
        <v>12000.0</v>
      </c>
      <c r="N163" s="583">
        <v>0.0</v>
      </c>
      <c r="O163" s="583">
        <v>0.0</v>
      </c>
      <c r="P163" s="583">
        <v>27000.0</v>
      </c>
      <c r="Q163" s="569"/>
      <c r="R163" s="583">
        <v>27000.0</v>
      </c>
      <c r="S163" s="569"/>
      <c r="T163" s="583">
        <v>0.0</v>
      </c>
      <c r="U163" s="583">
        <v>0.0</v>
      </c>
      <c r="V163" s="583">
        <v>0.0</v>
      </c>
      <c r="W163" s="583"/>
      <c r="X163" s="583">
        <v>0.0</v>
      </c>
      <c r="Y163" s="583">
        <v>0.0</v>
      </c>
      <c r="Z163" s="569"/>
      <c r="AA163" s="583">
        <v>27000.0</v>
      </c>
    </row>
    <row r="164" ht="12.75" customHeight="1" outlineLevel="1">
      <c r="A164" s="569"/>
      <c r="B164" s="578" t="s">
        <v>1399</v>
      </c>
      <c r="D164" s="583">
        <v>0.0</v>
      </c>
      <c r="E164" s="583">
        <v>0.0</v>
      </c>
      <c r="F164" s="583">
        <v>3280.0</v>
      </c>
      <c r="G164" s="583">
        <v>0.0</v>
      </c>
      <c r="H164" s="583">
        <v>3280.0</v>
      </c>
      <c r="I164" s="569"/>
      <c r="J164" s="583">
        <v>0.0</v>
      </c>
      <c r="K164" s="583">
        <v>0.0</v>
      </c>
      <c r="L164" s="583">
        <v>0.0</v>
      </c>
      <c r="M164" s="583">
        <v>0.0</v>
      </c>
      <c r="N164" s="583">
        <v>0.0</v>
      </c>
      <c r="O164" s="583">
        <v>0.0</v>
      </c>
      <c r="P164" s="583">
        <v>0.0</v>
      </c>
      <c r="Q164" s="569"/>
      <c r="R164" s="583">
        <v>3280.0</v>
      </c>
      <c r="S164" s="569"/>
      <c r="T164" s="583">
        <v>0.0</v>
      </c>
      <c r="U164" s="583">
        <v>0.0</v>
      </c>
      <c r="V164" s="583">
        <v>0.0</v>
      </c>
      <c r="W164" s="583"/>
      <c r="X164" s="583">
        <v>0.0</v>
      </c>
      <c r="Y164" s="583">
        <v>0.0</v>
      </c>
      <c r="Z164" s="569"/>
      <c r="AA164" s="583">
        <v>3280.0</v>
      </c>
    </row>
    <row r="165" ht="12.75" customHeight="1" outlineLevel="1">
      <c r="A165" s="569"/>
      <c r="B165" s="578" t="s">
        <v>1400</v>
      </c>
      <c r="D165" s="583">
        <v>0.0</v>
      </c>
      <c r="E165" s="583">
        <v>0.0</v>
      </c>
      <c r="F165" s="583">
        <v>0.0</v>
      </c>
      <c r="G165" s="583">
        <v>0.0</v>
      </c>
      <c r="H165" s="583">
        <v>0.0</v>
      </c>
      <c r="I165" s="569"/>
      <c r="J165" s="583">
        <v>0.0</v>
      </c>
      <c r="K165" s="583">
        <v>0.0</v>
      </c>
      <c r="L165" s="583">
        <v>0.0</v>
      </c>
      <c r="M165" s="583">
        <v>0.0</v>
      </c>
      <c r="N165" s="583">
        <v>0.0</v>
      </c>
      <c r="O165" s="583">
        <v>0.0</v>
      </c>
      <c r="P165" s="583">
        <v>0.0</v>
      </c>
      <c r="Q165" s="569"/>
      <c r="R165" s="583">
        <v>0.0</v>
      </c>
      <c r="S165" s="569"/>
      <c r="T165" s="583">
        <v>0.0</v>
      </c>
      <c r="U165" s="583">
        <v>0.0</v>
      </c>
      <c r="V165" s="583">
        <v>0.0</v>
      </c>
      <c r="W165" s="583"/>
      <c r="X165" s="583">
        <v>0.0</v>
      </c>
      <c r="Y165" s="583">
        <v>0.0</v>
      </c>
      <c r="Z165" s="569"/>
      <c r="AA165" s="583">
        <v>0.0</v>
      </c>
    </row>
    <row r="166" ht="12.75" customHeight="1" outlineLevel="1">
      <c r="A166" s="569"/>
      <c r="B166" s="578" t="s">
        <v>1401</v>
      </c>
      <c r="D166" s="583">
        <v>0.0</v>
      </c>
      <c r="E166" s="583">
        <v>0.0</v>
      </c>
      <c r="F166" s="583">
        <v>0.0</v>
      </c>
      <c r="G166" s="583">
        <v>0.0</v>
      </c>
      <c r="H166" s="583">
        <v>0.0</v>
      </c>
      <c r="I166" s="569"/>
      <c r="J166" s="583">
        <v>0.0</v>
      </c>
      <c r="K166" s="583">
        <v>0.0</v>
      </c>
      <c r="L166" s="583">
        <v>0.0</v>
      </c>
      <c r="M166" s="583">
        <v>0.0</v>
      </c>
      <c r="N166" s="583">
        <v>0.0</v>
      </c>
      <c r="O166" s="583">
        <v>0.0</v>
      </c>
      <c r="P166" s="583">
        <v>0.0</v>
      </c>
      <c r="Q166" s="569"/>
      <c r="R166" s="583">
        <v>0.0</v>
      </c>
      <c r="S166" s="569"/>
      <c r="T166" s="583">
        <v>0.0</v>
      </c>
      <c r="U166" s="583">
        <v>0.0</v>
      </c>
      <c r="V166" s="583">
        <v>0.0</v>
      </c>
      <c r="W166" s="583"/>
      <c r="X166" s="583">
        <v>0.0</v>
      </c>
      <c r="Y166" s="583">
        <v>0.0</v>
      </c>
      <c r="Z166" s="569"/>
      <c r="AA166" s="583">
        <v>0.0</v>
      </c>
    </row>
    <row r="167" ht="12.75" customHeight="1" outlineLevel="1">
      <c r="A167" s="569"/>
      <c r="B167" s="578" t="s">
        <v>1402</v>
      </c>
      <c r="D167" s="583">
        <v>0.0</v>
      </c>
      <c r="E167" s="583">
        <v>0.0</v>
      </c>
      <c r="F167" s="583">
        <v>0.0</v>
      </c>
      <c r="G167" s="583">
        <v>0.0</v>
      </c>
      <c r="H167" s="583">
        <v>0.0</v>
      </c>
      <c r="I167" s="569"/>
      <c r="J167" s="583">
        <v>0.0</v>
      </c>
      <c r="K167" s="583">
        <v>0.0</v>
      </c>
      <c r="L167" s="583">
        <v>0.0</v>
      </c>
      <c r="M167" s="583">
        <v>0.0</v>
      </c>
      <c r="N167" s="583">
        <v>0.0</v>
      </c>
      <c r="O167" s="583">
        <v>0.0</v>
      </c>
      <c r="P167" s="583">
        <v>0.0</v>
      </c>
      <c r="Q167" s="569"/>
      <c r="R167" s="583">
        <v>0.0</v>
      </c>
      <c r="S167" s="569"/>
      <c r="T167" s="583">
        <v>0.0</v>
      </c>
      <c r="U167" s="583">
        <v>0.0</v>
      </c>
      <c r="V167" s="583">
        <v>0.0</v>
      </c>
      <c r="W167" s="583"/>
      <c r="X167" s="583">
        <v>0.0</v>
      </c>
      <c r="Y167" s="583">
        <v>0.0</v>
      </c>
      <c r="Z167" s="569"/>
      <c r="AA167" s="583">
        <v>0.0</v>
      </c>
    </row>
    <row r="168" ht="12.75" customHeight="1" outlineLevel="1">
      <c r="A168" s="569"/>
      <c r="B168" s="570"/>
      <c r="D168" s="571"/>
      <c r="E168" s="571"/>
      <c r="F168" s="571"/>
      <c r="G168" s="571"/>
      <c r="H168" s="571"/>
      <c r="I168" s="569"/>
      <c r="J168" s="571"/>
      <c r="K168" s="571"/>
      <c r="L168" s="571"/>
      <c r="M168" s="571"/>
      <c r="N168" s="571"/>
      <c r="O168" s="571"/>
      <c r="P168" s="571"/>
      <c r="Q168" s="569"/>
      <c r="R168" s="571"/>
      <c r="S168" s="569"/>
      <c r="T168" s="571"/>
      <c r="U168" s="571"/>
      <c r="V168" s="571"/>
      <c r="W168" s="571"/>
      <c r="X168" s="571"/>
      <c r="Y168" s="571"/>
      <c r="Z168" s="569"/>
      <c r="AA168" s="571"/>
    </row>
    <row r="169" ht="12.75" customHeight="1" outlineLevel="1">
      <c r="A169" s="569"/>
      <c r="B169" s="569" t="s">
        <v>1403</v>
      </c>
      <c r="D169" s="579">
        <v>1200.0</v>
      </c>
      <c r="E169" s="579">
        <v>1200.0</v>
      </c>
      <c r="F169" s="579">
        <v>0.0</v>
      </c>
      <c r="G169" s="579">
        <v>0.0</v>
      </c>
      <c r="H169" s="579">
        <v>2400.0</v>
      </c>
      <c r="I169" s="569"/>
      <c r="J169" s="579">
        <v>0.0</v>
      </c>
      <c r="K169" s="579">
        <v>2500.0</v>
      </c>
      <c r="L169" s="579">
        <v>0.0</v>
      </c>
      <c r="M169" s="579">
        <v>0.0</v>
      </c>
      <c r="N169" s="579">
        <v>0.0</v>
      </c>
      <c r="O169" s="579">
        <v>0.0</v>
      </c>
      <c r="P169" s="579">
        <v>2500.0</v>
      </c>
      <c r="Q169" s="569"/>
      <c r="R169" s="579">
        <v>4900.0</v>
      </c>
      <c r="S169" s="569"/>
      <c r="T169" s="579">
        <v>0.0</v>
      </c>
      <c r="U169" s="579">
        <v>0.0</v>
      </c>
      <c r="V169" s="579">
        <v>0.0</v>
      </c>
      <c r="W169" s="579"/>
      <c r="X169" s="579">
        <v>0.0</v>
      </c>
      <c r="Y169" s="579">
        <v>0.0</v>
      </c>
      <c r="Z169" s="569"/>
      <c r="AA169" s="579">
        <v>4900.0</v>
      </c>
    </row>
    <row r="170" ht="2.25" customHeight="1" outlineLevel="1">
      <c r="A170" s="569"/>
      <c r="B170" s="569"/>
      <c r="D170" s="579"/>
      <c r="E170" s="579">
        <v>0.0</v>
      </c>
      <c r="F170" s="579"/>
      <c r="G170" s="579"/>
      <c r="H170" s="579"/>
      <c r="I170" s="569"/>
      <c r="J170" s="579">
        <v>0.0</v>
      </c>
      <c r="K170" s="579">
        <v>0.0</v>
      </c>
      <c r="L170" s="579">
        <v>0.0</v>
      </c>
      <c r="M170" s="579">
        <v>0.0</v>
      </c>
      <c r="N170" s="579">
        <v>0.0</v>
      </c>
      <c r="O170" s="579">
        <v>0.0</v>
      </c>
      <c r="P170" s="579">
        <v>0.0</v>
      </c>
      <c r="Q170" s="569"/>
      <c r="R170" s="579">
        <v>0.0</v>
      </c>
      <c r="S170" s="569"/>
      <c r="T170" s="579">
        <v>0.0</v>
      </c>
      <c r="U170" s="579">
        <v>0.0</v>
      </c>
      <c r="V170" s="579">
        <v>0.0</v>
      </c>
      <c r="W170" s="579"/>
      <c r="X170" s="579">
        <v>0.0</v>
      </c>
      <c r="Y170" s="579">
        <v>0.0</v>
      </c>
      <c r="Z170" s="569"/>
      <c r="AA170" s="579">
        <v>0.0</v>
      </c>
    </row>
    <row r="171" ht="12.75" customHeight="1" outlineLevel="1">
      <c r="A171" s="569"/>
      <c r="B171" s="569" t="s">
        <v>1404</v>
      </c>
      <c r="D171" s="579">
        <v>20000.0</v>
      </c>
      <c r="E171" s="579">
        <v>20000.0</v>
      </c>
      <c r="F171" s="579">
        <v>0.0</v>
      </c>
      <c r="G171" s="579">
        <v>0.0</v>
      </c>
      <c r="H171" s="579">
        <v>40000.0</v>
      </c>
      <c r="I171" s="569"/>
      <c r="J171" s="579">
        <v>0.0</v>
      </c>
      <c r="K171" s="579">
        <v>0.0</v>
      </c>
      <c r="L171" s="579">
        <v>0.0</v>
      </c>
      <c r="M171" s="579">
        <v>0.0</v>
      </c>
      <c r="N171" s="579">
        <v>0.0</v>
      </c>
      <c r="O171" s="579">
        <v>0.0</v>
      </c>
      <c r="P171" s="579">
        <v>0.0</v>
      </c>
      <c r="Q171" s="569"/>
      <c r="R171" s="579">
        <v>40000.0</v>
      </c>
      <c r="S171" s="569"/>
      <c r="T171" s="579">
        <v>20000.0</v>
      </c>
      <c r="U171" s="579">
        <v>30000.0</v>
      </c>
      <c r="V171" s="579">
        <v>0.0</v>
      </c>
      <c r="W171" s="579"/>
      <c r="X171" s="579">
        <v>0.0</v>
      </c>
      <c r="Y171" s="579">
        <v>50000.0</v>
      </c>
      <c r="Z171" s="569"/>
      <c r="AA171" s="579">
        <v>90000.0</v>
      </c>
    </row>
    <row r="172" ht="2.25" customHeight="1" outlineLevel="1">
      <c r="A172" s="569"/>
      <c r="B172" s="570"/>
      <c r="D172" s="571"/>
      <c r="E172" s="571"/>
      <c r="F172" s="571"/>
      <c r="G172" s="571"/>
      <c r="H172" s="571"/>
      <c r="I172" s="569"/>
      <c r="J172" s="571"/>
      <c r="K172" s="571"/>
      <c r="L172" s="571"/>
      <c r="M172" s="571"/>
      <c r="N172" s="571"/>
      <c r="O172" s="571"/>
      <c r="P172" s="571"/>
      <c r="Q172" s="569"/>
      <c r="R172" s="571"/>
      <c r="S172" s="569"/>
      <c r="T172" s="571"/>
      <c r="U172" s="571"/>
      <c r="V172" s="571"/>
      <c r="W172" s="571"/>
      <c r="X172" s="571"/>
      <c r="Y172" s="571"/>
      <c r="Z172" s="569"/>
      <c r="AA172" s="571"/>
    </row>
    <row r="173" ht="12.75" customHeight="1" outlineLevel="1">
      <c r="A173" s="569"/>
      <c r="B173" s="578" t="s">
        <v>1405</v>
      </c>
      <c r="D173" s="571"/>
      <c r="E173" s="571"/>
      <c r="F173" s="571"/>
      <c r="G173" s="571"/>
      <c r="H173" s="571"/>
      <c r="I173" s="569"/>
      <c r="J173" s="571"/>
      <c r="K173" s="571"/>
      <c r="L173" s="571"/>
      <c r="M173" s="571"/>
      <c r="N173" s="571"/>
      <c r="O173" s="571"/>
      <c r="P173" s="571"/>
      <c r="Q173" s="569"/>
      <c r="R173" s="571"/>
      <c r="S173" s="569"/>
      <c r="T173" s="571"/>
      <c r="U173" s="571"/>
      <c r="V173" s="571"/>
      <c r="W173" s="571"/>
      <c r="X173" s="571"/>
      <c r="Y173" s="571"/>
      <c r="Z173" s="569"/>
      <c r="AA173" s="571"/>
    </row>
    <row r="174" ht="12.75" customHeight="1" outlineLevel="1">
      <c r="A174" s="569"/>
      <c r="B174" s="578" t="s">
        <v>1406</v>
      </c>
      <c r="D174" s="579">
        <v>20000.0</v>
      </c>
      <c r="E174" s="579">
        <v>20000.0</v>
      </c>
      <c r="F174" s="579">
        <v>0.0</v>
      </c>
      <c r="G174" s="579">
        <v>0.0</v>
      </c>
      <c r="H174" s="579">
        <v>40000.0</v>
      </c>
      <c r="I174" s="569"/>
      <c r="J174" s="579">
        <v>0.0</v>
      </c>
      <c r="K174" s="579">
        <v>0.0</v>
      </c>
      <c r="L174" s="579">
        <v>0.0</v>
      </c>
      <c r="M174" s="579">
        <v>0.0</v>
      </c>
      <c r="N174" s="579">
        <v>0.0</v>
      </c>
      <c r="O174" s="579">
        <v>0.0</v>
      </c>
      <c r="P174" s="579">
        <v>0.0</v>
      </c>
      <c r="Q174" s="569"/>
      <c r="R174" s="579">
        <v>40000.0</v>
      </c>
      <c r="S174" s="569"/>
      <c r="T174" s="579">
        <v>0.0</v>
      </c>
      <c r="U174" s="579">
        <v>0.0</v>
      </c>
      <c r="V174" s="579">
        <v>0.0</v>
      </c>
      <c r="W174" s="579"/>
      <c r="X174" s="579">
        <v>0.0</v>
      </c>
      <c r="Y174" s="579">
        <v>0.0</v>
      </c>
      <c r="Z174" s="569"/>
      <c r="AA174" s="579">
        <v>40000.0</v>
      </c>
    </row>
    <row r="175" ht="12.75" customHeight="1" outlineLevel="1">
      <c r="A175" s="569"/>
      <c r="B175" s="578" t="s">
        <v>1407</v>
      </c>
      <c r="D175" s="579">
        <v>22900.0</v>
      </c>
      <c r="E175" s="579">
        <v>22900.0</v>
      </c>
      <c r="F175" s="579">
        <v>0.0</v>
      </c>
      <c r="G175" s="579">
        <v>0.0</v>
      </c>
      <c r="H175" s="579">
        <v>45800.0</v>
      </c>
      <c r="I175" s="569"/>
      <c r="J175" s="579">
        <v>0.0</v>
      </c>
      <c r="K175" s="579">
        <v>0.0</v>
      </c>
      <c r="L175" s="579">
        <v>0.0</v>
      </c>
      <c r="M175" s="579">
        <v>0.0</v>
      </c>
      <c r="N175" s="579">
        <v>0.0</v>
      </c>
      <c r="O175" s="579">
        <v>0.0</v>
      </c>
      <c r="P175" s="579">
        <v>0.0</v>
      </c>
      <c r="Q175" s="569"/>
      <c r="R175" s="579">
        <v>45800.0</v>
      </c>
      <c r="S175" s="569"/>
      <c r="T175" s="579">
        <v>0.0</v>
      </c>
      <c r="U175" s="579">
        <v>0.0</v>
      </c>
      <c r="V175" s="579">
        <v>0.0</v>
      </c>
      <c r="W175" s="579"/>
      <c r="X175" s="579">
        <v>0.0</v>
      </c>
      <c r="Y175" s="579">
        <v>0.0</v>
      </c>
      <c r="Z175" s="569"/>
      <c r="AA175" s="579">
        <v>45800.0</v>
      </c>
    </row>
    <row r="176" ht="12.75" customHeight="1" outlineLevel="1">
      <c r="A176" s="569"/>
      <c r="B176" s="578" t="s">
        <v>1408</v>
      </c>
      <c r="D176" s="579">
        <v>795.0</v>
      </c>
      <c r="E176" s="579">
        <v>795.0</v>
      </c>
      <c r="F176" s="579">
        <v>0.0</v>
      </c>
      <c r="G176" s="579">
        <v>0.0</v>
      </c>
      <c r="H176" s="579">
        <v>1590.0</v>
      </c>
      <c r="I176" s="569"/>
      <c r="J176" s="579">
        <v>0.0</v>
      </c>
      <c r="K176" s="579">
        <v>0.0</v>
      </c>
      <c r="L176" s="579">
        <v>0.0</v>
      </c>
      <c r="M176" s="579">
        <v>0.0</v>
      </c>
      <c r="N176" s="579">
        <v>0.0</v>
      </c>
      <c r="O176" s="579">
        <v>0.0</v>
      </c>
      <c r="P176" s="579">
        <v>0.0</v>
      </c>
      <c r="Q176" s="569"/>
      <c r="R176" s="579">
        <v>1590.0</v>
      </c>
      <c r="S176" s="569"/>
      <c r="T176" s="579">
        <v>0.0</v>
      </c>
      <c r="U176" s="579">
        <v>0.0</v>
      </c>
      <c r="V176" s="579">
        <v>0.0</v>
      </c>
      <c r="W176" s="579"/>
      <c r="X176" s="579">
        <v>0.0</v>
      </c>
      <c r="Y176" s="579">
        <v>0.0</v>
      </c>
      <c r="Z176" s="569"/>
      <c r="AA176" s="579">
        <v>1590.0</v>
      </c>
    </row>
    <row r="177" ht="12.75" customHeight="1" outlineLevel="1">
      <c r="A177" s="569"/>
      <c r="B177" s="578" t="s">
        <v>1409</v>
      </c>
      <c r="D177" s="579">
        <v>6226.0</v>
      </c>
      <c r="E177" s="579">
        <v>6226.0</v>
      </c>
      <c r="F177" s="579">
        <v>0.0</v>
      </c>
      <c r="G177" s="579">
        <v>0.0</v>
      </c>
      <c r="H177" s="579">
        <v>12452.0</v>
      </c>
      <c r="I177" s="569"/>
      <c r="J177" s="579">
        <v>0.0</v>
      </c>
      <c r="K177" s="579">
        <v>0.0</v>
      </c>
      <c r="L177" s="579">
        <v>0.0</v>
      </c>
      <c r="M177" s="579">
        <v>0.0</v>
      </c>
      <c r="N177" s="579">
        <v>0.0</v>
      </c>
      <c r="O177" s="579">
        <v>0.0</v>
      </c>
      <c r="P177" s="579">
        <v>0.0</v>
      </c>
      <c r="Q177" s="569"/>
      <c r="R177" s="579">
        <v>12452.0</v>
      </c>
      <c r="S177" s="569"/>
      <c r="T177" s="579">
        <v>0.0</v>
      </c>
      <c r="U177" s="579">
        <v>0.0</v>
      </c>
      <c r="V177" s="579">
        <v>0.0</v>
      </c>
      <c r="W177" s="579"/>
      <c r="X177" s="579">
        <v>0.0</v>
      </c>
      <c r="Y177" s="579">
        <v>0.0</v>
      </c>
      <c r="Z177" s="569"/>
      <c r="AA177" s="579">
        <v>12452.0</v>
      </c>
    </row>
    <row r="178" ht="12.75" customHeight="1" outlineLevel="1">
      <c r="A178" s="569"/>
      <c r="B178" s="578" t="s">
        <v>1410</v>
      </c>
      <c r="D178" s="579">
        <v>0.0</v>
      </c>
      <c r="E178" s="579">
        <v>0.0</v>
      </c>
      <c r="F178" s="579">
        <v>0.0</v>
      </c>
      <c r="G178" s="579">
        <v>0.0</v>
      </c>
      <c r="H178" s="579">
        <v>0.0</v>
      </c>
      <c r="I178" s="569"/>
      <c r="J178" s="579">
        <v>0.0</v>
      </c>
      <c r="K178" s="579">
        <v>0.0</v>
      </c>
      <c r="L178" s="579">
        <v>600.0</v>
      </c>
      <c r="M178" s="579">
        <v>0.0</v>
      </c>
      <c r="N178" s="579">
        <v>0.0</v>
      </c>
      <c r="O178" s="579">
        <v>0.0</v>
      </c>
      <c r="P178" s="579">
        <v>600.0</v>
      </c>
      <c r="Q178" s="569"/>
      <c r="R178" s="579">
        <v>600.0</v>
      </c>
      <c r="S178" s="569"/>
      <c r="T178" s="579">
        <v>0.0</v>
      </c>
      <c r="U178" s="579">
        <v>0.0</v>
      </c>
      <c r="V178" s="579">
        <v>0.0</v>
      </c>
      <c r="W178" s="579"/>
      <c r="X178" s="579">
        <v>0.0</v>
      </c>
      <c r="Y178" s="579">
        <v>0.0</v>
      </c>
      <c r="Z178" s="569"/>
      <c r="AA178" s="579">
        <v>600.0</v>
      </c>
    </row>
    <row r="179" ht="12.75" customHeight="1" outlineLevel="1">
      <c r="A179" s="569"/>
      <c r="B179" s="578" t="s">
        <v>1411</v>
      </c>
      <c r="D179" s="579">
        <v>0.0</v>
      </c>
      <c r="E179" s="579">
        <v>0.0</v>
      </c>
      <c r="F179" s="579">
        <v>0.0</v>
      </c>
      <c r="G179" s="579">
        <v>0.0</v>
      </c>
      <c r="H179" s="579">
        <v>0.0</v>
      </c>
      <c r="I179" s="569"/>
      <c r="J179" s="579">
        <v>0.0</v>
      </c>
      <c r="K179" s="579">
        <v>0.0</v>
      </c>
      <c r="L179" s="579">
        <v>0.0</v>
      </c>
      <c r="M179" s="579">
        <v>0.0</v>
      </c>
      <c r="N179" s="579">
        <v>0.0</v>
      </c>
      <c r="O179" s="579">
        <v>0.0</v>
      </c>
      <c r="P179" s="579">
        <v>0.0</v>
      </c>
      <c r="Q179" s="569"/>
      <c r="R179" s="579">
        <v>0.0</v>
      </c>
      <c r="S179" s="569"/>
      <c r="T179" s="579">
        <v>0.0</v>
      </c>
      <c r="U179" s="579">
        <v>0.0</v>
      </c>
      <c r="V179" s="579">
        <v>0.0</v>
      </c>
      <c r="W179" s="579"/>
      <c r="X179" s="579">
        <v>0.0</v>
      </c>
      <c r="Y179" s="579">
        <v>0.0</v>
      </c>
      <c r="Z179" s="569"/>
      <c r="AA179" s="579">
        <v>0.0</v>
      </c>
    </row>
    <row r="180" ht="2.25" customHeight="1" outlineLevel="1">
      <c r="A180" s="569"/>
      <c r="B180" s="570"/>
      <c r="D180" s="571"/>
      <c r="E180" s="571">
        <v>0.0</v>
      </c>
      <c r="F180" s="571"/>
      <c r="G180" s="571"/>
      <c r="H180" s="571"/>
      <c r="I180" s="569"/>
      <c r="J180" s="571"/>
      <c r="K180" s="571"/>
      <c r="L180" s="571"/>
      <c r="M180" s="571"/>
      <c r="N180" s="571"/>
      <c r="O180" s="571"/>
      <c r="P180" s="571"/>
      <c r="Q180" s="569"/>
      <c r="R180" s="571"/>
      <c r="S180" s="569"/>
      <c r="T180" s="571"/>
      <c r="U180" s="571"/>
      <c r="V180" s="571"/>
      <c r="W180" s="571"/>
      <c r="X180" s="571"/>
      <c r="Y180" s="571"/>
      <c r="Z180" s="569"/>
      <c r="AA180" s="571"/>
    </row>
    <row r="181" ht="12.75" customHeight="1" outlineLevel="1">
      <c r="A181" s="569"/>
      <c r="B181" s="578" t="s">
        <v>1412</v>
      </c>
      <c r="D181" s="571"/>
      <c r="E181" s="571"/>
      <c r="F181" s="571"/>
      <c r="G181" s="571"/>
      <c r="H181" s="571"/>
      <c r="I181" s="569"/>
      <c r="J181" s="571"/>
      <c r="K181" s="571"/>
      <c r="L181" s="571"/>
      <c r="M181" s="571"/>
      <c r="N181" s="571"/>
      <c r="O181" s="571"/>
      <c r="P181" s="571"/>
      <c r="Q181" s="569"/>
      <c r="R181" s="571"/>
      <c r="S181" s="569"/>
      <c r="T181" s="571"/>
      <c r="U181" s="571"/>
      <c r="V181" s="571"/>
      <c r="W181" s="571"/>
      <c r="X181" s="571"/>
      <c r="Y181" s="571"/>
      <c r="Z181" s="569"/>
      <c r="AA181" s="571"/>
    </row>
    <row r="182" ht="12.75" customHeight="1" outlineLevel="1">
      <c r="A182" s="569"/>
      <c r="B182" s="578" t="s">
        <v>1413</v>
      </c>
      <c r="D182" s="579">
        <v>0.0</v>
      </c>
      <c r="E182" s="579">
        <v>0.0</v>
      </c>
      <c r="F182" s="579">
        <v>0.0</v>
      </c>
      <c r="G182" s="579">
        <v>0.0</v>
      </c>
      <c r="H182" s="579">
        <v>0.0</v>
      </c>
      <c r="I182" s="569"/>
      <c r="J182" s="579">
        <v>0.0</v>
      </c>
      <c r="K182" s="579">
        <v>0.0</v>
      </c>
      <c r="L182" s="579">
        <v>0.0</v>
      </c>
      <c r="M182" s="579">
        <v>0.0</v>
      </c>
      <c r="N182" s="579">
        <v>0.0</v>
      </c>
      <c r="O182" s="579">
        <v>0.0</v>
      </c>
      <c r="P182" s="579">
        <v>0.0</v>
      </c>
      <c r="Q182" s="569"/>
      <c r="R182" s="579">
        <v>0.0</v>
      </c>
      <c r="S182" s="569"/>
      <c r="T182" s="579">
        <v>124800.0</v>
      </c>
      <c r="U182" s="579">
        <v>0.0</v>
      </c>
      <c r="V182" s="579">
        <v>0.0</v>
      </c>
      <c r="W182" s="579"/>
      <c r="X182" s="579">
        <v>0.0</v>
      </c>
      <c r="Y182" s="579">
        <v>124800.0</v>
      </c>
      <c r="Z182" s="569"/>
      <c r="AA182" s="579">
        <v>124800.0</v>
      </c>
    </row>
    <row r="183" ht="12.75" customHeight="1" outlineLevel="1">
      <c r="A183" s="569"/>
      <c r="B183" s="578" t="s">
        <v>1414</v>
      </c>
      <c r="D183" s="579">
        <v>615667.671</v>
      </c>
      <c r="E183" s="579">
        <v>697350.24909589</v>
      </c>
      <c r="F183" s="579">
        <v>150000.0</v>
      </c>
      <c r="G183" s="579">
        <v>0.0</v>
      </c>
      <c r="H183" s="579">
        <v>1463017.92009589</v>
      </c>
      <c r="I183" s="569"/>
      <c r="J183" s="579">
        <v>0.0</v>
      </c>
      <c r="K183" s="579">
        <v>0.0</v>
      </c>
      <c r="L183" s="579">
        <v>0.0</v>
      </c>
      <c r="M183" s="579">
        <v>0.0</v>
      </c>
      <c r="N183" s="579">
        <v>0.0</v>
      </c>
      <c r="O183" s="579">
        <v>104766.329375</v>
      </c>
      <c r="P183" s="579">
        <v>104766.329375</v>
      </c>
      <c r="Q183" s="569"/>
      <c r="R183" s="579">
        <v>1567784.24947089</v>
      </c>
      <c r="S183" s="569"/>
      <c r="T183" s="579">
        <v>42818.75</v>
      </c>
      <c r="U183" s="579">
        <v>42818.75</v>
      </c>
      <c r="V183" s="579">
        <v>0.0</v>
      </c>
      <c r="W183" s="579"/>
      <c r="X183" s="579">
        <v>0.0</v>
      </c>
      <c r="Y183" s="579">
        <v>85637.5</v>
      </c>
      <c r="Z183" s="569"/>
      <c r="AA183" s="579">
        <v>1632413.99527089</v>
      </c>
    </row>
    <row r="184" ht="12.75" customHeight="1" outlineLevel="1">
      <c r="A184" s="569"/>
      <c r="B184" s="578" t="s">
        <v>1415</v>
      </c>
      <c r="D184" s="579">
        <v>30000.0</v>
      </c>
      <c r="E184" s="579">
        <v>20000.0</v>
      </c>
      <c r="F184" s="579">
        <v>0.0</v>
      </c>
      <c r="G184" s="579">
        <v>0.0</v>
      </c>
      <c r="H184" s="579">
        <v>50000.0</v>
      </c>
      <c r="I184" s="569"/>
      <c r="J184" s="579">
        <v>0.0</v>
      </c>
      <c r="K184" s="579">
        <v>0.0</v>
      </c>
      <c r="L184" s="579">
        <v>0.0</v>
      </c>
      <c r="M184" s="579">
        <v>0.0</v>
      </c>
      <c r="N184" s="579">
        <v>0.0</v>
      </c>
      <c r="O184" s="579">
        <v>0.0</v>
      </c>
      <c r="P184" s="579">
        <v>0.0</v>
      </c>
      <c r="Q184" s="569"/>
      <c r="R184" s="579">
        <v>50000.0</v>
      </c>
      <c r="S184" s="569"/>
      <c r="T184" s="579">
        <v>0.0</v>
      </c>
      <c r="U184" s="579">
        <v>0.0</v>
      </c>
      <c r="V184" s="579">
        <v>0.0</v>
      </c>
      <c r="W184" s="579"/>
      <c r="X184" s="579">
        <v>0.0</v>
      </c>
      <c r="Y184" s="579">
        <v>0.0</v>
      </c>
      <c r="Z184" s="569"/>
      <c r="AA184" s="579">
        <v>50000.0</v>
      </c>
    </row>
    <row r="185" ht="12.75" customHeight="1" outlineLevel="1">
      <c r="A185" s="569"/>
      <c r="B185" s="68" t="s">
        <v>1416</v>
      </c>
      <c r="D185" s="579"/>
      <c r="E185" s="579"/>
      <c r="F185" s="579"/>
      <c r="G185" s="579"/>
      <c r="H185" s="579"/>
      <c r="I185" s="569"/>
      <c r="J185" s="579"/>
      <c r="K185" s="579"/>
      <c r="L185" s="579"/>
      <c r="M185" s="579"/>
      <c r="N185" s="579"/>
      <c r="O185" s="579"/>
      <c r="P185" s="579"/>
      <c r="Q185" s="569"/>
      <c r="R185" s="579"/>
      <c r="S185" s="569"/>
      <c r="T185" s="579"/>
      <c r="U185" s="579"/>
      <c r="V185" s="579"/>
      <c r="W185" s="579"/>
      <c r="X185" s="579"/>
      <c r="Y185" s="579"/>
      <c r="Z185" s="569"/>
      <c r="AA185" s="579"/>
    </row>
    <row r="186" ht="12.75" customHeight="1" outlineLevel="1">
      <c r="A186" s="569"/>
      <c r="B186" s="578" t="s">
        <v>1417</v>
      </c>
      <c r="D186" s="579">
        <v>0.0</v>
      </c>
      <c r="E186" s="579">
        <v>0.0</v>
      </c>
      <c r="F186" s="579">
        <v>0.0</v>
      </c>
      <c r="G186" s="579">
        <v>0.0</v>
      </c>
      <c r="H186" s="579">
        <v>0.0</v>
      </c>
      <c r="I186" s="569"/>
      <c r="J186" s="579">
        <v>0.0</v>
      </c>
      <c r="K186" s="579">
        <v>0.0</v>
      </c>
      <c r="L186" s="579">
        <v>0.0</v>
      </c>
      <c r="M186" s="579">
        <v>0.0</v>
      </c>
      <c r="N186" s="579">
        <v>0.0</v>
      </c>
      <c r="O186" s="579">
        <v>2000.0</v>
      </c>
      <c r="P186" s="579">
        <v>2000.0</v>
      </c>
      <c r="Q186" s="569"/>
      <c r="R186" s="579">
        <v>2000.0</v>
      </c>
      <c r="S186" s="569"/>
      <c r="T186" s="579">
        <v>0.0</v>
      </c>
      <c r="U186" s="579">
        <v>0.0</v>
      </c>
      <c r="V186" s="579">
        <v>0.0</v>
      </c>
      <c r="W186" s="579"/>
      <c r="X186" s="579">
        <v>0.0</v>
      </c>
      <c r="Y186" s="579">
        <v>0.0</v>
      </c>
      <c r="Z186" s="569"/>
      <c r="AA186" s="579">
        <v>2000.0</v>
      </c>
    </row>
    <row r="187" ht="2.25" customHeight="1" outlineLevel="1">
      <c r="A187" s="569"/>
      <c r="B187" s="578"/>
      <c r="D187" s="590"/>
      <c r="E187" s="590"/>
      <c r="F187" s="590"/>
      <c r="G187" s="590"/>
      <c r="H187" s="590"/>
      <c r="I187" s="569"/>
      <c r="J187" s="590"/>
      <c r="K187" s="590"/>
      <c r="L187" s="590"/>
      <c r="M187" s="590"/>
      <c r="N187" s="590"/>
      <c r="O187" s="590"/>
      <c r="P187" s="590"/>
      <c r="Q187" s="569"/>
      <c r="R187" s="590"/>
      <c r="S187" s="569"/>
      <c r="T187" s="590"/>
      <c r="U187" s="590"/>
      <c r="V187" s="590"/>
      <c r="W187" s="590"/>
      <c r="X187" s="590"/>
      <c r="Y187" s="590"/>
      <c r="Z187" s="569"/>
      <c r="AA187" s="590"/>
    </row>
    <row r="188" ht="12.75" customHeight="1" outlineLevel="1">
      <c r="A188" s="569"/>
      <c r="B188" s="578" t="s">
        <v>1418</v>
      </c>
      <c r="D188" s="571"/>
      <c r="E188" s="571"/>
      <c r="F188" s="571"/>
      <c r="G188" s="571"/>
      <c r="H188" s="571"/>
      <c r="I188" s="569"/>
      <c r="J188" s="571"/>
      <c r="K188" s="571"/>
      <c r="L188" s="571"/>
      <c r="M188" s="571"/>
      <c r="N188" s="571"/>
      <c r="O188" s="571"/>
      <c r="P188" s="571"/>
      <c r="Q188" s="569"/>
      <c r="R188" s="571"/>
      <c r="S188" s="569"/>
      <c r="T188" s="571"/>
      <c r="U188" s="571"/>
      <c r="V188" s="571"/>
      <c r="W188" s="571"/>
      <c r="X188" s="571"/>
      <c r="Y188" s="571"/>
      <c r="Z188" s="569"/>
      <c r="AA188" s="571"/>
    </row>
    <row r="189" ht="12.75" customHeight="1" outlineLevel="1">
      <c r="A189" s="569"/>
      <c r="B189" s="578" t="s">
        <v>1419</v>
      </c>
      <c r="D189" s="579">
        <v>0.0</v>
      </c>
      <c r="E189" s="579">
        <v>0.0</v>
      </c>
      <c r="F189" s="579">
        <v>0.0</v>
      </c>
      <c r="G189" s="579">
        <v>0.0</v>
      </c>
      <c r="H189" s="579">
        <v>0.0</v>
      </c>
      <c r="I189" s="569"/>
      <c r="J189" s="579">
        <v>0.0</v>
      </c>
      <c r="K189" s="579">
        <v>0.0</v>
      </c>
      <c r="L189" s="579">
        <v>12000.0</v>
      </c>
      <c r="M189" s="579">
        <v>0.0</v>
      </c>
      <c r="N189" s="579">
        <v>100000.0</v>
      </c>
      <c r="O189" s="579">
        <v>0.0</v>
      </c>
      <c r="P189" s="579">
        <v>112000.0</v>
      </c>
      <c r="Q189" s="569"/>
      <c r="R189" s="579">
        <v>112000.0</v>
      </c>
      <c r="S189" s="569"/>
      <c r="T189" s="579">
        <v>0.0</v>
      </c>
      <c r="U189" s="579">
        <v>0.0</v>
      </c>
      <c r="V189" s="579">
        <v>0.0</v>
      </c>
      <c r="W189" s="579"/>
      <c r="X189" s="579">
        <v>0.0</v>
      </c>
      <c r="Y189" s="579">
        <v>0.0</v>
      </c>
      <c r="Z189" s="569"/>
      <c r="AA189" s="579">
        <v>112000.0</v>
      </c>
    </row>
    <row r="190" ht="12.75" customHeight="1" outlineLevel="1">
      <c r="A190" s="569"/>
      <c r="B190" s="578" t="s">
        <v>1420</v>
      </c>
      <c r="D190" s="579">
        <v>12200.0</v>
      </c>
      <c r="E190" s="579">
        <v>15000.0</v>
      </c>
      <c r="F190" s="579">
        <v>0.0</v>
      </c>
      <c r="G190" s="579">
        <v>0.0</v>
      </c>
      <c r="H190" s="579">
        <v>27200.0</v>
      </c>
      <c r="I190" s="569"/>
      <c r="J190" s="579">
        <v>5000.0</v>
      </c>
      <c r="K190" s="579">
        <v>0.0</v>
      </c>
      <c r="L190" s="579">
        <v>0.0</v>
      </c>
      <c r="M190" s="579">
        <v>30000.0</v>
      </c>
      <c r="N190" s="579">
        <v>15000.0</v>
      </c>
      <c r="O190" s="579">
        <v>0.0</v>
      </c>
      <c r="P190" s="579">
        <v>50000.0</v>
      </c>
      <c r="Q190" s="569"/>
      <c r="R190" s="579">
        <v>77200.0</v>
      </c>
      <c r="S190" s="569"/>
      <c r="T190" s="579">
        <v>0.0</v>
      </c>
      <c r="U190" s="579">
        <v>0.0</v>
      </c>
      <c r="V190" s="579">
        <v>0.0</v>
      </c>
      <c r="W190" s="579"/>
      <c r="X190" s="579">
        <v>0.0</v>
      </c>
      <c r="Y190" s="579">
        <v>0.0</v>
      </c>
      <c r="Z190" s="569"/>
      <c r="AA190" s="579">
        <v>77200.0</v>
      </c>
    </row>
    <row r="191" ht="12.75" customHeight="1" outlineLevel="1">
      <c r="A191" s="569"/>
      <c r="B191" s="578" t="s">
        <v>1421</v>
      </c>
      <c r="D191" s="579">
        <v>2500.0</v>
      </c>
      <c r="E191" s="579">
        <v>2500.0</v>
      </c>
      <c r="F191" s="579">
        <v>2500.0</v>
      </c>
      <c r="G191" s="579">
        <v>0.0</v>
      </c>
      <c r="H191" s="579">
        <v>7500.0</v>
      </c>
      <c r="I191" s="569"/>
      <c r="J191" s="579">
        <v>5000.0</v>
      </c>
      <c r="K191" s="579">
        <v>0.0</v>
      </c>
      <c r="L191" s="579">
        <v>20000.0</v>
      </c>
      <c r="M191" s="591">
        <v>20000.0</v>
      </c>
      <c r="N191" s="579">
        <v>0.0</v>
      </c>
      <c r="O191" s="579">
        <v>0.0</v>
      </c>
      <c r="P191" s="579">
        <v>45000.0</v>
      </c>
      <c r="Q191" s="569"/>
      <c r="R191" s="579">
        <v>52500.0</v>
      </c>
      <c r="S191" s="569"/>
      <c r="T191" s="579">
        <v>0.0</v>
      </c>
      <c r="U191" s="579">
        <v>0.0</v>
      </c>
      <c r="V191" s="579">
        <v>0.0</v>
      </c>
      <c r="W191" s="579"/>
      <c r="X191" s="591">
        <v>30000.0</v>
      </c>
      <c r="Y191" s="579">
        <v>30000.0</v>
      </c>
      <c r="Z191" s="569"/>
      <c r="AA191" s="579">
        <v>82500.0</v>
      </c>
    </row>
    <row r="192" ht="12.75" customHeight="1" outlineLevel="1">
      <c r="A192" s="569"/>
      <c r="B192" s="68" t="s">
        <v>1422</v>
      </c>
      <c r="D192" s="579"/>
      <c r="E192" s="579"/>
      <c r="F192" s="579"/>
      <c r="G192" s="579"/>
      <c r="H192" s="579"/>
      <c r="I192" s="569"/>
      <c r="J192" s="579"/>
      <c r="K192" s="579"/>
      <c r="L192" s="579"/>
      <c r="M192" s="591"/>
      <c r="N192" s="579"/>
      <c r="O192" s="579"/>
      <c r="P192" s="579"/>
      <c r="Q192" s="569"/>
      <c r="R192" s="579"/>
      <c r="S192" s="569"/>
      <c r="T192" s="579"/>
      <c r="U192" s="579"/>
      <c r="V192" s="579"/>
      <c r="W192" s="579"/>
      <c r="X192" s="591"/>
      <c r="Y192" s="579"/>
      <c r="Z192" s="569"/>
      <c r="AA192" s="579"/>
    </row>
    <row r="193" ht="12.75" customHeight="1" outlineLevel="1">
      <c r="A193" s="569"/>
      <c r="B193" s="578" t="s">
        <v>1423</v>
      </c>
      <c r="D193" s="579">
        <v>5000.0</v>
      </c>
      <c r="E193" s="579">
        <v>5000.0</v>
      </c>
      <c r="F193" s="579">
        <v>0.0</v>
      </c>
      <c r="G193" s="579">
        <v>0.0</v>
      </c>
      <c r="H193" s="579">
        <v>10000.0</v>
      </c>
      <c r="I193" s="569"/>
      <c r="J193" s="579">
        <v>0.0</v>
      </c>
      <c r="K193" s="579">
        <v>0.0</v>
      </c>
      <c r="L193" s="579">
        <v>30000.0</v>
      </c>
      <c r="M193" s="579">
        <v>0.0</v>
      </c>
      <c r="N193" s="579">
        <v>0.0</v>
      </c>
      <c r="O193" s="579">
        <v>0.0</v>
      </c>
      <c r="P193" s="579">
        <v>30000.0</v>
      </c>
      <c r="Q193" s="569"/>
      <c r="R193" s="579">
        <v>40000.0</v>
      </c>
      <c r="S193" s="569"/>
      <c r="T193" s="579">
        <v>0.0</v>
      </c>
      <c r="U193" s="579">
        <v>0.0</v>
      </c>
      <c r="V193" s="579">
        <v>0.0</v>
      </c>
      <c r="W193" s="579"/>
      <c r="X193" s="579">
        <v>0.0</v>
      </c>
      <c r="Y193" s="579">
        <v>0.0</v>
      </c>
      <c r="Z193" s="569"/>
      <c r="AA193" s="579">
        <v>40000.0</v>
      </c>
    </row>
    <row r="194" ht="12.75" customHeight="1" outlineLevel="1">
      <c r="A194" s="569"/>
      <c r="B194" s="578" t="s">
        <v>1424</v>
      </c>
      <c r="D194" s="579">
        <v>0.0</v>
      </c>
      <c r="E194" s="579">
        <v>0.0</v>
      </c>
      <c r="F194" s="579">
        <v>0.0</v>
      </c>
      <c r="G194" s="579">
        <v>0.0</v>
      </c>
      <c r="H194" s="579">
        <v>0.0</v>
      </c>
      <c r="I194" s="569"/>
      <c r="J194" s="579">
        <v>0.0</v>
      </c>
      <c r="K194" s="579">
        <v>40000.0</v>
      </c>
      <c r="L194" s="579">
        <v>0.0</v>
      </c>
      <c r="M194" s="579">
        <v>0.0</v>
      </c>
      <c r="N194" s="579">
        <v>0.0</v>
      </c>
      <c r="O194" s="579">
        <v>0.0</v>
      </c>
      <c r="P194" s="579">
        <v>40000.0</v>
      </c>
      <c r="Q194" s="569"/>
      <c r="R194" s="579">
        <v>40000.0</v>
      </c>
      <c r="S194" s="569"/>
      <c r="T194" s="579">
        <v>0.0</v>
      </c>
      <c r="U194" s="579">
        <v>0.0</v>
      </c>
      <c r="V194" s="579">
        <v>0.0</v>
      </c>
      <c r="W194" s="579"/>
      <c r="X194" s="579">
        <v>0.0</v>
      </c>
      <c r="Y194" s="579">
        <v>0.0</v>
      </c>
      <c r="Z194" s="569"/>
      <c r="AA194" s="579">
        <v>40000.0</v>
      </c>
    </row>
    <row r="195" ht="12.75" customHeight="1" outlineLevel="1">
      <c r="A195" s="569"/>
      <c r="B195" s="578" t="s">
        <v>1425</v>
      </c>
      <c r="D195" s="579">
        <v>23500.0</v>
      </c>
      <c r="E195" s="579">
        <v>23500.0</v>
      </c>
      <c r="F195" s="579">
        <v>0.0</v>
      </c>
      <c r="G195" s="579">
        <v>0.0</v>
      </c>
      <c r="H195" s="579">
        <v>47000.0</v>
      </c>
      <c r="I195" s="569"/>
      <c r="J195" s="579">
        <v>0.0</v>
      </c>
      <c r="K195" s="579">
        <v>0.0</v>
      </c>
      <c r="L195" s="579">
        <v>0.0</v>
      </c>
      <c r="M195" s="579">
        <v>0.0</v>
      </c>
      <c r="N195" s="579">
        <v>0.0</v>
      </c>
      <c r="O195" s="579">
        <v>0.0</v>
      </c>
      <c r="P195" s="579">
        <v>0.0</v>
      </c>
      <c r="Q195" s="569"/>
      <c r="R195" s="579">
        <v>47000.0</v>
      </c>
      <c r="S195" s="569"/>
      <c r="T195" s="579">
        <v>0.0</v>
      </c>
      <c r="U195" s="579">
        <v>0.0</v>
      </c>
      <c r="V195" s="579">
        <v>0.0</v>
      </c>
      <c r="W195" s="579"/>
      <c r="X195" s="579">
        <v>0.0</v>
      </c>
      <c r="Y195" s="579">
        <v>0.0</v>
      </c>
      <c r="Z195" s="569"/>
      <c r="AA195" s="579">
        <v>47000.0</v>
      </c>
    </row>
    <row r="196" ht="12.75" customHeight="1" outlineLevel="1">
      <c r="A196" s="569"/>
      <c r="B196" s="68" t="s">
        <v>1426</v>
      </c>
      <c r="D196" s="579"/>
      <c r="E196" s="579"/>
      <c r="F196" s="579"/>
      <c r="G196" s="579"/>
      <c r="H196" s="579"/>
      <c r="I196" s="569"/>
      <c r="J196" s="579"/>
      <c r="K196" s="579"/>
      <c r="L196" s="579"/>
      <c r="M196" s="579"/>
      <c r="N196" s="579"/>
      <c r="O196" s="579"/>
      <c r="P196" s="579"/>
      <c r="Q196" s="569"/>
      <c r="R196" s="579"/>
      <c r="S196" s="569"/>
      <c r="T196" s="579"/>
      <c r="U196" s="579"/>
      <c r="V196" s="579"/>
      <c r="W196" s="579"/>
      <c r="X196" s="579"/>
      <c r="Y196" s="579"/>
      <c r="Z196" s="569"/>
      <c r="AA196" s="579"/>
    </row>
    <row r="197" ht="12.75" customHeight="1" outlineLevel="1">
      <c r="A197" s="569"/>
      <c r="B197" s="578" t="s">
        <v>1427</v>
      </c>
      <c r="D197" s="579">
        <v>1500.0</v>
      </c>
      <c r="E197" s="579">
        <v>1500.0</v>
      </c>
      <c r="F197" s="579">
        <v>0.0</v>
      </c>
      <c r="G197" s="579">
        <v>0.0</v>
      </c>
      <c r="H197" s="579">
        <v>3000.0</v>
      </c>
      <c r="I197" s="569"/>
      <c r="J197" s="579">
        <v>0.0</v>
      </c>
      <c r="K197" s="579">
        <v>0.0</v>
      </c>
      <c r="L197" s="579">
        <v>0.0</v>
      </c>
      <c r="M197" s="579">
        <v>0.0</v>
      </c>
      <c r="N197" s="579">
        <v>0.0</v>
      </c>
      <c r="O197" s="579">
        <v>0.0</v>
      </c>
      <c r="P197" s="579">
        <v>0.0</v>
      </c>
      <c r="Q197" s="569"/>
      <c r="R197" s="579">
        <v>3000.0</v>
      </c>
      <c r="S197" s="569"/>
      <c r="T197" s="579">
        <v>0.0</v>
      </c>
      <c r="U197" s="579">
        <v>0.0</v>
      </c>
      <c r="V197" s="579">
        <v>0.0</v>
      </c>
      <c r="W197" s="579"/>
      <c r="X197" s="579">
        <v>0.0</v>
      </c>
      <c r="Y197" s="579">
        <v>0.0</v>
      </c>
      <c r="Z197" s="569"/>
      <c r="AA197" s="579">
        <v>3000.0</v>
      </c>
    </row>
    <row r="198" ht="12.75" customHeight="1" outlineLevel="1">
      <c r="A198" s="569"/>
      <c r="B198" s="68" t="s">
        <v>1427</v>
      </c>
      <c r="D198" s="579"/>
      <c r="E198" s="579"/>
      <c r="F198" s="579"/>
      <c r="G198" s="579"/>
      <c r="H198" s="579"/>
      <c r="I198" s="569"/>
      <c r="J198" s="579"/>
      <c r="K198" s="579"/>
      <c r="L198" s="579"/>
      <c r="M198" s="579"/>
      <c r="N198" s="579"/>
      <c r="O198" s="579"/>
      <c r="P198" s="579"/>
      <c r="Q198" s="569"/>
      <c r="R198" s="579"/>
      <c r="S198" s="569"/>
      <c r="T198" s="579"/>
      <c r="U198" s="579"/>
      <c r="V198" s="579"/>
      <c r="W198" s="579"/>
      <c r="X198" s="579"/>
      <c r="Y198" s="579"/>
      <c r="Z198" s="569"/>
      <c r="AA198" s="579"/>
    </row>
    <row r="199" ht="12.75" customHeight="1" outlineLevel="1">
      <c r="A199" s="569"/>
      <c r="B199" s="578" t="s">
        <v>1428</v>
      </c>
      <c r="D199" s="579">
        <v>0.0</v>
      </c>
      <c r="E199" s="579">
        <v>2000.0</v>
      </c>
      <c r="F199" s="579">
        <v>2000.0</v>
      </c>
      <c r="G199" s="579">
        <v>0.0</v>
      </c>
      <c r="H199" s="579">
        <v>4000.0</v>
      </c>
      <c r="I199" s="569"/>
      <c r="J199" s="579">
        <v>0.0</v>
      </c>
      <c r="K199" s="579">
        <v>0.0</v>
      </c>
      <c r="L199" s="579">
        <v>0.0</v>
      </c>
      <c r="M199" s="579">
        <v>100000.0</v>
      </c>
      <c r="N199" s="579">
        <v>0.0</v>
      </c>
      <c r="O199" s="579">
        <v>0.0</v>
      </c>
      <c r="P199" s="579">
        <v>100000.0</v>
      </c>
      <c r="Q199" s="569"/>
      <c r="R199" s="579">
        <v>104000.0</v>
      </c>
      <c r="S199" s="569"/>
      <c r="T199" s="579">
        <v>0.0</v>
      </c>
      <c r="U199" s="579">
        <v>0.0</v>
      </c>
      <c r="V199" s="579">
        <v>0.0</v>
      </c>
      <c r="W199" s="579"/>
      <c r="X199" s="579">
        <v>0.0</v>
      </c>
      <c r="Y199" s="579">
        <v>0.0</v>
      </c>
      <c r="Z199" s="569"/>
      <c r="AA199" s="579">
        <v>104000.0</v>
      </c>
    </row>
    <row r="200" ht="12.75" customHeight="1" outlineLevel="1">
      <c r="A200" s="569"/>
      <c r="B200" s="68" t="s">
        <v>1429</v>
      </c>
      <c r="D200" s="579"/>
      <c r="E200" s="579"/>
      <c r="F200" s="579"/>
      <c r="G200" s="579"/>
      <c r="H200" s="579"/>
      <c r="I200" s="569"/>
      <c r="J200" s="579"/>
      <c r="K200" s="579"/>
      <c r="L200" s="579"/>
      <c r="M200" s="579"/>
      <c r="N200" s="579"/>
      <c r="O200" s="579"/>
      <c r="P200" s="579"/>
      <c r="Q200" s="569"/>
      <c r="R200" s="579"/>
      <c r="S200" s="569"/>
      <c r="T200" s="579"/>
      <c r="U200" s="579"/>
      <c r="V200" s="579"/>
      <c r="W200" s="579"/>
      <c r="X200" s="579"/>
      <c r="Y200" s="579"/>
      <c r="Z200" s="569"/>
      <c r="AA200" s="579"/>
    </row>
    <row r="201" ht="12.75" customHeight="1" outlineLevel="1">
      <c r="A201" s="569"/>
      <c r="B201" s="578" t="s">
        <v>1430</v>
      </c>
      <c r="D201" s="579">
        <v>10500.0</v>
      </c>
      <c r="E201" s="579">
        <v>7500.0</v>
      </c>
      <c r="F201" s="579">
        <v>1500.0</v>
      </c>
      <c r="G201" s="579">
        <v>0.0</v>
      </c>
      <c r="H201" s="579">
        <v>19500.0</v>
      </c>
      <c r="I201" s="569"/>
      <c r="J201" s="579">
        <v>0.0</v>
      </c>
      <c r="K201" s="579">
        <v>0.0</v>
      </c>
      <c r="L201" s="579">
        <v>0.0</v>
      </c>
      <c r="M201" s="579">
        <v>0.0</v>
      </c>
      <c r="N201" s="579">
        <v>10000.0</v>
      </c>
      <c r="O201" s="579">
        <v>0.0</v>
      </c>
      <c r="P201" s="579">
        <v>10000.0</v>
      </c>
      <c r="Q201" s="569"/>
      <c r="R201" s="579">
        <v>29500.0</v>
      </c>
      <c r="S201" s="569"/>
      <c r="T201" s="579">
        <v>0.0</v>
      </c>
      <c r="U201" s="579">
        <v>0.0</v>
      </c>
      <c r="V201" s="579">
        <v>0.0</v>
      </c>
      <c r="W201" s="579"/>
      <c r="X201" s="579">
        <v>0.0</v>
      </c>
      <c r="Y201" s="579">
        <v>0.0</v>
      </c>
      <c r="Z201" s="569"/>
      <c r="AA201" s="579">
        <v>44500.0</v>
      </c>
    </row>
    <row r="202" ht="12.75" customHeight="1" outlineLevel="1">
      <c r="A202" s="569"/>
      <c r="B202" s="578" t="s">
        <v>1431</v>
      </c>
      <c r="D202" s="579">
        <v>0.0</v>
      </c>
      <c r="E202" s="579">
        <v>0.0</v>
      </c>
      <c r="F202" s="579">
        <v>0.0</v>
      </c>
      <c r="G202" s="579">
        <v>0.0</v>
      </c>
      <c r="H202" s="579">
        <v>0.0</v>
      </c>
      <c r="I202" s="569"/>
      <c r="J202" s="579">
        <v>245700.0</v>
      </c>
      <c r="K202" s="579">
        <v>0.0</v>
      </c>
      <c r="L202" s="579">
        <v>0.0</v>
      </c>
      <c r="M202" s="579">
        <v>0.0</v>
      </c>
      <c r="N202" s="579">
        <v>0.0</v>
      </c>
      <c r="O202" s="579">
        <v>0.0</v>
      </c>
      <c r="P202" s="579">
        <v>245700.0</v>
      </c>
      <c r="Q202" s="569"/>
      <c r="R202" s="579">
        <v>245700.0</v>
      </c>
      <c r="S202" s="569"/>
      <c r="T202" s="579">
        <v>0.0</v>
      </c>
      <c r="U202" s="579">
        <v>0.0</v>
      </c>
      <c r="V202" s="579">
        <v>0.0</v>
      </c>
      <c r="W202" s="579"/>
      <c r="X202" s="579">
        <v>0.0</v>
      </c>
      <c r="Y202" s="579">
        <v>0.0</v>
      </c>
      <c r="Z202" s="569"/>
      <c r="AA202" s="579">
        <v>245700.0</v>
      </c>
    </row>
    <row r="203" ht="12.75" customHeight="1" outlineLevel="1">
      <c r="A203" s="569"/>
      <c r="B203" s="68" t="s">
        <v>1432</v>
      </c>
      <c r="D203" s="579"/>
      <c r="E203" s="579"/>
      <c r="F203" s="579"/>
      <c r="G203" s="579"/>
      <c r="H203" s="579"/>
      <c r="I203" s="569"/>
      <c r="J203" s="579"/>
      <c r="K203" s="579"/>
      <c r="L203" s="579"/>
      <c r="M203" s="579"/>
      <c r="N203" s="579"/>
      <c r="O203" s="579"/>
      <c r="P203" s="579"/>
      <c r="Q203" s="569"/>
      <c r="R203" s="579"/>
      <c r="S203" s="569"/>
      <c r="T203" s="579"/>
      <c r="U203" s="579"/>
      <c r="V203" s="579"/>
      <c r="W203" s="579"/>
      <c r="X203" s="579"/>
      <c r="Y203" s="579"/>
      <c r="Z203" s="569"/>
      <c r="AA203" s="579"/>
    </row>
    <row r="204" ht="12.75" customHeight="1" outlineLevel="1">
      <c r="A204" s="569"/>
      <c r="B204" s="578" t="s">
        <v>1433</v>
      </c>
      <c r="D204" s="579">
        <v>0.0</v>
      </c>
      <c r="E204" s="579">
        <v>0.0</v>
      </c>
      <c r="F204" s="579">
        <v>0.0</v>
      </c>
      <c r="G204" s="579">
        <v>0.0</v>
      </c>
      <c r="H204" s="579">
        <v>0.0</v>
      </c>
      <c r="I204" s="569"/>
      <c r="J204" s="579">
        <v>0.0</v>
      </c>
      <c r="K204" s="579">
        <v>25000.0</v>
      </c>
      <c r="L204" s="579">
        <v>20000.0</v>
      </c>
      <c r="M204" s="579">
        <v>0.0</v>
      </c>
      <c r="N204" s="579">
        <v>15000.0</v>
      </c>
      <c r="O204" s="579">
        <v>0.0</v>
      </c>
      <c r="P204" s="579">
        <v>60000.0</v>
      </c>
      <c r="Q204" s="569"/>
      <c r="R204" s="579">
        <v>60000.0</v>
      </c>
      <c r="S204" s="569"/>
      <c r="T204" s="579">
        <v>0.0</v>
      </c>
      <c r="U204" s="579">
        <v>0.0</v>
      </c>
      <c r="V204" s="579">
        <v>0.0</v>
      </c>
      <c r="W204" s="579"/>
      <c r="X204" s="579">
        <v>100000.0</v>
      </c>
      <c r="Y204" s="579">
        <v>100000.0</v>
      </c>
      <c r="Z204" s="569"/>
      <c r="AA204" s="579">
        <v>160000.0</v>
      </c>
    </row>
    <row r="205" ht="12.75" customHeight="1" outlineLevel="1">
      <c r="A205" s="569"/>
      <c r="B205" s="578" t="s">
        <v>1434</v>
      </c>
      <c r="D205" s="579">
        <v>0.0</v>
      </c>
      <c r="E205" s="579">
        <v>0.0</v>
      </c>
      <c r="F205" s="579">
        <v>0.0</v>
      </c>
      <c r="G205" s="579">
        <v>0.0</v>
      </c>
      <c r="H205" s="579">
        <v>0.0</v>
      </c>
      <c r="I205" s="569"/>
      <c r="J205" s="579">
        <v>0.0</v>
      </c>
      <c r="K205" s="579">
        <v>30000.0</v>
      </c>
      <c r="L205" s="579">
        <v>0.0</v>
      </c>
      <c r="M205" s="579">
        <v>0.0</v>
      </c>
      <c r="N205" s="579">
        <v>0.0</v>
      </c>
      <c r="O205" s="579">
        <v>0.0</v>
      </c>
      <c r="P205" s="579">
        <v>30000.0</v>
      </c>
      <c r="Q205" s="569"/>
      <c r="R205" s="579">
        <v>30000.0</v>
      </c>
      <c r="S205" s="569"/>
      <c r="T205" s="579">
        <v>0.0</v>
      </c>
      <c r="U205" s="579">
        <v>0.0</v>
      </c>
      <c r="V205" s="579">
        <v>0.0</v>
      </c>
      <c r="W205" s="579"/>
      <c r="X205" s="579">
        <v>0.0</v>
      </c>
      <c r="Y205" s="579">
        <v>0.0</v>
      </c>
      <c r="Z205" s="569"/>
      <c r="AA205" s="579">
        <v>30000.0</v>
      </c>
    </row>
    <row r="206" ht="12.75" customHeight="1" outlineLevel="1">
      <c r="A206" s="569"/>
      <c r="B206" s="578" t="s">
        <v>1435</v>
      </c>
      <c r="D206" s="579">
        <v>13069.68795</v>
      </c>
      <c r="E206" s="579">
        <v>24663.8288</v>
      </c>
      <c r="F206" s="579">
        <v>0.0</v>
      </c>
      <c r="G206" s="579">
        <v>0.0</v>
      </c>
      <c r="H206" s="579">
        <v>37733.51675</v>
      </c>
      <c r="I206" s="569"/>
      <c r="J206" s="579">
        <v>0.0</v>
      </c>
      <c r="K206" s="579">
        <v>0.0</v>
      </c>
      <c r="L206" s="579">
        <v>0.0</v>
      </c>
      <c r="M206" s="579">
        <v>0.0</v>
      </c>
      <c r="N206" s="579">
        <v>0.0</v>
      </c>
      <c r="O206" s="579">
        <v>0.0</v>
      </c>
      <c r="P206" s="579">
        <v>0.0</v>
      </c>
      <c r="Q206" s="569"/>
      <c r="R206" s="579">
        <v>37733.51675</v>
      </c>
      <c r="S206" s="569"/>
      <c r="T206" s="579">
        <v>0.0</v>
      </c>
      <c r="U206" s="579">
        <v>0.0</v>
      </c>
      <c r="V206" s="579">
        <v>0.0</v>
      </c>
      <c r="W206" s="579"/>
      <c r="X206" s="579">
        <v>0.0</v>
      </c>
      <c r="Y206" s="579">
        <v>0.0</v>
      </c>
      <c r="Z206" s="569"/>
      <c r="AA206" s="579">
        <v>36683.12904</v>
      </c>
    </row>
    <row r="207" ht="12.75" customHeight="1" outlineLevel="1">
      <c r="A207" s="569"/>
      <c r="B207" s="578" t="s">
        <v>1436</v>
      </c>
      <c r="D207" s="579">
        <v>15000.0</v>
      </c>
      <c r="E207" s="579">
        <v>9000.0</v>
      </c>
      <c r="F207" s="579">
        <v>0.0</v>
      </c>
      <c r="G207" s="579">
        <v>0.0</v>
      </c>
      <c r="H207" s="579">
        <v>24000.0</v>
      </c>
      <c r="I207" s="569"/>
      <c r="J207" s="579">
        <v>0.0</v>
      </c>
      <c r="K207" s="579">
        <v>0.0</v>
      </c>
      <c r="L207" s="579">
        <v>0.0</v>
      </c>
      <c r="M207" s="579">
        <v>0.0</v>
      </c>
      <c r="N207" s="579">
        <v>0.0</v>
      </c>
      <c r="O207" s="579">
        <v>0.0</v>
      </c>
      <c r="P207" s="579">
        <v>0.0</v>
      </c>
      <c r="Q207" s="569"/>
      <c r="R207" s="579">
        <v>24000.0</v>
      </c>
      <c r="S207" s="569"/>
      <c r="T207" s="579">
        <v>0.0</v>
      </c>
      <c r="U207" s="579">
        <v>0.0</v>
      </c>
      <c r="V207" s="579">
        <v>0.0</v>
      </c>
      <c r="W207" s="579"/>
      <c r="X207" s="579">
        <v>0.0</v>
      </c>
      <c r="Y207" s="579">
        <v>0.0</v>
      </c>
      <c r="Z207" s="569"/>
      <c r="AA207" s="579">
        <v>24000.0</v>
      </c>
    </row>
    <row r="208" ht="12.75" customHeight="1" outlineLevel="1">
      <c r="A208" s="569"/>
      <c r="B208" s="578" t="s">
        <v>1437</v>
      </c>
      <c r="D208" s="579">
        <v>0.0</v>
      </c>
      <c r="E208" s="579">
        <v>0.0</v>
      </c>
      <c r="F208" s="579">
        <v>0.0</v>
      </c>
      <c r="G208" s="579">
        <v>0.0</v>
      </c>
      <c r="H208" s="579">
        <v>0.0</v>
      </c>
      <c r="I208" s="569"/>
      <c r="J208" s="579">
        <v>0.0</v>
      </c>
      <c r="K208" s="579">
        <v>0.0</v>
      </c>
      <c r="L208" s="579">
        <v>80000.0</v>
      </c>
      <c r="M208" s="579">
        <v>0.0</v>
      </c>
      <c r="N208" s="579">
        <v>0.0</v>
      </c>
      <c r="O208" s="579">
        <v>0.0</v>
      </c>
      <c r="P208" s="579">
        <v>80000.0</v>
      </c>
      <c r="Q208" s="569"/>
      <c r="R208" s="579">
        <v>80000.0</v>
      </c>
      <c r="S208" s="569"/>
      <c r="T208" s="579">
        <v>0.0</v>
      </c>
      <c r="U208" s="579">
        <v>0.0</v>
      </c>
      <c r="V208" s="579">
        <v>0.0</v>
      </c>
      <c r="W208" s="579"/>
      <c r="X208" s="579">
        <v>0.0</v>
      </c>
      <c r="Y208" s="579">
        <v>0.0</v>
      </c>
      <c r="Z208" s="569"/>
      <c r="AA208" s="579">
        <v>80000.0</v>
      </c>
    </row>
    <row r="209" ht="12.75" customHeight="1" outlineLevel="1">
      <c r="A209" s="569"/>
      <c r="B209" s="578" t="s">
        <v>1438</v>
      </c>
      <c r="D209" s="579">
        <v>1050.0</v>
      </c>
      <c r="E209" s="579">
        <v>1500.0</v>
      </c>
      <c r="F209" s="579">
        <v>0.0</v>
      </c>
      <c r="G209" s="579">
        <v>0.0</v>
      </c>
      <c r="H209" s="579">
        <v>2550.0</v>
      </c>
      <c r="I209" s="569"/>
      <c r="J209" s="579">
        <v>0.0</v>
      </c>
      <c r="K209" s="579">
        <v>0.0</v>
      </c>
      <c r="L209" s="579">
        <v>0.0</v>
      </c>
      <c r="M209" s="579">
        <v>0.0</v>
      </c>
      <c r="N209" s="579">
        <v>0.0</v>
      </c>
      <c r="O209" s="579">
        <v>0.0</v>
      </c>
      <c r="P209" s="579">
        <v>0.0</v>
      </c>
      <c r="Q209" s="569"/>
      <c r="R209" s="579">
        <v>2550.0</v>
      </c>
      <c r="S209" s="569"/>
      <c r="T209" s="579">
        <v>0.0</v>
      </c>
      <c r="U209" s="579">
        <v>0.0</v>
      </c>
      <c r="V209" s="579">
        <v>0.0</v>
      </c>
      <c r="W209" s="579"/>
      <c r="X209" s="579">
        <v>0.0</v>
      </c>
      <c r="Y209" s="579">
        <v>0.0</v>
      </c>
      <c r="Z209" s="569"/>
      <c r="AA209" s="579">
        <v>2550.0</v>
      </c>
    </row>
    <row r="210" ht="12.75" customHeight="1" outlineLevel="1">
      <c r="A210" s="569"/>
      <c r="B210" s="578" t="s">
        <v>1439</v>
      </c>
      <c r="D210" s="579">
        <v>0.0</v>
      </c>
      <c r="E210" s="579">
        <v>0.0</v>
      </c>
      <c r="F210" s="579">
        <v>0.0</v>
      </c>
      <c r="G210" s="579">
        <v>0.0</v>
      </c>
      <c r="H210" s="579">
        <v>0.0</v>
      </c>
      <c r="I210" s="569"/>
      <c r="J210" s="579">
        <v>0.0</v>
      </c>
      <c r="K210" s="579">
        <v>0.0</v>
      </c>
      <c r="L210" s="579">
        <v>0.0</v>
      </c>
      <c r="M210" s="591">
        <v>0.0</v>
      </c>
      <c r="N210" s="579">
        <v>0.0</v>
      </c>
      <c r="O210" s="579">
        <v>0.0</v>
      </c>
      <c r="P210" s="579">
        <v>0.0</v>
      </c>
      <c r="Q210" s="569"/>
      <c r="R210" s="579">
        <v>0.0</v>
      </c>
      <c r="S210" s="569"/>
      <c r="T210" s="579">
        <v>0.0</v>
      </c>
      <c r="U210" s="579">
        <v>0.0</v>
      </c>
      <c r="V210" s="579">
        <v>0.0</v>
      </c>
      <c r="W210" s="579"/>
      <c r="X210" s="579">
        <v>0.0</v>
      </c>
      <c r="Y210" s="579">
        <v>0.0</v>
      </c>
      <c r="Z210" s="569"/>
      <c r="AA210" s="579">
        <v>0.0</v>
      </c>
    </row>
    <row r="211" ht="12.75" customHeight="1" outlineLevel="1">
      <c r="A211" s="569"/>
      <c r="B211" s="578" t="s">
        <v>1440</v>
      </c>
      <c r="D211" s="579">
        <v>0.0</v>
      </c>
      <c r="E211" s="579">
        <v>0.0</v>
      </c>
      <c r="F211" s="579">
        <v>0.0</v>
      </c>
      <c r="G211" s="579">
        <v>0.0</v>
      </c>
      <c r="H211" s="579">
        <v>0.0</v>
      </c>
      <c r="I211" s="569"/>
      <c r="J211" s="579">
        <v>0.0</v>
      </c>
      <c r="K211" s="579">
        <v>6981.0</v>
      </c>
      <c r="L211" s="579">
        <v>0.0</v>
      </c>
      <c r="M211" s="579">
        <v>0.0</v>
      </c>
      <c r="N211" s="579">
        <v>0.0</v>
      </c>
      <c r="O211" s="579">
        <v>0.0</v>
      </c>
      <c r="P211" s="579">
        <v>6981.0</v>
      </c>
      <c r="Q211" s="569"/>
      <c r="R211" s="579">
        <v>6981.0</v>
      </c>
      <c r="S211" s="569"/>
      <c r="T211" s="579">
        <v>0.0</v>
      </c>
      <c r="U211" s="579">
        <v>0.0</v>
      </c>
      <c r="V211" s="579">
        <v>0.0</v>
      </c>
      <c r="W211" s="579"/>
      <c r="X211" s="579">
        <v>0.0</v>
      </c>
      <c r="Y211" s="579">
        <v>0.0</v>
      </c>
      <c r="Z211" s="569"/>
      <c r="AA211" s="579">
        <v>6981.0</v>
      </c>
    </row>
    <row r="212" ht="12.75" customHeight="1" outlineLevel="1">
      <c r="A212" s="569"/>
      <c r="B212" s="578" t="s">
        <v>1441</v>
      </c>
      <c r="D212" s="579">
        <v>7760.0</v>
      </c>
      <c r="E212" s="579">
        <v>8220.0</v>
      </c>
      <c r="F212" s="579">
        <v>0.0</v>
      </c>
      <c r="G212" s="579">
        <v>0.0</v>
      </c>
      <c r="H212" s="579">
        <v>15980.0</v>
      </c>
      <c r="I212" s="569"/>
      <c r="J212" s="579">
        <v>0.0</v>
      </c>
      <c r="K212" s="579">
        <v>0.0</v>
      </c>
      <c r="L212" s="579">
        <v>0.0</v>
      </c>
      <c r="M212" s="579">
        <v>0.0</v>
      </c>
      <c r="N212" s="579">
        <v>0.0</v>
      </c>
      <c r="O212" s="579">
        <v>0.0</v>
      </c>
      <c r="P212" s="579">
        <v>0.0</v>
      </c>
      <c r="Q212" s="569"/>
      <c r="R212" s="579">
        <v>15980.0</v>
      </c>
      <c r="S212" s="569"/>
      <c r="T212" s="579">
        <v>0.0</v>
      </c>
      <c r="U212" s="579">
        <v>0.0</v>
      </c>
      <c r="V212" s="579">
        <v>0.0</v>
      </c>
      <c r="W212" s="579"/>
      <c r="X212" s="579">
        <v>0.0</v>
      </c>
      <c r="Y212" s="579">
        <v>0.0</v>
      </c>
      <c r="Z212" s="569"/>
      <c r="AA212" s="579">
        <v>15980.0</v>
      </c>
    </row>
    <row r="213" ht="12.75" customHeight="1" outlineLevel="1">
      <c r="A213" s="569"/>
      <c r="B213" s="68" t="s">
        <v>1442</v>
      </c>
      <c r="D213" s="579"/>
      <c r="E213" s="579"/>
      <c r="F213" s="579"/>
      <c r="G213" s="579"/>
      <c r="H213" s="579"/>
      <c r="I213" s="569"/>
      <c r="J213" s="579"/>
      <c r="K213" s="579"/>
      <c r="L213" s="579"/>
      <c r="M213" s="579"/>
      <c r="N213" s="579"/>
      <c r="O213" s="579"/>
      <c r="P213" s="579"/>
      <c r="Q213" s="569"/>
      <c r="R213" s="579"/>
      <c r="S213" s="569"/>
      <c r="T213" s="579"/>
      <c r="U213" s="579"/>
      <c r="V213" s="579"/>
      <c r="W213" s="579"/>
      <c r="X213" s="579"/>
      <c r="Y213" s="579"/>
      <c r="Z213" s="569"/>
      <c r="AA213" s="579"/>
    </row>
    <row r="214" ht="12.75" customHeight="1" outlineLevel="1">
      <c r="A214" s="569"/>
      <c r="B214" s="578" t="s">
        <v>1443</v>
      </c>
      <c r="D214" s="579">
        <v>400.0</v>
      </c>
      <c r="E214" s="579">
        <v>400.0</v>
      </c>
      <c r="F214" s="579">
        <v>400.0</v>
      </c>
      <c r="G214" s="579">
        <v>0.0</v>
      </c>
      <c r="H214" s="579">
        <v>1200.0</v>
      </c>
      <c r="I214" s="569"/>
      <c r="J214" s="579">
        <v>0.0</v>
      </c>
      <c r="K214" s="579">
        <v>0.0</v>
      </c>
      <c r="L214" s="579">
        <v>0.0</v>
      </c>
      <c r="M214" s="579">
        <v>0.0</v>
      </c>
      <c r="N214" s="579">
        <v>0.0</v>
      </c>
      <c r="O214" s="579">
        <v>0.0</v>
      </c>
      <c r="P214" s="579">
        <v>0.0</v>
      </c>
      <c r="Q214" s="569"/>
      <c r="R214" s="579">
        <v>1200.0</v>
      </c>
      <c r="S214" s="569"/>
      <c r="T214" s="579">
        <v>0.0</v>
      </c>
      <c r="U214" s="579">
        <v>0.0</v>
      </c>
      <c r="V214" s="579">
        <v>0.0</v>
      </c>
      <c r="W214" s="579"/>
      <c r="X214" s="579">
        <v>0.0</v>
      </c>
      <c r="Y214" s="579">
        <v>0.0</v>
      </c>
      <c r="Z214" s="569"/>
      <c r="AA214" s="579">
        <v>1200.0</v>
      </c>
    </row>
    <row r="215" ht="12.75" customHeight="1" outlineLevel="1">
      <c r="A215" s="569"/>
      <c r="B215" s="578" t="s">
        <v>1444</v>
      </c>
      <c r="D215" s="579">
        <v>329990.2355</v>
      </c>
      <c r="E215" s="579">
        <v>388094.224547945</v>
      </c>
      <c r="F215" s="579">
        <v>38750.0</v>
      </c>
      <c r="G215" s="579">
        <v>62500.0</v>
      </c>
      <c r="H215" s="579">
        <v>819334.460047945</v>
      </c>
      <c r="I215" s="569"/>
      <c r="J215" s="579">
        <v>0.0</v>
      </c>
      <c r="K215" s="579">
        <v>0.0</v>
      </c>
      <c r="L215" s="579">
        <v>0.0</v>
      </c>
      <c r="M215" s="579">
        <v>0.0</v>
      </c>
      <c r="N215" s="579">
        <v>0.0</v>
      </c>
      <c r="O215" s="579">
        <v>0.0</v>
      </c>
      <c r="P215" s="579">
        <v>0.0</v>
      </c>
      <c r="Q215" s="569"/>
      <c r="R215" s="579">
        <v>819334.460047945</v>
      </c>
      <c r="S215" s="569"/>
      <c r="T215" s="579">
        <v>0.0</v>
      </c>
      <c r="U215" s="579">
        <v>0.0</v>
      </c>
      <c r="V215" s="579">
        <v>0.0</v>
      </c>
      <c r="W215" s="579"/>
      <c r="X215" s="579">
        <v>0.0</v>
      </c>
      <c r="Y215" s="579">
        <v>0.0</v>
      </c>
      <c r="Z215" s="569"/>
      <c r="AA215" s="579">
        <v>808830.582947945</v>
      </c>
    </row>
    <row r="216" ht="12.75" customHeight="1" outlineLevel="1">
      <c r="A216" s="569"/>
      <c r="B216" s="578" t="s">
        <v>1445</v>
      </c>
      <c r="D216" s="579">
        <v>154995.11775</v>
      </c>
      <c r="E216" s="579">
        <v>184047.112273973</v>
      </c>
      <c r="F216" s="579">
        <v>15500.0</v>
      </c>
      <c r="G216" s="579">
        <v>0.0</v>
      </c>
      <c r="H216" s="579">
        <v>354542.230023973</v>
      </c>
      <c r="I216" s="569"/>
      <c r="J216" s="579">
        <v>0.0</v>
      </c>
      <c r="K216" s="579">
        <v>0.0</v>
      </c>
      <c r="L216" s="579">
        <v>0.0</v>
      </c>
      <c r="M216" s="579">
        <v>0.0</v>
      </c>
      <c r="N216" s="579">
        <v>0.0</v>
      </c>
      <c r="O216" s="579">
        <v>0.0</v>
      </c>
      <c r="P216" s="579">
        <v>0.0</v>
      </c>
      <c r="Q216" s="569"/>
      <c r="R216" s="579">
        <v>354542.230023973</v>
      </c>
      <c r="S216" s="569"/>
      <c r="T216" s="579">
        <v>0.0</v>
      </c>
      <c r="U216" s="579">
        <v>0.0</v>
      </c>
      <c r="V216" s="579">
        <v>0.0</v>
      </c>
      <c r="W216" s="579"/>
      <c r="X216" s="579">
        <v>0.0</v>
      </c>
      <c r="Y216" s="579">
        <v>0.0</v>
      </c>
      <c r="Z216" s="569"/>
      <c r="AA216" s="579">
        <v>349290.291473973</v>
      </c>
    </row>
    <row r="217" ht="12.75" customHeight="1" outlineLevel="1">
      <c r="A217" s="569"/>
      <c r="B217" s="578" t="s">
        <v>1446</v>
      </c>
      <c r="D217" s="579">
        <v>0.0</v>
      </c>
      <c r="E217" s="579">
        <v>100000.0</v>
      </c>
      <c r="F217" s="579">
        <v>0.0</v>
      </c>
      <c r="G217" s="579">
        <v>0.0</v>
      </c>
      <c r="H217" s="579">
        <v>100000.0</v>
      </c>
      <c r="I217" s="569"/>
      <c r="J217" s="579">
        <v>0.0</v>
      </c>
      <c r="K217" s="579">
        <v>0.0</v>
      </c>
      <c r="L217" s="579">
        <v>0.0</v>
      </c>
      <c r="M217" s="579">
        <v>0.0</v>
      </c>
      <c r="N217" s="579">
        <v>0.0</v>
      </c>
      <c r="O217" s="579">
        <v>0.0</v>
      </c>
      <c r="P217" s="579">
        <v>0.0</v>
      </c>
      <c r="Q217" s="569"/>
      <c r="R217" s="579">
        <v>100000.0</v>
      </c>
      <c r="S217" s="569"/>
      <c r="T217" s="579">
        <v>0.0</v>
      </c>
      <c r="U217" s="579">
        <v>0.0</v>
      </c>
      <c r="V217" s="579">
        <v>0.0</v>
      </c>
      <c r="W217" s="579"/>
      <c r="X217" s="579">
        <v>0.0</v>
      </c>
      <c r="Y217" s="579">
        <v>0.0</v>
      </c>
      <c r="Z217" s="569"/>
      <c r="AA217" s="579">
        <v>100000.0</v>
      </c>
    </row>
    <row r="218" ht="12.75" customHeight="1" outlineLevel="1">
      <c r="A218" s="569"/>
      <c r="B218" s="578" t="s">
        <v>1447</v>
      </c>
      <c r="D218" s="579">
        <v>0.0</v>
      </c>
      <c r="E218" s="579">
        <v>0.0</v>
      </c>
      <c r="F218" s="579">
        <v>0.0</v>
      </c>
      <c r="G218" s="579">
        <v>0.0</v>
      </c>
      <c r="H218" s="579">
        <v>0.0</v>
      </c>
      <c r="I218" s="569"/>
      <c r="J218" s="579">
        <v>0.0</v>
      </c>
      <c r="K218" s="579">
        <v>0.0</v>
      </c>
      <c r="L218" s="579">
        <v>0.0</v>
      </c>
      <c r="M218" s="579">
        <v>0.0</v>
      </c>
      <c r="N218" s="579">
        <v>0.0</v>
      </c>
      <c r="O218" s="579">
        <v>0.0</v>
      </c>
      <c r="P218" s="579">
        <v>0.0</v>
      </c>
      <c r="Q218" s="569"/>
      <c r="R218" s="579">
        <v>0.0</v>
      </c>
      <c r="S218" s="569"/>
      <c r="T218" s="579">
        <v>0.0</v>
      </c>
      <c r="U218" s="579">
        <v>0.0</v>
      </c>
      <c r="V218" s="579">
        <v>0.0</v>
      </c>
      <c r="W218" s="579"/>
      <c r="X218" s="579">
        <v>0.0</v>
      </c>
      <c r="Y218" s="579">
        <v>0.0</v>
      </c>
      <c r="Z218" s="569"/>
      <c r="AA218" s="579">
        <v>0.0</v>
      </c>
    </row>
    <row r="219" ht="12.75" customHeight="1" outlineLevel="1">
      <c r="A219" s="569"/>
      <c r="B219" s="578" t="s">
        <v>1448</v>
      </c>
      <c r="D219" s="579">
        <v>3476.92307692308</v>
      </c>
      <c r="E219" s="579">
        <v>3617.14285714286</v>
      </c>
      <c r="F219" s="579">
        <v>0.0</v>
      </c>
      <c r="G219" s="579">
        <v>0.0</v>
      </c>
      <c r="H219" s="579">
        <v>7094.06593406593</v>
      </c>
      <c r="I219" s="569"/>
      <c r="J219" s="579">
        <v>0.0</v>
      </c>
      <c r="K219" s="579">
        <v>0.0</v>
      </c>
      <c r="L219" s="579">
        <v>0.0</v>
      </c>
      <c r="M219" s="579">
        <v>0.0</v>
      </c>
      <c r="N219" s="579">
        <v>0.0</v>
      </c>
      <c r="O219" s="579">
        <v>0.0</v>
      </c>
      <c r="P219" s="579">
        <v>0.0</v>
      </c>
      <c r="Q219" s="569"/>
      <c r="R219" s="579">
        <v>7094.06593406593</v>
      </c>
      <c r="S219" s="569"/>
      <c r="T219" s="579">
        <v>0.0</v>
      </c>
      <c r="U219" s="579">
        <v>0.0</v>
      </c>
      <c r="V219" s="579">
        <v>0.0</v>
      </c>
      <c r="W219" s="579"/>
      <c r="X219" s="579">
        <v>0.0</v>
      </c>
      <c r="Y219" s="579">
        <v>0.0</v>
      </c>
      <c r="Z219" s="569"/>
      <c r="AA219" s="579">
        <v>7094.06593406593</v>
      </c>
    </row>
    <row r="220" ht="2.25" customHeight="1" outlineLevel="1">
      <c r="A220" s="569"/>
      <c r="B220" s="569"/>
      <c r="D220" s="571"/>
      <c r="E220" s="571"/>
      <c r="F220" s="571"/>
      <c r="G220" s="571"/>
      <c r="H220" s="571"/>
      <c r="I220" s="569"/>
      <c r="J220" s="571"/>
      <c r="K220" s="571"/>
      <c r="L220" s="571"/>
      <c r="M220" s="571"/>
      <c r="N220" s="571"/>
      <c r="O220" s="571"/>
      <c r="P220" s="571"/>
      <c r="Q220" s="569"/>
      <c r="R220" s="571"/>
      <c r="S220" s="569"/>
      <c r="T220" s="571"/>
      <c r="U220" s="571"/>
      <c r="V220" s="571"/>
      <c r="W220" s="571"/>
      <c r="X220" s="571"/>
      <c r="Y220" s="571"/>
      <c r="Z220" s="569"/>
      <c r="AA220" s="571"/>
    </row>
    <row r="221" ht="12.75" customHeight="1" outlineLevel="1">
      <c r="A221" s="569"/>
      <c r="B221" s="569" t="s">
        <v>1449</v>
      </c>
      <c r="D221" s="571"/>
      <c r="E221" s="571"/>
      <c r="F221" s="571"/>
      <c r="G221" s="571"/>
      <c r="H221" s="571"/>
      <c r="I221" s="569"/>
      <c r="J221" s="571"/>
      <c r="K221" s="571"/>
      <c r="L221" s="571"/>
      <c r="M221" s="571"/>
      <c r="N221" s="571"/>
      <c r="O221" s="571"/>
      <c r="P221" s="571"/>
      <c r="Q221" s="569"/>
      <c r="R221" s="571"/>
      <c r="S221" s="569"/>
      <c r="T221" s="571"/>
      <c r="U221" s="571"/>
      <c r="V221" s="571"/>
      <c r="W221" s="571"/>
      <c r="X221" s="571"/>
      <c r="Y221" s="571"/>
      <c r="Z221" s="569"/>
      <c r="AA221" s="571"/>
    </row>
    <row r="222" ht="12.75" customHeight="1" outlineLevel="1">
      <c r="A222" s="569"/>
      <c r="B222" s="578" t="s">
        <v>1450</v>
      </c>
      <c r="D222" s="579">
        <v>1800.0</v>
      </c>
      <c r="E222" s="579">
        <v>1800.0</v>
      </c>
      <c r="F222" s="579">
        <v>0.0</v>
      </c>
      <c r="G222" s="579">
        <v>0.0</v>
      </c>
      <c r="H222" s="579">
        <v>3600.0</v>
      </c>
      <c r="I222" s="569"/>
      <c r="J222" s="579">
        <v>0.0</v>
      </c>
      <c r="K222" s="579">
        <v>0.0</v>
      </c>
      <c r="L222" s="579">
        <v>0.0</v>
      </c>
      <c r="M222" s="579">
        <v>0.0</v>
      </c>
      <c r="N222" s="579">
        <v>0.0</v>
      </c>
      <c r="O222" s="579">
        <v>0.0</v>
      </c>
      <c r="P222" s="579">
        <v>0.0</v>
      </c>
      <c r="Q222" s="569"/>
      <c r="R222" s="579">
        <v>3600.0</v>
      </c>
      <c r="S222" s="569"/>
      <c r="T222" s="579">
        <v>0.0</v>
      </c>
      <c r="U222" s="579">
        <v>0.0</v>
      </c>
      <c r="V222" s="579">
        <v>0.0</v>
      </c>
      <c r="W222" s="579"/>
      <c r="X222" s="579">
        <v>0.0</v>
      </c>
      <c r="Y222" s="579">
        <v>0.0</v>
      </c>
      <c r="Z222" s="569"/>
      <c r="AA222" s="579">
        <v>3600.0</v>
      </c>
    </row>
    <row r="223" ht="12.75" customHeight="1" outlineLevel="1">
      <c r="A223" s="569"/>
      <c r="B223" s="578" t="s">
        <v>1451</v>
      </c>
      <c r="D223" s="579">
        <v>0.0</v>
      </c>
      <c r="E223" s="579">
        <v>0.0</v>
      </c>
      <c r="F223" s="579">
        <v>0.0</v>
      </c>
      <c r="G223" s="579">
        <v>0.0</v>
      </c>
      <c r="H223" s="579">
        <v>0.0</v>
      </c>
      <c r="I223" s="569"/>
      <c r="J223" s="579">
        <v>0.0</v>
      </c>
      <c r="K223" s="579">
        <v>0.0</v>
      </c>
      <c r="L223" s="579">
        <v>0.0</v>
      </c>
      <c r="M223" s="579">
        <v>0.0</v>
      </c>
      <c r="N223" s="579">
        <v>0.0</v>
      </c>
      <c r="O223" s="579">
        <v>0.0</v>
      </c>
      <c r="P223" s="579">
        <v>0.0</v>
      </c>
      <c r="Q223" s="569"/>
      <c r="R223" s="579">
        <v>0.0</v>
      </c>
      <c r="S223" s="569"/>
      <c r="T223" s="579">
        <v>0.0</v>
      </c>
      <c r="U223" s="579">
        <v>0.0</v>
      </c>
      <c r="V223" s="579">
        <v>0.0</v>
      </c>
      <c r="W223" s="579"/>
      <c r="X223" s="579">
        <v>0.0</v>
      </c>
      <c r="Y223" s="579">
        <v>0.0</v>
      </c>
      <c r="Z223" s="569"/>
      <c r="AA223" s="579">
        <v>0.0</v>
      </c>
    </row>
    <row r="224" ht="12.75" customHeight="1" outlineLevel="1">
      <c r="A224" s="569"/>
      <c r="B224" s="578" t="s">
        <v>1452</v>
      </c>
      <c r="D224" s="579">
        <v>0.0</v>
      </c>
      <c r="E224" s="579">
        <v>0.0</v>
      </c>
      <c r="F224" s="579">
        <v>0.0</v>
      </c>
      <c r="G224" s="579">
        <v>0.0</v>
      </c>
      <c r="H224" s="579">
        <v>0.0</v>
      </c>
      <c r="I224" s="569"/>
      <c r="J224" s="579">
        <v>0.0</v>
      </c>
      <c r="K224" s="579">
        <v>1800.0</v>
      </c>
      <c r="L224" s="579">
        <v>2550.0</v>
      </c>
      <c r="M224" s="579">
        <v>900.0</v>
      </c>
      <c r="N224" s="579">
        <v>900.0</v>
      </c>
      <c r="O224" s="579">
        <v>300.0</v>
      </c>
      <c r="P224" s="579">
        <v>6450.0</v>
      </c>
      <c r="Q224" s="569"/>
      <c r="R224" s="579">
        <v>6450.0</v>
      </c>
      <c r="S224" s="569"/>
      <c r="T224" s="579">
        <v>0.0</v>
      </c>
      <c r="U224" s="579">
        <v>0.0</v>
      </c>
      <c r="V224" s="579">
        <v>0.0</v>
      </c>
      <c r="W224" s="579"/>
      <c r="X224" s="579">
        <v>637.5</v>
      </c>
      <c r="Y224" s="579">
        <v>637.5</v>
      </c>
      <c r="Z224" s="569"/>
      <c r="AA224" s="579">
        <v>7087.5</v>
      </c>
    </row>
    <row r="225" ht="12.75" customHeight="1" outlineLevel="1">
      <c r="A225" s="569"/>
      <c r="B225" s="578" t="s">
        <v>1453</v>
      </c>
      <c r="D225" s="579">
        <v>1800.0</v>
      </c>
      <c r="E225" s="579">
        <v>1800.0</v>
      </c>
      <c r="F225" s="579">
        <v>0.0</v>
      </c>
      <c r="G225" s="579">
        <v>0.0</v>
      </c>
      <c r="H225" s="579">
        <v>3600.0</v>
      </c>
      <c r="I225" s="569"/>
      <c r="J225" s="579">
        <v>0.0</v>
      </c>
      <c r="K225" s="579">
        <v>0.0</v>
      </c>
      <c r="L225" s="579">
        <v>1950.0</v>
      </c>
      <c r="M225" s="579">
        <v>0.0</v>
      </c>
      <c r="N225" s="579">
        <v>0.0</v>
      </c>
      <c r="O225" s="579">
        <v>0.0</v>
      </c>
      <c r="P225" s="579">
        <v>1950.0</v>
      </c>
      <c r="Q225" s="569"/>
      <c r="R225" s="579">
        <v>5550.0</v>
      </c>
      <c r="S225" s="569"/>
      <c r="T225" s="579">
        <v>0.0</v>
      </c>
      <c r="U225" s="579">
        <v>0.0</v>
      </c>
      <c r="V225" s="579">
        <v>0.0</v>
      </c>
      <c r="W225" s="579"/>
      <c r="X225" s="579">
        <v>0.0</v>
      </c>
      <c r="Y225" s="579">
        <v>0.0</v>
      </c>
      <c r="Z225" s="569"/>
      <c r="AA225" s="579">
        <v>5550.0</v>
      </c>
    </row>
    <row r="226" ht="12.75" customHeight="1" outlineLevel="1">
      <c r="A226" s="569"/>
      <c r="B226" s="578" t="s">
        <v>1454</v>
      </c>
      <c r="D226" s="579">
        <v>1158.97435897436</v>
      </c>
      <c r="E226" s="579">
        <v>1205.71428571429</v>
      </c>
      <c r="F226" s="579">
        <v>0.0</v>
      </c>
      <c r="G226" s="579">
        <v>0.0</v>
      </c>
      <c r="H226" s="579">
        <v>2364.68864468864</v>
      </c>
      <c r="I226" s="569"/>
      <c r="J226" s="579">
        <v>0.0</v>
      </c>
      <c r="K226" s="579">
        <v>0.0</v>
      </c>
      <c r="L226" s="579">
        <v>0.0</v>
      </c>
      <c r="M226" s="579">
        <v>0.0</v>
      </c>
      <c r="N226" s="579">
        <v>0.0</v>
      </c>
      <c r="O226" s="579">
        <v>0.0</v>
      </c>
      <c r="P226" s="579">
        <v>0.0</v>
      </c>
      <c r="Q226" s="569"/>
      <c r="R226" s="579">
        <v>2364.68864468864</v>
      </c>
      <c r="S226" s="569"/>
      <c r="T226" s="579">
        <v>0.0</v>
      </c>
      <c r="U226" s="579">
        <v>0.0</v>
      </c>
      <c r="V226" s="579">
        <v>0.0</v>
      </c>
      <c r="W226" s="579"/>
      <c r="X226" s="579">
        <v>0.0</v>
      </c>
      <c r="Y226" s="579">
        <v>0.0</v>
      </c>
      <c r="Z226" s="569"/>
      <c r="AA226" s="579">
        <v>2364.68864468864</v>
      </c>
    </row>
    <row r="227" ht="12.75" customHeight="1" outlineLevel="1">
      <c r="A227" s="569"/>
      <c r="B227" s="578" t="s">
        <v>1455</v>
      </c>
      <c r="D227" s="579">
        <v>1084.8</v>
      </c>
      <c r="E227" s="579">
        <v>1012.8</v>
      </c>
      <c r="F227" s="579">
        <v>0.0</v>
      </c>
      <c r="G227" s="579">
        <v>0.0</v>
      </c>
      <c r="H227" s="579">
        <v>2097.6</v>
      </c>
      <c r="I227" s="569"/>
      <c r="J227" s="579">
        <v>0.0</v>
      </c>
      <c r="K227" s="579">
        <v>0.0</v>
      </c>
      <c r="L227" s="579">
        <v>0.0</v>
      </c>
      <c r="M227" s="579">
        <v>0.0</v>
      </c>
      <c r="N227" s="579">
        <v>0.0</v>
      </c>
      <c r="O227" s="579">
        <v>0.0</v>
      </c>
      <c r="P227" s="579">
        <v>0.0</v>
      </c>
      <c r="Q227" s="569"/>
      <c r="R227" s="579">
        <v>2097.6</v>
      </c>
      <c r="S227" s="569"/>
      <c r="T227" s="579">
        <v>0.0</v>
      </c>
      <c r="U227" s="579">
        <v>0.0</v>
      </c>
      <c r="V227" s="579">
        <v>0.0</v>
      </c>
      <c r="W227" s="579"/>
      <c r="X227" s="579">
        <v>0.0</v>
      </c>
      <c r="Y227" s="579">
        <v>0.0</v>
      </c>
      <c r="Z227" s="569"/>
      <c r="AA227" s="579">
        <v>2097.6</v>
      </c>
    </row>
    <row r="228" ht="2.25" customHeight="1" outlineLevel="1">
      <c r="A228" s="569"/>
      <c r="B228" s="569"/>
      <c r="D228" s="571"/>
      <c r="E228" s="571"/>
      <c r="F228" s="571"/>
      <c r="G228" s="571"/>
      <c r="H228" s="571"/>
      <c r="I228" s="569"/>
      <c r="J228" s="571"/>
      <c r="K228" s="571"/>
      <c r="L228" s="571"/>
      <c r="M228" s="571"/>
      <c r="N228" s="571"/>
      <c r="O228" s="571"/>
      <c r="P228" s="571"/>
      <c r="Q228" s="569"/>
      <c r="R228" s="571"/>
      <c r="S228" s="569"/>
      <c r="T228" s="571"/>
      <c r="U228" s="571"/>
      <c r="V228" s="571"/>
      <c r="W228" s="571"/>
      <c r="X228" s="571"/>
      <c r="Y228" s="571"/>
      <c r="Z228" s="569"/>
      <c r="AA228" s="571"/>
    </row>
    <row r="229" ht="12.75" customHeight="1">
      <c r="A229" s="569"/>
      <c r="B229" s="572" t="s">
        <v>1456</v>
      </c>
      <c r="D229" s="582">
        <v>1303574.4096359</v>
      </c>
      <c r="E229" s="582">
        <v>1570832.07186067</v>
      </c>
      <c r="F229" s="582">
        <v>213930.0</v>
      </c>
      <c r="G229" s="582">
        <v>62500.0</v>
      </c>
      <c r="H229" s="582">
        <v>3150836.48149656</v>
      </c>
      <c r="I229" s="569"/>
      <c r="J229" s="582">
        <v>255700.0</v>
      </c>
      <c r="K229" s="582">
        <v>106281.0</v>
      </c>
      <c r="L229" s="582">
        <v>182100.0</v>
      </c>
      <c r="M229" s="582">
        <v>162900.0</v>
      </c>
      <c r="N229" s="582">
        <v>140900.0</v>
      </c>
      <c r="O229" s="582">
        <v>107066.329375</v>
      </c>
      <c r="P229" s="582">
        <v>954947.329375</v>
      </c>
      <c r="Q229" s="569"/>
      <c r="R229" s="582">
        <v>4105783.81087156</v>
      </c>
      <c r="S229" s="569"/>
      <c r="T229" s="582">
        <v>187618.75</v>
      </c>
      <c r="U229" s="582">
        <v>72818.75</v>
      </c>
      <c r="V229" s="582">
        <v>0.0</v>
      </c>
      <c r="W229" s="582"/>
      <c r="X229" s="582">
        <v>130637.5</v>
      </c>
      <c r="Y229" s="582">
        <v>391075.0</v>
      </c>
      <c r="Z229" s="569"/>
      <c r="AA229" s="582">
        <v>4474044.85331156</v>
      </c>
    </row>
    <row r="230" ht="2.25" customHeight="1">
      <c r="A230" s="569"/>
      <c r="B230" s="569"/>
      <c r="D230" s="571"/>
      <c r="E230" s="571"/>
      <c r="F230" s="571"/>
      <c r="G230" s="571"/>
      <c r="H230" s="571"/>
      <c r="I230" s="569"/>
      <c r="J230" s="571"/>
      <c r="K230" s="571"/>
      <c r="L230" s="571"/>
      <c r="M230" s="571"/>
      <c r="N230" s="571"/>
      <c r="O230" s="571"/>
      <c r="P230" s="571"/>
      <c r="Q230" s="569"/>
      <c r="R230" s="571"/>
      <c r="S230" s="569"/>
      <c r="T230" s="571"/>
      <c r="U230" s="571"/>
      <c r="V230" s="571"/>
      <c r="W230" s="571"/>
      <c r="X230" s="571"/>
      <c r="Y230" s="571"/>
      <c r="Z230" s="569"/>
      <c r="AA230" s="571"/>
    </row>
    <row r="231" ht="12.75" hidden="1" customHeight="1" outlineLevel="1">
      <c r="A231" s="569"/>
      <c r="B231" s="572" t="s">
        <v>1457</v>
      </c>
      <c r="D231" s="571"/>
      <c r="E231" s="571"/>
      <c r="F231" s="571"/>
      <c r="G231" s="571"/>
      <c r="H231" s="571"/>
      <c r="I231" s="569"/>
      <c r="J231" s="571"/>
      <c r="K231" s="571"/>
      <c r="L231" s="571"/>
      <c r="M231" s="571"/>
      <c r="N231" s="571"/>
      <c r="O231" s="571"/>
      <c r="P231" s="571"/>
      <c r="Q231" s="569"/>
      <c r="R231" s="571"/>
      <c r="S231" s="569"/>
      <c r="T231" s="571"/>
      <c r="U231" s="571"/>
      <c r="V231" s="571"/>
      <c r="W231" s="571"/>
      <c r="X231" s="571"/>
      <c r="Y231" s="571"/>
      <c r="Z231" s="569"/>
      <c r="AA231" s="571"/>
    </row>
    <row r="232" ht="12.75" hidden="1" customHeight="1" outlineLevel="1">
      <c r="A232" s="569"/>
      <c r="B232" s="578" t="s">
        <v>1458</v>
      </c>
      <c r="D232" s="579">
        <v>0.0</v>
      </c>
      <c r="E232" s="579">
        <v>0.0</v>
      </c>
      <c r="F232" s="579">
        <v>0.0</v>
      </c>
      <c r="G232" s="579">
        <v>0.0</v>
      </c>
      <c r="H232" s="579">
        <v>0.0</v>
      </c>
      <c r="I232" s="569"/>
      <c r="J232" s="579">
        <v>0.0</v>
      </c>
      <c r="K232" s="579">
        <v>0.0</v>
      </c>
      <c r="L232" s="579">
        <v>0.0</v>
      </c>
      <c r="M232" s="579">
        <v>0.0</v>
      </c>
      <c r="N232" s="579">
        <v>0.0</v>
      </c>
      <c r="O232" s="579">
        <v>0.0</v>
      </c>
      <c r="P232" s="579">
        <v>0.0</v>
      </c>
      <c r="Q232" s="569"/>
      <c r="R232" s="579">
        <v>0.0</v>
      </c>
      <c r="S232" s="569"/>
      <c r="T232" s="579">
        <v>0.0</v>
      </c>
      <c r="U232" s="579">
        <v>12000.0</v>
      </c>
      <c r="V232" s="579">
        <v>0.0</v>
      </c>
      <c r="W232" s="579"/>
      <c r="X232" s="579">
        <v>0.0</v>
      </c>
      <c r="Y232" s="579">
        <v>12000.0</v>
      </c>
      <c r="Z232" s="569"/>
      <c r="AA232" s="579">
        <v>12000.0</v>
      </c>
    </row>
    <row r="233" ht="12.75" hidden="1" customHeight="1" outlineLevel="1">
      <c r="A233" s="569"/>
      <c r="B233" s="578" t="s">
        <v>1459</v>
      </c>
      <c r="D233" s="579">
        <v>7500.0</v>
      </c>
      <c r="E233" s="579">
        <v>0.0</v>
      </c>
      <c r="F233" s="579">
        <v>0.0</v>
      </c>
      <c r="G233" s="579">
        <v>0.0</v>
      </c>
      <c r="H233" s="579">
        <v>7500.0</v>
      </c>
      <c r="I233" s="569"/>
      <c r="J233" s="579">
        <v>0.0</v>
      </c>
      <c r="K233" s="579">
        <v>0.0</v>
      </c>
      <c r="L233" s="579">
        <v>0.0</v>
      </c>
      <c r="M233" s="579">
        <v>0.0</v>
      </c>
      <c r="N233" s="579">
        <v>0.0</v>
      </c>
      <c r="O233" s="579">
        <v>0.0</v>
      </c>
      <c r="P233" s="579">
        <v>0.0</v>
      </c>
      <c r="Q233" s="569"/>
      <c r="R233" s="579">
        <v>7500.0</v>
      </c>
      <c r="S233" s="569"/>
      <c r="T233" s="579">
        <v>0.0</v>
      </c>
      <c r="U233" s="579">
        <v>35500.0</v>
      </c>
      <c r="V233" s="579">
        <v>0.0</v>
      </c>
      <c r="W233" s="579"/>
      <c r="X233" s="579">
        <v>0.0</v>
      </c>
      <c r="Y233" s="579">
        <v>35500.0</v>
      </c>
      <c r="Z233" s="569"/>
      <c r="AA233" s="579">
        <v>43000.0</v>
      </c>
    </row>
    <row r="234" ht="12.75" hidden="1" customHeight="1" outlineLevel="1">
      <c r="A234" s="569"/>
      <c r="B234" s="578" t="s">
        <v>1460</v>
      </c>
      <c r="D234" s="579">
        <v>-7500.0</v>
      </c>
      <c r="E234" s="579">
        <v>0.0</v>
      </c>
      <c r="F234" s="579">
        <v>0.0</v>
      </c>
      <c r="G234" s="579">
        <v>0.0</v>
      </c>
      <c r="H234" s="579">
        <v>-7500.0</v>
      </c>
      <c r="I234" s="569"/>
      <c r="J234" s="579">
        <v>0.0</v>
      </c>
      <c r="K234" s="579">
        <v>0.0</v>
      </c>
      <c r="L234" s="579">
        <v>0.0</v>
      </c>
      <c r="M234" s="579">
        <v>0.0</v>
      </c>
      <c r="N234" s="579">
        <v>0.0</v>
      </c>
      <c r="O234" s="579">
        <v>0.0</v>
      </c>
      <c r="P234" s="579">
        <v>0.0</v>
      </c>
      <c r="Q234" s="569"/>
      <c r="R234" s="579">
        <v>-7500.0</v>
      </c>
      <c r="S234" s="569"/>
      <c r="T234" s="579">
        <v>0.0</v>
      </c>
      <c r="U234" s="579">
        <v>-47500.0</v>
      </c>
      <c r="V234" s="579">
        <v>0.0</v>
      </c>
      <c r="W234" s="579"/>
      <c r="X234" s="579">
        <v>0.0</v>
      </c>
      <c r="Y234" s="579">
        <v>-47500.0</v>
      </c>
      <c r="Z234" s="569"/>
      <c r="AA234" s="579">
        <v>-47500.0</v>
      </c>
    </row>
    <row r="235" ht="12.75" hidden="1" customHeight="1" outlineLevel="1">
      <c r="A235" s="569"/>
      <c r="B235" s="580" t="s">
        <v>1461</v>
      </c>
      <c r="D235" s="581">
        <v>1500.0</v>
      </c>
      <c r="E235" s="581">
        <v>0.0</v>
      </c>
      <c r="F235" s="581">
        <v>0.0</v>
      </c>
      <c r="G235" s="581">
        <v>0.0</v>
      </c>
      <c r="H235" s="581">
        <v>1500.0</v>
      </c>
      <c r="I235" s="569"/>
      <c r="J235" s="581">
        <v>0.0</v>
      </c>
      <c r="K235" s="581">
        <v>0.0</v>
      </c>
      <c r="L235" s="581">
        <v>0.0</v>
      </c>
      <c r="M235" s="581">
        <v>0.0</v>
      </c>
      <c r="N235" s="581">
        <v>0.0</v>
      </c>
      <c r="O235" s="581">
        <v>0.0</v>
      </c>
      <c r="P235" s="581">
        <v>0.0</v>
      </c>
      <c r="Q235" s="569"/>
      <c r="R235" s="581">
        <v>1500.0</v>
      </c>
      <c r="S235" s="569"/>
      <c r="T235" s="581">
        <v>301950.083205263</v>
      </c>
      <c r="U235" s="581">
        <v>228202.597222222</v>
      </c>
      <c r="V235" s="581">
        <v>14285.7142857143</v>
      </c>
      <c r="W235" s="581"/>
      <c r="X235" s="581">
        <v>0.0</v>
      </c>
      <c r="Y235" s="581">
        <v>544438.3947132</v>
      </c>
      <c r="Z235" s="569"/>
      <c r="AA235" s="581">
        <v>545271.728046533</v>
      </c>
    </row>
    <row r="236" ht="12.75" customHeight="1">
      <c r="A236" s="572"/>
      <c r="B236" s="572" t="s">
        <v>1462</v>
      </c>
      <c r="D236" s="582">
        <v>1500.0</v>
      </c>
      <c r="E236" s="582">
        <v>0.0</v>
      </c>
      <c r="F236" s="582">
        <v>0.0</v>
      </c>
      <c r="G236" s="582">
        <v>0.0</v>
      </c>
      <c r="H236" s="582">
        <v>1500.0</v>
      </c>
      <c r="I236" s="569"/>
      <c r="J236" s="582">
        <v>0.0</v>
      </c>
      <c r="K236" s="582">
        <v>0.0</v>
      </c>
      <c r="L236" s="582">
        <v>0.0</v>
      </c>
      <c r="M236" s="582">
        <v>0.0</v>
      </c>
      <c r="N236" s="582">
        <v>0.0</v>
      </c>
      <c r="O236" s="582">
        <v>0.0</v>
      </c>
      <c r="P236" s="582">
        <v>0.0</v>
      </c>
      <c r="Q236" s="569"/>
      <c r="R236" s="582">
        <v>1500.0</v>
      </c>
      <c r="S236" s="569"/>
      <c r="T236" s="582">
        <v>301950.083205263</v>
      </c>
      <c r="U236" s="582">
        <v>228202.597222222</v>
      </c>
      <c r="V236" s="582">
        <v>14285.7142857143</v>
      </c>
      <c r="W236" s="582"/>
      <c r="X236" s="582">
        <v>0.0</v>
      </c>
      <c r="Y236" s="582">
        <v>544438.3947132</v>
      </c>
      <c r="Z236" s="569"/>
      <c r="AA236" s="582">
        <v>552771.728046533</v>
      </c>
    </row>
    <row r="237" ht="12.75" hidden="1" customHeight="1" outlineLevel="1">
      <c r="A237" s="569"/>
      <c r="B237" s="572" t="s">
        <v>279</v>
      </c>
      <c r="D237" s="571"/>
      <c r="E237" s="571"/>
      <c r="F237" s="571"/>
      <c r="G237" s="571"/>
      <c r="H237" s="571"/>
      <c r="I237" s="569"/>
      <c r="J237" s="571"/>
      <c r="K237" s="571"/>
      <c r="L237" s="571"/>
      <c r="M237" s="571"/>
      <c r="N237" s="571"/>
      <c r="O237" s="571"/>
      <c r="P237" s="571"/>
      <c r="Q237" s="569"/>
      <c r="R237" s="571"/>
      <c r="S237" s="569"/>
      <c r="T237" s="571"/>
      <c r="U237" s="571"/>
      <c r="V237" s="571"/>
      <c r="W237" s="571"/>
      <c r="X237" s="571"/>
      <c r="Y237" s="571"/>
      <c r="Z237" s="569"/>
      <c r="AA237" s="571"/>
    </row>
    <row r="238" ht="12.75" hidden="1" customHeight="1" outlineLevel="1">
      <c r="A238" s="569"/>
      <c r="B238" s="569" t="s">
        <v>1463</v>
      </c>
      <c r="D238" s="579">
        <v>32000.0</v>
      </c>
      <c r="E238" s="579">
        <v>34000.0</v>
      </c>
      <c r="F238" s="579">
        <v>0.0</v>
      </c>
      <c r="G238" s="579">
        <v>0.0</v>
      </c>
      <c r="H238" s="579">
        <v>66000.0</v>
      </c>
      <c r="I238" s="569"/>
      <c r="J238" s="579">
        <v>74673.5979</v>
      </c>
      <c r="K238" s="579">
        <v>0.0</v>
      </c>
      <c r="L238" s="579">
        <v>0.0</v>
      </c>
      <c r="M238" s="579">
        <v>0.0</v>
      </c>
      <c r="N238" s="579">
        <v>0.0</v>
      </c>
      <c r="O238" s="579">
        <v>0.0</v>
      </c>
      <c r="P238" s="579">
        <v>74673.5979</v>
      </c>
      <c r="Q238" s="569"/>
      <c r="R238" s="579">
        <v>140673.5979</v>
      </c>
      <c r="S238" s="569"/>
      <c r="T238" s="579">
        <v>10273.4739200001</v>
      </c>
      <c r="U238" s="579">
        <v>10345.61352</v>
      </c>
      <c r="V238" s="579">
        <v>0.0</v>
      </c>
      <c r="W238" s="579"/>
      <c r="X238" s="579">
        <v>0.0</v>
      </c>
      <c r="Y238" s="579">
        <v>20619.0874400002</v>
      </c>
      <c r="Z238" s="569"/>
      <c r="AA238" s="579">
        <v>297317.377182184</v>
      </c>
    </row>
    <row r="239" ht="12.75" hidden="1" customHeight="1" outlineLevel="1">
      <c r="A239" s="569"/>
      <c r="B239" s="569" t="s">
        <v>1464</v>
      </c>
      <c r="D239" s="579">
        <v>9000.0</v>
      </c>
      <c r="E239" s="579">
        <v>11842.1095890411</v>
      </c>
      <c r="F239" s="579">
        <v>9945.20547945206</v>
      </c>
      <c r="G239" s="579">
        <v>0.0</v>
      </c>
      <c r="H239" s="579">
        <v>30787.3150684932</v>
      </c>
      <c r="I239" s="569"/>
      <c r="J239" s="579">
        <v>0.0</v>
      </c>
      <c r="K239" s="579">
        <v>0.0</v>
      </c>
      <c r="L239" s="579">
        <v>0.0</v>
      </c>
      <c r="M239" s="579">
        <v>119046.575342466</v>
      </c>
      <c r="N239" s="579">
        <v>0.0</v>
      </c>
      <c r="O239" s="579">
        <v>0.0</v>
      </c>
      <c r="P239" s="579">
        <v>119046.575342466</v>
      </c>
      <c r="Q239" s="569"/>
      <c r="R239" s="579">
        <v>149833.890410959</v>
      </c>
      <c r="S239" s="569"/>
      <c r="T239" s="579">
        <v>299250.0</v>
      </c>
      <c r="U239" s="579">
        <v>294666.666666667</v>
      </c>
      <c r="V239" s="579">
        <v>5000.0</v>
      </c>
      <c r="W239" s="579"/>
      <c r="X239" s="579">
        <v>0.0</v>
      </c>
      <c r="Y239" s="579">
        <v>598916.666666667</v>
      </c>
      <c r="Z239" s="569"/>
      <c r="AA239" s="579">
        <v>748750.557077626</v>
      </c>
    </row>
    <row r="240" ht="12.75" customHeight="1">
      <c r="A240" s="569"/>
      <c r="B240" s="572" t="s">
        <v>1465</v>
      </c>
      <c r="D240" s="582">
        <v>41000.0</v>
      </c>
      <c r="E240" s="582">
        <v>45842.1095890411</v>
      </c>
      <c r="F240" s="582">
        <v>9945.20547945206</v>
      </c>
      <c r="G240" s="582">
        <v>0.0</v>
      </c>
      <c r="H240" s="582">
        <v>96787.3150684932</v>
      </c>
      <c r="I240" s="569"/>
      <c r="J240" s="582">
        <v>74673.5979</v>
      </c>
      <c r="K240" s="582">
        <v>0.0</v>
      </c>
      <c r="L240" s="582">
        <v>0.0</v>
      </c>
      <c r="M240" s="582">
        <v>119046.575342466</v>
      </c>
      <c r="N240" s="582">
        <v>0.0</v>
      </c>
      <c r="O240" s="582">
        <v>0.0</v>
      </c>
      <c r="P240" s="582">
        <v>193720.173242466</v>
      </c>
      <c r="Q240" s="569"/>
      <c r="R240" s="582">
        <v>290507.488310959</v>
      </c>
      <c r="S240" s="569"/>
      <c r="T240" s="582">
        <v>309523.47392</v>
      </c>
      <c r="U240" s="582">
        <v>305012.280186667</v>
      </c>
      <c r="V240" s="582">
        <v>5000.0</v>
      </c>
      <c r="W240" s="582"/>
      <c r="X240" s="582">
        <v>0.0</v>
      </c>
      <c r="Y240" s="582">
        <v>619535.754106667</v>
      </c>
      <c r="Z240" s="569"/>
      <c r="AA240" s="582">
        <v>1046067.93425981</v>
      </c>
    </row>
    <row r="241" ht="2.25" customHeight="1">
      <c r="A241" s="569"/>
      <c r="B241" s="569"/>
      <c r="D241" s="571"/>
      <c r="E241" s="571"/>
      <c r="F241" s="571"/>
      <c r="G241" s="571"/>
      <c r="H241" s="571"/>
      <c r="I241" s="569"/>
      <c r="J241" s="571"/>
      <c r="K241" s="571"/>
      <c r="L241" s="571"/>
      <c r="M241" s="571"/>
      <c r="N241" s="571"/>
      <c r="O241" s="571"/>
      <c r="P241" s="571"/>
      <c r="Q241" s="569"/>
      <c r="R241" s="571"/>
      <c r="S241" s="569"/>
      <c r="T241" s="571"/>
      <c r="U241" s="571"/>
      <c r="V241" s="571"/>
      <c r="W241" s="571"/>
      <c r="X241" s="571"/>
      <c r="Y241" s="571"/>
      <c r="Z241" s="569"/>
      <c r="AA241" s="571"/>
    </row>
    <row r="242" ht="12.75" customHeight="1">
      <c r="A242" s="569"/>
      <c r="B242" s="586" t="s">
        <v>231</v>
      </c>
      <c r="D242" s="587">
        <v>3225258.70209252</v>
      </c>
      <c r="E242" s="587">
        <v>3439328.4995864</v>
      </c>
      <c r="F242" s="587">
        <v>369362.397479452</v>
      </c>
      <c r="G242" s="587">
        <v>62500.0</v>
      </c>
      <c r="H242" s="587">
        <v>7096449.59915837</v>
      </c>
      <c r="I242" s="569"/>
      <c r="J242" s="587">
        <v>460918.3264</v>
      </c>
      <c r="K242" s="587">
        <v>344091.88</v>
      </c>
      <c r="L242" s="587">
        <v>561196.873</v>
      </c>
      <c r="M242" s="587">
        <v>456520.325342466</v>
      </c>
      <c r="N242" s="587">
        <v>303453.7</v>
      </c>
      <c r="O242" s="587">
        <v>143159.479375</v>
      </c>
      <c r="P242" s="587">
        <v>2269340.58411747</v>
      </c>
      <c r="Q242" s="569"/>
      <c r="R242" s="587">
        <v>9365790.18327583</v>
      </c>
      <c r="S242" s="569"/>
      <c r="T242" s="587">
        <v>799092.307125263</v>
      </c>
      <c r="U242" s="587">
        <v>606033.627408889</v>
      </c>
      <c r="V242" s="587">
        <v>19285.7142857143</v>
      </c>
      <c r="W242" s="587">
        <v>0.0</v>
      </c>
      <c r="X242" s="587">
        <v>190403.829375</v>
      </c>
      <c r="Y242" s="587">
        <v>1614815.47819487</v>
      </c>
      <c r="Z242" s="569"/>
      <c r="AA242" s="587">
        <v>1.11006497290862E7</v>
      </c>
    </row>
    <row r="243" ht="2.25" customHeight="1">
      <c r="A243" s="569"/>
      <c r="B243" s="569"/>
      <c r="D243" s="571"/>
      <c r="E243" s="571"/>
      <c r="F243" s="571"/>
      <c r="G243" s="571"/>
      <c r="H243" s="571"/>
      <c r="I243" s="569"/>
      <c r="J243" s="571"/>
      <c r="K243" s="571"/>
      <c r="L243" s="571"/>
      <c r="M243" s="571"/>
      <c r="N243" s="571"/>
      <c r="O243" s="571"/>
      <c r="P243" s="571"/>
      <c r="Q243" s="569"/>
      <c r="R243" s="571"/>
      <c r="S243" s="569"/>
      <c r="T243" s="571"/>
      <c r="U243" s="571"/>
      <c r="V243" s="571"/>
      <c r="W243" s="571"/>
      <c r="X243" s="571"/>
      <c r="Y243" s="571"/>
      <c r="Z243" s="569"/>
      <c r="AA243" s="571"/>
    </row>
    <row r="244" ht="2.25" customHeight="1">
      <c r="A244" s="569"/>
      <c r="B244" s="569"/>
      <c r="D244" s="571"/>
      <c r="E244" s="571"/>
      <c r="F244" s="571"/>
      <c r="G244" s="571"/>
      <c r="H244" s="571"/>
      <c r="I244" s="569"/>
      <c r="J244" s="571"/>
      <c r="K244" s="571"/>
      <c r="L244" s="571"/>
      <c r="M244" s="571"/>
      <c r="N244" s="571"/>
      <c r="O244" s="571"/>
      <c r="P244" s="571"/>
      <c r="Q244" s="569"/>
      <c r="R244" s="571"/>
      <c r="S244" s="569"/>
      <c r="T244" s="571"/>
      <c r="U244" s="571"/>
      <c r="V244" s="571"/>
      <c r="W244" s="571"/>
      <c r="X244" s="571"/>
      <c r="Y244" s="571"/>
      <c r="Z244" s="569"/>
      <c r="AA244" s="571"/>
    </row>
    <row r="245" ht="12.75" customHeight="1">
      <c r="A245" s="569"/>
      <c r="B245" s="592" t="s">
        <v>232</v>
      </c>
      <c r="D245" s="593">
        <v>65994.4300978808</v>
      </c>
      <c r="E245" s="594">
        <v>451062.922827455</v>
      </c>
      <c r="F245" s="593">
        <v>-214362.397479452</v>
      </c>
      <c r="G245" s="593">
        <v>187500.0</v>
      </c>
      <c r="H245" s="593">
        <v>490194.955445884</v>
      </c>
      <c r="I245" s="569"/>
      <c r="J245" s="593">
        <v>0.0</v>
      </c>
      <c r="K245" s="593">
        <v>-344091.88</v>
      </c>
      <c r="L245" s="593">
        <v>582679.817071918</v>
      </c>
      <c r="M245" s="593">
        <v>154389.26369863</v>
      </c>
      <c r="N245" s="593">
        <v>-253453.7</v>
      </c>
      <c r="O245" s="593">
        <v>-143159.479375</v>
      </c>
      <c r="P245" s="593">
        <v>-3635.97860445268</v>
      </c>
      <c r="Q245" s="569"/>
      <c r="R245" s="593">
        <v>486558.976841431</v>
      </c>
      <c r="S245" s="569"/>
      <c r="T245" s="593">
        <v>-183424.636125263</v>
      </c>
      <c r="U245" s="593">
        <v>91316.6216870016</v>
      </c>
      <c r="V245" s="593">
        <v>130714.285714286</v>
      </c>
      <c r="W245" s="593">
        <v>0.0</v>
      </c>
      <c r="X245" s="593">
        <v>0.0</v>
      </c>
      <c r="Y245" s="593">
        <v>38606.271276024</v>
      </c>
      <c r="Z245" s="569"/>
      <c r="AA245" s="593">
        <v>173318.839651939</v>
      </c>
    </row>
    <row r="246" ht="12.75" customHeight="1">
      <c r="A246" s="569"/>
      <c r="B246" s="572"/>
      <c r="D246" s="569"/>
      <c r="E246" s="569"/>
      <c r="F246" s="595"/>
      <c r="G246" s="582"/>
      <c r="H246" s="582">
        <v>115000.0</v>
      </c>
      <c r="I246" s="569"/>
      <c r="J246" s="582">
        <v>0.0</v>
      </c>
      <c r="K246" s="582">
        <v>-304091.88</v>
      </c>
      <c r="L246" s="582">
        <v>480204.306821918</v>
      </c>
      <c r="M246" s="582">
        <v>64389.26369863</v>
      </c>
      <c r="N246" s="582">
        <v>-253453.7</v>
      </c>
      <c r="O246" s="582">
        <v>-143159.479375</v>
      </c>
      <c r="P246" s="582">
        <v>-156111.488854453</v>
      </c>
      <c r="Q246" s="569"/>
      <c r="R246" s="582">
        <v>2829.98792067915</v>
      </c>
      <c r="S246" s="569"/>
      <c r="T246" s="582">
        <v>-178388.451125263</v>
      </c>
      <c r="U246" s="582">
        <v>62313.0896870015</v>
      </c>
      <c r="V246" s="582">
        <v>130714.285714286</v>
      </c>
      <c r="W246" s="582">
        <v>0.0</v>
      </c>
      <c r="X246" s="582">
        <v>0.0</v>
      </c>
      <c r="Y246" s="582">
        <v>14638.924276024</v>
      </c>
      <c r="Z246" s="569"/>
      <c r="AA246" s="582"/>
    </row>
    <row r="247" ht="12.75" customHeight="1">
      <c r="A247" s="569"/>
      <c r="B247" s="572" t="s">
        <v>1466</v>
      </c>
      <c r="D247" s="582"/>
      <c r="E247" s="582"/>
      <c r="F247" s="582"/>
      <c r="G247" s="582"/>
      <c r="H247" s="582"/>
      <c r="I247" s="596"/>
      <c r="J247" s="582"/>
      <c r="K247" s="582"/>
      <c r="L247" s="582"/>
      <c r="M247" s="582"/>
      <c r="N247" s="582"/>
      <c r="O247" s="582"/>
      <c r="P247" s="582"/>
      <c r="Q247" s="572"/>
      <c r="R247" s="582"/>
      <c r="S247" s="572"/>
      <c r="T247" s="582"/>
      <c r="U247" s="582"/>
      <c r="V247" s="582"/>
      <c r="W247" s="582"/>
      <c r="X247" s="582"/>
      <c r="Y247" s="582"/>
      <c r="Z247" s="572"/>
      <c r="AA247" s="582">
        <v>1013588.36</v>
      </c>
    </row>
    <row r="248" ht="12.75" customHeight="1">
      <c r="A248" s="569"/>
      <c r="B248" s="572" t="s">
        <v>195</v>
      </c>
      <c r="D248" s="582">
        <v>150162.51</v>
      </c>
      <c r="E248" s="582">
        <v>-114416.83</v>
      </c>
      <c r="F248" s="582">
        <v>79351.9</v>
      </c>
      <c r="G248" s="582">
        <v>0.0</v>
      </c>
      <c r="H248" s="582">
        <v>115097.58</v>
      </c>
      <c r="I248" s="572"/>
      <c r="J248" s="585"/>
      <c r="K248" s="585"/>
      <c r="L248" s="585"/>
      <c r="M248" s="585"/>
      <c r="N248" s="585"/>
      <c r="O248" s="585"/>
      <c r="P248" s="582">
        <v>366668.53</v>
      </c>
      <c r="Q248" s="582"/>
      <c r="R248" s="582">
        <v>481766.11</v>
      </c>
      <c r="S248" s="572"/>
      <c r="T248" s="582">
        <v>299589.4</v>
      </c>
      <c r="U248" s="582">
        <v>232232.85</v>
      </c>
      <c r="V248" s="582">
        <v>0.0</v>
      </c>
      <c r="W248" s="582"/>
      <c r="X248" s="582">
        <v>0.0</v>
      </c>
      <c r="Y248" s="582">
        <v>531822.25</v>
      </c>
      <c r="Z248" s="572"/>
      <c r="AA248" s="582">
        <v>1011118.04099899</v>
      </c>
    </row>
    <row r="249" ht="12.75" customHeight="1">
      <c r="A249" s="569"/>
      <c r="B249" s="572" t="s">
        <v>1467</v>
      </c>
      <c r="D249" s="597">
        <v>216156.940097881</v>
      </c>
      <c r="E249" s="597">
        <v>336646.092827455</v>
      </c>
      <c r="F249" s="582">
        <v>-135010.497479452</v>
      </c>
      <c r="G249" s="597">
        <v>187500.0</v>
      </c>
      <c r="H249" s="597">
        <v>605292.535445884</v>
      </c>
      <c r="I249" s="572"/>
      <c r="J249" s="585"/>
      <c r="K249" s="585"/>
      <c r="L249" s="585"/>
      <c r="M249" s="585"/>
      <c r="N249" s="585"/>
      <c r="O249" s="585"/>
      <c r="P249" s="597">
        <v>363032.551395547</v>
      </c>
      <c r="Q249" s="582"/>
      <c r="R249" s="597">
        <v>968325.086841431</v>
      </c>
      <c r="S249" s="572"/>
      <c r="T249" s="597">
        <v>116164.763874737</v>
      </c>
      <c r="U249" s="597">
        <v>323549.471687002</v>
      </c>
      <c r="V249" s="597">
        <v>130714.285714286</v>
      </c>
      <c r="W249" s="597"/>
      <c r="X249" s="597">
        <v>0.0</v>
      </c>
      <c r="Y249" s="597">
        <v>570428.521276024</v>
      </c>
      <c r="Z249" s="572"/>
      <c r="AA249" s="597">
        <v>0.0931942607417548</v>
      </c>
    </row>
    <row r="250" ht="12.75" customHeight="1">
      <c r="A250" s="569"/>
      <c r="B250" s="572"/>
      <c r="D250" s="582">
        <v>0.0670200315892924</v>
      </c>
      <c r="E250" s="582">
        <v>0.097881343078435</v>
      </c>
      <c r="F250" s="597">
        <v>-0.365523124174985</v>
      </c>
      <c r="G250" s="582">
        <v>3.0</v>
      </c>
      <c r="H250" s="582">
        <v>0.0852951221576591</v>
      </c>
      <c r="I250" s="572"/>
      <c r="J250" s="585"/>
      <c r="K250" s="585"/>
      <c r="L250" s="585"/>
      <c r="M250" s="585"/>
      <c r="N250" s="585"/>
      <c r="O250" s="585"/>
      <c r="P250" s="582">
        <v>0.159972704818448</v>
      </c>
      <c r="Q250" s="582"/>
      <c r="R250" s="582">
        <v>0.103389577162484</v>
      </c>
      <c r="S250" s="572"/>
      <c r="T250" s="582">
        <v>0.145370895000403</v>
      </c>
      <c r="U250" s="582">
        <v>0.53388039384934</v>
      </c>
      <c r="V250" s="582"/>
      <c r="W250" s="582"/>
      <c r="X250" s="582">
        <v>0.0</v>
      </c>
      <c r="Y250" s="582">
        <v>0.353246874939347</v>
      </c>
      <c r="Z250" s="572"/>
      <c r="AA250" s="582"/>
    </row>
    <row r="251" ht="12.75" customHeight="1">
      <c r="A251" s="569"/>
      <c r="B251" s="572" t="s">
        <v>1468</v>
      </c>
      <c r="D251" s="582"/>
      <c r="E251" s="582"/>
      <c r="F251" s="582"/>
      <c r="G251" s="582"/>
      <c r="H251" s="582"/>
      <c r="I251" s="572"/>
      <c r="J251" s="585"/>
      <c r="K251" s="585"/>
      <c r="L251" s="585"/>
      <c r="M251" s="585"/>
      <c r="N251" s="585"/>
      <c r="O251" s="585"/>
      <c r="P251" s="582"/>
      <c r="Q251" s="582"/>
      <c r="R251" s="582"/>
      <c r="S251" s="572"/>
      <c r="T251" s="582"/>
      <c r="U251" s="582"/>
      <c r="V251" s="582"/>
      <c r="W251" s="582"/>
      <c r="X251" s="582"/>
      <c r="Y251" s="582"/>
      <c r="Z251" s="572"/>
      <c r="AA251" s="582"/>
    </row>
    <row r="252" ht="12.75" customHeight="1">
      <c r="A252" s="569"/>
      <c r="B252" s="572" t="s">
        <v>233</v>
      </c>
      <c r="D252" s="582">
        <v>111279.22</v>
      </c>
      <c r="E252" s="582">
        <v>52038.26</v>
      </c>
      <c r="F252" s="582">
        <v>79351.9</v>
      </c>
      <c r="G252" s="582">
        <v>0.0</v>
      </c>
      <c r="H252" s="582">
        <v>242669.38</v>
      </c>
      <c r="I252" s="572"/>
      <c r="J252" s="585"/>
      <c r="K252" s="585"/>
      <c r="L252" s="585"/>
      <c r="M252" s="585"/>
      <c r="N252" s="585"/>
      <c r="O252" s="585"/>
      <c r="P252" s="582">
        <v>2292714.07</v>
      </c>
      <c r="Q252" s="582"/>
      <c r="R252" s="582">
        <v>968325.086841431</v>
      </c>
      <c r="S252" s="572"/>
      <c r="T252" s="582">
        <v>43946.39</v>
      </c>
      <c r="U252" s="582">
        <v>0.0</v>
      </c>
      <c r="V252" s="582">
        <v>0.0</v>
      </c>
      <c r="W252" s="582"/>
      <c r="X252" s="582">
        <v>0.0</v>
      </c>
      <c r="Y252" s="582">
        <v>43946.39</v>
      </c>
      <c r="Z252" s="572"/>
      <c r="AA252" s="582"/>
    </row>
    <row r="253" ht="12.75" customHeight="1">
      <c r="A253" s="569"/>
      <c r="B253" s="572" t="s">
        <v>1469</v>
      </c>
      <c r="D253" s="582"/>
      <c r="E253" s="582"/>
      <c r="F253" s="582"/>
      <c r="G253" s="582"/>
      <c r="H253" s="582"/>
      <c r="I253" s="572"/>
      <c r="J253" s="585"/>
      <c r="K253" s="585"/>
      <c r="L253" s="585"/>
      <c r="M253" s="585"/>
      <c r="N253" s="585"/>
      <c r="O253" s="585"/>
      <c r="P253" s="582"/>
      <c r="Q253" s="582"/>
      <c r="R253" s="582"/>
      <c r="S253" s="572"/>
      <c r="T253" s="598">
        <v>238525.44708</v>
      </c>
      <c r="U253" s="598">
        <v>245852.552242557</v>
      </c>
      <c r="V253" s="598">
        <v>0.0</v>
      </c>
      <c r="W253" s="598"/>
      <c r="X253" s="598">
        <v>0.0</v>
      </c>
      <c r="Y253" s="598">
        <v>484377.999322557</v>
      </c>
      <c r="Z253" s="572"/>
      <c r="AA253" s="582"/>
    </row>
    <row r="254" ht="12.75" customHeight="1">
      <c r="A254" s="569"/>
      <c r="B254" s="572" t="s">
        <v>497</v>
      </c>
      <c r="D254" s="571"/>
      <c r="E254" s="571"/>
      <c r="F254" s="582"/>
      <c r="G254" s="571"/>
      <c r="H254" s="571"/>
      <c r="I254" s="569"/>
      <c r="J254" s="571"/>
      <c r="K254" s="571"/>
      <c r="L254" s="571"/>
      <c r="M254" s="571"/>
      <c r="N254" s="571"/>
      <c r="O254" s="571"/>
      <c r="P254" s="571"/>
      <c r="Q254" s="569"/>
      <c r="R254" s="571"/>
      <c r="S254" s="569"/>
      <c r="T254" s="582">
        <v>61030.0</v>
      </c>
      <c r="U254" s="582">
        <v>77400.0</v>
      </c>
      <c r="V254" s="582">
        <v>0.0</v>
      </c>
      <c r="W254" s="582"/>
      <c r="X254" s="582">
        <v>0.0</v>
      </c>
      <c r="Y254" s="582">
        <v>138430.0</v>
      </c>
      <c r="Z254" s="569"/>
      <c r="AA254" s="569"/>
    </row>
    <row r="255" ht="12.75" customHeight="1">
      <c r="A255" s="569"/>
      <c r="B255" s="569"/>
      <c r="D255" s="571"/>
      <c r="E255" s="571"/>
      <c r="F255" s="571"/>
      <c r="G255" s="571"/>
      <c r="H255" s="571"/>
      <c r="I255" s="569"/>
      <c r="J255" s="571"/>
      <c r="K255" s="571"/>
      <c r="L255" s="571"/>
      <c r="M255" s="571"/>
      <c r="N255" s="571"/>
      <c r="O255" s="571"/>
      <c r="P255" s="571"/>
      <c r="Q255" s="569"/>
      <c r="R255" s="571"/>
      <c r="S255" s="569"/>
      <c r="T255" s="571">
        <v>221441.83708</v>
      </c>
      <c r="U255" s="571">
        <v>168452.552242557</v>
      </c>
      <c r="V255" s="569">
        <v>0.0</v>
      </c>
      <c r="W255" s="569"/>
      <c r="X255" s="569">
        <v>0.0</v>
      </c>
      <c r="Y255" s="569">
        <v>389894.389322557</v>
      </c>
      <c r="Z255" s="569"/>
      <c r="AA255" s="569"/>
    </row>
    <row r="256" ht="12.75" customHeight="1">
      <c r="A256" s="569"/>
      <c r="B256" s="572" t="s">
        <v>1470</v>
      </c>
      <c r="D256" s="569"/>
      <c r="E256" s="569"/>
      <c r="F256" s="571"/>
      <c r="G256" s="569"/>
      <c r="H256" s="569"/>
      <c r="I256" s="569"/>
      <c r="J256" s="569"/>
      <c r="K256" s="569"/>
      <c r="L256" s="569"/>
      <c r="M256" s="569"/>
      <c r="N256" s="569"/>
      <c r="O256" s="569"/>
      <c r="P256" s="569"/>
      <c r="Q256" s="569"/>
      <c r="R256" s="569"/>
      <c r="S256" s="569"/>
      <c r="T256" s="579"/>
      <c r="U256" s="579"/>
      <c r="V256" s="569"/>
      <c r="W256" s="569"/>
      <c r="X256" s="569"/>
      <c r="Y256" s="569"/>
      <c r="Z256" s="569"/>
      <c r="AA256" s="569"/>
    </row>
    <row r="257" ht="12.75" customHeight="1">
      <c r="A257" s="569"/>
      <c r="B257" s="599" t="s">
        <v>1471</v>
      </c>
      <c r="D257" s="600"/>
      <c r="E257" s="600"/>
      <c r="F257" s="569"/>
      <c r="G257" s="600"/>
      <c r="H257" s="600"/>
      <c r="I257" s="569"/>
      <c r="J257" s="569"/>
      <c r="K257" s="569"/>
      <c r="L257" s="569"/>
      <c r="M257" s="569"/>
      <c r="N257" s="569"/>
      <c r="O257" s="569"/>
      <c r="P257" s="569"/>
      <c r="Q257" s="569"/>
      <c r="R257" s="569"/>
      <c r="S257" s="569"/>
      <c r="T257" s="571"/>
      <c r="U257" s="571"/>
      <c r="V257" s="569"/>
      <c r="W257" s="569"/>
      <c r="X257" s="569"/>
      <c r="Y257" s="569"/>
      <c r="Z257" s="569"/>
      <c r="AA257" s="601"/>
    </row>
    <row r="258" ht="12.75" customHeight="1">
      <c r="A258" s="569"/>
      <c r="B258" s="572" t="s">
        <v>1472</v>
      </c>
      <c r="D258" s="569"/>
      <c r="E258" s="569"/>
      <c r="F258" s="600"/>
      <c r="G258" s="569"/>
      <c r="H258" s="585"/>
      <c r="I258" s="569"/>
      <c r="J258" s="569"/>
      <c r="K258" s="569"/>
      <c r="L258" s="569"/>
      <c r="M258" s="569"/>
      <c r="N258" s="569"/>
      <c r="O258" s="569"/>
      <c r="P258" s="569"/>
      <c r="Q258" s="569"/>
      <c r="R258" s="569"/>
      <c r="S258" s="569"/>
      <c r="T258" s="571"/>
      <c r="U258" s="571"/>
      <c r="V258" s="569"/>
      <c r="W258" s="569"/>
      <c r="X258" s="569"/>
      <c r="Y258" s="569"/>
      <c r="Z258" s="569"/>
      <c r="AA258" s="569"/>
    </row>
    <row r="259" ht="12.75" customHeight="1">
      <c r="A259" s="569"/>
      <c r="B259" s="578" t="s">
        <v>1473</v>
      </c>
      <c r="D259" s="569"/>
      <c r="E259" s="569"/>
      <c r="F259" s="569"/>
      <c r="G259" s="569"/>
      <c r="H259" s="571">
        <v>1.1</v>
      </c>
      <c r="I259" s="569"/>
      <c r="J259" s="569"/>
      <c r="K259" s="569"/>
      <c r="L259" s="569"/>
      <c r="M259" s="569"/>
      <c r="N259" s="569"/>
      <c r="O259" s="569"/>
      <c r="P259" s="569"/>
      <c r="Q259" s="569"/>
      <c r="R259" s="569"/>
      <c r="S259" s="569"/>
      <c r="T259" s="571"/>
      <c r="U259" s="571"/>
      <c r="V259" s="569"/>
      <c r="W259" s="569"/>
      <c r="X259" s="569"/>
      <c r="Y259" s="569"/>
      <c r="Z259" s="569"/>
      <c r="AA259" s="569"/>
    </row>
    <row r="260" ht="12.75" customHeight="1">
      <c r="A260" s="569"/>
      <c r="B260" s="578" t="s">
        <v>1474</v>
      </c>
      <c r="D260" s="569"/>
      <c r="E260" s="569"/>
      <c r="F260" s="569"/>
      <c r="G260" s="569"/>
      <c r="H260" s="579"/>
      <c r="I260" s="569"/>
      <c r="J260" s="569"/>
      <c r="K260" s="569"/>
      <c r="L260" s="569"/>
      <c r="M260" s="569"/>
      <c r="N260" s="569"/>
      <c r="O260" s="569"/>
      <c r="P260" s="569"/>
      <c r="Q260" s="569"/>
      <c r="R260" s="569"/>
      <c r="S260" s="569"/>
      <c r="T260" s="571"/>
      <c r="U260" s="571"/>
      <c r="V260" s="569"/>
      <c r="W260" s="569"/>
      <c r="X260" s="569"/>
      <c r="Y260" s="569"/>
      <c r="Z260" s="569"/>
      <c r="AA260" s="569"/>
    </row>
    <row r="261" ht="12.75" customHeight="1">
      <c r="A261" s="569"/>
      <c r="B261" s="578" t="s">
        <v>1475</v>
      </c>
      <c r="D261" s="569"/>
      <c r="E261" s="569"/>
      <c r="F261" s="569"/>
      <c r="G261" s="569"/>
      <c r="H261" s="579">
        <v>74994.4300978808</v>
      </c>
      <c r="I261" s="569"/>
      <c r="J261" s="569"/>
      <c r="K261" s="569"/>
      <c r="L261" s="569"/>
      <c r="M261" s="569"/>
      <c r="N261" s="569"/>
      <c r="O261" s="569"/>
      <c r="P261" s="569"/>
      <c r="Q261" s="569"/>
      <c r="R261" s="569"/>
      <c r="S261" s="569"/>
      <c r="T261" s="571"/>
      <c r="U261" s="571"/>
      <c r="V261" s="569"/>
      <c r="W261" s="569"/>
      <c r="X261" s="569"/>
      <c r="Y261" s="569"/>
      <c r="Z261" s="569"/>
      <c r="AA261" s="569"/>
    </row>
    <row r="262" ht="12.75" customHeight="1">
      <c r="A262" s="569"/>
      <c r="B262" s="580" t="s">
        <v>1476</v>
      </c>
      <c r="D262" s="589"/>
      <c r="E262" s="589"/>
      <c r="F262" s="569"/>
      <c r="G262" s="589"/>
      <c r="H262" s="581">
        <v>115410.596738013</v>
      </c>
      <c r="I262" s="569"/>
      <c r="J262" s="569"/>
      <c r="K262" s="569"/>
      <c r="L262" s="569"/>
      <c r="M262" s="569"/>
      <c r="N262" s="569"/>
      <c r="O262" s="569"/>
      <c r="P262" s="569"/>
      <c r="Q262" s="569"/>
      <c r="R262" s="569"/>
      <c r="S262" s="569"/>
      <c r="T262" s="571"/>
      <c r="U262" s="571"/>
      <c r="V262" s="569"/>
      <c r="W262" s="569"/>
      <c r="X262" s="569"/>
      <c r="Y262" s="569"/>
      <c r="Z262" s="569"/>
      <c r="AA262" s="569"/>
    </row>
    <row r="263" ht="12.75" customHeight="1">
      <c r="A263" s="569"/>
      <c r="B263" s="570" t="s">
        <v>172</v>
      </c>
      <c r="D263" s="569"/>
      <c r="E263" s="569"/>
      <c r="F263" s="589"/>
      <c r="G263" s="569"/>
      <c r="H263" s="579">
        <v>428048.921</v>
      </c>
      <c r="I263" s="569"/>
      <c r="J263" s="569"/>
      <c r="K263" s="569"/>
      <c r="L263" s="569"/>
      <c r="M263" s="569"/>
      <c r="N263" s="569"/>
      <c r="O263" s="569"/>
      <c r="P263" s="569"/>
      <c r="Q263" s="569"/>
      <c r="R263" s="569"/>
      <c r="S263" s="569"/>
      <c r="T263" s="571"/>
      <c r="U263" s="571"/>
      <c r="V263" s="569"/>
      <c r="W263" s="569"/>
      <c r="X263" s="569"/>
      <c r="Y263" s="569"/>
      <c r="Z263" s="569"/>
      <c r="AA263" s="569"/>
    </row>
    <row r="264" ht="12.75" customHeight="1">
      <c r="A264" s="569"/>
      <c r="B264" s="569"/>
      <c r="D264" s="569"/>
      <c r="E264" s="569"/>
      <c r="F264" s="569"/>
      <c r="G264" s="569"/>
      <c r="H264" s="571">
        <v>618453.947835894</v>
      </c>
      <c r="I264" s="569"/>
      <c r="J264" s="569"/>
      <c r="K264" s="569"/>
      <c r="L264" s="569"/>
      <c r="M264" s="569"/>
      <c r="N264" s="569"/>
      <c r="O264" s="569"/>
      <c r="P264" s="569"/>
      <c r="Q264" s="569"/>
      <c r="R264" s="569"/>
      <c r="S264" s="569"/>
      <c r="T264" s="571"/>
      <c r="U264" s="571"/>
      <c r="V264" s="569"/>
      <c r="W264" s="569"/>
      <c r="X264" s="569"/>
      <c r="Y264" s="569"/>
      <c r="Z264" s="569"/>
      <c r="AA264" s="569"/>
    </row>
    <row r="265" ht="12.75" customHeight="1">
      <c r="A265" s="569"/>
      <c r="B265" s="569" t="s">
        <v>1477</v>
      </c>
      <c r="D265" s="569"/>
      <c r="E265" s="569"/>
      <c r="F265" s="569"/>
      <c r="G265" s="569"/>
      <c r="H265" s="579"/>
      <c r="I265" s="569"/>
      <c r="J265" s="569"/>
      <c r="K265" s="569"/>
      <c r="L265" s="569"/>
      <c r="M265" s="569"/>
      <c r="N265" s="569"/>
      <c r="O265" s="569"/>
      <c r="P265" s="569"/>
      <c r="Q265" s="569"/>
      <c r="R265" s="569"/>
      <c r="S265" s="569"/>
      <c r="T265" s="571"/>
      <c r="U265" s="571"/>
      <c r="V265" s="569"/>
      <c r="W265" s="569"/>
      <c r="X265" s="569"/>
      <c r="Y265" s="569"/>
      <c r="Z265" s="569"/>
      <c r="AA265" s="569"/>
    </row>
    <row r="266" ht="12.75" customHeight="1">
      <c r="A266" s="569"/>
      <c r="B266" s="569" t="s">
        <v>1478</v>
      </c>
      <c r="D266" s="569"/>
      <c r="E266" s="569"/>
      <c r="F266" s="569"/>
      <c r="G266" s="569"/>
      <c r="H266" s="602">
        <v>299250.0</v>
      </c>
      <c r="I266" s="569"/>
      <c r="J266" s="569"/>
      <c r="K266" s="569"/>
      <c r="L266" s="569"/>
      <c r="M266" s="569"/>
      <c r="N266" s="569"/>
      <c r="O266" s="569"/>
      <c r="P266" s="569"/>
      <c r="Q266" s="569"/>
      <c r="R266" s="569"/>
      <c r="S266" s="569"/>
      <c r="T266" s="571"/>
      <c r="U266" s="571"/>
      <c r="V266" s="569"/>
      <c r="W266" s="569"/>
      <c r="X266" s="569"/>
      <c r="Y266" s="569"/>
      <c r="Z266" s="569"/>
      <c r="AA266" s="569"/>
    </row>
    <row r="267" ht="12.75" customHeight="1">
      <c r="A267" s="569"/>
      <c r="B267" s="572" t="s">
        <v>1479</v>
      </c>
      <c r="D267" s="572"/>
      <c r="E267" s="572"/>
      <c r="F267" s="569"/>
      <c r="G267" s="572"/>
      <c r="H267" s="585">
        <v>2.06667985910073</v>
      </c>
      <c r="I267" s="569"/>
      <c r="J267" s="569"/>
      <c r="K267" s="569"/>
      <c r="L267" s="569"/>
      <c r="M267" s="569"/>
      <c r="N267" s="569"/>
      <c r="O267" s="569"/>
      <c r="P267" s="569"/>
      <c r="Q267" s="569"/>
      <c r="R267" s="569"/>
      <c r="S267" s="569"/>
      <c r="T267" s="571"/>
      <c r="U267" s="571"/>
      <c r="V267" s="569"/>
      <c r="W267" s="569"/>
      <c r="X267" s="569"/>
      <c r="Y267" s="569"/>
      <c r="Z267" s="569"/>
      <c r="AA267" s="569"/>
    </row>
    <row r="268" ht="12.75" customHeight="1">
      <c r="A268" s="569"/>
      <c r="B268" s="569"/>
      <c r="D268" s="569"/>
      <c r="E268" s="569"/>
      <c r="F268" s="572"/>
      <c r="G268" s="569"/>
      <c r="H268" s="569" t="s">
        <v>865</v>
      </c>
      <c r="I268" s="569"/>
      <c r="J268" s="569"/>
      <c r="K268" s="569"/>
      <c r="L268" s="569"/>
      <c r="M268" s="569"/>
      <c r="N268" s="569"/>
      <c r="O268" s="569"/>
      <c r="P268" s="569"/>
      <c r="Q268" s="569"/>
      <c r="R268" s="569"/>
      <c r="S268" s="569"/>
      <c r="T268" s="571"/>
      <c r="U268" s="571"/>
      <c r="V268" s="569"/>
      <c r="W268" s="569"/>
      <c r="X268" s="569"/>
      <c r="Y268" s="569"/>
      <c r="Z268" s="569"/>
      <c r="AA268" s="569"/>
    </row>
    <row r="269" ht="12.75" customHeight="1">
      <c r="A269" s="569"/>
      <c r="B269" s="599" t="s">
        <v>1480</v>
      </c>
      <c r="D269" s="600"/>
      <c r="E269" s="600"/>
      <c r="F269" s="569"/>
      <c r="G269" s="600"/>
      <c r="H269" s="600"/>
      <c r="I269" s="569"/>
      <c r="J269" s="569"/>
      <c r="K269" s="569"/>
      <c r="L269" s="569"/>
      <c r="M269" s="569"/>
      <c r="N269" s="569"/>
      <c r="O269" s="569"/>
      <c r="P269" s="569"/>
      <c r="Q269" s="569"/>
      <c r="R269" s="569"/>
      <c r="S269" s="569"/>
      <c r="T269" s="571"/>
      <c r="U269" s="571"/>
      <c r="V269" s="569"/>
      <c r="W269" s="569"/>
      <c r="X269" s="569"/>
      <c r="Y269" s="569"/>
      <c r="Z269" s="569"/>
      <c r="AA269" s="569"/>
    </row>
    <row r="270" ht="12.75" customHeight="1">
      <c r="A270" s="569"/>
      <c r="B270" s="572" t="s">
        <v>1472</v>
      </c>
      <c r="D270" s="569"/>
      <c r="E270" s="569"/>
      <c r="F270" s="600"/>
      <c r="G270" s="569"/>
      <c r="H270" s="585"/>
      <c r="I270" s="569"/>
      <c r="J270" s="569"/>
      <c r="K270" s="569"/>
      <c r="L270" s="569"/>
      <c r="M270" s="569"/>
      <c r="N270" s="569"/>
      <c r="O270" s="569"/>
      <c r="P270" s="569"/>
      <c r="Q270" s="569"/>
      <c r="R270" s="569"/>
      <c r="S270" s="569"/>
      <c r="T270" s="571"/>
      <c r="U270" s="571"/>
      <c r="V270" s="569"/>
      <c r="W270" s="569"/>
      <c r="X270" s="569"/>
      <c r="Y270" s="569"/>
      <c r="Z270" s="569"/>
      <c r="AA270" s="569"/>
    </row>
    <row r="271" ht="12.75" customHeight="1">
      <c r="A271" s="569"/>
      <c r="B271" s="569" t="s">
        <v>1473</v>
      </c>
      <c r="D271" s="569"/>
      <c r="E271" s="569"/>
      <c r="F271" s="569"/>
      <c r="G271" s="569"/>
      <c r="H271" s="569">
        <v>1.1</v>
      </c>
      <c r="I271" s="569"/>
      <c r="J271" s="569"/>
      <c r="K271" s="569"/>
      <c r="L271" s="569"/>
      <c r="M271" s="569"/>
      <c r="N271" s="569"/>
      <c r="O271" s="569"/>
      <c r="P271" s="569"/>
      <c r="Q271" s="569"/>
      <c r="R271" s="569"/>
      <c r="S271" s="569"/>
      <c r="T271" s="571"/>
      <c r="U271" s="571"/>
      <c r="V271" s="569"/>
      <c r="W271" s="569"/>
      <c r="X271" s="569"/>
      <c r="Y271" s="569"/>
      <c r="Z271" s="569"/>
      <c r="AA271" s="569"/>
    </row>
    <row r="272" ht="12.75" customHeight="1">
      <c r="A272" s="569"/>
      <c r="B272" s="580" t="s">
        <v>1271</v>
      </c>
      <c r="D272" s="589"/>
      <c r="E272" s="589"/>
      <c r="F272" s="569"/>
      <c r="G272" s="589"/>
      <c r="H272" s="581"/>
      <c r="I272" s="569"/>
      <c r="J272" s="569"/>
      <c r="K272" s="569"/>
      <c r="L272" s="569"/>
      <c r="M272" s="569"/>
      <c r="N272" s="569"/>
      <c r="O272" s="569"/>
      <c r="P272" s="569"/>
      <c r="Q272" s="569"/>
      <c r="R272" s="569"/>
      <c r="S272" s="569"/>
      <c r="T272" s="571"/>
      <c r="U272" s="571"/>
      <c r="V272" s="569"/>
      <c r="W272" s="569"/>
      <c r="X272" s="569"/>
      <c r="Y272" s="569"/>
      <c r="Z272" s="569"/>
      <c r="AA272" s="569"/>
    </row>
    <row r="273" ht="12.75" customHeight="1">
      <c r="A273" s="569"/>
      <c r="B273" s="569" t="s">
        <v>172</v>
      </c>
      <c r="D273" s="569"/>
      <c r="E273" s="569"/>
      <c r="F273" s="589"/>
      <c r="G273" s="569"/>
      <c r="H273" s="579">
        <v>614185.88557589</v>
      </c>
      <c r="I273" s="569"/>
      <c r="J273" s="569"/>
      <c r="K273" s="569"/>
      <c r="L273" s="569"/>
      <c r="M273" s="569"/>
      <c r="N273" s="569"/>
      <c r="O273" s="569"/>
      <c r="P273" s="569"/>
      <c r="Q273" s="569"/>
      <c r="R273" s="569"/>
      <c r="S273" s="569"/>
      <c r="T273" s="571"/>
      <c r="U273" s="571"/>
      <c r="V273" s="569"/>
      <c r="W273" s="569"/>
      <c r="X273" s="569"/>
      <c r="Y273" s="569"/>
      <c r="Z273" s="569"/>
      <c r="AA273" s="569"/>
    </row>
    <row r="274" ht="12.75" customHeight="1">
      <c r="A274" s="569"/>
      <c r="B274" s="569"/>
      <c r="D274" s="569"/>
      <c r="E274" s="569"/>
      <c r="F274" s="569"/>
      <c r="G274" s="569"/>
      <c r="H274" s="571">
        <v>614185.88557589</v>
      </c>
      <c r="I274" s="569"/>
      <c r="J274" s="569"/>
      <c r="K274" s="569"/>
      <c r="L274" s="569"/>
      <c r="M274" s="569"/>
      <c r="N274" s="569"/>
      <c r="O274" s="569"/>
      <c r="P274" s="569"/>
      <c r="Q274" s="569"/>
      <c r="R274" s="569"/>
      <c r="S274" s="569"/>
      <c r="T274" s="571"/>
      <c r="U274" s="571"/>
      <c r="V274" s="569"/>
      <c r="W274" s="569"/>
      <c r="X274" s="569"/>
      <c r="Y274" s="569"/>
      <c r="Z274" s="569"/>
      <c r="AA274" s="569"/>
    </row>
    <row r="275" ht="12.75" customHeight="1">
      <c r="A275" s="569"/>
      <c r="B275" s="569" t="s">
        <v>1477</v>
      </c>
      <c r="D275" s="569"/>
      <c r="E275" s="569"/>
      <c r="F275" s="569"/>
      <c r="G275" s="569"/>
      <c r="H275" s="579"/>
      <c r="I275" s="569"/>
      <c r="J275" s="569"/>
      <c r="K275" s="569"/>
      <c r="L275" s="569"/>
      <c r="M275" s="569"/>
      <c r="N275" s="569"/>
      <c r="O275" s="569"/>
      <c r="P275" s="569"/>
      <c r="Q275" s="569"/>
      <c r="R275" s="569"/>
      <c r="S275" s="569"/>
      <c r="T275" s="571"/>
      <c r="U275" s="571"/>
      <c r="V275" s="569"/>
      <c r="W275" s="569"/>
      <c r="X275" s="569"/>
      <c r="Y275" s="569"/>
      <c r="Z275" s="569"/>
      <c r="AA275" s="569"/>
    </row>
    <row r="276" ht="12.75" customHeight="1">
      <c r="A276" s="569"/>
      <c r="B276" s="569" t="s">
        <v>1478</v>
      </c>
      <c r="D276" s="569"/>
      <c r="E276" s="569"/>
      <c r="F276" s="569"/>
      <c r="G276" s="569"/>
      <c r="H276" s="602">
        <v>374000.0</v>
      </c>
      <c r="I276" s="569">
        <v>411400.0</v>
      </c>
      <c r="J276" s="569"/>
      <c r="K276" s="569"/>
      <c r="L276" s="569"/>
      <c r="M276" s="569"/>
      <c r="N276" s="569"/>
      <c r="O276" s="569"/>
      <c r="P276" s="569"/>
      <c r="Q276" s="569"/>
      <c r="R276" s="569"/>
      <c r="S276" s="569"/>
      <c r="T276" s="571"/>
      <c r="U276" s="571"/>
      <c r="V276" s="569"/>
      <c r="W276" s="569"/>
      <c r="X276" s="569"/>
      <c r="Y276" s="569"/>
      <c r="Z276" s="569"/>
      <c r="AA276" s="569"/>
    </row>
    <row r="277" ht="12.75" customHeight="1">
      <c r="A277" s="569"/>
      <c r="B277" s="569" t="s">
        <v>1479</v>
      </c>
      <c r="D277" s="569"/>
      <c r="E277" s="569"/>
      <c r="F277" s="569"/>
      <c r="G277" s="569"/>
      <c r="H277" s="585">
        <v>1.64220825020292</v>
      </c>
      <c r="I277" s="569"/>
      <c r="J277" s="569"/>
      <c r="K277" s="569"/>
      <c r="L277" s="569"/>
      <c r="M277" s="569"/>
      <c r="N277" s="569"/>
      <c r="O277" s="569"/>
      <c r="P277" s="569"/>
      <c r="Q277" s="569"/>
      <c r="R277" s="569"/>
      <c r="S277" s="569"/>
      <c r="T277" s="571"/>
      <c r="U277" s="571"/>
      <c r="V277" s="569"/>
      <c r="W277" s="569"/>
      <c r="X277" s="569"/>
      <c r="Y277" s="569"/>
      <c r="Z277" s="569"/>
      <c r="AA277" s="569"/>
    </row>
    <row r="278" ht="12.75" customHeight="1">
      <c r="A278" s="569"/>
      <c r="B278" s="569"/>
      <c r="D278" s="569"/>
      <c r="E278" s="569"/>
      <c r="F278" s="569"/>
      <c r="G278" s="569"/>
      <c r="H278" s="569" t="s">
        <v>865</v>
      </c>
      <c r="I278" s="569"/>
      <c r="J278" s="569"/>
      <c r="K278" s="569"/>
      <c r="L278" s="569"/>
      <c r="M278" s="569"/>
      <c r="N278" s="569"/>
      <c r="O278" s="569"/>
      <c r="P278" s="569"/>
      <c r="Q278" s="569"/>
      <c r="R278" s="569"/>
      <c r="S278" s="569"/>
      <c r="T278" s="571"/>
      <c r="U278" s="571"/>
      <c r="V278" s="569"/>
      <c r="W278" s="569"/>
      <c r="X278" s="569"/>
      <c r="Y278" s="569"/>
      <c r="Z278" s="569"/>
      <c r="AA278" s="569"/>
    </row>
    <row r="279" ht="12.75" customHeight="1">
      <c r="A279" s="569"/>
      <c r="B279" s="599" t="s">
        <v>1481</v>
      </c>
      <c r="D279" s="600"/>
      <c r="E279" s="600"/>
      <c r="F279" s="569"/>
      <c r="G279" s="600"/>
      <c r="H279" s="600"/>
      <c r="I279" s="569"/>
      <c r="J279" s="569"/>
      <c r="K279" s="569"/>
      <c r="L279" s="569"/>
      <c r="M279" s="569"/>
      <c r="N279" s="569"/>
      <c r="O279" s="569"/>
      <c r="P279" s="569"/>
      <c r="Q279" s="569"/>
      <c r="R279" s="569"/>
      <c r="S279" s="569"/>
      <c r="T279" s="571"/>
      <c r="U279" s="571"/>
      <c r="V279" s="569"/>
      <c r="W279" s="569"/>
      <c r="X279" s="569"/>
      <c r="Y279" s="569"/>
      <c r="Z279" s="569"/>
      <c r="AA279" s="569"/>
    </row>
    <row r="280" ht="12.75" customHeight="1">
      <c r="A280" s="569"/>
      <c r="B280" s="572" t="s">
        <v>1482</v>
      </c>
      <c r="D280" s="569"/>
      <c r="E280" s="569"/>
      <c r="F280" s="600"/>
      <c r="G280" s="569"/>
      <c r="H280" s="582"/>
      <c r="I280" s="569"/>
      <c r="J280" s="569"/>
      <c r="K280" s="569"/>
      <c r="L280" s="569"/>
      <c r="M280" s="569"/>
      <c r="N280" s="569"/>
      <c r="O280" s="569"/>
      <c r="P280" s="569"/>
      <c r="Q280" s="569"/>
      <c r="R280" s="569"/>
      <c r="S280" s="569"/>
      <c r="T280" s="571"/>
      <c r="U280" s="571"/>
      <c r="V280" s="569"/>
      <c r="W280" s="569"/>
      <c r="X280" s="569"/>
      <c r="Y280" s="569"/>
      <c r="Z280" s="569"/>
      <c r="AA280" s="569"/>
    </row>
    <row r="281" ht="12.75" customHeight="1">
      <c r="A281" s="569"/>
      <c r="B281" s="572"/>
      <c r="D281" s="569"/>
      <c r="E281" s="569"/>
      <c r="F281" s="569"/>
      <c r="G281" s="569"/>
      <c r="H281" s="579">
        <v>-875000.0</v>
      </c>
      <c r="I281" s="569"/>
      <c r="J281" s="569"/>
      <c r="K281" s="569"/>
      <c r="L281" s="569"/>
      <c r="M281" s="569"/>
      <c r="N281" s="569"/>
      <c r="O281" s="569"/>
      <c r="P281" s="569"/>
      <c r="Q281" s="569"/>
      <c r="R281" s="569"/>
      <c r="S281" s="569"/>
      <c r="T281" s="571"/>
      <c r="U281" s="571"/>
      <c r="V281" s="569"/>
      <c r="W281" s="569"/>
      <c r="X281" s="569"/>
      <c r="Y281" s="569"/>
      <c r="Z281" s="569"/>
      <c r="AA281" s="569"/>
    </row>
    <row r="282" ht="12.75" customHeight="1">
      <c r="A282" s="569"/>
      <c r="B282" s="578" t="s">
        <v>1482</v>
      </c>
      <c r="D282" s="569"/>
      <c r="E282" s="569"/>
      <c r="F282" s="569"/>
      <c r="G282" s="569"/>
      <c r="H282" s="579"/>
      <c r="I282" s="569"/>
      <c r="J282" s="569"/>
      <c r="K282" s="569"/>
      <c r="L282" s="569"/>
      <c r="M282" s="569"/>
      <c r="N282" s="569"/>
      <c r="O282" s="569"/>
      <c r="P282" s="569"/>
      <c r="Q282" s="569"/>
      <c r="R282" s="569"/>
      <c r="S282" s="569"/>
      <c r="T282" s="571"/>
      <c r="U282" s="571"/>
      <c r="V282" s="569"/>
      <c r="W282" s="569"/>
      <c r="X282" s="569"/>
      <c r="Y282" s="569"/>
      <c r="Z282" s="569"/>
      <c r="AA282" s="569"/>
    </row>
    <row r="283" ht="12.75" customHeight="1">
      <c r="A283" s="569"/>
      <c r="B283" s="580" t="s">
        <v>1483</v>
      </c>
      <c r="D283" s="589"/>
      <c r="E283" s="589"/>
      <c r="F283" s="569"/>
      <c r="G283" s="589"/>
      <c r="H283" s="581">
        <v>-3635.97860445268</v>
      </c>
      <c r="I283" s="569"/>
      <c r="J283" s="569"/>
      <c r="K283" s="569"/>
      <c r="L283" s="569"/>
      <c r="M283" s="569"/>
      <c r="N283" s="569"/>
      <c r="O283" s="569"/>
      <c r="P283" s="569"/>
      <c r="Q283" s="569"/>
      <c r="R283" s="569"/>
      <c r="S283" s="569"/>
      <c r="T283" s="571"/>
      <c r="U283" s="571"/>
      <c r="V283" s="569"/>
      <c r="W283" s="569"/>
      <c r="X283" s="569"/>
      <c r="Y283" s="569"/>
      <c r="Z283" s="569"/>
      <c r="AA283" s="569"/>
    </row>
    <row r="284" ht="12.75" customHeight="1">
      <c r="A284" s="569"/>
      <c r="B284" s="572" t="s">
        <v>1482</v>
      </c>
      <c r="D284" s="572"/>
      <c r="E284" s="572"/>
      <c r="F284" s="589"/>
      <c r="G284" s="572"/>
      <c r="H284" s="582">
        <v>520909.589041096</v>
      </c>
      <c r="I284" s="569"/>
      <c r="J284" s="569"/>
      <c r="K284" s="569"/>
      <c r="L284" s="569"/>
      <c r="M284" s="569"/>
      <c r="N284" s="569"/>
      <c r="O284" s="569"/>
      <c r="P284" s="569"/>
      <c r="Q284" s="569"/>
      <c r="R284" s="569"/>
      <c r="S284" s="569"/>
      <c r="T284" s="571"/>
      <c r="U284" s="571"/>
      <c r="V284" s="569"/>
      <c r="W284" s="569"/>
      <c r="X284" s="569"/>
      <c r="Y284" s="569"/>
      <c r="Z284" s="569"/>
      <c r="AA284" s="569"/>
    </row>
    <row r="285" ht="2.25" customHeight="1">
      <c r="A285" s="569"/>
      <c r="B285" s="569"/>
      <c r="D285" s="569"/>
      <c r="E285" s="569"/>
      <c r="F285" s="572"/>
      <c r="G285" s="569"/>
      <c r="H285" s="571">
        <v>-524545.567645549</v>
      </c>
      <c r="I285" s="569"/>
      <c r="J285" s="569"/>
      <c r="K285" s="569"/>
      <c r="L285" s="569"/>
      <c r="M285" s="569"/>
      <c r="N285" s="569"/>
      <c r="O285" s="569"/>
      <c r="P285" s="569"/>
      <c r="Q285" s="569"/>
      <c r="R285" s="569"/>
      <c r="S285" s="569"/>
      <c r="T285" s="571"/>
      <c r="U285" s="571"/>
      <c r="V285" s="569"/>
      <c r="W285" s="569"/>
      <c r="X285" s="569"/>
      <c r="Y285" s="569"/>
      <c r="Z285" s="569"/>
      <c r="AA285" s="569"/>
    </row>
    <row r="286" ht="12.75" customHeight="1">
      <c r="A286" s="569"/>
      <c r="B286" s="572" t="s">
        <v>1479</v>
      </c>
      <c r="D286" s="569"/>
      <c r="E286" s="569"/>
      <c r="F286" s="569"/>
      <c r="G286" s="569"/>
      <c r="H286" s="585"/>
      <c r="I286" s="569"/>
      <c r="J286" s="569"/>
      <c r="K286" s="569"/>
      <c r="L286" s="569"/>
      <c r="M286" s="569"/>
      <c r="N286" s="569"/>
      <c r="O286" s="569"/>
      <c r="P286" s="569"/>
      <c r="Q286" s="569"/>
      <c r="R286" s="569"/>
      <c r="S286" s="569"/>
      <c r="T286" s="571"/>
      <c r="U286" s="571"/>
      <c r="V286" s="569"/>
      <c r="W286" s="569"/>
      <c r="X286" s="569"/>
      <c r="Y286" s="569"/>
      <c r="Z286" s="569"/>
      <c r="AA286" s="569"/>
    </row>
    <row r="287" ht="12.75" customHeight="1">
      <c r="A287" s="569"/>
      <c r="B287" s="569"/>
      <c r="D287" s="569"/>
      <c r="E287" s="569"/>
      <c r="F287" s="569"/>
      <c r="G287" s="569"/>
      <c r="H287" s="569" t="s">
        <v>865</v>
      </c>
      <c r="I287" s="569"/>
      <c r="J287" s="569"/>
      <c r="K287" s="569"/>
      <c r="L287" s="569"/>
      <c r="M287" s="569"/>
      <c r="N287" s="569"/>
      <c r="O287" s="569"/>
      <c r="P287" s="569"/>
      <c r="Q287" s="569"/>
      <c r="R287" s="569"/>
      <c r="S287" s="569"/>
      <c r="T287" s="571"/>
      <c r="U287" s="571"/>
      <c r="V287" s="569"/>
      <c r="W287" s="569"/>
      <c r="X287" s="569"/>
      <c r="Y287" s="569"/>
      <c r="Z287" s="569"/>
      <c r="AA287" s="569"/>
    </row>
    <row r="288" ht="12.75" customHeight="1">
      <c r="A288" s="569"/>
      <c r="B288" s="569"/>
      <c r="D288" s="569"/>
      <c r="E288" s="569"/>
      <c r="F288" s="569"/>
      <c r="G288" s="569"/>
      <c r="H288" s="569"/>
      <c r="I288" s="569"/>
      <c r="J288" s="569"/>
      <c r="K288" s="569"/>
      <c r="L288" s="569"/>
      <c r="M288" s="569"/>
      <c r="N288" s="569"/>
      <c r="O288" s="569"/>
      <c r="P288" s="569"/>
      <c r="Q288" s="569"/>
      <c r="R288" s="569"/>
      <c r="S288" s="569"/>
      <c r="T288" s="571"/>
      <c r="U288" s="571"/>
      <c r="V288" s="569"/>
      <c r="W288" s="569"/>
      <c r="X288" s="569"/>
      <c r="Y288" s="569"/>
      <c r="Z288" s="569"/>
      <c r="AA288" s="569"/>
    </row>
    <row r="289" ht="12.75" customHeight="1">
      <c r="A289" s="569"/>
      <c r="B289" s="569"/>
      <c r="D289" s="569"/>
      <c r="E289" s="569"/>
      <c r="F289" s="569"/>
      <c r="G289" s="569"/>
      <c r="H289" s="569"/>
      <c r="I289" s="569"/>
      <c r="J289" s="569"/>
      <c r="K289" s="569"/>
      <c r="L289" s="569"/>
      <c r="M289" s="569"/>
      <c r="N289" s="569"/>
      <c r="O289" s="569"/>
      <c r="P289" s="569"/>
      <c r="Q289" s="569"/>
      <c r="R289" s="569"/>
      <c r="S289" s="569"/>
      <c r="T289" s="571"/>
      <c r="U289" s="571"/>
      <c r="V289" s="569"/>
      <c r="W289" s="569"/>
      <c r="X289" s="569"/>
      <c r="Y289" s="569"/>
      <c r="Z289" s="569"/>
      <c r="AA289" s="569"/>
    </row>
    <row r="290" ht="12.75" customHeight="1">
      <c r="A290" s="569"/>
      <c r="B290" s="569"/>
      <c r="D290" s="569"/>
      <c r="E290" s="569"/>
      <c r="F290" s="569"/>
      <c r="G290" s="569"/>
      <c r="H290" s="569"/>
      <c r="I290" s="569"/>
      <c r="J290" s="569"/>
      <c r="K290" s="569"/>
      <c r="L290" s="569"/>
      <c r="M290" s="569"/>
      <c r="N290" s="569"/>
      <c r="O290" s="569"/>
      <c r="P290" s="569"/>
      <c r="Q290" s="569"/>
      <c r="R290" s="569"/>
      <c r="S290" s="569"/>
      <c r="T290" s="571"/>
      <c r="U290" s="571"/>
      <c r="V290" s="569"/>
      <c r="W290" s="569"/>
      <c r="X290" s="569"/>
      <c r="Y290" s="569"/>
      <c r="Z290" s="569"/>
      <c r="AA290" s="569"/>
    </row>
    <row r="291" ht="12.75" customHeight="1">
      <c r="A291" s="569"/>
      <c r="B291" s="569"/>
      <c r="D291" s="569"/>
      <c r="E291" s="569"/>
      <c r="F291" s="569"/>
      <c r="G291" s="569"/>
      <c r="H291" s="569"/>
      <c r="I291" s="569"/>
      <c r="J291" s="569"/>
      <c r="K291" s="569"/>
      <c r="L291" s="569"/>
      <c r="M291" s="569"/>
      <c r="N291" s="569"/>
      <c r="O291" s="569"/>
      <c r="P291" s="569"/>
      <c r="Q291" s="569"/>
      <c r="R291" s="569"/>
      <c r="S291" s="569"/>
      <c r="T291" s="571"/>
      <c r="U291" s="571"/>
      <c r="V291" s="569"/>
      <c r="W291" s="569"/>
      <c r="X291" s="569"/>
      <c r="Y291" s="569"/>
      <c r="Z291" s="569"/>
      <c r="AA291" s="569"/>
    </row>
    <row r="292" ht="12.75" customHeight="1">
      <c r="A292" s="569"/>
      <c r="B292" s="569"/>
      <c r="D292" s="569"/>
      <c r="E292" s="569"/>
      <c r="F292" s="569"/>
      <c r="G292" s="569"/>
      <c r="H292" s="569"/>
      <c r="I292" s="569"/>
      <c r="J292" s="569"/>
      <c r="K292" s="569"/>
      <c r="L292" s="569"/>
      <c r="M292" s="569"/>
      <c r="N292" s="569"/>
      <c r="O292" s="569"/>
      <c r="P292" s="569"/>
      <c r="Q292" s="569"/>
      <c r="R292" s="569"/>
      <c r="S292" s="569"/>
      <c r="T292" s="571"/>
      <c r="U292" s="571"/>
      <c r="V292" s="569"/>
      <c r="W292" s="569"/>
      <c r="X292" s="569"/>
      <c r="Y292" s="569"/>
      <c r="Z292" s="569"/>
      <c r="AA292" s="569"/>
    </row>
    <row r="293" ht="12.75" customHeight="1">
      <c r="A293" s="569"/>
      <c r="B293" s="569"/>
      <c r="D293" s="569"/>
      <c r="E293" s="569"/>
      <c r="F293" s="569"/>
      <c r="G293" s="569"/>
      <c r="H293" s="569"/>
      <c r="I293" s="569"/>
      <c r="J293" s="569"/>
      <c r="K293" s="569"/>
      <c r="L293" s="569"/>
      <c r="M293" s="569"/>
      <c r="N293" s="569"/>
      <c r="O293" s="569"/>
      <c r="P293" s="569"/>
      <c r="Q293" s="569"/>
      <c r="R293" s="569"/>
      <c r="S293" s="569"/>
      <c r="T293" s="571"/>
      <c r="U293" s="571"/>
      <c r="V293" s="569"/>
      <c r="W293" s="569"/>
      <c r="X293" s="569"/>
      <c r="Y293" s="569"/>
      <c r="Z293" s="569"/>
      <c r="AA293" s="569"/>
    </row>
    <row r="294" ht="12.75" customHeight="1">
      <c r="A294" s="569"/>
      <c r="B294" s="569"/>
      <c r="D294" s="569"/>
      <c r="E294" s="569"/>
      <c r="F294" s="569"/>
      <c r="G294" s="569"/>
      <c r="H294" s="569"/>
      <c r="I294" s="569"/>
      <c r="J294" s="569"/>
      <c r="K294" s="569"/>
      <c r="L294" s="569"/>
      <c r="M294" s="569"/>
      <c r="N294" s="569"/>
      <c r="O294" s="569"/>
      <c r="P294" s="569"/>
      <c r="Q294" s="569"/>
      <c r="R294" s="569"/>
      <c r="S294" s="569"/>
      <c r="T294" s="571"/>
      <c r="U294" s="571"/>
      <c r="V294" s="569"/>
      <c r="W294" s="569"/>
      <c r="X294" s="569"/>
      <c r="Y294" s="569"/>
      <c r="Z294" s="569"/>
      <c r="AA294" s="569"/>
    </row>
    <row r="295" ht="12.75" customHeight="1">
      <c r="A295" s="569"/>
      <c r="B295" s="569"/>
      <c r="D295" s="569"/>
      <c r="E295" s="569"/>
      <c r="F295" s="569"/>
      <c r="G295" s="569"/>
      <c r="H295" s="569"/>
      <c r="I295" s="569"/>
      <c r="J295" s="569"/>
      <c r="K295" s="569"/>
      <c r="L295" s="569"/>
      <c r="M295" s="569"/>
      <c r="N295" s="569"/>
      <c r="O295" s="569"/>
      <c r="P295" s="569"/>
      <c r="Q295" s="569"/>
      <c r="R295" s="569"/>
      <c r="S295" s="569"/>
      <c r="T295" s="571"/>
      <c r="U295" s="571"/>
      <c r="V295" s="569"/>
      <c r="W295" s="569"/>
      <c r="X295" s="569"/>
      <c r="Y295" s="569"/>
      <c r="Z295" s="569"/>
      <c r="AA295" s="569"/>
    </row>
    <row r="296" ht="12.75" customHeight="1">
      <c r="A296" s="569"/>
      <c r="B296" s="569"/>
      <c r="D296" s="569"/>
      <c r="E296" s="569"/>
      <c r="F296" s="569"/>
      <c r="G296" s="569"/>
      <c r="H296" s="569"/>
      <c r="I296" s="569"/>
      <c r="J296" s="569"/>
      <c r="K296" s="569"/>
      <c r="L296" s="569"/>
      <c r="M296" s="569"/>
      <c r="N296" s="569"/>
      <c r="O296" s="569"/>
      <c r="P296" s="569"/>
      <c r="Q296" s="569"/>
      <c r="R296" s="569"/>
      <c r="S296" s="569"/>
      <c r="T296" s="571"/>
      <c r="U296" s="571"/>
      <c r="V296" s="569"/>
      <c r="W296" s="569"/>
      <c r="X296" s="569"/>
      <c r="Y296" s="569"/>
      <c r="Z296" s="569"/>
      <c r="AA296" s="569"/>
    </row>
    <row r="297" ht="12.75" customHeight="1">
      <c r="A297" s="569"/>
      <c r="B297" s="569"/>
      <c r="D297" s="569"/>
      <c r="E297" s="569"/>
      <c r="F297" s="569"/>
      <c r="G297" s="569"/>
      <c r="H297" s="569"/>
      <c r="I297" s="569"/>
      <c r="J297" s="569"/>
      <c r="K297" s="569"/>
      <c r="L297" s="569"/>
      <c r="M297" s="569"/>
      <c r="N297" s="569"/>
      <c r="O297" s="569"/>
      <c r="P297" s="569"/>
      <c r="Q297" s="569"/>
      <c r="R297" s="569"/>
      <c r="S297" s="569"/>
      <c r="T297" s="571"/>
      <c r="U297" s="571"/>
      <c r="V297" s="569"/>
      <c r="W297" s="569"/>
      <c r="X297" s="569"/>
      <c r="Y297" s="569"/>
      <c r="Z297" s="569"/>
      <c r="AA297" s="569"/>
    </row>
    <row r="298" ht="12.75" customHeight="1">
      <c r="A298" s="569"/>
      <c r="B298" s="569"/>
      <c r="D298" s="569"/>
      <c r="E298" s="569"/>
      <c r="F298" s="569"/>
      <c r="G298" s="569"/>
      <c r="H298" s="569"/>
      <c r="I298" s="569"/>
      <c r="J298" s="569"/>
      <c r="K298" s="569"/>
      <c r="L298" s="569"/>
      <c r="M298" s="569"/>
      <c r="N298" s="569"/>
      <c r="O298" s="569"/>
      <c r="P298" s="569"/>
      <c r="Q298" s="569"/>
      <c r="R298" s="569"/>
      <c r="S298" s="569"/>
      <c r="T298" s="571"/>
      <c r="U298" s="571"/>
      <c r="V298" s="569"/>
      <c r="W298" s="569"/>
      <c r="X298" s="569"/>
      <c r="Y298" s="569"/>
      <c r="Z298" s="569"/>
      <c r="AA298" s="569"/>
    </row>
    <row r="299" ht="12.75" customHeight="1">
      <c r="A299" s="569"/>
      <c r="B299" s="569"/>
      <c r="D299" s="569"/>
      <c r="E299" s="569"/>
      <c r="F299" s="569"/>
      <c r="G299" s="569"/>
      <c r="H299" s="569"/>
      <c r="I299" s="569"/>
      <c r="J299" s="569"/>
      <c r="K299" s="569"/>
      <c r="L299" s="569"/>
      <c r="M299" s="569"/>
      <c r="N299" s="569"/>
      <c r="O299" s="569"/>
      <c r="P299" s="569"/>
      <c r="Q299" s="569"/>
      <c r="R299" s="569"/>
      <c r="S299" s="569"/>
      <c r="T299" s="571"/>
      <c r="U299" s="571"/>
      <c r="V299" s="569"/>
      <c r="W299" s="569"/>
      <c r="X299" s="569"/>
      <c r="Y299" s="569"/>
      <c r="Z299" s="569"/>
      <c r="AA299" s="569"/>
    </row>
    <row r="300" ht="12.75" customHeight="1">
      <c r="A300" s="569"/>
      <c r="B300" s="569"/>
      <c r="D300" s="569"/>
      <c r="E300" s="569"/>
      <c r="F300" s="569"/>
      <c r="G300" s="569"/>
      <c r="H300" s="569"/>
      <c r="I300" s="569"/>
      <c r="J300" s="569"/>
      <c r="K300" s="569"/>
      <c r="L300" s="569"/>
      <c r="M300" s="569"/>
      <c r="N300" s="569"/>
      <c r="O300" s="569"/>
      <c r="P300" s="569"/>
      <c r="Q300" s="569"/>
      <c r="R300" s="569"/>
      <c r="S300" s="569"/>
      <c r="T300" s="571"/>
      <c r="U300" s="571"/>
      <c r="V300" s="569"/>
      <c r="W300" s="569"/>
      <c r="X300" s="569"/>
      <c r="Y300" s="569"/>
      <c r="Z300" s="569"/>
      <c r="AA300" s="569"/>
    </row>
    <row r="301" ht="12.75" customHeight="1">
      <c r="A301" s="569"/>
      <c r="B301" s="569"/>
      <c r="D301" s="569"/>
      <c r="E301" s="569"/>
      <c r="F301" s="569"/>
      <c r="G301" s="569"/>
      <c r="H301" s="569"/>
      <c r="I301" s="569"/>
      <c r="J301" s="569"/>
      <c r="K301" s="569"/>
      <c r="L301" s="569"/>
      <c r="M301" s="569"/>
      <c r="N301" s="569"/>
      <c r="O301" s="569"/>
      <c r="P301" s="569"/>
      <c r="Q301" s="569"/>
      <c r="R301" s="569"/>
      <c r="S301" s="569"/>
      <c r="T301" s="571"/>
      <c r="U301" s="571"/>
      <c r="V301" s="569"/>
      <c r="W301" s="569"/>
      <c r="X301" s="569"/>
      <c r="Y301" s="569"/>
      <c r="Z301" s="569"/>
      <c r="AA301" s="569"/>
    </row>
    <row r="302" ht="12.75" customHeight="1">
      <c r="A302" s="569"/>
      <c r="B302" s="569"/>
      <c r="D302" s="569"/>
      <c r="E302" s="569"/>
      <c r="F302" s="569"/>
      <c r="G302" s="569"/>
      <c r="H302" s="569"/>
      <c r="I302" s="569"/>
      <c r="J302" s="569"/>
      <c r="K302" s="569"/>
      <c r="L302" s="569"/>
      <c r="M302" s="569"/>
      <c r="N302" s="569"/>
      <c r="O302" s="569"/>
      <c r="P302" s="569"/>
      <c r="Q302" s="569"/>
      <c r="R302" s="569"/>
      <c r="S302" s="569"/>
      <c r="T302" s="571"/>
      <c r="U302" s="571"/>
      <c r="V302" s="569"/>
      <c r="W302" s="569"/>
      <c r="X302" s="569"/>
      <c r="Y302" s="569"/>
      <c r="Z302" s="569"/>
      <c r="AA302" s="569"/>
    </row>
    <row r="303" ht="12.75" customHeight="1">
      <c r="A303" s="569"/>
      <c r="B303" s="569"/>
      <c r="D303" s="569"/>
      <c r="E303" s="569"/>
      <c r="F303" s="569"/>
      <c r="G303" s="569"/>
      <c r="H303" s="569"/>
      <c r="I303" s="569"/>
      <c r="J303" s="569"/>
      <c r="K303" s="569"/>
      <c r="L303" s="569"/>
      <c r="M303" s="569"/>
      <c r="N303" s="569"/>
      <c r="O303" s="569"/>
      <c r="P303" s="569"/>
      <c r="Q303" s="569"/>
      <c r="R303" s="569"/>
      <c r="S303" s="569"/>
      <c r="T303" s="569"/>
      <c r="U303" s="569"/>
      <c r="V303" s="569"/>
      <c r="W303" s="569"/>
      <c r="X303" s="569"/>
      <c r="Y303" s="569"/>
      <c r="Z303" s="569"/>
      <c r="AA303" s="569"/>
    </row>
    <row r="304" ht="12.75" customHeight="1">
      <c r="A304" s="569"/>
      <c r="B304" s="569"/>
      <c r="D304" s="569"/>
      <c r="E304" s="569"/>
      <c r="F304" s="569"/>
      <c r="G304" s="569"/>
      <c r="H304" s="569"/>
      <c r="I304" s="569"/>
      <c r="J304" s="569"/>
      <c r="K304" s="569"/>
      <c r="L304" s="569"/>
      <c r="M304" s="569"/>
      <c r="N304" s="569"/>
      <c r="O304" s="569"/>
      <c r="P304" s="569"/>
      <c r="Q304" s="569"/>
      <c r="R304" s="569"/>
      <c r="S304" s="569"/>
      <c r="T304" s="569"/>
      <c r="U304" s="569"/>
      <c r="V304" s="569"/>
      <c r="W304" s="569"/>
      <c r="X304" s="569"/>
      <c r="Y304" s="569"/>
      <c r="Z304" s="569"/>
      <c r="AA304" s="569"/>
    </row>
    <row r="305" ht="12.75" customHeight="1">
      <c r="A305" s="569"/>
      <c r="B305" s="569"/>
      <c r="D305" s="569"/>
      <c r="E305" s="569"/>
      <c r="F305" s="569"/>
      <c r="G305" s="569"/>
      <c r="H305" s="569"/>
      <c r="I305" s="569"/>
      <c r="J305" s="569"/>
      <c r="K305" s="569"/>
      <c r="L305" s="569"/>
      <c r="M305" s="569"/>
      <c r="N305" s="569"/>
      <c r="O305" s="569"/>
      <c r="P305" s="569"/>
      <c r="Q305" s="569"/>
      <c r="R305" s="569"/>
      <c r="S305" s="569"/>
      <c r="T305" s="569"/>
      <c r="U305" s="569"/>
      <c r="V305" s="569"/>
      <c r="W305" s="569"/>
      <c r="X305" s="569"/>
      <c r="Y305" s="569"/>
      <c r="Z305" s="569"/>
      <c r="AA305" s="569"/>
    </row>
    <row r="306" ht="12.75" customHeight="1">
      <c r="A306" s="569"/>
      <c r="B306" s="569"/>
      <c r="D306" s="569"/>
      <c r="E306" s="569"/>
      <c r="F306" s="569"/>
      <c r="G306" s="569"/>
      <c r="H306" s="569"/>
      <c r="I306" s="569"/>
      <c r="J306" s="569"/>
      <c r="K306" s="569"/>
      <c r="L306" s="569"/>
      <c r="M306" s="569"/>
      <c r="N306" s="569"/>
      <c r="O306" s="569"/>
      <c r="P306" s="569"/>
      <c r="Q306" s="569"/>
      <c r="R306" s="569"/>
      <c r="S306" s="569"/>
      <c r="T306" s="569"/>
      <c r="U306" s="569"/>
      <c r="V306" s="569"/>
      <c r="W306" s="569"/>
      <c r="X306" s="569"/>
      <c r="Y306" s="569"/>
      <c r="Z306" s="569"/>
      <c r="AA306" s="569"/>
    </row>
    <row r="307" ht="12.75" customHeight="1">
      <c r="A307" s="569"/>
      <c r="B307" s="569"/>
      <c r="D307" s="569"/>
      <c r="E307" s="569"/>
      <c r="F307" s="569"/>
      <c r="G307" s="569"/>
      <c r="H307" s="569"/>
      <c r="I307" s="569"/>
      <c r="J307" s="569"/>
      <c r="K307" s="569"/>
      <c r="L307" s="569"/>
      <c r="M307" s="569"/>
      <c r="N307" s="569"/>
      <c r="O307" s="569"/>
      <c r="P307" s="569"/>
      <c r="Q307" s="569"/>
      <c r="R307" s="569"/>
      <c r="S307" s="569"/>
      <c r="T307" s="569"/>
      <c r="U307" s="569"/>
      <c r="V307" s="569"/>
      <c r="W307" s="569"/>
      <c r="X307" s="569"/>
      <c r="Y307" s="569"/>
      <c r="Z307" s="569"/>
      <c r="AA307" s="569"/>
    </row>
    <row r="308" ht="12.75" customHeight="1">
      <c r="A308" s="569"/>
      <c r="B308" s="569"/>
      <c r="D308" s="569"/>
      <c r="E308" s="569"/>
      <c r="F308" s="569"/>
      <c r="G308" s="569"/>
      <c r="H308" s="569"/>
      <c r="I308" s="569"/>
      <c r="J308" s="569"/>
      <c r="K308" s="569"/>
      <c r="L308" s="569"/>
      <c r="M308" s="569"/>
      <c r="N308" s="569"/>
      <c r="O308" s="569"/>
      <c r="P308" s="569"/>
      <c r="Q308" s="569"/>
      <c r="R308" s="569"/>
      <c r="S308" s="569"/>
      <c r="T308" s="569"/>
      <c r="U308" s="569"/>
      <c r="V308" s="569"/>
      <c r="W308" s="569"/>
      <c r="X308" s="569"/>
      <c r="Y308" s="569"/>
      <c r="Z308" s="569"/>
      <c r="AA308" s="569"/>
    </row>
    <row r="309" ht="12.75" customHeight="1">
      <c r="A309" s="569"/>
      <c r="B309" s="569"/>
      <c r="D309" s="569"/>
      <c r="E309" s="569"/>
      <c r="F309" s="569"/>
      <c r="G309" s="569"/>
      <c r="H309" s="569"/>
      <c r="I309" s="569"/>
      <c r="J309" s="569"/>
      <c r="K309" s="569"/>
      <c r="L309" s="569"/>
      <c r="M309" s="569"/>
      <c r="N309" s="569"/>
      <c r="O309" s="569"/>
      <c r="P309" s="569"/>
      <c r="Q309" s="569"/>
      <c r="R309" s="569"/>
      <c r="S309" s="569"/>
      <c r="T309" s="569"/>
      <c r="U309" s="569"/>
      <c r="V309" s="569"/>
      <c r="W309" s="569"/>
      <c r="X309" s="569"/>
      <c r="Y309" s="569"/>
      <c r="Z309" s="569"/>
      <c r="AA309" s="569"/>
    </row>
    <row r="310" ht="12.75" customHeight="1">
      <c r="A310" s="569"/>
      <c r="B310" s="569"/>
      <c r="D310" s="569"/>
      <c r="E310" s="569"/>
      <c r="F310" s="569"/>
      <c r="G310" s="569"/>
      <c r="H310" s="569"/>
      <c r="I310" s="569"/>
      <c r="J310" s="569"/>
      <c r="K310" s="569"/>
      <c r="L310" s="569"/>
      <c r="M310" s="569"/>
      <c r="N310" s="569"/>
      <c r="O310" s="569"/>
      <c r="P310" s="569"/>
      <c r="Q310" s="569"/>
      <c r="R310" s="569"/>
      <c r="S310" s="569"/>
      <c r="T310" s="569"/>
      <c r="U310" s="569"/>
      <c r="V310" s="569"/>
      <c r="W310" s="569"/>
      <c r="X310" s="569"/>
      <c r="Y310" s="569"/>
      <c r="Z310" s="569"/>
      <c r="AA310" s="569"/>
    </row>
    <row r="311" ht="12.75" customHeight="1">
      <c r="A311" s="569"/>
      <c r="B311" s="569"/>
      <c r="D311" s="569"/>
      <c r="E311" s="569"/>
      <c r="F311" s="569"/>
      <c r="G311" s="569"/>
      <c r="H311" s="569"/>
      <c r="I311" s="569"/>
      <c r="J311" s="569"/>
      <c r="K311" s="569"/>
      <c r="L311" s="569"/>
      <c r="M311" s="569"/>
      <c r="N311" s="569"/>
      <c r="O311" s="569"/>
      <c r="P311" s="569"/>
      <c r="Q311" s="569"/>
      <c r="R311" s="569"/>
      <c r="S311" s="569"/>
      <c r="T311" s="569"/>
      <c r="U311" s="569"/>
      <c r="V311" s="569"/>
      <c r="W311" s="569"/>
      <c r="X311" s="569"/>
      <c r="Y311" s="569"/>
      <c r="Z311" s="569"/>
      <c r="AA311" s="569"/>
    </row>
    <row r="312" ht="12.75" customHeight="1">
      <c r="A312" s="569"/>
      <c r="B312" s="569"/>
      <c r="D312" s="569"/>
      <c r="E312" s="569"/>
      <c r="F312" s="569"/>
      <c r="G312" s="569"/>
      <c r="H312" s="569"/>
      <c r="I312" s="569"/>
      <c r="J312" s="569"/>
      <c r="K312" s="569"/>
      <c r="L312" s="569"/>
      <c r="M312" s="569"/>
      <c r="N312" s="569"/>
      <c r="O312" s="569"/>
      <c r="P312" s="569"/>
      <c r="Q312" s="569"/>
      <c r="R312" s="569"/>
      <c r="S312" s="569"/>
      <c r="T312" s="569"/>
      <c r="U312" s="569"/>
      <c r="V312" s="569"/>
      <c r="W312" s="569"/>
      <c r="X312" s="569"/>
      <c r="Y312" s="569"/>
      <c r="Z312" s="569"/>
      <c r="AA312" s="569"/>
    </row>
    <row r="313" ht="12.75" customHeight="1">
      <c r="A313" s="569"/>
      <c r="B313" s="569"/>
      <c r="D313" s="569"/>
      <c r="E313" s="569"/>
      <c r="F313" s="569"/>
      <c r="G313" s="569"/>
      <c r="H313" s="569"/>
      <c r="I313" s="569"/>
      <c r="J313" s="569"/>
      <c r="K313" s="569"/>
      <c r="L313" s="569"/>
      <c r="M313" s="569"/>
      <c r="N313" s="569"/>
      <c r="O313" s="569"/>
      <c r="P313" s="569"/>
      <c r="Q313" s="569"/>
      <c r="R313" s="569"/>
      <c r="S313" s="569"/>
      <c r="T313" s="569"/>
      <c r="U313" s="569"/>
      <c r="V313" s="569"/>
      <c r="W313" s="569"/>
      <c r="X313" s="569"/>
      <c r="Y313" s="569"/>
      <c r="Z313" s="569"/>
      <c r="AA313" s="569"/>
    </row>
    <row r="314" ht="12.75" customHeight="1">
      <c r="A314" s="569"/>
      <c r="B314" s="569"/>
      <c r="D314" s="569"/>
      <c r="E314" s="569"/>
      <c r="F314" s="569"/>
      <c r="G314" s="569"/>
      <c r="H314" s="569"/>
      <c r="I314" s="569"/>
      <c r="J314" s="569"/>
      <c r="K314" s="569"/>
      <c r="L314" s="569"/>
      <c r="M314" s="569"/>
      <c r="N314" s="569"/>
      <c r="O314" s="569"/>
      <c r="P314" s="569"/>
      <c r="Q314" s="569"/>
      <c r="R314" s="569"/>
      <c r="S314" s="569"/>
      <c r="T314" s="569"/>
      <c r="U314" s="569"/>
      <c r="V314" s="569"/>
      <c r="W314" s="569"/>
      <c r="X314" s="569"/>
      <c r="Y314" s="569"/>
      <c r="Z314" s="569"/>
      <c r="AA314" s="569"/>
    </row>
    <row r="315" ht="12.75" customHeight="1">
      <c r="A315" s="569"/>
      <c r="B315" s="569"/>
      <c r="D315" s="569"/>
      <c r="E315" s="569"/>
      <c r="F315" s="569"/>
      <c r="G315" s="569"/>
      <c r="H315" s="569"/>
      <c r="I315" s="569"/>
      <c r="J315" s="569"/>
      <c r="K315" s="569"/>
      <c r="L315" s="569"/>
      <c r="M315" s="569"/>
      <c r="N315" s="569"/>
      <c r="O315" s="569"/>
      <c r="P315" s="569"/>
      <c r="Q315" s="569"/>
      <c r="R315" s="569"/>
      <c r="S315" s="569"/>
      <c r="T315" s="569"/>
      <c r="U315" s="569"/>
      <c r="V315" s="569"/>
      <c r="W315" s="569"/>
      <c r="X315" s="569"/>
      <c r="Y315" s="569"/>
      <c r="Z315" s="569"/>
      <c r="AA315" s="569"/>
    </row>
    <row r="316" ht="12.75" customHeight="1">
      <c r="A316" s="569"/>
      <c r="B316" s="569"/>
      <c r="D316" s="569"/>
      <c r="E316" s="569"/>
      <c r="F316" s="569"/>
      <c r="G316" s="569"/>
      <c r="H316" s="569"/>
      <c r="I316" s="569"/>
      <c r="J316" s="569"/>
      <c r="K316" s="569"/>
      <c r="L316" s="569"/>
      <c r="M316" s="569"/>
      <c r="N316" s="569"/>
      <c r="O316" s="569"/>
      <c r="P316" s="569"/>
      <c r="Q316" s="569"/>
      <c r="R316" s="569"/>
      <c r="S316" s="569"/>
      <c r="T316" s="569"/>
      <c r="U316" s="569"/>
      <c r="V316" s="569"/>
      <c r="W316" s="569"/>
      <c r="X316" s="569"/>
      <c r="Y316" s="569"/>
      <c r="Z316" s="569"/>
      <c r="AA316" s="569"/>
    </row>
    <row r="317" ht="12.75" customHeight="1">
      <c r="A317" s="569"/>
      <c r="B317" s="569"/>
      <c r="D317" s="569"/>
      <c r="E317" s="569"/>
      <c r="F317" s="569"/>
      <c r="G317" s="569"/>
      <c r="H317" s="569"/>
      <c r="I317" s="569"/>
      <c r="J317" s="569"/>
      <c r="K317" s="569"/>
      <c r="L317" s="569"/>
      <c r="M317" s="569"/>
      <c r="N317" s="569"/>
      <c r="O317" s="569"/>
      <c r="P317" s="569"/>
      <c r="Q317" s="569"/>
      <c r="R317" s="569"/>
      <c r="S317" s="569"/>
      <c r="T317" s="569"/>
      <c r="U317" s="569"/>
      <c r="V317" s="569"/>
      <c r="W317" s="569"/>
      <c r="X317" s="569"/>
      <c r="Y317" s="569"/>
      <c r="Z317" s="569"/>
      <c r="AA317" s="569"/>
    </row>
    <row r="318" ht="12.75" customHeight="1">
      <c r="A318" s="569"/>
      <c r="B318" s="569"/>
      <c r="D318" s="569"/>
      <c r="E318" s="569"/>
      <c r="F318" s="569"/>
      <c r="G318" s="569"/>
      <c r="H318" s="569"/>
      <c r="I318" s="569"/>
      <c r="J318" s="569"/>
      <c r="K318" s="569"/>
      <c r="L318" s="569"/>
      <c r="M318" s="569"/>
      <c r="N318" s="569"/>
      <c r="O318" s="569"/>
      <c r="P318" s="569"/>
      <c r="Q318" s="569"/>
      <c r="R318" s="569"/>
      <c r="S318" s="569"/>
      <c r="T318" s="569"/>
      <c r="U318" s="569"/>
      <c r="V318" s="569"/>
      <c r="W318" s="569"/>
      <c r="X318" s="569"/>
      <c r="Y318" s="569"/>
      <c r="Z318" s="569"/>
      <c r="AA318" s="569"/>
    </row>
    <row r="319" ht="12.75" customHeight="1">
      <c r="A319" s="569"/>
      <c r="B319" s="569"/>
      <c r="D319" s="569"/>
      <c r="E319" s="569"/>
      <c r="F319" s="569"/>
      <c r="G319" s="569"/>
      <c r="H319" s="569"/>
      <c r="I319" s="569"/>
      <c r="J319" s="569"/>
      <c r="K319" s="569"/>
      <c r="L319" s="569"/>
      <c r="M319" s="569"/>
      <c r="N319" s="569"/>
      <c r="O319" s="569"/>
      <c r="P319" s="569"/>
      <c r="Q319" s="569"/>
      <c r="R319" s="569"/>
      <c r="S319" s="569"/>
      <c r="T319" s="569"/>
      <c r="U319" s="569"/>
      <c r="V319" s="569"/>
      <c r="W319" s="569"/>
      <c r="X319" s="569"/>
      <c r="Y319" s="569"/>
      <c r="Z319" s="569"/>
      <c r="AA319" s="569"/>
    </row>
    <row r="320" ht="12.75" customHeight="1">
      <c r="A320" s="569"/>
      <c r="B320" s="569"/>
      <c r="D320" s="569"/>
      <c r="E320" s="569"/>
      <c r="F320" s="569"/>
      <c r="G320" s="569"/>
      <c r="H320" s="569"/>
      <c r="I320" s="569"/>
      <c r="J320" s="569"/>
      <c r="K320" s="569"/>
      <c r="L320" s="569"/>
      <c r="M320" s="569"/>
      <c r="N320" s="569"/>
      <c r="O320" s="569"/>
      <c r="P320" s="569"/>
      <c r="Q320" s="569"/>
      <c r="R320" s="569"/>
      <c r="S320" s="569"/>
      <c r="T320" s="569"/>
      <c r="U320" s="569"/>
      <c r="V320" s="569"/>
      <c r="W320" s="569"/>
      <c r="X320" s="569"/>
      <c r="Y320" s="569"/>
      <c r="Z320" s="569"/>
      <c r="AA320" s="569"/>
    </row>
    <row r="321" ht="12.75" customHeight="1">
      <c r="A321" s="569"/>
      <c r="B321" s="569"/>
      <c r="D321" s="569"/>
      <c r="E321" s="569"/>
      <c r="F321" s="569"/>
      <c r="G321" s="569"/>
      <c r="H321" s="569"/>
      <c r="I321" s="569"/>
      <c r="J321" s="569"/>
      <c r="K321" s="569"/>
      <c r="L321" s="569"/>
      <c r="M321" s="569"/>
      <c r="N321" s="569"/>
      <c r="O321" s="569"/>
      <c r="P321" s="569"/>
      <c r="Q321" s="569"/>
      <c r="R321" s="569"/>
      <c r="S321" s="569"/>
      <c r="T321" s="569"/>
      <c r="U321" s="569"/>
      <c r="V321" s="569"/>
      <c r="W321" s="569"/>
      <c r="X321" s="569"/>
      <c r="Y321" s="569"/>
      <c r="Z321" s="569"/>
      <c r="AA321" s="569"/>
    </row>
    <row r="322" ht="12.75" customHeight="1">
      <c r="A322" s="569"/>
      <c r="B322" s="569"/>
      <c r="D322" s="569"/>
      <c r="E322" s="569"/>
      <c r="F322" s="569"/>
      <c r="G322" s="569"/>
      <c r="H322" s="569"/>
      <c r="I322" s="569"/>
      <c r="J322" s="569"/>
      <c r="K322" s="569"/>
      <c r="L322" s="569"/>
      <c r="M322" s="569"/>
      <c r="N322" s="569"/>
      <c r="O322" s="569"/>
      <c r="P322" s="569"/>
      <c r="Q322" s="569"/>
      <c r="R322" s="569"/>
      <c r="S322" s="569"/>
      <c r="T322" s="569"/>
      <c r="U322" s="569"/>
      <c r="V322" s="569"/>
      <c r="W322" s="569"/>
      <c r="X322" s="569"/>
      <c r="Y322" s="569"/>
      <c r="Z322" s="569"/>
      <c r="AA322" s="569"/>
    </row>
    <row r="323" ht="12.75" customHeight="1">
      <c r="A323" s="569"/>
      <c r="B323" s="569"/>
      <c r="D323" s="569"/>
      <c r="E323" s="569"/>
      <c r="F323" s="569"/>
      <c r="G323" s="569"/>
      <c r="H323" s="569"/>
      <c r="I323" s="569"/>
      <c r="J323" s="569"/>
      <c r="K323" s="569"/>
      <c r="L323" s="569"/>
      <c r="M323" s="569"/>
      <c r="N323" s="569"/>
      <c r="O323" s="569"/>
      <c r="P323" s="569"/>
      <c r="Q323" s="569"/>
      <c r="R323" s="569"/>
      <c r="S323" s="569"/>
      <c r="T323" s="569"/>
      <c r="U323" s="569"/>
      <c r="V323" s="569"/>
      <c r="W323" s="569"/>
      <c r="X323" s="569"/>
      <c r="Y323" s="569"/>
      <c r="Z323" s="569"/>
      <c r="AA323" s="569"/>
    </row>
    <row r="324" ht="12.75" customHeight="1">
      <c r="A324" s="569"/>
      <c r="B324" s="569"/>
      <c r="D324" s="569"/>
      <c r="E324" s="569"/>
      <c r="F324" s="569"/>
      <c r="G324" s="569"/>
      <c r="H324" s="569"/>
      <c r="I324" s="569"/>
      <c r="J324" s="569"/>
      <c r="K324" s="569"/>
      <c r="L324" s="569"/>
      <c r="M324" s="569"/>
      <c r="N324" s="569"/>
      <c r="O324" s="569"/>
      <c r="P324" s="569"/>
      <c r="Q324" s="569"/>
      <c r="R324" s="569"/>
      <c r="S324" s="569"/>
      <c r="T324" s="569"/>
      <c r="U324" s="569"/>
      <c r="V324" s="569"/>
      <c r="W324" s="569"/>
      <c r="X324" s="569"/>
      <c r="Y324" s="569"/>
      <c r="Z324" s="569"/>
      <c r="AA324" s="569"/>
    </row>
    <row r="325" ht="12.75" customHeight="1">
      <c r="A325" s="569"/>
      <c r="B325" s="569"/>
      <c r="D325" s="569"/>
      <c r="E325" s="569"/>
      <c r="F325" s="569"/>
      <c r="G325" s="569"/>
      <c r="H325" s="569"/>
      <c r="I325" s="569"/>
      <c r="J325" s="569"/>
      <c r="K325" s="569"/>
      <c r="L325" s="569"/>
      <c r="M325" s="569"/>
      <c r="N325" s="569"/>
      <c r="O325" s="569"/>
      <c r="P325" s="569"/>
      <c r="Q325" s="569"/>
      <c r="R325" s="569"/>
      <c r="S325" s="569"/>
      <c r="T325" s="569"/>
      <c r="U325" s="569"/>
      <c r="V325" s="569"/>
      <c r="W325" s="569"/>
      <c r="X325" s="569"/>
      <c r="Y325" s="569"/>
      <c r="Z325" s="569"/>
      <c r="AA325" s="569"/>
    </row>
    <row r="326" ht="12.75" customHeight="1">
      <c r="A326" s="569"/>
      <c r="B326" s="569"/>
      <c r="D326" s="569"/>
      <c r="E326" s="569"/>
      <c r="F326" s="569"/>
      <c r="G326" s="569"/>
      <c r="H326" s="569"/>
      <c r="I326" s="569"/>
      <c r="J326" s="569"/>
      <c r="K326" s="569"/>
      <c r="L326" s="569"/>
      <c r="M326" s="569"/>
      <c r="N326" s="569"/>
      <c r="O326" s="569"/>
      <c r="P326" s="569"/>
      <c r="Q326" s="569"/>
      <c r="R326" s="569"/>
      <c r="S326" s="569"/>
      <c r="T326" s="569"/>
      <c r="U326" s="569"/>
      <c r="V326" s="569"/>
      <c r="W326" s="569"/>
      <c r="X326" s="569"/>
      <c r="Y326" s="569"/>
      <c r="Z326" s="569"/>
      <c r="AA326" s="569"/>
    </row>
    <row r="327" ht="12.75" customHeight="1">
      <c r="A327" s="569"/>
      <c r="B327" s="569"/>
      <c r="D327" s="569"/>
      <c r="E327" s="569"/>
      <c r="F327" s="569"/>
      <c r="G327" s="569"/>
      <c r="H327" s="569"/>
      <c r="I327" s="569"/>
      <c r="J327" s="569"/>
      <c r="K327" s="569"/>
      <c r="L327" s="569"/>
      <c r="M327" s="569"/>
      <c r="N327" s="569"/>
      <c r="O327" s="569"/>
      <c r="P327" s="569"/>
      <c r="Q327" s="569"/>
      <c r="R327" s="569"/>
      <c r="S327" s="569"/>
      <c r="T327" s="569"/>
      <c r="U327" s="569"/>
      <c r="V327" s="569"/>
      <c r="W327" s="569"/>
      <c r="X327" s="569"/>
      <c r="Y327" s="569"/>
      <c r="Z327" s="569"/>
      <c r="AA327" s="569"/>
    </row>
    <row r="328" ht="12.75" customHeight="1">
      <c r="A328" s="569"/>
      <c r="B328" s="569"/>
      <c r="D328" s="569"/>
      <c r="E328" s="569"/>
      <c r="F328" s="569"/>
      <c r="G328" s="569"/>
      <c r="H328" s="569"/>
      <c r="I328" s="569"/>
      <c r="J328" s="569"/>
      <c r="K328" s="569"/>
      <c r="L328" s="569"/>
      <c r="M328" s="569"/>
      <c r="N328" s="569"/>
      <c r="O328" s="569"/>
      <c r="P328" s="569"/>
      <c r="Q328" s="569"/>
      <c r="R328" s="569"/>
      <c r="S328" s="569"/>
      <c r="T328" s="569"/>
      <c r="U328" s="569"/>
      <c r="V328" s="569"/>
      <c r="W328" s="569"/>
      <c r="X328" s="569"/>
      <c r="Y328" s="569"/>
      <c r="Z328" s="569"/>
      <c r="AA328" s="569"/>
    </row>
    <row r="329" ht="12.75" customHeight="1">
      <c r="A329" s="569"/>
      <c r="B329" s="569"/>
      <c r="D329" s="569"/>
      <c r="E329" s="569"/>
      <c r="F329" s="569"/>
      <c r="G329" s="569"/>
      <c r="H329" s="569"/>
      <c r="I329" s="569"/>
      <c r="J329" s="569"/>
      <c r="K329" s="569"/>
      <c r="L329" s="569"/>
      <c r="M329" s="569"/>
      <c r="N329" s="569"/>
      <c r="O329" s="569"/>
      <c r="P329" s="569"/>
      <c r="Q329" s="569"/>
      <c r="R329" s="569"/>
      <c r="S329" s="569"/>
      <c r="T329" s="569"/>
      <c r="U329" s="569"/>
      <c r="V329" s="569"/>
      <c r="W329" s="569"/>
      <c r="X329" s="569"/>
      <c r="Y329" s="569"/>
      <c r="Z329" s="569"/>
      <c r="AA329" s="569"/>
    </row>
    <row r="330" ht="12.75" customHeight="1">
      <c r="A330" s="569"/>
      <c r="B330" s="569"/>
      <c r="D330" s="569"/>
      <c r="E330" s="569"/>
      <c r="F330" s="569"/>
      <c r="G330" s="569"/>
      <c r="H330" s="569"/>
      <c r="I330" s="569"/>
      <c r="J330" s="569"/>
      <c r="K330" s="569"/>
      <c r="L330" s="569"/>
      <c r="M330" s="569"/>
      <c r="N330" s="569"/>
      <c r="O330" s="569"/>
      <c r="P330" s="569"/>
      <c r="Q330" s="569"/>
      <c r="R330" s="569"/>
      <c r="S330" s="569"/>
      <c r="T330" s="569"/>
      <c r="U330" s="569"/>
      <c r="V330" s="569"/>
      <c r="W330" s="569"/>
      <c r="X330" s="569"/>
      <c r="Y330" s="569"/>
      <c r="Z330" s="569"/>
      <c r="AA330" s="569"/>
    </row>
    <row r="331" ht="12.75" customHeight="1">
      <c r="A331" s="569"/>
      <c r="B331" s="569"/>
      <c r="D331" s="569"/>
      <c r="E331" s="569"/>
      <c r="F331" s="569"/>
      <c r="G331" s="569"/>
      <c r="H331" s="569"/>
      <c r="I331" s="569"/>
      <c r="J331" s="569"/>
      <c r="K331" s="569"/>
      <c r="L331" s="569"/>
      <c r="M331" s="569"/>
      <c r="N331" s="569"/>
      <c r="O331" s="569"/>
      <c r="P331" s="569"/>
      <c r="Q331" s="569"/>
      <c r="R331" s="569"/>
      <c r="S331" s="569"/>
      <c r="T331" s="569"/>
      <c r="U331" s="569"/>
      <c r="V331" s="569"/>
      <c r="W331" s="569"/>
      <c r="X331" s="569"/>
      <c r="Y331" s="569"/>
      <c r="Z331" s="569"/>
      <c r="AA331" s="569"/>
    </row>
    <row r="332" ht="12.75" customHeight="1">
      <c r="A332" s="569"/>
      <c r="B332" s="569"/>
      <c r="D332" s="569"/>
      <c r="E332" s="569"/>
      <c r="F332" s="569"/>
      <c r="G332" s="569"/>
      <c r="H332" s="569"/>
      <c r="I332" s="569"/>
      <c r="J332" s="569"/>
      <c r="K332" s="569"/>
      <c r="L332" s="569"/>
      <c r="M332" s="569"/>
      <c r="N332" s="569"/>
      <c r="O332" s="569"/>
      <c r="P332" s="569"/>
      <c r="Q332" s="569"/>
      <c r="R332" s="569"/>
      <c r="S332" s="569"/>
      <c r="T332" s="569"/>
      <c r="U332" s="569"/>
      <c r="V332" s="569"/>
      <c r="W332" s="569"/>
      <c r="X332" s="569"/>
      <c r="Y332" s="569"/>
      <c r="Z332" s="569"/>
      <c r="AA332" s="569"/>
    </row>
    <row r="333" ht="12.75" customHeight="1">
      <c r="A333" s="569"/>
      <c r="B333" s="569"/>
      <c r="D333" s="569"/>
      <c r="E333" s="569"/>
      <c r="F333" s="569"/>
      <c r="G333" s="569"/>
      <c r="H333" s="569"/>
      <c r="I333" s="569"/>
      <c r="J333" s="569"/>
      <c r="K333" s="569"/>
      <c r="L333" s="569"/>
      <c r="M333" s="569"/>
      <c r="N333" s="569"/>
      <c r="O333" s="569"/>
      <c r="P333" s="569"/>
      <c r="Q333" s="569"/>
      <c r="R333" s="569"/>
      <c r="S333" s="569"/>
      <c r="T333" s="569"/>
      <c r="U333" s="569"/>
      <c r="V333" s="569"/>
      <c r="W333" s="569"/>
      <c r="X333" s="569"/>
      <c r="Y333" s="569"/>
      <c r="Z333" s="569"/>
      <c r="AA333" s="569"/>
    </row>
    <row r="334" ht="12.75" customHeight="1">
      <c r="A334" s="569"/>
      <c r="B334" s="569"/>
      <c r="D334" s="569"/>
      <c r="E334" s="569"/>
      <c r="F334" s="569"/>
      <c r="G334" s="569"/>
      <c r="H334" s="569"/>
      <c r="I334" s="569"/>
      <c r="J334" s="569"/>
      <c r="K334" s="569"/>
      <c r="L334" s="569"/>
      <c r="M334" s="569"/>
      <c r="N334" s="569"/>
      <c r="O334" s="569"/>
      <c r="P334" s="569"/>
      <c r="Q334" s="569"/>
      <c r="R334" s="569"/>
      <c r="S334" s="569"/>
      <c r="T334" s="569"/>
      <c r="U334" s="569"/>
      <c r="V334" s="569"/>
      <c r="W334" s="569"/>
      <c r="X334" s="569"/>
      <c r="Y334" s="569"/>
      <c r="Z334" s="569"/>
      <c r="AA334" s="569"/>
    </row>
    <row r="335" ht="12.75" customHeight="1">
      <c r="A335" s="569"/>
      <c r="B335" s="569"/>
      <c r="D335" s="569"/>
      <c r="E335" s="569"/>
      <c r="F335" s="569"/>
      <c r="G335" s="569"/>
      <c r="H335" s="569"/>
      <c r="I335" s="569"/>
      <c r="J335" s="569"/>
      <c r="K335" s="569"/>
      <c r="L335" s="569"/>
      <c r="M335" s="569"/>
      <c r="N335" s="569"/>
      <c r="O335" s="569"/>
      <c r="P335" s="569"/>
      <c r="Q335" s="569"/>
      <c r="R335" s="569"/>
      <c r="S335" s="569"/>
      <c r="T335" s="569"/>
      <c r="U335" s="569"/>
      <c r="V335" s="569"/>
      <c r="W335" s="569"/>
      <c r="X335" s="569"/>
      <c r="Y335" s="569"/>
      <c r="Z335" s="569"/>
      <c r="AA335" s="569"/>
    </row>
    <row r="336" ht="12.75" customHeight="1">
      <c r="A336" s="569"/>
      <c r="B336" s="569"/>
      <c r="D336" s="569"/>
      <c r="E336" s="569"/>
      <c r="F336" s="569"/>
      <c r="G336" s="569"/>
      <c r="H336" s="569"/>
      <c r="I336" s="569"/>
      <c r="J336" s="569"/>
      <c r="K336" s="569"/>
      <c r="L336" s="569"/>
      <c r="M336" s="569"/>
      <c r="N336" s="569"/>
      <c r="O336" s="569"/>
      <c r="P336" s="569"/>
      <c r="Q336" s="569"/>
      <c r="R336" s="569"/>
      <c r="S336" s="569"/>
      <c r="T336" s="569"/>
      <c r="U336" s="569"/>
      <c r="V336" s="569"/>
      <c r="W336" s="569"/>
      <c r="X336" s="569"/>
      <c r="Y336" s="569"/>
      <c r="Z336" s="569"/>
      <c r="AA336" s="569"/>
    </row>
    <row r="337" ht="12.75" customHeight="1">
      <c r="A337" s="569"/>
      <c r="B337" s="569"/>
      <c r="D337" s="569"/>
      <c r="E337" s="569"/>
      <c r="F337" s="569"/>
      <c r="G337" s="569"/>
      <c r="H337" s="569"/>
      <c r="I337" s="569"/>
      <c r="J337" s="569"/>
      <c r="K337" s="569"/>
      <c r="L337" s="569"/>
      <c r="M337" s="569"/>
      <c r="N337" s="569"/>
      <c r="O337" s="569"/>
      <c r="P337" s="569"/>
      <c r="Q337" s="569"/>
      <c r="R337" s="569"/>
      <c r="S337" s="569"/>
      <c r="T337" s="569"/>
      <c r="U337" s="569"/>
      <c r="V337" s="569"/>
      <c r="W337" s="569"/>
      <c r="X337" s="569"/>
      <c r="Y337" s="569"/>
      <c r="Z337" s="569"/>
      <c r="AA337" s="569"/>
    </row>
    <row r="338" ht="12.75" customHeight="1">
      <c r="A338" s="569"/>
      <c r="B338" s="569"/>
      <c r="D338" s="569"/>
      <c r="E338" s="569"/>
      <c r="F338" s="569"/>
      <c r="G338" s="569"/>
      <c r="H338" s="569"/>
      <c r="I338" s="569"/>
      <c r="J338" s="569"/>
      <c r="K338" s="569"/>
      <c r="L338" s="569"/>
      <c r="M338" s="569"/>
      <c r="N338" s="569"/>
      <c r="O338" s="569"/>
      <c r="P338" s="569"/>
      <c r="Q338" s="569"/>
      <c r="R338" s="569"/>
      <c r="S338" s="569"/>
      <c r="T338" s="569"/>
      <c r="U338" s="569"/>
      <c r="V338" s="569"/>
      <c r="W338" s="569"/>
      <c r="X338" s="569"/>
      <c r="Y338" s="569"/>
      <c r="Z338" s="569"/>
      <c r="AA338" s="569"/>
    </row>
    <row r="339" ht="12.75" customHeight="1">
      <c r="A339" s="569"/>
      <c r="B339" s="569"/>
      <c r="D339" s="569"/>
      <c r="E339" s="569"/>
      <c r="F339" s="569"/>
      <c r="G339" s="569"/>
      <c r="H339" s="569"/>
      <c r="I339" s="569"/>
      <c r="J339" s="569"/>
      <c r="K339" s="569"/>
      <c r="L339" s="569"/>
      <c r="M339" s="569"/>
      <c r="N339" s="569"/>
      <c r="O339" s="569"/>
      <c r="P339" s="569"/>
      <c r="Q339" s="569"/>
      <c r="R339" s="569"/>
      <c r="S339" s="569"/>
      <c r="T339" s="569"/>
      <c r="U339" s="569"/>
      <c r="V339" s="569"/>
      <c r="W339" s="569"/>
      <c r="X339" s="569"/>
      <c r="Y339" s="569"/>
      <c r="Z339" s="569"/>
      <c r="AA339" s="569"/>
    </row>
    <row r="340" ht="12.75" customHeight="1">
      <c r="A340" s="569"/>
      <c r="B340" s="569"/>
      <c r="D340" s="569"/>
      <c r="E340" s="569"/>
      <c r="F340" s="569"/>
      <c r="G340" s="569"/>
      <c r="H340" s="569"/>
      <c r="I340" s="569"/>
      <c r="J340" s="569"/>
      <c r="K340" s="569"/>
      <c r="L340" s="569"/>
      <c r="M340" s="569"/>
      <c r="N340" s="569"/>
      <c r="O340" s="569"/>
      <c r="P340" s="569"/>
      <c r="Q340" s="569"/>
      <c r="R340" s="569"/>
      <c r="S340" s="569"/>
      <c r="T340" s="569"/>
      <c r="U340" s="569"/>
      <c r="V340" s="569"/>
      <c r="W340" s="569"/>
      <c r="X340" s="569"/>
      <c r="Y340" s="569"/>
      <c r="Z340" s="569"/>
      <c r="AA340" s="569"/>
    </row>
    <row r="341" ht="12.75" customHeight="1">
      <c r="A341" s="569"/>
      <c r="B341" s="569"/>
      <c r="D341" s="569"/>
      <c r="E341" s="569"/>
      <c r="F341" s="569"/>
      <c r="G341" s="569"/>
      <c r="H341" s="569"/>
      <c r="I341" s="569"/>
      <c r="J341" s="569"/>
      <c r="K341" s="569"/>
      <c r="L341" s="569"/>
      <c r="M341" s="569"/>
      <c r="N341" s="569"/>
      <c r="O341" s="569"/>
      <c r="P341" s="569"/>
      <c r="Q341" s="569"/>
      <c r="R341" s="569"/>
      <c r="S341" s="569"/>
      <c r="T341" s="569"/>
      <c r="U341" s="569"/>
      <c r="V341" s="569"/>
      <c r="W341" s="569"/>
      <c r="X341" s="569"/>
      <c r="Y341" s="569"/>
      <c r="Z341" s="569"/>
      <c r="AA341" s="569"/>
    </row>
    <row r="342" ht="12.75" customHeight="1">
      <c r="A342" s="569"/>
      <c r="B342" s="569"/>
      <c r="D342" s="569"/>
      <c r="E342" s="569"/>
      <c r="F342" s="569"/>
      <c r="G342" s="569"/>
      <c r="H342" s="569"/>
      <c r="I342" s="569"/>
      <c r="J342" s="569"/>
      <c r="K342" s="569"/>
      <c r="L342" s="569"/>
      <c r="M342" s="569"/>
      <c r="N342" s="569"/>
      <c r="O342" s="569"/>
      <c r="P342" s="569"/>
      <c r="Q342" s="569"/>
      <c r="R342" s="569"/>
      <c r="S342" s="569"/>
      <c r="T342" s="569"/>
      <c r="U342" s="569"/>
      <c r="V342" s="569"/>
      <c r="W342" s="569"/>
      <c r="X342" s="569"/>
      <c r="Y342" s="569"/>
      <c r="Z342" s="569"/>
      <c r="AA342" s="569"/>
    </row>
    <row r="343" ht="12.75" customHeight="1">
      <c r="A343" s="569"/>
      <c r="B343" s="569"/>
      <c r="D343" s="569"/>
      <c r="E343" s="569"/>
      <c r="F343" s="569"/>
      <c r="G343" s="569"/>
      <c r="H343" s="569"/>
      <c r="I343" s="569"/>
      <c r="J343" s="569"/>
      <c r="K343" s="569"/>
      <c r="L343" s="569"/>
      <c r="M343" s="569"/>
      <c r="N343" s="569"/>
      <c r="O343" s="569"/>
      <c r="P343" s="569"/>
      <c r="Q343" s="569"/>
      <c r="R343" s="569"/>
      <c r="S343" s="569"/>
      <c r="T343" s="569"/>
      <c r="U343" s="569"/>
      <c r="V343" s="569"/>
      <c r="W343" s="569"/>
      <c r="X343" s="569"/>
      <c r="Y343" s="569"/>
      <c r="Z343" s="569"/>
      <c r="AA343" s="569"/>
    </row>
    <row r="344" ht="12.75" customHeight="1">
      <c r="A344" s="569"/>
      <c r="B344" s="569"/>
      <c r="D344" s="569"/>
      <c r="E344" s="569"/>
      <c r="F344" s="569"/>
      <c r="G344" s="569"/>
      <c r="H344" s="569"/>
      <c r="I344" s="569"/>
      <c r="J344" s="569"/>
      <c r="K344" s="569"/>
      <c r="L344" s="569"/>
      <c r="M344" s="569"/>
      <c r="N344" s="569"/>
      <c r="O344" s="569"/>
      <c r="P344" s="569"/>
      <c r="Q344" s="569"/>
      <c r="R344" s="569"/>
      <c r="S344" s="569"/>
      <c r="T344" s="569"/>
      <c r="U344" s="569"/>
      <c r="V344" s="569"/>
      <c r="W344" s="569"/>
      <c r="X344" s="569"/>
      <c r="Y344" s="569"/>
      <c r="Z344" s="569"/>
      <c r="AA344" s="569"/>
    </row>
    <row r="345" ht="12.75" customHeight="1">
      <c r="A345" s="569"/>
      <c r="B345" s="569"/>
      <c r="D345" s="569"/>
      <c r="E345" s="569"/>
      <c r="F345" s="569"/>
      <c r="G345" s="569"/>
      <c r="H345" s="569"/>
      <c r="I345" s="569"/>
      <c r="J345" s="569"/>
      <c r="K345" s="569"/>
      <c r="L345" s="569"/>
      <c r="M345" s="569"/>
      <c r="N345" s="569"/>
      <c r="O345" s="569"/>
      <c r="P345" s="569"/>
      <c r="Q345" s="569"/>
      <c r="R345" s="569"/>
      <c r="S345" s="569"/>
      <c r="T345" s="569"/>
      <c r="U345" s="569"/>
      <c r="V345" s="569"/>
      <c r="W345" s="569"/>
      <c r="X345" s="569"/>
      <c r="Y345" s="569"/>
      <c r="Z345" s="569"/>
      <c r="AA345" s="569"/>
    </row>
    <row r="346" ht="12.75" customHeight="1">
      <c r="A346" s="569"/>
      <c r="B346" s="569"/>
      <c r="D346" s="569"/>
      <c r="E346" s="569"/>
      <c r="F346" s="569"/>
      <c r="G346" s="569"/>
      <c r="H346" s="569"/>
      <c r="I346" s="569"/>
      <c r="J346" s="569"/>
      <c r="K346" s="569"/>
      <c r="L346" s="569"/>
      <c r="M346" s="569"/>
      <c r="N346" s="569"/>
      <c r="O346" s="569"/>
      <c r="P346" s="569"/>
      <c r="Q346" s="569"/>
      <c r="R346" s="569"/>
      <c r="S346" s="569"/>
      <c r="T346" s="569"/>
      <c r="U346" s="569"/>
      <c r="V346" s="569"/>
      <c r="W346" s="569"/>
      <c r="X346" s="569"/>
      <c r="Y346" s="569"/>
      <c r="Z346" s="569"/>
      <c r="AA346" s="569"/>
    </row>
    <row r="347" ht="12.75" customHeight="1">
      <c r="A347" s="569"/>
      <c r="B347" s="569"/>
      <c r="D347" s="569"/>
      <c r="E347" s="569"/>
      <c r="F347" s="569"/>
      <c r="G347" s="569"/>
      <c r="H347" s="569"/>
      <c r="I347" s="569"/>
      <c r="J347" s="569"/>
      <c r="K347" s="569"/>
      <c r="L347" s="569"/>
      <c r="M347" s="569"/>
      <c r="N347" s="569"/>
      <c r="O347" s="569"/>
      <c r="P347" s="569"/>
      <c r="Q347" s="569"/>
      <c r="R347" s="569"/>
      <c r="S347" s="569"/>
      <c r="T347" s="569"/>
      <c r="U347" s="569"/>
      <c r="V347" s="569"/>
      <c r="W347" s="569"/>
      <c r="X347" s="569"/>
      <c r="Y347" s="569"/>
      <c r="Z347" s="569"/>
      <c r="AA347" s="569"/>
    </row>
    <row r="348" ht="12.75" customHeight="1">
      <c r="A348" s="569"/>
      <c r="B348" s="569"/>
      <c r="D348" s="569"/>
      <c r="E348" s="569"/>
      <c r="F348" s="569"/>
      <c r="G348" s="569"/>
      <c r="H348" s="569"/>
      <c r="I348" s="569"/>
      <c r="J348" s="569"/>
      <c r="K348" s="569"/>
      <c r="L348" s="569"/>
      <c r="M348" s="569"/>
      <c r="N348" s="569"/>
      <c r="O348" s="569"/>
      <c r="P348" s="569"/>
      <c r="Q348" s="569"/>
      <c r="R348" s="569"/>
      <c r="S348" s="569"/>
      <c r="T348" s="569"/>
      <c r="U348" s="569"/>
      <c r="V348" s="569"/>
      <c r="W348" s="569"/>
      <c r="X348" s="569"/>
      <c r="Y348" s="569"/>
      <c r="Z348" s="569"/>
      <c r="AA348" s="569"/>
    </row>
    <row r="349" ht="12.75" customHeight="1">
      <c r="A349" s="569"/>
      <c r="B349" s="569"/>
      <c r="D349" s="569"/>
      <c r="E349" s="569"/>
      <c r="F349" s="569"/>
      <c r="G349" s="569"/>
      <c r="H349" s="569"/>
      <c r="I349" s="569"/>
      <c r="J349" s="569"/>
      <c r="K349" s="569"/>
      <c r="L349" s="569"/>
      <c r="M349" s="569"/>
      <c r="N349" s="569"/>
      <c r="O349" s="569"/>
      <c r="P349" s="569"/>
      <c r="Q349" s="569"/>
      <c r="R349" s="569"/>
      <c r="S349" s="569"/>
      <c r="T349" s="569"/>
      <c r="U349" s="569"/>
      <c r="V349" s="569"/>
      <c r="W349" s="569"/>
      <c r="X349" s="569"/>
      <c r="Y349" s="569"/>
      <c r="Z349" s="569"/>
      <c r="AA349" s="569"/>
    </row>
    <row r="350" ht="12.75" customHeight="1">
      <c r="A350" s="569"/>
      <c r="B350" s="569"/>
      <c r="D350" s="569"/>
      <c r="E350" s="569"/>
      <c r="F350" s="569"/>
      <c r="G350" s="569"/>
      <c r="H350" s="569"/>
      <c r="I350" s="569"/>
      <c r="J350" s="569"/>
      <c r="K350" s="569"/>
      <c r="L350" s="569"/>
      <c r="M350" s="569"/>
      <c r="N350" s="569"/>
      <c r="O350" s="569"/>
      <c r="P350" s="569"/>
      <c r="Q350" s="569"/>
      <c r="R350" s="569"/>
      <c r="S350" s="569"/>
      <c r="T350" s="569"/>
      <c r="U350" s="569"/>
      <c r="V350" s="569"/>
      <c r="W350" s="569"/>
      <c r="X350" s="569"/>
      <c r="Y350" s="569"/>
      <c r="Z350" s="569"/>
      <c r="AA350" s="569"/>
    </row>
    <row r="351" ht="12.75" customHeight="1">
      <c r="A351" s="569"/>
      <c r="B351" s="569"/>
      <c r="D351" s="569"/>
      <c r="E351" s="569"/>
      <c r="F351" s="569"/>
      <c r="G351" s="569"/>
      <c r="H351" s="569"/>
      <c r="I351" s="569"/>
      <c r="J351" s="569"/>
      <c r="K351" s="569"/>
      <c r="L351" s="569"/>
      <c r="M351" s="569"/>
      <c r="N351" s="569"/>
      <c r="O351" s="569"/>
      <c r="P351" s="569"/>
      <c r="Q351" s="569"/>
      <c r="R351" s="569"/>
      <c r="S351" s="569"/>
      <c r="T351" s="569"/>
      <c r="U351" s="569"/>
      <c r="V351" s="569"/>
      <c r="W351" s="569"/>
      <c r="X351" s="569"/>
      <c r="Y351" s="569"/>
      <c r="Z351" s="569"/>
      <c r="AA351" s="569"/>
    </row>
    <row r="352" ht="12.75" customHeight="1">
      <c r="A352" s="569"/>
      <c r="B352" s="569"/>
      <c r="D352" s="569"/>
      <c r="E352" s="569"/>
      <c r="F352" s="569"/>
      <c r="G352" s="569"/>
      <c r="H352" s="569"/>
      <c r="I352" s="569"/>
      <c r="J352" s="569"/>
      <c r="K352" s="569"/>
      <c r="L352" s="569"/>
      <c r="M352" s="569"/>
      <c r="N352" s="569"/>
      <c r="O352" s="569"/>
      <c r="P352" s="569"/>
      <c r="Q352" s="569"/>
      <c r="R352" s="569"/>
      <c r="S352" s="569"/>
      <c r="T352" s="569"/>
      <c r="U352" s="569"/>
      <c r="V352" s="569"/>
      <c r="W352" s="569"/>
      <c r="X352" s="569"/>
      <c r="Y352" s="569"/>
      <c r="Z352" s="569"/>
      <c r="AA352" s="569"/>
    </row>
    <row r="353" ht="12.75" customHeight="1">
      <c r="A353" s="569"/>
      <c r="B353" s="569"/>
      <c r="D353" s="569"/>
      <c r="E353" s="569"/>
      <c r="F353" s="569"/>
      <c r="G353" s="569"/>
      <c r="H353" s="569"/>
      <c r="I353" s="569"/>
      <c r="J353" s="569"/>
      <c r="K353" s="569"/>
      <c r="L353" s="569"/>
      <c r="M353" s="569"/>
      <c r="N353" s="569"/>
      <c r="O353" s="569"/>
      <c r="P353" s="569"/>
      <c r="Q353" s="569"/>
      <c r="R353" s="569"/>
      <c r="S353" s="569"/>
      <c r="T353" s="569"/>
      <c r="U353" s="569"/>
      <c r="V353" s="569"/>
      <c r="W353" s="569"/>
      <c r="X353" s="569"/>
      <c r="Y353" s="569"/>
      <c r="Z353" s="569"/>
      <c r="AA353" s="569"/>
    </row>
    <row r="354" ht="12.75" customHeight="1">
      <c r="A354" s="569"/>
      <c r="B354" s="569"/>
      <c r="D354" s="569"/>
      <c r="E354" s="569"/>
      <c r="F354" s="569"/>
      <c r="G354" s="569"/>
      <c r="H354" s="569"/>
      <c r="I354" s="569"/>
      <c r="J354" s="569"/>
      <c r="K354" s="569"/>
      <c r="L354" s="569"/>
      <c r="M354" s="569"/>
      <c r="N354" s="569"/>
      <c r="O354" s="569"/>
      <c r="P354" s="569"/>
      <c r="Q354" s="569"/>
      <c r="R354" s="569"/>
      <c r="S354" s="569"/>
      <c r="T354" s="569"/>
      <c r="U354" s="569"/>
      <c r="V354" s="569"/>
      <c r="W354" s="569"/>
      <c r="X354" s="569"/>
      <c r="Y354" s="569"/>
      <c r="Z354" s="569"/>
      <c r="AA354" s="569"/>
    </row>
    <row r="355" ht="12.75" customHeight="1">
      <c r="A355" s="569"/>
      <c r="B355" s="569"/>
      <c r="D355" s="569"/>
      <c r="E355" s="569"/>
      <c r="F355" s="569"/>
      <c r="G355" s="569"/>
      <c r="H355" s="569"/>
      <c r="I355" s="569"/>
      <c r="J355" s="569"/>
      <c r="K355" s="569"/>
      <c r="L355" s="569"/>
      <c r="M355" s="569"/>
      <c r="N355" s="569"/>
      <c r="O355" s="569"/>
      <c r="P355" s="569"/>
      <c r="Q355" s="569"/>
      <c r="R355" s="569"/>
      <c r="S355" s="569"/>
      <c r="T355" s="569"/>
      <c r="U355" s="569"/>
      <c r="V355" s="569"/>
      <c r="W355" s="569"/>
      <c r="X355" s="569"/>
      <c r="Y355" s="569"/>
      <c r="Z355" s="569"/>
      <c r="AA355" s="569"/>
    </row>
    <row r="356" ht="12.75" customHeight="1">
      <c r="A356" s="569"/>
      <c r="B356" s="569"/>
      <c r="D356" s="569"/>
      <c r="E356" s="569"/>
      <c r="F356" s="569"/>
      <c r="G356" s="569"/>
      <c r="H356" s="569"/>
      <c r="I356" s="569"/>
      <c r="J356" s="569"/>
      <c r="K356" s="569"/>
      <c r="L356" s="569"/>
      <c r="M356" s="569"/>
      <c r="N356" s="569"/>
      <c r="O356" s="569"/>
      <c r="P356" s="569"/>
      <c r="Q356" s="569"/>
      <c r="R356" s="569"/>
      <c r="S356" s="569"/>
      <c r="T356" s="569"/>
      <c r="U356" s="569"/>
      <c r="V356" s="569"/>
      <c r="W356" s="569"/>
      <c r="X356" s="569"/>
      <c r="Y356" s="569"/>
      <c r="Z356" s="569"/>
      <c r="AA356" s="569"/>
    </row>
    <row r="357" ht="12.75" customHeight="1">
      <c r="A357" s="569"/>
      <c r="B357" s="569"/>
      <c r="D357" s="569"/>
      <c r="E357" s="569"/>
      <c r="F357" s="569"/>
      <c r="G357" s="569"/>
      <c r="H357" s="569"/>
      <c r="I357" s="569"/>
      <c r="J357" s="569"/>
      <c r="K357" s="569"/>
      <c r="L357" s="569"/>
      <c r="M357" s="569"/>
      <c r="N357" s="569"/>
      <c r="O357" s="569"/>
      <c r="P357" s="569"/>
      <c r="Q357" s="569"/>
      <c r="R357" s="569"/>
      <c r="S357" s="569"/>
      <c r="T357" s="569"/>
      <c r="U357" s="569"/>
      <c r="V357" s="569"/>
      <c r="W357" s="569"/>
      <c r="X357" s="569"/>
      <c r="Y357" s="569"/>
      <c r="Z357" s="569"/>
      <c r="AA357" s="569"/>
    </row>
    <row r="358" ht="12.75" customHeight="1">
      <c r="A358" s="569"/>
      <c r="B358" s="569"/>
      <c r="D358" s="569"/>
      <c r="E358" s="569"/>
      <c r="F358" s="569"/>
      <c r="G358" s="569"/>
      <c r="H358" s="569"/>
      <c r="I358" s="569"/>
      <c r="J358" s="569"/>
      <c r="K358" s="569"/>
      <c r="L358" s="569"/>
      <c r="M358" s="569"/>
      <c r="N358" s="569"/>
      <c r="O358" s="569"/>
      <c r="P358" s="569"/>
      <c r="Q358" s="569"/>
      <c r="R358" s="569"/>
      <c r="S358" s="569"/>
      <c r="T358" s="569"/>
      <c r="U358" s="569"/>
      <c r="V358" s="569"/>
      <c r="W358" s="569"/>
      <c r="X358" s="569"/>
      <c r="Y358" s="569"/>
      <c r="Z358" s="569"/>
      <c r="AA358" s="569"/>
    </row>
    <row r="359" ht="12.75" customHeight="1">
      <c r="A359" s="569"/>
      <c r="B359" s="569"/>
      <c r="D359" s="569"/>
      <c r="E359" s="569"/>
      <c r="F359" s="569"/>
      <c r="G359" s="569"/>
      <c r="H359" s="569"/>
      <c r="I359" s="569"/>
      <c r="J359" s="569"/>
      <c r="K359" s="569"/>
      <c r="L359" s="569"/>
      <c r="M359" s="569"/>
      <c r="N359" s="569"/>
      <c r="O359" s="569"/>
      <c r="P359" s="569"/>
      <c r="Q359" s="569"/>
      <c r="R359" s="569"/>
      <c r="S359" s="569"/>
      <c r="T359" s="569"/>
      <c r="U359" s="569"/>
      <c r="V359" s="569"/>
      <c r="W359" s="569"/>
      <c r="X359" s="569"/>
      <c r="Y359" s="569"/>
      <c r="Z359" s="569"/>
      <c r="AA359" s="569"/>
    </row>
    <row r="360" ht="12.75" customHeight="1">
      <c r="A360" s="569"/>
      <c r="B360" s="569"/>
      <c r="D360" s="569"/>
      <c r="E360" s="569"/>
      <c r="F360" s="569"/>
      <c r="G360" s="569"/>
      <c r="H360" s="569"/>
      <c r="I360" s="569"/>
      <c r="J360" s="569"/>
      <c r="K360" s="569"/>
      <c r="L360" s="569"/>
      <c r="M360" s="569"/>
      <c r="N360" s="569"/>
      <c r="O360" s="569"/>
      <c r="P360" s="569"/>
      <c r="Q360" s="569"/>
      <c r="R360" s="569"/>
      <c r="S360" s="569"/>
      <c r="T360" s="569"/>
      <c r="U360" s="569"/>
      <c r="V360" s="569"/>
      <c r="W360" s="569"/>
      <c r="X360" s="569"/>
      <c r="Y360" s="569"/>
      <c r="Z360" s="569"/>
      <c r="AA360" s="569"/>
    </row>
    <row r="361" ht="12.75" customHeight="1">
      <c r="A361" s="569"/>
      <c r="B361" s="569"/>
      <c r="D361" s="569"/>
      <c r="E361" s="569"/>
      <c r="F361" s="569"/>
      <c r="G361" s="569"/>
      <c r="H361" s="569"/>
      <c r="I361" s="569"/>
      <c r="J361" s="569"/>
      <c r="K361" s="569"/>
      <c r="L361" s="569"/>
      <c r="M361" s="569"/>
      <c r="N361" s="569"/>
      <c r="O361" s="569"/>
      <c r="P361" s="569"/>
      <c r="Q361" s="569"/>
      <c r="R361" s="569"/>
      <c r="S361" s="569"/>
      <c r="T361" s="569"/>
      <c r="U361" s="569"/>
      <c r="V361" s="569"/>
      <c r="W361" s="569"/>
      <c r="X361" s="569"/>
      <c r="Y361" s="569"/>
      <c r="Z361" s="569"/>
      <c r="AA361" s="569"/>
    </row>
    <row r="362" ht="12.75" customHeight="1">
      <c r="A362" s="569"/>
      <c r="B362" s="569"/>
      <c r="D362" s="569"/>
      <c r="E362" s="569"/>
      <c r="F362" s="569"/>
      <c r="G362" s="569"/>
      <c r="H362" s="569"/>
      <c r="I362" s="569"/>
      <c r="J362" s="569"/>
      <c r="K362" s="569"/>
      <c r="L362" s="569"/>
      <c r="M362" s="569"/>
      <c r="N362" s="569"/>
      <c r="O362" s="569"/>
      <c r="P362" s="569"/>
      <c r="Q362" s="569"/>
      <c r="R362" s="569"/>
      <c r="S362" s="569"/>
      <c r="T362" s="569"/>
      <c r="U362" s="569"/>
      <c r="V362" s="569"/>
      <c r="W362" s="569"/>
      <c r="X362" s="569"/>
      <c r="Y362" s="569"/>
      <c r="Z362" s="569"/>
      <c r="AA362" s="569"/>
    </row>
    <row r="363" ht="12.75" customHeight="1">
      <c r="A363" s="569"/>
      <c r="B363" s="569"/>
      <c r="D363" s="569"/>
      <c r="E363" s="569"/>
      <c r="F363" s="569"/>
      <c r="G363" s="569"/>
      <c r="H363" s="569"/>
      <c r="I363" s="569"/>
      <c r="J363" s="569"/>
      <c r="K363" s="569"/>
      <c r="L363" s="569"/>
      <c r="M363" s="569"/>
      <c r="N363" s="569"/>
      <c r="O363" s="569"/>
      <c r="P363" s="569"/>
      <c r="Q363" s="569"/>
      <c r="R363" s="569"/>
      <c r="S363" s="569"/>
      <c r="T363" s="569"/>
      <c r="U363" s="569"/>
      <c r="V363" s="569"/>
      <c r="W363" s="569"/>
      <c r="X363" s="569"/>
      <c r="Y363" s="569"/>
      <c r="Z363" s="569"/>
      <c r="AA363" s="569"/>
    </row>
    <row r="364" ht="12.75" customHeight="1">
      <c r="A364" s="569"/>
      <c r="B364" s="569"/>
      <c r="D364" s="569"/>
      <c r="E364" s="569"/>
      <c r="F364" s="569"/>
      <c r="G364" s="569"/>
      <c r="H364" s="569"/>
      <c r="I364" s="569"/>
      <c r="J364" s="569"/>
      <c r="K364" s="569"/>
      <c r="L364" s="569"/>
      <c r="M364" s="569"/>
      <c r="N364" s="569"/>
      <c r="O364" s="569"/>
      <c r="P364" s="569"/>
      <c r="Q364" s="569"/>
      <c r="R364" s="569"/>
      <c r="S364" s="569"/>
      <c r="T364" s="569"/>
      <c r="U364" s="569"/>
      <c r="V364" s="569"/>
      <c r="W364" s="569"/>
      <c r="X364" s="569"/>
      <c r="Y364" s="569"/>
      <c r="Z364" s="569"/>
      <c r="AA364" s="569"/>
    </row>
    <row r="365" ht="12.75" customHeight="1">
      <c r="A365" s="569"/>
      <c r="B365" s="569"/>
      <c r="D365" s="569"/>
      <c r="E365" s="569"/>
      <c r="F365" s="569"/>
      <c r="G365" s="569"/>
      <c r="H365" s="569"/>
      <c r="I365" s="569"/>
      <c r="J365" s="569"/>
      <c r="K365" s="569"/>
      <c r="L365" s="569"/>
      <c r="M365" s="569"/>
      <c r="N365" s="569"/>
      <c r="O365" s="569"/>
      <c r="P365" s="569"/>
      <c r="Q365" s="569"/>
      <c r="R365" s="569"/>
      <c r="S365" s="569"/>
      <c r="T365" s="569"/>
      <c r="U365" s="569"/>
      <c r="V365" s="569"/>
      <c r="W365" s="569"/>
      <c r="X365" s="569"/>
      <c r="Y365" s="569"/>
      <c r="Z365" s="569"/>
      <c r="AA365" s="569"/>
    </row>
    <row r="366" ht="12.75" customHeight="1">
      <c r="A366" s="569"/>
      <c r="B366" s="569"/>
      <c r="D366" s="569"/>
      <c r="E366" s="569"/>
      <c r="F366" s="569"/>
      <c r="G366" s="569"/>
      <c r="H366" s="569"/>
      <c r="I366" s="569"/>
      <c r="J366" s="569"/>
      <c r="K366" s="569"/>
      <c r="L366" s="569"/>
      <c r="M366" s="569"/>
      <c r="N366" s="569"/>
      <c r="O366" s="569"/>
      <c r="P366" s="569"/>
      <c r="Q366" s="569"/>
      <c r="R366" s="569"/>
      <c r="S366" s="569"/>
      <c r="T366" s="569"/>
      <c r="U366" s="569"/>
      <c r="V366" s="569"/>
      <c r="W366" s="569"/>
      <c r="X366" s="569"/>
      <c r="Y366" s="569"/>
      <c r="Z366" s="569"/>
      <c r="AA366" s="569"/>
    </row>
    <row r="367" ht="12.75" customHeight="1">
      <c r="A367" s="569"/>
      <c r="B367" s="569"/>
      <c r="D367" s="569"/>
      <c r="E367" s="569"/>
      <c r="F367" s="569"/>
      <c r="G367" s="569"/>
      <c r="H367" s="569"/>
      <c r="I367" s="569"/>
      <c r="J367" s="569"/>
      <c r="K367" s="569"/>
      <c r="L367" s="569"/>
      <c r="M367" s="569"/>
      <c r="N367" s="569"/>
      <c r="O367" s="569"/>
      <c r="P367" s="569"/>
      <c r="Q367" s="569"/>
      <c r="R367" s="569"/>
      <c r="S367" s="569"/>
      <c r="T367" s="569"/>
      <c r="U367" s="569"/>
      <c r="V367" s="569"/>
      <c r="W367" s="569"/>
      <c r="X367" s="569"/>
      <c r="Y367" s="569"/>
      <c r="Z367" s="569"/>
      <c r="AA367" s="569"/>
    </row>
    <row r="368" ht="12.75" customHeight="1">
      <c r="A368" s="569"/>
      <c r="B368" s="569"/>
      <c r="D368" s="569"/>
      <c r="E368" s="569"/>
      <c r="F368" s="569"/>
      <c r="G368" s="569"/>
      <c r="H368" s="569"/>
      <c r="I368" s="569"/>
      <c r="J368" s="569"/>
      <c r="K368" s="569"/>
      <c r="L368" s="569"/>
      <c r="M368" s="569"/>
      <c r="N368" s="569"/>
      <c r="O368" s="569"/>
      <c r="P368" s="569"/>
      <c r="Q368" s="569"/>
      <c r="R368" s="569"/>
      <c r="S368" s="569"/>
      <c r="T368" s="569"/>
      <c r="U368" s="569"/>
      <c r="V368" s="569"/>
      <c r="W368" s="569"/>
      <c r="X368" s="569"/>
      <c r="Y368" s="569"/>
      <c r="Z368" s="569"/>
      <c r="AA368" s="569"/>
    </row>
    <row r="369" ht="12.75" customHeight="1">
      <c r="A369" s="569"/>
      <c r="B369" s="569"/>
      <c r="D369" s="569"/>
      <c r="E369" s="569"/>
      <c r="F369" s="569"/>
      <c r="G369" s="569"/>
      <c r="H369" s="569"/>
      <c r="I369" s="569"/>
      <c r="J369" s="569"/>
      <c r="K369" s="569"/>
      <c r="L369" s="569"/>
      <c r="M369" s="569"/>
      <c r="N369" s="569"/>
      <c r="O369" s="569"/>
      <c r="P369" s="569"/>
      <c r="Q369" s="569"/>
      <c r="R369" s="569"/>
      <c r="S369" s="569"/>
      <c r="T369" s="569"/>
      <c r="U369" s="569"/>
      <c r="V369" s="569"/>
      <c r="W369" s="569"/>
      <c r="X369" s="569"/>
      <c r="Y369" s="569"/>
      <c r="Z369" s="569"/>
      <c r="AA369" s="569"/>
    </row>
    <row r="370" ht="12.75" customHeight="1">
      <c r="A370" s="569"/>
      <c r="B370" s="569"/>
      <c r="D370" s="569"/>
      <c r="E370" s="569"/>
      <c r="F370" s="569"/>
      <c r="G370" s="569"/>
      <c r="H370" s="569"/>
      <c r="I370" s="569"/>
      <c r="J370" s="569"/>
      <c r="K370" s="569"/>
      <c r="L370" s="569"/>
      <c r="M370" s="569"/>
      <c r="N370" s="569"/>
      <c r="O370" s="569"/>
      <c r="P370" s="569"/>
      <c r="Q370" s="569"/>
      <c r="R370" s="569"/>
      <c r="S370" s="569"/>
      <c r="T370" s="569"/>
      <c r="U370" s="569"/>
      <c r="V370" s="569"/>
      <c r="W370" s="569"/>
      <c r="X370" s="569"/>
      <c r="Y370" s="569"/>
      <c r="Z370" s="569"/>
      <c r="AA370" s="569"/>
    </row>
    <row r="371" ht="12.75" customHeight="1">
      <c r="A371" s="569"/>
      <c r="B371" s="569"/>
      <c r="D371" s="569"/>
      <c r="E371" s="569"/>
      <c r="F371" s="569"/>
      <c r="G371" s="569"/>
      <c r="H371" s="569"/>
      <c r="I371" s="569"/>
      <c r="J371" s="569"/>
      <c r="K371" s="569"/>
      <c r="L371" s="569"/>
      <c r="M371" s="569"/>
      <c r="N371" s="569"/>
      <c r="O371" s="569"/>
      <c r="P371" s="569"/>
      <c r="Q371" s="569"/>
      <c r="R371" s="569"/>
      <c r="S371" s="569"/>
      <c r="T371" s="569"/>
      <c r="U371" s="569"/>
      <c r="V371" s="569"/>
      <c r="W371" s="569"/>
      <c r="X371" s="569"/>
      <c r="Y371" s="569"/>
      <c r="Z371" s="569"/>
      <c r="AA371" s="569"/>
    </row>
    <row r="372" ht="12.75" customHeight="1">
      <c r="A372" s="569"/>
      <c r="B372" s="569"/>
      <c r="D372" s="569"/>
      <c r="E372" s="569"/>
      <c r="F372" s="569"/>
      <c r="G372" s="569"/>
      <c r="H372" s="569"/>
      <c r="I372" s="569"/>
      <c r="J372" s="569"/>
      <c r="K372" s="569"/>
      <c r="L372" s="569"/>
      <c r="M372" s="569"/>
      <c r="N372" s="569"/>
      <c r="O372" s="569"/>
      <c r="P372" s="569"/>
      <c r="Q372" s="569"/>
      <c r="R372" s="569"/>
      <c r="S372" s="569"/>
      <c r="T372" s="569"/>
      <c r="U372" s="569"/>
      <c r="V372" s="569"/>
      <c r="W372" s="569"/>
      <c r="X372" s="569"/>
      <c r="Y372" s="569"/>
      <c r="Z372" s="569"/>
      <c r="AA372" s="569"/>
    </row>
    <row r="373" ht="12.75" customHeight="1">
      <c r="A373" s="569"/>
      <c r="B373" s="569"/>
      <c r="D373" s="569"/>
      <c r="E373" s="569"/>
      <c r="F373" s="569"/>
      <c r="G373" s="569"/>
      <c r="H373" s="569"/>
      <c r="I373" s="569"/>
      <c r="J373" s="569"/>
      <c r="K373" s="569"/>
      <c r="L373" s="569"/>
      <c r="M373" s="569"/>
      <c r="N373" s="569"/>
      <c r="O373" s="569"/>
      <c r="P373" s="569"/>
      <c r="Q373" s="569"/>
      <c r="R373" s="569"/>
      <c r="S373" s="569"/>
      <c r="T373" s="569"/>
      <c r="U373" s="569"/>
      <c r="V373" s="569"/>
      <c r="W373" s="569"/>
      <c r="X373" s="569"/>
      <c r="Y373" s="569"/>
      <c r="Z373" s="569"/>
      <c r="AA373" s="569"/>
    </row>
    <row r="374" ht="12.75" customHeight="1">
      <c r="A374" s="569"/>
      <c r="B374" s="569"/>
      <c r="D374" s="569"/>
      <c r="E374" s="569"/>
      <c r="F374" s="569"/>
      <c r="G374" s="569"/>
      <c r="H374" s="569"/>
      <c r="I374" s="569"/>
      <c r="J374" s="569"/>
      <c r="K374" s="569"/>
      <c r="L374" s="569"/>
      <c r="M374" s="569"/>
      <c r="N374" s="569"/>
      <c r="O374" s="569"/>
      <c r="P374" s="569"/>
      <c r="Q374" s="569"/>
      <c r="R374" s="569"/>
      <c r="S374" s="569"/>
      <c r="T374" s="569"/>
      <c r="U374" s="569"/>
      <c r="V374" s="569"/>
      <c r="W374" s="569"/>
      <c r="X374" s="569"/>
      <c r="Y374" s="569"/>
      <c r="Z374" s="569"/>
      <c r="AA374" s="569"/>
    </row>
    <row r="375" ht="12.75" customHeight="1">
      <c r="A375" s="569"/>
      <c r="B375" s="569"/>
      <c r="D375" s="569"/>
      <c r="E375" s="569"/>
      <c r="F375" s="569"/>
      <c r="G375" s="569"/>
      <c r="H375" s="569"/>
      <c r="I375" s="569"/>
      <c r="J375" s="569"/>
      <c r="K375" s="569"/>
      <c r="L375" s="569"/>
      <c r="M375" s="569"/>
      <c r="N375" s="569"/>
      <c r="O375" s="569"/>
      <c r="P375" s="569"/>
      <c r="Q375" s="569"/>
      <c r="R375" s="569"/>
      <c r="S375" s="569"/>
      <c r="T375" s="569"/>
      <c r="U375" s="569"/>
      <c r="V375" s="569"/>
      <c r="W375" s="569"/>
      <c r="X375" s="569"/>
      <c r="Y375" s="569"/>
      <c r="Z375" s="569"/>
      <c r="AA375" s="569"/>
    </row>
    <row r="376" ht="12.75" customHeight="1">
      <c r="A376" s="569"/>
      <c r="B376" s="569"/>
      <c r="D376" s="569"/>
      <c r="E376" s="569"/>
      <c r="F376" s="569"/>
      <c r="G376" s="569"/>
      <c r="H376" s="569"/>
      <c r="I376" s="569"/>
      <c r="J376" s="569"/>
      <c r="K376" s="569"/>
      <c r="L376" s="569"/>
      <c r="M376" s="569"/>
      <c r="N376" s="569"/>
      <c r="O376" s="569"/>
      <c r="P376" s="569"/>
      <c r="Q376" s="569"/>
      <c r="R376" s="569"/>
      <c r="S376" s="569"/>
      <c r="T376" s="569"/>
      <c r="U376" s="569"/>
      <c r="V376" s="569"/>
      <c r="W376" s="569"/>
      <c r="X376" s="569"/>
      <c r="Y376" s="569"/>
      <c r="Z376" s="569"/>
      <c r="AA376" s="569"/>
    </row>
    <row r="377" ht="12.75" customHeight="1">
      <c r="A377" s="569"/>
      <c r="B377" s="569"/>
      <c r="D377" s="569"/>
      <c r="E377" s="569"/>
      <c r="F377" s="569"/>
      <c r="G377" s="569"/>
      <c r="H377" s="569"/>
      <c r="I377" s="569"/>
      <c r="J377" s="569"/>
      <c r="K377" s="569"/>
      <c r="L377" s="569"/>
      <c r="M377" s="569"/>
      <c r="N377" s="569"/>
      <c r="O377" s="569"/>
      <c r="P377" s="569"/>
      <c r="Q377" s="569"/>
      <c r="R377" s="569"/>
      <c r="S377" s="569"/>
      <c r="T377" s="569"/>
      <c r="U377" s="569"/>
      <c r="V377" s="569"/>
      <c r="W377" s="569"/>
      <c r="X377" s="569"/>
      <c r="Y377" s="569"/>
      <c r="Z377" s="569"/>
      <c r="AA377" s="569"/>
    </row>
    <row r="378" ht="12.75" customHeight="1">
      <c r="A378" s="569"/>
      <c r="B378" s="569"/>
      <c r="D378" s="569"/>
      <c r="E378" s="569"/>
      <c r="F378" s="569"/>
      <c r="G378" s="569"/>
      <c r="H378" s="569"/>
      <c r="I378" s="569"/>
      <c r="J378" s="569"/>
      <c r="K378" s="569"/>
      <c r="L378" s="569"/>
      <c r="M378" s="569"/>
      <c r="N378" s="569"/>
      <c r="O378" s="569"/>
      <c r="P378" s="569"/>
      <c r="Q378" s="569"/>
      <c r="R378" s="569"/>
      <c r="S378" s="569"/>
      <c r="T378" s="569"/>
      <c r="U378" s="569"/>
      <c r="V378" s="569"/>
      <c r="W378" s="569"/>
      <c r="X378" s="569"/>
      <c r="Y378" s="569"/>
      <c r="Z378" s="569"/>
      <c r="AA378" s="569"/>
    </row>
    <row r="379" ht="12.75" customHeight="1">
      <c r="A379" s="569"/>
      <c r="B379" s="569"/>
      <c r="D379" s="569"/>
      <c r="E379" s="569"/>
      <c r="F379" s="569"/>
      <c r="G379" s="569"/>
      <c r="H379" s="569"/>
      <c r="I379" s="569"/>
      <c r="J379" s="569"/>
      <c r="K379" s="569"/>
      <c r="L379" s="569"/>
      <c r="M379" s="569"/>
      <c r="N379" s="569"/>
      <c r="O379" s="569"/>
      <c r="P379" s="569"/>
      <c r="Q379" s="569"/>
      <c r="R379" s="569"/>
      <c r="S379" s="569"/>
      <c r="T379" s="569"/>
      <c r="U379" s="569"/>
      <c r="V379" s="569"/>
      <c r="W379" s="569"/>
      <c r="X379" s="569"/>
      <c r="Y379" s="569"/>
      <c r="Z379" s="569"/>
      <c r="AA379" s="569"/>
    </row>
    <row r="380" ht="12.75" customHeight="1">
      <c r="A380" s="569"/>
      <c r="B380" s="569"/>
      <c r="D380" s="569"/>
      <c r="E380" s="569"/>
      <c r="F380" s="569"/>
      <c r="G380" s="569"/>
      <c r="H380" s="569"/>
      <c r="I380" s="569"/>
      <c r="J380" s="569"/>
      <c r="K380" s="569"/>
      <c r="L380" s="569"/>
      <c r="M380" s="569"/>
      <c r="N380" s="569"/>
      <c r="O380" s="569"/>
      <c r="P380" s="569"/>
      <c r="Q380" s="569"/>
      <c r="R380" s="569"/>
      <c r="S380" s="569"/>
      <c r="T380" s="569"/>
      <c r="U380" s="569"/>
      <c r="V380" s="569"/>
      <c r="W380" s="569"/>
      <c r="X380" s="569"/>
      <c r="Y380" s="569"/>
      <c r="Z380" s="569"/>
      <c r="AA380" s="569"/>
    </row>
    <row r="381" ht="12.75" customHeight="1">
      <c r="A381" s="569"/>
      <c r="B381" s="569"/>
      <c r="D381" s="569"/>
      <c r="E381" s="569"/>
      <c r="F381" s="569"/>
      <c r="G381" s="569"/>
      <c r="H381" s="569"/>
      <c r="I381" s="569"/>
      <c r="J381" s="569"/>
      <c r="K381" s="569"/>
      <c r="L381" s="569"/>
      <c r="M381" s="569"/>
      <c r="N381" s="569"/>
      <c r="O381" s="569"/>
      <c r="P381" s="569"/>
      <c r="Q381" s="569"/>
      <c r="R381" s="569"/>
      <c r="S381" s="569"/>
      <c r="T381" s="569"/>
      <c r="U381" s="569"/>
      <c r="V381" s="569"/>
      <c r="W381" s="569"/>
      <c r="X381" s="569"/>
      <c r="Y381" s="569"/>
      <c r="Z381" s="569"/>
      <c r="AA381" s="569"/>
    </row>
    <row r="382" ht="12.75" customHeight="1">
      <c r="A382" s="569"/>
      <c r="B382" s="569"/>
      <c r="D382" s="569"/>
      <c r="E382" s="569"/>
      <c r="F382" s="569"/>
      <c r="G382" s="569"/>
      <c r="H382" s="569"/>
      <c r="I382" s="569"/>
      <c r="J382" s="569"/>
      <c r="K382" s="569"/>
      <c r="L382" s="569"/>
      <c r="M382" s="569"/>
      <c r="N382" s="569"/>
      <c r="O382" s="569"/>
      <c r="P382" s="569"/>
      <c r="Q382" s="569"/>
      <c r="R382" s="569"/>
      <c r="S382" s="569"/>
      <c r="T382" s="569"/>
      <c r="U382" s="569"/>
      <c r="V382" s="569"/>
      <c r="W382" s="569"/>
      <c r="X382" s="569"/>
      <c r="Y382" s="569"/>
      <c r="Z382" s="569"/>
      <c r="AA382" s="569"/>
    </row>
    <row r="383" ht="12.75" customHeight="1">
      <c r="A383" s="569"/>
      <c r="B383" s="569"/>
      <c r="D383" s="569"/>
      <c r="E383" s="569"/>
      <c r="F383" s="569"/>
      <c r="G383" s="569"/>
      <c r="H383" s="569"/>
      <c r="I383" s="569"/>
      <c r="J383" s="569"/>
      <c r="K383" s="569"/>
      <c r="L383" s="569"/>
      <c r="M383" s="569"/>
      <c r="N383" s="569"/>
      <c r="O383" s="569"/>
      <c r="P383" s="569"/>
      <c r="Q383" s="569"/>
      <c r="R383" s="569"/>
      <c r="S383" s="569"/>
      <c r="T383" s="569"/>
      <c r="U383" s="569"/>
      <c r="V383" s="569"/>
      <c r="W383" s="569"/>
      <c r="X383" s="569"/>
      <c r="Y383" s="569"/>
      <c r="Z383" s="569"/>
      <c r="AA383" s="569"/>
    </row>
    <row r="384" ht="12.75" customHeight="1">
      <c r="A384" s="569"/>
      <c r="B384" s="569"/>
      <c r="D384" s="569"/>
      <c r="E384" s="569"/>
      <c r="F384" s="569"/>
      <c r="G384" s="569"/>
      <c r="H384" s="569"/>
      <c r="I384" s="569"/>
      <c r="J384" s="569"/>
      <c r="K384" s="569"/>
      <c r="L384" s="569"/>
      <c r="M384" s="569"/>
      <c r="N384" s="569"/>
      <c r="O384" s="569"/>
      <c r="P384" s="569"/>
      <c r="Q384" s="569"/>
      <c r="R384" s="569"/>
      <c r="S384" s="569"/>
      <c r="T384" s="569"/>
      <c r="U384" s="569"/>
      <c r="V384" s="569"/>
      <c r="W384" s="569"/>
      <c r="X384" s="569"/>
      <c r="Y384" s="569"/>
      <c r="Z384" s="569"/>
      <c r="AA384" s="569"/>
    </row>
    <row r="385" ht="12.75" customHeight="1">
      <c r="A385" s="569"/>
      <c r="B385" s="569"/>
      <c r="D385" s="569"/>
      <c r="E385" s="569"/>
      <c r="F385" s="569"/>
      <c r="G385" s="569"/>
      <c r="H385" s="569"/>
      <c r="I385" s="569"/>
      <c r="J385" s="569"/>
      <c r="K385" s="569"/>
      <c r="L385" s="569"/>
      <c r="M385" s="569"/>
      <c r="N385" s="569"/>
      <c r="O385" s="569"/>
      <c r="P385" s="569"/>
      <c r="Q385" s="569"/>
      <c r="R385" s="569"/>
      <c r="S385" s="569"/>
      <c r="T385" s="569"/>
      <c r="U385" s="569"/>
      <c r="V385" s="569"/>
      <c r="W385" s="569"/>
      <c r="X385" s="569"/>
      <c r="Y385" s="569"/>
      <c r="Z385" s="569"/>
      <c r="AA385" s="569"/>
    </row>
    <row r="386" ht="12.75" customHeight="1">
      <c r="A386" s="569"/>
      <c r="B386" s="569"/>
      <c r="D386" s="569"/>
      <c r="E386" s="569"/>
      <c r="F386" s="569"/>
      <c r="G386" s="569"/>
      <c r="H386" s="569"/>
      <c r="I386" s="569"/>
      <c r="J386" s="569"/>
      <c r="K386" s="569"/>
      <c r="L386" s="569"/>
      <c r="M386" s="569"/>
      <c r="N386" s="569"/>
      <c r="O386" s="569"/>
      <c r="P386" s="569"/>
      <c r="Q386" s="569"/>
      <c r="R386" s="569"/>
      <c r="S386" s="569"/>
      <c r="T386" s="569"/>
      <c r="U386" s="569"/>
      <c r="V386" s="569"/>
      <c r="W386" s="569"/>
      <c r="X386" s="569"/>
      <c r="Y386" s="569"/>
      <c r="Z386" s="569"/>
      <c r="AA386" s="569"/>
    </row>
    <row r="387" ht="12.75" customHeight="1">
      <c r="A387" s="569"/>
      <c r="B387" s="569"/>
      <c r="D387" s="569"/>
      <c r="E387" s="569"/>
      <c r="F387" s="569"/>
      <c r="G387" s="569"/>
      <c r="H387" s="569"/>
      <c r="I387" s="569"/>
      <c r="J387" s="569"/>
      <c r="K387" s="569"/>
      <c r="L387" s="569"/>
      <c r="M387" s="569"/>
      <c r="N387" s="569"/>
      <c r="O387" s="569"/>
      <c r="P387" s="569"/>
      <c r="Q387" s="569"/>
      <c r="R387" s="569"/>
      <c r="S387" s="569"/>
      <c r="T387" s="569"/>
      <c r="U387" s="569"/>
      <c r="V387" s="569"/>
      <c r="W387" s="569"/>
      <c r="X387" s="569"/>
      <c r="Y387" s="569"/>
      <c r="Z387" s="569"/>
      <c r="AA387" s="569"/>
    </row>
    <row r="388" ht="12.75" customHeight="1">
      <c r="A388" s="569"/>
      <c r="B388" s="569"/>
      <c r="D388" s="569"/>
      <c r="E388" s="569"/>
      <c r="F388" s="569"/>
      <c r="G388" s="569"/>
      <c r="H388" s="569"/>
      <c r="I388" s="569"/>
      <c r="J388" s="569"/>
      <c r="K388" s="569"/>
      <c r="L388" s="569"/>
      <c r="M388" s="569"/>
      <c r="N388" s="569"/>
      <c r="O388" s="569"/>
      <c r="P388" s="569"/>
      <c r="Q388" s="569"/>
      <c r="R388" s="569"/>
      <c r="S388" s="569"/>
      <c r="T388" s="569"/>
      <c r="U388" s="569"/>
      <c r="V388" s="569"/>
      <c r="W388" s="569"/>
      <c r="X388" s="569"/>
      <c r="Y388" s="569"/>
      <c r="Z388" s="569"/>
      <c r="AA388" s="569"/>
    </row>
    <row r="389" ht="12.75" customHeight="1">
      <c r="A389" s="569"/>
      <c r="B389" s="569"/>
      <c r="D389" s="569"/>
      <c r="E389" s="569"/>
      <c r="F389" s="569"/>
      <c r="G389" s="569"/>
      <c r="H389" s="569"/>
      <c r="I389" s="569"/>
      <c r="J389" s="569"/>
      <c r="K389" s="569"/>
      <c r="L389" s="569"/>
      <c r="M389" s="569"/>
      <c r="N389" s="569"/>
      <c r="O389" s="569"/>
      <c r="P389" s="569"/>
      <c r="Q389" s="569"/>
      <c r="R389" s="569"/>
      <c r="S389" s="569"/>
      <c r="T389" s="569"/>
      <c r="U389" s="569"/>
      <c r="V389" s="569"/>
      <c r="W389" s="569"/>
      <c r="X389" s="569"/>
      <c r="Y389" s="569"/>
      <c r="Z389" s="569"/>
      <c r="AA389" s="569"/>
    </row>
    <row r="390" ht="12.75" customHeight="1">
      <c r="A390" s="569"/>
      <c r="B390" s="569"/>
      <c r="D390" s="569"/>
      <c r="E390" s="569"/>
      <c r="F390" s="569"/>
      <c r="G390" s="569"/>
      <c r="H390" s="569"/>
      <c r="I390" s="569"/>
      <c r="J390" s="569"/>
      <c r="K390" s="569"/>
      <c r="L390" s="569"/>
      <c r="M390" s="569"/>
      <c r="N390" s="569"/>
      <c r="O390" s="569"/>
      <c r="P390" s="569"/>
      <c r="Q390" s="569"/>
      <c r="R390" s="569"/>
      <c r="S390" s="569"/>
      <c r="T390" s="569"/>
      <c r="U390" s="569"/>
      <c r="V390" s="569"/>
      <c r="W390" s="569"/>
      <c r="X390" s="569"/>
      <c r="Y390" s="569"/>
      <c r="Z390" s="569"/>
      <c r="AA390" s="569"/>
    </row>
    <row r="391" ht="12.75" customHeight="1">
      <c r="A391" s="569"/>
      <c r="B391" s="569"/>
      <c r="D391" s="569"/>
      <c r="E391" s="569"/>
      <c r="F391" s="569"/>
      <c r="G391" s="569"/>
      <c r="H391" s="569"/>
      <c r="I391" s="569"/>
      <c r="J391" s="569"/>
      <c r="K391" s="569"/>
      <c r="L391" s="569"/>
      <c r="M391" s="569"/>
      <c r="N391" s="569"/>
      <c r="O391" s="569"/>
      <c r="P391" s="569"/>
      <c r="Q391" s="569"/>
      <c r="R391" s="569"/>
      <c r="S391" s="569"/>
      <c r="T391" s="569"/>
      <c r="U391" s="569"/>
      <c r="V391" s="569"/>
      <c r="W391" s="569"/>
      <c r="X391" s="569"/>
      <c r="Y391" s="569"/>
      <c r="Z391" s="569"/>
      <c r="AA391" s="569"/>
    </row>
    <row r="392" ht="12.75" customHeight="1">
      <c r="A392" s="569"/>
      <c r="B392" s="569"/>
      <c r="D392" s="569"/>
      <c r="E392" s="569"/>
      <c r="F392" s="569"/>
      <c r="G392" s="569"/>
      <c r="H392" s="569"/>
      <c r="I392" s="569"/>
      <c r="J392" s="569"/>
      <c r="K392" s="569"/>
      <c r="L392" s="569"/>
      <c r="M392" s="569"/>
      <c r="N392" s="569"/>
      <c r="O392" s="569"/>
      <c r="P392" s="569"/>
      <c r="Q392" s="569"/>
      <c r="R392" s="569"/>
      <c r="S392" s="569"/>
      <c r="T392" s="569"/>
      <c r="U392" s="569"/>
      <c r="V392" s="569"/>
      <c r="W392" s="569"/>
      <c r="X392" s="569"/>
      <c r="Y392" s="569"/>
      <c r="Z392" s="569"/>
      <c r="AA392" s="569"/>
    </row>
    <row r="393" ht="12.75" customHeight="1">
      <c r="A393" s="569"/>
      <c r="B393" s="569"/>
      <c r="D393" s="569"/>
      <c r="E393" s="569"/>
      <c r="F393" s="569"/>
      <c r="G393" s="569"/>
      <c r="H393" s="569"/>
      <c r="I393" s="569"/>
      <c r="J393" s="569"/>
      <c r="K393" s="569"/>
      <c r="L393" s="569"/>
      <c r="M393" s="569"/>
      <c r="N393" s="569"/>
      <c r="O393" s="569"/>
      <c r="P393" s="569"/>
      <c r="Q393" s="569"/>
      <c r="R393" s="569"/>
      <c r="S393" s="569"/>
      <c r="T393" s="569"/>
      <c r="U393" s="569"/>
      <c r="V393" s="569"/>
      <c r="W393" s="569"/>
      <c r="X393" s="569"/>
      <c r="Y393" s="569"/>
      <c r="Z393" s="569"/>
      <c r="AA393" s="569"/>
    </row>
    <row r="394" ht="12.75" customHeight="1">
      <c r="A394" s="569"/>
      <c r="B394" s="569"/>
      <c r="D394" s="569"/>
      <c r="E394" s="569"/>
      <c r="F394" s="569"/>
      <c r="G394" s="569"/>
      <c r="H394" s="569"/>
      <c r="I394" s="569"/>
      <c r="J394" s="569"/>
      <c r="K394" s="569"/>
      <c r="L394" s="569"/>
      <c r="M394" s="569"/>
      <c r="N394" s="569"/>
      <c r="O394" s="569"/>
      <c r="P394" s="569"/>
      <c r="Q394" s="569"/>
      <c r="R394" s="569"/>
      <c r="S394" s="569"/>
      <c r="T394" s="569"/>
      <c r="U394" s="569"/>
      <c r="V394" s="569"/>
      <c r="W394" s="569"/>
      <c r="X394" s="569"/>
      <c r="Y394" s="569"/>
      <c r="Z394" s="569"/>
      <c r="AA394" s="569"/>
    </row>
    <row r="395" ht="12.75" customHeight="1">
      <c r="A395" s="569"/>
      <c r="B395" s="569"/>
      <c r="D395" s="569"/>
      <c r="E395" s="569"/>
      <c r="F395" s="569"/>
      <c r="G395" s="569"/>
      <c r="H395" s="569"/>
      <c r="I395" s="569"/>
      <c r="J395" s="569"/>
      <c r="K395" s="569"/>
      <c r="L395" s="569"/>
      <c r="M395" s="569"/>
      <c r="N395" s="569"/>
      <c r="O395" s="569"/>
      <c r="P395" s="569"/>
      <c r="Q395" s="569"/>
      <c r="R395" s="569"/>
      <c r="S395" s="569"/>
      <c r="T395" s="569"/>
      <c r="U395" s="569"/>
      <c r="V395" s="569"/>
      <c r="W395" s="569"/>
      <c r="X395" s="569"/>
      <c r="Y395" s="569"/>
      <c r="Z395" s="569"/>
      <c r="AA395" s="569"/>
    </row>
    <row r="396" ht="12.75" customHeight="1">
      <c r="A396" s="569"/>
      <c r="B396" s="569"/>
      <c r="D396" s="569"/>
      <c r="E396" s="569"/>
      <c r="F396" s="569"/>
      <c r="G396" s="569"/>
      <c r="H396" s="569"/>
      <c r="I396" s="569"/>
      <c r="J396" s="569"/>
      <c r="K396" s="569"/>
      <c r="L396" s="569"/>
      <c r="M396" s="569"/>
      <c r="N396" s="569"/>
      <c r="O396" s="569"/>
      <c r="P396" s="569"/>
      <c r="Q396" s="569"/>
      <c r="R396" s="569"/>
      <c r="S396" s="569"/>
      <c r="T396" s="569"/>
      <c r="U396" s="569"/>
      <c r="V396" s="569"/>
      <c r="W396" s="569"/>
      <c r="X396" s="569"/>
      <c r="Y396" s="569"/>
      <c r="Z396" s="569"/>
      <c r="AA396" s="569"/>
    </row>
    <row r="397" ht="12.75" customHeight="1">
      <c r="A397" s="569"/>
      <c r="B397" s="569"/>
      <c r="D397" s="569"/>
      <c r="E397" s="569"/>
      <c r="F397" s="569"/>
      <c r="G397" s="569"/>
      <c r="H397" s="569"/>
      <c r="I397" s="569"/>
      <c r="J397" s="569"/>
      <c r="K397" s="569"/>
      <c r="L397" s="569"/>
      <c r="M397" s="569"/>
      <c r="N397" s="569"/>
      <c r="O397" s="569"/>
      <c r="P397" s="569"/>
      <c r="Q397" s="569"/>
      <c r="R397" s="569"/>
      <c r="S397" s="569"/>
      <c r="T397" s="569"/>
      <c r="U397" s="569"/>
      <c r="V397" s="569"/>
      <c r="W397" s="569"/>
      <c r="X397" s="569"/>
      <c r="Y397" s="569"/>
      <c r="Z397" s="569"/>
      <c r="AA397" s="569"/>
    </row>
    <row r="398" ht="12.75" customHeight="1">
      <c r="A398" s="569"/>
      <c r="B398" s="569"/>
      <c r="D398" s="569"/>
      <c r="E398" s="569"/>
      <c r="F398" s="569"/>
      <c r="G398" s="569"/>
      <c r="H398" s="569"/>
      <c r="I398" s="569"/>
      <c r="J398" s="569"/>
      <c r="K398" s="569"/>
      <c r="L398" s="569"/>
      <c r="M398" s="569"/>
      <c r="N398" s="569"/>
      <c r="O398" s="569"/>
      <c r="P398" s="569"/>
      <c r="Q398" s="569"/>
      <c r="R398" s="569"/>
      <c r="S398" s="569"/>
      <c r="T398" s="569"/>
      <c r="U398" s="569"/>
      <c r="V398" s="569"/>
      <c r="W398" s="569"/>
      <c r="X398" s="569"/>
      <c r="Y398" s="569"/>
      <c r="Z398" s="569"/>
      <c r="AA398" s="569"/>
    </row>
    <row r="399" ht="12.75" customHeight="1">
      <c r="A399" s="569"/>
      <c r="B399" s="569"/>
      <c r="D399" s="569"/>
      <c r="E399" s="569"/>
      <c r="F399" s="569"/>
      <c r="G399" s="569"/>
      <c r="H399" s="569"/>
      <c r="I399" s="569"/>
      <c r="J399" s="569"/>
      <c r="K399" s="569"/>
      <c r="L399" s="569"/>
      <c r="M399" s="569"/>
      <c r="N399" s="569"/>
      <c r="O399" s="569"/>
      <c r="P399" s="569"/>
      <c r="Q399" s="569"/>
      <c r="R399" s="569"/>
      <c r="S399" s="569"/>
      <c r="T399" s="569"/>
      <c r="U399" s="569"/>
      <c r="V399" s="569"/>
      <c r="W399" s="569"/>
      <c r="X399" s="569"/>
      <c r="Y399" s="569"/>
      <c r="Z399" s="569"/>
      <c r="AA399" s="569"/>
    </row>
    <row r="400" ht="12.75" customHeight="1">
      <c r="A400" s="569"/>
      <c r="B400" s="569"/>
      <c r="D400" s="569"/>
      <c r="E400" s="569"/>
      <c r="F400" s="569"/>
      <c r="G400" s="569"/>
      <c r="H400" s="569"/>
      <c r="I400" s="569"/>
      <c r="J400" s="569"/>
      <c r="K400" s="569"/>
      <c r="L400" s="569"/>
      <c r="M400" s="569"/>
      <c r="N400" s="569"/>
      <c r="O400" s="569"/>
      <c r="P400" s="569"/>
      <c r="Q400" s="569"/>
      <c r="R400" s="569"/>
      <c r="S400" s="569"/>
      <c r="T400" s="569"/>
      <c r="U400" s="569"/>
      <c r="V400" s="569"/>
      <c r="W400" s="569"/>
      <c r="X400" s="569"/>
      <c r="Y400" s="569"/>
      <c r="Z400" s="569"/>
      <c r="AA400" s="569"/>
    </row>
    <row r="401" ht="12.75" customHeight="1">
      <c r="A401" s="569"/>
      <c r="B401" s="569"/>
      <c r="D401" s="569"/>
      <c r="E401" s="569"/>
      <c r="F401" s="569"/>
      <c r="G401" s="569"/>
      <c r="H401" s="569"/>
      <c r="I401" s="569"/>
      <c r="J401" s="569"/>
      <c r="K401" s="569"/>
      <c r="L401" s="569"/>
      <c r="M401" s="569"/>
      <c r="N401" s="569"/>
      <c r="O401" s="569"/>
      <c r="P401" s="569"/>
      <c r="Q401" s="569"/>
      <c r="R401" s="569"/>
      <c r="S401" s="569"/>
      <c r="T401" s="569"/>
      <c r="U401" s="569"/>
      <c r="V401" s="569"/>
      <c r="W401" s="569"/>
      <c r="X401" s="569"/>
      <c r="Y401" s="569"/>
      <c r="Z401" s="569"/>
      <c r="AA401" s="569"/>
    </row>
    <row r="402" ht="12.75" customHeight="1">
      <c r="A402" s="569"/>
      <c r="B402" s="569"/>
      <c r="D402" s="569"/>
      <c r="E402" s="569"/>
      <c r="F402" s="569"/>
      <c r="G402" s="569"/>
      <c r="H402" s="569"/>
      <c r="I402" s="569"/>
      <c r="J402" s="569"/>
      <c r="K402" s="569"/>
      <c r="L402" s="569"/>
      <c r="M402" s="569"/>
      <c r="N402" s="569"/>
      <c r="O402" s="569"/>
      <c r="P402" s="569"/>
      <c r="Q402" s="569"/>
      <c r="R402" s="569"/>
      <c r="S402" s="569"/>
      <c r="T402" s="569"/>
      <c r="U402" s="569"/>
      <c r="V402" s="569"/>
      <c r="W402" s="569"/>
      <c r="X402" s="569"/>
      <c r="Y402" s="569"/>
      <c r="Z402" s="569"/>
      <c r="AA402" s="569"/>
    </row>
    <row r="403" ht="12.75" customHeight="1">
      <c r="A403" s="569"/>
      <c r="B403" s="569"/>
      <c r="D403" s="569"/>
      <c r="E403" s="569"/>
      <c r="F403" s="569"/>
      <c r="G403" s="569"/>
      <c r="H403" s="569"/>
      <c r="I403" s="569"/>
      <c r="J403" s="569"/>
      <c r="K403" s="569"/>
      <c r="L403" s="569"/>
      <c r="M403" s="569"/>
      <c r="N403" s="569"/>
      <c r="O403" s="569"/>
      <c r="P403" s="569"/>
      <c r="Q403" s="569"/>
      <c r="R403" s="569"/>
      <c r="S403" s="569"/>
      <c r="T403" s="569"/>
      <c r="U403" s="569"/>
      <c r="V403" s="569"/>
      <c r="W403" s="569"/>
      <c r="X403" s="569"/>
      <c r="Y403" s="569"/>
      <c r="Z403" s="569"/>
      <c r="AA403" s="569"/>
    </row>
    <row r="404" ht="12.75" customHeight="1">
      <c r="A404" s="569"/>
      <c r="B404" s="569"/>
      <c r="D404" s="569"/>
      <c r="E404" s="569"/>
      <c r="F404" s="569"/>
      <c r="G404" s="569"/>
      <c r="H404" s="569"/>
      <c r="I404" s="569"/>
      <c r="J404" s="569"/>
      <c r="K404" s="569"/>
      <c r="L404" s="569"/>
      <c r="M404" s="569"/>
      <c r="N404" s="569"/>
      <c r="O404" s="569"/>
      <c r="P404" s="569"/>
      <c r="Q404" s="569"/>
      <c r="R404" s="569"/>
      <c r="S404" s="569"/>
      <c r="T404" s="569"/>
      <c r="U404" s="569"/>
      <c r="V404" s="569"/>
      <c r="W404" s="569"/>
      <c r="X404" s="569"/>
      <c r="Y404" s="569"/>
      <c r="Z404" s="569"/>
      <c r="AA404" s="569"/>
    </row>
    <row r="405" ht="12.75" customHeight="1">
      <c r="A405" s="569"/>
      <c r="B405" s="569"/>
      <c r="D405" s="569"/>
      <c r="E405" s="569"/>
      <c r="F405" s="569"/>
      <c r="G405" s="569"/>
      <c r="H405" s="569"/>
      <c r="I405" s="569"/>
      <c r="J405" s="569"/>
      <c r="K405" s="569"/>
      <c r="L405" s="569"/>
      <c r="M405" s="569"/>
      <c r="N405" s="569"/>
      <c r="O405" s="569"/>
      <c r="P405" s="569"/>
      <c r="Q405" s="569"/>
      <c r="R405" s="569"/>
      <c r="S405" s="569"/>
      <c r="T405" s="569"/>
      <c r="U405" s="569"/>
      <c r="V405" s="569"/>
      <c r="W405" s="569"/>
      <c r="X405" s="569"/>
      <c r="Y405" s="569"/>
      <c r="Z405" s="569"/>
      <c r="AA405" s="569"/>
    </row>
    <row r="406" ht="12.75" customHeight="1">
      <c r="A406" s="569"/>
      <c r="B406" s="569"/>
      <c r="D406" s="569"/>
      <c r="E406" s="569"/>
      <c r="F406" s="569"/>
      <c r="G406" s="569"/>
      <c r="H406" s="569"/>
      <c r="I406" s="569"/>
      <c r="J406" s="569"/>
      <c r="K406" s="569"/>
      <c r="L406" s="569"/>
      <c r="M406" s="569"/>
      <c r="N406" s="569"/>
      <c r="O406" s="569"/>
      <c r="P406" s="569"/>
      <c r="Q406" s="569"/>
      <c r="R406" s="569"/>
      <c r="S406" s="569"/>
      <c r="T406" s="569"/>
      <c r="U406" s="569"/>
      <c r="V406" s="569"/>
      <c r="W406" s="569"/>
      <c r="X406" s="569"/>
      <c r="Y406" s="569"/>
      <c r="Z406" s="569"/>
      <c r="AA406" s="569"/>
    </row>
    <row r="407" ht="12.75" customHeight="1">
      <c r="A407" s="569"/>
      <c r="B407" s="569"/>
      <c r="D407" s="569"/>
      <c r="E407" s="569"/>
      <c r="F407" s="569"/>
      <c r="G407" s="569"/>
      <c r="H407" s="569"/>
      <c r="I407" s="569"/>
      <c r="J407" s="569"/>
      <c r="K407" s="569"/>
      <c r="L407" s="569"/>
      <c r="M407" s="569"/>
      <c r="N407" s="569"/>
      <c r="O407" s="569"/>
      <c r="P407" s="569"/>
      <c r="Q407" s="569"/>
      <c r="R407" s="569"/>
      <c r="S407" s="569"/>
      <c r="T407" s="569"/>
      <c r="U407" s="569"/>
      <c r="V407" s="569"/>
      <c r="W407" s="569"/>
      <c r="X407" s="569"/>
      <c r="Y407" s="569"/>
      <c r="Z407" s="569"/>
      <c r="AA407" s="569"/>
    </row>
    <row r="408" ht="12.75" customHeight="1">
      <c r="A408" s="569"/>
      <c r="B408" s="569"/>
      <c r="D408" s="569"/>
      <c r="E408" s="569"/>
      <c r="F408" s="569"/>
      <c r="G408" s="569"/>
      <c r="H408" s="569"/>
      <c r="I408" s="569"/>
      <c r="J408" s="569"/>
      <c r="K408" s="569"/>
      <c r="L408" s="569"/>
      <c r="M408" s="569"/>
      <c r="N408" s="569"/>
      <c r="O408" s="569"/>
      <c r="P408" s="569"/>
      <c r="Q408" s="569"/>
      <c r="R408" s="569"/>
      <c r="S408" s="569"/>
      <c r="T408" s="569"/>
      <c r="U408" s="569"/>
      <c r="V408" s="569"/>
      <c r="W408" s="569"/>
      <c r="X408" s="569"/>
      <c r="Y408" s="569"/>
      <c r="Z408" s="569"/>
      <c r="AA408" s="569"/>
    </row>
    <row r="409" ht="12.75" customHeight="1">
      <c r="A409" s="569"/>
      <c r="B409" s="569"/>
      <c r="D409" s="569"/>
      <c r="E409" s="569"/>
      <c r="F409" s="569"/>
      <c r="G409" s="569"/>
      <c r="H409" s="569"/>
      <c r="I409" s="569"/>
      <c r="J409" s="569"/>
      <c r="K409" s="569"/>
      <c r="L409" s="569"/>
      <c r="M409" s="569"/>
      <c r="N409" s="569"/>
      <c r="O409" s="569"/>
      <c r="P409" s="569"/>
      <c r="Q409" s="569"/>
      <c r="R409" s="569"/>
      <c r="S409" s="569"/>
      <c r="T409" s="569"/>
      <c r="U409" s="569"/>
      <c r="V409" s="569"/>
      <c r="W409" s="569"/>
      <c r="X409" s="569"/>
      <c r="Y409" s="569"/>
      <c r="Z409" s="569"/>
      <c r="AA409" s="569"/>
    </row>
    <row r="410" ht="12.75" customHeight="1">
      <c r="A410" s="569"/>
      <c r="B410" s="569"/>
      <c r="D410" s="569"/>
      <c r="E410" s="569"/>
      <c r="F410" s="569"/>
      <c r="G410" s="569"/>
      <c r="H410" s="569"/>
      <c r="I410" s="569"/>
      <c r="J410" s="569"/>
      <c r="K410" s="569"/>
      <c r="L410" s="569"/>
      <c r="M410" s="569"/>
      <c r="N410" s="569"/>
      <c r="O410" s="569"/>
      <c r="P410" s="569"/>
      <c r="Q410" s="569"/>
      <c r="R410" s="569"/>
      <c r="S410" s="569"/>
      <c r="T410" s="569"/>
      <c r="U410" s="569"/>
      <c r="V410" s="569"/>
      <c r="W410" s="569"/>
      <c r="X410" s="569"/>
      <c r="Y410" s="569"/>
      <c r="Z410" s="569"/>
      <c r="AA410" s="569"/>
    </row>
    <row r="411" ht="12.75" customHeight="1">
      <c r="A411" s="569"/>
      <c r="B411" s="569"/>
      <c r="D411" s="569"/>
      <c r="E411" s="569"/>
      <c r="F411" s="569"/>
      <c r="G411" s="569"/>
      <c r="H411" s="569"/>
      <c r="I411" s="569"/>
      <c r="J411" s="569"/>
      <c r="K411" s="569"/>
      <c r="L411" s="569"/>
      <c r="M411" s="569"/>
      <c r="N411" s="569"/>
      <c r="O411" s="569"/>
      <c r="P411" s="569"/>
      <c r="Q411" s="569"/>
      <c r="R411" s="569"/>
      <c r="S411" s="569"/>
      <c r="T411" s="569"/>
      <c r="U411" s="569"/>
      <c r="V411" s="569"/>
      <c r="W411" s="569"/>
      <c r="X411" s="569"/>
      <c r="Y411" s="569"/>
      <c r="Z411" s="569"/>
      <c r="AA411" s="569"/>
    </row>
    <row r="412" ht="12.75" customHeight="1">
      <c r="A412" s="569"/>
      <c r="B412" s="569"/>
      <c r="D412" s="569"/>
      <c r="E412" s="569"/>
      <c r="F412" s="569"/>
      <c r="G412" s="569"/>
      <c r="H412" s="569"/>
      <c r="I412" s="569"/>
      <c r="J412" s="569"/>
      <c r="K412" s="569"/>
      <c r="L412" s="569"/>
      <c r="M412" s="569"/>
      <c r="N412" s="569"/>
      <c r="O412" s="569"/>
      <c r="P412" s="569"/>
      <c r="Q412" s="569"/>
      <c r="R412" s="569"/>
      <c r="S412" s="569"/>
      <c r="T412" s="569"/>
      <c r="U412" s="569"/>
      <c r="V412" s="569"/>
      <c r="W412" s="569"/>
      <c r="X412" s="569"/>
      <c r="Y412" s="569"/>
      <c r="Z412" s="569"/>
      <c r="AA412" s="569"/>
    </row>
    <row r="413" ht="12.75" customHeight="1">
      <c r="A413" s="569"/>
      <c r="B413" s="569"/>
      <c r="D413" s="569"/>
      <c r="E413" s="569"/>
      <c r="F413" s="569"/>
      <c r="G413" s="569"/>
      <c r="H413" s="569"/>
      <c r="I413" s="569"/>
      <c r="J413" s="569"/>
      <c r="K413" s="569"/>
      <c r="L413" s="569"/>
      <c r="M413" s="569"/>
      <c r="N413" s="569"/>
      <c r="O413" s="569"/>
      <c r="P413" s="569"/>
      <c r="Q413" s="569"/>
      <c r="R413" s="569"/>
      <c r="S413" s="569"/>
      <c r="T413" s="569"/>
      <c r="U413" s="569"/>
      <c r="V413" s="569"/>
      <c r="W413" s="569"/>
      <c r="X413" s="569"/>
      <c r="Y413" s="569"/>
      <c r="Z413" s="569"/>
      <c r="AA413" s="569"/>
    </row>
    <row r="414" ht="12.75" customHeight="1">
      <c r="A414" s="569"/>
      <c r="B414" s="569"/>
      <c r="D414" s="569"/>
      <c r="E414" s="569"/>
      <c r="F414" s="569"/>
      <c r="G414" s="569"/>
      <c r="H414" s="569"/>
      <c r="I414" s="569"/>
      <c r="J414" s="569"/>
      <c r="K414" s="569"/>
      <c r="L414" s="569"/>
      <c r="M414" s="569"/>
      <c r="N414" s="569"/>
      <c r="O414" s="569"/>
      <c r="P414" s="569"/>
      <c r="Q414" s="569"/>
      <c r="R414" s="569"/>
      <c r="S414" s="569"/>
      <c r="T414" s="569"/>
      <c r="U414" s="569"/>
      <c r="V414" s="569"/>
      <c r="W414" s="569"/>
      <c r="X414" s="569"/>
      <c r="Y414" s="569"/>
      <c r="Z414" s="569"/>
      <c r="AA414" s="569"/>
    </row>
    <row r="415" ht="12.75" customHeight="1">
      <c r="A415" s="569"/>
      <c r="B415" s="569"/>
      <c r="D415" s="569"/>
      <c r="E415" s="569"/>
      <c r="F415" s="569"/>
      <c r="G415" s="569"/>
      <c r="H415" s="569"/>
      <c r="I415" s="569"/>
      <c r="J415" s="569"/>
      <c r="K415" s="569"/>
      <c r="L415" s="569"/>
      <c r="M415" s="569"/>
      <c r="N415" s="569"/>
      <c r="O415" s="569"/>
      <c r="P415" s="569"/>
      <c r="Q415" s="569"/>
      <c r="R415" s="569"/>
      <c r="S415" s="569"/>
      <c r="T415" s="569"/>
      <c r="U415" s="569"/>
      <c r="V415" s="569"/>
      <c r="W415" s="569"/>
      <c r="X415" s="569"/>
      <c r="Y415" s="569"/>
      <c r="Z415" s="569"/>
      <c r="AA415" s="569"/>
    </row>
    <row r="416" ht="12.75" customHeight="1">
      <c r="A416" s="569"/>
      <c r="B416" s="569"/>
      <c r="D416" s="569"/>
      <c r="E416" s="569"/>
      <c r="F416" s="569"/>
      <c r="G416" s="569"/>
      <c r="H416" s="569"/>
      <c r="I416" s="569"/>
      <c r="J416" s="569"/>
      <c r="K416" s="569"/>
      <c r="L416" s="569"/>
      <c r="M416" s="569"/>
      <c r="N416" s="569"/>
      <c r="O416" s="569"/>
      <c r="P416" s="569"/>
      <c r="Q416" s="569"/>
      <c r="R416" s="569"/>
      <c r="S416" s="569"/>
      <c r="T416" s="569"/>
      <c r="U416" s="569"/>
      <c r="V416" s="569"/>
      <c r="W416" s="569"/>
      <c r="X416" s="569"/>
      <c r="Y416" s="569"/>
      <c r="Z416" s="569"/>
      <c r="AA416" s="569"/>
    </row>
    <row r="417" ht="12.75" customHeight="1">
      <c r="A417" s="569"/>
      <c r="B417" s="569"/>
      <c r="D417" s="569"/>
      <c r="E417" s="569"/>
      <c r="F417" s="569"/>
      <c r="G417" s="569"/>
      <c r="H417" s="569"/>
      <c r="I417" s="569"/>
      <c r="J417" s="569"/>
      <c r="K417" s="569"/>
      <c r="L417" s="569"/>
      <c r="M417" s="569"/>
      <c r="N417" s="569"/>
      <c r="O417" s="569"/>
      <c r="P417" s="569"/>
      <c r="Q417" s="569"/>
      <c r="R417" s="569"/>
      <c r="S417" s="569"/>
      <c r="T417" s="569"/>
      <c r="U417" s="569"/>
      <c r="V417" s="569"/>
      <c r="W417" s="569"/>
      <c r="X417" s="569"/>
      <c r="Y417" s="569"/>
      <c r="Z417" s="569"/>
      <c r="AA417" s="569"/>
    </row>
    <row r="418" ht="12.75" customHeight="1">
      <c r="A418" s="569"/>
      <c r="B418" s="569"/>
      <c r="D418" s="569"/>
      <c r="E418" s="569"/>
      <c r="F418" s="569"/>
      <c r="G418" s="569"/>
      <c r="H418" s="569"/>
      <c r="I418" s="569"/>
      <c r="J418" s="569"/>
      <c r="K418" s="569"/>
      <c r="L418" s="569"/>
      <c r="M418" s="569"/>
      <c r="N418" s="569"/>
      <c r="O418" s="569"/>
      <c r="P418" s="569"/>
      <c r="Q418" s="569"/>
      <c r="R418" s="569"/>
      <c r="S418" s="569"/>
      <c r="T418" s="569"/>
      <c r="U418" s="569"/>
      <c r="V418" s="569"/>
      <c r="W418" s="569"/>
      <c r="X418" s="569"/>
      <c r="Y418" s="569"/>
      <c r="Z418" s="569"/>
      <c r="AA418" s="569"/>
    </row>
    <row r="419" ht="12.75" customHeight="1">
      <c r="A419" s="569"/>
      <c r="B419" s="569"/>
      <c r="D419" s="569"/>
      <c r="E419" s="569"/>
      <c r="F419" s="569"/>
      <c r="G419" s="569"/>
      <c r="H419" s="569"/>
      <c r="I419" s="569"/>
      <c r="J419" s="569"/>
      <c r="K419" s="569"/>
      <c r="L419" s="569"/>
      <c r="M419" s="569"/>
      <c r="N419" s="569"/>
      <c r="O419" s="569"/>
      <c r="P419" s="569"/>
      <c r="Q419" s="569"/>
      <c r="R419" s="569"/>
      <c r="S419" s="569"/>
      <c r="T419" s="569"/>
      <c r="U419" s="569"/>
      <c r="V419" s="569"/>
      <c r="W419" s="569"/>
      <c r="X419" s="569"/>
      <c r="Y419" s="569"/>
      <c r="Z419" s="569"/>
      <c r="AA419" s="569"/>
    </row>
    <row r="420" ht="12.75" customHeight="1">
      <c r="A420" s="569"/>
      <c r="B420" s="569"/>
      <c r="D420" s="569"/>
      <c r="E420" s="569"/>
      <c r="F420" s="569"/>
      <c r="G420" s="569"/>
      <c r="H420" s="569"/>
      <c r="I420" s="569"/>
      <c r="J420" s="569"/>
      <c r="K420" s="569"/>
      <c r="L420" s="569"/>
      <c r="M420" s="569"/>
      <c r="N420" s="569"/>
      <c r="O420" s="569"/>
      <c r="P420" s="569"/>
      <c r="Q420" s="569"/>
      <c r="R420" s="569"/>
      <c r="S420" s="569"/>
      <c r="T420" s="569"/>
      <c r="U420" s="569"/>
      <c r="V420" s="569"/>
      <c r="W420" s="569"/>
      <c r="X420" s="569"/>
      <c r="Y420" s="569"/>
      <c r="Z420" s="569"/>
      <c r="AA420" s="569"/>
    </row>
    <row r="421" ht="12.75" customHeight="1">
      <c r="A421" s="569"/>
      <c r="B421" s="569"/>
      <c r="D421" s="569"/>
      <c r="E421" s="569"/>
      <c r="F421" s="569"/>
      <c r="G421" s="569"/>
      <c r="H421" s="569"/>
      <c r="I421" s="569"/>
      <c r="J421" s="569"/>
      <c r="K421" s="569"/>
      <c r="L421" s="569"/>
      <c r="M421" s="569"/>
      <c r="N421" s="569"/>
      <c r="O421" s="569"/>
      <c r="P421" s="569"/>
      <c r="Q421" s="569"/>
      <c r="R421" s="569"/>
      <c r="S421" s="569"/>
      <c r="T421" s="569"/>
      <c r="U421" s="569"/>
      <c r="V421" s="569"/>
      <c r="W421" s="569"/>
      <c r="X421" s="569"/>
      <c r="Y421" s="569"/>
      <c r="Z421" s="569"/>
      <c r="AA421" s="569"/>
    </row>
    <row r="422" ht="12.75" customHeight="1">
      <c r="A422" s="569"/>
      <c r="B422" s="569"/>
      <c r="D422" s="569"/>
      <c r="E422" s="569"/>
      <c r="F422" s="569"/>
      <c r="G422" s="569"/>
      <c r="H422" s="569"/>
      <c r="I422" s="569"/>
      <c r="J422" s="569"/>
      <c r="K422" s="569"/>
      <c r="L422" s="569"/>
      <c r="M422" s="569"/>
      <c r="N422" s="569"/>
      <c r="O422" s="569"/>
      <c r="P422" s="569"/>
      <c r="Q422" s="569"/>
      <c r="R422" s="569"/>
      <c r="S422" s="569"/>
      <c r="T422" s="569"/>
      <c r="U422" s="569"/>
      <c r="V422" s="569"/>
      <c r="W422" s="569"/>
      <c r="X422" s="569"/>
      <c r="Y422" s="569"/>
      <c r="Z422" s="569"/>
      <c r="AA422" s="569"/>
    </row>
    <row r="423" ht="12.75" customHeight="1">
      <c r="A423" s="569"/>
      <c r="B423" s="569"/>
      <c r="D423" s="569"/>
      <c r="E423" s="569"/>
      <c r="F423" s="569"/>
      <c r="G423" s="569"/>
      <c r="H423" s="569"/>
      <c r="I423" s="569"/>
      <c r="J423" s="569"/>
      <c r="K423" s="569"/>
      <c r="L423" s="569"/>
      <c r="M423" s="569"/>
      <c r="N423" s="569"/>
      <c r="O423" s="569"/>
      <c r="P423" s="569"/>
      <c r="Q423" s="569"/>
      <c r="R423" s="569"/>
      <c r="S423" s="569"/>
      <c r="T423" s="569"/>
      <c r="U423" s="569"/>
      <c r="V423" s="569"/>
      <c r="W423" s="569"/>
      <c r="X423" s="569"/>
      <c r="Y423" s="569"/>
      <c r="Z423" s="569"/>
      <c r="AA423" s="569"/>
    </row>
    <row r="424" ht="12.75" customHeight="1">
      <c r="A424" s="569"/>
      <c r="B424" s="569"/>
      <c r="D424" s="569"/>
      <c r="E424" s="569"/>
      <c r="F424" s="569"/>
      <c r="G424" s="569"/>
      <c r="H424" s="569"/>
      <c r="I424" s="569"/>
      <c r="J424" s="569"/>
      <c r="K424" s="569"/>
      <c r="L424" s="569"/>
      <c r="M424" s="569"/>
      <c r="N424" s="569"/>
      <c r="O424" s="569"/>
      <c r="P424" s="569"/>
      <c r="Q424" s="569"/>
      <c r="R424" s="569"/>
      <c r="S424" s="569"/>
      <c r="T424" s="569"/>
      <c r="U424" s="569"/>
      <c r="V424" s="569"/>
      <c r="W424" s="569"/>
      <c r="X424" s="569"/>
      <c r="Y424" s="569"/>
      <c r="Z424" s="569"/>
      <c r="AA424" s="569"/>
    </row>
    <row r="425" ht="12.75" customHeight="1">
      <c r="A425" s="569"/>
      <c r="B425" s="569"/>
      <c r="D425" s="569"/>
      <c r="E425" s="569"/>
      <c r="F425" s="569"/>
      <c r="G425" s="569"/>
      <c r="H425" s="569"/>
      <c r="I425" s="569"/>
      <c r="J425" s="569"/>
      <c r="K425" s="569"/>
      <c r="L425" s="569"/>
      <c r="M425" s="569"/>
      <c r="N425" s="569"/>
      <c r="O425" s="569"/>
      <c r="P425" s="569"/>
      <c r="Q425" s="569"/>
      <c r="R425" s="569"/>
      <c r="S425" s="569"/>
      <c r="T425" s="569"/>
      <c r="U425" s="569"/>
      <c r="V425" s="569"/>
      <c r="W425" s="569"/>
      <c r="X425" s="569"/>
      <c r="Y425" s="569"/>
      <c r="Z425" s="569"/>
      <c r="AA425" s="569"/>
    </row>
    <row r="426" ht="12.75" customHeight="1">
      <c r="A426" s="569"/>
      <c r="B426" s="569"/>
      <c r="D426" s="569"/>
      <c r="E426" s="569"/>
      <c r="F426" s="569"/>
      <c r="G426" s="569"/>
      <c r="H426" s="569"/>
      <c r="I426" s="569"/>
      <c r="J426" s="569"/>
      <c r="K426" s="569"/>
      <c r="L426" s="569"/>
      <c r="M426" s="569"/>
      <c r="N426" s="569"/>
      <c r="O426" s="569"/>
      <c r="P426" s="569"/>
      <c r="Q426" s="569"/>
      <c r="R426" s="569"/>
      <c r="S426" s="569"/>
      <c r="T426" s="569"/>
      <c r="U426" s="569"/>
      <c r="V426" s="569"/>
      <c r="W426" s="569"/>
      <c r="X426" s="569"/>
      <c r="Y426" s="569"/>
      <c r="Z426" s="569"/>
      <c r="AA426" s="569"/>
    </row>
    <row r="427" ht="12.75" customHeight="1">
      <c r="A427" s="569"/>
      <c r="B427" s="569"/>
      <c r="D427" s="569"/>
      <c r="E427" s="569"/>
      <c r="F427" s="569"/>
      <c r="G427" s="569"/>
      <c r="H427" s="569"/>
      <c r="I427" s="569"/>
      <c r="J427" s="569"/>
      <c r="K427" s="569"/>
      <c r="L427" s="569"/>
      <c r="M427" s="569"/>
      <c r="N427" s="569"/>
      <c r="O427" s="569"/>
      <c r="P427" s="569"/>
      <c r="Q427" s="569"/>
      <c r="R427" s="569"/>
      <c r="S427" s="569"/>
      <c r="T427" s="569"/>
      <c r="U427" s="569"/>
      <c r="V427" s="569"/>
      <c r="W427" s="569"/>
      <c r="X427" s="569"/>
      <c r="Y427" s="569"/>
      <c r="Z427" s="569"/>
      <c r="AA427" s="569"/>
    </row>
    <row r="428" ht="12.75" customHeight="1">
      <c r="A428" s="569"/>
      <c r="B428" s="569"/>
      <c r="D428" s="569"/>
      <c r="E428" s="569"/>
      <c r="F428" s="569"/>
      <c r="G428" s="569"/>
      <c r="H428" s="569"/>
      <c r="I428" s="569"/>
      <c r="J428" s="569"/>
      <c r="K428" s="569"/>
      <c r="L428" s="569"/>
      <c r="M428" s="569"/>
      <c r="N428" s="569"/>
      <c r="O428" s="569"/>
      <c r="P428" s="569"/>
      <c r="Q428" s="569"/>
      <c r="R428" s="569"/>
      <c r="S428" s="569"/>
      <c r="T428" s="569"/>
      <c r="U428" s="569"/>
      <c r="V428" s="569"/>
      <c r="W428" s="569"/>
      <c r="X428" s="569"/>
      <c r="Y428" s="569"/>
      <c r="Z428" s="569"/>
      <c r="AA428" s="569"/>
    </row>
    <row r="429" ht="12.75" customHeight="1">
      <c r="A429" s="569"/>
      <c r="B429" s="569"/>
      <c r="D429" s="569"/>
      <c r="E429" s="569"/>
      <c r="F429" s="569"/>
      <c r="G429" s="569"/>
      <c r="H429" s="569"/>
      <c r="I429" s="569"/>
      <c r="J429" s="569"/>
      <c r="K429" s="569"/>
      <c r="L429" s="569"/>
      <c r="M429" s="569"/>
      <c r="N429" s="569"/>
      <c r="O429" s="569"/>
      <c r="P429" s="569"/>
      <c r="Q429" s="569"/>
      <c r="R429" s="569"/>
      <c r="S429" s="569"/>
      <c r="T429" s="569"/>
      <c r="U429" s="569"/>
      <c r="V429" s="569"/>
      <c r="W429" s="569"/>
      <c r="X429" s="569"/>
      <c r="Y429" s="569"/>
      <c r="Z429" s="569"/>
      <c r="AA429" s="569"/>
    </row>
    <row r="430" ht="12.75" customHeight="1">
      <c r="A430" s="569"/>
      <c r="B430" s="569"/>
      <c r="D430" s="569"/>
      <c r="E430" s="569"/>
      <c r="F430" s="569"/>
      <c r="G430" s="569"/>
      <c r="H430" s="569"/>
      <c r="I430" s="569"/>
      <c r="J430" s="569"/>
      <c r="K430" s="569"/>
      <c r="L430" s="569"/>
      <c r="M430" s="569"/>
      <c r="N430" s="569"/>
      <c r="O430" s="569"/>
      <c r="P430" s="569"/>
      <c r="Q430" s="569"/>
      <c r="R430" s="569"/>
      <c r="S430" s="569"/>
      <c r="T430" s="569"/>
      <c r="U430" s="569"/>
      <c r="V430" s="569"/>
      <c r="W430" s="569"/>
      <c r="X430" s="569"/>
      <c r="Y430" s="569"/>
      <c r="Z430" s="569"/>
      <c r="AA430" s="569"/>
    </row>
    <row r="431" ht="12.75" customHeight="1">
      <c r="A431" s="569"/>
      <c r="B431" s="569"/>
      <c r="D431" s="569"/>
      <c r="E431" s="569"/>
      <c r="F431" s="569"/>
      <c r="G431" s="569"/>
      <c r="H431" s="569"/>
      <c r="I431" s="569"/>
      <c r="J431" s="569"/>
      <c r="K431" s="569"/>
      <c r="L431" s="569"/>
      <c r="M431" s="569"/>
      <c r="N431" s="569"/>
      <c r="O431" s="569"/>
      <c r="P431" s="569"/>
      <c r="Q431" s="569"/>
      <c r="R431" s="569"/>
      <c r="S431" s="569"/>
      <c r="T431" s="569"/>
      <c r="U431" s="569"/>
      <c r="V431" s="569"/>
      <c r="W431" s="569"/>
      <c r="X431" s="569"/>
      <c r="Y431" s="569"/>
      <c r="Z431" s="569"/>
      <c r="AA431" s="569"/>
    </row>
    <row r="432" ht="12.75" customHeight="1">
      <c r="A432" s="569"/>
      <c r="B432" s="569"/>
      <c r="D432" s="569"/>
      <c r="E432" s="569"/>
      <c r="F432" s="569"/>
      <c r="G432" s="569"/>
      <c r="H432" s="569"/>
      <c r="I432" s="569"/>
      <c r="J432" s="569"/>
      <c r="K432" s="569"/>
      <c r="L432" s="569"/>
      <c r="M432" s="569"/>
      <c r="N432" s="569"/>
      <c r="O432" s="569"/>
      <c r="P432" s="569"/>
      <c r="Q432" s="569"/>
      <c r="R432" s="569"/>
      <c r="S432" s="569"/>
      <c r="T432" s="569"/>
      <c r="U432" s="569"/>
      <c r="V432" s="569"/>
      <c r="W432" s="569"/>
      <c r="X432" s="569"/>
      <c r="Y432" s="569"/>
      <c r="Z432" s="569"/>
      <c r="AA432" s="569"/>
    </row>
    <row r="433" ht="12.75" customHeight="1">
      <c r="A433" s="569"/>
      <c r="B433" s="569"/>
      <c r="D433" s="569"/>
      <c r="E433" s="569"/>
      <c r="F433" s="569"/>
      <c r="G433" s="569"/>
      <c r="H433" s="569"/>
      <c r="I433" s="569"/>
      <c r="J433" s="569"/>
      <c r="K433" s="569"/>
      <c r="L433" s="569"/>
      <c r="M433" s="569"/>
      <c r="N433" s="569"/>
      <c r="O433" s="569"/>
      <c r="P433" s="569"/>
      <c r="Q433" s="569"/>
      <c r="R433" s="569"/>
      <c r="S433" s="569"/>
      <c r="T433" s="569"/>
      <c r="U433" s="569"/>
      <c r="V433" s="569"/>
      <c r="W433" s="569"/>
      <c r="X433" s="569"/>
      <c r="Y433" s="569"/>
      <c r="Z433" s="569"/>
      <c r="AA433" s="569"/>
    </row>
    <row r="434" ht="12.75" customHeight="1">
      <c r="A434" s="569"/>
      <c r="B434" s="569"/>
      <c r="D434" s="569"/>
      <c r="E434" s="569"/>
      <c r="F434" s="569"/>
      <c r="G434" s="569"/>
      <c r="H434" s="569"/>
      <c r="I434" s="569"/>
      <c r="J434" s="569"/>
      <c r="K434" s="569"/>
      <c r="L434" s="569"/>
      <c r="M434" s="569"/>
      <c r="N434" s="569"/>
      <c r="O434" s="569"/>
      <c r="P434" s="569"/>
      <c r="Q434" s="569"/>
      <c r="R434" s="569"/>
      <c r="S434" s="569"/>
      <c r="T434" s="569"/>
      <c r="U434" s="569"/>
      <c r="V434" s="569"/>
      <c r="W434" s="569"/>
      <c r="X434" s="569"/>
      <c r="Y434" s="569"/>
      <c r="Z434" s="569"/>
      <c r="AA434" s="569"/>
    </row>
    <row r="435" ht="12.75" customHeight="1">
      <c r="A435" s="569"/>
      <c r="B435" s="569"/>
      <c r="D435" s="569"/>
      <c r="E435" s="569"/>
      <c r="F435" s="569"/>
      <c r="G435" s="569"/>
      <c r="H435" s="569"/>
      <c r="I435" s="569"/>
      <c r="J435" s="569"/>
      <c r="K435" s="569"/>
      <c r="L435" s="569"/>
      <c r="M435" s="569"/>
      <c r="N435" s="569"/>
      <c r="O435" s="569"/>
      <c r="P435" s="569"/>
      <c r="Q435" s="569"/>
      <c r="R435" s="569"/>
      <c r="S435" s="569"/>
      <c r="T435" s="569"/>
      <c r="U435" s="569"/>
      <c r="V435" s="569"/>
      <c r="W435" s="569"/>
      <c r="X435" s="569"/>
      <c r="Y435" s="569"/>
      <c r="Z435" s="569"/>
      <c r="AA435" s="569"/>
    </row>
    <row r="436" ht="12.75" customHeight="1">
      <c r="A436" s="569"/>
      <c r="B436" s="569"/>
      <c r="D436" s="569"/>
      <c r="E436" s="569"/>
      <c r="F436" s="569"/>
      <c r="G436" s="569"/>
      <c r="H436" s="569"/>
      <c r="I436" s="569"/>
      <c r="J436" s="569"/>
      <c r="K436" s="569"/>
      <c r="L436" s="569"/>
      <c r="M436" s="569"/>
      <c r="N436" s="569"/>
      <c r="O436" s="569"/>
      <c r="P436" s="569"/>
      <c r="Q436" s="569"/>
      <c r="R436" s="569"/>
      <c r="S436" s="569"/>
      <c r="T436" s="569"/>
      <c r="U436" s="569"/>
      <c r="V436" s="569"/>
      <c r="W436" s="569"/>
      <c r="X436" s="569"/>
      <c r="Y436" s="569"/>
      <c r="Z436" s="569"/>
      <c r="AA436" s="569"/>
    </row>
    <row r="437" ht="12.75" customHeight="1">
      <c r="A437" s="569"/>
      <c r="B437" s="569"/>
      <c r="D437" s="569"/>
      <c r="E437" s="569"/>
      <c r="F437" s="569"/>
      <c r="G437" s="569"/>
      <c r="H437" s="569"/>
      <c r="I437" s="569"/>
      <c r="J437" s="569"/>
      <c r="K437" s="569"/>
      <c r="L437" s="569"/>
      <c r="M437" s="569"/>
      <c r="N437" s="569"/>
      <c r="O437" s="569"/>
      <c r="P437" s="569"/>
      <c r="Q437" s="569"/>
      <c r="R437" s="569"/>
      <c r="S437" s="569"/>
      <c r="T437" s="569"/>
      <c r="U437" s="569"/>
      <c r="V437" s="569"/>
      <c r="W437" s="569"/>
      <c r="X437" s="569"/>
      <c r="Y437" s="569"/>
      <c r="Z437" s="569"/>
      <c r="AA437" s="569"/>
    </row>
    <row r="438" ht="12.75" customHeight="1">
      <c r="A438" s="569"/>
      <c r="B438" s="569"/>
      <c r="D438" s="569"/>
      <c r="E438" s="569"/>
      <c r="F438" s="569"/>
      <c r="G438" s="569"/>
      <c r="H438" s="569"/>
      <c r="I438" s="569"/>
      <c r="J438" s="569"/>
      <c r="K438" s="569"/>
      <c r="L438" s="569"/>
      <c r="M438" s="569"/>
      <c r="N438" s="569"/>
      <c r="O438" s="569"/>
      <c r="P438" s="569"/>
      <c r="Q438" s="569"/>
      <c r="R438" s="569"/>
      <c r="S438" s="569"/>
      <c r="T438" s="569"/>
      <c r="U438" s="569"/>
      <c r="V438" s="569"/>
      <c r="W438" s="569"/>
      <c r="X438" s="569"/>
      <c r="Y438" s="569"/>
      <c r="Z438" s="569"/>
      <c r="AA438" s="569"/>
    </row>
    <row r="439" ht="12.75" customHeight="1">
      <c r="A439" s="569"/>
      <c r="B439" s="569"/>
      <c r="D439" s="569"/>
      <c r="E439" s="569"/>
      <c r="F439" s="569"/>
      <c r="G439" s="569"/>
      <c r="H439" s="569"/>
      <c r="I439" s="569"/>
      <c r="J439" s="569"/>
      <c r="K439" s="569"/>
      <c r="L439" s="569"/>
      <c r="M439" s="569"/>
      <c r="N439" s="569"/>
      <c r="O439" s="569"/>
      <c r="P439" s="569"/>
      <c r="Q439" s="569"/>
      <c r="R439" s="569"/>
      <c r="S439" s="569"/>
      <c r="T439" s="569"/>
      <c r="U439" s="569"/>
      <c r="V439" s="569"/>
      <c r="W439" s="569"/>
      <c r="X439" s="569"/>
      <c r="Y439" s="569"/>
      <c r="Z439" s="569"/>
      <c r="AA439" s="569"/>
    </row>
    <row r="440" ht="12.75" customHeight="1">
      <c r="A440" s="569"/>
      <c r="B440" s="569"/>
      <c r="D440" s="569"/>
      <c r="E440" s="569"/>
      <c r="F440" s="569"/>
      <c r="G440" s="569"/>
      <c r="H440" s="569"/>
      <c r="I440" s="569"/>
      <c r="J440" s="569"/>
      <c r="K440" s="569"/>
      <c r="L440" s="569"/>
      <c r="M440" s="569"/>
      <c r="N440" s="569"/>
      <c r="O440" s="569"/>
      <c r="P440" s="569"/>
      <c r="Q440" s="569"/>
      <c r="R440" s="569"/>
      <c r="S440" s="569"/>
      <c r="T440" s="569"/>
      <c r="U440" s="569"/>
      <c r="V440" s="569"/>
      <c r="W440" s="569"/>
      <c r="X440" s="569"/>
      <c r="Y440" s="569"/>
      <c r="Z440" s="569"/>
      <c r="AA440" s="569"/>
    </row>
    <row r="441" ht="12.75" customHeight="1">
      <c r="A441" s="569"/>
      <c r="B441" s="569"/>
      <c r="D441" s="569"/>
      <c r="E441" s="569"/>
      <c r="F441" s="569"/>
      <c r="G441" s="569"/>
      <c r="H441" s="569"/>
      <c r="I441" s="569"/>
      <c r="J441" s="569"/>
      <c r="K441" s="569"/>
      <c r="L441" s="569"/>
      <c r="M441" s="569"/>
      <c r="N441" s="569"/>
      <c r="O441" s="569"/>
      <c r="P441" s="569"/>
      <c r="Q441" s="569"/>
      <c r="R441" s="569"/>
      <c r="S441" s="569"/>
      <c r="T441" s="569"/>
      <c r="U441" s="569"/>
      <c r="V441" s="569"/>
      <c r="W441" s="569"/>
      <c r="X441" s="569"/>
      <c r="Y441" s="569"/>
      <c r="Z441" s="569"/>
      <c r="AA441" s="569"/>
    </row>
    <row r="442" ht="12.75" customHeight="1">
      <c r="A442" s="569"/>
      <c r="B442" s="569"/>
      <c r="D442" s="569"/>
      <c r="E442" s="569"/>
      <c r="F442" s="569"/>
      <c r="G442" s="569"/>
      <c r="H442" s="569"/>
      <c r="I442" s="569"/>
      <c r="J442" s="569"/>
      <c r="K442" s="569"/>
      <c r="L442" s="569"/>
      <c r="M442" s="569"/>
      <c r="N442" s="569"/>
      <c r="O442" s="569"/>
      <c r="P442" s="569"/>
      <c r="Q442" s="569"/>
      <c r="R442" s="569"/>
      <c r="S442" s="569"/>
      <c r="T442" s="569"/>
      <c r="U442" s="569"/>
      <c r="V442" s="569"/>
      <c r="W442" s="569"/>
      <c r="X442" s="569"/>
      <c r="Y442" s="569"/>
      <c r="Z442" s="569"/>
      <c r="AA442" s="569"/>
    </row>
    <row r="443" ht="12.75" customHeight="1">
      <c r="A443" s="569"/>
      <c r="B443" s="569"/>
      <c r="D443" s="569"/>
      <c r="E443" s="569"/>
      <c r="F443" s="569"/>
      <c r="G443" s="569"/>
      <c r="H443" s="569"/>
      <c r="I443" s="569"/>
      <c r="J443" s="569"/>
      <c r="K443" s="569"/>
      <c r="L443" s="569"/>
      <c r="M443" s="569"/>
      <c r="N443" s="569"/>
      <c r="O443" s="569"/>
      <c r="P443" s="569"/>
      <c r="Q443" s="569"/>
      <c r="R443" s="569"/>
      <c r="S443" s="569"/>
      <c r="T443" s="569"/>
      <c r="U443" s="569"/>
      <c r="V443" s="569"/>
      <c r="W443" s="569"/>
      <c r="X443" s="569"/>
      <c r="Y443" s="569"/>
      <c r="Z443" s="569"/>
      <c r="AA443" s="569"/>
    </row>
    <row r="444" ht="12.75" customHeight="1">
      <c r="A444" s="569"/>
      <c r="B444" s="569"/>
      <c r="D444" s="569"/>
      <c r="E444" s="569"/>
      <c r="F444" s="569"/>
      <c r="G444" s="569"/>
      <c r="H444" s="569"/>
      <c r="I444" s="569"/>
      <c r="J444" s="569"/>
      <c r="K444" s="569"/>
      <c r="L444" s="569"/>
      <c r="M444" s="569"/>
      <c r="N444" s="569"/>
      <c r="O444" s="569"/>
      <c r="P444" s="569"/>
      <c r="Q444" s="569"/>
      <c r="R444" s="569"/>
      <c r="S444" s="569"/>
      <c r="T444" s="569"/>
      <c r="U444" s="569"/>
      <c r="V444" s="569"/>
      <c r="W444" s="569"/>
      <c r="X444" s="569"/>
      <c r="Y444" s="569"/>
      <c r="Z444" s="569"/>
      <c r="AA444" s="569"/>
    </row>
    <row r="445" ht="12.75" customHeight="1">
      <c r="A445" s="569"/>
      <c r="B445" s="569"/>
      <c r="D445" s="569"/>
      <c r="E445" s="569"/>
      <c r="F445" s="569"/>
      <c r="G445" s="569"/>
      <c r="H445" s="569"/>
      <c r="I445" s="569"/>
      <c r="J445" s="569"/>
      <c r="K445" s="569"/>
      <c r="L445" s="569"/>
      <c r="M445" s="569"/>
      <c r="N445" s="569"/>
      <c r="O445" s="569"/>
      <c r="P445" s="569"/>
      <c r="Q445" s="569"/>
      <c r="R445" s="569"/>
      <c r="S445" s="569"/>
      <c r="T445" s="569"/>
      <c r="U445" s="569"/>
      <c r="V445" s="569"/>
      <c r="W445" s="569"/>
      <c r="X445" s="569"/>
      <c r="Y445" s="569"/>
      <c r="Z445" s="569"/>
      <c r="AA445" s="569"/>
    </row>
    <row r="446" ht="12.75" customHeight="1">
      <c r="A446" s="569"/>
      <c r="B446" s="569"/>
      <c r="D446" s="569"/>
      <c r="E446" s="569"/>
      <c r="F446" s="569"/>
      <c r="G446" s="569"/>
      <c r="H446" s="569"/>
      <c r="I446" s="569"/>
      <c r="J446" s="569"/>
      <c r="K446" s="569"/>
      <c r="L446" s="569"/>
      <c r="M446" s="569"/>
      <c r="N446" s="569"/>
      <c r="O446" s="569"/>
      <c r="P446" s="569"/>
      <c r="Q446" s="569"/>
      <c r="R446" s="569"/>
      <c r="S446" s="569"/>
      <c r="T446" s="569"/>
      <c r="U446" s="569"/>
      <c r="V446" s="569"/>
      <c r="W446" s="569"/>
      <c r="X446" s="569"/>
      <c r="Y446" s="569"/>
      <c r="Z446" s="569"/>
      <c r="AA446" s="569"/>
    </row>
    <row r="447" ht="12.75" customHeight="1">
      <c r="A447" s="569"/>
      <c r="B447" s="569"/>
      <c r="D447" s="569"/>
      <c r="E447" s="569"/>
      <c r="F447" s="569"/>
      <c r="G447" s="569"/>
      <c r="H447" s="569"/>
      <c r="I447" s="569"/>
      <c r="J447" s="569"/>
      <c r="K447" s="569"/>
      <c r="L447" s="569"/>
      <c r="M447" s="569"/>
      <c r="N447" s="569"/>
      <c r="O447" s="569"/>
      <c r="P447" s="569"/>
      <c r="Q447" s="569"/>
      <c r="R447" s="569"/>
      <c r="S447" s="569"/>
      <c r="T447" s="569"/>
      <c r="U447" s="569"/>
      <c r="V447" s="569"/>
      <c r="W447" s="569"/>
      <c r="X447" s="569"/>
      <c r="Y447" s="569"/>
      <c r="Z447" s="569"/>
      <c r="AA447" s="569"/>
    </row>
    <row r="448" ht="12.75" customHeight="1">
      <c r="A448" s="569"/>
      <c r="B448" s="569"/>
      <c r="D448" s="569"/>
      <c r="E448" s="569"/>
      <c r="F448" s="569"/>
      <c r="G448" s="569"/>
      <c r="H448" s="569"/>
      <c r="I448" s="569"/>
      <c r="J448" s="569"/>
      <c r="K448" s="569"/>
      <c r="L448" s="569"/>
      <c r="M448" s="569"/>
      <c r="N448" s="569"/>
      <c r="O448" s="569"/>
      <c r="P448" s="569"/>
      <c r="Q448" s="569"/>
      <c r="R448" s="569"/>
      <c r="S448" s="569"/>
      <c r="T448" s="569"/>
      <c r="U448" s="569"/>
      <c r="V448" s="569"/>
      <c r="W448" s="569"/>
      <c r="X448" s="569"/>
      <c r="Y448" s="569"/>
      <c r="Z448" s="569"/>
      <c r="AA448" s="569"/>
    </row>
    <row r="449" ht="12.75" customHeight="1">
      <c r="A449" s="569"/>
      <c r="B449" s="569"/>
      <c r="D449" s="569"/>
      <c r="E449" s="569"/>
      <c r="F449" s="569"/>
      <c r="G449" s="569"/>
      <c r="H449" s="569"/>
      <c r="I449" s="569"/>
      <c r="J449" s="569"/>
      <c r="K449" s="569"/>
      <c r="L449" s="569"/>
      <c r="M449" s="569"/>
      <c r="N449" s="569"/>
      <c r="O449" s="569"/>
      <c r="P449" s="569"/>
      <c r="Q449" s="569"/>
      <c r="R449" s="569"/>
      <c r="S449" s="569"/>
      <c r="T449" s="569"/>
      <c r="U449" s="569"/>
      <c r="V449" s="569"/>
      <c r="W449" s="569"/>
      <c r="X449" s="569"/>
      <c r="Y449" s="569"/>
      <c r="Z449" s="569"/>
      <c r="AA449" s="569"/>
    </row>
    <row r="450" ht="12.75" customHeight="1">
      <c r="A450" s="569"/>
      <c r="B450" s="569"/>
      <c r="D450" s="569"/>
      <c r="E450" s="569"/>
      <c r="F450" s="569"/>
      <c r="G450" s="569"/>
      <c r="H450" s="569"/>
      <c r="I450" s="569"/>
      <c r="J450" s="569"/>
      <c r="K450" s="569"/>
      <c r="L450" s="569"/>
      <c r="M450" s="569"/>
      <c r="N450" s="569"/>
      <c r="O450" s="569"/>
      <c r="P450" s="569"/>
      <c r="Q450" s="569"/>
      <c r="R450" s="569"/>
      <c r="S450" s="569"/>
      <c r="T450" s="569"/>
      <c r="U450" s="569"/>
      <c r="V450" s="569"/>
      <c r="W450" s="569"/>
      <c r="X450" s="569"/>
      <c r="Y450" s="569"/>
      <c r="Z450" s="569"/>
      <c r="AA450" s="569"/>
    </row>
    <row r="451" ht="12.75" customHeight="1">
      <c r="A451" s="569"/>
      <c r="B451" s="569"/>
      <c r="D451" s="569"/>
      <c r="E451" s="569"/>
      <c r="F451" s="569"/>
      <c r="G451" s="569"/>
      <c r="H451" s="569"/>
      <c r="I451" s="569"/>
      <c r="J451" s="569"/>
      <c r="K451" s="569"/>
      <c r="L451" s="569"/>
      <c r="M451" s="569"/>
      <c r="N451" s="569"/>
      <c r="O451" s="569"/>
      <c r="P451" s="569"/>
      <c r="Q451" s="569"/>
      <c r="R451" s="569"/>
      <c r="S451" s="569"/>
      <c r="T451" s="569"/>
      <c r="U451" s="569"/>
      <c r="V451" s="569"/>
      <c r="W451" s="569"/>
      <c r="X451" s="569"/>
      <c r="Y451" s="569"/>
      <c r="Z451" s="569"/>
      <c r="AA451" s="569"/>
    </row>
    <row r="452" ht="12.75" customHeight="1">
      <c r="A452" s="569"/>
      <c r="B452" s="569"/>
      <c r="D452" s="569"/>
      <c r="E452" s="569"/>
      <c r="F452" s="569"/>
      <c r="G452" s="569"/>
      <c r="H452" s="569"/>
      <c r="I452" s="569"/>
      <c r="J452" s="569"/>
      <c r="K452" s="569"/>
      <c r="L452" s="569"/>
      <c r="M452" s="569"/>
      <c r="N452" s="569"/>
      <c r="O452" s="569"/>
      <c r="P452" s="569"/>
      <c r="Q452" s="569"/>
      <c r="R452" s="569"/>
      <c r="S452" s="569"/>
      <c r="T452" s="569"/>
      <c r="U452" s="569"/>
      <c r="V452" s="569"/>
      <c r="W452" s="569"/>
      <c r="X452" s="569"/>
      <c r="Y452" s="569"/>
      <c r="Z452" s="569"/>
      <c r="AA452" s="569"/>
    </row>
    <row r="453" ht="12.75" customHeight="1">
      <c r="A453" s="569"/>
      <c r="B453" s="569"/>
      <c r="D453" s="569"/>
      <c r="E453" s="569"/>
      <c r="F453" s="569"/>
      <c r="G453" s="569"/>
      <c r="H453" s="569"/>
      <c r="I453" s="569"/>
      <c r="J453" s="569"/>
      <c r="K453" s="569"/>
      <c r="L453" s="569"/>
      <c r="M453" s="569"/>
      <c r="N453" s="569"/>
      <c r="O453" s="569"/>
      <c r="P453" s="569"/>
      <c r="Q453" s="569"/>
      <c r="R453" s="569"/>
      <c r="S453" s="569"/>
      <c r="T453" s="569"/>
      <c r="U453" s="569"/>
      <c r="V453" s="569"/>
      <c r="W453" s="569"/>
      <c r="X453" s="569"/>
      <c r="Y453" s="569"/>
      <c r="Z453" s="569"/>
      <c r="AA453" s="569"/>
    </row>
    <row r="454" ht="12.75" customHeight="1">
      <c r="A454" s="569"/>
      <c r="B454" s="569"/>
      <c r="D454" s="569"/>
      <c r="E454" s="569"/>
      <c r="F454" s="569"/>
      <c r="G454" s="569"/>
      <c r="H454" s="569"/>
      <c r="I454" s="569"/>
      <c r="J454" s="569"/>
      <c r="K454" s="569"/>
      <c r="L454" s="569"/>
      <c r="M454" s="569"/>
      <c r="N454" s="569"/>
      <c r="O454" s="569"/>
      <c r="P454" s="569"/>
      <c r="Q454" s="569"/>
      <c r="R454" s="569"/>
      <c r="S454" s="569"/>
      <c r="T454" s="569"/>
      <c r="U454" s="569"/>
      <c r="V454" s="569"/>
      <c r="W454" s="569"/>
      <c r="X454" s="569"/>
      <c r="Y454" s="569"/>
      <c r="Z454" s="569"/>
      <c r="AA454" s="569"/>
    </row>
    <row r="455" ht="12.75" customHeight="1">
      <c r="A455" s="569"/>
      <c r="B455" s="569"/>
      <c r="D455" s="569"/>
      <c r="E455" s="569"/>
      <c r="F455" s="569"/>
      <c r="G455" s="569"/>
      <c r="H455" s="569"/>
      <c r="I455" s="569"/>
      <c r="J455" s="569"/>
      <c r="K455" s="569"/>
      <c r="L455" s="569"/>
      <c r="M455" s="569"/>
      <c r="N455" s="569"/>
      <c r="O455" s="569"/>
      <c r="P455" s="569"/>
      <c r="Q455" s="569"/>
      <c r="R455" s="569"/>
      <c r="S455" s="569"/>
      <c r="T455" s="569"/>
      <c r="U455" s="569"/>
      <c r="V455" s="569"/>
      <c r="W455" s="569"/>
      <c r="X455" s="569"/>
      <c r="Y455" s="569"/>
      <c r="Z455" s="569"/>
      <c r="AA455" s="569"/>
    </row>
    <row r="456" ht="12.75" customHeight="1">
      <c r="A456" s="569"/>
      <c r="B456" s="569"/>
      <c r="D456" s="569"/>
      <c r="E456" s="569"/>
      <c r="F456" s="569"/>
      <c r="G456" s="569"/>
      <c r="H456" s="569"/>
      <c r="I456" s="569"/>
      <c r="J456" s="569"/>
      <c r="K456" s="569"/>
      <c r="L456" s="569"/>
      <c r="M456" s="569"/>
      <c r="N456" s="569"/>
      <c r="O456" s="569"/>
      <c r="P456" s="569"/>
      <c r="Q456" s="569"/>
      <c r="R456" s="569"/>
      <c r="S456" s="569"/>
      <c r="T456" s="569"/>
      <c r="U456" s="569"/>
      <c r="V456" s="569"/>
      <c r="W456" s="569"/>
      <c r="X456" s="569"/>
      <c r="Y456" s="569"/>
      <c r="Z456" s="569"/>
      <c r="AA456" s="569"/>
    </row>
    <row r="457" ht="12.75" customHeight="1">
      <c r="A457" s="569"/>
      <c r="B457" s="569"/>
      <c r="D457" s="569"/>
      <c r="E457" s="569"/>
      <c r="F457" s="569"/>
      <c r="G457" s="569"/>
      <c r="H457" s="569"/>
      <c r="I457" s="569"/>
      <c r="J457" s="569"/>
      <c r="K457" s="569"/>
      <c r="L457" s="569"/>
      <c r="M457" s="569"/>
      <c r="N457" s="569"/>
      <c r="O457" s="569"/>
      <c r="P457" s="569"/>
      <c r="Q457" s="569"/>
      <c r="R457" s="569"/>
      <c r="S457" s="569"/>
      <c r="T457" s="569"/>
      <c r="U457" s="569"/>
      <c r="V457" s="569"/>
      <c r="W457" s="569"/>
      <c r="X457" s="569"/>
      <c r="Y457" s="569"/>
      <c r="Z457" s="569"/>
      <c r="AA457" s="569"/>
    </row>
    <row r="458" ht="12.75" customHeight="1">
      <c r="A458" s="569"/>
      <c r="B458" s="569"/>
      <c r="D458" s="569"/>
      <c r="E458" s="569"/>
      <c r="F458" s="569"/>
      <c r="G458" s="569"/>
      <c r="H458" s="569"/>
      <c r="I458" s="569"/>
      <c r="J458" s="569"/>
      <c r="K458" s="569"/>
      <c r="L458" s="569"/>
      <c r="M458" s="569"/>
      <c r="N458" s="569"/>
      <c r="O458" s="569"/>
      <c r="P458" s="569"/>
      <c r="Q458" s="569"/>
      <c r="R458" s="569"/>
      <c r="S458" s="569"/>
      <c r="T458" s="569"/>
      <c r="U458" s="569"/>
      <c r="V458" s="569"/>
      <c r="W458" s="569"/>
      <c r="X458" s="569"/>
      <c r="Y458" s="569"/>
      <c r="Z458" s="569"/>
      <c r="AA458" s="569"/>
    </row>
    <row r="459" ht="12.75" customHeight="1">
      <c r="A459" s="569"/>
      <c r="B459" s="569"/>
      <c r="D459" s="569"/>
      <c r="E459" s="569"/>
      <c r="F459" s="569"/>
      <c r="G459" s="569"/>
      <c r="H459" s="569"/>
      <c r="I459" s="569"/>
      <c r="J459" s="569"/>
      <c r="K459" s="569"/>
      <c r="L459" s="569"/>
      <c r="M459" s="569"/>
      <c r="N459" s="569"/>
      <c r="O459" s="569"/>
      <c r="P459" s="569"/>
      <c r="Q459" s="569"/>
      <c r="R459" s="569"/>
      <c r="S459" s="569"/>
      <c r="T459" s="569"/>
      <c r="U459" s="569"/>
      <c r="V459" s="569"/>
      <c r="W459" s="569"/>
      <c r="X459" s="569"/>
      <c r="Y459" s="569"/>
      <c r="Z459" s="569"/>
      <c r="AA459" s="569"/>
    </row>
    <row r="460" ht="12.75" customHeight="1">
      <c r="A460" s="569"/>
      <c r="B460" s="569"/>
      <c r="D460" s="569"/>
      <c r="E460" s="569"/>
      <c r="F460" s="569"/>
      <c r="G460" s="569"/>
      <c r="H460" s="569"/>
      <c r="I460" s="569"/>
      <c r="J460" s="569"/>
      <c r="K460" s="569"/>
      <c r="L460" s="569"/>
      <c r="M460" s="569"/>
      <c r="N460" s="569"/>
      <c r="O460" s="569"/>
      <c r="P460" s="569"/>
      <c r="Q460" s="569"/>
      <c r="R460" s="569"/>
      <c r="S460" s="569"/>
      <c r="T460" s="569"/>
      <c r="U460" s="569"/>
      <c r="V460" s="569"/>
      <c r="W460" s="569"/>
      <c r="X460" s="569"/>
      <c r="Y460" s="569"/>
      <c r="Z460" s="569"/>
      <c r="AA460" s="569"/>
    </row>
    <row r="461" ht="12.75" customHeight="1">
      <c r="A461" s="569"/>
      <c r="B461" s="569"/>
      <c r="D461" s="569"/>
      <c r="E461" s="569"/>
      <c r="F461" s="569"/>
      <c r="G461" s="569"/>
      <c r="H461" s="569"/>
      <c r="I461" s="569"/>
      <c r="J461" s="569"/>
      <c r="K461" s="569"/>
      <c r="L461" s="569"/>
      <c r="M461" s="569"/>
      <c r="N461" s="569"/>
      <c r="O461" s="569"/>
      <c r="P461" s="569"/>
      <c r="Q461" s="569"/>
      <c r="R461" s="569"/>
      <c r="S461" s="569"/>
      <c r="T461" s="569"/>
      <c r="U461" s="569"/>
      <c r="V461" s="569"/>
      <c r="W461" s="569"/>
      <c r="X461" s="569"/>
      <c r="Y461" s="569"/>
      <c r="Z461" s="569"/>
      <c r="AA461" s="569"/>
    </row>
    <row r="462" ht="12.75" customHeight="1">
      <c r="A462" s="569"/>
      <c r="B462" s="569"/>
      <c r="D462" s="569"/>
      <c r="E462" s="569"/>
      <c r="F462" s="569"/>
      <c r="G462" s="569"/>
      <c r="H462" s="569"/>
      <c r="I462" s="569"/>
      <c r="J462" s="569"/>
      <c r="K462" s="569"/>
      <c r="L462" s="569"/>
      <c r="M462" s="569"/>
      <c r="N462" s="569"/>
      <c r="O462" s="569"/>
      <c r="P462" s="569"/>
      <c r="Q462" s="569"/>
      <c r="R462" s="569"/>
      <c r="S462" s="569"/>
      <c r="T462" s="569"/>
      <c r="U462" s="569"/>
      <c r="V462" s="569"/>
      <c r="W462" s="569"/>
      <c r="X462" s="569"/>
      <c r="Y462" s="569"/>
      <c r="Z462" s="569"/>
      <c r="AA462" s="569"/>
    </row>
    <row r="463" ht="12.75" customHeight="1">
      <c r="A463" s="569"/>
      <c r="B463" s="569"/>
      <c r="D463" s="569"/>
      <c r="E463" s="569"/>
      <c r="F463" s="569"/>
      <c r="G463" s="569"/>
      <c r="H463" s="569"/>
      <c r="I463" s="569"/>
      <c r="J463" s="569"/>
      <c r="K463" s="569"/>
      <c r="L463" s="569"/>
      <c r="M463" s="569"/>
      <c r="N463" s="569"/>
      <c r="O463" s="569"/>
      <c r="P463" s="569"/>
      <c r="Q463" s="569"/>
      <c r="R463" s="569"/>
      <c r="S463" s="569"/>
      <c r="T463" s="569"/>
      <c r="U463" s="569"/>
      <c r="V463" s="569"/>
      <c r="W463" s="569"/>
      <c r="X463" s="569"/>
      <c r="Y463" s="569"/>
      <c r="Z463" s="569"/>
      <c r="AA463" s="569"/>
    </row>
    <row r="464" ht="12.75" customHeight="1">
      <c r="A464" s="569"/>
      <c r="B464" s="569"/>
      <c r="D464" s="569"/>
      <c r="E464" s="569"/>
      <c r="F464" s="569"/>
      <c r="G464" s="569"/>
      <c r="H464" s="569"/>
      <c r="I464" s="569"/>
      <c r="J464" s="569"/>
      <c r="K464" s="569"/>
      <c r="L464" s="569"/>
      <c r="M464" s="569"/>
      <c r="N464" s="569"/>
      <c r="O464" s="569"/>
      <c r="P464" s="569"/>
      <c r="Q464" s="569"/>
      <c r="R464" s="569"/>
      <c r="S464" s="569"/>
      <c r="T464" s="569"/>
      <c r="U464" s="569"/>
      <c r="V464" s="569"/>
      <c r="W464" s="569"/>
      <c r="X464" s="569"/>
      <c r="Y464" s="569"/>
      <c r="Z464" s="569"/>
      <c r="AA464" s="569"/>
    </row>
    <row r="465" ht="12.75" customHeight="1">
      <c r="A465" s="569"/>
      <c r="B465" s="569"/>
      <c r="D465" s="569"/>
      <c r="E465" s="569"/>
      <c r="F465" s="569"/>
      <c r="G465" s="569"/>
      <c r="H465" s="569"/>
      <c r="I465" s="569"/>
      <c r="J465" s="569"/>
      <c r="K465" s="569"/>
      <c r="L465" s="569"/>
      <c r="M465" s="569"/>
      <c r="N465" s="569"/>
      <c r="O465" s="569"/>
      <c r="P465" s="569"/>
      <c r="Q465" s="569"/>
      <c r="R465" s="569"/>
      <c r="S465" s="569"/>
      <c r="T465" s="569"/>
      <c r="U465" s="569"/>
      <c r="V465" s="569"/>
      <c r="W465" s="569"/>
      <c r="X465" s="569"/>
      <c r="Y465" s="569"/>
      <c r="Z465" s="569"/>
      <c r="AA465" s="569"/>
    </row>
    <row r="466" ht="12.75" customHeight="1">
      <c r="A466" s="569"/>
      <c r="B466" s="569"/>
      <c r="D466" s="569"/>
      <c r="E466" s="569"/>
      <c r="F466" s="569"/>
      <c r="G466" s="569"/>
      <c r="H466" s="569"/>
      <c r="I466" s="569"/>
      <c r="J466" s="569"/>
      <c r="K466" s="569"/>
      <c r="L466" s="569"/>
      <c r="M466" s="569"/>
      <c r="N466" s="569"/>
      <c r="O466" s="569"/>
      <c r="P466" s="569"/>
      <c r="Q466" s="569"/>
      <c r="R466" s="569"/>
      <c r="S466" s="569"/>
      <c r="T466" s="569"/>
      <c r="U466" s="569"/>
      <c r="V466" s="569"/>
      <c r="W466" s="569"/>
      <c r="X466" s="569"/>
      <c r="Y466" s="569"/>
      <c r="Z466" s="569"/>
      <c r="AA466" s="569"/>
    </row>
    <row r="467" ht="12.75" customHeight="1">
      <c r="A467" s="569"/>
      <c r="B467" s="569"/>
      <c r="D467" s="569"/>
      <c r="E467" s="569"/>
      <c r="F467" s="569"/>
      <c r="G467" s="569"/>
      <c r="H467" s="569"/>
      <c r="I467" s="569"/>
      <c r="J467" s="569"/>
      <c r="K467" s="569"/>
      <c r="L467" s="569"/>
      <c r="M467" s="569"/>
      <c r="N467" s="569"/>
      <c r="O467" s="569"/>
      <c r="P467" s="569"/>
      <c r="Q467" s="569"/>
      <c r="R467" s="569"/>
      <c r="S467" s="569"/>
      <c r="T467" s="569"/>
      <c r="U467" s="569"/>
      <c r="V467" s="569"/>
      <c r="W467" s="569"/>
      <c r="X467" s="569"/>
      <c r="Y467" s="569"/>
      <c r="Z467" s="569"/>
      <c r="AA467" s="569"/>
    </row>
    <row r="468" ht="12.75" customHeight="1">
      <c r="A468" s="569"/>
      <c r="B468" s="569"/>
      <c r="D468" s="569"/>
      <c r="E468" s="569"/>
      <c r="F468" s="569"/>
      <c r="G468" s="569"/>
      <c r="H468" s="569"/>
      <c r="I468" s="569"/>
      <c r="J468" s="569"/>
      <c r="K468" s="569"/>
      <c r="L468" s="569"/>
      <c r="M468" s="569"/>
      <c r="N468" s="569"/>
      <c r="O468" s="569"/>
      <c r="P468" s="569"/>
      <c r="Q468" s="569"/>
      <c r="R468" s="569"/>
      <c r="S468" s="569"/>
      <c r="T468" s="569"/>
      <c r="U468" s="569"/>
      <c r="V468" s="569"/>
      <c r="W468" s="569"/>
      <c r="X468" s="569"/>
      <c r="Y468" s="569"/>
      <c r="Z468" s="569"/>
      <c r="AA468" s="569"/>
    </row>
    <row r="469" ht="12.75" customHeight="1">
      <c r="A469" s="569"/>
      <c r="B469" s="569"/>
      <c r="D469" s="569"/>
      <c r="E469" s="569"/>
      <c r="F469" s="569"/>
      <c r="G469" s="569"/>
      <c r="H469" s="569"/>
      <c r="I469" s="569"/>
      <c r="J469" s="569"/>
      <c r="K469" s="569"/>
      <c r="L469" s="569"/>
      <c r="M469" s="569"/>
      <c r="N469" s="569"/>
      <c r="O469" s="569"/>
      <c r="P469" s="569"/>
      <c r="Q469" s="569"/>
      <c r="R469" s="569"/>
      <c r="S469" s="569"/>
      <c r="T469" s="569"/>
      <c r="U469" s="569"/>
      <c r="V469" s="569"/>
      <c r="W469" s="569"/>
      <c r="X469" s="569"/>
      <c r="Y469" s="569"/>
      <c r="Z469" s="569"/>
      <c r="AA469" s="569"/>
    </row>
    <row r="470" ht="12.75" customHeight="1">
      <c r="A470" s="569"/>
      <c r="B470" s="569"/>
      <c r="D470" s="569"/>
      <c r="E470" s="569"/>
      <c r="F470" s="569"/>
      <c r="G470" s="569"/>
      <c r="H470" s="569"/>
      <c r="I470" s="569"/>
      <c r="J470" s="569"/>
      <c r="K470" s="569"/>
      <c r="L470" s="569"/>
      <c r="M470" s="569"/>
      <c r="N470" s="569"/>
      <c r="O470" s="569"/>
      <c r="P470" s="569"/>
      <c r="Q470" s="569"/>
      <c r="R470" s="569"/>
      <c r="S470" s="569"/>
      <c r="T470" s="569"/>
      <c r="U470" s="569"/>
      <c r="V470" s="569"/>
      <c r="W470" s="569"/>
      <c r="X470" s="569"/>
      <c r="Y470" s="569"/>
      <c r="Z470" s="569"/>
      <c r="AA470" s="569"/>
    </row>
    <row r="471" ht="12.75" customHeight="1">
      <c r="A471" s="569"/>
      <c r="B471" s="569"/>
      <c r="D471" s="569"/>
      <c r="E471" s="569"/>
      <c r="F471" s="569"/>
      <c r="G471" s="569"/>
      <c r="H471" s="569"/>
      <c r="I471" s="569"/>
      <c r="J471" s="569"/>
      <c r="K471" s="569"/>
      <c r="L471" s="569"/>
      <c r="M471" s="569"/>
      <c r="N471" s="569"/>
      <c r="O471" s="569"/>
      <c r="P471" s="569"/>
      <c r="Q471" s="569"/>
      <c r="R471" s="569"/>
      <c r="S471" s="569"/>
      <c r="T471" s="569"/>
      <c r="U471" s="569"/>
      <c r="V471" s="569"/>
      <c r="W471" s="569"/>
      <c r="X471" s="569"/>
      <c r="Y471" s="569"/>
      <c r="Z471" s="569"/>
      <c r="AA471" s="569"/>
    </row>
    <row r="472" ht="12.75" customHeight="1">
      <c r="A472" s="569"/>
      <c r="B472" s="569"/>
      <c r="D472" s="569"/>
      <c r="E472" s="569"/>
      <c r="F472" s="569"/>
      <c r="G472" s="569"/>
      <c r="H472" s="569"/>
      <c r="I472" s="569"/>
      <c r="J472" s="569"/>
      <c r="K472" s="569"/>
      <c r="L472" s="569"/>
      <c r="M472" s="569"/>
      <c r="N472" s="569"/>
      <c r="O472" s="569"/>
      <c r="P472" s="569"/>
      <c r="Q472" s="569"/>
      <c r="R472" s="569"/>
      <c r="S472" s="569"/>
      <c r="T472" s="569"/>
      <c r="U472" s="569"/>
      <c r="V472" s="569"/>
      <c r="W472" s="569"/>
      <c r="X472" s="569"/>
      <c r="Y472" s="569"/>
      <c r="Z472" s="569"/>
      <c r="AA472" s="569"/>
    </row>
    <row r="473" ht="12.75" customHeight="1">
      <c r="A473" s="569"/>
      <c r="B473" s="569"/>
      <c r="D473" s="569"/>
      <c r="E473" s="569"/>
      <c r="F473" s="569"/>
      <c r="G473" s="569"/>
      <c r="H473" s="569"/>
      <c r="I473" s="569"/>
      <c r="J473" s="569"/>
      <c r="K473" s="569"/>
      <c r="L473" s="569"/>
      <c r="M473" s="569"/>
      <c r="N473" s="569"/>
      <c r="O473" s="569"/>
      <c r="P473" s="569"/>
      <c r="Q473" s="569"/>
      <c r="R473" s="569"/>
      <c r="S473" s="569"/>
      <c r="T473" s="569"/>
      <c r="U473" s="569"/>
      <c r="V473" s="569"/>
      <c r="W473" s="569"/>
      <c r="X473" s="569"/>
      <c r="Y473" s="569"/>
      <c r="Z473" s="569"/>
      <c r="AA473" s="569"/>
    </row>
    <row r="474" ht="12.75" customHeight="1">
      <c r="A474" s="569"/>
      <c r="B474" s="569"/>
      <c r="D474" s="569"/>
      <c r="E474" s="569"/>
      <c r="F474" s="569"/>
      <c r="G474" s="569"/>
      <c r="H474" s="569"/>
      <c r="I474" s="569"/>
      <c r="J474" s="569"/>
      <c r="K474" s="569"/>
      <c r="L474" s="569"/>
      <c r="M474" s="569"/>
      <c r="N474" s="569"/>
      <c r="O474" s="569"/>
      <c r="P474" s="569"/>
      <c r="Q474" s="569"/>
      <c r="R474" s="569"/>
      <c r="S474" s="569"/>
      <c r="T474" s="569"/>
      <c r="U474" s="569"/>
      <c r="V474" s="569"/>
      <c r="W474" s="569"/>
      <c r="X474" s="569"/>
      <c r="Y474" s="569"/>
      <c r="Z474" s="569"/>
      <c r="AA474" s="569"/>
    </row>
    <row r="475" ht="12.75" customHeight="1">
      <c r="A475" s="569"/>
      <c r="B475" s="569"/>
      <c r="D475" s="569"/>
      <c r="E475" s="569"/>
      <c r="F475" s="569"/>
      <c r="G475" s="569"/>
      <c r="H475" s="569"/>
      <c r="I475" s="569"/>
      <c r="J475" s="569"/>
      <c r="K475" s="569"/>
      <c r="L475" s="569"/>
      <c r="M475" s="569"/>
      <c r="N475" s="569"/>
      <c r="O475" s="569"/>
      <c r="P475" s="569"/>
      <c r="Q475" s="569"/>
      <c r="R475" s="569"/>
      <c r="S475" s="569"/>
      <c r="T475" s="569"/>
      <c r="U475" s="569"/>
      <c r="V475" s="569"/>
      <c r="W475" s="569"/>
      <c r="X475" s="569"/>
      <c r="Y475" s="569"/>
      <c r="Z475" s="569"/>
      <c r="AA475" s="569"/>
    </row>
    <row r="476" ht="12.75" customHeight="1">
      <c r="A476" s="569"/>
      <c r="B476" s="569"/>
      <c r="D476" s="569"/>
      <c r="E476" s="569"/>
      <c r="F476" s="569"/>
      <c r="G476" s="569"/>
      <c r="H476" s="569"/>
      <c r="I476" s="569"/>
      <c r="J476" s="569"/>
      <c r="K476" s="569"/>
      <c r="L476" s="569"/>
      <c r="M476" s="569"/>
      <c r="N476" s="569"/>
      <c r="O476" s="569"/>
      <c r="P476" s="569"/>
      <c r="Q476" s="569"/>
      <c r="R476" s="569"/>
      <c r="S476" s="569"/>
      <c r="T476" s="569"/>
      <c r="U476" s="569"/>
      <c r="V476" s="569"/>
      <c r="W476" s="569"/>
      <c r="X476" s="569"/>
      <c r="Y476" s="569"/>
      <c r="Z476" s="569"/>
      <c r="AA476" s="569"/>
    </row>
    <row r="477" ht="12.75" customHeight="1">
      <c r="A477" s="569"/>
      <c r="B477" s="569"/>
      <c r="D477" s="569"/>
      <c r="E477" s="569"/>
      <c r="F477" s="569"/>
      <c r="G477" s="569"/>
      <c r="H477" s="569"/>
      <c r="I477" s="569"/>
      <c r="J477" s="569"/>
      <c r="K477" s="569"/>
      <c r="L477" s="569"/>
      <c r="M477" s="569"/>
      <c r="N477" s="569"/>
      <c r="O477" s="569"/>
      <c r="P477" s="569"/>
      <c r="Q477" s="569"/>
      <c r="R477" s="569"/>
      <c r="S477" s="569"/>
      <c r="T477" s="569"/>
      <c r="U477" s="569"/>
      <c r="V477" s="569"/>
      <c r="W477" s="569"/>
      <c r="X477" s="569"/>
      <c r="Y477" s="569"/>
      <c r="Z477" s="569"/>
      <c r="AA477" s="569"/>
    </row>
    <row r="478" ht="12.75" customHeight="1">
      <c r="A478" s="569"/>
      <c r="B478" s="569"/>
      <c r="D478" s="569"/>
      <c r="E478" s="569"/>
      <c r="F478" s="569"/>
      <c r="G478" s="569"/>
      <c r="H478" s="569"/>
      <c r="I478" s="569"/>
      <c r="J478" s="569"/>
      <c r="K478" s="569"/>
      <c r="L478" s="569"/>
      <c r="M478" s="569"/>
      <c r="N478" s="569"/>
      <c r="O478" s="569"/>
      <c r="P478" s="569"/>
      <c r="Q478" s="569"/>
      <c r="R478" s="569"/>
      <c r="S478" s="569"/>
      <c r="T478" s="569"/>
      <c r="U478" s="569"/>
      <c r="V478" s="569"/>
      <c r="W478" s="569"/>
      <c r="X478" s="569"/>
      <c r="Y478" s="569"/>
      <c r="Z478" s="569"/>
      <c r="AA478" s="569"/>
    </row>
    <row r="479" ht="12.75" customHeight="1">
      <c r="A479" s="569"/>
      <c r="B479" s="569"/>
      <c r="D479" s="569"/>
      <c r="E479" s="569"/>
      <c r="F479" s="569"/>
      <c r="G479" s="569"/>
      <c r="H479" s="569"/>
      <c r="I479" s="569"/>
      <c r="J479" s="569"/>
      <c r="K479" s="569"/>
      <c r="L479" s="569"/>
      <c r="M479" s="569"/>
      <c r="N479" s="569"/>
      <c r="O479" s="569"/>
      <c r="P479" s="569"/>
      <c r="Q479" s="569"/>
      <c r="R479" s="569"/>
      <c r="S479" s="569"/>
      <c r="T479" s="569"/>
      <c r="U479" s="569"/>
      <c r="V479" s="569"/>
      <c r="W479" s="569"/>
      <c r="X479" s="569"/>
      <c r="Y479" s="569"/>
      <c r="Z479" s="569"/>
      <c r="AA479" s="569"/>
    </row>
    <row r="480" ht="12.75" customHeight="1">
      <c r="A480" s="569"/>
      <c r="B480" s="569"/>
      <c r="D480" s="569"/>
      <c r="E480" s="569"/>
      <c r="F480" s="569"/>
      <c r="G480" s="569"/>
      <c r="H480" s="569"/>
      <c r="I480" s="569"/>
      <c r="J480" s="569"/>
      <c r="K480" s="569"/>
      <c r="L480" s="569"/>
      <c r="M480" s="569"/>
      <c r="N480" s="569"/>
      <c r="O480" s="569"/>
      <c r="P480" s="569"/>
      <c r="Q480" s="569"/>
      <c r="R480" s="569"/>
      <c r="S480" s="569"/>
      <c r="T480" s="569"/>
      <c r="U480" s="569"/>
      <c r="V480" s="569"/>
      <c r="W480" s="569"/>
      <c r="X480" s="569"/>
      <c r="Y480" s="569"/>
      <c r="Z480" s="569"/>
      <c r="AA480" s="569"/>
    </row>
    <row r="481" ht="12.75" customHeight="1">
      <c r="A481" s="569"/>
      <c r="B481" s="569"/>
      <c r="D481" s="569"/>
      <c r="E481" s="569"/>
      <c r="F481" s="569"/>
      <c r="G481" s="569"/>
      <c r="H481" s="569"/>
      <c r="I481" s="569"/>
      <c r="J481" s="569"/>
      <c r="K481" s="569"/>
      <c r="L481" s="569"/>
      <c r="M481" s="569"/>
      <c r="N481" s="569"/>
      <c r="O481" s="569"/>
      <c r="P481" s="569"/>
      <c r="Q481" s="569"/>
      <c r="R481" s="569"/>
      <c r="S481" s="569"/>
      <c r="T481" s="569"/>
      <c r="U481" s="569"/>
      <c r="V481" s="569"/>
      <c r="W481" s="569"/>
      <c r="X481" s="569"/>
      <c r="Y481" s="569"/>
      <c r="Z481" s="569"/>
      <c r="AA481" s="569"/>
    </row>
    <row r="482" ht="12.75" customHeight="1">
      <c r="A482" s="569"/>
      <c r="B482" s="569"/>
      <c r="D482" s="569"/>
      <c r="E482" s="569"/>
      <c r="F482" s="569"/>
      <c r="G482" s="569"/>
      <c r="H482" s="569"/>
      <c r="I482" s="569"/>
      <c r="J482" s="569"/>
      <c r="K482" s="569"/>
      <c r="L482" s="569"/>
      <c r="M482" s="569"/>
      <c r="N482" s="569"/>
      <c r="O482" s="569"/>
      <c r="P482" s="569"/>
      <c r="Q482" s="569"/>
      <c r="R482" s="569"/>
      <c r="S482" s="569"/>
      <c r="T482" s="569"/>
      <c r="U482" s="569"/>
      <c r="V482" s="569"/>
      <c r="W482" s="569"/>
      <c r="X482" s="569"/>
      <c r="Y482" s="569"/>
      <c r="Z482" s="569"/>
      <c r="AA482" s="569"/>
    </row>
    <row r="483" ht="12.75" customHeight="1">
      <c r="A483" s="569"/>
      <c r="B483" s="569"/>
      <c r="D483" s="569"/>
      <c r="E483" s="569"/>
      <c r="F483" s="569"/>
      <c r="G483" s="569"/>
      <c r="H483" s="569"/>
      <c r="I483" s="569"/>
      <c r="J483" s="569"/>
      <c r="K483" s="569"/>
      <c r="L483" s="569"/>
      <c r="M483" s="569"/>
      <c r="N483" s="569"/>
      <c r="O483" s="569"/>
      <c r="P483" s="569"/>
      <c r="Q483" s="569"/>
      <c r="R483" s="569"/>
      <c r="S483" s="569"/>
      <c r="T483" s="569"/>
      <c r="U483" s="569"/>
      <c r="V483" s="569"/>
      <c r="W483" s="569"/>
      <c r="X483" s="569"/>
      <c r="Y483" s="569"/>
      <c r="Z483" s="569"/>
      <c r="AA483" s="569"/>
    </row>
    <row r="484" ht="12.75" customHeight="1">
      <c r="A484" s="569"/>
      <c r="B484" s="569"/>
      <c r="D484" s="569"/>
      <c r="E484" s="569"/>
      <c r="F484" s="569"/>
      <c r="G484" s="569"/>
      <c r="H484" s="569"/>
      <c r="I484" s="569"/>
      <c r="J484" s="569"/>
      <c r="K484" s="569"/>
      <c r="L484" s="569"/>
      <c r="M484" s="569"/>
      <c r="N484" s="569"/>
      <c r="O484" s="569"/>
      <c r="P484" s="569"/>
      <c r="Q484" s="569"/>
      <c r="R484" s="569"/>
      <c r="S484" s="569"/>
      <c r="T484" s="569"/>
      <c r="U484" s="569"/>
      <c r="V484" s="569"/>
      <c r="W484" s="569"/>
      <c r="X484" s="569"/>
      <c r="Y484" s="569"/>
      <c r="Z484" s="569"/>
      <c r="AA484" s="569"/>
    </row>
    <row r="485" ht="12.75" customHeight="1">
      <c r="A485" s="569"/>
      <c r="B485" s="569"/>
      <c r="D485" s="569"/>
      <c r="E485" s="569"/>
      <c r="F485" s="569"/>
      <c r="G485" s="569"/>
      <c r="H485" s="569"/>
      <c r="I485" s="569"/>
      <c r="J485" s="569"/>
      <c r="K485" s="569"/>
      <c r="L485" s="569"/>
      <c r="M485" s="569"/>
      <c r="N485" s="569"/>
      <c r="O485" s="569"/>
      <c r="P485" s="569"/>
      <c r="Q485" s="569"/>
      <c r="R485" s="569"/>
      <c r="S485" s="569"/>
      <c r="T485" s="569"/>
      <c r="U485" s="569"/>
      <c r="V485" s="569"/>
      <c r="W485" s="569"/>
      <c r="X485" s="569"/>
      <c r="Y485" s="569"/>
      <c r="Z485" s="569"/>
      <c r="AA485" s="569"/>
    </row>
    <row r="486" ht="12.75" customHeight="1">
      <c r="A486" s="569"/>
      <c r="B486" s="569"/>
      <c r="D486" s="569"/>
      <c r="E486" s="569"/>
      <c r="F486" s="569"/>
      <c r="G486" s="569"/>
      <c r="H486" s="569"/>
      <c r="I486" s="569"/>
      <c r="J486" s="569"/>
      <c r="K486" s="569"/>
      <c r="L486" s="569"/>
      <c r="M486" s="569"/>
      <c r="N486" s="569"/>
      <c r="O486" s="569"/>
      <c r="P486" s="569"/>
      <c r="Q486" s="569"/>
      <c r="R486" s="569"/>
      <c r="S486" s="569"/>
      <c r="T486" s="569"/>
      <c r="U486" s="569"/>
      <c r="V486" s="569"/>
      <c r="W486" s="569"/>
      <c r="X486" s="569"/>
      <c r="Y486" s="569"/>
      <c r="Z486" s="569"/>
      <c r="AA486" s="569"/>
    </row>
    <row r="487" ht="12.75" customHeight="1">
      <c r="A487" s="569"/>
      <c r="B487" s="569"/>
      <c r="D487" s="569"/>
      <c r="E487" s="569"/>
      <c r="F487" s="569"/>
      <c r="G487" s="569"/>
      <c r="H487" s="569"/>
      <c r="I487" s="569"/>
      <c r="J487" s="569"/>
      <c r="K487" s="569"/>
      <c r="L487" s="569"/>
      <c r="M487" s="569"/>
      <c r="N487" s="569"/>
      <c r="O487" s="569"/>
      <c r="P487" s="569"/>
      <c r="Q487" s="569"/>
      <c r="R487" s="569"/>
      <c r="S487" s="569"/>
      <c r="T487" s="569"/>
      <c r="U487" s="569"/>
      <c r="V487" s="569"/>
      <c r="W487" s="569"/>
      <c r="X487" s="569"/>
      <c r="Y487" s="569"/>
      <c r="Z487" s="569"/>
      <c r="AA487" s="569"/>
    </row>
    <row r="488" ht="12.75" customHeight="1">
      <c r="A488" s="569"/>
      <c r="B488" s="569"/>
      <c r="D488" s="569"/>
      <c r="E488" s="569"/>
      <c r="F488" s="569"/>
      <c r="G488" s="569"/>
      <c r="H488" s="569"/>
      <c r="I488" s="569"/>
      <c r="J488" s="569"/>
      <c r="K488" s="569"/>
      <c r="L488" s="569"/>
      <c r="M488" s="569"/>
      <c r="N488" s="569"/>
      <c r="O488" s="569"/>
      <c r="P488" s="569"/>
      <c r="Q488" s="569"/>
      <c r="R488" s="569"/>
      <c r="S488" s="569"/>
      <c r="T488" s="569"/>
      <c r="U488" s="569"/>
      <c r="V488" s="569"/>
      <c r="W488" s="569"/>
      <c r="X488" s="569"/>
      <c r="Y488" s="569"/>
      <c r="Z488" s="569"/>
      <c r="AA488" s="569"/>
    </row>
    <row r="489" ht="12.75" customHeight="1">
      <c r="A489" s="569"/>
      <c r="B489" s="569"/>
      <c r="D489" s="569"/>
      <c r="E489" s="569"/>
      <c r="F489" s="569"/>
      <c r="G489" s="569"/>
      <c r="H489" s="569"/>
      <c r="I489" s="569"/>
      <c r="J489" s="569"/>
      <c r="K489" s="569"/>
      <c r="L489" s="569"/>
      <c r="M489" s="569"/>
      <c r="N489" s="569"/>
      <c r="O489" s="569"/>
      <c r="P489" s="569"/>
      <c r="Q489" s="569"/>
      <c r="R489" s="569"/>
      <c r="S489" s="569"/>
      <c r="T489" s="569"/>
      <c r="U489" s="569"/>
      <c r="V489" s="569"/>
      <c r="W489" s="569"/>
      <c r="X489" s="569"/>
      <c r="Y489" s="569"/>
      <c r="Z489" s="569"/>
      <c r="AA489" s="569"/>
    </row>
    <row r="490" ht="12.75" customHeight="1">
      <c r="A490" s="569"/>
      <c r="B490" s="569"/>
      <c r="D490" s="569"/>
      <c r="E490" s="569"/>
      <c r="F490" s="569"/>
      <c r="G490" s="569"/>
      <c r="H490" s="569"/>
      <c r="I490" s="569"/>
      <c r="J490" s="569"/>
      <c r="K490" s="569"/>
      <c r="L490" s="569"/>
      <c r="M490" s="569"/>
      <c r="N490" s="569"/>
      <c r="O490" s="569"/>
      <c r="P490" s="569"/>
      <c r="Q490" s="569"/>
      <c r="R490" s="569"/>
      <c r="S490" s="569"/>
      <c r="T490" s="569"/>
      <c r="U490" s="569"/>
      <c r="V490" s="569"/>
      <c r="W490" s="569"/>
      <c r="X490" s="569"/>
      <c r="Y490" s="569"/>
      <c r="Z490" s="569"/>
      <c r="AA490" s="569"/>
    </row>
    <row r="491" ht="12.75" customHeight="1">
      <c r="A491" s="569"/>
      <c r="B491" s="569"/>
      <c r="D491" s="569"/>
      <c r="E491" s="569"/>
      <c r="F491" s="569"/>
      <c r="G491" s="569"/>
      <c r="H491" s="569"/>
      <c r="I491" s="569"/>
      <c r="J491" s="569"/>
      <c r="K491" s="569"/>
      <c r="L491" s="569"/>
      <c r="M491" s="569"/>
      <c r="N491" s="569"/>
      <c r="O491" s="569"/>
      <c r="P491" s="569"/>
      <c r="Q491" s="569"/>
      <c r="R491" s="569"/>
      <c r="S491" s="569"/>
      <c r="T491" s="569"/>
      <c r="U491" s="569"/>
      <c r="V491" s="569"/>
      <c r="W491" s="569"/>
      <c r="X491" s="569"/>
      <c r="Y491" s="569"/>
      <c r="Z491" s="569"/>
      <c r="AA491" s="569"/>
    </row>
    <row r="492" ht="12.75" customHeight="1">
      <c r="A492" s="569"/>
      <c r="B492" s="569"/>
      <c r="D492" s="569"/>
      <c r="E492" s="569"/>
      <c r="F492" s="569"/>
      <c r="G492" s="569"/>
      <c r="H492" s="569"/>
      <c r="I492" s="569"/>
      <c r="J492" s="569"/>
      <c r="K492" s="569"/>
      <c r="L492" s="569"/>
      <c r="M492" s="569"/>
      <c r="N492" s="569"/>
      <c r="O492" s="569"/>
      <c r="P492" s="569"/>
      <c r="Q492" s="569"/>
      <c r="R492" s="569"/>
      <c r="S492" s="569"/>
      <c r="T492" s="569"/>
      <c r="U492" s="569"/>
      <c r="V492" s="569"/>
      <c r="W492" s="569"/>
      <c r="X492" s="569"/>
      <c r="Y492" s="569"/>
      <c r="Z492" s="569"/>
      <c r="AA492" s="569"/>
    </row>
    <row r="493" ht="12.75" customHeight="1">
      <c r="A493" s="569"/>
      <c r="B493" s="569"/>
      <c r="D493" s="569"/>
      <c r="E493" s="569"/>
      <c r="F493" s="569"/>
      <c r="G493" s="569"/>
      <c r="H493" s="569"/>
      <c r="I493" s="569"/>
      <c r="J493" s="569"/>
      <c r="K493" s="569"/>
      <c r="L493" s="569"/>
      <c r="M493" s="569"/>
      <c r="N493" s="569"/>
      <c r="O493" s="569"/>
      <c r="P493" s="569"/>
      <c r="Q493" s="569"/>
      <c r="R493" s="569"/>
      <c r="S493" s="569"/>
      <c r="T493" s="569"/>
      <c r="U493" s="569"/>
      <c r="V493" s="569"/>
      <c r="W493" s="569"/>
      <c r="X493" s="569"/>
      <c r="Y493" s="569"/>
      <c r="Z493" s="569"/>
      <c r="AA493" s="569"/>
    </row>
    <row r="494" ht="12.75" customHeight="1">
      <c r="A494" s="569"/>
      <c r="B494" s="569"/>
      <c r="D494" s="569"/>
      <c r="E494" s="569"/>
      <c r="F494" s="569"/>
      <c r="G494" s="569"/>
      <c r="H494" s="569"/>
      <c r="I494" s="569"/>
      <c r="J494" s="569"/>
      <c r="K494" s="569"/>
      <c r="L494" s="569"/>
      <c r="M494" s="569"/>
      <c r="N494" s="569"/>
      <c r="O494" s="569"/>
      <c r="P494" s="569"/>
      <c r="Q494" s="569"/>
      <c r="R494" s="569"/>
      <c r="S494" s="569"/>
      <c r="T494" s="569"/>
      <c r="U494" s="569"/>
      <c r="V494" s="569"/>
      <c r="W494" s="569"/>
      <c r="X494" s="569"/>
      <c r="Y494" s="569"/>
      <c r="Z494" s="569"/>
      <c r="AA494" s="569"/>
    </row>
    <row r="495" ht="12.75" customHeight="1">
      <c r="A495" s="569"/>
      <c r="B495" s="569"/>
      <c r="D495" s="569"/>
      <c r="E495" s="569"/>
      <c r="F495" s="569"/>
      <c r="G495" s="569"/>
      <c r="H495" s="569"/>
      <c r="I495" s="569"/>
      <c r="J495" s="569"/>
      <c r="K495" s="569"/>
      <c r="L495" s="569"/>
      <c r="M495" s="569"/>
      <c r="N495" s="569"/>
      <c r="O495" s="569"/>
      <c r="P495" s="569"/>
      <c r="Q495" s="569"/>
      <c r="R495" s="569"/>
      <c r="S495" s="569"/>
      <c r="T495" s="569"/>
      <c r="U495" s="569"/>
      <c r="V495" s="569"/>
      <c r="W495" s="569"/>
      <c r="X495" s="569"/>
      <c r="Y495" s="569"/>
      <c r="Z495" s="569"/>
      <c r="AA495" s="569"/>
    </row>
    <row r="496" ht="12.75" customHeight="1">
      <c r="A496" s="569"/>
      <c r="B496" s="569"/>
      <c r="D496" s="569"/>
      <c r="E496" s="569"/>
      <c r="F496" s="569"/>
      <c r="G496" s="569"/>
      <c r="H496" s="569"/>
      <c r="I496" s="569"/>
      <c r="J496" s="569"/>
      <c r="K496" s="569"/>
      <c r="L496" s="569"/>
      <c r="M496" s="569"/>
      <c r="N496" s="569"/>
      <c r="O496" s="569"/>
      <c r="P496" s="569"/>
      <c r="Q496" s="569"/>
      <c r="R496" s="569"/>
      <c r="S496" s="569"/>
      <c r="T496" s="569"/>
      <c r="U496" s="569"/>
      <c r="V496" s="569"/>
      <c r="W496" s="569"/>
      <c r="X496" s="569"/>
      <c r="Y496" s="569"/>
      <c r="Z496" s="569"/>
      <c r="AA496" s="569"/>
    </row>
    <row r="497" ht="12.75" customHeight="1">
      <c r="A497" s="569"/>
      <c r="B497" s="569"/>
      <c r="D497" s="569"/>
      <c r="E497" s="569"/>
      <c r="F497" s="569"/>
      <c r="G497" s="569"/>
      <c r="H497" s="569"/>
      <c r="I497" s="569"/>
      <c r="J497" s="569"/>
      <c r="K497" s="569"/>
      <c r="L497" s="569"/>
      <c r="M497" s="569"/>
      <c r="N497" s="569"/>
      <c r="O497" s="569"/>
      <c r="P497" s="569"/>
      <c r="Q497" s="569"/>
      <c r="R497" s="569"/>
      <c r="S497" s="569"/>
      <c r="T497" s="569"/>
      <c r="U497" s="569"/>
      <c r="V497" s="569"/>
      <c r="W497" s="569"/>
      <c r="X497" s="569"/>
      <c r="Y497" s="569"/>
      <c r="Z497" s="569"/>
      <c r="AA497" s="569"/>
    </row>
    <row r="498" ht="12.75" customHeight="1">
      <c r="A498" s="569"/>
      <c r="B498" s="569"/>
      <c r="D498" s="569"/>
      <c r="E498" s="569"/>
      <c r="F498" s="569"/>
      <c r="G498" s="569"/>
      <c r="H498" s="569"/>
      <c r="I498" s="569"/>
      <c r="J498" s="569"/>
      <c r="K498" s="569"/>
      <c r="L498" s="569"/>
      <c r="M498" s="569"/>
      <c r="N498" s="569"/>
      <c r="O498" s="569"/>
      <c r="P498" s="569"/>
      <c r="Q498" s="569"/>
      <c r="R498" s="569"/>
      <c r="S498" s="569"/>
      <c r="T498" s="569"/>
      <c r="U498" s="569"/>
      <c r="V498" s="569"/>
      <c r="W498" s="569"/>
      <c r="X498" s="569"/>
      <c r="Y498" s="569"/>
      <c r="Z498" s="569"/>
      <c r="AA498" s="569"/>
    </row>
    <row r="499" ht="12.75" customHeight="1">
      <c r="A499" s="569"/>
      <c r="B499" s="569"/>
      <c r="D499" s="569"/>
      <c r="E499" s="569"/>
      <c r="F499" s="569"/>
      <c r="G499" s="569"/>
      <c r="H499" s="569"/>
      <c r="I499" s="569"/>
      <c r="J499" s="569"/>
      <c r="K499" s="569"/>
      <c r="L499" s="569"/>
      <c r="M499" s="569"/>
      <c r="N499" s="569"/>
      <c r="O499" s="569"/>
      <c r="P499" s="569"/>
      <c r="Q499" s="569"/>
      <c r="R499" s="569"/>
      <c r="S499" s="569"/>
      <c r="T499" s="569"/>
      <c r="U499" s="569"/>
      <c r="V499" s="569"/>
      <c r="W499" s="569"/>
      <c r="X499" s="569"/>
      <c r="Y499" s="569"/>
      <c r="Z499" s="569"/>
      <c r="AA499" s="569"/>
    </row>
    <row r="500" ht="12.75" customHeight="1">
      <c r="A500" s="569"/>
      <c r="B500" s="569"/>
      <c r="D500" s="569"/>
      <c r="E500" s="569"/>
      <c r="F500" s="569"/>
      <c r="G500" s="569"/>
      <c r="H500" s="569"/>
      <c r="I500" s="569"/>
      <c r="J500" s="569"/>
      <c r="K500" s="569"/>
      <c r="L500" s="569"/>
      <c r="M500" s="569"/>
      <c r="N500" s="569"/>
      <c r="O500" s="569"/>
      <c r="P500" s="569"/>
      <c r="Q500" s="569"/>
      <c r="R500" s="569"/>
      <c r="S500" s="569"/>
      <c r="T500" s="569"/>
      <c r="U500" s="569"/>
      <c r="V500" s="569"/>
      <c r="W500" s="569"/>
      <c r="X500" s="569"/>
      <c r="Y500" s="569"/>
      <c r="Z500" s="569"/>
      <c r="AA500" s="569"/>
    </row>
    <row r="501" ht="12.75" customHeight="1">
      <c r="A501" s="569"/>
      <c r="B501" s="569"/>
      <c r="D501" s="569"/>
      <c r="E501" s="569"/>
      <c r="F501" s="569"/>
      <c r="G501" s="569"/>
      <c r="H501" s="569"/>
      <c r="I501" s="569"/>
      <c r="J501" s="569"/>
      <c r="K501" s="569"/>
      <c r="L501" s="569"/>
      <c r="M501" s="569"/>
      <c r="N501" s="569"/>
      <c r="O501" s="569"/>
      <c r="P501" s="569"/>
      <c r="Q501" s="569"/>
      <c r="R501" s="569"/>
      <c r="S501" s="569"/>
      <c r="T501" s="569"/>
      <c r="U501" s="569"/>
      <c r="V501" s="569"/>
      <c r="W501" s="569"/>
      <c r="X501" s="569"/>
      <c r="Y501" s="569"/>
      <c r="Z501" s="569"/>
      <c r="AA501" s="569"/>
    </row>
    <row r="502" ht="12.75" customHeight="1">
      <c r="A502" s="569"/>
      <c r="B502" s="569"/>
      <c r="D502" s="569"/>
      <c r="E502" s="569"/>
      <c r="F502" s="569"/>
      <c r="G502" s="569"/>
      <c r="H502" s="569"/>
      <c r="I502" s="569"/>
      <c r="J502" s="569"/>
      <c r="K502" s="569"/>
      <c r="L502" s="569"/>
      <c r="M502" s="569"/>
      <c r="N502" s="569"/>
      <c r="O502" s="569"/>
      <c r="P502" s="569"/>
      <c r="Q502" s="569"/>
      <c r="R502" s="569"/>
      <c r="S502" s="569"/>
      <c r="T502" s="569"/>
      <c r="U502" s="569"/>
      <c r="V502" s="569"/>
      <c r="W502" s="569"/>
      <c r="X502" s="569"/>
      <c r="Y502" s="569"/>
      <c r="Z502" s="569"/>
      <c r="AA502" s="569"/>
    </row>
    <row r="503" ht="12.75" customHeight="1">
      <c r="A503" s="569"/>
      <c r="B503" s="569"/>
      <c r="D503" s="569"/>
      <c r="E503" s="569"/>
      <c r="F503" s="569"/>
      <c r="G503" s="569"/>
      <c r="H503" s="569"/>
      <c r="I503" s="569"/>
      <c r="J503" s="569"/>
      <c r="K503" s="569"/>
      <c r="L503" s="569"/>
      <c r="M503" s="569"/>
      <c r="N503" s="569"/>
      <c r="O503" s="569"/>
      <c r="P503" s="569"/>
      <c r="Q503" s="569"/>
      <c r="R503" s="569"/>
      <c r="S503" s="569"/>
      <c r="T503" s="569"/>
      <c r="U503" s="569"/>
      <c r="V503" s="569"/>
      <c r="W503" s="569"/>
      <c r="X503" s="569"/>
      <c r="Y503" s="569"/>
      <c r="Z503" s="569"/>
      <c r="AA503" s="569"/>
    </row>
    <row r="504" ht="12.75" customHeight="1">
      <c r="A504" s="569"/>
      <c r="B504" s="569"/>
      <c r="D504" s="569"/>
      <c r="E504" s="569"/>
      <c r="F504" s="569"/>
      <c r="G504" s="569"/>
      <c r="H504" s="569"/>
      <c r="I504" s="569"/>
      <c r="J504" s="569"/>
      <c r="K504" s="569"/>
      <c r="L504" s="569"/>
      <c r="M504" s="569"/>
      <c r="N504" s="569"/>
      <c r="O504" s="569"/>
      <c r="P504" s="569"/>
      <c r="Q504" s="569"/>
      <c r="R504" s="569"/>
      <c r="S504" s="569"/>
      <c r="T504" s="569"/>
      <c r="U504" s="569"/>
      <c r="V504" s="569"/>
      <c r="W504" s="569"/>
      <c r="X504" s="569"/>
      <c r="Y504" s="569"/>
      <c r="Z504" s="569"/>
      <c r="AA504" s="569"/>
    </row>
    <row r="505" ht="12.75" customHeight="1">
      <c r="A505" s="569"/>
      <c r="B505" s="569"/>
      <c r="D505" s="569"/>
      <c r="E505" s="569"/>
      <c r="F505" s="569"/>
      <c r="G505" s="569"/>
      <c r="H505" s="569"/>
      <c r="I505" s="569"/>
      <c r="J505" s="569"/>
      <c r="K505" s="569"/>
      <c r="L505" s="569"/>
      <c r="M505" s="569"/>
      <c r="N505" s="569"/>
      <c r="O505" s="569"/>
      <c r="P505" s="569"/>
      <c r="Q505" s="569"/>
      <c r="R505" s="569"/>
      <c r="S505" s="569"/>
      <c r="T505" s="569"/>
      <c r="U505" s="569"/>
      <c r="V505" s="569"/>
      <c r="W505" s="569"/>
      <c r="X505" s="569"/>
      <c r="Y505" s="569"/>
      <c r="Z505" s="569"/>
      <c r="AA505" s="569"/>
    </row>
    <row r="506" ht="12.75" customHeight="1">
      <c r="A506" s="569"/>
      <c r="B506" s="569"/>
      <c r="D506" s="569"/>
      <c r="E506" s="569"/>
      <c r="F506" s="569"/>
      <c r="G506" s="569"/>
      <c r="H506" s="569"/>
      <c r="I506" s="569"/>
      <c r="J506" s="569"/>
      <c r="K506" s="569"/>
      <c r="L506" s="569"/>
      <c r="M506" s="569"/>
      <c r="N506" s="569"/>
      <c r="O506" s="569"/>
      <c r="P506" s="569"/>
      <c r="Q506" s="569"/>
      <c r="R506" s="569"/>
      <c r="S506" s="569"/>
      <c r="T506" s="569"/>
      <c r="U506" s="569"/>
      <c r="V506" s="569"/>
      <c r="W506" s="569"/>
      <c r="X506" s="569"/>
      <c r="Y506" s="569"/>
      <c r="Z506" s="569"/>
      <c r="AA506" s="569"/>
    </row>
    <row r="507" ht="12.75" customHeight="1">
      <c r="A507" s="569"/>
      <c r="B507" s="569"/>
      <c r="D507" s="569"/>
      <c r="E507" s="569"/>
      <c r="F507" s="569"/>
      <c r="G507" s="569"/>
      <c r="H507" s="569"/>
      <c r="I507" s="569"/>
      <c r="J507" s="569"/>
      <c r="K507" s="569"/>
      <c r="L507" s="569"/>
      <c r="M507" s="569"/>
      <c r="N507" s="569"/>
      <c r="O507" s="569"/>
      <c r="P507" s="569"/>
      <c r="Q507" s="569"/>
      <c r="R507" s="569"/>
      <c r="S507" s="569"/>
      <c r="T507" s="569"/>
      <c r="U507" s="569"/>
      <c r="V507" s="569"/>
      <c r="W507" s="569"/>
      <c r="X507" s="569"/>
      <c r="Y507" s="569"/>
      <c r="Z507" s="569"/>
      <c r="AA507" s="569"/>
    </row>
    <row r="508" ht="12.75" customHeight="1">
      <c r="A508" s="569"/>
      <c r="B508" s="569"/>
      <c r="D508" s="569"/>
      <c r="E508" s="569"/>
      <c r="F508" s="569"/>
      <c r="G508" s="569"/>
      <c r="H508" s="569"/>
      <c r="I508" s="569"/>
      <c r="J508" s="569"/>
      <c r="K508" s="569"/>
      <c r="L508" s="569"/>
      <c r="M508" s="569"/>
      <c r="N508" s="569"/>
      <c r="O508" s="569"/>
      <c r="P508" s="569"/>
      <c r="Q508" s="569"/>
      <c r="R508" s="569"/>
      <c r="S508" s="569"/>
      <c r="T508" s="569"/>
      <c r="U508" s="569"/>
      <c r="V508" s="569"/>
      <c r="W508" s="569"/>
      <c r="X508" s="569"/>
      <c r="Y508" s="569"/>
      <c r="Z508" s="569"/>
      <c r="AA508" s="569"/>
    </row>
    <row r="509" ht="12.75" customHeight="1">
      <c r="A509" s="569"/>
      <c r="B509" s="569"/>
      <c r="D509" s="569"/>
      <c r="E509" s="569"/>
      <c r="F509" s="569"/>
      <c r="G509" s="569"/>
      <c r="H509" s="569"/>
      <c r="I509" s="569"/>
      <c r="J509" s="569"/>
      <c r="K509" s="569"/>
      <c r="L509" s="569"/>
      <c r="M509" s="569"/>
      <c r="N509" s="569"/>
      <c r="O509" s="569"/>
      <c r="P509" s="569"/>
      <c r="Q509" s="569"/>
      <c r="R509" s="569"/>
      <c r="S509" s="569"/>
      <c r="T509" s="569"/>
      <c r="U509" s="569"/>
      <c r="V509" s="569"/>
      <c r="W509" s="569"/>
      <c r="X509" s="569"/>
      <c r="Y509" s="569"/>
      <c r="Z509" s="569"/>
      <c r="AA509" s="569"/>
    </row>
    <row r="510" ht="12.75" customHeight="1">
      <c r="A510" s="569"/>
      <c r="B510" s="569"/>
      <c r="D510" s="569"/>
      <c r="E510" s="569"/>
      <c r="F510" s="569"/>
      <c r="G510" s="569"/>
      <c r="H510" s="569"/>
      <c r="I510" s="569"/>
      <c r="J510" s="569"/>
      <c r="K510" s="569"/>
      <c r="L510" s="569"/>
      <c r="M510" s="569"/>
      <c r="N510" s="569"/>
      <c r="O510" s="569"/>
      <c r="P510" s="569"/>
      <c r="Q510" s="569"/>
      <c r="R510" s="569"/>
      <c r="S510" s="569"/>
      <c r="T510" s="569"/>
      <c r="U510" s="569"/>
      <c r="V510" s="569"/>
      <c r="W510" s="569"/>
      <c r="X510" s="569"/>
      <c r="Y510" s="569"/>
      <c r="Z510" s="569"/>
      <c r="AA510" s="569"/>
    </row>
    <row r="511" ht="12.75" customHeight="1">
      <c r="A511" s="569"/>
      <c r="B511" s="569"/>
      <c r="D511" s="569"/>
      <c r="E511" s="569"/>
      <c r="F511" s="569"/>
      <c r="G511" s="569"/>
      <c r="H511" s="569"/>
      <c r="I511" s="569"/>
      <c r="J511" s="569"/>
      <c r="K511" s="569"/>
      <c r="L511" s="569"/>
      <c r="M511" s="569"/>
      <c r="N511" s="569"/>
      <c r="O511" s="569"/>
      <c r="P511" s="569"/>
      <c r="Q511" s="569"/>
      <c r="R511" s="569"/>
      <c r="S511" s="569"/>
      <c r="T511" s="569"/>
      <c r="U511" s="569"/>
      <c r="V511" s="569"/>
      <c r="W511" s="569"/>
      <c r="X511" s="569"/>
      <c r="Y511" s="569"/>
      <c r="Z511" s="569"/>
      <c r="AA511" s="569"/>
    </row>
    <row r="512" ht="12.75" customHeight="1">
      <c r="A512" s="569"/>
      <c r="B512" s="569"/>
      <c r="D512" s="569"/>
      <c r="E512" s="569"/>
      <c r="F512" s="569"/>
      <c r="G512" s="569"/>
      <c r="H512" s="569"/>
      <c r="I512" s="569"/>
      <c r="J512" s="569"/>
      <c r="K512" s="569"/>
      <c r="L512" s="569"/>
      <c r="M512" s="569"/>
      <c r="N512" s="569"/>
      <c r="O512" s="569"/>
      <c r="P512" s="569"/>
      <c r="Q512" s="569"/>
      <c r="R512" s="569"/>
      <c r="S512" s="569"/>
      <c r="T512" s="569"/>
      <c r="U512" s="569"/>
      <c r="V512" s="569"/>
      <c r="W512" s="569"/>
      <c r="X512" s="569"/>
      <c r="Y512" s="569"/>
      <c r="Z512" s="569"/>
      <c r="AA512" s="569"/>
    </row>
    <row r="513" ht="12.75" customHeight="1">
      <c r="A513" s="569"/>
      <c r="B513" s="569"/>
      <c r="D513" s="569"/>
      <c r="E513" s="569"/>
      <c r="F513" s="569"/>
      <c r="G513" s="569"/>
      <c r="H513" s="569"/>
      <c r="I513" s="569"/>
      <c r="J513" s="569"/>
      <c r="K513" s="569"/>
      <c r="L513" s="569"/>
      <c r="M513" s="569"/>
      <c r="N513" s="569"/>
      <c r="O513" s="569"/>
      <c r="P513" s="569"/>
      <c r="Q513" s="569"/>
      <c r="R513" s="569"/>
      <c r="S513" s="569"/>
      <c r="T513" s="569"/>
      <c r="U513" s="569"/>
      <c r="V513" s="569"/>
      <c r="W513" s="569"/>
      <c r="X513" s="569"/>
      <c r="Y513" s="569"/>
      <c r="Z513" s="569"/>
      <c r="AA513" s="569"/>
    </row>
    <row r="514" ht="12.75" customHeight="1">
      <c r="A514" s="569"/>
      <c r="B514" s="569"/>
      <c r="D514" s="569"/>
      <c r="E514" s="569"/>
      <c r="F514" s="569"/>
      <c r="G514" s="569"/>
      <c r="H514" s="569"/>
      <c r="I514" s="569"/>
      <c r="J514" s="569"/>
      <c r="K514" s="569"/>
      <c r="L514" s="569"/>
      <c r="M514" s="569"/>
      <c r="N514" s="569"/>
      <c r="O514" s="569"/>
      <c r="P514" s="569"/>
      <c r="Q514" s="569"/>
      <c r="R514" s="569"/>
      <c r="S514" s="569"/>
      <c r="T514" s="569"/>
      <c r="U514" s="569"/>
      <c r="V514" s="569"/>
      <c r="W514" s="569"/>
      <c r="X514" s="569"/>
      <c r="Y514" s="569"/>
      <c r="Z514" s="569"/>
      <c r="AA514" s="569"/>
    </row>
    <row r="515" ht="12.75" customHeight="1">
      <c r="A515" s="569"/>
      <c r="B515" s="569"/>
      <c r="D515" s="569"/>
      <c r="E515" s="569"/>
      <c r="F515" s="569"/>
      <c r="G515" s="569"/>
      <c r="H515" s="569"/>
      <c r="I515" s="569"/>
      <c r="J515" s="569"/>
      <c r="K515" s="569"/>
      <c r="L515" s="569"/>
      <c r="M515" s="569"/>
      <c r="N515" s="569"/>
      <c r="O515" s="569"/>
      <c r="P515" s="569"/>
      <c r="Q515" s="569"/>
      <c r="R515" s="569"/>
      <c r="S515" s="569"/>
      <c r="T515" s="569"/>
      <c r="U515" s="569"/>
      <c r="V515" s="569"/>
      <c r="W515" s="569"/>
      <c r="X515" s="569"/>
      <c r="Y515" s="569"/>
      <c r="Z515" s="569"/>
      <c r="AA515" s="569"/>
    </row>
    <row r="516" ht="12.75" customHeight="1">
      <c r="A516" s="569"/>
      <c r="B516" s="569"/>
      <c r="D516" s="569"/>
      <c r="E516" s="569"/>
      <c r="F516" s="569"/>
      <c r="G516" s="569"/>
      <c r="H516" s="569"/>
      <c r="I516" s="569"/>
      <c r="J516" s="569"/>
      <c r="K516" s="569"/>
      <c r="L516" s="569"/>
      <c r="M516" s="569"/>
      <c r="N516" s="569"/>
      <c r="O516" s="569"/>
      <c r="P516" s="569"/>
      <c r="Q516" s="569"/>
      <c r="R516" s="569"/>
      <c r="S516" s="569"/>
      <c r="T516" s="569"/>
      <c r="U516" s="569"/>
      <c r="V516" s="569"/>
      <c r="W516" s="569"/>
      <c r="X516" s="569"/>
      <c r="Y516" s="569"/>
      <c r="Z516" s="569"/>
      <c r="AA516" s="569"/>
    </row>
    <row r="517" ht="12.75" customHeight="1">
      <c r="A517" s="569"/>
      <c r="B517" s="569"/>
      <c r="D517" s="569"/>
      <c r="E517" s="569"/>
      <c r="F517" s="569"/>
      <c r="G517" s="569"/>
      <c r="H517" s="569"/>
      <c r="I517" s="569"/>
      <c r="J517" s="569"/>
      <c r="K517" s="569"/>
      <c r="L517" s="569"/>
      <c r="M517" s="569"/>
      <c r="N517" s="569"/>
      <c r="O517" s="569"/>
      <c r="P517" s="569"/>
      <c r="Q517" s="569"/>
      <c r="R517" s="569"/>
      <c r="S517" s="569"/>
      <c r="T517" s="569"/>
      <c r="U517" s="569"/>
      <c r="V517" s="569"/>
      <c r="W517" s="569"/>
      <c r="X517" s="569"/>
      <c r="Y517" s="569"/>
      <c r="Z517" s="569"/>
      <c r="AA517" s="569"/>
    </row>
    <row r="518" ht="12.75" customHeight="1">
      <c r="A518" s="569"/>
      <c r="B518" s="569"/>
      <c r="D518" s="569"/>
      <c r="E518" s="569"/>
      <c r="F518" s="569"/>
      <c r="G518" s="569"/>
      <c r="H518" s="569"/>
      <c r="I518" s="569"/>
      <c r="J518" s="569"/>
      <c r="K518" s="569"/>
      <c r="L518" s="569"/>
      <c r="M518" s="569"/>
      <c r="N518" s="569"/>
      <c r="O518" s="569"/>
      <c r="P518" s="569"/>
      <c r="Q518" s="569"/>
      <c r="R518" s="569"/>
      <c r="S518" s="569"/>
      <c r="T518" s="569"/>
      <c r="U518" s="569"/>
      <c r="V518" s="569"/>
      <c r="W518" s="569"/>
      <c r="X518" s="569"/>
      <c r="Y518" s="569"/>
      <c r="Z518" s="569"/>
      <c r="AA518" s="569"/>
    </row>
    <row r="519" ht="12.75" customHeight="1">
      <c r="A519" s="569"/>
      <c r="B519" s="569"/>
      <c r="D519" s="569"/>
      <c r="E519" s="569"/>
      <c r="F519" s="569"/>
      <c r="G519" s="569"/>
      <c r="H519" s="569"/>
      <c r="I519" s="569"/>
      <c r="J519" s="569"/>
      <c r="K519" s="569"/>
      <c r="L519" s="569"/>
      <c r="M519" s="569"/>
      <c r="N519" s="569"/>
      <c r="O519" s="569"/>
      <c r="P519" s="569"/>
      <c r="Q519" s="569"/>
      <c r="R519" s="569"/>
      <c r="S519" s="569"/>
      <c r="T519" s="569"/>
      <c r="U519" s="569"/>
      <c r="V519" s="569"/>
      <c r="W519" s="569"/>
      <c r="X519" s="569"/>
      <c r="Y519" s="569"/>
      <c r="Z519" s="569"/>
      <c r="AA519" s="569"/>
    </row>
    <row r="520" ht="12.75" customHeight="1">
      <c r="A520" s="569"/>
      <c r="B520" s="569"/>
      <c r="D520" s="569"/>
      <c r="E520" s="569"/>
      <c r="F520" s="569"/>
      <c r="G520" s="569"/>
      <c r="H520" s="569"/>
      <c r="I520" s="569"/>
      <c r="J520" s="569"/>
      <c r="K520" s="569"/>
      <c r="L520" s="569"/>
      <c r="M520" s="569"/>
      <c r="N520" s="569"/>
      <c r="O520" s="569"/>
      <c r="P520" s="569"/>
      <c r="Q520" s="569"/>
      <c r="R520" s="569"/>
      <c r="S520" s="569"/>
      <c r="T520" s="569"/>
      <c r="U520" s="569"/>
      <c r="V520" s="569"/>
      <c r="W520" s="569"/>
      <c r="X520" s="569"/>
      <c r="Y520" s="569"/>
      <c r="Z520" s="569"/>
      <c r="AA520" s="569"/>
    </row>
    <row r="521" ht="12.75" customHeight="1">
      <c r="A521" s="569"/>
      <c r="B521" s="569"/>
      <c r="D521" s="569"/>
      <c r="E521" s="569"/>
      <c r="F521" s="569"/>
      <c r="G521" s="569"/>
      <c r="H521" s="569"/>
      <c r="I521" s="569"/>
      <c r="J521" s="569"/>
      <c r="K521" s="569"/>
      <c r="L521" s="569"/>
      <c r="M521" s="569"/>
      <c r="N521" s="569"/>
      <c r="O521" s="569"/>
      <c r="P521" s="569"/>
      <c r="Q521" s="569"/>
      <c r="R521" s="569"/>
      <c r="S521" s="569"/>
      <c r="T521" s="569"/>
      <c r="U521" s="569"/>
      <c r="V521" s="569"/>
      <c r="W521" s="569"/>
      <c r="X521" s="569"/>
      <c r="Y521" s="569"/>
      <c r="Z521" s="569"/>
      <c r="AA521" s="569"/>
    </row>
    <row r="522" ht="12.75" customHeight="1">
      <c r="A522" s="569"/>
      <c r="B522" s="569"/>
      <c r="D522" s="569"/>
      <c r="E522" s="569"/>
      <c r="F522" s="569"/>
      <c r="G522" s="569"/>
      <c r="H522" s="569"/>
      <c r="I522" s="569"/>
      <c r="J522" s="569"/>
      <c r="K522" s="569"/>
      <c r="L522" s="569"/>
      <c r="M522" s="569"/>
      <c r="N522" s="569"/>
      <c r="O522" s="569"/>
      <c r="P522" s="569"/>
      <c r="Q522" s="569"/>
      <c r="R522" s="569"/>
      <c r="S522" s="569"/>
      <c r="T522" s="569"/>
      <c r="U522" s="569"/>
      <c r="V522" s="569"/>
      <c r="W522" s="569"/>
      <c r="X522" s="569"/>
      <c r="Y522" s="569"/>
      <c r="Z522" s="569"/>
      <c r="AA522" s="569"/>
    </row>
    <row r="523" ht="12.75" customHeight="1">
      <c r="A523" s="569"/>
      <c r="B523" s="569"/>
      <c r="D523" s="569"/>
      <c r="E523" s="569"/>
      <c r="F523" s="569"/>
      <c r="G523" s="569"/>
      <c r="H523" s="569"/>
      <c r="I523" s="569"/>
      <c r="J523" s="569"/>
      <c r="K523" s="569"/>
      <c r="L523" s="569"/>
      <c r="M523" s="569"/>
      <c r="N523" s="569"/>
      <c r="O523" s="569"/>
      <c r="P523" s="569"/>
      <c r="Q523" s="569"/>
      <c r="R523" s="569"/>
      <c r="S523" s="569"/>
      <c r="T523" s="569"/>
      <c r="U523" s="569"/>
      <c r="V523" s="569"/>
      <c r="W523" s="569"/>
      <c r="X523" s="569"/>
      <c r="Y523" s="569"/>
      <c r="Z523" s="569"/>
      <c r="AA523" s="569"/>
    </row>
    <row r="524" ht="12.75" customHeight="1">
      <c r="A524" s="569"/>
      <c r="B524" s="569"/>
      <c r="D524" s="569"/>
      <c r="E524" s="569"/>
      <c r="F524" s="569"/>
      <c r="G524" s="569"/>
      <c r="H524" s="569"/>
      <c r="I524" s="569"/>
      <c r="J524" s="569"/>
      <c r="K524" s="569"/>
      <c r="L524" s="569"/>
      <c r="M524" s="569"/>
      <c r="N524" s="569"/>
      <c r="O524" s="569"/>
      <c r="P524" s="569"/>
      <c r="Q524" s="569"/>
      <c r="R524" s="569"/>
      <c r="S524" s="569"/>
      <c r="T524" s="569"/>
      <c r="U524" s="569"/>
      <c r="V524" s="569"/>
      <c r="W524" s="569"/>
      <c r="X524" s="569"/>
      <c r="Y524" s="569"/>
      <c r="Z524" s="569"/>
      <c r="AA524" s="569"/>
    </row>
    <row r="525" ht="12.75" customHeight="1">
      <c r="A525" s="569"/>
      <c r="B525" s="569"/>
      <c r="D525" s="569"/>
      <c r="E525" s="569"/>
      <c r="F525" s="569"/>
      <c r="G525" s="569"/>
      <c r="H525" s="569"/>
      <c r="I525" s="569"/>
      <c r="J525" s="569"/>
      <c r="K525" s="569"/>
      <c r="L525" s="569"/>
      <c r="M525" s="569"/>
      <c r="N525" s="569"/>
      <c r="O525" s="569"/>
      <c r="P525" s="569"/>
      <c r="Q525" s="569"/>
      <c r="R525" s="569"/>
      <c r="S525" s="569"/>
      <c r="T525" s="569"/>
      <c r="U525" s="569"/>
      <c r="V525" s="569"/>
      <c r="W525" s="569"/>
      <c r="X525" s="569"/>
      <c r="Y525" s="569"/>
      <c r="Z525" s="569"/>
      <c r="AA525" s="569"/>
    </row>
    <row r="526" ht="12.75" customHeight="1">
      <c r="A526" s="569"/>
      <c r="B526" s="569"/>
      <c r="D526" s="569"/>
      <c r="E526" s="569"/>
      <c r="F526" s="569"/>
      <c r="G526" s="569"/>
      <c r="H526" s="569"/>
      <c r="I526" s="569"/>
      <c r="J526" s="569"/>
      <c r="K526" s="569"/>
      <c r="L526" s="569"/>
      <c r="M526" s="569"/>
      <c r="N526" s="569"/>
      <c r="O526" s="569"/>
      <c r="P526" s="569"/>
      <c r="Q526" s="569"/>
      <c r="R526" s="569"/>
      <c r="S526" s="569"/>
      <c r="T526" s="569"/>
      <c r="U526" s="569"/>
      <c r="V526" s="569"/>
      <c r="W526" s="569"/>
      <c r="X526" s="569"/>
      <c r="Y526" s="569"/>
      <c r="Z526" s="569"/>
      <c r="AA526" s="569"/>
    </row>
    <row r="527" ht="12.75" customHeight="1">
      <c r="A527" s="569"/>
      <c r="B527" s="569"/>
      <c r="D527" s="569"/>
      <c r="E527" s="569"/>
      <c r="F527" s="569"/>
      <c r="G527" s="569"/>
      <c r="H527" s="569"/>
      <c r="I527" s="569"/>
      <c r="J527" s="569"/>
      <c r="K527" s="569"/>
      <c r="L527" s="569"/>
      <c r="M527" s="569"/>
      <c r="N527" s="569"/>
      <c r="O527" s="569"/>
      <c r="P527" s="569"/>
      <c r="Q527" s="569"/>
      <c r="R527" s="569"/>
      <c r="S527" s="569"/>
      <c r="T527" s="569"/>
      <c r="U527" s="569"/>
      <c r="V527" s="569"/>
      <c r="W527" s="569"/>
      <c r="X527" s="569"/>
      <c r="Y527" s="569"/>
      <c r="Z527" s="569"/>
      <c r="AA527" s="569"/>
    </row>
    <row r="528" ht="12.75" customHeight="1">
      <c r="A528" s="569"/>
      <c r="B528" s="569"/>
      <c r="D528" s="569"/>
      <c r="E528" s="569"/>
      <c r="F528" s="569"/>
      <c r="G528" s="569"/>
      <c r="H528" s="569"/>
      <c r="I528" s="569"/>
      <c r="J528" s="569"/>
      <c r="K528" s="569"/>
      <c r="L528" s="569"/>
      <c r="M528" s="569"/>
      <c r="N528" s="569"/>
      <c r="O528" s="569"/>
      <c r="P528" s="569"/>
      <c r="Q528" s="569"/>
      <c r="R528" s="569"/>
      <c r="S528" s="569"/>
      <c r="T528" s="569"/>
      <c r="U528" s="569"/>
      <c r="V528" s="569"/>
      <c r="W528" s="569"/>
      <c r="X528" s="569"/>
      <c r="Y528" s="569"/>
      <c r="Z528" s="569"/>
      <c r="AA528" s="569"/>
    </row>
    <row r="529" ht="12.75" customHeight="1">
      <c r="A529" s="569"/>
      <c r="B529" s="569"/>
      <c r="D529" s="569"/>
      <c r="E529" s="569"/>
      <c r="F529" s="569"/>
      <c r="G529" s="569"/>
      <c r="H529" s="569"/>
      <c r="I529" s="569"/>
      <c r="J529" s="569"/>
      <c r="K529" s="569"/>
      <c r="L529" s="569"/>
      <c r="M529" s="569"/>
      <c r="N529" s="569"/>
      <c r="O529" s="569"/>
      <c r="P529" s="569"/>
      <c r="Q529" s="569"/>
      <c r="R529" s="569"/>
      <c r="S529" s="569"/>
      <c r="T529" s="569"/>
      <c r="U529" s="569"/>
      <c r="V529" s="569"/>
      <c r="W529" s="569"/>
      <c r="X529" s="569"/>
      <c r="Y529" s="569"/>
      <c r="Z529" s="569"/>
      <c r="AA529" s="569"/>
    </row>
    <row r="530" ht="12.75" customHeight="1">
      <c r="A530" s="569"/>
      <c r="B530" s="569"/>
      <c r="D530" s="569"/>
      <c r="E530" s="569"/>
      <c r="F530" s="569"/>
      <c r="G530" s="569"/>
      <c r="H530" s="569"/>
      <c r="I530" s="569"/>
      <c r="J530" s="569"/>
      <c r="K530" s="569"/>
      <c r="L530" s="569"/>
      <c r="M530" s="569"/>
      <c r="N530" s="569"/>
      <c r="O530" s="569"/>
      <c r="P530" s="569"/>
      <c r="Q530" s="569"/>
      <c r="R530" s="569"/>
      <c r="S530" s="569"/>
      <c r="T530" s="569"/>
      <c r="U530" s="569"/>
      <c r="V530" s="569"/>
      <c r="W530" s="569"/>
      <c r="X530" s="569"/>
      <c r="Y530" s="569"/>
      <c r="Z530" s="569"/>
      <c r="AA530" s="569"/>
    </row>
    <row r="531" ht="12.75" customHeight="1">
      <c r="A531" s="569"/>
      <c r="B531" s="569"/>
      <c r="D531" s="569"/>
      <c r="E531" s="569"/>
      <c r="F531" s="569"/>
      <c r="G531" s="569"/>
      <c r="H531" s="569"/>
      <c r="I531" s="569"/>
      <c r="J531" s="569"/>
      <c r="K531" s="569"/>
      <c r="L531" s="569"/>
      <c r="M531" s="569"/>
      <c r="N531" s="569"/>
      <c r="O531" s="569"/>
      <c r="P531" s="569"/>
      <c r="Q531" s="569"/>
      <c r="R531" s="569"/>
      <c r="S531" s="569"/>
      <c r="T531" s="569"/>
      <c r="U531" s="569"/>
      <c r="V531" s="569"/>
      <c r="W531" s="569"/>
      <c r="X531" s="569"/>
      <c r="Y531" s="569"/>
      <c r="Z531" s="569"/>
      <c r="AA531" s="569"/>
    </row>
    <row r="532" ht="12.75" customHeight="1">
      <c r="A532" s="569"/>
      <c r="B532" s="569"/>
      <c r="D532" s="569"/>
      <c r="E532" s="569"/>
      <c r="F532" s="569"/>
      <c r="G532" s="569"/>
      <c r="H532" s="569"/>
      <c r="I532" s="569"/>
      <c r="J532" s="569"/>
      <c r="K532" s="569"/>
      <c r="L532" s="569"/>
      <c r="M532" s="569"/>
      <c r="N532" s="569"/>
      <c r="O532" s="569"/>
      <c r="P532" s="569"/>
      <c r="Q532" s="569"/>
      <c r="R532" s="569"/>
      <c r="S532" s="569"/>
      <c r="T532" s="569"/>
      <c r="U532" s="569"/>
      <c r="V532" s="569"/>
      <c r="W532" s="569"/>
      <c r="X532" s="569"/>
      <c r="Y532" s="569"/>
      <c r="Z532" s="569"/>
      <c r="AA532" s="569"/>
    </row>
    <row r="533" ht="12.75" customHeight="1">
      <c r="A533" s="569"/>
      <c r="B533" s="569"/>
      <c r="D533" s="569"/>
      <c r="E533" s="569"/>
      <c r="F533" s="569"/>
      <c r="G533" s="569"/>
      <c r="H533" s="569"/>
      <c r="I533" s="569"/>
      <c r="J533" s="569"/>
      <c r="K533" s="569"/>
      <c r="L533" s="569"/>
      <c r="M533" s="569"/>
      <c r="N533" s="569"/>
      <c r="O533" s="569"/>
      <c r="P533" s="569"/>
      <c r="Q533" s="569"/>
      <c r="R533" s="569"/>
      <c r="S533" s="569"/>
      <c r="T533" s="569"/>
      <c r="U533" s="569"/>
      <c r="V533" s="569"/>
      <c r="W533" s="569"/>
      <c r="X533" s="569"/>
      <c r="Y533" s="569"/>
      <c r="Z533" s="569"/>
      <c r="AA533" s="569"/>
    </row>
    <row r="534" ht="12.75" customHeight="1">
      <c r="A534" s="569"/>
      <c r="B534" s="569"/>
      <c r="D534" s="569"/>
      <c r="E534" s="569"/>
      <c r="F534" s="569"/>
      <c r="G534" s="569"/>
      <c r="H534" s="569"/>
      <c r="I534" s="569"/>
      <c r="J534" s="569"/>
      <c r="K534" s="569"/>
      <c r="L534" s="569"/>
      <c r="M534" s="569"/>
      <c r="N534" s="569"/>
      <c r="O534" s="569"/>
      <c r="P534" s="569"/>
      <c r="Q534" s="569"/>
      <c r="R534" s="569"/>
      <c r="S534" s="569"/>
      <c r="T534" s="569"/>
      <c r="U534" s="569"/>
      <c r="V534" s="569"/>
      <c r="W534" s="569"/>
      <c r="X534" s="569"/>
      <c r="Y534" s="569"/>
      <c r="Z534" s="569"/>
      <c r="AA534" s="569"/>
    </row>
    <row r="535" ht="12.75" customHeight="1">
      <c r="A535" s="569"/>
      <c r="B535" s="569"/>
      <c r="D535" s="569"/>
      <c r="E535" s="569"/>
      <c r="F535" s="569"/>
      <c r="G535" s="569"/>
      <c r="H535" s="569"/>
      <c r="I535" s="569"/>
      <c r="J535" s="569"/>
      <c r="K535" s="569"/>
      <c r="L535" s="569"/>
      <c r="M535" s="569"/>
      <c r="N535" s="569"/>
      <c r="O535" s="569"/>
      <c r="P535" s="569"/>
      <c r="Q535" s="569"/>
      <c r="R535" s="569"/>
      <c r="S535" s="569"/>
      <c r="T535" s="569"/>
      <c r="U535" s="569"/>
      <c r="V535" s="569"/>
      <c r="W535" s="569"/>
      <c r="X535" s="569"/>
      <c r="Y535" s="569"/>
      <c r="Z535" s="569"/>
      <c r="AA535" s="569"/>
    </row>
    <row r="536" ht="12.75" customHeight="1">
      <c r="A536" s="569"/>
      <c r="B536" s="569"/>
      <c r="D536" s="569"/>
      <c r="E536" s="569"/>
      <c r="F536" s="569"/>
      <c r="G536" s="569"/>
      <c r="H536" s="569"/>
      <c r="I536" s="569"/>
      <c r="J536" s="569"/>
      <c r="K536" s="569"/>
      <c r="L536" s="569"/>
      <c r="M536" s="569"/>
      <c r="N536" s="569"/>
      <c r="O536" s="569"/>
      <c r="P536" s="569"/>
      <c r="Q536" s="569"/>
      <c r="R536" s="569"/>
      <c r="S536" s="569"/>
      <c r="T536" s="569"/>
      <c r="U536" s="569"/>
      <c r="V536" s="569"/>
      <c r="W536" s="569"/>
      <c r="X536" s="569"/>
      <c r="Y536" s="569"/>
      <c r="Z536" s="569"/>
      <c r="AA536" s="569"/>
    </row>
    <row r="537" ht="12.75" customHeight="1">
      <c r="A537" s="569"/>
      <c r="B537" s="569"/>
      <c r="D537" s="569"/>
      <c r="E537" s="569"/>
      <c r="F537" s="569"/>
      <c r="G537" s="569"/>
      <c r="H537" s="569"/>
      <c r="I537" s="569"/>
      <c r="J537" s="569"/>
      <c r="K537" s="569"/>
      <c r="L537" s="569"/>
      <c r="M537" s="569"/>
      <c r="N537" s="569"/>
      <c r="O537" s="569"/>
      <c r="P537" s="569"/>
      <c r="Q537" s="569"/>
      <c r="R537" s="569"/>
      <c r="S537" s="569"/>
      <c r="T537" s="569"/>
      <c r="U537" s="569"/>
      <c r="V537" s="569"/>
      <c r="W537" s="569"/>
      <c r="X537" s="569"/>
      <c r="Y537" s="569"/>
      <c r="Z537" s="569"/>
      <c r="AA537" s="569"/>
    </row>
    <row r="538" ht="12.75" customHeight="1">
      <c r="A538" s="569"/>
      <c r="B538" s="569"/>
      <c r="D538" s="569"/>
      <c r="E538" s="569"/>
      <c r="F538" s="569"/>
      <c r="G538" s="569"/>
      <c r="H538" s="569"/>
      <c r="I538" s="569"/>
      <c r="J538" s="569"/>
      <c r="K538" s="569"/>
      <c r="L538" s="569"/>
      <c r="M538" s="569"/>
      <c r="N538" s="569"/>
      <c r="O538" s="569"/>
      <c r="P538" s="569"/>
      <c r="Q538" s="569"/>
      <c r="R538" s="569"/>
      <c r="S538" s="569"/>
      <c r="T538" s="569"/>
      <c r="U538" s="569"/>
      <c r="V538" s="569"/>
      <c r="W538" s="569"/>
      <c r="X538" s="569"/>
      <c r="Y538" s="569"/>
      <c r="Z538" s="569"/>
      <c r="AA538" s="569"/>
    </row>
    <row r="539" ht="12.75" customHeight="1">
      <c r="A539" s="569"/>
      <c r="B539" s="569"/>
      <c r="D539" s="569"/>
      <c r="E539" s="569"/>
      <c r="F539" s="569"/>
      <c r="G539" s="569"/>
      <c r="H539" s="569"/>
      <c r="I539" s="569"/>
      <c r="J539" s="569"/>
      <c r="K539" s="569"/>
      <c r="L539" s="569"/>
      <c r="M539" s="569"/>
      <c r="N539" s="569"/>
      <c r="O539" s="569"/>
      <c r="P539" s="569"/>
      <c r="Q539" s="569"/>
      <c r="R539" s="569"/>
      <c r="S539" s="569"/>
      <c r="T539" s="569"/>
      <c r="U539" s="569"/>
      <c r="V539" s="569"/>
      <c r="W539" s="569"/>
      <c r="X539" s="569"/>
      <c r="Y539" s="569"/>
      <c r="Z539" s="569"/>
      <c r="AA539" s="569"/>
    </row>
    <row r="540" ht="12.75" customHeight="1">
      <c r="A540" s="569"/>
      <c r="B540" s="569"/>
      <c r="D540" s="569"/>
      <c r="E540" s="569"/>
      <c r="F540" s="569"/>
      <c r="G540" s="569"/>
      <c r="H540" s="569"/>
      <c r="I540" s="569"/>
      <c r="J540" s="569"/>
      <c r="K540" s="569"/>
      <c r="L540" s="569"/>
      <c r="M540" s="569"/>
      <c r="N540" s="569"/>
      <c r="O540" s="569"/>
      <c r="P540" s="569"/>
      <c r="Q540" s="569"/>
      <c r="R540" s="569"/>
      <c r="S540" s="569"/>
      <c r="T540" s="569"/>
      <c r="U540" s="569"/>
      <c r="V540" s="569"/>
      <c r="W540" s="569"/>
      <c r="X540" s="569"/>
      <c r="Y540" s="569"/>
      <c r="Z540" s="569"/>
      <c r="AA540" s="569"/>
    </row>
    <row r="541" ht="12.75" customHeight="1">
      <c r="A541" s="569"/>
      <c r="B541" s="569"/>
      <c r="D541" s="569"/>
      <c r="E541" s="569"/>
      <c r="F541" s="569"/>
      <c r="G541" s="569"/>
      <c r="H541" s="569"/>
      <c r="I541" s="569"/>
      <c r="J541" s="569"/>
      <c r="K541" s="569"/>
      <c r="L541" s="569"/>
      <c r="M541" s="569"/>
      <c r="N541" s="569"/>
      <c r="O541" s="569"/>
      <c r="P541" s="569"/>
      <c r="Q541" s="569"/>
      <c r="R541" s="569"/>
      <c r="S541" s="569"/>
      <c r="T541" s="569"/>
      <c r="U541" s="569"/>
      <c r="V541" s="569"/>
      <c r="W541" s="569"/>
      <c r="X541" s="569"/>
      <c r="Y541" s="569"/>
      <c r="Z541" s="569"/>
      <c r="AA541" s="569"/>
    </row>
    <row r="542" ht="12.75" customHeight="1">
      <c r="A542" s="569"/>
      <c r="B542" s="569"/>
      <c r="D542" s="569"/>
      <c r="E542" s="569"/>
      <c r="F542" s="569"/>
      <c r="G542" s="569"/>
      <c r="H542" s="569"/>
      <c r="I542" s="569"/>
      <c r="J542" s="569"/>
      <c r="K542" s="569"/>
      <c r="L542" s="569"/>
      <c r="M542" s="569"/>
      <c r="N542" s="569"/>
      <c r="O542" s="569"/>
      <c r="P542" s="569"/>
      <c r="Q542" s="569"/>
      <c r="R542" s="569"/>
      <c r="S542" s="569"/>
      <c r="T542" s="569"/>
      <c r="U542" s="569"/>
      <c r="V542" s="569"/>
      <c r="W542" s="569"/>
      <c r="X542" s="569"/>
      <c r="Y542" s="569"/>
      <c r="Z542" s="569"/>
      <c r="AA542" s="569"/>
    </row>
    <row r="543" ht="12.75" customHeight="1">
      <c r="A543" s="569"/>
      <c r="B543" s="569"/>
      <c r="D543" s="569"/>
      <c r="E543" s="569"/>
      <c r="F543" s="569"/>
      <c r="G543" s="569"/>
      <c r="H543" s="569"/>
      <c r="I543" s="569"/>
      <c r="J543" s="569"/>
      <c r="K543" s="569"/>
      <c r="L543" s="569"/>
      <c r="M543" s="569"/>
      <c r="N543" s="569"/>
      <c r="O543" s="569"/>
      <c r="P543" s="569"/>
      <c r="Q543" s="569"/>
      <c r="R543" s="569"/>
      <c r="S543" s="569"/>
      <c r="T543" s="569"/>
      <c r="U543" s="569"/>
      <c r="V543" s="569"/>
      <c r="W543" s="569"/>
      <c r="X543" s="569"/>
      <c r="Y543" s="569"/>
      <c r="Z543" s="569"/>
      <c r="AA543" s="569"/>
    </row>
    <row r="544" ht="12.75" customHeight="1">
      <c r="A544" s="569"/>
      <c r="B544" s="569"/>
      <c r="D544" s="569"/>
      <c r="E544" s="569"/>
      <c r="F544" s="569"/>
      <c r="G544" s="569"/>
      <c r="H544" s="569"/>
      <c r="I544" s="569"/>
      <c r="J544" s="569"/>
      <c r="K544" s="569"/>
      <c r="L544" s="569"/>
      <c r="M544" s="569"/>
      <c r="N544" s="569"/>
      <c r="O544" s="569"/>
      <c r="P544" s="569"/>
      <c r="Q544" s="569"/>
      <c r="R544" s="569"/>
      <c r="S544" s="569"/>
      <c r="T544" s="569"/>
      <c r="U544" s="569"/>
      <c r="V544" s="569"/>
      <c r="W544" s="569"/>
      <c r="X544" s="569"/>
      <c r="Y544" s="569"/>
      <c r="Z544" s="569"/>
      <c r="AA544" s="569"/>
    </row>
    <row r="545" ht="12.75" customHeight="1">
      <c r="A545" s="569"/>
      <c r="B545" s="569"/>
      <c r="D545" s="569"/>
      <c r="E545" s="569"/>
      <c r="F545" s="569"/>
      <c r="G545" s="569"/>
      <c r="H545" s="569"/>
      <c r="I545" s="569"/>
      <c r="J545" s="569"/>
      <c r="K545" s="569"/>
      <c r="L545" s="569"/>
      <c r="M545" s="569"/>
      <c r="N545" s="569"/>
      <c r="O545" s="569"/>
      <c r="P545" s="569"/>
      <c r="Q545" s="569"/>
      <c r="R545" s="569"/>
      <c r="S545" s="569"/>
      <c r="T545" s="569"/>
      <c r="U545" s="569"/>
      <c r="V545" s="569"/>
      <c r="W545" s="569"/>
      <c r="X545" s="569"/>
      <c r="Y545" s="569"/>
      <c r="Z545" s="569"/>
      <c r="AA545" s="569"/>
    </row>
    <row r="546" ht="12.75" customHeight="1">
      <c r="A546" s="569"/>
      <c r="B546" s="569"/>
      <c r="D546" s="569"/>
      <c r="E546" s="569"/>
      <c r="F546" s="569"/>
      <c r="G546" s="569"/>
      <c r="H546" s="569"/>
      <c r="I546" s="569"/>
      <c r="J546" s="569"/>
      <c r="K546" s="569"/>
      <c r="L546" s="569"/>
      <c r="M546" s="569"/>
      <c r="N546" s="569"/>
      <c r="O546" s="569"/>
      <c r="P546" s="569"/>
      <c r="Q546" s="569"/>
      <c r="R546" s="569"/>
      <c r="S546" s="569"/>
      <c r="T546" s="569"/>
      <c r="U546" s="569"/>
      <c r="V546" s="569"/>
      <c r="W546" s="569"/>
      <c r="X546" s="569"/>
      <c r="Y546" s="569"/>
      <c r="Z546" s="569"/>
      <c r="AA546" s="569"/>
    </row>
    <row r="547" ht="12.75" customHeight="1">
      <c r="A547" s="569"/>
      <c r="B547" s="569"/>
      <c r="D547" s="569"/>
      <c r="E547" s="569"/>
      <c r="F547" s="569"/>
      <c r="G547" s="569"/>
      <c r="H547" s="569"/>
      <c r="I547" s="569"/>
      <c r="J547" s="569"/>
      <c r="K547" s="569"/>
      <c r="L547" s="569"/>
      <c r="M547" s="569"/>
      <c r="N547" s="569"/>
      <c r="O547" s="569"/>
      <c r="P547" s="569"/>
      <c r="Q547" s="569"/>
      <c r="R547" s="569"/>
      <c r="S547" s="569"/>
      <c r="T547" s="569"/>
      <c r="U547" s="569"/>
      <c r="V547" s="569"/>
      <c r="W547" s="569"/>
      <c r="X547" s="569"/>
      <c r="Y547" s="569"/>
      <c r="Z547" s="569"/>
      <c r="AA547" s="569"/>
    </row>
    <row r="548" ht="12.75" customHeight="1">
      <c r="A548" s="569"/>
      <c r="B548" s="569"/>
      <c r="D548" s="569"/>
      <c r="E548" s="569"/>
      <c r="F548" s="569"/>
      <c r="G548" s="569"/>
      <c r="H548" s="569"/>
      <c r="I548" s="569"/>
      <c r="J548" s="569"/>
      <c r="K548" s="569"/>
      <c r="L548" s="569"/>
      <c r="M548" s="569"/>
      <c r="N548" s="569"/>
      <c r="O548" s="569"/>
      <c r="P548" s="569"/>
      <c r="Q548" s="569"/>
      <c r="R548" s="569"/>
      <c r="S548" s="569"/>
      <c r="T548" s="569"/>
      <c r="U548" s="569"/>
      <c r="V548" s="569"/>
      <c r="W548" s="569"/>
      <c r="X548" s="569"/>
      <c r="Y548" s="569"/>
      <c r="Z548" s="569"/>
      <c r="AA548" s="569"/>
    </row>
    <row r="549" ht="12.75" customHeight="1">
      <c r="A549" s="569"/>
      <c r="B549" s="569"/>
      <c r="D549" s="569"/>
      <c r="E549" s="569"/>
      <c r="F549" s="569"/>
      <c r="G549" s="569"/>
      <c r="H549" s="569"/>
      <c r="I549" s="569"/>
      <c r="J549" s="569"/>
      <c r="K549" s="569"/>
      <c r="L549" s="569"/>
      <c r="M549" s="569"/>
      <c r="N549" s="569"/>
      <c r="O549" s="569"/>
      <c r="P549" s="569"/>
      <c r="Q549" s="569"/>
      <c r="R549" s="569"/>
      <c r="S549" s="569"/>
      <c r="T549" s="569"/>
      <c r="U549" s="569"/>
      <c r="V549" s="569"/>
      <c r="W549" s="569"/>
      <c r="X549" s="569"/>
      <c r="Y549" s="569"/>
      <c r="Z549" s="569"/>
      <c r="AA549" s="569"/>
    </row>
    <row r="550" ht="12.75" customHeight="1">
      <c r="A550" s="569"/>
      <c r="B550" s="569"/>
      <c r="D550" s="569"/>
      <c r="E550" s="569"/>
      <c r="F550" s="569"/>
      <c r="G550" s="569"/>
      <c r="H550" s="569"/>
      <c r="I550" s="569"/>
      <c r="J550" s="569"/>
      <c r="K550" s="569"/>
      <c r="L550" s="569"/>
      <c r="M550" s="569"/>
      <c r="N550" s="569"/>
      <c r="O550" s="569"/>
      <c r="P550" s="569"/>
      <c r="Q550" s="569"/>
      <c r="R550" s="569"/>
      <c r="S550" s="569"/>
      <c r="T550" s="569"/>
      <c r="U550" s="569"/>
      <c r="V550" s="569"/>
      <c r="W550" s="569"/>
      <c r="X550" s="569"/>
      <c r="Y550" s="569"/>
      <c r="Z550" s="569"/>
      <c r="AA550" s="569"/>
    </row>
    <row r="551" ht="12.75" customHeight="1">
      <c r="A551" s="569"/>
      <c r="B551" s="569"/>
      <c r="D551" s="569"/>
      <c r="E551" s="569"/>
      <c r="F551" s="569"/>
      <c r="G551" s="569"/>
      <c r="H551" s="569"/>
      <c r="I551" s="569"/>
      <c r="J551" s="569"/>
      <c r="K551" s="569"/>
      <c r="L551" s="569"/>
      <c r="M551" s="569"/>
      <c r="N551" s="569"/>
      <c r="O551" s="569"/>
      <c r="P551" s="569"/>
      <c r="Q551" s="569"/>
      <c r="R551" s="569"/>
      <c r="S551" s="569"/>
      <c r="T551" s="569"/>
      <c r="U551" s="569"/>
      <c r="V551" s="569"/>
      <c r="W551" s="569"/>
      <c r="X551" s="569"/>
      <c r="Y551" s="569"/>
      <c r="Z551" s="569"/>
      <c r="AA551" s="569"/>
    </row>
    <row r="552" ht="12.75" customHeight="1">
      <c r="A552" s="569"/>
      <c r="B552" s="569"/>
      <c r="D552" s="569"/>
      <c r="E552" s="569"/>
      <c r="F552" s="569"/>
      <c r="G552" s="569"/>
      <c r="H552" s="569"/>
      <c r="I552" s="569"/>
      <c r="J552" s="569"/>
      <c r="K552" s="569"/>
      <c r="L552" s="569"/>
      <c r="M552" s="569"/>
      <c r="N552" s="569"/>
      <c r="O552" s="569"/>
      <c r="P552" s="569"/>
      <c r="Q552" s="569"/>
      <c r="R552" s="569"/>
      <c r="S552" s="569"/>
      <c r="T552" s="569"/>
      <c r="U552" s="569"/>
      <c r="V552" s="569"/>
      <c r="W552" s="569"/>
      <c r="X552" s="569"/>
      <c r="Y552" s="569"/>
      <c r="Z552" s="569"/>
      <c r="AA552" s="569"/>
    </row>
    <row r="553" ht="12.75" customHeight="1">
      <c r="A553" s="569"/>
      <c r="B553" s="569"/>
      <c r="D553" s="569"/>
      <c r="E553" s="569"/>
      <c r="F553" s="569"/>
      <c r="G553" s="569"/>
      <c r="H553" s="569"/>
      <c r="I553" s="569"/>
      <c r="J553" s="569"/>
      <c r="K553" s="569"/>
      <c r="L553" s="569"/>
      <c r="M553" s="569"/>
      <c r="N553" s="569"/>
      <c r="O553" s="569"/>
      <c r="P553" s="569"/>
      <c r="Q553" s="569"/>
      <c r="R553" s="569"/>
      <c r="S553" s="569"/>
      <c r="T553" s="569"/>
      <c r="U553" s="569"/>
      <c r="V553" s="569"/>
      <c r="W553" s="569"/>
      <c r="X553" s="569"/>
      <c r="Y553" s="569"/>
      <c r="Z553" s="569"/>
      <c r="AA553" s="569"/>
    </row>
    <row r="554" ht="12.75" customHeight="1">
      <c r="A554" s="569"/>
      <c r="B554" s="569"/>
      <c r="D554" s="569"/>
      <c r="E554" s="569"/>
      <c r="F554" s="569"/>
      <c r="G554" s="569"/>
      <c r="H554" s="569"/>
      <c r="I554" s="569"/>
      <c r="J554" s="569"/>
      <c r="K554" s="569"/>
      <c r="L554" s="569"/>
      <c r="M554" s="569"/>
      <c r="N554" s="569"/>
      <c r="O554" s="569"/>
      <c r="P554" s="569"/>
      <c r="Q554" s="569"/>
      <c r="R554" s="569"/>
      <c r="S554" s="569"/>
      <c r="T554" s="569"/>
      <c r="U554" s="569"/>
      <c r="V554" s="569"/>
      <c r="W554" s="569"/>
      <c r="X554" s="569"/>
      <c r="Y554" s="569"/>
      <c r="Z554" s="569"/>
      <c r="AA554" s="569"/>
    </row>
    <row r="555" ht="12.75" customHeight="1">
      <c r="A555" s="569"/>
      <c r="B555" s="569"/>
      <c r="D555" s="569"/>
      <c r="E555" s="569"/>
      <c r="F555" s="569"/>
      <c r="G555" s="569"/>
      <c r="H555" s="569"/>
      <c r="I555" s="569"/>
      <c r="J555" s="569"/>
      <c r="K555" s="569"/>
      <c r="L555" s="569"/>
      <c r="M555" s="569"/>
      <c r="N555" s="569"/>
      <c r="O555" s="569"/>
      <c r="P555" s="569"/>
      <c r="Q555" s="569"/>
      <c r="R555" s="569"/>
      <c r="S555" s="569"/>
      <c r="T555" s="569"/>
      <c r="U555" s="569"/>
      <c r="V555" s="569"/>
      <c r="W555" s="569"/>
      <c r="X555" s="569"/>
      <c r="Y555" s="569"/>
      <c r="Z555" s="569"/>
      <c r="AA555" s="569"/>
    </row>
    <row r="556" ht="12.75" customHeight="1">
      <c r="A556" s="569"/>
      <c r="B556" s="569"/>
      <c r="D556" s="569"/>
      <c r="E556" s="569"/>
      <c r="F556" s="569"/>
      <c r="G556" s="569"/>
      <c r="H556" s="569"/>
      <c r="I556" s="569"/>
      <c r="J556" s="569"/>
      <c r="K556" s="569"/>
      <c r="L556" s="569"/>
      <c r="M556" s="569"/>
      <c r="N556" s="569"/>
      <c r="O556" s="569"/>
      <c r="P556" s="569"/>
      <c r="Q556" s="569"/>
      <c r="R556" s="569"/>
      <c r="S556" s="569"/>
      <c r="T556" s="569"/>
      <c r="U556" s="569"/>
      <c r="V556" s="569"/>
      <c r="W556" s="569"/>
      <c r="X556" s="569"/>
      <c r="Y556" s="569"/>
      <c r="Z556" s="569"/>
      <c r="AA556" s="569"/>
    </row>
    <row r="557" ht="12.75" customHeight="1">
      <c r="A557" s="569"/>
      <c r="B557" s="569"/>
      <c r="D557" s="569"/>
      <c r="E557" s="569"/>
      <c r="F557" s="569"/>
      <c r="G557" s="569"/>
      <c r="H557" s="569"/>
      <c r="I557" s="569"/>
      <c r="J557" s="569"/>
      <c r="K557" s="569"/>
      <c r="L557" s="569"/>
      <c r="M557" s="569"/>
      <c r="N557" s="569"/>
      <c r="O557" s="569"/>
      <c r="P557" s="569"/>
      <c r="Q557" s="569"/>
      <c r="R557" s="569"/>
      <c r="S557" s="569"/>
      <c r="T557" s="569"/>
      <c r="U557" s="569"/>
      <c r="V557" s="569"/>
      <c r="W557" s="569"/>
      <c r="X557" s="569"/>
      <c r="Y557" s="569"/>
      <c r="Z557" s="569"/>
      <c r="AA557" s="569"/>
    </row>
    <row r="558" ht="12.75" customHeight="1">
      <c r="A558" s="569"/>
      <c r="B558" s="569"/>
      <c r="D558" s="569"/>
      <c r="E558" s="569"/>
      <c r="F558" s="569"/>
      <c r="G558" s="569"/>
      <c r="H558" s="569"/>
      <c r="I558" s="569"/>
      <c r="J558" s="569"/>
      <c r="K558" s="569"/>
      <c r="L558" s="569"/>
      <c r="M558" s="569"/>
      <c r="N558" s="569"/>
      <c r="O558" s="569"/>
      <c r="P558" s="569"/>
      <c r="Q558" s="569"/>
      <c r="R558" s="569"/>
      <c r="S558" s="569"/>
      <c r="T558" s="569"/>
      <c r="U558" s="569"/>
      <c r="V558" s="569"/>
      <c r="W558" s="569"/>
      <c r="X558" s="569"/>
      <c r="Y558" s="569"/>
      <c r="Z558" s="569"/>
      <c r="AA558" s="569"/>
    </row>
    <row r="559" ht="12.75" customHeight="1">
      <c r="A559" s="569"/>
      <c r="B559" s="569"/>
      <c r="D559" s="569"/>
      <c r="E559" s="569"/>
      <c r="F559" s="569"/>
      <c r="G559" s="569"/>
      <c r="H559" s="569"/>
      <c r="I559" s="569"/>
      <c r="J559" s="569"/>
      <c r="K559" s="569"/>
      <c r="L559" s="569"/>
      <c r="M559" s="569"/>
      <c r="N559" s="569"/>
      <c r="O559" s="569"/>
      <c r="P559" s="569"/>
      <c r="Q559" s="569"/>
      <c r="R559" s="569"/>
      <c r="S559" s="569"/>
      <c r="T559" s="569"/>
      <c r="U559" s="569"/>
      <c r="V559" s="569"/>
      <c r="W559" s="569"/>
      <c r="X559" s="569"/>
      <c r="Y559" s="569"/>
      <c r="Z559" s="569"/>
      <c r="AA559" s="569"/>
    </row>
    <row r="560" ht="12.75" customHeight="1">
      <c r="A560" s="569"/>
      <c r="B560" s="569"/>
      <c r="D560" s="569"/>
      <c r="E560" s="569"/>
      <c r="F560" s="569"/>
      <c r="G560" s="569"/>
      <c r="H560" s="569"/>
      <c r="I560" s="569"/>
      <c r="J560" s="569"/>
      <c r="K560" s="569"/>
      <c r="L560" s="569"/>
      <c r="M560" s="569"/>
      <c r="N560" s="569"/>
      <c r="O560" s="569"/>
      <c r="P560" s="569"/>
      <c r="Q560" s="569"/>
      <c r="R560" s="569"/>
      <c r="S560" s="569"/>
      <c r="T560" s="569"/>
      <c r="U560" s="569"/>
      <c r="V560" s="569"/>
      <c r="W560" s="569"/>
      <c r="X560" s="569"/>
      <c r="Y560" s="569"/>
      <c r="Z560" s="569"/>
      <c r="AA560" s="569"/>
    </row>
    <row r="561" ht="12.75" customHeight="1">
      <c r="A561" s="569"/>
      <c r="B561" s="569"/>
      <c r="D561" s="569"/>
      <c r="E561" s="569"/>
      <c r="F561" s="569"/>
      <c r="G561" s="569"/>
      <c r="H561" s="569"/>
      <c r="I561" s="569"/>
      <c r="J561" s="569"/>
      <c r="K561" s="569"/>
      <c r="L561" s="569"/>
      <c r="M561" s="569"/>
      <c r="N561" s="569"/>
      <c r="O561" s="569"/>
      <c r="P561" s="569"/>
      <c r="Q561" s="569"/>
      <c r="R561" s="569"/>
      <c r="S561" s="569"/>
      <c r="T561" s="569"/>
      <c r="U561" s="569"/>
      <c r="V561" s="569"/>
      <c r="W561" s="569"/>
      <c r="X561" s="569"/>
      <c r="Y561" s="569"/>
      <c r="Z561" s="569"/>
      <c r="AA561" s="569"/>
    </row>
    <row r="562" ht="12.75" customHeight="1">
      <c r="A562" s="569"/>
      <c r="B562" s="569"/>
      <c r="D562" s="569"/>
      <c r="E562" s="569"/>
      <c r="F562" s="569"/>
      <c r="G562" s="569"/>
      <c r="H562" s="569"/>
      <c r="I562" s="569"/>
      <c r="J562" s="569"/>
      <c r="K562" s="569"/>
      <c r="L562" s="569"/>
      <c r="M562" s="569"/>
      <c r="N562" s="569"/>
      <c r="O562" s="569"/>
      <c r="P562" s="569"/>
      <c r="Q562" s="569"/>
      <c r="R562" s="569"/>
      <c r="S562" s="569"/>
      <c r="T562" s="569"/>
      <c r="U562" s="569"/>
      <c r="V562" s="569"/>
      <c r="W562" s="569"/>
      <c r="X562" s="569"/>
      <c r="Y562" s="569"/>
      <c r="Z562" s="569"/>
      <c r="AA562" s="569"/>
    </row>
    <row r="563" ht="12.75" customHeight="1">
      <c r="A563" s="569"/>
      <c r="B563" s="569"/>
      <c r="D563" s="569"/>
      <c r="E563" s="569"/>
      <c r="F563" s="569"/>
      <c r="G563" s="569"/>
      <c r="H563" s="569"/>
      <c r="I563" s="569"/>
      <c r="J563" s="569"/>
      <c r="K563" s="569"/>
      <c r="L563" s="569"/>
      <c r="M563" s="569"/>
      <c r="N563" s="569"/>
      <c r="O563" s="569"/>
      <c r="P563" s="569"/>
      <c r="Q563" s="569"/>
      <c r="R563" s="569"/>
      <c r="S563" s="569"/>
      <c r="T563" s="569"/>
      <c r="U563" s="569"/>
      <c r="V563" s="569"/>
      <c r="W563" s="569"/>
      <c r="X563" s="569"/>
      <c r="Y563" s="569"/>
      <c r="Z563" s="569"/>
      <c r="AA563" s="569"/>
    </row>
    <row r="564" ht="12.75" customHeight="1">
      <c r="A564" s="569"/>
      <c r="B564" s="569"/>
      <c r="D564" s="569"/>
      <c r="E564" s="569"/>
      <c r="F564" s="569"/>
      <c r="G564" s="569"/>
      <c r="H564" s="569"/>
      <c r="I564" s="569"/>
      <c r="J564" s="569"/>
      <c r="K564" s="569"/>
      <c r="L564" s="569"/>
      <c r="M564" s="569"/>
      <c r="N564" s="569"/>
      <c r="O564" s="569"/>
      <c r="P564" s="569"/>
      <c r="Q564" s="569"/>
      <c r="R564" s="569"/>
      <c r="S564" s="569"/>
      <c r="T564" s="569"/>
      <c r="U564" s="569"/>
      <c r="V564" s="569"/>
      <c r="W564" s="569"/>
      <c r="X564" s="569"/>
      <c r="Y564" s="569"/>
      <c r="Z564" s="569"/>
      <c r="AA564" s="569"/>
    </row>
    <row r="565" ht="12.75" customHeight="1">
      <c r="A565" s="569"/>
      <c r="B565" s="569"/>
      <c r="D565" s="569"/>
      <c r="E565" s="569"/>
      <c r="F565" s="569"/>
      <c r="G565" s="569"/>
      <c r="H565" s="569"/>
      <c r="I565" s="569"/>
      <c r="J565" s="569"/>
      <c r="K565" s="569"/>
      <c r="L565" s="569"/>
      <c r="M565" s="569"/>
      <c r="N565" s="569"/>
      <c r="O565" s="569"/>
      <c r="P565" s="569"/>
      <c r="Q565" s="569"/>
      <c r="R565" s="569"/>
      <c r="S565" s="569"/>
      <c r="T565" s="569"/>
      <c r="U565" s="569"/>
      <c r="V565" s="569"/>
      <c r="W565" s="569"/>
      <c r="X565" s="569"/>
      <c r="Y565" s="569"/>
      <c r="Z565" s="569"/>
      <c r="AA565" s="569"/>
    </row>
    <row r="566" ht="12.75" customHeight="1">
      <c r="A566" s="569"/>
      <c r="B566" s="569"/>
      <c r="D566" s="569"/>
      <c r="E566" s="569"/>
      <c r="F566" s="569"/>
      <c r="G566" s="569"/>
      <c r="H566" s="569"/>
      <c r="I566" s="569"/>
      <c r="J566" s="569"/>
      <c r="K566" s="569"/>
      <c r="L566" s="569"/>
      <c r="M566" s="569"/>
      <c r="N566" s="569"/>
      <c r="O566" s="569"/>
      <c r="P566" s="569"/>
      <c r="Q566" s="569"/>
      <c r="R566" s="569"/>
      <c r="S566" s="569"/>
      <c r="T566" s="569"/>
      <c r="U566" s="569"/>
      <c r="V566" s="569"/>
      <c r="W566" s="569"/>
      <c r="X566" s="569"/>
      <c r="Y566" s="569"/>
      <c r="Z566" s="569"/>
      <c r="AA566" s="569"/>
    </row>
    <row r="567" ht="12.75" customHeight="1">
      <c r="A567" s="569"/>
      <c r="B567" s="569"/>
      <c r="D567" s="569"/>
      <c r="E567" s="569"/>
      <c r="F567" s="569"/>
      <c r="G567" s="569"/>
      <c r="H567" s="569"/>
      <c r="I567" s="569"/>
      <c r="J567" s="569"/>
      <c r="K567" s="569"/>
      <c r="L567" s="569"/>
      <c r="M567" s="569"/>
      <c r="N567" s="569"/>
      <c r="O567" s="569"/>
      <c r="P567" s="569"/>
      <c r="Q567" s="569"/>
      <c r="R567" s="569"/>
      <c r="S567" s="569"/>
      <c r="T567" s="569"/>
      <c r="U567" s="569"/>
      <c r="V567" s="569"/>
      <c r="W567" s="569"/>
      <c r="X567" s="569"/>
      <c r="Y567" s="569"/>
      <c r="Z567" s="569"/>
      <c r="AA567" s="569"/>
    </row>
    <row r="568" ht="12.75" customHeight="1">
      <c r="A568" s="569"/>
      <c r="B568" s="569"/>
      <c r="D568" s="569"/>
      <c r="E568" s="569"/>
      <c r="F568" s="569"/>
      <c r="G568" s="569"/>
      <c r="H568" s="569"/>
      <c r="I568" s="569"/>
      <c r="J568" s="569"/>
      <c r="K568" s="569"/>
      <c r="L568" s="569"/>
      <c r="M568" s="569"/>
      <c r="N568" s="569"/>
      <c r="O568" s="569"/>
      <c r="P568" s="569"/>
      <c r="Q568" s="569"/>
      <c r="R568" s="569"/>
      <c r="S568" s="569"/>
      <c r="T568" s="569"/>
      <c r="U568" s="569"/>
      <c r="V568" s="569"/>
      <c r="W568" s="569"/>
      <c r="X568" s="569"/>
      <c r="Y568" s="569"/>
      <c r="Z568" s="569"/>
      <c r="AA568" s="569"/>
    </row>
    <row r="569" ht="12.75" customHeight="1">
      <c r="A569" s="569"/>
      <c r="B569" s="569"/>
      <c r="D569" s="569"/>
      <c r="E569" s="569"/>
      <c r="F569" s="569"/>
      <c r="G569" s="569"/>
      <c r="H569" s="569"/>
      <c r="I569" s="569"/>
      <c r="J569" s="569"/>
      <c r="K569" s="569"/>
      <c r="L569" s="569"/>
      <c r="M569" s="569"/>
      <c r="N569" s="569"/>
      <c r="O569" s="569"/>
      <c r="P569" s="569"/>
      <c r="Q569" s="569"/>
      <c r="R569" s="569"/>
      <c r="S569" s="569"/>
      <c r="T569" s="569"/>
      <c r="U569" s="569"/>
      <c r="V569" s="569"/>
      <c r="W569" s="569"/>
      <c r="X569" s="569"/>
      <c r="Y569" s="569"/>
      <c r="Z569" s="569"/>
      <c r="AA569" s="569"/>
    </row>
    <row r="570" ht="12.75" customHeight="1">
      <c r="A570" s="569"/>
      <c r="B570" s="569"/>
      <c r="D570" s="569"/>
      <c r="E570" s="569"/>
      <c r="F570" s="569"/>
      <c r="G570" s="569"/>
      <c r="H570" s="569"/>
      <c r="I570" s="569"/>
      <c r="J570" s="569"/>
      <c r="K570" s="569"/>
      <c r="L570" s="569"/>
      <c r="M570" s="569"/>
      <c r="N570" s="569"/>
      <c r="O570" s="569"/>
      <c r="P570" s="569"/>
      <c r="Q570" s="569"/>
      <c r="R570" s="569"/>
      <c r="S570" s="569"/>
      <c r="T570" s="569"/>
      <c r="U570" s="569"/>
      <c r="V570" s="569"/>
      <c r="W570" s="569"/>
      <c r="X570" s="569"/>
      <c r="Y570" s="569"/>
      <c r="Z570" s="569"/>
      <c r="AA570" s="569"/>
    </row>
    <row r="571" ht="12.75" customHeight="1">
      <c r="A571" s="569"/>
      <c r="B571" s="569"/>
      <c r="D571" s="569"/>
      <c r="E571" s="569"/>
      <c r="F571" s="569"/>
      <c r="G571" s="569"/>
      <c r="H571" s="569"/>
      <c r="I571" s="569"/>
      <c r="J571" s="569"/>
      <c r="K571" s="569"/>
      <c r="L571" s="569"/>
      <c r="M571" s="569"/>
      <c r="N571" s="569"/>
      <c r="O571" s="569"/>
      <c r="P571" s="569"/>
      <c r="Q571" s="569"/>
      <c r="R571" s="569"/>
      <c r="S571" s="569"/>
      <c r="T571" s="569"/>
      <c r="U571" s="569"/>
      <c r="V571" s="569"/>
      <c r="W571" s="569"/>
      <c r="X571" s="569"/>
      <c r="Y571" s="569"/>
      <c r="Z571" s="569"/>
      <c r="AA571" s="569"/>
    </row>
    <row r="572" ht="12.75" customHeight="1">
      <c r="A572" s="569"/>
      <c r="B572" s="569"/>
      <c r="D572" s="569"/>
      <c r="E572" s="569"/>
      <c r="F572" s="569"/>
      <c r="G572" s="569"/>
      <c r="H572" s="569"/>
      <c r="I572" s="569"/>
      <c r="J572" s="569"/>
      <c r="K572" s="569"/>
      <c r="L572" s="569"/>
      <c r="M572" s="569"/>
      <c r="N572" s="569"/>
      <c r="O572" s="569"/>
      <c r="P572" s="569"/>
      <c r="Q572" s="569"/>
      <c r="R572" s="569"/>
      <c r="S572" s="569"/>
      <c r="T572" s="569"/>
      <c r="U572" s="569"/>
      <c r="V572" s="569"/>
      <c r="W572" s="569"/>
      <c r="X572" s="569"/>
      <c r="Y572" s="569"/>
      <c r="Z572" s="569"/>
      <c r="AA572" s="569"/>
    </row>
    <row r="573" ht="12.75" customHeight="1">
      <c r="A573" s="569"/>
      <c r="B573" s="569"/>
      <c r="D573" s="569"/>
      <c r="E573" s="569"/>
      <c r="F573" s="569"/>
      <c r="G573" s="569"/>
      <c r="H573" s="569"/>
      <c r="I573" s="569"/>
      <c r="J573" s="569"/>
      <c r="K573" s="569"/>
      <c r="L573" s="569"/>
      <c r="M573" s="569"/>
      <c r="N573" s="569"/>
      <c r="O573" s="569"/>
      <c r="P573" s="569"/>
      <c r="Q573" s="569"/>
      <c r="R573" s="569"/>
      <c r="S573" s="569"/>
      <c r="T573" s="569"/>
      <c r="U573" s="569"/>
      <c r="V573" s="569"/>
      <c r="W573" s="569"/>
      <c r="X573" s="569"/>
      <c r="Y573" s="569"/>
      <c r="Z573" s="569"/>
      <c r="AA573" s="569"/>
    </row>
    <row r="574" ht="12.75" customHeight="1">
      <c r="A574" s="569"/>
      <c r="B574" s="569"/>
      <c r="D574" s="569"/>
      <c r="E574" s="569"/>
      <c r="F574" s="569"/>
      <c r="G574" s="569"/>
      <c r="H574" s="569"/>
      <c r="I574" s="569"/>
      <c r="J574" s="569"/>
      <c r="K574" s="569"/>
      <c r="L574" s="569"/>
      <c r="M574" s="569"/>
      <c r="N574" s="569"/>
      <c r="O574" s="569"/>
      <c r="P574" s="569"/>
      <c r="Q574" s="569"/>
      <c r="R574" s="569"/>
      <c r="S574" s="569"/>
      <c r="T574" s="569"/>
      <c r="U574" s="569"/>
      <c r="V574" s="569"/>
      <c r="W574" s="569"/>
      <c r="X574" s="569"/>
      <c r="Y574" s="569"/>
      <c r="Z574" s="569"/>
      <c r="AA574" s="569"/>
    </row>
    <row r="575" ht="12.75" customHeight="1">
      <c r="A575" s="569"/>
      <c r="B575" s="569"/>
      <c r="D575" s="569"/>
      <c r="E575" s="569"/>
      <c r="F575" s="569"/>
      <c r="G575" s="569"/>
      <c r="H575" s="569"/>
      <c r="I575" s="569"/>
      <c r="J575" s="569"/>
      <c r="K575" s="569"/>
      <c r="L575" s="569"/>
      <c r="M575" s="569"/>
      <c r="N575" s="569"/>
      <c r="O575" s="569"/>
      <c r="P575" s="569"/>
      <c r="Q575" s="569"/>
      <c r="R575" s="569"/>
      <c r="S575" s="569"/>
      <c r="T575" s="569"/>
      <c r="U575" s="569"/>
      <c r="V575" s="569"/>
      <c r="W575" s="569"/>
      <c r="X575" s="569"/>
      <c r="Y575" s="569"/>
      <c r="Z575" s="569"/>
      <c r="AA575" s="569"/>
    </row>
    <row r="576" ht="12.75" customHeight="1">
      <c r="A576" s="569"/>
      <c r="B576" s="569"/>
      <c r="D576" s="569"/>
      <c r="E576" s="569"/>
      <c r="F576" s="569"/>
      <c r="G576" s="569"/>
      <c r="H576" s="569"/>
      <c r="I576" s="569"/>
      <c r="J576" s="569"/>
      <c r="K576" s="569"/>
      <c r="L576" s="569"/>
      <c r="M576" s="569"/>
      <c r="N576" s="569"/>
      <c r="O576" s="569"/>
      <c r="P576" s="569"/>
      <c r="Q576" s="569"/>
      <c r="R576" s="569"/>
      <c r="S576" s="569"/>
      <c r="T576" s="569"/>
      <c r="U576" s="569"/>
      <c r="V576" s="569"/>
      <c r="W576" s="569"/>
      <c r="X576" s="569"/>
      <c r="Y576" s="569"/>
      <c r="Z576" s="569"/>
      <c r="AA576" s="569"/>
    </row>
    <row r="577" ht="12.75" customHeight="1">
      <c r="A577" s="569"/>
      <c r="B577" s="569"/>
      <c r="D577" s="569"/>
      <c r="E577" s="569"/>
      <c r="F577" s="569"/>
      <c r="G577" s="569"/>
      <c r="H577" s="569"/>
      <c r="I577" s="569"/>
      <c r="J577" s="569"/>
      <c r="K577" s="569"/>
      <c r="L577" s="569"/>
      <c r="M577" s="569"/>
      <c r="N577" s="569"/>
      <c r="O577" s="569"/>
      <c r="P577" s="569"/>
      <c r="Q577" s="569"/>
      <c r="R577" s="569"/>
      <c r="S577" s="569"/>
      <c r="T577" s="569"/>
      <c r="U577" s="569"/>
      <c r="V577" s="569"/>
      <c r="W577" s="569"/>
      <c r="X577" s="569"/>
      <c r="Y577" s="569"/>
      <c r="Z577" s="569"/>
      <c r="AA577" s="569"/>
    </row>
    <row r="578" ht="12.75" customHeight="1">
      <c r="A578" s="569"/>
      <c r="B578" s="569"/>
      <c r="D578" s="569"/>
      <c r="E578" s="569"/>
      <c r="F578" s="569"/>
      <c r="G578" s="569"/>
      <c r="H578" s="569"/>
      <c r="I578" s="569"/>
      <c r="J578" s="569"/>
      <c r="K578" s="569"/>
      <c r="L578" s="569"/>
      <c r="M578" s="569"/>
      <c r="N578" s="569"/>
      <c r="O578" s="569"/>
      <c r="P578" s="569"/>
      <c r="Q578" s="569"/>
      <c r="R578" s="569"/>
      <c r="S578" s="569"/>
      <c r="T578" s="569"/>
      <c r="U578" s="569"/>
      <c r="V578" s="569"/>
      <c r="W578" s="569"/>
      <c r="X578" s="569"/>
      <c r="Y578" s="569"/>
      <c r="Z578" s="569"/>
      <c r="AA578" s="569"/>
    </row>
    <row r="579" ht="12.75" customHeight="1">
      <c r="A579" s="569"/>
      <c r="B579" s="569"/>
      <c r="D579" s="569"/>
      <c r="E579" s="569"/>
      <c r="F579" s="569"/>
      <c r="G579" s="569"/>
      <c r="H579" s="569"/>
      <c r="I579" s="569"/>
      <c r="J579" s="569"/>
      <c r="K579" s="569"/>
      <c r="L579" s="569"/>
      <c r="M579" s="569"/>
      <c r="N579" s="569"/>
      <c r="O579" s="569"/>
      <c r="P579" s="569"/>
      <c r="Q579" s="569"/>
      <c r="R579" s="569"/>
      <c r="S579" s="569"/>
      <c r="T579" s="569"/>
      <c r="U579" s="569"/>
      <c r="V579" s="569"/>
      <c r="W579" s="569"/>
      <c r="X579" s="569"/>
      <c r="Y579" s="569"/>
      <c r="Z579" s="569"/>
      <c r="AA579" s="569"/>
    </row>
    <row r="580" ht="12.75" customHeight="1">
      <c r="A580" s="569"/>
      <c r="B580" s="569"/>
      <c r="D580" s="569"/>
      <c r="E580" s="569"/>
      <c r="F580" s="569"/>
      <c r="G580" s="569"/>
      <c r="H580" s="569"/>
      <c r="I580" s="569"/>
      <c r="J580" s="569"/>
      <c r="K580" s="569"/>
      <c r="L580" s="569"/>
      <c r="M580" s="569"/>
      <c r="N580" s="569"/>
      <c r="O580" s="569"/>
      <c r="P580" s="569"/>
      <c r="Q580" s="569"/>
      <c r="R580" s="569"/>
      <c r="S580" s="569"/>
      <c r="T580" s="569"/>
      <c r="U580" s="569"/>
      <c r="V580" s="569"/>
      <c r="W580" s="569"/>
      <c r="X580" s="569"/>
      <c r="Y580" s="569"/>
      <c r="Z580" s="569"/>
      <c r="AA580" s="569"/>
    </row>
    <row r="581" ht="12.75" customHeight="1">
      <c r="A581" s="569"/>
      <c r="B581" s="569"/>
      <c r="D581" s="569"/>
      <c r="E581" s="569"/>
      <c r="F581" s="569"/>
      <c r="G581" s="569"/>
      <c r="H581" s="569"/>
      <c r="I581" s="569"/>
      <c r="J581" s="569"/>
      <c r="K581" s="569"/>
      <c r="L581" s="569"/>
      <c r="M581" s="569"/>
      <c r="N581" s="569"/>
      <c r="O581" s="569"/>
      <c r="P581" s="569"/>
      <c r="Q581" s="569"/>
      <c r="R581" s="569"/>
      <c r="S581" s="569"/>
      <c r="T581" s="569"/>
      <c r="U581" s="569"/>
      <c r="V581" s="569"/>
      <c r="W581" s="569"/>
      <c r="X581" s="569"/>
      <c r="Y581" s="569"/>
      <c r="Z581" s="569"/>
      <c r="AA581" s="569"/>
    </row>
    <row r="582" ht="12.75" customHeight="1">
      <c r="A582" s="569"/>
      <c r="B582" s="569"/>
      <c r="D582" s="569"/>
      <c r="E582" s="569"/>
      <c r="F582" s="569"/>
      <c r="G582" s="569"/>
      <c r="H582" s="569"/>
      <c r="I582" s="569"/>
      <c r="J582" s="569"/>
      <c r="K582" s="569"/>
      <c r="L582" s="569"/>
      <c r="M582" s="569"/>
      <c r="N582" s="569"/>
      <c r="O582" s="569"/>
      <c r="P582" s="569"/>
      <c r="Q582" s="569"/>
      <c r="R582" s="569"/>
      <c r="S582" s="569"/>
      <c r="T582" s="569"/>
      <c r="U582" s="569"/>
      <c r="V582" s="569"/>
      <c r="W582" s="569"/>
      <c r="X582" s="569"/>
      <c r="Y582" s="569"/>
      <c r="Z582" s="569"/>
      <c r="AA582" s="569"/>
    </row>
    <row r="583" ht="12.75" customHeight="1">
      <c r="A583" s="569"/>
      <c r="B583" s="569"/>
      <c r="D583" s="569"/>
      <c r="E583" s="569"/>
      <c r="F583" s="569"/>
      <c r="G583" s="569"/>
      <c r="H583" s="569"/>
      <c r="I583" s="569"/>
      <c r="J583" s="569"/>
      <c r="K583" s="569"/>
      <c r="L583" s="569"/>
      <c r="M583" s="569"/>
      <c r="N583" s="569"/>
      <c r="O583" s="569"/>
      <c r="P583" s="569"/>
      <c r="Q583" s="569"/>
      <c r="R583" s="569"/>
      <c r="S583" s="569"/>
      <c r="T583" s="569"/>
      <c r="U583" s="569"/>
      <c r="V583" s="569"/>
      <c r="W583" s="569"/>
      <c r="X583" s="569"/>
      <c r="Y583" s="569"/>
      <c r="Z583" s="569"/>
      <c r="AA583" s="569"/>
    </row>
    <row r="584" ht="12.75" customHeight="1">
      <c r="A584" s="569"/>
      <c r="B584" s="569"/>
      <c r="D584" s="569"/>
      <c r="E584" s="569"/>
      <c r="F584" s="569"/>
      <c r="G584" s="569"/>
      <c r="H584" s="569"/>
      <c r="I584" s="569"/>
      <c r="J584" s="569"/>
      <c r="K584" s="569"/>
      <c r="L584" s="569"/>
      <c r="M584" s="569"/>
      <c r="N584" s="569"/>
      <c r="O584" s="569"/>
      <c r="P584" s="569"/>
      <c r="Q584" s="569"/>
      <c r="R584" s="569"/>
      <c r="S584" s="569"/>
      <c r="T584" s="569"/>
      <c r="U584" s="569"/>
      <c r="V584" s="569"/>
      <c r="W584" s="569"/>
      <c r="X584" s="569"/>
      <c r="Y584" s="569"/>
      <c r="Z584" s="569"/>
      <c r="AA584" s="569"/>
    </row>
    <row r="585" ht="12.75" customHeight="1">
      <c r="A585" s="569"/>
      <c r="B585" s="569"/>
      <c r="D585" s="569"/>
      <c r="E585" s="569"/>
      <c r="F585" s="569"/>
      <c r="G585" s="569"/>
      <c r="H585" s="569"/>
      <c r="I585" s="569"/>
      <c r="J585" s="569"/>
      <c r="K585" s="569"/>
      <c r="L585" s="569"/>
      <c r="M585" s="569"/>
      <c r="N585" s="569"/>
      <c r="O585" s="569"/>
      <c r="P585" s="569"/>
      <c r="Q585" s="569"/>
      <c r="R585" s="569"/>
      <c r="S585" s="569"/>
      <c r="T585" s="569"/>
      <c r="U585" s="569"/>
      <c r="V585" s="569"/>
      <c r="W585" s="569"/>
      <c r="X585" s="569"/>
      <c r="Y585" s="569"/>
      <c r="Z585" s="569"/>
      <c r="AA585" s="569"/>
    </row>
    <row r="586" ht="12.75" customHeight="1">
      <c r="A586" s="569"/>
      <c r="B586" s="569"/>
      <c r="D586" s="569"/>
      <c r="E586" s="569"/>
      <c r="F586" s="569"/>
      <c r="G586" s="569"/>
      <c r="H586" s="569"/>
      <c r="I586" s="569"/>
      <c r="J586" s="569"/>
      <c r="K586" s="569"/>
      <c r="L586" s="569"/>
      <c r="M586" s="569"/>
      <c r="N586" s="569"/>
      <c r="O586" s="569"/>
      <c r="P586" s="569"/>
      <c r="Q586" s="569"/>
      <c r="R586" s="569"/>
      <c r="S586" s="569"/>
      <c r="T586" s="569"/>
      <c r="U586" s="569"/>
      <c r="V586" s="569"/>
      <c r="W586" s="569"/>
      <c r="X586" s="569"/>
      <c r="Y586" s="569"/>
      <c r="Z586" s="569"/>
      <c r="AA586" s="569"/>
    </row>
    <row r="587" ht="12.75" customHeight="1">
      <c r="A587" s="569"/>
      <c r="B587" s="569"/>
      <c r="D587" s="569"/>
      <c r="E587" s="569"/>
      <c r="F587" s="569"/>
      <c r="G587" s="569"/>
      <c r="H587" s="569"/>
      <c r="I587" s="569"/>
      <c r="J587" s="569"/>
      <c r="K587" s="569"/>
      <c r="L587" s="569"/>
      <c r="M587" s="569"/>
      <c r="N587" s="569"/>
      <c r="O587" s="569"/>
      <c r="P587" s="569"/>
      <c r="Q587" s="569"/>
      <c r="R587" s="569"/>
      <c r="S587" s="569"/>
      <c r="T587" s="569"/>
      <c r="U587" s="569"/>
      <c r="V587" s="569"/>
      <c r="W587" s="569"/>
      <c r="X587" s="569"/>
      <c r="Y587" s="569"/>
      <c r="Z587" s="569"/>
      <c r="AA587" s="569"/>
    </row>
    <row r="588" ht="12.75" customHeight="1">
      <c r="A588" s="569"/>
      <c r="B588" s="569"/>
      <c r="D588" s="569"/>
      <c r="E588" s="569"/>
      <c r="F588" s="569"/>
      <c r="G588" s="569"/>
      <c r="H588" s="569"/>
      <c r="I588" s="569"/>
      <c r="J588" s="569"/>
      <c r="K588" s="569"/>
      <c r="L588" s="569"/>
      <c r="M588" s="569"/>
      <c r="N588" s="569"/>
      <c r="O588" s="569"/>
      <c r="P588" s="569"/>
      <c r="Q588" s="569"/>
      <c r="R588" s="569"/>
      <c r="S588" s="569"/>
      <c r="T588" s="569"/>
      <c r="U588" s="569"/>
      <c r="V588" s="569"/>
      <c r="W588" s="569"/>
      <c r="X588" s="569"/>
      <c r="Y588" s="569"/>
      <c r="Z588" s="569"/>
      <c r="AA588" s="569"/>
    </row>
    <row r="589" ht="12.75" customHeight="1">
      <c r="A589" s="569"/>
      <c r="B589" s="569"/>
      <c r="D589" s="569"/>
      <c r="E589" s="569"/>
      <c r="F589" s="569"/>
      <c r="G589" s="569"/>
      <c r="H589" s="569"/>
      <c r="I589" s="569"/>
      <c r="J589" s="569"/>
      <c r="K589" s="569"/>
      <c r="L589" s="569"/>
      <c r="M589" s="569"/>
      <c r="N589" s="569"/>
      <c r="O589" s="569"/>
      <c r="P589" s="569"/>
      <c r="Q589" s="569"/>
      <c r="R589" s="569"/>
      <c r="S589" s="569"/>
      <c r="T589" s="569"/>
      <c r="U589" s="569"/>
      <c r="V589" s="569"/>
      <c r="W589" s="569"/>
      <c r="X589" s="569"/>
      <c r="Y589" s="569"/>
      <c r="Z589" s="569"/>
      <c r="AA589" s="569"/>
    </row>
    <row r="590" ht="12.75" customHeight="1">
      <c r="A590" s="569"/>
      <c r="B590" s="569"/>
      <c r="D590" s="569"/>
      <c r="E590" s="569"/>
      <c r="F590" s="569"/>
      <c r="G590" s="569"/>
      <c r="H590" s="569"/>
      <c r="I590" s="569"/>
      <c r="J590" s="569"/>
      <c r="K590" s="569"/>
      <c r="L590" s="569"/>
      <c r="M590" s="569"/>
      <c r="N590" s="569"/>
      <c r="O590" s="569"/>
      <c r="P590" s="569"/>
      <c r="Q590" s="569"/>
      <c r="R590" s="569"/>
      <c r="S590" s="569"/>
      <c r="T590" s="569"/>
      <c r="U590" s="569"/>
      <c r="V590" s="569"/>
      <c r="W590" s="569"/>
      <c r="X590" s="569"/>
      <c r="Y590" s="569"/>
      <c r="Z590" s="569"/>
      <c r="AA590" s="569"/>
    </row>
    <row r="591" ht="12.75" customHeight="1">
      <c r="A591" s="569"/>
      <c r="B591" s="569"/>
      <c r="D591" s="569"/>
      <c r="E591" s="569"/>
      <c r="F591" s="569"/>
      <c r="G591" s="569"/>
      <c r="H591" s="569"/>
      <c r="I591" s="569"/>
      <c r="J591" s="569"/>
      <c r="K591" s="569"/>
      <c r="L591" s="569"/>
      <c r="M591" s="569"/>
      <c r="N591" s="569"/>
      <c r="O591" s="569"/>
      <c r="P591" s="569"/>
      <c r="Q591" s="569"/>
      <c r="R591" s="569"/>
      <c r="S591" s="569"/>
      <c r="T591" s="569"/>
      <c r="U591" s="569"/>
      <c r="V591" s="569"/>
      <c r="W591" s="569"/>
      <c r="X591" s="569"/>
      <c r="Y591" s="569"/>
      <c r="Z591" s="569"/>
      <c r="AA591" s="569"/>
    </row>
    <row r="592" ht="12.75" customHeight="1">
      <c r="A592" s="569"/>
      <c r="B592" s="569"/>
      <c r="D592" s="569"/>
      <c r="E592" s="569"/>
      <c r="F592" s="569"/>
      <c r="G592" s="569"/>
      <c r="H592" s="569"/>
      <c r="I592" s="569"/>
      <c r="J592" s="569"/>
      <c r="K592" s="569"/>
      <c r="L592" s="569"/>
      <c r="M592" s="569"/>
      <c r="N592" s="569"/>
      <c r="O592" s="569"/>
      <c r="P592" s="569"/>
      <c r="Q592" s="569"/>
      <c r="R592" s="569"/>
      <c r="S592" s="569"/>
      <c r="T592" s="569"/>
      <c r="U592" s="569"/>
      <c r="V592" s="569"/>
      <c r="W592" s="569"/>
      <c r="X592" s="569"/>
      <c r="Y592" s="569"/>
      <c r="Z592" s="569"/>
      <c r="AA592" s="569"/>
    </row>
    <row r="593" ht="12.75" customHeight="1">
      <c r="A593" s="569"/>
      <c r="B593" s="569"/>
      <c r="D593" s="569"/>
      <c r="E593" s="569"/>
      <c r="F593" s="569"/>
      <c r="G593" s="569"/>
      <c r="H593" s="569"/>
      <c r="I593" s="569"/>
      <c r="J593" s="569"/>
      <c r="K593" s="569"/>
      <c r="L593" s="569"/>
      <c r="M593" s="569"/>
      <c r="N593" s="569"/>
      <c r="O593" s="569"/>
      <c r="P593" s="569"/>
      <c r="Q593" s="569"/>
      <c r="R593" s="569"/>
      <c r="S593" s="569"/>
      <c r="T593" s="569"/>
      <c r="U593" s="569"/>
      <c r="V593" s="569"/>
      <c r="W593" s="569"/>
      <c r="X593" s="569"/>
      <c r="Y593" s="569"/>
      <c r="Z593" s="569"/>
      <c r="AA593" s="569"/>
    </row>
    <row r="594" ht="12.75" customHeight="1">
      <c r="A594" s="569"/>
      <c r="B594" s="569"/>
      <c r="D594" s="569"/>
      <c r="E594" s="569"/>
      <c r="F594" s="569"/>
      <c r="G594" s="569"/>
      <c r="H594" s="569"/>
      <c r="I594" s="569"/>
      <c r="J594" s="569"/>
      <c r="K594" s="569"/>
      <c r="L594" s="569"/>
      <c r="M594" s="569"/>
      <c r="N594" s="569"/>
      <c r="O594" s="569"/>
      <c r="P594" s="569"/>
      <c r="Q594" s="569"/>
      <c r="R594" s="569"/>
      <c r="S594" s="569"/>
      <c r="T594" s="569"/>
      <c r="U594" s="569"/>
      <c r="V594" s="569"/>
      <c r="W594" s="569"/>
      <c r="X594" s="569"/>
      <c r="Y594" s="569"/>
      <c r="Z594" s="569"/>
      <c r="AA594" s="569"/>
    </row>
    <row r="595" ht="12.75" customHeight="1">
      <c r="A595" s="569"/>
      <c r="B595" s="569"/>
      <c r="D595" s="569"/>
      <c r="E595" s="569"/>
      <c r="F595" s="569"/>
      <c r="G595" s="569"/>
      <c r="H595" s="569"/>
      <c r="I595" s="569"/>
      <c r="J595" s="569"/>
      <c r="K595" s="569"/>
      <c r="L595" s="569"/>
      <c r="M595" s="569"/>
      <c r="N595" s="569"/>
      <c r="O595" s="569"/>
      <c r="P595" s="569"/>
      <c r="Q595" s="569"/>
      <c r="R595" s="569"/>
      <c r="S595" s="569"/>
      <c r="T595" s="569"/>
      <c r="U595" s="569"/>
      <c r="V595" s="569"/>
      <c r="W595" s="569"/>
      <c r="X595" s="569"/>
      <c r="Y595" s="569"/>
      <c r="Z595" s="569"/>
      <c r="AA595" s="569"/>
    </row>
    <row r="596" ht="12.75" customHeight="1">
      <c r="A596" s="569"/>
      <c r="B596" s="569"/>
      <c r="D596" s="569"/>
      <c r="E596" s="569"/>
      <c r="F596" s="569"/>
      <c r="G596" s="569"/>
      <c r="H596" s="569"/>
      <c r="I596" s="569"/>
      <c r="J596" s="569"/>
      <c r="K596" s="569"/>
      <c r="L596" s="569"/>
      <c r="M596" s="569"/>
      <c r="N596" s="569"/>
      <c r="O596" s="569"/>
      <c r="P596" s="569"/>
      <c r="Q596" s="569"/>
      <c r="R596" s="569"/>
      <c r="S596" s="569"/>
      <c r="T596" s="569"/>
      <c r="U596" s="569"/>
      <c r="V596" s="569"/>
      <c r="W596" s="569"/>
      <c r="X596" s="569"/>
      <c r="Y596" s="569"/>
      <c r="Z596" s="569"/>
      <c r="AA596" s="569"/>
    </row>
    <row r="597" ht="12.75" customHeight="1">
      <c r="A597" s="569"/>
      <c r="B597" s="569"/>
      <c r="D597" s="569"/>
      <c r="E597" s="569"/>
      <c r="F597" s="569"/>
      <c r="G597" s="569"/>
      <c r="H597" s="569"/>
      <c r="I597" s="569"/>
      <c r="J597" s="569"/>
      <c r="K597" s="569"/>
      <c r="L597" s="569"/>
      <c r="M597" s="569"/>
      <c r="N597" s="569"/>
      <c r="O597" s="569"/>
      <c r="P597" s="569"/>
      <c r="Q597" s="569"/>
      <c r="R597" s="569"/>
      <c r="S597" s="569"/>
      <c r="T597" s="569"/>
      <c r="U597" s="569"/>
      <c r="V597" s="569"/>
      <c r="W597" s="569"/>
      <c r="X597" s="569"/>
      <c r="Y597" s="569"/>
      <c r="Z597" s="569"/>
      <c r="AA597" s="569"/>
    </row>
    <row r="598" ht="12.75" customHeight="1">
      <c r="A598" s="569"/>
      <c r="B598" s="569"/>
      <c r="D598" s="569"/>
      <c r="E598" s="569"/>
      <c r="F598" s="569"/>
      <c r="G598" s="569"/>
      <c r="H598" s="569"/>
      <c r="I598" s="569"/>
      <c r="J598" s="569"/>
      <c r="K598" s="569"/>
      <c r="L598" s="569"/>
      <c r="M598" s="569"/>
      <c r="N598" s="569"/>
      <c r="O598" s="569"/>
      <c r="P598" s="569"/>
      <c r="Q598" s="569"/>
      <c r="R598" s="569"/>
      <c r="S598" s="569"/>
      <c r="T598" s="569"/>
      <c r="U598" s="569"/>
      <c r="V598" s="569"/>
      <c r="W598" s="569"/>
      <c r="X598" s="569"/>
      <c r="Y598" s="569"/>
      <c r="Z598" s="569"/>
      <c r="AA598" s="569"/>
    </row>
    <row r="599" ht="12.75" customHeight="1">
      <c r="A599" s="569"/>
      <c r="B599" s="569"/>
      <c r="D599" s="569"/>
      <c r="E599" s="569"/>
      <c r="F599" s="569"/>
      <c r="G599" s="569"/>
      <c r="H599" s="569"/>
      <c r="I599" s="569"/>
      <c r="J599" s="569"/>
      <c r="K599" s="569"/>
      <c r="L599" s="569"/>
      <c r="M599" s="569"/>
      <c r="N599" s="569"/>
      <c r="O599" s="569"/>
      <c r="P599" s="569"/>
      <c r="Q599" s="569"/>
      <c r="R599" s="569"/>
      <c r="S599" s="569"/>
      <c r="T599" s="569"/>
      <c r="U599" s="569"/>
      <c r="V599" s="569"/>
      <c r="W599" s="569"/>
      <c r="X599" s="569"/>
      <c r="Y599" s="569"/>
      <c r="Z599" s="569"/>
      <c r="AA599" s="569"/>
    </row>
    <row r="600" ht="12.75" customHeight="1">
      <c r="A600" s="569"/>
      <c r="B600" s="569"/>
      <c r="D600" s="569"/>
      <c r="E600" s="569"/>
      <c r="F600" s="569"/>
      <c r="G600" s="569"/>
      <c r="H600" s="569"/>
      <c r="I600" s="569"/>
      <c r="J600" s="569"/>
      <c r="K600" s="569"/>
      <c r="L600" s="569"/>
      <c r="M600" s="569"/>
      <c r="N600" s="569"/>
      <c r="O600" s="569"/>
      <c r="P600" s="569"/>
      <c r="Q600" s="569"/>
      <c r="R600" s="569"/>
      <c r="S600" s="569"/>
      <c r="T600" s="569"/>
      <c r="U600" s="569"/>
      <c r="V600" s="569"/>
      <c r="W600" s="569"/>
      <c r="X600" s="569"/>
      <c r="Y600" s="569"/>
      <c r="Z600" s="569"/>
      <c r="AA600" s="569"/>
    </row>
    <row r="601" ht="12.75" customHeight="1">
      <c r="A601" s="569"/>
      <c r="B601" s="569"/>
      <c r="D601" s="569"/>
      <c r="E601" s="569"/>
      <c r="F601" s="569"/>
      <c r="G601" s="569"/>
      <c r="H601" s="569"/>
      <c r="I601" s="569"/>
      <c r="J601" s="569"/>
      <c r="K601" s="569"/>
      <c r="L601" s="569"/>
      <c r="M601" s="569"/>
      <c r="N601" s="569"/>
      <c r="O601" s="569"/>
      <c r="P601" s="569"/>
      <c r="Q601" s="569"/>
      <c r="R601" s="569"/>
      <c r="S601" s="569"/>
      <c r="T601" s="569"/>
      <c r="U601" s="569"/>
      <c r="V601" s="569"/>
      <c r="W601" s="569"/>
      <c r="X601" s="569"/>
      <c r="Y601" s="569"/>
      <c r="Z601" s="569"/>
      <c r="AA601" s="569"/>
    </row>
    <row r="602" ht="12.75" customHeight="1">
      <c r="A602" s="569"/>
      <c r="B602" s="569"/>
      <c r="D602" s="569"/>
      <c r="E602" s="569"/>
      <c r="F602" s="569"/>
      <c r="G602" s="569"/>
      <c r="H602" s="569"/>
      <c r="I602" s="569"/>
      <c r="J602" s="569"/>
      <c r="K602" s="569"/>
      <c r="L602" s="569"/>
      <c r="M602" s="569"/>
      <c r="N602" s="569"/>
      <c r="O602" s="569"/>
      <c r="P602" s="569"/>
      <c r="Q602" s="569"/>
      <c r="R602" s="569"/>
      <c r="S602" s="569"/>
      <c r="T602" s="569"/>
      <c r="U602" s="569"/>
      <c r="V602" s="569"/>
      <c r="W602" s="569"/>
      <c r="X602" s="569"/>
      <c r="Y602" s="569"/>
      <c r="Z602" s="569"/>
      <c r="AA602" s="569"/>
    </row>
    <row r="603" ht="12.75" customHeight="1">
      <c r="A603" s="569"/>
      <c r="B603" s="569"/>
      <c r="D603" s="569"/>
      <c r="E603" s="569"/>
      <c r="F603" s="569"/>
      <c r="G603" s="569"/>
      <c r="H603" s="569"/>
      <c r="I603" s="569"/>
      <c r="J603" s="569"/>
      <c r="K603" s="569"/>
      <c r="L603" s="569"/>
      <c r="M603" s="569"/>
      <c r="N603" s="569"/>
      <c r="O603" s="569"/>
      <c r="P603" s="569"/>
      <c r="Q603" s="569"/>
      <c r="R603" s="569"/>
      <c r="S603" s="569"/>
      <c r="T603" s="569"/>
      <c r="U603" s="569"/>
      <c r="V603" s="569"/>
      <c r="W603" s="569"/>
      <c r="X603" s="569"/>
      <c r="Y603" s="569"/>
      <c r="Z603" s="569"/>
      <c r="AA603" s="569"/>
    </row>
    <row r="604" ht="12.75" customHeight="1">
      <c r="A604" s="569"/>
      <c r="B604" s="569"/>
      <c r="D604" s="569"/>
      <c r="E604" s="569"/>
      <c r="F604" s="569"/>
      <c r="G604" s="569"/>
      <c r="H604" s="569"/>
      <c r="I604" s="569"/>
      <c r="J604" s="569"/>
      <c r="K604" s="569"/>
      <c r="L604" s="569"/>
      <c r="M604" s="569"/>
      <c r="N604" s="569"/>
      <c r="O604" s="569"/>
      <c r="P604" s="569"/>
      <c r="Q604" s="569"/>
      <c r="R604" s="569"/>
      <c r="S604" s="569"/>
      <c r="T604" s="569"/>
      <c r="U604" s="569"/>
      <c r="V604" s="569"/>
      <c r="W604" s="569"/>
      <c r="X604" s="569"/>
      <c r="Y604" s="569"/>
      <c r="Z604" s="569"/>
      <c r="AA604" s="569"/>
    </row>
    <row r="605" ht="12.75" customHeight="1">
      <c r="A605" s="569"/>
      <c r="B605" s="569"/>
      <c r="D605" s="569"/>
      <c r="E605" s="569"/>
      <c r="F605" s="569"/>
      <c r="G605" s="569"/>
      <c r="H605" s="569"/>
      <c r="I605" s="569"/>
      <c r="J605" s="569"/>
      <c r="K605" s="569"/>
      <c r="L605" s="569"/>
      <c r="M605" s="569"/>
      <c r="N605" s="569"/>
      <c r="O605" s="569"/>
      <c r="P605" s="569"/>
      <c r="Q605" s="569"/>
      <c r="R605" s="569"/>
      <c r="S605" s="569"/>
      <c r="T605" s="569"/>
      <c r="U605" s="569"/>
      <c r="V605" s="569"/>
      <c r="W605" s="569"/>
      <c r="X605" s="569"/>
      <c r="Y605" s="569"/>
      <c r="Z605" s="569"/>
      <c r="AA605" s="569"/>
    </row>
    <row r="606" ht="12.75" customHeight="1">
      <c r="A606" s="569"/>
      <c r="B606" s="569"/>
      <c r="D606" s="569"/>
      <c r="E606" s="569"/>
      <c r="F606" s="569"/>
      <c r="G606" s="569"/>
      <c r="H606" s="569"/>
      <c r="I606" s="569"/>
      <c r="J606" s="569"/>
      <c r="K606" s="569"/>
      <c r="L606" s="569"/>
      <c r="M606" s="569"/>
      <c r="N606" s="569"/>
      <c r="O606" s="569"/>
      <c r="P606" s="569"/>
      <c r="Q606" s="569"/>
      <c r="R606" s="569"/>
      <c r="S606" s="569"/>
      <c r="T606" s="569"/>
      <c r="U606" s="569"/>
      <c r="V606" s="569"/>
      <c r="W606" s="569"/>
      <c r="X606" s="569"/>
      <c r="Y606" s="569"/>
      <c r="Z606" s="569"/>
      <c r="AA606" s="569"/>
    </row>
    <row r="607" ht="12.75" customHeight="1">
      <c r="A607" s="569"/>
      <c r="B607" s="569"/>
      <c r="D607" s="569"/>
      <c r="E607" s="569"/>
      <c r="F607" s="569"/>
      <c r="G607" s="569"/>
      <c r="H607" s="569"/>
      <c r="I607" s="569"/>
      <c r="J607" s="569"/>
      <c r="K607" s="569"/>
      <c r="L607" s="569"/>
      <c r="M607" s="569"/>
      <c r="N607" s="569"/>
      <c r="O607" s="569"/>
      <c r="P607" s="569"/>
      <c r="Q607" s="569"/>
      <c r="R607" s="569"/>
      <c r="S607" s="569"/>
      <c r="T607" s="569"/>
      <c r="U607" s="569"/>
      <c r="V607" s="569"/>
      <c r="W607" s="569"/>
      <c r="X607" s="569"/>
      <c r="Y607" s="569"/>
      <c r="Z607" s="569"/>
      <c r="AA607" s="569"/>
    </row>
    <row r="608" ht="12.75" customHeight="1">
      <c r="A608" s="569"/>
      <c r="B608" s="569"/>
      <c r="D608" s="569"/>
      <c r="E608" s="569"/>
      <c r="F608" s="569"/>
      <c r="G608" s="569"/>
      <c r="H608" s="569"/>
      <c r="I608" s="569"/>
      <c r="J608" s="569"/>
      <c r="K608" s="569"/>
      <c r="L608" s="569"/>
      <c r="M608" s="569"/>
      <c r="N608" s="569"/>
      <c r="O608" s="569"/>
      <c r="P608" s="569"/>
      <c r="Q608" s="569"/>
      <c r="R608" s="569"/>
      <c r="S608" s="569"/>
      <c r="T608" s="569"/>
      <c r="U608" s="569"/>
      <c r="V608" s="569"/>
      <c r="W608" s="569"/>
      <c r="X608" s="569"/>
      <c r="Y608" s="569"/>
      <c r="Z608" s="569"/>
      <c r="AA608" s="569"/>
    </row>
    <row r="609" ht="12.75" customHeight="1">
      <c r="A609" s="569"/>
      <c r="B609" s="569"/>
      <c r="D609" s="569"/>
      <c r="E609" s="569"/>
      <c r="F609" s="569"/>
      <c r="G609" s="569"/>
      <c r="H609" s="569"/>
      <c r="I609" s="569"/>
      <c r="J609" s="569"/>
      <c r="K609" s="569"/>
      <c r="L609" s="569"/>
      <c r="M609" s="569"/>
      <c r="N609" s="569"/>
      <c r="O609" s="569"/>
      <c r="P609" s="569"/>
      <c r="Q609" s="569"/>
      <c r="R609" s="569"/>
      <c r="S609" s="569"/>
      <c r="T609" s="569"/>
      <c r="U609" s="569"/>
      <c r="V609" s="569"/>
      <c r="W609" s="569"/>
      <c r="X609" s="569"/>
      <c r="Y609" s="569"/>
      <c r="Z609" s="569"/>
      <c r="AA609" s="569"/>
    </row>
    <row r="610" ht="12.75" customHeight="1">
      <c r="A610" s="569"/>
      <c r="B610" s="569"/>
      <c r="D610" s="569"/>
      <c r="E610" s="569"/>
      <c r="F610" s="569"/>
      <c r="G610" s="569"/>
      <c r="H610" s="569"/>
      <c r="I610" s="569"/>
      <c r="J610" s="569"/>
      <c r="K610" s="569"/>
      <c r="L610" s="569"/>
      <c r="M610" s="569"/>
      <c r="N610" s="569"/>
      <c r="O610" s="569"/>
      <c r="P610" s="569"/>
      <c r="Q610" s="569"/>
      <c r="R610" s="569"/>
      <c r="S610" s="569"/>
      <c r="T610" s="569"/>
      <c r="U610" s="569"/>
      <c r="V610" s="569"/>
      <c r="W610" s="569"/>
      <c r="X610" s="569"/>
      <c r="Y610" s="569"/>
      <c r="Z610" s="569"/>
      <c r="AA610" s="569"/>
    </row>
    <row r="611" ht="12.75" customHeight="1">
      <c r="A611" s="569"/>
      <c r="B611" s="569"/>
      <c r="D611" s="569"/>
      <c r="E611" s="569"/>
      <c r="F611" s="569"/>
      <c r="G611" s="569"/>
      <c r="H611" s="569"/>
      <c r="I611" s="569"/>
      <c r="J611" s="569"/>
      <c r="K611" s="569"/>
      <c r="L611" s="569"/>
      <c r="M611" s="569"/>
      <c r="N611" s="569"/>
      <c r="O611" s="569"/>
      <c r="P611" s="569"/>
      <c r="Q611" s="569"/>
      <c r="R611" s="569"/>
      <c r="S611" s="569"/>
      <c r="T611" s="569"/>
      <c r="U611" s="569"/>
      <c r="V611" s="569"/>
      <c r="W611" s="569"/>
      <c r="X611" s="569"/>
      <c r="Y611" s="569"/>
      <c r="Z611" s="569"/>
      <c r="AA611" s="569"/>
    </row>
    <row r="612" ht="12.75" customHeight="1">
      <c r="A612" s="569"/>
      <c r="B612" s="569"/>
      <c r="D612" s="569"/>
      <c r="E612" s="569"/>
      <c r="F612" s="569"/>
      <c r="G612" s="569"/>
      <c r="H612" s="569"/>
      <c r="I612" s="569"/>
      <c r="J612" s="569"/>
      <c r="K612" s="569"/>
      <c r="L612" s="569"/>
      <c r="M612" s="569"/>
      <c r="N612" s="569"/>
      <c r="O612" s="569"/>
      <c r="P612" s="569"/>
      <c r="Q612" s="569"/>
      <c r="R612" s="569"/>
      <c r="S612" s="569"/>
      <c r="T612" s="569"/>
      <c r="U612" s="569"/>
      <c r="V612" s="569"/>
      <c r="W612" s="569"/>
      <c r="X612" s="569"/>
      <c r="Y612" s="569"/>
      <c r="Z612" s="569"/>
      <c r="AA612" s="569"/>
    </row>
    <row r="613" ht="12.75" customHeight="1">
      <c r="A613" s="569"/>
      <c r="B613" s="569"/>
      <c r="D613" s="569"/>
      <c r="E613" s="569"/>
      <c r="F613" s="569"/>
      <c r="G613" s="569"/>
      <c r="H613" s="569"/>
      <c r="I613" s="569"/>
      <c r="J613" s="569"/>
      <c r="K613" s="569"/>
      <c r="L613" s="569"/>
      <c r="M613" s="569"/>
      <c r="N613" s="569"/>
      <c r="O613" s="569"/>
      <c r="P613" s="569"/>
      <c r="Q613" s="569"/>
      <c r="R613" s="569"/>
      <c r="S613" s="569"/>
      <c r="T613" s="569"/>
      <c r="U613" s="569"/>
      <c r="V613" s="569"/>
      <c r="W613" s="569"/>
      <c r="X613" s="569"/>
      <c r="Y613" s="569"/>
      <c r="Z613" s="569"/>
      <c r="AA613" s="569"/>
    </row>
    <row r="614" ht="12.75" customHeight="1">
      <c r="A614" s="569"/>
      <c r="B614" s="569"/>
      <c r="D614" s="569"/>
      <c r="E614" s="569"/>
      <c r="F614" s="569"/>
      <c r="G614" s="569"/>
      <c r="H614" s="569"/>
      <c r="I614" s="569"/>
      <c r="J614" s="569"/>
      <c r="K614" s="569"/>
      <c r="L614" s="569"/>
      <c r="M614" s="569"/>
      <c r="N614" s="569"/>
      <c r="O614" s="569"/>
      <c r="P614" s="569"/>
      <c r="Q614" s="569"/>
      <c r="R614" s="569"/>
      <c r="S614" s="569"/>
      <c r="T614" s="569"/>
      <c r="U614" s="569"/>
      <c r="V614" s="569"/>
      <c r="W614" s="569"/>
      <c r="X614" s="569"/>
      <c r="Y614" s="569"/>
      <c r="Z614" s="569"/>
      <c r="AA614" s="569"/>
    </row>
    <row r="615" ht="12.75" customHeight="1">
      <c r="A615" s="569"/>
      <c r="B615" s="569"/>
      <c r="D615" s="569"/>
      <c r="E615" s="569"/>
      <c r="F615" s="569"/>
      <c r="G615" s="569"/>
      <c r="H615" s="569"/>
      <c r="I615" s="569"/>
      <c r="J615" s="569"/>
      <c r="K615" s="569"/>
      <c r="L615" s="569"/>
      <c r="M615" s="569"/>
      <c r="N615" s="569"/>
      <c r="O615" s="569"/>
      <c r="P615" s="569"/>
      <c r="Q615" s="569"/>
      <c r="R615" s="569"/>
      <c r="S615" s="569"/>
      <c r="T615" s="569"/>
      <c r="U615" s="569"/>
      <c r="V615" s="569"/>
      <c r="W615" s="569"/>
      <c r="X615" s="569"/>
      <c r="Y615" s="569"/>
      <c r="Z615" s="569"/>
      <c r="AA615" s="569"/>
    </row>
    <row r="616" ht="12.75" customHeight="1">
      <c r="A616" s="569"/>
      <c r="B616" s="569"/>
      <c r="D616" s="569"/>
      <c r="E616" s="569"/>
      <c r="F616" s="569"/>
      <c r="G616" s="569"/>
      <c r="H616" s="569"/>
      <c r="I616" s="569"/>
      <c r="J616" s="569"/>
      <c r="K616" s="569"/>
      <c r="L616" s="569"/>
      <c r="M616" s="569"/>
      <c r="N616" s="569"/>
      <c r="O616" s="569"/>
      <c r="P616" s="569"/>
      <c r="Q616" s="569"/>
      <c r="R616" s="569"/>
      <c r="S616" s="569"/>
      <c r="T616" s="569"/>
      <c r="U616" s="569"/>
      <c r="V616" s="569"/>
      <c r="W616" s="569"/>
      <c r="X616" s="569"/>
      <c r="Y616" s="569"/>
      <c r="Z616" s="569"/>
      <c r="AA616" s="569"/>
    </row>
    <row r="617" ht="12.75" customHeight="1">
      <c r="A617" s="569"/>
      <c r="B617" s="569"/>
      <c r="D617" s="569"/>
      <c r="E617" s="569"/>
      <c r="F617" s="569"/>
      <c r="G617" s="569"/>
      <c r="H617" s="569"/>
      <c r="I617" s="569"/>
      <c r="J617" s="569"/>
      <c r="K617" s="569"/>
      <c r="L617" s="569"/>
      <c r="M617" s="569"/>
      <c r="N617" s="569"/>
      <c r="O617" s="569"/>
      <c r="P617" s="569"/>
      <c r="Q617" s="569"/>
      <c r="R617" s="569"/>
      <c r="S617" s="569"/>
      <c r="T617" s="569"/>
      <c r="U617" s="569"/>
      <c r="V617" s="569"/>
      <c r="W617" s="569"/>
      <c r="X617" s="569"/>
      <c r="Y617" s="569"/>
      <c r="Z617" s="569"/>
      <c r="AA617" s="569"/>
    </row>
    <row r="618" ht="12.75" customHeight="1">
      <c r="A618" s="569"/>
      <c r="B618" s="569"/>
      <c r="D618" s="569"/>
      <c r="E618" s="569"/>
      <c r="F618" s="569"/>
      <c r="G618" s="569"/>
      <c r="H618" s="569"/>
      <c r="I618" s="569"/>
      <c r="J618" s="569"/>
      <c r="K618" s="569"/>
      <c r="L618" s="569"/>
      <c r="M618" s="569"/>
      <c r="N618" s="569"/>
      <c r="O618" s="569"/>
      <c r="P618" s="569"/>
      <c r="Q618" s="569"/>
      <c r="R618" s="569"/>
      <c r="S618" s="569"/>
      <c r="T618" s="569"/>
      <c r="U618" s="569"/>
      <c r="V618" s="569"/>
      <c r="W618" s="569"/>
      <c r="X618" s="569"/>
      <c r="Y618" s="569"/>
      <c r="Z618" s="569"/>
      <c r="AA618" s="569"/>
    </row>
    <row r="619" ht="12.75" customHeight="1">
      <c r="A619" s="569"/>
      <c r="B619" s="569"/>
      <c r="D619" s="569"/>
      <c r="E619" s="569"/>
      <c r="F619" s="569"/>
      <c r="G619" s="569"/>
      <c r="H619" s="569"/>
      <c r="I619" s="569"/>
      <c r="J619" s="569"/>
      <c r="K619" s="569"/>
      <c r="L619" s="569"/>
      <c r="M619" s="569"/>
      <c r="N619" s="569"/>
      <c r="O619" s="569"/>
      <c r="P619" s="569"/>
      <c r="Q619" s="569"/>
      <c r="R619" s="569"/>
      <c r="S619" s="569"/>
      <c r="T619" s="569"/>
      <c r="U619" s="569"/>
      <c r="V619" s="569"/>
      <c r="W619" s="569"/>
      <c r="X619" s="569"/>
      <c r="Y619" s="569"/>
      <c r="Z619" s="569"/>
      <c r="AA619" s="569"/>
    </row>
    <row r="620" ht="12.75" customHeight="1">
      <c r="A620" s="569"/>
      <c r="B620" s="569"/>
      <c r="D620" s="569"/>
      <c r="E620" s="569"/>
      <c r="F620" s="569"/>
      <c r="G620" s="569"/>
      <c r="H620" s="569"/>
      <c r="I620" s="569"/>
      <c r="J620" s="569"/>
      <c r="K620" s="569"/>
      <c r="L620" s="569"/>
      <c r="M620" s="569"/>
      <c r="N620" s="569"/>
      <c r="O620" s="569"/>
      <c r="P620" s="569"/>
      <c r="Q620" s="569"/>
      <c r="R620" s="569"/>
      <c r="S620" s="569"/>
      <c r="T620" s="569"/>
      <c r="U620" s="569"/>
      <c r="V620" s="569"/>
      <c r="W620" s="569"/>
      <c r="X620" s="569"/>
      <c r="Y620" s="569"/>
      <c r="Z620" s="569"/>
      <c r="AA620" s="569"/>
    </row>
    <row r="621" ht="12.75" customHeight="1">
      <c r="A621" s="569"/>
      <c r="B621" s="569"/>
      <c r="D621" s="569"/>
      <c r="E621" s="569"/>
      <c r="F621" s="569"/>
      <c r="G621" s="569"/>
      <c r="H621" s="569"/>
      <c r="I621" s="569"/>
      <c r="J621" s="569"/>
      <c r="K621" s="569"/>
      <c r="L621" s="569"/>
      <c r="M621" s="569"/>
      <c r="N621" s="569"/>
      <c r="O621" s="569"/>
      <c r="P621" s="569"/>
      <c r="Q621" s="569"/>
      <c r="R621" s="569"/>
      <c r="S621" s="569"/>
      <c r="T621" s="569"/>
      <c r="U621" s="569"/>
      <c r="V621" s="569"/>
      <c r="W621" s="569"/>
      <c r="X621" s="569"/>
      <c r="Y621" s="569"/>
      <c r="Z621" s="569"/>
      <c r="AA621" s="569"/>
    </row>
    <row r="622" ht="12.75" customHeight="1">
      <c r="A622" s="569"/>
      <c r="B622" s="569"/>
      <c r="D622" s="569"/>
      <c r="E622" s="569"/>
      <c r="F622" s="569"/>
      <c r="G622" s="569"/>
      <c r="H622" s="569"/>
      <c r="I622" s="569"/>
      <c r="J622" s="569"/>
      <c r="K622" s="569"/>
      <c r="L622" s="569"/>
      <c r="M622" s="569"/>
      <c r="N622" s="569"/>
      <c r="O622" s="569"/>
      <c r="P622" s="569"/>
      <c r="Q622" s="569"/>
      <c r="R622" s="569"/>
      <c r="S622" s="569"/>
      <c r="T622" s="569"/>
      <c r="U622" s="569"/>
      <c r="V622" s="569"/>
      <c r="W622" s="569"/>
      <c r="X622" s="569"/>
      <c r="Y622" s="569"/>
      <c r="Z622" s="569"/>
      <c r="AA622" s="569"/>
    </row>
    <row r="623" ht="12.75" customHeight="1">
      <c r="A623" s="569"/>
      <c r="B623" s="569"/>
      <c r="D623" s="569"/>
      <c r="E623" s="569"/>
      <c r="F623" s="569"/>
      <c r="G623" s="569"/>
      <c r="H623" s="569"/>
      <c r="I623" s="569"/>
      <c r="J623" s="569"/>
      <c r="K623" s="569"/>
      <c r="L623" s="569"/>
      <c r="M623" s="569"/>
      <c r="N623" s="569"/>
      <c r="O623" s="569"/>
      <c r="P623" s="569"/>
      <c r="Q623" s="569"/>
      <c r="R623" s="569"/>
      <c r="S623" s="569"/>
      <c r="T623" s="569"/>
      <c r="U623" s="569"/>
      <c r="V623" s="569"/>
      <c r="W623" s="569"/>
      <c r="X623" s="569"/>
      <c r="Y623" s="569"/>
      <c r="Z623" s="569"/>
      <c r="AA623" s="569"/>
    </row>
    <row r="624" ht="12.75" customHeight="1">
      <c r="A624" s="569"/>
      <c r="B624" s="569"/>
      <c r="D624" s="569"/>
      <c r="E624" s="569"/>
      <c r="F624" s="569"/>
      <c r="G624" s="569"/>
      <c r="H624" s="569"/>
      <c r="I624" s="569"/>
      <c r="J624" s="569"/>
      <c r="K624" s="569"/>
      <c r="L624" s="569"/>
      <c r="M624" s="569"/>
      <c r="N624" s="569"/>
      <c r="O624" s="569"/>
      <c r="P624" s="569"/>
      <c r="Q624" s="569"/>
      <c r="R624" s="569"/>
      <c r="S624" s="569"/>
      <c r="T624" s="569"/>
      <c r="U624" s="569"/>
      <c r="V624" s="569"/>
      <c r="W624" s="569"/>
      <c r="X624" s="569"/>
      <c r="Y624" s="569"/>
      <c r="Z624" s="569"/>
      <c r="AA624" s="569"/>
    </row>
    <row r="625" ht="12.75" customHeight="1">
      <c r="A625" s="569"/>
      <c r="B625" s="569"/>
      <c r="D625" s="569"/>
      <c r="E625" s="569"/>
      <c r="F625" s="569"/>
      <c r="G625" s="569"/>
      <c r="H625" s="569"/>
      <c r="I625" s="569"/>
      <c r="J625" s="569"/>
      <c r="K625" s="569"/>
      <c r="L625" s="569"/>
      <c r="M625" s="569"/>
      <c r="N625" s="569"/>
      <c r="O625" s="569"/>
      <c r="P625" s="569"/>
      <c r="Q625" s="569"/>
      <c r="R625" s="569"/>
      <c r="S625" s="569"/>
      <c r="T625" s="569"/>
      <c r="U625" s="569"/>
      <c r="V625" s="569"/>
      <c r="W625" s="569"/>
      <c r="X625" s="569"/>
      <c r="Y625" s="569"/>
      <c r="Z625" s="569"/>
      <c r="AA625" s="569"/>
    </row>
    <row r="626" ht="12.75" customHeight="1">
      <c r="A626" s="569"/>
      <c r="B626" s="569"/>
      <c r="D626" s="569"/>
      <c r="E626" s="569"/>
      <c r="F626" s="569"/>
      <c r="G626" s="569"/>
      <c r="H626" s="569"/>
      <c r="I626" s="569"/>
      <c r="J626" s="569"/>
      <c r="K626" s="569"/>
      <c r="L626" s="569"/>
      <c r="M626" s="569"/>
      <c r="N626" s="569"/>
      <c r="O626" s="569"/>
      <c r="P626" s="569"/>
      <c r="Q626" s="569"/>
      <c r="R626" s="569"/>
      <c r="S626" s="569"/>
      <c r="T626" s="569"/>
      <c r="U626" s="569"/>
      <c r="V626" s="569"/>
      <c r="W626" s="569"/>
      <c r="X626" s="569"/>
      <c r="Y626" s="569"/>
      <c r="Z626" s="569"/>
      <c r="AA626" s="569"/>
    </row>
    <row r="627" ht="12.75" customHeight="1">
      <c r="A627" s="569"/>
      <c r="B627" s="569"/>
      <c r="D627" s="569"/>
      <c r="E627" s="569"/>
      <c r="F627" s="569"/>
      <c r="G627" s="569"/>
      <c r="H627" s="569"/>
      <c r="I627" s="569"/>
      <c r="J627" s="569"/>
      <c r="K627" s="569"/>
      <c r="L627" s="569"/>
      <c r="M627" s="569"/>
      <c r="N627" s="569"/>
      <c r="O627" s="569"/>
      <c r="P627" s="569"/>
      <c r="Q627" s="569"/>
      <c r="R627" s="569"/>
      <c r="S627" s="569"/>
      <c r="T627" s="569"/>
      <c r="U627" s="569"/>
      <c r="V627" s="569"/>
      <c r="W627" s="569"/>
      <c r="X627" s="569"/>
      <c r="Y627" s="569"/>
      <c r="Z627" s="569"/>
      <c r="AA627" s="569"/>
    </row>
    <row r="628" ht="12.75" customHeight="1">
      <c r="A628" s="569"/>
      <c r="B628" s="569"/>
      <c r="D628" s="569"/>
      <c r="E628" s="569"/>
      <c r="F628" s="569"/>
      <c r="G628" s="569"/>
      <c r="H628" s="569"/>
      <c r="I628" s="569"/>
      <c r="J628" s="569"/>
      <c r="K628" s="569"/>
      <c r="L628" s="569"/>
      <c r="M628" s="569"/>
      <c r="N628" s="569"/>
      <c r="O628" s="569"/>
      <c r="P628" s="569"/>
      <c r="Q628" s="569"/>
      <c r="R628" s="569"/>
      <c r="S628" s="569"/>
      <c r="T628" s="569"/>
      <c r="U628" s="569"/>
      <c r="V628" s="569"/>
      <c r="W628" s="569"/>
      <c r="X628" s="569"/>
      <c r="Y628" s="569"/>
      <c r="Z628" s="569"/>
      <c r="AA628" s="569"/>
    </row>
    <row r="629" ht="12.75" customHeight="1">
      <c r="A629" s="569"/>
      <c r="B629" s="569"/>
      <c r="D629" s="569"/>
      <c r="E629" s="569"/>
      <c r="F629" s="569"/>
      <c r="G629" s="569"/>
      <c r="H629" s="569"/>
      <c r="I629" s="569"/>
      <c r="J629" s="569"/>
      <c r="K629" s="569"/>
      <c r="L629" s="569"/>
      <c r="M629" s="569"/>
      <c r="N629" s="569"/>
      <c r="O629" s="569"/>
      <c r="P629" s="569"/>
      <c r="Q629" s="569"/>
      <c r="R629" s="569"/>
      <c r="S629" s="569"/>
      <c r="T629" s="569"/>
      <c r="U629" s="569"/>
      <c r="V629" s="569"/>
      <c r="W629" s="569"/>
      <c r="X629" s="569"/>
      <c r="Y629" s="569"/>
      <c r="Z629" s="569"/>
      <c r="AA629" s="569"/>
    </row>
    <row r="630" ht="12.75" customHeight="1">
      <c r="A630" s="569"/>
      <c r="B630" s="569"/>
      <c r="D630" s="569"/>
      <c r="E630" s="569"/>
      <c r="F630" s="569"/>
      <c r="G630" s="569"/>
      <c r="H630" s="569"/>
      <c r="I630" s="569"/>
      <c r="J630" s="569"/>
      <c r="K630" s="569"/>
      <c r="L630" s="569"/>
      <c r="M630" s="569"/>
      <c r="N630" s="569"/>
      <c r="O630" s="569"/>
      <c r="P630" s="569"/>
      <c r="Q630" s="569"/>
      <c r="R630" s="569"/>
      <c r="S630" s="569"/>
      <c r="T630" s="569"/>
      <c r="U630" s="569"/>
      <c r="V630" s="569"/>
      <c r="W630" s="569"/>
      <c r="X630" s="569"/>
      <c r="Y630" s="569"/>
      <c r="Z630" s="569"/>
      <c r="AA630" s="569"/>
    </row>
    <row r="631" ht="12.75" customHeight="1">
      <c r="A631" s="569"/>
      <c r="B631" s="569"/>
      <c r="D631" s="569"/>
      <c r="E631" s="569"/>
      <c r="F631" s="569"/>
      <c r="G631" s="569"/>
      <c r="H631" s="569"/>
      <c r="I631" s="569"/>
      <c r="J631" s="569"/>
      <c r="K631" s="569"/>
      <c r="L631" s="569"/>
      <c r="M631" s="569"/>
      <c r="N631" s="569"/>
      <c r="O631" s="569"/>
      <c r="P631" s="569"/>
      <c r="Q631" s="569"/>
      <c r="R631" s="569"/>
      <c r="S631" s="569"/>
      <c r="T631" s="569"/>
      <c r="U631" s="569"/>
      <c r="V631" s="569"/>
      <c r="W631" s="569"/>
      <c r="X631" s="569"/>
      <c r="Y631" s="569"/>
      <c r="Z631" s="569"/>
      <c r="AA631" s="569"/>
    </row>
    <row r="632" ht="12.75" customHeight="1">
      <c r="A632" s="569"/>
      <c r="B632" s="569"/>
      <c r="D632" s="569"/>
      <c r="E632" s="569"/>
      <c r="F632" s="569"/>
      <c r="G632" s="569"/>
      <c r="H632" s="569"/>
      <c r="I632" s="569"/>
      <c r="J632" s="569"/>
      <c r="K632" s="569"/>
      <c r="L632" s="569"/>
      <c r="M632" s="569"/>
      <c r="N632" s="569"/>
      <c r="O632" s="569"/>
      <c r="P632" s="569"/>
      <c r="Q632" s="569"/>
      <c r="R632" s="569"/>
      <c r="S632" s="569"/>
      <c r="T632" s="569"/>
      <c r="U632" s="569"/>
      <c r="V632" s="569"/>
      <c r="W632" s="569"/>
      <c r="X632" s="569"/>
      <c r="Y632" s="569"/>
      <c r="Z632" s="569"/>
      <c r="AA632" s="569"/>
    </row>
    <row r="633" ht="12.75" customHeight="1">
      <c r="A633" s="569"/>
      <c r="B633" s="569"/>
      <c r="D633" s="569"/>
      <c r="E633" s="569"/>
      <c r="F633" s="569"/>
      <c r="G633" s="569"/>
      <c r="H633" s="569"/>
      <c r="I633" s="569"/>
      <c r="J633" s="569"/>
      <c r="K633" s="569"/>
      <c r="L633" s="569"/>
      <c r="M633" s="569"/>
      <c r="N633" s="569"/>
      <c r="O633" s="569"/>
      <c r="P633" s="569"/>
      <c r="Q633" s="569"/>
      <c r="R633" s="569"/>
      <c r="S633" s="569"/>
      <c r="T633" s="569"/>
      <c r="U633" s="569"/>
      <c r="V633" s="569"/>
      <c r="W633" s="569"/>
      <c r="X633" s="569"/>
      <c r="Y633" s="569"/>
      <c r="Z633" s="569"/>
      <c r="AA633" s="569"/>
    </row>
    <row r="634" ht="12.75" customHeight="1">
      <c r="A634" s="569"/>
      <c r="B634" s="569"/>
      <c r="D634" s="569"/>
      <c r="E634" s="569"/>
      <c r="F634" s="569"/>
      <c r="G634" s="569"/>
      <c r="H634" s="569"/>
      <c r="I634" s="569"/>
      <c r="J634" s="569"/>
      <c r="K634" s="569"/>
      <c r="L634" s="569"/>
      <c r="M634" s="569"/>
      <c r="N634" s="569"/>
      <c r="O634" s="569"/>
      <c r="P634" s="569"/>
      <c r="Q634" s="569"/>
      <c r="R634" s="569"/>
      <c r="S634" s="569"/>
      <c r="T634" s="569"/>
      <c r="U634" s="569"/>
      <c r="V634" s="569"/>
      <c r="W634" s="569"/>
      <c r="X634" s="569"/>
      <c r="Y634" s="569"/>
      <c r="Z634" s="569"/>
      <c r="AA634" s="569"/>
    </row>
    <row r="635" ht="12.75" customHeight="1">
      <c r="A635" s="569"/>
      <c r="B635" s="569"/>
      <c r="D635" s="569"/>
      <c r="E635" s="569"/>
      <c r="F635" s="569"/>
      <c r="G635" s="569"/>
      <c r="H635" s="569"/>
      <c r="I635" s="569"/>
      <c r="J635" s="569"/>
      <c r="K635" s="569"/>
      <c r="L635" s="569"/>
      <c r="M635" s="569"/>
      <c r="N635" s="569"/>
      <c r="O635" s="569"/>
      <c r="P635" s="569"/>
      <c r="Q635" s="569"/>
      <c r="R635" s="569"/>
      <c r="S635" s="569"/>
      <c r="T635" s="569"/>
      <c r="U635" s="569"/>
      <c r="V635" s="569"/>
      <c r="W635" s="569"/>
      <c r="X635" s="569"/>
      <c r="Y635" s="569"/>
      <c r="Z635" s="569"/>
      <c r="AA635" s="569"/>
    </row>
    <row r="636" ht="12.75" customHeight="1">
      <c r="A636" s="569"/>
      <c r="B636" s="569"/>
      <c r="D636" s="569"/>
      <c r="E636" s="569"/>
      <c r="F636" s="569"/>
      <c r="G636" s="569"/>
      <c r="H636" s="569"/>
      <c r="I636" s="569"/>
      <c r="J636" s="569"/>
      <c r="K636" s="569"/>
      <c r="L636" s="569"/>
      <c r="M636" s="569"/>
      <c r="N636" s="569"/>
      <c r="O636" s="569"/>
      <c r="P636" s="569"/>
      <c r="Q636" s="569"/>
      <c r="R636" s="569"/>
      <c r="S636" s="569"/>
      <c r="T636" s="569"/>
      <c r="U636" s="569"/>
      <c r="V636" s="569"/>
      <c r="W636" s="569"/>
      <c r="X636" s="569"/>
      <c r="Y636" s="569"/>
      <c r="Z636" s="569"/>
      <c r="AA636" s="569"/>
    </row>
    <row r="637" ht="12.75" customHeight="1">
      <c r="A637" s="569"/>
      <c r="B637" s="569"/>
      <c r="D637" s="569"/>
      <c r="E637" s="569"/>
      <c r="F637" s="569"/>
      <c r="G637" s="569"/>
      <c r="H637" s="569"/>
      <c r="I637" s="569"/>
      <c r="J637" s="569"/>
      <c r="K637" s="569"/>
      <c r="L637" s="569"/>
      <c r="M637" s="569"/>
      <c r="N637" s="569"/>
      <c r="O637" s="569"/>
      <c r="P637" s="569"/>
      <c r="Q637" s="569"/>
      <c r="R637" s="569"/>
      <c r="S637" s="569"/>
      <c r="T637" s="569"/>
      <c r="U637" s="569"/>
      <c r="V637" s="569"/>
      <c r="W637" s="569"/>
      <c r="X637" s="569"/>
      <c r="Y637" s="569"/>
      <c r="Z637" s="569"/>
      <c r="AA637" s="569"/>
    </row>
    <row r="638" ht="12.75" customHeight="1">
      <c r="A638" s="569"/>
      <c r="B638" s="569"/>
      <c r="D638" s="569"/>
      <c r="E638" s="569"/>
      <c r="F638" s="569"/>
      <c r="G638" s="569"/>
      <c r="H638" s="569"/>
      <c r="I638" s="569"/>
      <c r="J638" s="569"/>
      <c r="K638" s="569"/>
      <c r="L638" s="569"/>
      <c r="M638" s="569"/>
      <c r="N638" s="569"/>
      <c r="O638" s="569"/>
      <c r="P638" s="569"/>
      <c r="Q638" s="569"/>
      <c r="R638" s="569"/>
      <c r="S638" s="569"/>
      <c r="T638" s="569"/>
      <c r="U638" s="569"/>
      <c r="V638" s="569"/>
      <c r="W638" s="569"/>
      <c r="X638" s="569"/>
      <c r="Y638" s="569"/>
      <c r="Z638" s="569"/>
      <c r="AA638" s="569"/>
    </row>
    <row r="639" ht="12.75" customHeight="1">
      <c r="A639" s="569"/>
      <c r="B639" s="569"/>
      <c r="D639" s="569"/>
      <c r="E639" s="569"/>
      <c r="F639" s="569"/>
      <c r="G639" s="569"/>
      <c r="H639" s="569"/>
      <c r="I639" s="569"/>
      <c r="J639" s="569"/>
      <c r="K639" s="569"/>
      <c r="L639" s="569"/>
      <c r="M639" s="569"/>
      <c r="N639" s="569"/>
      <c r="O639" s="569"/>
      <c r="P639" s="569"/>
      <c r="Q639" s="569"/>
      <c r="R639" s="569"/>
      <c r="S639" s="569"/>
      <c r="T639" s="569"/>
      <c r="U639" s="569"/>
      <c r="V639" s="569"/>
      <c r="W639" s="569"/>
      <c r="X639" s="569"/>
      <c r="Y639" s="569"/>
      <c r="Z639" s="569"/>
      <c r="AA639" s="569"/>
    </row>
    <row r="640" ht="12.75" customHeight="1">
      <c r="A640" s="569"/>
      <c r="B640" s="569"/>
      <c r="D640" s="569"/>
      <c r="E640" s="569"/>
      <c r="F640" s="569"/>
      <c r="G640" s="569"/>
      <c r="H640" s="569"/>
      <c r="I640" s="569"/>
      <c r="J640" s="569"/>
      <c r="K640" s="569"/>
      <c r="L640" s="569"/>
      <c r="M640" s="569"/>
      <c r="N640" s="569"/>
      <c r="O640" s="569"/>
      <c r="P640" s="569"/>
      <c r="Q640" s="569"/>
      <c r="R640" s="569"/>
      <c r="S640" s="569"/>
      <c r="T640" s="569"/>
      <c r="U640" s="569"/>
      <c r="V640" s="569"/>
      <c r="W640" s="569"/>
      <c r="X640" s="569"/>
      <c r="Y640" s="569"/>
      <c r="Z640" s="569"/>
      <c r="AA640" s="569"/>
    </row>
    <row r="641" ht="12.75" customHeight="1">
      <c r="A641" s="569"/>
      <c r="B641" s="569"/>
      <c r="D641" s="569"/>
      <c r="E641" s="569"/>
      <c r="F641" s="569"/>
      <c r="G641" s="569"/>
      <c r="H641" s="569"/>
      <c r="I641" s="569"/>
      <c r="J641" s="569"/>
      <c r="K641" s="569"/>
      <c r="L641" s="569"/>
      <c r="M641" s="569"/>
      <c r="N641" s="569"/>
      <c r="O641" s="569"/>
      <c r="P641" s="569"/>
      <c r="Q641" s="569"/>
      <c r="R641" s="569"/>
      <c r="S641" s="569"/>
      <c r="T641" s="569"/>
      <c r="U641" s="569"/>
      <c r="V641" s="569"/>
      <c r="W641" s="569"/>
      <c r="X641" s="569"/>
      <c r="Y641" s="569"/>
      <c r="Z641" s="569"/>
      <c r="AA641" s="569"/>
    </row>
    <row r="642" ht="12.75" customHeight="1">
      <c r="A642" s="569"/>
      <c r="B642" s="569"/>
      <c r="D642" s="569"/>
      <c r="E642" s="569"/>
      <c r="F642" s="569"/>
      <c r="G642" s="569"/>
      <c r="H642" s="569"/>
      <c r="I642" s="569"/>
      <c r="J642" s="569"/>
      <c r="K642" s="569"/>
      <c r="L642" s="569"/>
      <c r="M642" s="569"/>
      <c r="N642" s="569"/>
      <c r="O642" s="569"/>
      <c r="P642" s="569"/>
      <c r="Q642" s="569"/>
      <c r="R642" s="569"/>
      <c r="S642" s="569"/>
      <c r="T642" s="569"/>
      <c r="U642" s="569"/>
      <c r="V642" s="569"/>
      <c r="W642" s="569"/>
      <c r="X642" s="569"/>
      <c r="Y642" s="569"/>
      <c r="Z642" s="569"/>
      <c r="AA642" s="569"/>
    </row>
    <row r="643" ht="12.75" customHeight="1">
      <c r="A643" s="569"/>
      <c r="B643" s="569"/>
      <c r="D643" s="569"/>
      <c r="E643" s="569"/>
      <c r="F643" s="569"/>
      <c r="G643" s="569"/>
      <c r="H643" s="569"/>
      <c r="I643" s="569"/>
      <c r="J643" s="569"/>
      <c r="K643" s="569"/>
      <c r="L643" s="569"/>
      <c r="M643" s="569"/>
      <c r="N643" s="569"/>
      <c r="O643" s="569"/>
      <c r="P643" s="569"/>
      <c r="Q643" s="569"/>
      <c r="R643" s="569"/>
      <c r="S643" s="569"/>
      <c r="T643" s="569"/>
      <c r="U643" s="569"/>
      <c r="V643" s="569"/>
      <c r="W643" s="569"/>
      <c r="X643" s="569"/>
      <c r="Y643" s="569"/>
      <c r="Z643" s="569"/>
      <c r="AA643" s="569"/>
    </row>
    <row r="644" ht="12.75" customHeight="1">
      <c r="A644" s="569"/>
      <c r="B644" s="569"/>
      <c r="D644" s="569"/>
      <c r="E644" s="569"/>
      <c r="F644" s="569"/>
      <c r="G644" s="569"/>
      <c r="H644" s="569"/>
      <c r="I644" s="569"/>
      <c r="J644" s="569"/>
      <c r="K644" s="569"/>
      <c r="L644" s="569"/>
      <c r="M644" s="569"/>
      <c r="N644" s="569"/>
      <c r="O644" s="569"/>
      <c r="P644" s="569"/>
      <c r="Q644" s="569"/>
      <c r="R644" s="569"/>
      <c r="S644" s="569"/>
      <c r="T644" s="569"/>
      <c r="U644" s="569"/>
      <c r="V644" s="569"/>
      <c r="W644" s="569"/>
      <c r="X644" s="569"/>
      <c r="Y644" s="569"/>
      <c r="Z644" s="569"/>
      <c r="AA644" s="569"/>
    </row>
    <row r="645" ht="12.75" customHeight="1">
      <c r="A645" s="569"/>
      <c r="B645" s="569"/>
      <c r="D645" s="569"/>
      <c r="E645" s="569"/>
      <c r="F645" s="569"/>
      <c r="G645" s="569"/>
      <c r="H645" s="569"/>
      <c r="I645" s="569"/>
      <c r="J645" s="569"/>
      <c r="K645" s="569"/>
      <c r="L645" s="569"/>
      <c r="M645" s="569"/>
      <c r="N645" s="569"/>
      <c r="O645" s="569"/>
      <c r="P645" s="569"/>
      <c r="Q645" s="569"/>
      <c r="R645" s="569"/>
      <c r="S645" s="569"/>
      <c r="T645" s="569"/>
      <c r="U645" s="569"/>
      <c r="V645" s="569"/>
      <c r="W645" s="569"/>
      <c r="X645" s="569"/>
      <c r="Y645" s="569"/>
      <c r="Z645" s="569"/>
      <c r="AA645" s="569"/>
    </row>
    <row r="646" ht="12.75" customHeight="1">
      <c r="A646" s="569"/>
      <c r="B646" s="569"/>
      <c r="D646" s="569"/>
      <c r="E646" s="569"/>
      <c r="F646" s="569"/>
      <c r="G646" s="569"/>
      <c r="H646" s="569"/>
      <c r="I646" s="569"/>
      <c r="J646" s="569"/>
      <c r="K646" s="569"/>
      <c r="L646" s="569"/>
      <c r="M646" s="569"/>
      <c r="N646" s="569"/>
      <c r="O646" s="569"/>
      <c r="P646" s="569"/>
      <c r="Q646" s="569"/>
      <c r="R646" s="569"/>
      <c r="S646" s="569"/>
      <c r="T646" s="569"/>
      <c r="U646" s="569"/>
      <c r="V646" s="569"/>
      <c r="W646" s="569"/>
      <c r="X646" s="569"/>
      <c r="Y646" s="569"/>
      <c r="Z646" s="569"/>
      <c r="AA646" s="569"/>
    </row>
    <row r="647" ht="12.75" customHeight="1">
      <c r="A647" s="569"/>
      <c r="B647" s="569"/>
      <c r="D647" s="569"/>
      <c r="E647" s="569"/>
      <c r="F647" s="569"/>
      <c r="G647" s="569"/>
      <c r="H647" s="569"/>
      <c r="I647" s="569"/>
      <c r="J647" s="569"/>
      <c r="K647" s="569"/>
      <c r="L647" s="569"/>
      <c r="M647" s="569"/>
      <c r="N647" s="569"/>
      <c r="O647" s="569"/>
      <c r="P647" s="569"/>
      <c r="Q647" s="569"/>
      <c r="R647" s="569"/>
      <c r="S647" s="569"/>
      <c r="T647" s="569"/>
      <c r="U647" s="569"/>
      <c r="V647" s="569"/>
      <c r="W647" s="569"/>
      <c r="X647" s="569"/>
      <c r="Y647" s="569"/>
      <c r="Z647" s="569"/>
      <c r="AA647" s="569"/>
    </row>
    <row r="648" ht="12.75" customHeight="1">
      <c r="A648" s="569"/>
      <c r="B648" s="569"/>
      <c r="D648" s="569"/>
      <c r="E648" s="569"/>
      <c r="F648" s="569"/>
      <c r="G648" s="569"/>
      <c r="H648" s="569"/>
      <c r="I648" s="569"/>
      <c r="J648" s="569"/>
      <c r="K648" s="569"/>
      <c r="L648" s="569"/>
      <c r="M648" s="569"/>
      <c r="N648" s="569"/>
      <c r="O648" s="569"/>
      <c r="P648" s="569"/>
      <c r="Q648" s="569"/>
      <c r="R648" s="569"/>
      <c r="S648" s="569"/>
      <c r="T648" s="569"/>
      <c r="U648" s="569"/>
      <c r="V648" s="569"/>
      <c r="W648" s="569"/>
      <c r="X648" s="569"/>
      <c r="Y648" s="569"/>
      <c r="Z648" s="569"/>
      <c r="AA648" s="569"/>
    </row>
    <row r="649" ht="12.75" customHeight="1">
      <c r="A649" s="569"/>
      <c r="B649" s="569"/>
      <c r="D649" s="569"/>
      <c r="E649" s="569"/>
      <c r="F649" s="569"/>
      <c r="G649" s="569"/>
      <c r="H649" s="569"/>
      <c r="I649" s="569"/>
      <c r="J649" s="569"/>
      <c r="K649" s="569"/>
      <c r="L649" s="569"/>
      <c r="M649" s="569"/>
      <c r="N649" s="569"/>
      <c r="O649" s="569"/>
      <c r="P649" s="569"/>
      <c r="Q649" s="569"/>
      <c r="R649" s="569"/>
      <c r="S649" s="569"/>
      <c r="T649" s="569"/>
      <c r="U649" s="569"/>
      <c r="V649" s="569"/>
      <c r="W649" s="569"/>
      <c r="X649" s="569"/>
      <c r="Y649" s="569"/>
      <c r="Z649" s="569"/>
      <c r="AA649" s="569"/>
    </row>
    <row r="650" ht="12.75" customHeight="1">
      <c r="A650" s="569"/>
      <c r="B650" s="569"/>
      <c r="D650" s="569"/>
      <c r="E650" s="569"/>
      <c r="F650" s="569"/>
      <c r="G650" s="569"/>
      <c r="H650" s="569"/>
      <c r="I650" s="569"/>
      <c r="J650" s="569"/>
      <c r="K650" s="569"/>
      <c r="L650" s="569"/>
      <c r="M650" s="569"/>
      <c r="N650" s="569"/>
      <c r="O650" s="569"/>
      <c r="P650" s="569"/>
      <c r="Q650" s="569"/>
      <c r="R650" s="569"/>
      <c r="S650" s="569"/>
      <c r="T650" s="569"/>
      <c r="U650" s="569"/>
      <c r="V650" s="569"/>
      <c r="W650" s="569"/>
      <c r="X650" s="569"/>
      <c r="Y650" s="569"/>
      <c r="Z650" s="569"/>
      <c r="AA650" s="569"/>
    </row>
    <row r="651" ht="12.75" customHeight="1">
      <c r="A651" s="569"/>
      <c r="B651" s="569"/>
      <c r="D651" s="569"/>
      <c r="E651" s="569"/>
      <c r="F651" s="569"/>
      <c r="G651" s="569"/>
      <c r="H651" s="569"/>
      <c r="I651" s="569"/>
      <c r="J651" s="569"/>
      <c r="K651" s="569"/>
      <c r="L651" s="569"/>
      <c r="M651" s="569"/>
      <c r="N651" s="569"/>
      <c r="O651" s="569"/>
      <c r="P651" s="569"/>
      <c r="Q651" s="569"/>
      <c r="R651" s="569"/>
      <c r="S651" s="569"/>
      <c r="T651" s="569"/>
      <c r="U651" s="569"/>
      <c r="V651" s="569"/>
      <c r="W651" s="569"/>
      <c r="X651" s="569"/>
      <c r="Y651" s="569"/>
      <c r="Z651" s="569"/>
      <c r="AA651" s="569"/>
    </row>
    <row r="652" ht="12.75" customHeight="1">
      <c r="A652" s="569"/>
      <c r="B652" s="569"/>
      <c r="D652" s="569"/>
      <c r="E652" s="569"/>
      <c r="F652" s="569"/>
      <c r="G652" s="569"/>
      <c r="H652" s="569"/>
      <c r="I652" s="569"/>
      <c r="J652" s="569"/>
      <c r="K652" s="569"/>
      <c r="L652" s="569"/>
      <c r="M652" s="569"/>
      <c r="N652" s="569"/>
      <c r="O652" s="569"/>
      <c r="P652" s="569"/>
      <c r="Q652" s="569"/>
      <c r="R652" s="569"/>
      <c r="S652" s="569"/>
      <c r="T652" s="569"/>
      <c r="U652" s="569"/>
      <c r="V652" s="569"/>
      <c r="W652" s="569"/>
      <c r="X652" s="569"/>
      <c r="Y652" s="569"/>
      <c r="Z652" s="569"/>
      <c r="AA652" s="569"/>
    </row>
    <row r="653" ht="12.75" customHeight="1">
      <c r="A653" s="569"/>
      <c r="B653" s="569"/>
      <c r="D653" s="569"/>
      <c r="E653" s="569"/>
      <c r="F653" s="569"/>
      <c r="G653" s="569"/>
      <c r="H653" s="569"/>
      <c r="I653" s="569"/>
      <c r="J653" s="569"/>
      <c r="K653" s="569"/>
      <c r="L653" s="569"/>
      <c r="M653" s="569"/>
      <c r="N653" s="569"/>
      <c r="O653" s="569"/>
      <c r="P653" s="569"/>
      <c r="Q653" s="569"/>
      <c r="R653" s="569"/>
      <c r="S653" s="569"/>
      <c r="T653" s="569"/>
      <c r="U653" s="569"/>
      <c r="V653" s="569"/>
      <c r="W653" s="569"/>
      <c r="X653" s="569"/>
      <c r="Y653" s="569"/>
      <c r="Z653" s="569"/>
      <c r="AA653" s="569"/>
    </row>
    <row r="654" ht="12.75" customHeight="1">
      <c r="A654" s="569"/>
      <c r="B654" s="569"/>
      <c r="D654" s="569"/>
      <c r="E654" s="569"/>
      <c r="F654" s="569"/>
      <c r="G654" s="569"/>
      <c r="H654" s="569"/>
      <c r="I654" s="569"/>
      <c r="J654" s="569"/>
      <c r="K654" s="569"/>
      <c r="L654" s="569"/>
      <c r="M654" s="569"/>
      <c r="N654" s="569"/>
      <c r="O654" s="569"/>
      <c r="P654" s="569"/>
      <c r="Q654" s="569"/>
      <c r="R654" s="569"/>
      <c r="S654" s="569"/>
      <c r="T654" s="569"/>
      <c r="U654" s="569"/>
      <c r="V654" s="569"/>
      <c r="W654" s="569"/>
      <c r="X654" s="569"/>
      <c r="Y654" s="569"/>
      <c r="Z654" s="569"/>
      <c r="AA654" s="569"/>
    </row>
    <row r="655" ht="12.75" customHeight="1">
      <c r="A655" s="569"/>
      <c r="B655" s="569"/>
      <c r="D655" s="569"/>
      <c r="E655" s="569"/>
      <c r="F655" s="569"/>
      <c r="G655" s="569"/>
      <c r="H655" s="569"/>
      <c r="I655" s="569"/>
      <c r="J655" s="569"/>
      <c r="K655" s="569"/>
      <c r="L655" s="569"/>
      <c r="M655" s="569"/>
      <c r="N655" s="569"/>
      <c r="O655" s="569"/>
      <c r="P655" s="569"/>
      <c r="Q655" s="569"/>
      <c r="R655" s="569"/>
      <c r="S655" s="569"/>
      <c r="T655" s="569"/>
      <c r="U655" s="569"/>
      <c r="V655" s="569"/>
      <c r="W655" s="569"/>
      <c r="X655" s="569"/>
      <c r="Y655" s="569"/>
      <c r="Z655" s="569"/>
      <c r="AA655" s="569"/>
    </row>
    <row r="656" ht="12.75" customHeight="1">
      <c r="A656" s="569"/>
      <c r="B656" s="569"/>
      <c r="D656" s="569"/>
      <c r="E656" s="569"/>
      <c r="F656" s="569"/>
      <c r="G656" s="569"/>
      <c r="H656" s="569"/>
      <c r="I656" s="569"/>
      <c r="J656" s="569"/>
      <c r="K656" s="569"/>
      <c r="L656" s="569"/>
      <c r="M656" s="569"/>
      <c r="N656" s="569"/>
      <c r="O656" s="569"/>
      <c r="P656" s="569"/>
      <c r="Q656" s="569"/>
      <c r="R656" s="569"/>
      <c r="S656" s="569"/>
      <c r="T656" s="569"/>
      <c r="U656" s="569"/>
      <c r="V656" s="569"/>
      <c r="W656" s="569"/>
      <c r="X656" s="569"/>
      <c r="Y656" s="569"/>
      <c r="Z656" s="569"/>
      <c r="AA656" s="569"/>
    </row>
    <row r="657" ht="12.75" customHeight="1">
      <c r="A657" s="569"/>
      <c r="B657" s="569"/>
      <c r="D657" s="569"/>
      <c r="E657" s="569"/>
      <c r="F657" s="569"/>
      <c r="G657" s="569"/>
      <c r="H657" s="569"/>
      <c r="I657" s="569"/>
      <c r="J657" s="569"/>
      <c r="K657" s="569"/>
      <c r="L657" s="569"/>
      <c r="M657" s="569"/>
      <c r="N657" s="569"/>
      <c r="O657" s="569"/>
      <c r="P657" s="569"/>
      <c r="Q657" s="569"/>
      <c r="R657" s="569"/>
      <c r="S657" s="569"/>
      <c r="T657" s="569"/>
      <c r="U657" s="569"/>
      <c r="V657" s="569"/>
      <c r="W657" s="569"/>
      <c r="X657" s="569"/>
      <c r="Y657" s="569"/>
      <c r="Z657" s="569"/>
      <c r="AA657" s="569"/>
    </row>
    <row r="658" ht="12.75" customHeight="1">
      <c r="A658" s="569"/>
      <c r="B658" s="569"/>
      <c r="D658" s="569"/>
      <c r="E658" s="569"/>
      <c r="F658" s="569"/>
      <c r="G658" s="569"/>
      <c r="H658" s="569"/>
      <c r="I658" s="569"/>
      <c r="J658" s="569"/>
      <c r="K658" s="569"/>
      <c r="L658" s="569"/>
      <c r="M658" s="569"/>
      <c r="N658" s="569"/>
      <c r="O658" s="569"/>
      <c r="P658" s="569"/>
      <c r="Q658" s="569"/>
      <c r="R658" s="569"/>
      <c r="S658" s="569"/>
      <c r="T658" s="569"/>
      <c r="U658" s="569"/>
      <c r="V658" s="569"/>
      <c r="W658" s="569"/>
      <c r="X658" s="569"/>
      <c r="Y658" s="569"/>
      <c r="Z658" s="569"/>
      <c r="AA658" s="569"/>
    </row>
    <row r="659" ht="12.75" customHeight="1">
      <c r="A659" s="569"/>
      <c r="B659" s="569"/>
      <c r="D659" s="569"/>
      <c r="E659" s="569"/>
      <c r="F659" s="569"/>
      <c r="G659" s="569"/>
      <c r="H659" s="569"/>
      <c r="I659" s="569"/>
      <c r="J659" s="569"/>
      <c r="K659" s="569"/>
      <c r="L659" s="569"/>
      <c r="M659" s="569"/>
      <c r="N659" s="569"/>
      <c r="O659" s="569"/>
      <c r="P659" s="569"/>
      <c r="Q659" s="569"/>
      <c r="R659" s="569"/>
      <c r="S659" s="569"/>
      <c r="T659" s="569"/>
      <c r="U659" s="569"/>
      <c r="V659" s="569"/>
      <c r="W659" s="569"/>
      <c r="X659" s="569"/>
      <c r="Y659" s="569"/>
      <c r="Z659" s="569"/>
      <c r="AA659" s="569"/>
    </row>
    <row r="660" ht="12.75" customHeight="1">
      <c r="A660" s="569"/>
      <c r="B660" s="569"/>
      <c r="D660" s="569"/>
      <c r="E660" s="569"/>
      <c r="F660" s="569"/>
      <c r="G660" s="569"/>
      <c r="H660" s="569"/>
      <c r="I660" s="569"/>
      <c r="J660" s="569"/>
      <c r="K660" s="569"/>
      <c r="L660" s="569"/>
      <c r="M660" s="569"/>
      <c r="N660" s="569"/>
      <c r="O660" s="569"/>
      <c r="P660" s="569"/>
      <c r="Q660" s="569"/>
      <c r="R660" s="569"/>
      <c r="S660" s="569"/>
      <c r="T660" s="569"/>
      <c r="U660" s="569"/>
      <c r="V660" s="569"/>
      <c r="W660" s="569"/>
      <c r="X660" s="569"/>
      <c r="Y660" s="569"/>
      <c r="Z660" s="569"/>
      <c r="AA660" s="569"/>
    </row>
    <row r="661" ht="12.75" customHeight="1">
      <c r="A661" s="569"/>
      <c r="B661" s="569"/>
      <c r="D661" s="569"/>
      <c r="E661" s="569"/>
      <c r="F661" s="569"/>
      <c r="G661" s="569"/>
      <c r="H661" s="569"/>
      <c r="I661" s="569"/>
      <c r="J661" s="569"/>
      <c r="K661" s="569"/>
      <c r="L661" s="569"/>
      <c r="M661" s="569"/>
      <c r="N661" s="569"/>
      <c r="O661" s="569"/>
      <c r="P661" s="569"/>
      <c r="Q661" s="569"/>
      <c r="R661" s="569"/>
      <c r="S661" s="569"/>
      <c r="T661" s="569"/>
      <c r="U661" s="569"/>
      <c r="V661" s="569"/>
      <c r="W661" s="569"/>
      <c r="X661" s="569"/>
      <c r="Y661" s="569"/>
      <c r="Z661" s="569"/>
      <c r="AA661" s="569"/>
    </row>
    <row r="662" ht="12.75" customHeight="1">
      <c r="A662" s="569"/>
      <c r="B662" s="569"/>
      <c r="D662" s="569"/>
      <c r="E662" s="569"/>
      <c r="F662" s="569"/>
      <c r="G662" s="569"/>
      <c r="H662" s="569"/>
      <c r="I662" s="569"/>
      <c r="J662" s="569"/>
      <c r="K662" s="569"/>
      <c r="L662" s="569"/>
      <c r="M662" s="569"/>
      <c r="N662" s="569"/>
      <c r="O662" s="569"/>
      <c r="P662" s="569"/>
      <c r="Q662" s="569"/>
      <c r="R662" s="569"/>
      <c r="S662" s="569"/>
      <c r="T662" s="569"/>
      <c r="U662" s="569"/>
      <c r="V662" s="569"/>
      <c r="W662" s="569"/>
      <c r="X662" s="569"/>
      <c r="Y662" s="569"/>
      <c r="Z662" s="569"/>
      <c r="AA662" s="569"/>
    </row>
    <row r="663" ht="12.75" customHeight="1">
      <c r="A663" s="569"/>
      <c r="B663" s="569"/>
      <c r="D663" s="569"/>
      <c r="E663" s="569"/>
      <c r="F663" s="569"/>
      <c r="G663" s="569"/>
      <c r="H663" s="569"/>
      <c r="I663" s="569"/>
      <c r="J663" s="569"/>
      <c r="K663" s="569"/>
      <c r="L663" s="569"/>
      <c r="M663" s="569"/>
      <c r="N663" s="569"/>
      <c r="O663" s="569"/>
      <c r="P663" s="569"/>
      <c r="Q663" s="569"/>
      <c r="R663" s="569"/>
      <c r="S663" s="569"/>
      <c r="T663" s="569"/>
      <c r="U663" s="569"/>
      <c r="V663" s="569"/>
      <c r="W663" s="569"/>
      <c r="X663" s="569"/>
      <c r="Y663" s="569"/>
      <c r="Z663" s="569"/>
      <c r="AA663" s="569"/>
    </row>
    <row r="664" ht="12.75" customHeight="1">
      <c r="A664" s="569"/>
      <c r="B664" s="569"/>
      <c r="D664" s="569"/>
      <c r="E664" s="569"/>
      <c r="F664" s="569"/>
      <c r="G664" s="569"/>
      <c r="H664" s="569"/>
      <c r="I664" s="569"/>
      <c r="J664" s="569"/>
      <c r="K664" s="569"/>
      <c r="L664" s="569"/>
      <c r="M664" s="569"/>
      <c r="N664" s="569"/>
      <c r="O664" s="569"/>
      <c r="P664" s="569"/>
      <c r="Q664" s="569"/>
      <c r="R664" s="569"/>
      <c r="S664" s="569"/>
      <c r="T664" s="569"/>
      <c r="U664" s="569"/>
      <c r="V664" s="569"/>
      <c r="W664" s="569"/>
      <c r="X664" s="569"/>
      <c r="Y664" s="569"/>
      <c r="Z664" s="569"/>
      <c r="AA664" s="569"/>
    </row>
    <row r="665" ht="12.75" customHeight="1">
      <c r="A665" s="569"/>
      <c r="B665" s="569"/>
      <c r="D665" s="569"/>
      <c r="E665" s="569"/>
      <c r="F665" s="569"/>
      <c r="G665" s="569"/>
      <c r="H665" s="569"/>
      <c r="I665" s="569"/>
      <c r="J665" s="569"/>
      <c r="K665" s="569"/>
      <c r="L665" s="569"/>
      <c r="M665" s="569"/>
      <c r="N665" s="569"/>
      <c r="O665" s="569"/>
      <c r="P665" s="569"/>
      <c r="Q665" s="569"/>
      <c r="R665" s="569"/>
      <c r="S665" s="569"/>
      <c r="T665" s="569"/>
      <c r="U665" s="569"/>
      <c r="V665" s="569"/>
      <c r="W665" s="569"/>
      <c r="X665" s="569"/>
      <c r="Y665" s="569"/>
      <c r="Z665" s="569"/>
      <c r="AA665" s="569"/>
    </row>
    <row r="666" ht="12.75" customHeight="1">
      <c r="A666" s="569"/>
      <c r="B666" s="569"/>
      <c r="D666" s="569"/>
      <c r="E666" s="569"/>
      <c r="F666" s="569"/>
      <c r="G666" s="569"/>
      <c r="H666" s="569"/>
      <c r="I666" s="569"/>
      <c r="J666" s="569"/>
      <c r="K666" s="569"/>
      <c r="L666" s="569"/>
      <c r="M666" s="569"/>
      <c r="N666" s="569"/>
      <c r="O666" s="569"/>
      <c r="P666" s="569"/>
      <c r="Q666" s="569"/>
      <c r="R666" s="569"/>
      <c r="S666" s="569"/>
      <c r="T666" s="569"/>
      <c r="U666" s="569"/>
      <c r="V666" s="569"/>
      <c r="W666" s="569"/>
      <c r="X666" s="569"/>
      <c r="Y666" s="569"/>
      <c r="Z666" s="569"/>
      <c r="AA666" s="569"/>
    </row>
    <row r="667" ht="12.75" customHeight="1">
      <c r="A667" s="569"/>
      <c r="B667" s="569"/>
      <c r="D667" s="569"/>
      <c r="E667" s="569"/>
      <c r="F667" s="569"/>
      <c r="G667" s="569"/>
      <c r="H667" s="569"/>
      <c r="I667" s="569"/>
      <c r="J667" s="569"/>
      <c r="K667" s="569"/>
      <c r="L667" s="569"/>
      <c r="M667" s="569"/>
      <c r="N667" s="569"/>
      <c r="O667" s="569"/>
      <c r="P667" s="569"/>
      <c r="Q667" s="569"/>
      <c r="R667" s="569"/>
      <c r="S667" s="569"/>
      <c r="T667" s="569"/>
      <c r="U667" s="569"/>
      <c r="V667" s="569"/>
      <c r="W667" s="569"/>
      <c r="X667" s="569"/>
      <c r="Y667" s="569"/>
      <c r="Z667" s="569"/>
      <c r="AA667" s="569"/>
    </row>
    <row r="668" ht="12.75" customHeight="1">
      <c r="A668" s="569"/>
      <c r="B668" s="569"/>
      <c r="D668" s="569"/>
      <c r="E668" s="569"/>
      <c r="F668" s="569"/>
      <c r="G668" s="569"/>
      <c r="H668" s="569"/>
      <c r="I668" s="569"/>
      <c r="J668" s="569"/>
      <c r="K668" s="569"/>
      <c r="L668" s="569"/>
      <c r="M668" s="569"/>
      <c r="N668" s="569"/>
      <c r="O668" s="569"/>
      <c r="P668" s="569"/>
      <c r="Q668" s="569"/>
      <c r="R668" s="569"/>
      <c r="S668" s="569"/>
      <c r="T668" s="569"/>
      <c r="U668" s="569"/>
      <c r="V668" s="569"/>
      <c r="W668" s="569"/>
      <c r="X668" s="569"/>
      <c r="Y668" s="569"/>
      <c r="Z668" s="569"/>
      <c r="AA668" s="569"/>
    </row>
    <row r="669" ht="12.75" customHeight="1">
      <c r="A669" s="569"/>
      <c r="B669" s="569"/>
      <c r="D669" s="569"/>
      <c r="E669" s="569"/>
      <c r="F669" s="569"/>
      <c r="G669" s="569"/>
      <c r="H669" s="569"/>
      <c r="I669" s="569"/>
      <c r="J669" s="569"/>
      <c r="K669" s="569"/>
      <c r="L669" s="569"/>
      <c r="M669" s="569"/>
      <c r="N669" s="569"/>
      <c r="O669" s="569"/>
      <c r="P669" s="569"/>
      <c r="Q669" s="569"/>
      <c r="R669" s="569"/>
      <c r="S669" s="569"/>
      <c r="T669" s="569"/>
      <c r="U669" s="569"/>
      <c r="V669" s="569"/>
      <c r="W669" s="569"/>
      <c r="X669" s="569"/>
      <c r="Y669" s="569"/>
      <c r="Z669" s="569"/>
      <c r="AA669" s="569"/>
    </row>
    <row r="670" ht="12.75" customHeight="1">
      <c r="A670" s="569"/>
      <c r="B670" s="569"/>
      <c r="D670" s="569"/>
      <c r="E670" s="569"/>
      <c r="F670" s="569"/>
      <c r="G670" s="569"/>
      <c r="H670" s="569"/>
      <c r="I670" s="569"/>
      <c r="J670" s="569"/>
      <c r="K670" s="569"/>
      <c r="L670" s="569"/>
      <c r="M670" s="569"/>
      <c r="N670" s="569"/>
      <c r="O670" s="569"/>
      <c r="P670" s="569"/>
      <c r="Q670" s="569"/>
      <c r="R670" s="569"/>
      <c r="S670" s="569"/>
      <c r="T670" s="569"/>
      <c r="U670" s="569"/>
      <c r="V670" s="569"/>
      <c r="W670" s="569"/>
      <c r="X670" s="569"/>
      <c r="Y670" s="569"/>
      <c r="Z670" s="569"/>
      <c r="AA670" s="569"/>
    </row>
    <row r="671" ht="12.75" customHeight="1">
      <c r="A671" s="569"/>
      <c r="B671" s="569"/>
      <c r="D671" s="569"/>
      <c r="E671" s="569"/>
      <c r="F671" s="569"/>
      <c r="G671" s="569"/>
      <c r="H671" s="569"/>
      <c r="I671" s="569"/>
      <c r="J671" s="569"/>
      <c r="K671" s="569"/>
      <c r="L671" s="569"/>
      <c r="M671" s="569"/>
      <c r="N671" s="569"/>
      <c r="O671" s="569"/>
      <c r="P671" s="569"/>
      <c r="Q671" s="569"/>
      <c r="R671" s="569"/>
      <c r="S671" s="569"/>
      <c r="T671" s="569"/>
      <c r="U671" s="569"/>
      <c r="V671" s="569"/>
      <c r="W671" s="569"/>
      <c r="X671" s="569"/>
      <c r="Y671" s="569"/>
      <c r="Z671" s="569"/>
      <c r="AA671" s="569"/>
    </row>
    <row r="672" ht="12.75" customHeight="1">
      <c r="A672" s="569"/>
      <c r="B672" s="569"/>
      <c r="D672" s="569"/>
      <c r="E672" s="569"/>
      <c r="F672" s="569"/>
      <c r="G672" s="569"/>
      <c r="H672" s="569"/>
      <c r="I672" s="569"/>
      <c r="J672" s="569"/>
      <c r="K672" s="569"/>
      <c r="L672" s="569"/>
      <c r="M672" s="569"/>
      <c r="N672" s="569"/>
      <c r="O672" s="569"/>
      <c r="P672" s="569"/>
      <c r="Q672" s="569"/>
      <c r="R672" s="569"/>
      <c r="S672" s="569"/>
      <c r="T672" s="569"/>
      <c r="U672" s="569"/>
      <c r="V672" s="569"/>
      <c r="W672" s="569"/>
      <c r="X672" s="569"/>
      <c r="Y672" s="569"/>
      <c r="Z672" s="569"/>
      <c r="AA672" s="569"/>
    </row>
    <row r="673" ht="12.75" customHeight="1">
      <c r="A673" s="569"/>
      <c r="B673" s="569"/>
      <c r="D673" s="569"/>
      <c r="E673" s="569"/>
      <c r="F673" s="569"/>
      <c r="G673" s="569"/>
      <c r="H673" s="569"/>
      <c r="I673" s="569"/>
      <c r="J673" s="569"/>
      <c r="K673" s="569"/>
      <c r="L673" s="569"/>
      <c r="M673" s="569"/>
      <c r="N673" s="569"/>
      <c r="O673" s="569"/>
      <c r="P673" s="569"/>
      <c r="Q673" s="569"/>
      <c r="R673" s="569"/>
      <c r="S673" s="569"/>
      <c r="T673" s="569"/>
      <c r="U673" s="569"/>
      <c r="V673" s="569"/>
      <c r="W673" s="569"/>
      <c r="X673" s="569"/>
      <c r="Y673" s="569"/>
      <c r="Z673" s="569"/>
      <c r="AA673" s="569"/>
    </row>
    <row r="674" ht="12.75" customHeight="1">
      <c r="A674" s="569"/>
      <c r="B674" s="569"/>
      <c r="D674" s="569"/>
      <c r="E674" s="569"/>
      <c r="F674" s="569"/>
      <c r="G674" s="569"/>
      <c r="H674" s="569"/>
      <c r="I674" s="569"/>
      <c r="J674" s="569"/>
      <c r="K674" s="569"/>
      <c r="L674" s="569"/>
      <c r="M674" s="569"/>
      <c r="N674" s="569"/>
      <c r="O674" s="569"/>
      <c r="P674" s="569"/>
      <c r="Q674" s="569"/>
      <c r="R674" s="569"/>
      <c r="S674" s="569"/>
      <c r="T674" s="569"/>
      <c r="U674" s="569"/>
      <c r="V674" s="569"/>
      <c r="W674" s="569"/>
      <c r="X674" s="569"/>
      <c r="Y674" s="569"/>
      <c r="Z674" s="569"/>
      <c r="AA674" s="569"/>
    </row>
    <row r="675" ht="12.75" customHeight="1">
      <c r="A675" s="569"/>
      <c r="B675" s="569"/>
      <c r="D675" s="569"/>
      <c r="E675" s="569"/>
      <c r="F675" s="569"/>
      <c r="G675" s="569"/>
      <c r="H675" s="569"/>
      <c r="I675" s="569"/>
      <c r="J675" s="569"/>
      <c r="K675" s="569"/>
      <c r="L675" s="569"/>
      <c r="M675" s="569"/>
      <c r="N675" s="569"/>
      <c r="O675" s="569"/>
      <c r="P675" s="569"/>
      <c r="Q675" s="569"/>
      <c r="R675" s="569"/>
      <c r="S675" s="569"/>
      <c r="T675" s="569"/>
      <c r="U675" s="569"/>
      <c r="V675" s="569"/>
      <c r="W675" s="569"/>
      <c r="X675" s="569"/>
      <c r="Y675" s="569"/>
      <c r="Z675" s="569"/>
      <c r="AA675" s="569"/>
    </row>
    <row r="676" ht="12.75" customHeight="1">
      <c r="A676" s="569"/>
      <c r="B676" s="569"/>
      <c r="D676" s="569"/>
      <c r="E676" s="569"/>
      <c r="F676" s="569"/>
      <c r="G676" s="569"/>
      <c r="H676" s="569"/>
      <c r="I676" s="569"/>
      <c r="J676" s="569"/>
      <c r="K676" s="569"/>
      <c r="L676" s="569"/>
      <c r="M676" s="569"/>
      <c r="N676" s="569"/>
      <c r="O676" s="569"/>
      <c r="P676" s="569"/>
      <c r="Q676" s="569"/>
      <c r="R676" s="569"/>
      <c r="S676" s="569"/>
      <c r="T676" s="569"/>
      <c r="U676" s="569"/>
      <c r="V676" s="569"/>
      <c r="W676" s="569"/>
      <c r="X676" s="569"/>
      <c r="Y676" s="569"/>
      <c r="Z676" s="569"/>
      <c r="AA676" s="569"/>
    </row>
    <row r="677" ht="12.75" customHeight="1">
      <c r="A677" s="569"/>
      <c r="B677" s="569"/>
      <c r="D677" s="569"/>
      <c r="E677" s="569"/>
      <c r="F677" s="569"/>
      <c r="G677" s="569"/>
      <c r="H677" s="569"/>
      <c r="I677" s="569"/>
      <c r="J677" s="569"/>
      <c r="K677" s="569"/>
      <c r="L677" s="569"/>
      <c r="M677" s="569"/>
      <c r="N677" s="569"/>
      <c r="O677" s="569"/>
      <c r="P677" s="569"/>
      <c r="Q677" s="569"/>
      <c r="R677" s="569"/>
      <c r="S677" s="569"/>
      <c r="T677" s="569"/>
      <c r="U677" s="569"/>
      <c r="V677" s="569"/>
      <c r="W677" s="569"/>
      <c r="X677" s="569"/>
      <c r="Y677" s="569"/>
      <c r="Z677" s="569"/>
      <c r="AA677" s="569"/>
    </row>
    <row r="678" ht="12.75" customHeight="1">
      <c r="A678" s="569"/>
      <c r="B678" s="569"/>
      <c r="D678" s="569"/>
      <c r="E678" s="569"/>
      <c r="F678" s="569"/>
      <c r="G678" s="569"/>
      <c r="H678" s="569"/>
      <c r="I678" s="569"/>
      <c r="J678" s="569"/>
      <c r="K678" s="569"/>
      <c r="L678" s="569"/>
      <c r="M678" s="569"/>
      <c r="N678" s="569"/>
      <c r="O678" s="569"/>
      <c r="P678" s="569"/>
      <c r="Q678" s="569"/>
      <c r="R678" s="569"/>
      <c r="S678" s="569"/>
      <c r="T678" s="569"/>
      <c r="U678" s="569"/>
      <c r="V678" s="569"/>
      <c r="W678" s="569"/>
      <c r="X678" s="569"/>
      <c r="Y678" s="569"/>
      <c r="Z678" s="569"/>
      <c r="AA678" s="569"/>
    </row>
    <row r="679" ht="12.75" customHeight="1">
      <c r="A679" s="569"/>
      <c r="B679" s="569"/>
      <c r="D679" s="569"/>
      <c r="E679" s="569"/>
      <c r="F679" s="569"/>
      <c r="G679" s="569"/>
      <c r="H679" s="569"/>
      <c r="I679" s="569"/>
      <c r="J679" s="569"/>
      <c r="K679" s="569"/>
      <c r="L679" s="569"/>
      <c r="M679" s="569"/>
      <c r="N679" s="569"/>
      <c r="O679" s="569"/>
      <c r="P679" s="569"/>
      <c r="Q679" s="569"/>
      <c r="R679" s="569"/>
      <c r="S679" s="569"/>
      <c r="T679" s="569"/>
      <c r="U679" s="569"/>
      <c r="V679" s="569"/>
      <c r="W679" s="569"/>
      <c r="X679" s="569"/>
      <c r="Y679" s="569"/>
      <c r="Z679" s="569"/>
      <c r="AA679" s="569"/>
    </row>
    <row r="680" ht="12.75" customHeight="1">
      <c r="A680" s="569"/>
      <c r="B680" s="569"/>
      <c r="D680" s="569"/>
      <c r="E680" s="569"/>
      <c r="F680" s="569"/>
      <c r="G680" s="569"/>
      <c r="H680" s="569"/>
      <c r="I680" s="569"/>
      <c r="J680" s="569"/>
      <c r="K680" s="569"/>
      <c r="L680" s="569"/>
      <c r="M680" s="569"/>
      <c r="N680" s="569"/>
      <c r="O680" s="569"/>
      <c r="P680" s="569"/>
      <c r="Q680" s="569"/>
      <c r="R680" s="569"/>
      <c r="S680" s="569"/>
      <c r="T680" s="569"/>
      <c r="U680" s="569"/>
      <c r="V680" s="569"/>
      <c r="W680" s="569"/>
      <c r="X680" s="569"/>
      <c r="Y680" s="569"/>
      <c r="Z680" s="569"/>
      <c r="AA680" s="569"/>
    </row>
    <row r="681" ht="12.75" customHeight="1">
      <c r="A681" s="569"/>
      <c r="B681" s="569"/>
      <c r="D681" s="569"/>
      <c r="E681" s="569"/>
      <c r="F681" s="569"/>
      <c r="G681" s="569"/>
      <c r="H681" s="569"/>
      <c r="I681" s="569"/>
      <c r="J681" s="569"/>
      <c r="K681" s="569"/>
      <c r="L681" s="569"/>
      <c r="M681" s="569"/>
      <c r="N681" s="569"/>
      <c r="O681" s="569"/>
      <c r="P681" s="569"/>
      <c r="Q681" s="569"/>
      <c r="R681" s="569"/>
      <c r="S681" s="569"/>
      <c r="T681" s="569"/>
      <c r="U681" s="569"/>
      <c r="V681" s="569"/>
      <c r="W681" s="569"/>
      <c r="X681" s="569"/>
      <c r="Y681" s="569"/>
      <c r="Z681" s="569"/>
      <c r="AA681" s="569"/>
    </row>
    <row r="682" ht="12.75" customHeight="1">
      <c r="A682" s="569"/>
      <c r="B682" s="569"/>
      <c r="D682" s="569"/>
      <c r="E682" s="569"/>
      <c r="F682" s="569"/>
      <c r="G682" s="569"/>
      <c r="H682" s="569"/>
      <c r="I682" s="569"/>
      <c r="J682" s="569"/>
      <c r="K682" s="569"/>
      <c r="L682" s="569"/>
      <c r="M682" s="569"/>
      <c r="N682" s="569"/>
      <c r="O682" s="569"/>
      <c r="P682" s="569"/>
      <c r="Q682" s="569"/>
      <c r="R682" s="569"/>
      <c r="S682" s="569"/>
      <c r="T682" s="569"/>
      <c r="U682" s="569"/>
      <c r="V682" s="569"/>
      <c r="W682" s="569"/>
      <c r="X682" s="569"/>
      <c r="Y682" s="569"/>
      <c r="Z682" s="569"/>
      <c r="AA682" s="569"/>
    </row>
    <row r="683" ht="12.75" customHeight="1">
      <c r="A683" s="569"/>
      <c r="B683" s="569"/>
      <c r="D683" s="569"/>
      <c r="E683" s="569"/>
      <c r="F683" s="569"/>
      <c r="G683" s="569"/>
      <c r="H683" s="569"/>
      <c r="I683" s="569"/>
      <c r="J683" s="569"/>
      <c r="K683" s="569"/>
      <c r="L683" s="569"/>
      <c r="M683" s="569"/>
      <c r="N683" s="569"/>
      <c r="O683" s="569"/>
      <c r="P683" s="569"/>
      <c r="Q683" s="569"/>
      <c r="R683" s="569"/>
      <c r="S683" s="569"/>
      <c r="T683" s="569"/>
      <c r="U683" s="569"/>
      <c r="V683" s="569"/>
      <c r="W683" s="569"/>
      <c r="X683" s="569"/>
      <c r="Y683" s="569"/>
      <c r="Z683" s="569"/>
      <c r="AA683" s="569"/>
    </row>
    <row r="684" ht="12.75" customHeight="1">
      <c r="A684" s="569"/>
      <c r="B684" s="569"/>
      <c r="D684" s="569"/>
      <c r="E684" s="569"/>
      <c r="F684" s="569"/>
      <c r="G684" s="569"/>
      <c r="H684" s="569"/>
      <c r="I684" s="569"/>
      <c r="J684" s="569"/>
      <c r="K684" s="569"/>
      <c r="L684" s="569"/>
      <c r="M684" s="569"/>
      <c r="N684" s="569"/>
      <c r="O684" s="569"/>
      <c r="P684" s="569"/>
      <c r="Q684" s="569"/>
      <c r="R684" s="569"/>
      <c r="S684" s="569"/>
      <c r="T684" s="569"/>
      <c r="U684" s="569"/>
      <c r="V684" s="569"/>
      <c r="W684" s="569"/>
      <c r="X684" s="569"/>
      <c r="Y684" s="569"/>
      <c r="Z684" s="569"/>
      <c r="AA684" s="569"/>
    </row>
    <row r="685" ht="12.75" customHeight="1">
      <c r="A685" s="569"/>
      <c r="B685" s="569"/>
      <c r="D685" s="569"/>
      <c r="E685" s="569"/>
      <c r="F685" s="569"/>
      <c r="G685" s="569"/>
      <c r="H685" s="569"/>
      <c r="I685" s="569"/>
      <c r="J685" s="569"/>
      <c r="K685" s="569"/>
      <c r="L685" s="569"/>
      <c r="M685" s="569"/>
      <c r="N685" s="569"/>
      <c r="O685" s="569"/>
      <c r="P685" s="569"/>
      <c r="Q685" s="569"/>
      <c r="R685" s="569"/>
      <c r="S685" s="569"/>
      <c r="T685" s="569"/>
      <c r="U685" s="569"/>
      <c r="V685" s="569"/>
      <c r="W685" s="569"/>
      <c r="X685" s="569"/>
      <c r="Y685" s="569"/>
      <c r="Z685" s="569"/>
      <c r="AA685" s="569"/>
    </row>
    <row r="686" ht="12.75" customHeight="1">
      <c r="A686" s="569"/>
      <c r="B686" s="569"/>
      <c r="D686" s="569"/>
      <c r="E686" s="569"/>
      <c r="F686" s="569"/>
      <c r="G686" s="569"/>
      <c r="H686" s="569"/>
      <c r="I686" s="569"/>
      <c r="J686" s="569"/>
      <c r="K686" s="569"/>
      <c r="L686" s="569"/>
      <c r="M686" s="569"/>
      <c r="N686" s="569"/>
      <c r="O686" s="569"/>
      <c r="P686" s="569"/>
      <c r="Q686" s="569"/>
      <c r="R686" s="569"/>
      <c r="S686" s="569"/>
      <c r="T686" s="569"/>
      <c r="U686" s="569"/>
      <c r="V686" s="569"/>
      <c r="W686" s="569"/>
      <c r="X686" s="569"/>
      <c r="Y686" s="569"/>
      <c r="Z686" s="569"/>
      <c r="AA686" s="569"/>
    </row>
    <row r="687" ht="12.75" customHeight="1">
      <c r="A687" s="569"/>
      <c r="B687" s="569"/>
      <c r="D687" s="569"/>
      <c r="E687" s="569"/>
      <c r="F687" s="569"/>
      <c r="G687" s="569"/>
      <c r="H687" s="569"/>
      <c r="I687" s="569"/>
      <c r="J687" s="569"/>
      <c r="K687" s="569"/>
      <c r="L687" s="569"/>
      <c r="M687" s="569"/>
      <c r="N687" s="569"/>
      <c r="O687" s="569"/>
      <c r="P687" s="569"/>
      <c r="Q687" s="569"/>
      <c r="R687" s="569"/>
      <c r="S687" s="569"/>
      <c r="T687" s="569"/>
      <c r="U687" s="569"/>
      <c r="V687" s="569"/>
      <c r="W687" s="569"/>
      <c r="X687" s="569"/>
      <c r="Y687" s="569"/>
      <c r="Z687" s="569"/>
      <c r="AA687" s="569"/>
    </row>
    <row r="688" ht="12.75" customHeight="1">
      <c r="A688" s="569"/>
      <c r="B688" s="569"/>
      <c r="D688" s="569"/>
      <c r="E688" s="569"/>
      <c r="F688" s="569"/>
      <c r="G688" s="569"/>
      <c r="H688" s="569"/>
      <c r="I688" s="569"/>
      <c r="J688" s="569"/>
      <c r="K688" s="569"/>
      <c r="L688" s="569"/>
      <c r="M688" s="569"/>
      <c r="N688" s="569"/>
      <c r="O688" s="569"/>
      <c r="P688" s="569"/>
      <c r="Q688" s="569"/>
      <c r="R688" s="569"/>
      <c r="S688" s="569"/>
      <c r="T688" s="569"/>
      <c r="U688" s="569"/>
      <c r="V688" s="569"/>
      <c r="W688" s="569"/>
      <c r="X688" s="569"/>
      <c r="Y688" s="569"/>
      <c r="Z688" s="569"/>
      <c r="AA688" s="569"/>
    </row>
    <row r="689" ht="12.75" customHeight="1">
      <c r="A689" s="569"/>
      <c r="B689" s="569"/>
      <c r="D689" s="569"/>
      <c r="E689" s="569"/>
      <c r="F689" s="569"/>
      <c r="G689" s="569"/>
      <c r="H689" s="569"/>
      <c r="I689" s="569"/>
      <c r="J689" s="569"/>
      <c r="K689" s="569"/>
      <c r="L689" s="569"/>
      <c r="M689" s="569"/>
      <c r="N689" s="569"/>
      <c r="O689" s="569"/>
      <c r="P689" s="569"/>
      <c r="Q689" s="569"/>
      <c r="R689" s="569"/>
      <c r="S689" s="569"/>
      <c r="T689" s="569"/>
      <c r="U689" s="569"/>
      <c r="V689" s="569"/>
      <c r="W689" s="569"/>
      <c r="X689" s="569"/>
      <c r="Y689" s="569"/>
      <c r="Z689" s="569"/>
      <c r="AA689" s="569"/>
    </row>
    <row r="690" ht="12.75" customHeight="1">
      <c r="A690" s="569"/>
      <c r="B690" s="569"/>
      <c r="D690" s="569"/>
      <c r="E690" s="569"/>
      <c r="F690" s="569"/>
      <c r="G690" s="569"/>
      <c r="H690" s="569"/>
      <c r="I690" s="569"/>
      <c r="J690" s="569"/>
      <c r="K690" s="569"/>
      <c r="L690" s="569"/>
      <c r="M690" s="569"/>
      <c r="N690" s="569"/>
      <c r="O690" s="569"/>
      <c r="P690" s="569"/>
      <c r="Q690" s="569"/>
      <c r="R690" s="569"/>
      <c r="S690" s="569"/>
      <c r="T690" s="569"/>
      <c r="U690" s="569"/>
      <c r="V690" s="569"/>
      <c r="W690" s="569"/>
      <c r="X690" s="569"/>
      <c r="Y690" s="569"/>
      <c r="Z690" s="569"/>
      <c r="AA690" s="569"/>
    </row>
    <row r="691" ht="12.75" customHeight="1">
      <c r="A691" s="569"/>
      <c r="B691" s="569"/>
      <c r="D691" s="569"/>
      <c r="E691" s="569"/>
      <c r="F691" s="569"/>
      <c r="G691" s="569"/>
      <c r="H691" s="569"/>
      <c r="I691" s="569"/>
      <c r="J691" s="569"/>
      <c r="K691" s="569"/>
      <c r="L691" s="569"/>
      <c r="M691" s="569"/>
      <c r="N691" s="569"/>
      <c r="O691" s="569"/>
      <c r="P691" s="569"/>
      <c r="Q691" s="569"/>
      <c r="R691" s="569"/>
      <c r="S691" s="569"/>
      <c r="T691" s="569"/>
      <c r="U691" s="569"/>
      <c r="V691" s="569"/>
      <c r="W691" s="569"/>
      <c r="X691" s="569"/>
      <c r="Y691" s="569"/>
      <c r="Z691" s="569"/>
      <c r="AA691" s="569"/>
    </row>
    <row r="692" ht="12.75" customHeight="1">
      <c r="A692" s="569"/>
      <c r="B692" s="569"/>
      <c r="D692" s="569"/>
      <c r="E692" s="569"/>
      <c r="F692" s="569"/>
      <c r="G692" s="569"/>
      <c r="H692" s="569"/>
      <c r="I692" s="569"/>
      <c r="J692" s="569"/>
      <c r="K692" s="569"/>
      <c r="L692" s="569"/>
      <c r="M692" s="569"/>
      <c r="N692" s="569"/>
      <c r="O692" s="569"/>
      <c r="P692" s="569"/>
      <c r="Q692" s="569"/>
      <c r="R692" s="569"/>
      <c r="S692" s="569"/>
      <c r="T692" s="569"/>
      <c r="U692" s="569"/>
      <c r="V692" s="569"/>
      <c r="W692" s="569"/>
      <c r="X692" s="569"/>
      <c r="Y692" s="569"/>
      <c r="Z692" s="569"/>
      <c r="AA692" s="569"/>
    </row>
    <row r="693" ht="12.75" customHeight="1">
      <c r="A693" s="569"/>
      <c r="B693" s="569"/>
      <c r="D693" s="569"/>
      <c r="E693" s="569"/>
      <c r="F693" s="569"/>
      <c r="G693" s="569"/>
      <c r="H693" s="569"/>
      <c r="I693" s="569"/>
      <c r="J693" s="569"/>
      <c r="K693" s="569"/>
      <c r="L693" s="569"/>
      <c r="M693" s="569"/>
      <c r="N693" s="569"/>
      <c r="O693" s="569"/>
      <c r="P693" s="569"/>
      <c r="Q693" s="569"/>
      <c r="R693" s="569"/>
      <c r="S693" s="569"/>
      <c r="T693" s="569"/>
      <c r="U693" s="569"/>
      <c r="V693" s="569"/>
      <c r="W693" s="569"/>
      <c r="X693" s="569"/>
      <c r="Y693" s="569"/>
      <c r="Z693" s="569"/>
      <c r="AA693" s="569"/>
    </row>
    <row r="694" ht="12.75" customHeight="1">
      <c r="A694" s="569"/>
      <c r="B694" s="569"/>
      <c r="D694" s="569"/>
      <c r="E694" s="569"/>
      <c r="F694" s="569"/>
      <c r="G694" s="569"/>
      <c r="H694" s="569"/>
      <c r="I694" s="569"/>
      <c r="J694" s="569"/>
      <c r="K694" s="569"/>
      <c r="L694" s="569"/>
      <c r="M694" s="569"/>
      <c r="N694" s="569"/>
      <c r="O694" s="569"/>
      <c r="P694" s="569"/>
      <c r="Q694" s="569"/>
      <c r="R694" s="569"/>
      <c r="S694" s="569"/>
      <c r="T694" s="569"/>
      <c r="U694" s="569"/>
      <c r="V694" s="569"/>
      <c r="W694" s="569"/>
      <c r="X694" s="569"/>
      <c r="Y694" s="569"/>
      <c r="Z694" s="569"/>
      <c r="AA694" s="569"/>
    </row>
    <row r="695" ht="12.75" customHeight="1">
      <c r="A695" s="569"/>
      <c r="B695" s="569"/>
      <c r="D695" s="569"/>
      <c r="E695" s="569"/>
      <c r="F695" s="569"/>
      <c r="G695" s="569"/>
      <c r="H695" s="569"/>
      <c r="I695" s="569"/>
      <c r="J695" s="569"/>
      <c r="K695" s="569"/>
      <c r="L695" s="569"/>
      <c r="M695" s="569"/>
      <c r="N695" s="569"/>
      <c r="O695" s="569"/>
      <c r="P695" s="569"/>
      <c r="Q695" s="569"/>
      <c r="R695" s="569"/>
      <c r="S695" s="569"/>
      <c r="T695" s="569"/>
      <c r="U695" s="569"/>
      <c r="V695" s="569"/>
      <c r="W695" s="569"/>
      <c r="X695" s="569"/>
      <c r="Y695" s="569"/>
      <c r="Z695" s="569"/>
      <c r="AA695" s="569"/>
    </row>
    <row r="696" ht="12.75" customHeight="1">
      <c r="A696" s="569"/>
      <c r="B696" s="569"/>
      <c r="D696" s="569"/>
      <c r="E696" s="569"/>
      <c r="F696" s="569"/>
      <c r="G696" s="569"/>
      <c r="H696" s="569"/>
      <c r="I696" s="569"/>
      <c r="J696" s="569"/>
      <c r="K696" s="569"/>
      <c r="L696" s="569"/>
      <c r="M696" s="569"/>
      <c r="N696" s="569"/>
      <c r="O696" s="569"/>
      <c r="P696" s="569"/>
      <c r="Q696" s="569"/>
      <c r="R696" s="569"/>
      <c r="S696" s="569"/>
      <c r="T696" s="569"/>
      <c r="U696" s="569"/>
      <c r="V696" s="569"/>
      <c r="W696" s="569"/>
      <c r="X696" s="569"/>
      <c r="Y696" s="569"/>
      <c r="Z696" s="569"/>
      <c r="AA696" s="569"/>
    </row>
    <row r="697" ht="12.75" customHeight="1">
      <c r="A697" s="569"/>
      <c r="B697" s="569"/>
      <c r="D697" s="569"/>
      <c r="E697" s="569"/>
      <c r="F697" s="569"/>
      <c r="G697" s="569"/>
      <c r="H697" s="569"/>
      <c r="I697" s="569"/>
      <c r="J697" s="569"/>
      <c r="K697" s="569"/>
      <c r="L697" s="569"/>
      <c r="M697" s="569"/>
      <c r="N697" s="569"/>
      <c r="O697" s="569"/>
      <c r="P697" s="569"/>
      <c r="Q697" s="569"/>
      <c r="R697" s="569"/>
      <c r="S697" s="569"/>
      <c r="T697" s="569"/>
      <c r="U697" s="569"/>
      <c r="V697" s="569"/>
      <c r="W697" s="569"/>
      <c r="X697" s="569"/>
      <c r="Y697" s="569"/>
      <c r="Z697" s="569"/>
      <c r="AA697" s="569"/>
    </row>
    <row r="698" ht="12.75" customHeight="1">
      <c r="A698" s="569"/>
      <c r="B698" s="569"/>
      <c r="D698" s="569"/>
      <c r="E698" s="569"/>
      <c r="F698" s="569"/>
      <c r="G698" s="569"/>
      <c r="H698" s="569"/>
      <c r="I698" s="569"/>
      <c r="J698" s="569"/>
      <c r="K698" s="569"/>
      <c r="L698" s="569"/>
      <c r="M698" s="569"/>
      <c r="N698" s="569"/>
      <c r="O698" s="569"/>
      <c r="P698" s="569"/>
      <c r="Q698" s="569"/>
      <c r="R698" s="569"/>
      <c r="S698" s="569"/>
      <c r="T698" s="569"/>
      <c r="U698" s="569"/>
      <c r="V698" s="569"/>
      <c r="W698" s="569"/>
      <c r="X698" s="569"/>
      <c r="Y698" s="569"/>
      <c r="Z698" s="569"/>
      <c r="AA698" s="569"/>
    </row>
    <row r="699" ht="12.75" customHeight="1">
      <c r="A699" s="569"/>
      <c r="B699" s="569"/>
      <c r="D699" s="569"/>
      <c r="E699" s="569"/>
      <c r="F699" s="569"/>
      <c r="G699" s="569"/>
      <c r="H699" s="569"/>
      <c r="I699" s="569"/>
      <c r="J699" s="569"/>
      <c r="K699" s="569"/>
      <c r="L699" s="569"/>
      <c r="M699" s="569"/>
      <c r="N699" s="569"/>
      <c r="O699" s="569"/>
      <c r="P699" s="569"/>
      <c r="Q699" s="569"/>
      <c r="R699" s="569"/>
      <c r="S699" s="569"/>
      <c r="T699" s="569"/>
      <c r="U699" s="569"/>
      <c r="V699" s="569"/>
      <c r="W699" s="569"/>
      <c r="X699" s="569"/>
      <c r="Y699" s="569"/>
      <c r="Z699" s="569"/>
      <c r="AA699" s="569"/>
    </row>
    <row r="700" ht="12.75" customHeight="1">
      <c r="A700" s="569"/>
      <c r="B700" s="569"/>
      <c r="D700" s="569"/>
      <c r="E700" s="569"/>
      <c r="F700" s="569"/>
      <c r="G700" s="569"/>
      <c r="H700" s="569"/>
      <c r="I700" s="569"/>
      <c r="J700" s="569"/>
      <c r="K700" s="569"/>
      <c r="L700" s="569"/>
      <c r="M700" s="569"/>
      <c r="N700" s="569"/>
      <c r="O700" s="569"/>
      <c r="P700" s="569"/>
      <c r="Q700" s="569"/>
      <c r="R700" s="569"/>
      <c r="S700" s="569"/>
      <c r="T700" s="569"/>
      <c r="U700" s="569"/>
      <c r="V700" s="569"/>
      <c r="W700" s="569"/>
      <c r="X700" s="569"/>
      <c r="Y700" s="569"/>
      <c r="Z700" s="569"/>
      <c r="AA700" s="569"/>
    </row>
    <row r="701" ht="12.75" customHeight="1">
      <c r="A701" s="569"/>
      <c r="B701" s="569"/>
      <c r="D701" s="569"/>
      <c r="E701" s="569"/>
      <c r="F701" s="569"/>
      <c r="G701" s="569"/>
      <c r="H701" s="569"/>
      <c r="I701" s="569"/>
      <c r="J701" s="569"/>
      <c r="K701" s="569"/>
      <c r="L701" s="569"/>
      <c r="M701" s="569"/>
      <c r="N701" s="569"/>
      <c r="O701" s="569"/>
      <c r="P701" s="569"/>
      <c r="Q701" s="569"/>
      <c r="R701" s="569"/>
      <c r="S701" s="569"/>
      <c r="T701" s="569"/>
      <c r="U701" s="569"/>
      <c r="V701" s="569"/>
      <c r="W701" s="569"/>
      <c r="X701" s="569"/>
      <c r="Y701" s="569"/>
      <c r="Z701" s="569"/>
      <c r="AA701" s="569"/>
    </row>
    <row r="702" ht="12.75" customHeight="1">
      <c r="A702" s="569"/>
      <c r="B702" s="569"/>
      <c r="D702" s="569"/>
      <c r="E702" s="569"/>
      <c r="F702" s="569"/>
      <c r="G702" s="569"/>
      <c r="H702" s="569"/>
      <c r="I702" s="569"/>
      <c r="J702" s="569"/>
      <c r="K702" s="569"/>
      <c r="L702" s="569"/>
      <c r="M702" s="569"/>
      <c r="N702" s="569"/>
      <c r="O702" s="569"/>
      <c r="P702" s="569"/>
      <c r="Q702" s="569"/>
      <c r="R702" s="569"/>
      <c r="S702" s="569"/>
      <c r="T702" s="569"/>
      <c r="U702" s="569"/>
      <c r="V702" s="569"/>
      <c r="W702" s="569"/>
      <c r="X702" s="569"/>
      <c r="Y702" s="569"/>
      <c r="Z702" s="569"/>
      <c r="AA702" s="569"/>
    </row>
    <row r="703" ht="12.75" customHeight="1">
      <c r="A703" s="569"/>
      <c r="B703" s="569"/>
      <c r="D703" s="569"/>
      <c r="E703" s="569"/>
      <c r="F703" s="569"/>
      <c r="G703" s="569"/>
      <c r="H703" s="569"/>
      <c r="I703" s="569"/>
      <c r="J703" s="569"/>
      <c r="K703" s="569"/>
      <c r="L703" s="569"/>
      <c r="M703" s="569"/>
      <c r="N703" s="569"/>
      <c r="O703" s="569"/>
      <c r="P703" s="569"/>
      <c r="Q703" s="569"/>
      <c r="R703" s="569"/>
      <c r="S703" s="569"/>
      <c r="T703" s="569"/>
      <c r="U703" s="569"/>
      <c r="V703" s="569"/>
      <c r="W703" s="569"/>
      <c r="X703" s="569"/>
      <c r="Y703" s="569"/>
      <c r="Z703" s="569"/>
      <c r="AA703" s="569"/>
    </row>
    <row r="704" ht="12.75" customHeight="1">
      <c r="A704" s="569"/>
      <c r="B704" s="569"/>
      <c r="D704" s="569"/>
      <c r="E704" s="569"/>
      <c r="F704" s="569"/>
      <c r="G704" s="569"/>
      <c r="H704" s="569"/>
      <c r="I704" s="569"/>
      <c r="J704" s="569"/>
      <c r="K704" s="569"/>
      <c r="L704" s="569"/>
      <c r="M704" s="569"/>
      <c r="N704" s="569"/>
      <c r="O704" s="569"/>
      <c r="P704" s="569"/>
      <c r="Q704" s="569"/>
      <c r="R704" s="569"/>
      <c r="S704" s="569"/>
      <c r="T704" s="569"/>
      <c r="U704" s="569"/>
      <c r="V704" s="569"/>
      <c r="W704" s="569"/>
      <c r="X704" s="569"/>
      <c r="Y704" s="569"/>
      <c r="Z704" s="569"/>
      <c r="AA704" s="569"/>
    </row>
    <row r="705" ht="12.75" customHeight="1">
      <c r="A705" s="569"/>
      <c r="B705" s="569"/>
      <c r="D705" s="569"/>
      <c r="E705" s="569"/>
      <c r="F705" s="569"/>
      <c r="G705" s="569"/>
      <c r="H705" s="569"/>
      <c r="I705" s="569"/>
      <c r="J705" s="569"/>
      <c r="K705" s="569"/>
      <c r="L705" s="569"/>
      <c r="M705" s="569"/>
      <c r="N705" s="569"/>
      <c r="O705" s="569"/>
      <c r="P705" s="569"/>
      <c r="Q705" s="569"/>
      <c r="R705" s="569"/>
      <c r="S705" s="569"/>
      <c r="T705" s="569"/>
      <c r="U705" s="569"/>
      <c r="V705" s="569"/>
      <c r="W705" s="569"/>
      <c r="X705" s="569"/>
      <c r="Y705" s="569"/>
      <c r="Z705" s="569"/>
      <c r="AA705" s="569"/>
    </row>
    <row r="706" ht="12.75" customHeight="1">
      <c r="A706" s="569"/>
      <c r="B706" s="569"/>
      <c r="D706" s="569"/>
      <c r="E706" s="569"/>
      <c r="F706" s="569"/>
      <c r="G706" s="569"/>
      <c r="H706" s="569"/>
      <c r="I706" s="569"/>
      <c r="J706" s="569"/>
      <c r="K706" s="569"/>
      <c r="L706" s="569"/>
      <c r="M706" s="569"/>
      <c r="N706" s="569"/>
      <c r="O706" s="569"/>
      <c r="P706" s="569"/>
      <c r="Q706" s="569"/>
      <c r="R706" s="569"/>
      <c r="S706" s="569"/>
      <c r="T706" s="569"/>
      <c r="U706" s="569"/>
      <c r="V706" s="569"/>
      <c r="W706" s="569"/>
      <c r="X706" s="569"/>
      <c r="Y706" s="569"/>
      <c r="Z706" s="569"/>
      <c r="AA706" s="569"/>
    </row>
    <row r="707" ht="12.75" customHeight="1">
      <c r="A707" s="569"/>
      <c r="B707" s="569"/>
      <c r="D707" s="569"/>
      <c r="E707" s="569"/>
      <c r="F707" s="569"/>
      <c r="G707" s="569"/>
      <c r="H707" s="569"/>
      <c r="I707" s="569"/>
      <c r="J707" s="569"/>
      <c r="K707" s="569"/>
      <c r="L707" s="569"/>
      <c r="M707" s="569"/>
      <c r="N707" s="569"/>
      <c r="O707" s="569"/>
      <c r="P707" s="569"/>
      <c r="Q707" s="569"/>
      <c r="R707" s="569"/>
      <c r="S707" s="569"/>
      <c r="T707" s="569"/>
      <c r="U707" s="569"/>
      <c r="V707" s="569"/>
      <c r="W707" s="569"/>
      <c r="X707" s="569"/>
      <c r="Y707" s="569"/>
      <c r="Z707" s="569"/>
      <c r="AA707" s="569"/>
    </row>
    <row r="708" ht="12.75" customHeight="1">
      <c r="A708" s="569"/>
      <c r="B708" s="569"/>
      <c r="D708" s="569"/>
      <c r="E708" s="569"/>
      <c r="F708" s="569"/>
      <c r="G708" s="569"/>
      <c r="H708" s="569"/>
      <c r="I708" s="569"/>
      <c r="J708" s="569"/>
      <c r="K708" s="569"/>
      <c r="L708" s="569"/>
      <c r="M708" s="569"/>
      <c r="N708" s="569"/>
      <c r="O708" s="569"/>
      <c r="P708" s="569"/>
      <c r="Q708" s="569"/>
      <c r="R708" s="569"/>
      <c r="S708" s="569"/>
      <c r="T708" s="569"/>
      <c r="U708" s="569"/>
      <c r="V708" s="569"/>
      <c r="W708" s="569"/>
      <c r="X708" s="569"/>
      <c r="Y708" s="569"/>
      <c r="Z708" s="569"/>
      <c r="AA708" s="569"/>
    </row>
    <row r="709" ht="12.75" customHeight="1">
      <c r="A709" s="569"/>
      <c r="B709" s="569"/>
      <c r="D709" s="569"/>
      <c r="E709" s="569"/>
      <c r="F709" s="569"/>
      <c r="G709" s="569"/>
      <c r="H709" s="569"/>
      <c r="I709" s="569"/>
      <c r="J709" s="569"/>
      <c r="K709" s="569"/>
      <c r="L709" s="569"/>
      <c r="M709" s="569"/>
      <c r="N709" s="569"/>
      <c r="O709" s="569"/>
      <c r="P709" s="569"/>
      <c r="Q709" s="569"/>
      <c r="R709" s="569"/>
      <c r="S709" s="569"/>
      <c r="T709" s="569"/>
      <c r="U709" s="569"/>
      <c r="V709" s="569"/>
      <c r="W709" s="569"/>
      <c r="X709" s="569"/>
      <c r="Y709" s="569"/>
      <c r="Z709" s="569"/>
      <c r="AA709" s="569"/>
    </row>
    <row r="710" ht="12.75" customHeight="1">
      <c r="A710" s="569"/>
      <c r="B710" s="569"/>
      <c r="D710" s="569"/>
      <c r="E710" s="569"/>
      <c r="F710" s="569"/>
      <c r="G710" s="569"/>
      <c r="H710" s="569"/>
      <c r="I710" s="569"/>
      <c r="J710" s="569"/>
      <c r="K710" s="569"/>
      <c r="L710" s="569"/>
      <c r="M710" s="569"/>
      <c r="N710" s="569"/>
      <c r="O710" s="569"/>
      <c r="P710" s="569"/>
      <c r="Q710" s="569"/>
      <c r="R710" s="569"/>
      <c r="S710" s="569"/>
      <c r="T710" s="569"/>
      <c r="U710" s="569"/>
      <c r="V710" s="569"/>
      <c r="W710" s="569"/>
      <c r="X710" s="569"/>
      <c r="Y710" s="569"/>
      <c r="Z710" s="569"/>
      <c r="AA710" s="569"/>
    </row>
    <row r="711" ht="12.75" customHeight="1">
      <c r="A711" s="569"/>
      <c r="B711" s="569"/>
      <c r="D711" s="569"/>
      <c r="E711" s="569"/>
      <c r="F711" s="569"/>
      <c r="G711" s="569"/>
      <c r="H711" s="569"/>
      <c r="I711" s="569"/>
      <c r="J711" s="569"/>
      <c r="K711" s="569"/>
      <c r="L711" s="569"/>
      <c r="M711" s="569"/>
      <c r="N711" s="569"/>
      <c r="O711" s="569"/>
      <c r="P711" s="569"/>
      <c r="Q711" s="569"/>
      <c r="R711" s="569"/>
      <c r="S711" s="569"/>
      <c r="T711" s="569"/>
      <c r="U711" s="569"/>
      <c r="V711" s="569"/>
      <c r="W711" s="569"/>
      <c r="X711" s="569"/>
      <c r="Y711" s="569"/>
      <c r="Z711" s="569"/>
      <c r="AA711" s="569"/>
    </row>
    <row r="712" ht="12.75" customHeight="1">
      <c r="A712" s="569"/>
      <c r="B712" s="569"/>
      <c r="D712" s="569"/>
      <c r="E712" s="569"/>
      <c r="F712" s="569"/>
      <c r="G712" s="569"/>
      <c r="H712" s="569"/>
      <c r="I712" s="569"/>
      <c r="J712" s="569"/>
      <c r="K712" s="569"/>
      <c r="L712" s="569"/>
      <c r="M712" s="569"/>
      <c r="N712" s="569"/>
      <c r="O712" s="569"/>
      <c r="P712" s="569"/>
      <c r="Q712" s="569"/>
      <c r="R712" s="569"/>
      <c r="S712" s="569"/>
      <c r="T712" s="569"/>
      <c r="U712" s="569"/>
      <c r="V712" s="569"/>
      <c r="W712" s="569"/>
      <c r="X712" s="569"/>
      <c r="Y712" s="569"/>
      <c r="Z712" s="569"/>
      <c r="AA712" s="569"/>
    </row>
    <row r="713" ht="12.75" customHeight="1">
      <c r="A713" s="569"/>
      <c r="B713" s="569"/>
      <c r="D713" s="569"/>
      <c r="E713" s="569"/>
      <c r="F713" s="569"/>
      <c r="G713" s="569"/>
      <c r="H713" s="569"/>
      <c r="I713" s="569"/>
      <c r="J713" s="569"/>
      <c r="K713" s="569"/>
      <c r="L713" s="569"/>
      <c r="M713" s="569"/>
      <c r="N713" s="569"/>
      <c r="O713" s="569"/>
      <c r="P713" s="569"/>
      <c r="Q713" s="569"/>
      <c r="R713" s="569"/>
      <c r="S713" s="569"/>
      <c r="T713" s="569"/>
      <c r="U713" s="569"/>
      <c r="V713" s="569"/>
      <c r="W713" s="569"/>
      <c r="X713" s="569"/>
      <c r="Y713" s="569"/>
      <c r="Z713" s="569"/>
      <c r="AA713" s="569"/>
    </row>
    <row r="714" ht="12.75" customHeight="1">
      <c r="A714" s="569"/>
      <c r="B714" s="569"/>
      <c r="D714" s="569"/>
      <c r="E714" s="569"/>
      <c r="F714" s="569"/>
      <c r="G714" s="569"/>
      <c r="H714" s="569"/>
      <c r="I714" s="569"/>
      <c r="J714" s="569"/>
      <c r="K714" s="569"/>
      <c r="L714" s="569"/>
      <c r="M714" s="569"/>
      <c r="N714" s="569"/>
      <c r="O714" s="569"/>
      <c r="P714" s="569"/>
      <c r="Q714" s="569"/>
      <c r="R714" s="569"/>
      <c r="S714" s="569"/>
      <c r="T714" s="569"/>
      <c r="U714" s="569"/>
      <c r="V714" s="569"/>
      <c r="W714" s="569"/>
      <c r="X714" s="569"/>
      <c r="Y714" s="569"/>
      <c r="Z714" s="569"/>
      <c r="AA714" s="569"/>
    </row>
    <row r="715" ht="12.75" customHeight="1">
      <c r="A715" s="569"/>
      <c r="B715" s="569"/>
      <c r="D715" s="569"/>
      <c r="E715" s="569"/>
      <c r="F715" s="569"/>
      <c r="G715" s="569"/>
      <c r="H715" s="569"/>
      <c r="I715" s="569"/>
      <c r="J715" s="569"/>
      <c r="K715" s="569"/>
      <c r="L715" s="569"/>
      <c r="M715" s="569"/>
      <c r="N715" s="569"/>
      <c r="O715" s="569"/>
      <c r="P715" s="569"/>
      <c r="Q715" s="569"/>
      <c r="R715" s="569"/>
      <c r="S715" s="569"/>
      <c r="T715" s="569"/>
      <c r="U715" s="569"/>
      <c r="V715" s="569"/>
      <c r="W715" s="569"/>
      <c r="X715" s="569"/>
      <c r="Y715" s="569"/>
      <c r="Z715" s="569"/>
      <c r="AA715" s="569"/>
    </row>
    <row r="716" ht="12.75" customHeight="1">
      <c r="A716" s="569"/>
      <c r="B716" s="569"/>
      <c r="D716" s="569"/>
      <c r="E716" s="569"/>
      <c r="F716" s="569"/>
      <c r="G716" s="569"/>
      <c r="H716" s="569"/>
      <c r="I716" s="569"/>
      <c r="J716" s="569"/>
      <c r="K716" s="569"/>
      <c r="L716" s="569"/>
      <c r="M716" s="569"/>
      <c r="N716" s="569"/>
      <c r="O716" s="569"/>
      <c r="P716" s="569"/>
      <c r="Q716" s="569"/>
      <c r="R716" s="569"/>
      <c r="S716" s="569"/>
      <c r="T716" s="569"/>
      <c r="U716" s="569"/>
      <c r="V716" s="569"/>
      <c r="W716" s="569"/>
      <c r="X716" s="569"/>
      <c r="Y716" s="569"/>
      <c r="Z716" s="569"/>
      <c r="AA716" s="569"/>
    </row>
    <row r="717" ht="12.75" customHeight="1">
      <c r="A717" s="569"/>
      <c r="B717" s="569"/>
      <c r="D717" s="569"/>
      <c r="E717" s="569"/>
      <c r="F717" s="569"/>
      <c r="G717" s="569"/>
      <c r="H717" s="569"/>
      <c r="I717" s="569"/>
      <c r="J717" s="569"/>
      <c r="K717" s="569"/>
      <c r="L717" s="569"/>
      <c r="M717" s="569"/>
      <c r="N717" s="569"/>
      <c r="O717" s="569"/>
      <c r="P717" s="569"/>
      <c r="Q717" s="569"/>
      <c r="R717" s="569"/>
      <c r="S717" s="569"/>
      <c r="T717" s="569"/>
      <c r="U717" s="569"/>
      <c r="V717" s="569"/>
      <c r="W717" s="569"/>
      <c r="X717" s="569"/>
      <c r="Y717" s="569"/>
      <c r="Z717" s="569"/>
      <c r="AA717" s="569"/>
    </row>
    <row r="718" ht="12.75" customHeight="1">
      <c r="A718" s="569"/>
      <c r="B718" s="569"/>
      <c r="D718" s="569"/>
      <c r="E718" s="569"/>
      <c r="F718" s="569"/>
      <c r="G718" s="569"/>
      <c r="H718" s="569"/>
      <c r="I718" s="569"/>
      <c r="J718" s="569"/>
      <c r="K718" s="569"/>
      <c r="L718" s="569"/>
      <c r="M718" s="569"/>
      <c r="N718" s="569"/>
      <c r="O718" s="569"/>
      <c r="P718" s="569"/>
      <c r="Q718" s="569"/>
      <c r="R718" s="569"/>
      <c r="S718" s="569"/>
      <c r="T718" s="569"/>
      <c r="U718" s="569"/>
      <c r="V718" s="569"/>
      <c r="W718" s="569"/>
      <c r="X718" s="569"/>
      <c r="Y718" s="569"/>
      <c r="Z718" s="569"/>
      <c r="AA718" s="569"/>
    </row>
    <row r="719" ht="12.75" customHeight="1">
      <c r="A719" s="569"/>
      <c r="B719" s="569"/>
      <c r="D719" s="569"/>
      <c r="E719" s="569"/>
      <c r="F719" s="569"/>
      <c r="G719" s="569"/>
      <c r="H719" s="569"/>
      <c r="I719" s="569"/>
      <c r="J719" s="569"/>
      <c r="K719" s="569"/>
      <c r="L719" s="569"/>
      <c r="M719" s="569"/>
      <c r="N719" s="569"/>
      <c r="O719" s="569"/>
      <c r="P719" s="569"/>
      <c r="Q719" s="569"/>
      <c r="R719" s="569"/>
      <c r="S719" s="569"/>
      <c r="T719" s="569"/>
      <c r="U719" s="569"/>
      <c r="V719" s="569"/>
      <c r="W719" s="569"/>
      <c r="X719" s="569"/>
      <c r="Y719" s="569"/>
      <c r="Z719" s="569"/>
      <c r="AA719" s="569"/>
    </row>
    <row r="720" ht="12.75" customHeight="1">
      <c r="A720" s="569"/>
      <c r="B720" s="569"/>
      <c r="D720" s="569"/>
      <c r="E720" s="569"/>
      <c r="F720" s="569"/>
      <c r="G720" s="569"/>
      <c r="H720" s="569"/>
      <c r="I720" s="569"/>
      <c r="J720" s="569"/>
      <c r="K720" s="569"/>
      <c r="L720" s="569"/>
      <c r="M720" s="569"/>
      <c r="N720" s="569"/>
      <c r="O720" s="569"/>
      <c r="P720" s="569"/>
      <c r="Q720" s="569"/>
      <c r="R720" s="569"/>
      <c r="S720" s="569"/>
      <c r="T720" s="569"/>
      <c r="U720" s="569"/>
      <c r="V720" s="569"/>
      <c r="W720" s="569"/>
      <c r="X720" s="569"/>
      <c r="Y720" s="569"/>
      <c r="Z720" s="569"/>
      <c r="AA720" s="569"/>
    </row>
    <row r="721" ht="12.75" customHeight="1">
      <c r="A721" s="569"/>
      <c r="B721" s="569"/>
      <c r="D721" s="569"/>
      <c r="E721" s="569"/>
      <c r="F721" s="569"/>
      <c r="G721" s="569"/>
      <c r="H721" s="569"/>
      <c r="I721" s="569"/>
      <c r="J721" s="569"/>
      <c r="K721" s="569"/>
      <c r="L721" s="569"/>
      <c r="M721" s="569"/>
      <c r="N721" s="569"/>
      <c r="O721" s="569"/>
      <c r="P721" s="569"/>
      <c r="Q721" s="569"/>
      <c r="R721" s="569"/>
      <c r="S721" s="569"/>
      <c r="T721" s="569"/>
      <c r="U721" s="569"/>
      <c r="V721" s="569"/>
      <c r="W721" s="569"/>
      <c r="X721" s="569"/>
      <c r="Y721" s="569"/>
      <c r="Z721" s="569"/>
      <c r="AA721" s="569"/>
    </row>
    <row r="722" ht="12.75" customHeight="1">
      <c r="A722" s="569"/>
      <c r="B722" s="569"/>
      <c r="D722" s="569"/>
      <c r="E722" s="569"/>
      <c r="F722" s="569"/>
      <c r="G722" s="569"/>
      <c r="H722" s="569"/>
      <c r="I722" s="569"/>
      <c r="J722" s="569"/>
      <c r="K722" s="569"/>
      <c r="L722" s="569"/>
      <c r="M722" s="569"/>
      <c r="N722" s="569"/>
      <c r="O722" s="569"/>
      <c r="P722" s="569"/>
      <c r="Q722" s="569"/>
      <c r="R722" s="569"/>
      <c r="S722" s="569"/>
      <c r="T722" s="569"/>
      <c r="U722" s="569"/>
      <c r="V722" s="569"/>
      <c r="W722" s="569"/>
      <c r="X722" s="569"/>
      <c r="Y722" s="569"/>
      <c r="Z722" s="569"/>
      <c r="AA722" s="569"/>
    </row>
    <row r="723" ht="12.75" customHeight="1">
      <c r="A723" s="569"/>
      <c r="B723" s="569"/>
      <c r="D723" s="569"/>
      <c r="E723" s="569"/>
      <c r="F723" s="569"/>
      <c r="G723" s="569"/>
      <c r="H723" s="569"/>
      <c r="I723" s="569"/>
      <c r="J723" s="569"/>
      <c r="K723" s="569"/>
      <c r="L723" s="569"/>
      <c r="M723" s="569"/>
      <c r="N723" s="569"/>
      <c r="O723" s="569"/>
      <c r="P723" s="569"/>
      <c r="Q723" s="569"/>
      <c r="R723" s="569"/>
      <c r="S723" s="569"/>
      <c r="T723" s="569"/>
      <c r="U723" s="569"/>
      <c r="V723" s="569"/>
      <c r="W723" s="569"/>
      <c r="X723" s="569"/>
      <c r="Y723" s="569"/>
      <c r="Z723" s="569"/>
      <c r="AA723" s="569"/>
    </row>
    <row r="724" ht="12.75" customHeight="1">
      <c r="A724" s="569"/>
      <c r="B724" s="569"/>
      <c r="D724" s="569"/>
      <c r="E724" s="569"/>
      <c r="F724" s="569"/>
      <c r="G724" s="569"/>
      <c r="H724" s="569"/>
      <c r="I724" s="569"/>
      <c r="J724" s="569"/>
      <c r="K724" s="569"/>
      <c r="L724" s="569"/>
      <c r="M724" s="569"/>
      <c r="N724" s="569"/>
      <c r="O724" s="569"/>
      <c r="P724" s="569"/>
      <c r="Q724" s="569"/>
      <c r="R724" s="569"/>
      <c r="S724" s="569"/>
      <c r="T724" s="569"/>
      <c r="U724" s="569"/>
      <c r="V724" s="569"/>
      <c r="W724" s="569"/>
      <c r="X724" s="569"/>
      <c r="Y724" s="569"/>
      <c r="Z724" s="569"/>
      <c r="AA724" s="569"/>
    </row>
    <row r="725" ht="12.75" customHeight="1">
      <c r="A725" s="569"/>
      <c r="B725" s="569"/>
      <c r="D725" s="569"/>
      <c r="E725" s="569"/>
      <c r="F725" s="569"/>
      <c r="G725" s="569"/>
      <c r="H725" s="569"/>
      <c r="I725" s="569"/>
      <c r="J725" s="569"/>
      <c r="K725" s="569"/>
      <c r="L725" s="569"/>
      <c r="M725" s="569"/>
      <c r="N725" s="569"/>
      <c r="O725" s="569"/>
      <c r="P725" s="569"/>
      <c r="Q725" s="569"/>
      <c r="R725" s="569"/>
      <c r="S725" s="569"/>
      <c r="T725" s="569"/>
      <c r="U725" s="569"/>
      <c r="V725" s="569"/>
      <c r="W725" s="569"/>
      <c r="X725" s="569"/>
      <c r="Y725" s="569"/>
      <c r="Z725" s="569"/>
      <c r="AA725" s="569"/>
    </row>
    <row r="726" ht="12.75" customHeight="1">
      <c r="A726" s="569"/>
      <c r="B726" s="569"/>
      <c r="D726" s="569"/>
      <c r="E726" s="569"/>
      <c r="F726" s="569"/>
      <c r="G726" s="569"/>
      <c r="H726" s="569"/>
      <c r="I726" s="569"/>
      <c r="J726" s="569"/>
      <c r="K726" s="569"/>
      <c r="L726" s="569"/>
      <c r="M726" s="569"/>
      <c r="N726" s="569"/>
      <c r="O726" s="569"/>
      <c r="P726" s="569"/>
      <c r="Q726" s="569"/>
      <c r="R726" s="569"/>
      <c r="S726" s="569"/>
      <c r="T726" s="569"/>
      <c r="U726" s="569"/>
      <c r="V726" s="569"/>
      <c r="W726" s="569"/>
      <c r="X726" s="569"/>
      <c r="Y726" s="569"/>
      <c r="Z726" s="569"/>
      <c r="AA726" s="569"/>
    </row>
    <row r="727" ht="12.75" customHeight="1">
      <c r="A727" s="569"/>
      <c r="B727" s="569"/>
      <c r="D727" s="569"/>
      <c r="E727" s="569"/>
      <c r="F727" s="569"/>
      <c r="G727" s="569"/>
      <c r="H727" s="569"/>
      <c r="I727" s="569"/>
      <c r="J727" s="569"/>
      <c r="K727" s="569"/>
      <c r="L727" s="569"/>
      <c r="M727" s="569"/>
      <c r="N727" s="569"/>
      <c r="O727" s="569"/>
      <c r="P727" s="569"/>
      <c r="Q727" s="569"/>
      <c r="R727" s="569"/>
      <c r="S727" s="569"/>
      <c r="T727" s="569"/>
      <c r="U727" s="569"/>
      <c r="V727" s="569"/>
      <c r="W727" s="569"/>
      <c r="X727" s="569"/>
      <c r="Y727" s="569"/>
      <c r="Z727" s="569"/>
      <c r="AA727" s="569"/>
    </row>
    <row r="728" ht="12.75" customHeight="1">
      <c r="A728" s="569"/>
      <c r="B728" s="569"/>
      <c r="D728" s="569"/>
      <c r="E728" s="569"/>
      <c r="F728" s="569"/>
      <c r="G728" s="569"/>
      <c r="H728" s="569"/>
      <c r="I728" s="569"/>
      <c r="J728" s="569"/>
      <c r="K728" s="569"/>
      <c r="L728" s="569"/>
      <c r="M728" s="569"/>
      <c r="N728" s="569"/>
      <c r="O728" s="569"/>
      <c r="P728" s="569"/>
      <c r="Q728" s="569"/>
      <c r="R728" s="569"/>
      <c r="S728" s="569"/>
      <c r="T728" s="569"/>
      <c r="U728" s="569"/>
      <c r="V728" s="569"/>
      <c r="W728" s="569"/>
      <c r="X728" s="569"/>
      <c r="Y728" s="569"/>
      <c r="Z728" s="569"/>
      <c r="AA728" s="569"/>
    </row>
    <row r="729" ht="12.75" customHeight="1">
      <c r="A729" s="569"/>
      <c r="B729" s="569"/>
      <c r="D729" s="569"/>
      <c r="E729" s="569"/>
      <c r="F729" s="569"/>
      <c r="G729" s="569"/>
      <c r="H729" s="569"/>
      <c r="I729" s="569"/>
      <c r="J729" s="569"/>
      <c r="K729" s="569"/>
      <c r="L729" s="569"/>
      <c r="M729" s="569"/>
      <c r="N729" s="569"/>
      <c r="O729" s="569"/>
      <c r="P729" s="569"/>
      <c r="Q729" s="569"/>
      <c r="R729" s="569"/>
      <c r="S729" s="569"/>
      <c r="T729" s="569"/>
      <c r="U729" s="569"/>
      <c r="V729" s="569"/>
      <c r="W729" s="569"/>
      <c r="X729" s="569"/>
      <c r="Y729" s="569"/>
      <c r="Z729" s="569"/>
      <c r="AA729" s="569"/>
    </row>
    <row r="730" ht="12.75" customHeight="1">
      <c r="A730" s="569"/>
      <c r="B730" s="569"/>
      <c r="D730" s="569"/>
      <c r="E730" s="569"/>
      <c r="F730" s="569"/>
      <c r="G730" s="569"/>
      <c r="H730" s="569"/>
      <c r="I730" s="569"/>
      <c r="J730" s="569"/>
      <c r="K730" s="569"/>
      <c r="L730" s="569"/>
      <c r="M730" s="569"/>
      <c r="N730" s="569"/>
      <c r="O730" s="569"/>
      <c r="P730" s="569"/>
      <c r="Q730" s="569"/>
      <c r="R730" s="569"/>
      <c r="S730" s="569"/>
      <c r="T730" s="569"/>
      <c r="U730" s="569"/>
      <c r="V730" s="569"/>
      <c r="W730" s="569"/>
      <c r="X730" s="569"/>
      <c r="Y730" s="569"/>
      <c r="Z730" s="569"/>
      <c r="AA730" s="569"/>
    </row>
    <row r="731" ht="12.75" customHeight="1">
      <c r="A731" s="569"/>
      <c r="B731" s="569"/>
      <c r="D731" s="569"/>
      <c r="E731" s="569"/>
      <c r="F731" s="569"/>
      <c r="G731" s="569"/>
      <c r="H731" s="569"/>
      <c r="I731" s="569"/>
      <c r="J731" s="569"/>
      <c r="K731" s="569"/>
      <c r="L731" s="569"/>
      <c r="M731" s="569"/>
      <c r="N731" s="569"/>
      <c r="O731" s="569"/>
      <c r="P731" s="569"/>
      <c r="Q731" s="569"/>
      <c r="R731" s="569"/>
      <c r="S731" s="569"/>
      <c r="T731" s="569"/>
      <c r="U731" s="569"/>
      <c r="V731" s="569"/>
      <c r="W731" s="569"/>
      <c r="X731" s="569"/>
      <c r="Y731" s="569"/>
      <c r="Z731" s="569"/>
      <c r="AA731" s="569"/>
    </row>
    <row r="732" ht="12.75" customHeight="1">
      <c r="A732" s="569"/>
      <c r="B732" s="569"/>
      <c r="D732" s="569"/>
      <c r="E732" s="569"/>
      <c r="F732" s="569"/>
      <c r="G732" s="569"/>
      <c r="H732" s="569"/>
      <c r="I732" s="569"/>
      <c r="J732" s="569"/>
      <c r="K732" s="569"/>
      <c r="L732" s="569"/>
      <c r="M732" s="569"/>
      <c r="N732" s="569"/>
      <c r="O732" s="569"/>
      <c r="P732" s="569"/>
      <c r="Q732" s="569"/>
      <c r="R732" s="569"/>
      <c r="S732" s="569"/>
      <c r="T732" s="569"/>
      <c r="U732" s="569"/>
      <c r="V732" s="569"/>
      <c r="W732" s="569"/>
      <c r="X732" s="569"/>
      <c r="Y732" s="569"/>
      <c r="Z732" s="569"/>
      <c r="AA732" s="569"/>
    </row>
    <row r="733" ht="12.75" customHeight="1">
      <c r="A733" s="569"/>
      <c r="B733" s="569"/>
      <c r="D733" s="569"/>
      <c r="E733" s="569"/>
      <c r="F733" s="569"/>
      <c r="G733" s="569"/>
      <c r="H733" s="569"/>
      <c r="I733" s="569"/>
      <c r="J733" s="569"/>
      <c r="K733" s="569"/>
      <c r="L733" s="569"/>
      <c r="M733" s="569"/>
      <c r="N733" s="569"/>
      <c r="O733" s="569"/>
      <c r="P733" s="569"/>
      <c r="Q733" s="569"/>
      <c r="R733" s="569"/>
      <c r="S733" s="569"/>
      <c r="T733" s="569"/>
      <c r="U733" s="569"/>
      <c r="V733" s="569"/>
      <c r="W733" s="569"/>
      <c r="X733" s="569"/>
      <c r="Y733" s="569"/>
      <c r="Z733" s="569"/>
      <c r="AA733" s="569"/>
    </row>
    <row r="734" ht="12.75" customHeight="1">
      <c r="A734" s="569"/>
      <c r="B734" s="569"/>
      <c r="D734" s="569"/>
      <c r="E734" s="569"/>
      <c r="F734" s="569"/>
      <c r="G734" s="569"/>
      <c r="H734" s="569"/>
      <c r="I734" s="569"/>
      <c r="J734" s="569"/>
      <c r="K734" s="569"/>
      <c r="L734" s="569"/>
      <c r="M734" s="569"/>
      <c r="N734" s="569"/>
      <c r="O734" s="569"/>
      <c r="P734" s="569"/>
      <c r="Q734" s="569"/>
      <c r="R734" s="569"/>
      <c r="S734" s="569"/>
      <c r="T734" s="569"/>
      <c r="U734" s="569"/>
      <c r="V734" s="569"/>
      <c r="W734" s="569"/>
      <c r="X734" s="569"/>
      <c r="Y734" s="569"/>
      <c r="Z734" s="569"/>
      <c r="AA734" s="569"/>
    </row>
    <row r="735" ht="12.75" customHeight="1">
      <c r="A735" s="569"/>
      <c r="B735" s="569"/>
      <c r="D735" s="569"/>
      <c r="E735" s="569"/>
      <c r="F735" s="569"/>
      <c r="G735" s="569"/>
      <c r="H735" s="569"/>
      <c r="I735" s="569"/>
      <c r="J735" s="569"/>
      <c r="K735" s="569"/>
      <c r="L735" s="569"/>
      <c r="M735" s="569"/>
      <c r="N735" s="569"/>
      <c r="O735" s="569"/>
      <c r="P735" s="569"/>
      <c r="Q735" s="569"/>
      <c r="R735" s="569"/>
      <c r="S735" s="569"/>
      <c r="T735" s="569"/>
      <c r="U735" s="569"/>
      <c r="V735" s="569"/>
      <c r="W735" s="569"/>
      <c r="X735" s="569"/>
      <c r="Y735" s="569"/>
      <c r="Z735" s="569"/>
      <c r="AA735" s="569"/>
    </row>
    <row r="736" ht="12.75" customHeight="1">
      <c r="A736" s="569"/>
      <c r="B736" s="569"/>
      <c r="D736" s="569"/>
      <c r="E736" s="569"/>
      <c r="F736" s="569"/>
      <c r="G736" s="569"/>
      <c r="H736" s="569"/>
      <c r="I736" s="569"/>
      <c r="J736" s="569"/>
      <c r="K736" s="569"/>
      <c r="L736" s="569"/>
      <c r="M736" s="569"/>
      <c r="N736" s="569"/>
      <c r="O736" s="569"/>
      <c r="P736" s="569"/>
      <c r="Q736" s="569"/>
      <c r="R736" s="569"/>
      <c r="S736" s="569"/>
      <c r="T736" s="569"/>
      <c r="U736" s="569"/>
      <c r="V736" s="569"/>
      <c r="W736" s="569"/>
      <c r="X736" s="569"/>
      <c r="Y736" s="569"/>
      <c r="Z736" s="569"/>
      <c r="AA736" s="569"/>
    </row>
    <row r="737" ht="12.75" customHeight="1">
      <c r="A737" s="569"/>
      <c r="B737" s="569"/>
      <c r="D737" s="569"/>
      <c r="E737" s="569"/>
      <c r="F737" s="569"/>
      <c r="G737" s="569"/>
      <c r="H737" s="569"/>
      <c r="I737" s="569"/>
      <c r="J737" s="569"/>
      <c r="K737" s="569"/>
      <c r="L737" s="569"/>
      <c r="M737" s="569"/>
      <c r="N737" s="569"/>
      <c r="O737" s="569"/>
      <c r="P737" s="569"/>
      <c r="Q737" s="569"/>
      <c r="R737" s="569"/>
      <c r="S737" s="569"/>
      <c r="T737" s="569"/>
      <c r="U737" s="569"/>
      <c r="V737" s="569"/>
      <c r="W737" s="569"/>
      <c r="X737" s="569"/>
      <c r="Y737" s="569"/>
      <c r="Z737" s="569"/>
      <c r="AA737" s="569"/>
    </row>
    <row r="738" ht="12.75" customHeight="1">
      <c r="A738" s="569"/>
      <c r="B738" s="569"/>
      <c r="D738" s="569"/>
      <c r="E738" s="569"/>
      <c r="F738" s="569"/>
      <c r="G738" s="569"/>
      <c r="H738" s="569"/>
      <c r="I738" s="569"/>
      <c r="J738" s="569"/>
      <c r="K738" s="569"/>
      <c r="L738" s="569"/>
      <c r="M738" s="569"/>
      <c r="N738" s="569"/>
      <c r="O738" s="569"/>
      <c r="P738" s="569"/>
      <c r="Q738" s="569"/>
      <c r="R738" s="569"/>
      <c r="S738" s="569"/>
      <c r="T738" s="569"/>
      <c r="U738" s="569"/>
      <c r="V738" s="569"/>
      <c r="W738" s="569"/>
      <c r="X738" s="569"/>
      <c r="Y738" s="569"/>
      <c r="Z738" s="569"/>
      <c r="AA738" s="569"/>
    </row>
    <row r="739" ht="12.75" customHeight="1">
      <c r="A739" s="569"/>
      <c r="B739" s="569"/>
      <c r="D739" s="569"/>
      <c r="E739" s="569"/>
      <c r="F739" s="569"/>
      <c r="G739" s="569"/>
      <c r="H739" s="569"/>
      <c r="I739" s="569"/>
      <c r="J739" s="569"/>
      <c r="K739" s="569"/>
      <c r="L739" s="569"/>
      <c r="M739" s="569"/>
      <c r="N739" s="569"/>
      <c r="O739" s="569"/>
      <c r="P739" s="569"/>
      <c r="Q739" s="569"/>
      <c r="R739" s="569"/>
      <c r="S739" s="569"/>
      <c r="T739" s="569"/>
      <c r="U739" s="569"/>
      <c r="V739" s="569"/>
      <c r="W739" s="569"/>
      <c r="X739" s="569"/>
      <c r="Y739" s="569"/>
      <c r="Z739" s="569"/>
      <c r="AA739" s="569"/>
    </row>
    <row r="740" ht="12.75" customHeight="1">
      <c r="A740" s="569"/>
      <c r="B740" s="569"/>
      <c r="D740" s="569"/>
      <c r="E740" s="569"/>
      <c r="F740" s="569"/>
      <c r="G740" s="569"/>
      <c r="H740" s="569"/>
      <c r="I740" s="569"/>
      <c r="J740" s="569"/>
      <c r="K740" s="569"/>
      <c r="L740" s="569"/>
      <c r="M740" s="569"/>
      <c r="N740" s="569"/>
      <c r="O740" s="569"/>
      <c r="P740" s="569"/>
      <c r="Q740" s="569"/>
      <c r="R740" s="569"/>
      <c r="S740" s="569"/>
      <c r="T740" s="569"/>
      <c r="U740" s="569"/>
      <c r="V740" s="569"/>
      <c r="W740" s="569"/>
      <c r="X740" s="569"/>
      <c r="Y740" s="569"/>
      <c r="Z740" s="569"/>
      <c r="AA740" s="569"/>
    </row>
    <row r="741" ht="12.75" customHeight="1">
      <c r="A741" s="569"/>
      <c r="B741" s="569"/>
      <c r="D741" s="569"/>
      <c r="E741" s="569"/>
      <c r="F741" s="569"/>
      <c r="G741" s="569"/>
      <c r="H741" s="569"/>
      <c r="I741" s="569"/>
      <c r="J741" s="569"/>
      <c r="K741" s="569"/>
      <c r="L741" s="569"/>
      <c r="M741" s="569"/>
      <c r="N741" s="569"/>
      <c r="O741" s="569"/>
      <c r="P741" s="569"/>
      <c r="Q741" s="569"/>
      <c r="R741" s="569"/>
      <c r="S741" s="569"/>
      <c r="T741" s="569"/>
      <c r="U741" s="569"/>
      <c r="V741" s="569"/>
      <c r="W741" s="569"/>
      <c r="X741" s="569"/>
      <c r="Y741" s="569"/>
      <c r="Z741" s="569"/>
      <c r="AA741" s="569"/>
    </row>
    <row r="742" ht="12.75" customHeight="1">
      <c r="A742" s="569"/>
      <c r="B742" s="569"/>
      <c r="D742" s="569"/>
      <c r="E742" s="569"/>
      <c r="F742" s="569"/>
      <c r="G742" s="569"/>
      <c r="H742" s="569"/>
      <c r="I742" s="569"/>
      <c r="J742" s="569"/>
      <c r="K742" s="569"/>
      <c r="L742" s="569"/>
      <c r="M742" s="569"/>
      <c r="N742" s="569"/>
      <c r="O742" s="569"/>
      <c r="P742" s="569"/>
      <c r="Q742" s="569"/>
      <c r="R742" s="569"/>
      <c r="S742" s="569"/>
      <c r="T742" s="569"/>
      <c r="U742" s="569"/>
      <c r="V742" s="569"/>
      <c r="W742" s="569"/>
      <c r="X742" s="569"/>
      <c r="Y742" s="569"/>
      <c r="Z742" s="569"/>
      <c r="AA742" s="569"/>
    </row>
    <row r="743" ht="12.75" customHeight="1">
      <c r="A743" s="569"/>
      <c r="B743" s="569"/>
      <c r="D743" s="569"/>
      <c r="E743" s="569"/>
      <c r="F743" s="569"/>
      <c r="G743" s="569"/>
      <c r="H743" s="569"/>
      <c r="I743" s="569"/>
      <c r="J743" s="569"/>
      <c r="K743" s="569"/>
      <c r="L743" s="569"/>
      <c r="M743" s="569"/>
      <c r="N743" s="569"/>
      <c r="O743" s="569"/>
      <c r="P743" s="569"/>
      <c r="Q743" s="569"/>
      <c r="R743" s="569"/>
      <c r="S743" s="569"/>
      <c r="T743" s="569"/>
      <c r="U743" s="569"/>
      <c r="V743" s="569"/>
      <c r="W743" s="569"/>
      <c r="X743" s="569"/>
      <c r="Y743" s="569"/>
      <c r="Z743" s="569"/>
      <c r="AA743" s="569"/>
    </row>
    <row r="744" ht="12.75" customHeight="1">
      <c r="A744" s="569"/>
      <c r="B744" s="569"/>
      <c r="D744" s="569"/>
      <c r="E744" s="569"/>
      <c r="F744" s="569"/>
      <c r="G744" s="569"/>
      <c r="H744" s="569"/>
      <c r="I744" s="569"/>
      <c r="J744" s="569"/>
      <c r="K744" s="569"/>
      <c r="L744" s="569"/>
      <c r="M744" s="569"/>
      <c r="N744" s="569"/>
      <c r="O744" s="569"/>
      <c r="P744" s="569"/>
      <c r="Q744" s="569"/>
      <c r="R744" s="569"/>
      <c r="S744" s="569"/>
      <c r="T744" s="569"/>
      <c r="U744" s="569"/>
      <c r="V744" s="569"/>
      <c r="W744" s="569"/>
      <c r="X744" s="569"/>
      <c r="Y744" s="569"/>
      <c r="Z744" s="569"/>
      <c r="AA744" s="569"/>
    </row>
    <row r="745" ht="12.75" customHeight="1">
      <c r="A745" s="569"/>
      <c r="B745" s="569"/>
      <c r="D745" s="569"/>
      <c r="E745" s="569"/>
      <c r="F745" s="569"/>
      <c r="G745" s="569"/>
      <c r="H745" s="569"/>
      <c r="I745" s="569"/>
      <c r="J745" s="569"/>
      <c r="K745" s="569"/>
      <c r="L745" s="569"/>
      <c r="M745" s="569"/>
      <c r="N745" s="569"/>
      <c r="O745" s="569"/>
      <c r="P745" s="569"/>
      <c r="Q745" s="569"/>
      <c r="R745" s="569"/>
      <c r="S745" s="569"/>
      <c r="T745" s="569"/>
      <c r="U745" s="569"/>
      <c r="V745" s="569"/>
      <c r="W745" s="569"/>
      <c r="X745" s="569"/>
      <c r="Y745" s="569"/>
      <c r="Z745" s="569"/>
      <c r="AA745" s="569"/>
    </row>
    <row r="746" ht="12.75" customHeight="1">
      <c r="A746" s="569"/>
      <c r="B746" s="569"/>
      <c r="D746" s="569"/>
      <c r="E746" s="569"/>
      <c r="F746" s="569"/>
      <c r="G746" s="569"/>
      <c r="H746" s="569"/>
      <c r="I746" s="569"/>
      <c r="J746" s="569"/>
      <c r="K746" s="569"/>
      <c r="L746" s="569"/>
      <c r="M746" s="569"/>
      <c r="N746" s="569"/>
      <c r="O746" s="569"/>
      <c r="P746" s="569"/>
      <c r="Q746" s="569"/>
      <c r="R746" s="569"/>
      <c r="S746" s="569"/>
      <c r="T746" s="569"/>
      <c r="U746" s="569"/>
      <c r="V746" s="569"/>
      <c r="W746" s="569"/>
      <c r="X746" s="569"/>
      <c r="Y746" s="569"/>
      <c r="Z746" s="569"/>
      <c r="AA746" s="569"/>
    </row>
    <row r="747" ht="12.75" customHeight="1">
      <c r="A747" s="569"/>
      <c r="B747" s="569"/>
      <c r="D747" s="569"/>
      <c r="E747" s="569"/>
      <c r="F747" s="569"/>
      <c r="G747" s="569"/>
      <c r="H747" s="569"/>
      <c r="I747" s="569"/>
      <c r="J747" s="569"/>
      <c r="K747" s="569"/>
      <c r="L747" s="569"/>
      <c r="M747" s="569"/>
      <c r="N747" s="569"/>
      <c r="O747" s="569"/>
      <c r="P747" s="569"/>
      <c r="Q747" s="569"/>
      <c r="R747" s="569"/>
      <c r="S747" s="569"/>
      <c r="T747" s="569"/>
      <c r="U747" s="569"/>
      <c r="V747" s="569"/>
      <c r="W747" s="569"/>
      <c r="X747" s="569"/>
      <c r="Y747" s="569"/>
      <c r="Z747" s="569"/>
      <c r="AA747" s="569"/>
    </row>
    <row r="748" ht="12.75" customHeight="1">
      <c r="A748" s="569"/>
      <c r="B748" s="569"/>
      <c r="D748" s="569"/>
      <c r="E748" s="569"/>
      <c r="F748" s="569"/>
      <c r="G748" s="569"/>
      <c r="H748" s="569"/>
      <c r="I748" s="569"/>
      <c r="J748" s="569"/>
      <c r="K748" s="569"/>
      <c r="L748" s="569"/>
      <c r="M748" s="569"/>
      <c r="N748" s="569"/>
      <c r="O748" s="569"/>
      <c r="P748" s="569"/>
      <c r="Q748" s="569"/>
      <c r="R748" s="569"/>
      <c r="S748" s="569"/>
      <c r="T748" s="569"/>
      <c r="U748" s="569"/>
      <c r="V748" s="569"/>
      <c r="W748" s="569"/>
      <c r="X748" s="569"/>
      <c r="Y748" s="569"/>
      <c r="Z748" s="569"/>
      <c r="AA748" s="569"/>
    </row>
    <row r="749" ht="12.75" customHeight="1">
      <c r="A749" s="569"/>
      <c r="B749" s="569"/>
      <c r="D749" s="569"/>
      <c r="E749" s="569"/>
      <c r="F749" s="569"/>
      <c r="G749" s="569"/>
      <c r="H749" s="569"/>
      <c r="I749" s="569"/>
      <c r="J749" s="569"/>
      <c r="K749" s="569"/>
      <c r="L749" s="569"/>
      <c r="M749" s="569"/>
      <c r="N749" s="569"/>
      <c r="O749" s="569"/>
      <c r="P749" s="569"/>
      <c r="Q749" s="569"/>
      <c r="R749" s="569"/>
      <c r="S749" s="569"/>
      <c r="T749" s="569"/>
      <c r="U749" s="569"/>
      <c r="V749" s="569"/>
      <c r="W749" s="569"/>
      <c r="X749" s="569"/>
      <c r="Y749" s="569"/>
      <c r="Z749" s="569"/>
      <c r="AA749" s="569"/>
    </row>
    <row r="750" ht="12.75" customHeight="1">
      <c r="A750" s="569"/>
      <c r="B750" s="569"/>
      <c r="D750" s="569"/>
      <c r="E750" s="569"/>
      <c r="F750" s="569"/>
      <c r="G750" s="569"/>
      <c r="H750" s="569"/>
      <c r="I750" s="569"/>
      <c r="J750" s="569"/>
      <c r="K750" s="569"/>
      <c r="L750" s="569"/>
      <c r="M750" s="569"/>
      <c r="N750" s="569"/>
      <c r="O750" s="569"/>
      <c r="P750" s="569"/>
      <c r="Q750" s="569"/>
      <c r="R750" s="569"/>
      <c r="S750" s="569"/>
      <c r="T750" s="569"/>
      <c r="U750" s="569"/>
      <c r="V750" s="569"/>
      <c r="W750" s="569"/>
      <c r="X750" s="569"/>
      <c r="Y750" s="569"/>
      <c r="Z750" s="569"/>
      <c r="AA750" s="569"/>
    </row>
    <row r="751" ht="12.75" customHeight="1">
      <c r="A751" s="569"/>
      <c r="B751" s="569"/>
      <c r="D751" s="569"/>
      <c r="E751" s="569"/>
      <c r="F751" s="569"/>
      <c r="G751" s="569"/>
      <c r="H751" s="569"/>
      <c r="I751" s="569"/>
      <c r="J751" s="569"/>
      <c r="K751" s="569"/>
      <c r="L751" s="569"/>
      <c r="M751" s="569"/>
      <c r="N751" s="569"/>
      <c r="O751" s="569"/>
      <c r="P751" s="569"/>
      <c r="Q751" s="569"/>
      <c r="R751" s="569"/>
      <c r="S751" s="569"/>
      <c r="T751" s="569"/>
      <c r="U751" s="569"/>
      <c r="V751" s="569"/>
      <c r="W751" s="569"/>
      <c r="X751" s="569"/>
      <c r="Y751" s="569"/>
      <c r="Z751" s="569"/>
      <c r="AA751" s="569"/>
    </row>
    <row r="752" ht="12.75" customHeight="1">
      <c r="A752" s="569"/>
      <c r="B752" s="569"/>
      <c r="D752" s="569"/>
      <c r="E752" s="569"/>
      <c r="F752" s="569"/>
      <c r="G752" s="569"/>
      <c r="H752" s="569"/>
      <c r="I752" s="569"/>
      <c r="J752" s="569"/>
      <c r="K752" s="569"/>
      <c r="L752" s="569"/>
      <c r="M752" s="569"/>
      <c r="N752" s="569"/>
      <c r="O752" s="569"/>
      <c r="P752" s="569"/>
      <c r="Q752" s="569"/>
      <c r="R752" s="569"/>
      <c r="S752" s="569"/>
      <c r="T752" s="569"/>
      <c r="U752" s="569"/>
      <c r="V752" s="569"/>
      <c r="W752" s="569"/>
      <c r="X752" s="569"/>
      <c r="Y752" s="569"/>
      <c r="Z752" s="569"/>
      <c r="AA752" s="569"/>
    </row>
    <row r="753" ht="12.75" customHeight="1">
      <c r="A753" s="569"/>
      <c r="B753" s="569"/>
      <c r="D753" s="569"/>
      <c r="E753" s="569"/>
      <c r="F753" s="569"/>
      <c r="G753" s="569"/>
      <c r="H753" s="569"/>
      <c r="I753" s="569"/>
      <c r="J753" s="569"/>
      <c r="K753" s="569"/>
      <c r="L753" s="569"/>
      <c r="M753" s="569"/>
      <c r="N753" s="569"/>
      <c r="O753" s="569"/>
      <c r="P753" s="569"/>
      <c r="Q753" s="569"/>
      <c r="R753" s="569"/>
      <c r="S753" s="569"/>
      <c r="T753" s="569"/>
      <c r="U753" s="569"/>
      <c r="V753" s="569"/>
      <c r="W753" s="569"/>
      <c r="X753" s="569"/>
      <c r="Y753" s="569"/>
      <c r="Z753" s="569"/>
      <c r="AA753" s="569"/>
    </row>
    <row r="754" ht="12.75" customHeight="1">
      <c r="A754" s="569"/>
      <c r="B754" s="569"/>
      <c r="D754" s="569"/>
      <c r="E754" s="569"/>
      <c r="F754" s="569"/>
      <c r="G754" s="569"/>
      <c r="H754" s="569"/>
      <c r="I754" s="569"/>
      <c r="J754" s="569"/>
      <c r="K754" s="569"/>
      <c r="L754" s="569"/>
      <c r="M754" s="569"/>
      <c r="N754" s="569"/>
      <c r="O754" s="569"/>
      <c r="P754" s="569"/>
      <c r="Q754" s="569"/>
      <c r="R754" s="569"/>
      <c r="S754" s="569"/>
      <c r="T754" s="569"/>
      <c r="U754" s="569"/>
      <c r="V754" s="569"/>
      <c r="W754" s="569"/>
      <c r="X754" s="569"/>
      <c r="Y754" s="569"/>
      <c r="Z754" s="569"/>
      <c r="AA754" s="569"/>
    </row>
    <row r="755" ht="12.75" customHeight="1">
      <c r="A755" s="569"/>
      <c r="B755" s="569"/>
      <c r="D755" s="569"/>
      <c r="E755" s="569"/>
      <c r="F755" s="569"/>
      <c r="G755" s="569"/>
      <c r="H755" s="569"/>
      <c r="I755" s="569"/>
      <c r="J755" s="569"/>
      <c r="K755" s="569"/>
      <c r="L755" s="569"/>
      <c r="M755" s="569"/>
      <c r="N755" s="569"/>
      <c r="O755" s="569"/>
      <c r="P755" s="569"/>
      <c r="Q755" s="569"/>
      <c r="R755" s="569"/>
      <c r="S755" s="569"/>
      <c r="T755" s="569"/>
      <c r="U755" s="569"/>
      <c r="V755" s="569"/>
      <c r="W755" s="569"/>
      <c r="X755" s="569"/>
      <c r="Y755" s="569"/>
      <c r="Z755" s="569"/>
      <c r="AA755" s="569"/>
    </row>
    <row r="756" ht="12.75" customHeight="1">
      <c r="A756" s="569"/>
      <c r="B756" s="569"/>
      <c r="D756" s="569"/>
      <c r="E756" s="569"/>
      <c r="F756" s="569"/>
      <c r="G756" s="569"/>
      <c r="H756" s="569"/>
      <c r="I756" s="569"/>
      <c r="J756" s="569"/>
      <c r="K756" s="569"/>
      <c r="L756" s="569"/>
      <c r="M756" s="569"/>
      <c r="N756" s="569"/>
      <c r="O756" s="569"/>
      <c r="P756" s="569"/>
      <c r="Q756" s="569"/>
      <c r="R756" s="569"/>
      <c r="S756" s="569"/>
      <c r="T756" s="569"/>
      <c r="U756" s="569"/>
      <c r="V756" s="569"/>
      <c r="W756" s="569"/>
      <c r="X756" s="569"/>
      <c r="Y756" s="569"/>
      <c r="Z756" s="569"/>
      <c r="AA756" s="569"/>
    </row>
    <row r="757" ht="12.75" customHeight="1">
      <c r="A757" s="569"/>
      <c r="B757" s="569"/>
      <c r="D757" s="569"/>
      <c r="E757" s="569"/>
      <c r="F757" s="569"/>
      <c r="G757" s="569"/>
      <c r="H757" s="569"/>
      <c r="I757" s="569"/>
      <c r="J757" s="569"/>
      <c r="K757" s="569"/>
      <c r="L757" s="569"/>
      <c r="M757" s="569"/>
      <c r="N757" s="569"/>
      <c r="O757" s="569"/>
      <c r="P757" s="569"/>
      <c r="Q757" s="569"/>
      <c r="R757" s="569"/>
      <c r="S757" s="569"/>
      <c r="T757" s="569"/>
      <c r="U757" s="569"/>
      <c r="V757" s="569"/>
      <c r="W757" s="569"/>
      <c r="X757" s="569"/>
      <c r="Y757" s="569"/>
      <c r="Z757" s="569"/>
      <c r="AA757" s="569"/>
    </row>
    <row r="758" ht="12.75" customHeight="1">
      <c r="A758" s="569"/>
      <c r="B758" s="569"/>
      <c r="D758" s="569"/>
      <c r="E758" s="569"/>
      <c r="F758" s="569"/>
      <c r="G758" s="569"/>
      <c r="H758" s="569"/>
      <c r="I758" s="569"/>
      <c r="J758" s="569"/>
      <c r="K758" s="569"/>
      <c r="L758" s="569"/>
      <c r="M758" s="569"/>
      <c r="N758" s="569"/>
      <c r="O758" s="569"/>
      <c r="P758" s="569"/>
      <c r="Q758" s="569"/>
      <c r="R758" s="569"/>
      <c r="S758" s="569"/>
      <c r="T758" s="569"/>
      <c r="U758" s="569"/>
      <c r="V758" s="569"/>
      <c r="W758" s="569"/>
      <c r="X758" s="569"/>
      <c r="Y758" s="569"/>
      <c r="Z758" s="569"/>
      <c r="AA758" s="569"/>
    </row>
    <row r="759" ht="12.75" customHeight="1">
      <c r="A759" s="569"/>
      <c r="B759" s="569"/>
      <c r="D759" s="569"/>
      <c r="E759" s="569"/>
      <c r="F759" s="569"/>
      <c r="G759" s="569"/>
      <c r="H759" s="569"/>
      <c r="I759" s="569"/>
      <c r="J759" s="569"/>
      <c r="K759" s="569"/>
      <c r="L759" s="569"/>
      <c r="M759" s="569"/>
      <c r="N759" s="569"/>
      <c r="O759" s="569"/>
      <c r="P759" s="569"/>
      <c r="Q759" s="569"/>
      <c r="R759" s="569"/>
      <c r="S759" s="569"/>
      <c r="T759" s="569"/>
      <c r="U759" s="569"/>
      <c r="V759" s="569"/>
      <c r="W759" s="569"/>
      <c r="X759" s="569"/>
      <c r="Y759" s="569"/>
      <c r="Z759" s="569"/>
      <c r="AA759" s="569"/>
    </row>
    <row r="760" ht="12.75" customHeight="1">
      <c r="A760" s="569"/>
      <c r="B760" s="569"/>
      <c r="D760" s="569"/>
      <c r="E760" s="569"/>
      <c r="F760" s="569"/>
      <c r="G760" s="569"/>
      <c r="H760" s="569"/>
      <c r="I760" s="569"/>
      <c r="J760" s="569"/>
      <c r="K760" s="569"/>
      <c r="L760" s="569"/>
      <c r="M760" s="569"/>
      <c r="N760" s="569"/>
      <c r="O760" s="569"/>
      <c r="P760" s="569"/>
      <c r="Q760" s="569"/>
      <c r="R760" s="569"/>
      <c r="S760" s="569"/>
      <c r="T760" s="569"/>
      <c r="U760" s="569"/>
      <c r="V760" s="569"/>
      <c r="W760" s="569"/>
      <c r="X760" s="569"/>
      <c r="Y760" s="569"/>
      <c r="Z760" s="569"/>
      <c r="AA760" s="569"/>
    </row>
    <row r="761" ht="12.75" customHeight="1">
      <c r="A761" s="569"/>
      <c r="B761" s="569"/>
      <c r="D761" s="569"/>
      <c r="E761" s="569"/>
      <c r="F761" s="569"/>
      <c r="G761" s="569"/>
      <c r="H761" s="569"/>
      <c r="I761" s="569"/>
      <c r="J761" s="569"/>
      <c r="K761" s="569"/>
      <c r="L761" s="569"/>
      <c r="M761" s="569"/>
      <c r="N761" s="569"/>
      <c r="O761" s="569"/>
      <c r="P761" s="569"/>
      <c r="Q761" s="569"/>
      <c r="R761" s="569"/>
      <c r="S761" s="569"/>
      <c r="T761" s="569"/>
      <c r="U761" s="569"/>
      <c r="V761" s="569"/>
      <c r="W761" s="569"/>
      <c r="X761" s="569"/>
      <c r="Y761" s="569"/>
      <c r="Z761" s="569"/>
      <c r="AA761" s="569"/>
    </row>
    <row r="762" ht="12.75" customHeight="1">
      <c r="A762" s="569"/>
      <c r="B762" s="569"/>
      <c r="D762" s="569"/>
      <c r="E762" s="569"/>
      <c r="F762" s="569"/>
      <c r="G762" s="569"/>
      <c r="H762" s="569"/>
      <c r="I762" s="569"/>
      <c r="J762" s="569"/>
      <c r="K762" s="569"/>
      <c r="L762" s="569"/>
      <c r="M762" s="569"/>
      <c r="N762" s="569"/>
      <c r="O762" s="569"/>
      <c r="P762" s="569"/>
      <c r="Q762" s="569"/>
      <c r="R762" s="569"/>
      <c r="S762" s="569"/>
      <c r="T762" s="569"/>
      <c r="U762" s="569"/>
      <c r="V762" s="569"/>
      <c r="W762" s="569"/>
      <c r="X762" s="569"/>
      <c r="Y762" s="569"/>
      <c r="Z762" s="569"/>
      <c r="AA762" s="569"/>
    </row>
    <row r="763" ht="12.75" customHeight="1">
      <c r="A763" s="569"/>
      <c r="B763" s="569"/>
      <c r="D763" s="569"/>
      <c r="E763" s="569"/>
      <c r="F763" s="569"/>
      <c r="G763" s="569"/>
      <c r="H763" s="569"/>
      <c r="I763" s="569"/>
      <c r="J763" s="569"/>
      <c r="K763" s="569"/>
      <c r="L763" s="569"/>
      <c r="M763" s="569"/>
      <c r="N763" s="569"/>
      <c r="O763" s="569"/>
      <c r="P763" s="569"/>
      <c r="Q763" s="569"/>
      <c r="R763" s="569"/>
      <c r="S763" s="569"/>
      <c r="T763" s="569"/>
      <c r="U763" s="569"/>
      <c r="V763" s="569"/>
      <c r="W763" s="569"/>
      <c r="X763" s="569"/>
      <c r="Y763" s="569"/>
      <c r="Z763" s="569"/>
      <c r="AA763" s="569"/>
    </row>
    <row r="764" ht="12.75" customHeight="1">
      <c r="A764" s="569"/>
      <c r="B764" s="569"/>
      <c r="D764" s="569"/>
      <c r="E764" s="569"/>
      <c r="F764" s="569"/>
      <c r="G764" s="569"/>
      <c r="H764" s="569"/>
      <c r="I764" s="569"/>
      <c r="J764" s="569"/>
      <c r="K764" s="569"/>
      <c r="L764" s="569"/>
      <c r="M764" s="569"/>
      <c r="N764" s="569"/>
      <c r="O764" s="569"/>
      <c r="P764" s="569"/>
      <c r="Q764" s="569"/>
      <c r="R764" s="569"/>
      <c r="S764" s="569"/>
      <c r="T764" s="569"/>
      <c r="U764" s="569"/>
      <c r="V764" s="569"/>
      <c r="W764" s="569"/>
      <c r="X764" s="569"/>
      <c r="Y764" s="569"/>
      <c r="Z764" s="569"/>
      <c r="AA764" s="569"/>
    </row>
    <row r="765" ht="12.75" customHeight="1">
      <c r="A765" s="569"/>
      <c r="B765" s="569"/>
      <c r="D765" s="569"/>
      <c r="E765" s="569"/>
      <c r="F765" s="569"/>
      <c r="G765" s="569"/>
      <c r="H765" s="569"/>
      <c r="I765" s="569"/>
      <c r="J765" s="569"/>
      <c r="K765" s="569"/>
      <c r="L765" s="569"/>
      <c r="M765" s="569"/>
      <c r="N765" s="569"/>
      <c r="O765" s="569"/>
      <c r="P765" s="569"/>
      <c r="Q765" s="569"/>
      <c r="R765" s="569"/>
      <c r="S765" s="569"/>
      <c r="T765" s="569"/>
      <c r="U765" s="569"/>
      <c r="V765" s="569"/>
      <c r="W765" s="569"/>
      <c r="X765" s="569"/>
      <c r="Y765" s="569"/>
      <c r="Z765" s="569"/>
      <c r="AA765" s="569"/>
    </row>
    <row r="766" ht="12.75" customHeight="1">
      <c r="A766" s="569"/>
      <c r="B766" s="569"/>
      <c r="D766" s="569"/>
      <c r="E766" s="569"/>
      <c r="F766" s="569"/>
      <c r="G766" s="569"/>
      <c r="H766" s="569"/>
      <c r="I766" s="569"/>
      <c r="J766" s="569"/>
      <c r="K766" s="569"/>
      <c r="L766" s="569"/>
      <c r="M766" s="569"/>
      <c r="N766" s="569"/>
      <c r="O766" s="569"/>
      <c r="P766" s="569"/>
      <c r="Q766" s="569"/>
      <c r="R766" s="569"/>
      <c r="S766" s="569"/>
      <c r="T766" s="569"/>
      <c r="U766" s="569"/>
      <c r="V766" s="569"/>
      <c r="W766" s="569"/>
      <c r="X766" s="569"/>
      <c r="Y766" s="569"/>
      <c r="Z766" s="569"/>
      <c r="AA766" s="569"/>
    </row>
    <row r="767" ht="12.75" customHeight="1">
      <c r="A767" s="569"/>
      <c r="B767" s="569"/>
      <c r="D767" s="569"/>
      <c r="E767" s="569"/>
      <c r="F767" s="569"/>
      <c r="G767" s="569"/>
      <c r="H767" s="569"/>
      <c r="I767" s="569"/>
      <c r="J767" s="569"/>
      <c r="K767" s="569"/>
      <c r="L767" s="569"/>
      <c r="M767" s="569"/>
      <c r="N767" s="569"/>
      <c r="O767" s="569"/>
      <c r="P767" s="569"/>
      <c r="Q767" s="569"/>
      <c r="R767" s="569"/>
      <c r="S767" s="569"/>
      <c r="T767" s="569"/>
      <c r="U767" s="569"/>
      <c r="V767" s="569"/>
      <c r="W767" s="569"/>
      <c r="X767" s="569"/>
      <c r="Y767" s="569"/>
      <c r="Z767" s="569"/>
      <c r="AA767" s="569"/>
    </row>
    <row r="768" ht="12.75" customHeight="1">
      <c r="A768" s="569"/>
      <c r="B768" s="569"/>
      <c r="D768" s="569"/>
      <c r="E768" s="569"/>
      <c r="F768" s="569"/>
      <c r="G768" s="569"/>
      <c r="H768" s="569"/>
      <c r="I768" s="569"/>
      <c r="J768" s="569"/>
      <c r="K768" s="569"/>
      <c r="L768" s="569"/>
      <c r="M768" s="569"/>
      <c r="N768" s="569"/>
      <c r="O768" s="569"/>
      <c r="P768" s="569"/>
      <c r="Q768" s="569"/>
      <c r="R768" s="569"/>
      <c r="S768" s="569"/>
      <c r="T768" s="569"/>
      <c r="U768" s="569"/>
      <c r="V768" s="569"/>
      <c r="W768" s="569"/>
      <c r="X768" s="569"/>
      <c r="Y768" s="569"/>
      <c r="Z768" s="569"/>
      <c r="AA768" s="569"/>
    </row>
    <row r="769" ht="12.75" customHeight="1">
      <c r="A769" s="569"/>
      <c r="B769" s="569"/>
      <c r="D769" s="569"/>
      <c r="E769" s="569"/>
      <c r="F769" s="569"/>
      <c r="G769" s="569"/>
      <c r="H769" s="569"/>
      <c r="I769" s="569"/>
      <c r="J769" s="569"/>
      <c r="K769" s="569"/>
      <c r="L769" s="569"/>
      <c r="M769" s="569"/>
      <c r="N769" s="569"/>
      <c r="O769" s="569"/>
      <c r="P769" s="569"/>
      <c r="Q769" s="569"/>
      <c r="R769" s="569"/>
      <c r="S769" s="569"/>
      <c r="T769" s="569"/>
      <c r="U769" s="569"/>
      <c r="V769" s="569"/>
      <c r="W769" s="569"/>
      <c r="X769" s="569"/>
      <c r="Y769" s="569"/>
      <c r="Z769" s="569"/>
      <c r="AA769" s="569"/>
    </row>
    <row r="770" ht="12.75" customHeight="1">
      <c r="A770" s="569"/>
      <c r="B770" s="569"/>
      <c r="D770" s="569"/>
      <c r="E770" s="569"/>
      <c r="F770" s="569"/>
      <c r="G770" s="569"/>
      <c r="H770" s="569"/>
      <c r="I770" s="569"/>
      <c r="J770" s="569"/>
      <c r="K770" s="569"/>
      <c r="L770" s="569"/>
      <c r="M770" s="569"/>
      <c r="N770" s="569"/>
      <c r="O770" s="569"/>
      <c r="P770" s="569"/>
      <c r="Q770" s="569"/>
      <c r="R770" s="569"/>
      <c r="S770" s="569"/>
      <c r="T770" s="569"/>
      <c r="U770" s="569"/>
      <c r="V770" s="569"/>
      <c r="W770" s="569"/>
      <c r="X770" s="569"/>
      <c r="Y770" s="569"/>
      <c r="Z770" s="569"/>
      <c r="AA770" s="569"/>
    </row>
    <row r="771" ht="12.75" customHeight="1">
      <c r="A771" s="569"/>
      <c r="B771" s="569"/>
      <c r="D771" s="569"/>
      <c r="E771" s="569"/>
      <c r="F771" s="569"/>
      <c r="G771" s="569"/>
      <c r="H771" s="569"/>
      <c r="I771" s="569"/>
      <c r="J771" s="569"/>
      <c r="K771" s="569"/>
      <c r="L771" s="569"/>
      <c r="M771" s="569"/>
      <c r="N771" s="569"/>
      <c r="O771" s="569"/>
      <c r="P771" s="569"/>
      <c r="Q771" s="569"/>
      <c r="R771" s="569"/>
      <c r="S771" s="569"/>
      <c r="T771" s="569"/>
      <c r="U771" s="569"/>
      <c r="V771" s="569"/>
      <c r="W771" s="569"/>
      <c r="X771" s="569"/>
      <c r="Y771" s="569"/>
      <c r="Z771" s="569"/>
      <c r="AA771" s="569"/>
    </row>
    <row r="772" ht="12.75" customHeight="1">
      <c r="A772" s="569"/>
      <c r="B772" s="569"/>
      <c r="D772" s="569"/>
      <c r="E772" s="569"/>
      <c r="F772" s="569"/>
      <c r="G772" s="569"/>
      <c r="H772" s="569"/>
      <c r="I772" s="569"/>
      <c r="J772" s="569"/>
      <c r="K772" s="569"/>
      <c r="L772" s="569"/>
      <c r="M772" s="569"/>
      <c r="N772" s="569"/>
      <c r="O772" s="569"/>
      <c r="P772" s="569"/>
      <c r="Q772" s="569"/>
      <c r="R772" s="569"/>
      <c r="S772" s="569"/>
      <c r="T772" s="569"/>
      <c r="U772" s="569"/>
      <c r="V772" s="569"/>
      <c r="W772" s="569"/>
      <c r="X772" s="569"/>
      <c r="Y772" s="569"/>
      <c r="Z772" s="569"/>
      <c r="AA772" s="569"/>
    </row>
    <row r="773" ht="12.75" customHeight="1">
      <c r="A773" s="569"/>
      <c r="B773" s="569"/>
      <c r="D773" s="569"/>
      <c r="E773" s="569"/>
      <c r="F773" s="569"/>
      <c r="G773" s="569"/>
      <c r="H773" s="569"/>
      <c r="I773" s="569"/>
      <c r="J773" s="569"/>
      <c r="K773" s="569"/>
      <c r="L773" s="569"/>
      <c r="M773" s="569"/>
      <c r="N773" s="569"/>
      <c r="O773" s="569"/>
      <c r="P773" s="569"/>
      <c r="Q773" s="569"/>
      <c r="R773" s="569"/>
      <c r="S773" s="569"/>
      <c r="T773" s="569"/>
      <c r="U773" s="569"/>
      <c r="V773" s="569"/>
      <c r="W773" s="569"/>
      <c r="X773" s="569"/>
      <c r="Y773" s="569"/>
      <c r="Z773" s="569"/>
      <c r="AA773" s="569"/>
    </row>
    <row r="774" ht="12.75" customHeight="1">
      <c r="A774" s="569"/>
      <c r="B774" s="569"/>
      <c r="D774" s="569"/>
      <c r="E774" s="569"/>
      <c r="F774" s="569"/>
      <c r="G774" s="569"/>
      <c r="H774" s="569"/>
      <c r="I774" s="569"/>
      <c r="J774" s="569"/>
      <c r="K774" s="569"/>
      <c r="L774" s="569"/>
      <c r="M774" s="569"/>
      <c r="N774" s="569"/>
      <c r="O774" s="569"/>
      <c r="P774" s="569"/>
      <c r="Q774" s="569"/>
      <c r="R774" s="569"/>
      <c r="S774" s="569"/>
      <c r="T774" s="569"/>
      <c r="U774" s="569"/>
      <c r="V774" s="569"/>
      <c r="W774" s="569"/>
      <c r="X774" s="569"/>
      <c r="Y774" s="569"/>
      <c r="Z774" s="569"/>
      <c r="AA774" s="569"/>
    </row>
    <row r="775" ht="12.75" customHeight="1">
      <c r="A775" s="569"/>
      <c r="B775" s="569"/>
      <c r="D775" s="569"/>
      <c r="E775" s="569"/>
      <c r="F775" s="569"/>
      <c r="G775" s="569"/>
      <c r="H775" s="569"/>
      <c r="I775" s="569"/>
      <c r="J775" s="569"/>
      <c r="K775" s="569"/>
      <c r="L775" s="569"/>
      <c r="M775" s="569"/>
      <c r="N775" s="569"/>
      <c r="O775" s="569"/>
      <c r="P775" s="569"/>
      <c r="Q775" s="569"/>
      <c r="R775" s="569"/>
      <c r="S775" s="569"/>
      <c r="T775" s="569"/>
      <c r="U775" s="569"/>
      <c r="V775" s="569"/>
      <c r="W775" s="569"/>
      <c r="X775" s="569"/>
      <c r="Y775" s="569"/>
      <c r="Z775" s="569"/>
      <c r="AA775" s="569"/>
    </row>
    <row r="776" ht="12.75" customHeight="1">
      <c r="A776" s="569"/>
      <c r="B776" s="569"/>
      <c r="D776" s="569"/>
      <c r="E776" s="569"/>
      <c r="F776" s="569"/>
      <c r="G776" s="569"/>
      <c r="H776" s="569"/>
      <c r="I776" s="569"/>
      <c r="J776" s="569"/>
      <c r="K776" s="569"/>
      <c r="L776" s="569"/>
      <c r="M776" s="569"/>
      <c r="N776" s="569"/>
      <c r="O776" s="569"/>
      <c r="P776" s="569"/>
      <c r="Q776" s="569"/>
      <c r="R776" s="569"/>
      <c r="S776" s="569"/>
      <c r="T776" s="569"/>
      <c r="U776" s="569"/>
      <c r="V776" s="569"/>
      <c r="W776" s="569"/>
      <c r="X776" s="569"/>
      <c r="Y776" s="569"/>
      <c r="Z776" s="569"/>
      <c r="AA776" s="569"/>
    </row>
    <row r="777" ht="12.75" customHeight="1">
      <c r="A777" s="569"/>
      <c r="B777" s="569"/>
      <c r="D777" s="569"/>
      <c r="E777" s="569"/>
      <c r="F777" s="569"/>
      <c r="G777" s="569"/>
      <c r="H777" s="569"/>
      <c r="I777" s="569"/>
      <c r="J777" s="569"/>
      <c r="K777" s="569"/>
      <c r="L777" s="569"/>
      <c r="M777" s="569"/>
      <c r="N777" s="569"/>
      <c r="O777" s="569"/>
      <c r="P777" s="569"/>
      <c r="Q777" s="569"/>
      <c r="R777" s="569"/>
      <c r="S777" s="569"/>
      <c r="T777" s="569"/>
      <c r="U777" s="569"/>
      <c r="V777" s="569"/>
      <c r="W777" s="569"/>
      <c r="X777" s="569"/>
      <c r="Y777" s="569"/>
      <c r="Z777" s="569"/>
      <c r="AA777" s="569"/>
    </row>
    <row r="778" ht="12.75" customHeight="1">
      <c r="A778" s="569"/>
      <c r="B778" s="569"/>
      <c r="D778" s="569"/>
      <c r="E778" s="569"/>
      <c r="F778" s="569"/>
      <c r="G778" s="569"/>
      <c r="H778" s="569"/>
      <c r="I778" s="569"/>
      <c r="J778" s="569"/>
      <c r="K778" s="569"/>
      <c r="L778" s="569"/>
      <c r="M778" s="569"/>
      <c r="N778" s="569"/>
      <c r="O778" s="569"/>
      <c r="P778" s="569"/>
      <c r="Q778" s="569"/>
      <c r="R778" s="569"/>
      <c r="S778" s="569"/>
      <c r="T778" s="569"/>
      <c r="U778" s="569"/>
      <c r="V778" s="569"/>
      <c r="W778" s="569"/>
      <c r="X778" s="569"/>
      <c r="Y778" s="569"/>
      <c r="Z778" s="569"/>
      <c r="AA778" s="569"/>
    </row>
    <row r="779" ht="12.75" customHeight="1">
      <c r="A779" s="569"/>
      <c r="B779" s="569"/>
      <c r="D779" s="569"/>
      <c r="E779" s="569"/>
      <c r="F779" s="569"/>
      <c r="G779" s="569"/>
      <c r="H779" s="569"/>
      <c r="I779" s="569"/>
      <c r="J779" s="569"/>
      <c r="K779" s="569"/>
      <c r="L779" s="569"/>
      <c r="M779" s="569"/>
      <c r="N779" s="569"/>
      <c r="O779" s="569"/>
      <c r="P779" s="569"/>
      <c r="Q779" s="569"/>
      <c r="R779" s="569"/>
      <c r="S779" s="569"/>
      <c r="T779" s="569"/>
      <c r="U779" s="569"/>
      <c r="V779" s="569"/>
      <c r="W779" s="569"/>
      <c r="X779" s="569"/>
      <c r="Y779" s="569"/>
      <c r="Z779" s="569"/>
      <c r="AA779" s="569"/>
    </row>
    <row r="780" ht="12.75" customHeight="1">
      <c r="A780" s="569"/>
      <c r="B780" s="569"/>
      <c r="D780" s="569"/>
      <c r="E780" s="569"/>
      <c r="F780" s="569"/>
      <c r="G780" s="569"/>
      <c r="H780" s="569"/>
      <c r="I780" s="569"/>
      <c r="J780" s="569"/>
      <c r="K780" s="569"/>
      <c r="L780" s="569"/>
      <c r="M780" s="569"/>
      <c r="N780" s="569"/>
      <c r="O780" s="569"/>
      <c r="P780" s="569"/>
      <c r="Q780" s="569"/>
      <c r="R780" s="569"/>
      <c r="S780" s="569"/>
      <c r="T780" s="569"/>
      <c r="U780" s="569"/>
      <c r="V780" s="569"/>
      <c r="W780" s="569"/>
      <c r="X780" s="569"/>
      <c r="Y780" s="569"/>
      <c r="Z780" s="569"/>
      <c r="AA780" s="569"/>
    </row>
    <row r="781" ht="12.75" customHeight="1">
      <c r="A781" s="569"/>
      <c r="B781" s="569"/>
      <c r="D781" s="569"/>
      <c r="E781" s="569"/>
      <c r="F781" s="569"/>
      <c r="G781" s="569"/>
      <c r="H781" s="569"/>
      <c r="I781" s="569"/>
      <c r="J781" s="569"/>
      <c r="K781" s="569"/>
      <c r="L781" s="569"/>
      <c r="M781" s="569"/>
      <c r="N781" s="569"/>
      <c r="O781" s="569"/>
      <c r="P781" s="569"/>
      <c r="Q781" s="569"/>
      <c r="R781" s="569"/>
      <c r="S781" s="569"/>
      <c r="T781" s="569"/>
      <c r="U781" s="569"/>
      <c r="V781" s="569"/>
      <c r="W781" s="569"/>
      <c r="X781" s="569"/>
      <c r="Y781" s="569"/>
      <c r="Z781" s="569"/>
      <c r="AA781" s="569"/>
    </row>
    <row r="782" ht="12.75" customHeight="1">
      <c r="A782" s="569"/>
      <c r="B782" s="569"/>
      <c r="D782" s="569"/>
      <c r="E782" s="569"/>
      <c r="F782" s="569"/>
      <c r="G782" s="569"/>
      <c r="H782" s="569"/>
      <c r="I782" s="569"/>
      <c r="J782" s="569"/>
      <c r="K782" s="569"/>
      <c r="L782" s="569"/>
      <c r="M782" s="569"/>
      <c r="N782" s="569"/>
      <c r="O782" s="569"/>
      <c r="P782" s="569"/>
      <c r="Q782" s="569"/>
      <c r="R782" s="569"/>
      <c r="S782" s="569"/>
      <c r="T782" s="569"/>
      <c r="U782" s="569"/>
      <c r="V782" s="569"/>
      <c r="W782" s="569"/>
      <c r="X782" s="569"/>
      <c r="Y782" s="569"/>
      <c r="Z782" s="569"/>
      <c r="AA782" s="569"/>
    </row>
    <row r="783" ht="12.75" customHeight="1">
      <c r="A783" s="569"/>
      <c r="B783" s="569"/>
      <c r="D783" s="569"/>
      <c r="E783" s="569"/>
      <c r="F783" s="569"/>
      <c r="G783" s="569"/>
      <c r="H783" s="569"/>
      <c r="I783" s="569"/>
      <c r="J783" s="569"/>
      <c r="K783" s="569"/>
      <c r="L783" s="569"/>
      <c r="M783" s="569"/>
      <c r="N783" s="569"/>
      <c r="O783" s="569"/>
      <c r="P783" s="569"/>
      <c r="Q783" s="569"/>
      <c r="R783" s="569"/>
      <c r="S783" s="569"/>
      <c r="T783" s="569"/>
      <c r="U783" s="569"/>
      <c r="V783" s="569"/>
      <c r="W783" s="569"/>
      <c r="X783" s="569"/>
      <c r="Y783" s="569"/>
      <c r="Z783" s="569"/>
      <c r="AA783" s="569"/>
    </row>
    <row r="784" ht="12.75" customHeight="1">
      <c r="A784" s="569"/>
      <c r="B784" s="569"/>
      <c r="D784" s="569"/>
      <c r="E784" s="569"/>
      <c r="F784" s="569"/>
      <c r="G784" s="569"/>
      <c r="H784" s="569"/>
      <c r="I784" s="569"/>
      <c r="J784" s="569"/>
      <c r="K784" s="569"/>
      <c r="L784" s="569"/>
      <c r="M784" s="569"/>
      <c r="N784" s="569"/>
      <c r="O784" s="569"/>
      <c r="P784" s="569"/>
      <c r="Q784" s="569"/>
      <c r="R784" s="569"/>
      <c r="S784" s="569"/>
      <c r="T784" s="569"/>
      <c r="U784" s="569"/>
      <c r="V784" s="569"/>
      <c r="W784" s="569"/>
      <c r="X784" s="569"/>
      <c r="Y784" s="569"/>
      <c r="Z784" s="569"/>
      <c r="AA784" s="569"/>
    </row>
    <row r="785" ht="12.75" customHeight="1">
      <c r="A785" s="569"/>
      <c r="B785" s="569"/>
      <c r="D785" s="569"/>
      <c r="E785" s="569"/>
      <c r="F785" s="569"/>
      <c r="G785" s="569"/>
      <c r="H785" s="569"/>
      <c r="I785" s="569"/>
      <c r="J785" s="569"/>
      <c r="K785" s="569"/>
      <c r="L785" s="569"/>
      <c r="M785" s="569"/>
      <c r="N785" s="569"/>
      <c r="O785" s="569"/>
      <c r="P785" s="569"/>
      <c r="Q785" s="569"/>
      <c r="R785" s="569"/>
      <c r="S785" s="569"/>
      <c r="T785" s="569"/>
      <c r="U785" s="569"/>
      <c r="V785" s="569"/>
      <c r="W785" s="569"/>
      <c r="X785" s="569"/>
      <c r="Y785" s="569"/>
      <c r="Z785" s="569"/>
      <c r="AA785" s="569"/>
    </row>
    <row r="786" ht="12.75" customHeight="1">
      <c r="A786" s="569"/>
      <c r="B786" s="569"/>
      <c r="D786" s="569"/>
      <c r="E786" s="569"/>
      <c r="F786" s="569"/>
      <c r="G786" s="569"/>
      <c r="H786" s="569"/>
      <c r="I786" s="569"/>
      <c r="J786" s="569"/>
      <c r="K786" s="569"/>
      <c r="L786" s="569"/>
      <c r="M786" s="569"/>
      <c r="N786" s="569"/>
      <c r="O786" s="569"/>
      <c r="P786" s="569"/>
      <c r="Q786" s="569"/>
      <c r="R786" s="569"/>
      <c r="S786" s="569"/>
      <c r="T786" s="569"/>
      <c r="U786" s="569"/>
      <c r="V786" s="569"/>
      <c r="W786" s="569"/>
      <c r="X786" s="569"/>
      <c r="Y786" s="569"/>
      <c r="Z786" s="569"/>
      <c r="AA786" s="569"/>
    </row>
    <row r="787" ht="12.75" customHeight="1">
      <c r="A787" s="569"/>
      <c r="B787" s="569"/>
      <c r="D787" s="569"/>
      <c r="E787" s="569"/>
      <c r="F787" s="569"/>
      <c r="G787" s="569"/>
      <c r="H787" s="569"/>
      <c r="I787" s="569"/>
      <c r="J787" s="569"/>
      <c r="K787" s="569"/>
      <c r="L787" s="569"/>
      <c r="M787" s="569"/>
      <c r="N787" s="569"/>
      <c r="O787" s="569"/>
      <c r="P787" s="569"/>
      <c r="Q787" s="569"/>
      <c r="R787" s="569"/>
      <c r="S787" s="569"/>
      <c r="T787" s="569"/>
      <c r="U787" s="569"/>
      <c r="V787" s="569"/>
      <c r="W787" s="569"/>
      <c r="X787" s="569"/>
      <c r="Y787" s="569"/>
      <c r="Z787" s="569"/>
      <c r="AA787" s="569"/>
    </row>
    <row r="788" ht="12.75" customHeight="1">
      <c r="A788" s="569"/>
      <c r="B788" s="569"/>
      <c r="D788" s="569"/>
      <c r="E788" s="569"/>
      <c r="F788" s="569"/>
      <c r="G788" s="569"/>
      <c r="H788" s="569"/>
      <c r="I788" s="569"/>
      <c r="J788" s="569"/>
      <c r="K788" s="569"/>
      <c r="L788" s="569"/>
      <c r="M788" s="569"/>
      <c r="N788" s="569"/>
      <c r="O788" s="569"/>
      <c r="P788" s="569"/>
      <c r="Q788" s="569"/>
      <c r="R788" s="569"/>
      <c r="S788" s="569"/>
      <c r="T788" s="569"/>
      <c r="U788" s="569"/>
      <c r="V788" s="569"/>
      <c r="W788" s="569"/>
      <c r="X788" s="569"/>
      <c r="Y788" s="569"/>
      <c r="Z788" s="569"/>
      <c r="AA788" s="569"/>
    </row>
    <row r="789" ht="12.75" customHeight="1">
      <c r="A789" s="569"/>
      <c r="B789" s="569"/>
      <c r="D789" s="569"/>
      <c r="E789" s="569"/>
      <c r="F789" s="569"/>
      <c r="G789" s="569"/>
      <c r="H789" s="569"/>
      <c r="I789" s="569"/>
      <c r="J789" s="569"/>
      <c r="K789" s="569"/>
      <c r="L789" s="569"/>
      <c r="M789" s="569"/>
      <c r="N789" s="569"/>
      <c r="O789" s="569"/>
      <c r="P789" s="569"/>
      <c r="Q789" s="569"/>
      <c r="R789" s="569"/>
      <c r="S789" s="569"/>
      <c r="T789" s="569"/>
      <c r="U789" s="569"/>
      <c r="V789" s="569"/>
      <c r="W789" s="569"/>
      <c r="X789" s="569"/>
      <c r="Y789" s="569"/>
      <c r="Z789" s="569"/>
      <c r="AA789" s="569"/>
    </row>
    <row r="790" ht="12.75" customHeight="1">
      <c r="A790" s="569"/>
      <c r="B790" s="569"/>
      <c r="D790" s="569"/>
      <c r="E790" s="569"/>
      <c r="F790" s="569"/>
      <c r="G790" s="569"/>
      <c r="H790" s="569"/>
      <c r="I790" s="569"/>
      <c r="J790" s="569"/>
      <c r="K790" s="569"/>
      <c r="L790" s="569"/>
      <c r="M790" s="569"/>
      <c r="N790" s="569"/>
      <c r="O790" s="569"/>
      <c r="P790" s="569"/>
      <c r="Q790" s="569"/>
      <c r="R790" s="569"/>
      <c r="S790" s="569"/>
      <c r="T790" s="569"/>
      <c r="U790" s="569"/>
      <c r="V790" s="569"/>
      <c r="W790" s="569"/>
      <c r="X790" s="569"/>
      <c r="Y790" s="569"/>
      <c r="Z790" s="569"/>
      <c r="AA790" s="569"/>
    </row>
    <row r="791" ht="12.75" customHeight="1">
      <c r="A791" s="569"/>
      <c r="B791" s="569"/>
      <c r="D791" s="569"/>
      <c r="E791" s="569"/>
      <c r="F791" s="569"/>
      <c r="G791" s="569"/>
      <c r="H791" s="569"/>
      <c r="I791" s="569"/>
      <c r="J791" s="569"/>
      <c r="K791" s="569"/>
      <c r="L791" s="569"/>
      <c r="M791" s="569"/>
      <c r="N791" s="569"/>
      <c r="O791" s="569"/>
      <c r="P791" s="569"/>
      <c r="Q791" s="569"/>
      <c r="R791" s="569"/>
      <c r="S791" s="569"/>
      <c r="T791" s="569"/>
      <c r="U791" s="569"/>
      <c r="V791" s="569"/>
      <c r="W791" s="569"/>
      <c r="X791" s="569"/>
      <c r="Y791" s="569"/>
      <c r="Z791" s="569"/>
      <c r="AA791" s="569"/>
    </row>
    <row r="792" ht="12.75" customHeight="1">
      <c r="A792" s="569"/>
      <c r="B792" s="569"/>
      <c r="D792" s="569"/>
      <c r="E792" s="569"/>
      <c r="F792" s="569"/>
      <c r="G792" s="569"/>
      <c r="H792" s="569"/>
      <c r="I792" s="569"/>
      <c r="J792" s="569"/>
      <c r="K792" s="569"/>
      <c r="L792" s="569"/>
      <c r="M792" s="569"/>
      <c r="N792" s="569"/>
      <c r="O792" s="569"/>
      <c r="P792" s="569"/>
      <c r="Q792" s="569"/>
      <c r="R792" s="569"/>
      <c r="S792" s="569"/>
      <c r="T792" s="569"/>
      <c r="U792" s="569"/>
      <c r="V792" s="569"/>
      <c r="W792" s="569"/>
      <c r="X792" s="569"/>
      <c r="Y792" s="569"/>
      <c r="Z792" s="569"/>
      <c r="AA792" s="569"/>
    </row>
    <row r="793" ht="12.75" customHeight="1">
      <c r="A793" s="569"/>
      <c r="B793" s="569"/>
      <c r="D793" s="569"/>
      <c r="E793" s="569"/>
      <c r="F793" s="569"/>
      <c r="G793" s="569"/>
      <c r="H793" s="569"/>
      <c r="I793" s="569"/>
      <c r="J793" s="569"/>
      <c r="K793" s="569"/>
      <c r="L793" s="569"/>
      <c r="M793" s="569"/>
      <c r="N793" s="569"/>
      <c r="O793" s="569"/>
      <c r="P793" s="569"/>
      <c r="Q793" s="569"/>
      <c r="R793" s="569"/>
      <c r="S793" s="569"/>
      <c r="T793" s="569"/>
      <c r="U793" s="569"/>
      <c r="V793" s="569"/>
      <c r="W793" s="569"/>
      <c r="X793" s="569"/>
      <c r="Y793" s="569"/>
      <c r="Z793" s="569"/>
      <c r="AA793" s="569"/>
    </row>
    <row r="794" ht="12.75" customHeight="1">
      <c r="A794" s="569"/>
      <c r="B794" s="569"/>
      <c r="D794" s="569"/>
      <c r="E794" s="569"/>
      <c r="F794" s="569"/>
      <c r="G794" s="569"/>
      <c r="H794" s="569"/>
      <c r="I794" s="569"/>
      <c r="J794" s="569"/>
      <c r="K794" s="569"/>
      <c r="L794" s="569"/>
      <c r="M794" s="569"/>
      <c r="N794" s="569"/>
      <c r="O794" s="569"/>
      <c r="P794" s="569"/>
      <c r="Q794" s="569"/>
      <c r="R794" s="569"/>
      <c r="S794" s="569"/>
      <c r="T794" s="569"/>
      <c r="U794" s="569"/>
      <c r="V794" s="569"/>
      <c r="W794" s="569"/>
      <c r="X794" s="569"/>
      <c r="Y794" s="569"/>
      <c r="Z794" s="569"/>
      <c r="AA794" s="569"/>
    </row>
    <row r="795" ht="12.75" customHeight="1">
      <c r="A795" s="569"/>
      <c r="B795" s="569"/>
      <c r="D795" s="569"/>
      <c r="E795" s="569"/>
      <c r="F795" s="569"/>
      <c r="G795" s="569"/>
      <c r="H795" s="569"/>
      <c r="I795" s="569"/>
      <c r="J795" s="569"/>
      <c r="K795" s="569"/>
      <c r="L795" s="569"/>
      <c r="M795" s="569"/>
      <c r="N795" s="569"/>
      <c r="O795" s="569"/>
      <c r="P795" s="569"/>
      <c r="Q795" s="569"/>
      <c r="R795" s="569"/>
      <c r="S795" s="569"/>
      <c r="T795" s="569"/>
      <c r="U795" s="569"/>
      <c r="V795" s="569"/>
      <c r="W795" s="569"/>
      <c r="X795" s="569"/>
      <c r="Y795" s="569"/>
      <c r="Z795" s="569"/>
      <c r="AA795" s="569"/>
    </row>
    <row r="796" ht="12.75" customHeight="1">
      <c r="A796" s="569"/>
      <c r="B796" s="569"/>
      <c r="D796" s="569"/>
      <c r="E796" s="569"/>
      <c r="F796" s="569"/>
      <c r="G796" s="569"/>
      <c r="H796" s="569"/>
      <c r="I796" s="569"/>
      <c r="J796" s="569"/>
      <c r="K796" s="569"/>
      <c r="L796" s="569"/>
      <c r="M796" s="569"/>
      <c r="N796" s="569"/>
      <c r="O796" s="569"/>
      <c r="P796" s="569"/>
      <c r="Q796" s="569"/>
      <c r="R796" s="569"/>
      <c r="S796" s="569"/>
      <c r="T796" s="569"/>
      <c r="U796" s="569"/>
      <c r="V796" s="569"/>
      <c r="W796" s="569"/>
      <c r="X796" s="569"/>
      <c r="Y796" s="569"/>
      <c r="Z796" s="569"/>
      <c r="AA796" s="569"/>
    </row>
    <row r="797" ht="12.75" customHeight="1">
      <c r="A797" s="569"/>
      <c r="B797" s="569"/>
      <c r="D797" s="569"/>
      <c r="E797" s="569"/>
      <c r="F797" s="569"/>
      <c r="G797" s="569"/>
      <c r="H797" s="569"/>
      <c r="I797" s="569"/>
      <c r="J797" s="569"/>
      <c r="K797" s="569"/>
      <c r="L797" s="569"/>
      <c r="M797" s="569"/>
      <c r="N797" s="569"/>
      <c r="O797" s="569"/>
      <c r="P797" s="569"/>
      <c r="Q797" s="569"/>
      <c r="R797" s="569"/>
      <c r="S797" s="569"/>
      <c r="T797" s="569"/>
      <c r="U797" s="569"/>
      <c r="V797" s="569"/>
      <c r="W797" s="569"/>
      <c r="X797" s="569"/>
      <c r="Y797" s="569"/>
      <c r="Z797" s="569"/>
      <c r="AA797" s="569"/>
    </row>
    <row r="798" ht="12.75" customHeight="1">
      <c r="A798" s="569"/>
      <c r="B798" s="569"/>
      <c r="D798" s="569"/>
      <c r="E798" s="569"/>
      <c r="F798" s="569"/>
      <c r="G798" s="569"/>
      <c r="H798" s="569"/>
      <c r="I798" s="569"/>
      <c r="J798" s="569"/>
      <c r="K798" s="569"/>
      <c r="L798" s="569"/>
      <c r="M798" s="569"/>
      <c r="N798" s="569"/>
      <c r="O798" s="569"/>
      <c r="P798" s="569"/>
      <c r="Q798" s="569"/>
      <c r="R798" s="569"/>
      <c r="S798" s="569"/>
      <c r="T798" s="569"/>
      <c r="U798" s="569"/>
      <c r="V798" s="569"/>
      <c r="W798" s="569"/>
      <c r="X798" s="569"/>
      <c r="Y798" s="569"/>
      <c r="Z798" s="569"/>
      <c r="AA798" s="569"/>
    </row>
    <row r="799" ht="12.75" customHeight="1">
      <c r="A799" s="569"/>
      <c r="B799" s="569"/>
      <c r="D799" s="569"/>
      <c r="E799" s="569"/>
      <c r="F799" s="569"/>
      <c r="G799" s="569"/>
      <c r="H799" s="569"/>
      <c r="I799" s="569"/>
      <c r="J799" s="569"/>
      <c r="K799" s="569"/>
      <c r="L799" s="569"/>
      <c r="M799" s="569"/>
      <c r="N799" s="569"/>
      <c r="O799" s="569"/>
      <c r="P799" s="569"/>
      <c r="Q799" s="569"/>
      <c r="R799" s="569"/>
      <c r="S799" s="569"/>
      <c r="T799" s="569"/>
      <c r="U799" s="569"/>
      <c r="V799" s="569"/>
      <c r="W799" s="569"/>
      <c r="X799" s="569"/>
      <c r="Y799" s="569"/>
      <c r="Z799" s="569"/>
      <c r="AA799" s="569"/>
    </row>
    <row r="800" ht="12.75" customHeight="1">
      <c r="A800" s="569"/>
      <c r="B800" s="569"/>
      <c r="D800" s="569"/>
      <c r="E800" s="569"/>
      <c r="F800" s="569"/>
      <c r="G800" s="569"/>
      <c r="H800" s="569"/>
      <c r="I800" s="569"/>
      <c r="J800" s="569"/>
      <c r="K800" s="569"/>
      <c r="L800" s="569"/>
      <c r="M800" s="569"/>
      <c r="N800" s="569"/>
      <c r="O800" s="569"/>
      <c r="P800" s="569"/>
      <c r="Q800" s="569"/>
      <c r="R800" s="569"/>
      <c r="S800" s="569"/>
      <c r="T800" s="569"/>
      <c r="U800" s="569"/>
      <c r="V800" s="569"/>
      <c r="W800" s="569"/>
      <c r="X800" s="569"/>
      <c r="Y800" s="569"/>
      <c r="Z800" s="569"/>
      <c r="AA800" s="569"/>
    </row>
    <row r="801" ht="12.75" customHeight="1">
      <c r="A801" s="569"/>
      <c r="B801" s="569"/>
      <c r="D801" s="569"/>
      <c r="E801" s="569"/>
      <c r="F801" s="569"/>
      <c r="G801" s="569"/>
      <c r="H801" s="569"/>
      <c r="I801" s="569"/>
      <c r="J801" s="569"/>
      <c r="K801" s="569"/>
      <c r="L801" s="569"/>
      <c r="M801" s="569"/>
      <c r="N801" s="569"/>
      <c r="O801" s="569"/>
      <c r="P801" s="569"/>
      <c r="Q801" s="569"/>
      <c r="R801" s="569"/>
      <c r="S801" s="569"/>
      <c r="T801" s="569"/>
      <c r="U801" s="569"/>
      <c r="V801" s="569"/>
      <c r="W801" s="569"/>
      <c r="X801" s="569"/>
      <c r="Y801" s="569"/>
      <c r="Z801" s="569"/>
      <c r="AA801" s="569"/>
    </row>
    <row r="802" ht="12.75" customHeight="1">
      <c r="A802" s="569"/>
      <c r="B802" s="569"/>
      <c r="D802" s="569"/>
      <c r="E802" s="569"/>
      <c r="F802" s="569"/>
      <c r="G802" s="569"/>
      <c r="H802" s="569"/>
      <c r="I802" s="569"/>
      <c r="J802" s="569"/>
      <c r="K802" s="569"/>
      <c r="L802" s="569"/>
      <c r="M802" s="569"/>
      <c r="N802" s="569"/>
      <c r="O802" s="569"/>
      <c r="P802" s="569"/>
      <c r="Q802" s="569"/>
      <c r="R802" s="569"/>
      <c r="S802" s="569"/>
      <c r="T802" s="569"/>
      <c r="U802" s="569"/>
      <c r="V802" s="569"/>
      <c r="W802" s="569"/>
      <c r="X802" s="569"/>
      <c r="Y802" s="569"/>
      <c r="Z802" s="569"/>
      <c r="AA802" s="569"/>
    </row>
    <row r="803" ht="12.75" customHeight="1">
      <c r="A803" s="569"/>
      <c r="B803" s="569"/>
      <c r="D803" s="569"/>
      <c r="E803" s="569"/>
      <c r="F803" s="569"/>
      <c r="G803" s="569"/>
      <c r="H803" s="569"/>
      <c r="I803" s="569"/>
      <c r="J803" s="569"/>
      <c r="K803" s="569"/>
      <c r="L803" s="569"/>
      <c r="M803" s="569"/>
      <c r="N803" s="569"/>
      <c r="O803" s="569"/>
      <c r="P803" s="569"/>
      <c r="Q803" s="569"/>
      <c r="R803" s="569"/>
      <c r="S803" s="569"/>
      <c r="T803" s="569"/>
      <c r="U803" s="569"/>
      <c r="V803" s="569"/>
      <c r="W803" s="569"/>
      <c r="X803" s="569"/>
      <c r="Y803" s="569"/>
      <c r="Z803" s="569"/>
      <c r="AA803" s="569"/>
    </row>
    <row r="804" ht="12.75" customHeight="1">
      <c r="A804" s="569"/>
      <c r="B804" s="569"/>
      <c r="D804" s="569"/>
      <c r="E804" s="569"/>
      <c r="F804" s="569"/>
      <c r="G804" s="569"/>
      <c r="H804" s="569"/>
      <c r="I804" s="569"/>
      <c r="J804" s="569"/>
      <c r="K804" s="569"/>
      <c r="L804" s="569"/>
      <c r="M804" s="569"/>
      <c r="N804" s="569"/>
      <c r="O804" s="569"/>
      <c r="P804" s="569"/>
      <c r="Q804" s="569"/>
      <c r="R804" s="569"/>
      <c r="S804" s="569"/>
      <c r="T804" s="569"/>
      <c r="U804" s="569"/>
      <c r="V804" s="569"/>
      <c r="W804" s="569"/>
      <c r="X804" s="569"/>
      <c r="Y804" s="569"/>
      <c r="Z804" s="569"/>
      <c r="AA804" s="569"/>
    </row>
    <row r="805" ht="12.75" customHeight="1">
      <c r="A805" s="569"/>
      <c r="B805" s="569"/>
      <c r="D805" s="569"/>
      <c r="E805" s="569"/>
      <c r="F805" s="569"/>
      <c r="G805" s="569"/>
      <c r="H805" s="569"/>
      <c r="I805" s="569"/>
      <c r="J805" s="569"/>
      <c r="K805" s="569"/>
      <c r="L805" s="569"/>
      <c r="M805" s="569"/>
      <c r="N805" s="569"/>
      <c r="O805" s="569"/>
      <c r="P805" s="569"/>
      <c r="Q805" s="569"/>
      <c r="R805" s="569"/>
      <c r="S805" s="569"/>
      <c r="T805" s="569"/>
      <c r="U805" s="569"/>
      <c r="V805" s="569"/>
      <c r="W805" s="569"/>
      <c r="X805" s="569"/>
      <c r="Y805" s="569"/>
      <c r="Z805" s="569"/>
      <c r="AA805" s="569"/>
    </row>
    <row r="806" ht="12.75" customHeight="1">
      <c r="A806" s="569"/>
      <c r="B806" s="569"/>
      <c r="D806" s="569"/>
      <c r="E806" s="569"/>
      <c r="F806" s="569"/>
      <c r="G806" s="569"/>
      <c r="H806" s="569"/>
      <c r="I806" s="569"/>
      <c r="J806" s="569"/>
      <c r="K806" s="569"/>
      <c r="L806" s="569"/>
      <c r="M806" s="569"/>
      <c r="N806" s="569"/>
      <c r="O806" s="569"/>
      <c r="P806" s="569"/>
      <c r="Q806" s="569"/>
      <c r="R806" s="569"/>
      <c r="S806" s="569"/>
      <c r="T806" s="569"/>
      <c r="U806" s="569"/>
      <c r="V806" s="569"/>
      <c r="W806" s="569"/>
      <c r="X806" s="569"/>
      <c r="Y806" s="569"/>
      <c r="Z806" s="569"/>
      <c r="AA806" s="569"/>
    </row>
    <row r="807" ht="12.75" customHeight="1">
      <c r="A807" s="569"/>
      <c r="B807" s="569"/>
      <c r="D807" s="569"/>
      <c r="E807" s="569"/>
      <c r="F807" s="569"/>
      <c r="G807" s="569"/>
      <c r="H807" s="569"/>
      <c r="I807" s="569"/>
      <c r="J807" s="569"/>
      <c r="K807" s="569"/>
      <c r="L807" s="569"/>
      <c r="M807" s="569"/>
      <c r="N807" s="569"/>
      <c r="O807" s="569"/>
      <c r="P807" s="569"/>
      <c r="Q807" s="569"/>
      <c r="R807" s="569"/>
      <c r="S807" s="569"/>
      <c r="T807" s="569"/>
      <c r="U807" s="569"/>
      <c r="V807" s="569"/>
      <c r="W807" s="569"/>
      <c r="X807" s="569"/>
      <c r="Y807" s="569"/>
      <c r="Z807" s="569"/>
      <c r="AA807" s="569"/>
    </row>
    <row r="808" ht="12.75" customHeight="1">
      <c r="A808" s="569"/>
      <c r="B808" s="569"/>
      <c r="D808" s="569"/>
      <c r="E808" s="569"/>
      <c r="F808" s="569"/>
      <c r="G808" s="569"/>
      <c r="H808" s="569"/>
      <c r="I808" s="569"/>
      <c r="J808" s="569"/>
      <c r="K808" s="569"/>
      <c r="L808" s="569"/>
      <c r="M808" s="569"/>
      <c r="N808" s="569"/>
      <c r="O808" s="569"/>
      <c r="P808" s="569"/>
      <c r="Q808" s="569"/>
      <c r="R808" s="569"/>
      <c r="S808" s="569"/>
      <c r="T808" s="569"/>
      <c r="U808" s="569"/>
      <c r="V808" s="569"/>
      <c r="W808" s="569"/>
      <c r="X808" s="569"/>
      <c r="Y808" s="569"/>
      <c r="Z808" s="569"/>
      <c r="AA808" s="569"/>
    </row>
    <row r="809" ht="12.75" customHeight="1">
      <c r="A809" s="569"/>
      <c r="B809" s="569"/>
      <c r="D809" s="569"/>
      <c r="E809" s="569"/>
      <c r="F809" s="569"/>
      <c r="G809" s="569"/>
      <c r="H809" s="569"/>
      <c r="I809" s="569"/>
      <c r="J809" s="569"/>
      <c r="K809" s="569"/>
      <c r="L809" s="569"/>
      <c r="M809" s="569"/>
      <c r="N809" s="569"/>
      <c r="O809" s="569"/>
      <c r="P809" s="569"/>
      <c r="Q809" s="569"/>
      <c r="R809" s="569"/>
      <c r="S809" s="569"/>
      <c r="T809" s="569"/>
      <c r="U809" s="569"/>
      <c r="V809" s="569"/>
      <c r="W809" s="569"/>
      <c r="X809" s="569"/>
      <c r="Y809" s="569"/>
      <c r="Z809" s="569"/>
      <c r="AA809" s="569"/>
    </row>
    <row r="810" ht="12.75" customHeight="1">
      <c r="A810" s="569"/>
      <c r="B810" s="569"/>
      <c r="D810" s="569"/>
      <c r="E810" s="569"/>
      <c r="F810" s="569"/>
      <c r="G810" s="569"/>
      <c r="H810" s="569"/>
      <c r="I810" s="569"/>
      <c r="J810" s="569"/>
      <c r="K810" s="569"/>
      <c r="L810" s="569"/>
      <c r="M810" s="569"/>
      <c r="N810" s="569"/>
      <c r="O810" s="569"/>
      <c r="P810" s="569"/>
      <c r="Q810" s="569"/>
      <c r="R810" s="569"/>
      <c r="S810" s="569"/>
      <c r="T810" s="569"/>
      <c r="U810" s="569"/>
      <c r="V810" s="569"/>
      <c r="W810" s="569"/>
      <c r="X810" s="569"/>
      <c r="Y810" s="569"/>
      <c r="Z810" s="569"/>
      <c r="AA810" s="569"/>
    </row>
    <row r="811" ht="12.75" customHeight="1">
      <c r="A811" s="569"/>
      <c r="B811" s="569"/>
      <c r="D811" s="569"/>
      <c r="E811" s="569"/>
      <c r="F811" s="569"/>
      <c r="G811" s="569"/>
      <c r="H811" s="569"/>
      <c r="I811" s="569"/>
      <c r="J811" s="569"/>
      <c r="K811" s="569"/>
      <c r="L811" s="569"/>
      <c r="M811" s="569"/>
      <c r="N811" s="569"/>
      <c r="O811" s="569"/>
      <c r="P811" s="569"/>
      <c r="Q811" s="569"/>
      <c r="R811" s="569"/>
      <c r="S811" s="569"/>
      <c r="T811" s="569"/>
      <c r="U811" s="569"/>
      <c r="V811" s="569"/>
      <c r="W811" s="569"/>
      <c r="X811" s="569"/>
      <c r="Y811" s="569"/>
      <c r="Z811" s="569"/>
      <c r="AA811" s="569"/>
    </row>
    <row r="812" ht="12.75" customHeight="1">
      <c r="A812" s="569"/>
      <c r="B812" s="569"/>
      <c r="D812" s="569"/>
      <c r="E812" s="569"/>
      <c r="F812" s="569"/>
      <c r="G812" s="569"/>
      <c r="H812" s="569"/>
      <c r="I812" s="569"/>
      <c r="J812" s="569"/>
      <c r="K812" s="569"/>
      <c r="L812" s="569"/>
      <c r="M812" s="569"/>
      <c r="N812" s="569"/>
      <c r="O812" s="569"/>
      <c r="P812" s="569"/>
      <c r="Q812" s="569"/>
      <c r="R812" s="569"/>
      <c r="S812" s="569"/>
      <c r="T812" s="569"/>
      <c r="U812" s="569"/>
      <c r="V812" s="569"/>
      <c r="W812" s="569"/>
      <c r="X812" s="569"/>
      <c r="Y812" s="569"/>
      <c r="Z812" s="569"/>
      <c r="AA812" s="569"/>
    </row>
    <row r="813" ht="12.75" customHeight="1">
      <c r="A813" s="569"/>
      <c r="B813" s="569"/>
      <c r="D813" s="569"/>
      <c r="E813" s="569"/>
      <c r="F813" s="569"/>
      <c r="G813" s="569"/>
      <c r="H813" s="569"/>
      <c r="I813" s="569"/>
      <c r="J813" s="569"/>
      <c r="K813" s="569"/>
      <c r="L813" s="569"/>
      <c r="M813" s="569"/>
      <c r="N813" s="569"/>
      <c r="O813" s="569"/>
      <c r="P813" s="569"/>
      <c r="Q813" s="569"/>
      <c r="R813" s="569"/>
      <c r="S813" s="569"/>
      <c r="T813" s="569"/>
      <c r="U813" s="569"/>
      <c r="V813" s="569"/>
      <c r="W813" s="569"/>
      <c r="X813" s="569"/>
      <c r="Y813" s="569"/>
      <c r="Z813" s="569"/>
      <c r="AA813" s="569"/>
    </row>
    <row r="814" ht="12.75" customHeight="1">
      <c r="A814" s="569"/>
      <c r="B814" s="569"/>
      <c r="D814" s="569"/>
      <c r="E814" s="569"/>
      <c r="F814" s="569"/>
      <c r="G814" s="569"/>
      <c r="H814" s="569"/>
      <c r="I814" s="569"/>
      <c r="J814" s="569"/>
      <c r="K814" s="569"/>
      <c r="L814" s="569"/>
      <c r="M814" s="569"/>
      <c r="N814" s="569"/>
      <c r="O814" s="569"/>
      <c r="P814" s="569"/>
      <c r="Q814" s="569"/>
      <c r="R814" s="569"/>
      <c r="S814" s="569"/>
      <c r="T814" s="569"/>
      <c r="U814" s="569"/>
      <c r="V814" s="569"/>
      <c r="W814" s="569"/>
      <c r="X814" s="569"/>
      <c r="Y814" s="569"/>
      <c r="Z814" s="569"/>
      <c r="AA814" s="569"/>
    </row>
    <row r="815" ht="12.75" customHeight="1">
      <c r="A815" s="569"/>
      <c r="B815" s="569"/>
      <c r="D815" s="569"/>
      <c r="E815" s="569"/>
      <c r="F815" s="569"/>
      <c r="G815" s="569"/>
      <c r="H815" s="569"/>
      <c r="I815" s="569"/>
      <c r="J815" s="569"/>
      <c r="K815" s="569"/>
      <c r="L815" s="569"/>
      <c r="M815" s="569"/>
      <c r="N815" s="569"/>
      <c r="O815" s="569"/>
      <c r="P815" s="569"/>
      <c r="Q815" s="569"/>
      <c r="R815" s="569"/>
      <c r="S815" s="569"/>
      <c r="T815" s="569"/>
      <c r="U815" s="569"/>
      <c r="V815" s="569"/>
      <c r="W815" s="569"/>
      <c r="X815" s="569"/>
      <c r="Y815" s="569"/>
      <c r="Z815" s="569"/>
      <c r="AA815" s="569"/>
    </row>
    <row r="816" ht="12.75" customHeight="1">
      <c r="A816" s="569"/>
      <c r="B816" s="569"/>
      <c r="D816" s="569"/>
      <c r="E816" s="569"/>
      <c r="F816" s="569"/>
      <c r="G816" s="569"/>
      <c r="H816" s="569"/>
      <c r="I816" s="569"/>
      <c r="J816" s="569"/>
      <c r="K816" s="569"/>
      <c r="L816" s="569"/>
      <c r="M816" s="569"/>
      <c r="N816" s="569"/>
      <c r="O816" s="569"/>
      <c r="P816" s="569"/>
      <c r="Q816" s="569"/>
      <c r="R816" s="569"/>
      <c r="S816" s="569"/>
      <c r="T816" s="569"/>
      <c r="U816" s="569"/>
      <c r="V816" s="569"/>
      <c r="W816" s="569"/>
      <c r="X816" s="569"/>
      <c r="Y816" s="569"/>
      <c r="Z816" s="569"/>
      <c r="AA816" s="569"/>
    </row>
    <row r="817" ht="12.75" customHeight="1">
      <c r="A817" s="569"/>
      <c r="B817" s="569"/>
      <c r="D817" s="569"/>
      <c r="E817" s="569"/>
      <c r="F817" s="569"/>
      <c r="G817" s="569"/>
      <c r="H817" s="569"/>
      <c r="I817" s="569"/>
      <c r="J817" s="569"/>
      <c r="K817" s="569"/>
      <c r="L817" s="569"/>
      <c r="M817" s="569"/>
      <c r="N817" s="569"/>
      <c r="O817" s="569"/>
      <c r="P817" s="569"/>
      <c r="Q817" s="569"/>
      <c r="R817" s="569"/>
      <c r="S817" s="569"/>
      <c r="T817" s="569"/>
      <c r="U817" s="569"/>
      <c r="V817" s="569"/>
      <c r="W817" s="569"/>
      <c r="X817" s="569"/>
      <c r="Y817" s="569"/>
      <c r="Z817" s="569"/>
      <c r="AA817" s="569"/>
    </row>
    <row r="818" ht="12.75" customHeight="1">
      <c r="A818" s="569"/>
      <c r="B818" s="569"/>
      <c r="D818" s="569"/>
      <c r="E818" s="569"/>
      <c r="F818" s="569"/>
      <c r="G818" s="569"/>
      <c r="H818" s="569"/>
      <c r="I818" s="569"/>
      <c r="J818" s="569"/>
      <c r="K818" s="569"/>
      <c r="L818" s="569"/>
      <c r="M818" s="569"/>
      <c r="N818" s="569"/>
      <c r="O818" s="569"/>
      <c r="P818" s="569"/>
      <c r="Q818" s="569"/>
      <c r="R818" s="569"/>
      <c r="S818" s="569"/>
      <c r="T818" s="569"/>
      <c r="U818" s="569"/>
      <c r="V818" s="569"/>
      <c r="W818" s="569"/>
      <c r="X818" s="569"/>
      <c r="Y818" s="569"/>
      <c r="Z818" s="569"/>
      <c r="AA818" s="569"/>
    </row>
    <row r="819" ht="12.75" customHeight="1">
      <c r="A819" s="569"/>
      <c r="B819" s="569"/>
      <c r="D819" s="569"/>
      <c r="E819" s="569"/>
      <c r="F819" s="569"/>
      <c r="G819" s="569"/>
      <c r="H819" s="569"/>
      <c r="I819" s="569"/>
      <c r="J819" s="569"/>
      <c r="K819" s="569"/>
      <c r="L819" s="569"/>
      <c r="M819" s="569"/>
      <c r="N819" s="569"/>
      <c r="O819" s="569"/>
      <c r="P819" s="569"/>
      <c r="Q819" s="569"/>
      <c r="R819" s="569"/>
      <c r="S819" s="569"/>
      <c r="T819" s="569"/>
      <c r="U819" s="569"/>
      <c r="V819" s="569"/>
      <c r="W819" s="569"/>
      <c r="X819" s="569"/>
      <c r="Y819" s="569"/>
      <c r="Z819" s="569"/>
      <c r="AA819" s="569"/>
    </row>
    <row r="820" ht="12.75" customHeight="1">
      <c r="A820" s="569"/>
      <c r="B820" s="569"/>
      <c r="D820" s="569"/>
      <c r="E820" s="569"/>
      <c r="F820" s="569"/>
      <c r="G820" s="569"/>
      <c r="H820" s="569"/>
      <c r="I820" s="569"/>
      <c r="J820" s="569"/>
      <c r="K820" s="569"/>
      <c r="L820" s="569"/>
      <c r="M820" s="569"/>
      <c r="N820" s="569"/>
      <c r="O820" s="569"/>
      <c r="P820" s="569"/>
      <c r="Q820" s="569"/>
      <c r="R820" s="569"/>
      <c r="S820" s="569"/>
      <c r="T820" s="569"/>
      <c r="U820" s="569"/>
      <c r="V820" s="569"/>
      <c r="W820" s="569"/>
      <c r="X820" s="569"/>
      <c r="Y820" s="569"/>
      <c r="Z820" s="569"/>
      <c r="AA820" s="569"/>
    </row>
    <row r="821" ht="12.75" customHeight="1">
      <c r="A821" s="569"/>
      <c r="B821" s="569"/>
      <c r="D821" s="569"/>
      <c r="E821" s="569"/>
      <c r="F821" s="569"/>
      <c r="G821" s="569"/>
      <c r="H821" s="569"/>
      <c r="I821" s="569"/>
      <c r="J821" s="569"/>
      <c r="K821" s="569"/>
      <c r="L821" s="569"/>
      <c r="M821" s="569"/>
      <c r="N821" s="569"/>
      <c r="O821" s="569"/>
      <c r="P821" s="569"/>
      <c r="Q821" s="569"/>
      <c r="R821" s="569"/>
      <c r="S821" s="569"/>
      <c r="T821" s="569"/>
      <c r="U821" s="569"/>
      <c r="V821" s="569"/>
      <c r="W821" s="569"/>
      <c r="X821" s="569"/>
      <c r="Y821" s="569"/>
      <c r="Z821" s="569"/>
      <c r="AA821" s="569"/>
    </row>
    <row r="822" ht="12.75" customHeight="1">
      <c r="A822" s="569"/>
      <c r="B822" s="569"/>
      <c r="D822" s="569"/>
      <c r="E822" s="569"/>
      <c r="F822" s="569"/>
      <c r="G822" s="569"/>
      <c r="H822" s="569"/>
      <c r="I822" s="569"/>
      <c r="J822" s="569"/>
      <c r="K822" s="569"/>
      <c r="L822" s="569"/>
      <c r="M822" s="569"/>
      <c r="N822" s="569"/>
      <c r="O822" s="569"/>
      <c r="P822" s="569"/>
      <c r="Q822" s="569"/>
      <c r="R822" s="569"/>
      <c r="S822" s="569"/>
      <c r="T822" s="569"/>
      <c r="U822" s="569"/>
      <c r="V822" s="569"/>
      <c r="W822" s="569"/>
      <c r="X822" s="569"/>
      <c r="Y822" s="569"/>
      <c r="Z822" s="569"/>
      <c r="AA822" s="569"/>
    </row>
    <row r="823" ht="12.75" customHeight="1">
      <c r="A823" s="569"/>
      <c r="B823" s="569"/>
      <c r="D823" s="569"/>
      <c r="E823" s="569"/>
      <c r="F823" s="569"/>
      <c r="G823" s="569"/>
      <c r="H823" s="569"/>
      <c r="I823" s="569"/>
      <c r="J823" s="569"/>
      <c r="K823" s="569"/>
      <c r="L823" s="569"/>
      <c r="M823" s="569"/>
      <c r="N823" s="569"/>
      <c r="O823" s="569"/>
      <c r="P823" s="569"/>
      <c r="Q823" s="569"/>
      <c r="R823" s="569"/>
      <c r="S823" s="569"/>
      <c r="T823" s="569"/>
      <c r="U823" s="569"/>
      <c r="V823" s="569"/>
      <c r="W823" s="569"/>
      <c r="X823" s="569"/>
      <c r="Y823" s="569"/>
      <c r="Z823" s="569"/>
      <c r="AA823" s="569"/>
    </row>
    <row r="824" ht="12.75" customHeight="1">
      <c r="A824" s="569"/>
      <c r="B824" s="569"/>
      <c r="D824" s="569"/>
      <c r="E824" s="569"/>
      <c r="F824" s="569"/>
      <c r="G824" s="569"/>
      <c r="H824" s="569"/>
      <c r="I824" s="569"/>
      <c r="J824" s="569"/>
      <c r="K824" s="569"/>
      <c r="L824" s="569"/>
      <c r="M824" s="569"/>
      <c r="N824" s="569"/>
      <c r="O824" s="569"/>
      <c r="P824" s="569"/>
      <c r="Q824" s="569"/>
      <c r="R824" s="569"/>
      <c r="S824" s="569"/>
      <c r="T824" s="569"/>
      <c r="U824" s="569"/>
      <c r="V824" s="569"/>
      <c r="W824" s="569"/>
      <c r="X824" s="569"/>
      <c r="Y824" s="569"/>
      <c r="Z824" s="569"/>
      <c r="AA824" s="569"/>
    </row>
    <row r="825" ht="12.75" customHeight="1">
      <c r="A825" s="569"/>
      <c r="B825" s="569"/>
      <c r="D825" s="569"/>
      <c r="E825" s="569"/>
      <c r="F825" s="569"/>
      <c r="G825" s="569"/>
      <c r="H825" s="569"/>
      <c r="I825" s="569"/>
      <c r="J825" s="569"/>
      <c r="K825" s="569"/>
      <c r="L825" s="569"/>
      <c r="M825" s="569"/>
      <c r="N825" s="569"/>
      <c r="O825" s="569"/>
      <c r="P825" s="569"/>
      <c r="Q825" s="569"/>
      <c r="R825" s="569"/>
      <c r="S825" s="569"/>
      <c r="T825" s="569"/>
      <c r="U825" s="569"/>
      <c r="V825" s="569"/>
      <c r="W825" s="569"/>
      <c r="X825" s="569"/>
      <c r="Y825" s="569"/>
      <c r="Z825" s="569"/>
      <c r="AA825" s="569"/>
    </row>
    <row r="826" ht="12.75" customHeight="1">
      <c r="A826" s="569"/>
      <c r="B826" s="569"/>
      <c r="D826" s="569"/>
      <c r="E826" s="569"/>
      <c r="F826" s="569"/>
      <c r="G826" s="569"/>
      <c r="H826" s="569"/>
      <c r="I826" s="569"/>
      <c r="J826" s="569"/>
      <c r="K826" s="569"/>
      <c r="L826" s="569"/>
      <c r="M826" s="569"/>
      <c r="N826" s="569"/>
      <c r="O826" s="569"/>
      <c r="P826" s="569"/>
      <c r="Q826" s="569"/>
      <c r="R826" s="569"/>
      <c r="S826" s="569"/>
      <c r="T826" s="569"/>
      <c r="U826" s="569"/>
      <c r="V826" s="569"/>
      <c r="W826" s="569"/>
      <c r="X826" s="569"/>
      <c r="Y826" s="569"/>
      <c r="Z826" s="569"/>
      <c r="AA826" s="569"/>
    </row>
    <row r="827" ht="12.75" customHeight="1">
      <c r="A827" s="569"/>
      <c r="B827" s="569"/>
      <c r="D827" s="569"/>
      <c r="E827" s="569"/>
      <c r="F827" s="569"/>
      <c r="G827" s="569"/>
      <c r="H827" s="569"/>
      <c r="I827" s="569"/>
      <c r="J827" s="569"/>
      <c r="K827" s="569"/>
      <c r="L827" s="569"/>
      <c r="M827" s="569"/>
      <c r="N827" s="569"/>
      <c r="O827" s="569"/>
      <c r="P827" s="569"/>
      <c r="Q827" s="569"/>
      <c r="R827" s="569"/>
      <c r="S827" s="569"/>
      <c r="T827" s="569"/>
      <c r="U827" s="569"/>
      <c r="V827" s="569"/>
      <c r="W827" s="569"/>
      <c r="X827" s="569"/>
      <c r="Y827" s="569"/>
      <c r="Z827" s="569"/>
      <c r="AA827" s="569"/>
    </row>
    <row r="828" ht="12.75" customHeight="1">
      <c r="A828" s="569"/>
      <c r="B828" s="569"/>
      <c r="D828" s="569"/>
      <c r="E828" s="569"/>
      <c r="F828" s="569"/>
      <c r="G828" s="569"/>
      <c r="H828" s="569"/>
      <c r="I828" s="569"/>
      <c r="J828" s="569"/>
      <c r="K828" s="569"/>
      <c r="L828" s="569"/>
      <c r="M828" s="569"/>
      <c r="N828" s="569"/>
      <c r="O828" s="569"/>
      <c r="P828" s="569"/>
      <c r="Q828" s="569"/>
      <c r="R828" s="569"/>
      <c r="S828" s="569"/>
      <c r="T828" s="569"/>
      <c r="U828" s="569"/>
      <c r="V828" s="569"/>
      <c r="W828" s="569"/>
      <c r="X828" s="569"/>
      <c r="Y828" s="569"/>
      <c r="Z828" s="569"/>
      <c r="AA828" s="569"/>
    </row>
    <row r="829" ht="12.75" customHeight="1">
      <c r="A829" s="569"/>
      <c r="B829" s="569"/>
      <c r="D829" s="569"/>
      <c r="E829" s="569"/>
      <c r="F829" s="569"/>
      <c r="G829" s="569"/>
      <c r="H829" s="569"/>
      <c r="I829" s="569"/>
      <c r="J829" s="569"/>
      <c r="K829" s="569"/>
      <c r="L829" s="569"/>
      <c r="M829" s="569"/>
      <c r="N829" s="569"/>
      <c r="O829" s="569"/>
      <c r="P829" s="569"/>
      <c r="Q829" s="569"/>
      <c r="R829" s="569"/>
      <c r="S829" s="569"/>
      <c r="T829" s="569"/>
      <c r="U829" s="569"/>
      <c r="V829" s="569"/>
      <c r="W829" s="569"/>
      <c r="X829" s="569"/>
      <c r="Y829" s="569"/>
      <c r="Z829" s="569"/>
      <c r="AA829" s="569"/>
    </row>
    <row r="830" ht="12.75" customHeight="1">
      <c r="A830" s="569"/>
      <c r="B830" s="569"/>
      <c r="D830" s="569"/>
      <c r="E830" s="569"/>
      <c r="F830" s="569"/>
      <c r="G830" s="569"/>
      <c r="H830" s="569"/>
      <c r="I830" s="569"/>
      <c r="J830" s="569"/>
      <c r="K830" s="569"/>
      <c r="L830" s="569"/>
      <c r="M830" s="569"/>
      <c r="N830" s="569"/>
      <c r="O830" s="569"/>
      <c r="P830" s="569"/>
      <c r="Q830" s="569"/>
      <c r="R830" s="569"/>
      <c r="S830" s="569"/>
      <c r="T830" s="569"/>
      <c r="U830" s="569"/>
      <c r="V830" s="569"/>
      <c r="W830" s="569"/>
      <c r="X830" s="569"/>
      <c r="Y830" s="569"/>
      <c r="Z830" s="569"/>
      <c r="AA830" s="569"/>
    </row>
    <row r="831" ht="12.75" customHeight="1">
      <c r="A831" s="569"/>
      <c r="B831" s="569"/>
      <c r="D831" s="569"/>
      <c r="E831" s="569"/>
      <c r="F831" s="569"/>
      <c r="G831" s="569"/>
      <c r="H831" s="569"/>
      <c r="I831" s="569"/>
      <c r="J831" s="569"/>
      <c r="K831" s="569"/>
      <c r="L831" s="569"/>
      <c r="M831" s="569"/>
      <c r="N831" s="569"/>
      <c r="O831" s="569"/>
      <c r="P831" s="569"/>
      <c r="Q831" s="569"/>
      <c r="R831" s="569"/>
      <c r="S831" s="569"/>
      <c r="T831" s="569"/>
      <c r="U831" s="569"/>
      <c r="V831" s="569"/>
      <c r="W831" s="569"/>
      <c r="X831" s="569"/>
      <c r="Y831" s="569"/>
      <c r="Z831" s="569"/>
      <c r="AA831" s="569"/>
    </row>
    <row r="832" ht="12.75" customHeight="1">
      <c r="A832" s="569"/>
      <c r="B832" s="569"/>
      <c r="D832" s="569"/>
      <c r="E832" s="569"/>
      <c r="F832" s="569"/>
      <c r="G832" s="569"/>
      <c r="H832" s="569"/>
      <c r="I832" s="569"/>
      <c r="J832" s="569"/>
      <c r="K832" s="569"/>
      <c r="L832" s="569"/>
      <c r="M832" s="569"/>
      <c r="N832" s="569"/>
      <c r="O832" s="569"/>
      <c r="P832" s="569"/>
      <c r="Q832" s="569"/>
      <c r="R832" s="569"/>
      <c r="S832" s="569"/>
      <c r="T832" s="569"/>
      <c r="U832" s="569"/>
      <c r="V832" s="569"/>
      <c r="W832" s="569"/>
      <c r="X832" s="569"/>
      <c r="Y832" s="569"/>
      <c r="Z832" s="569"/>
      <c r="AA832" s="569"/>
    </row>
    <row r="833" ht="12.75" customHeight="1">
      <c r="A833" s="569"/>
      <c r="B833" s="569"/>
      <c r="D833" s="569"/>
      <c r="E833" s="569"/>
      <c r="F833" s="569"/>
      <c r="G833" s="569"/>
      <c r="H833" s="569"/>
      <c r="I833" s="569"/>
      <c r="J833" s="569"/>
      <c r="K833" s="569"/>
      <c r="L833" s="569"/>
      <c r="M833" s="569"/>
      <c r="N833" s="569"/>
      <c r="O833" s="569"/>
      <c r="P833" s="569"/>
      <c r="Q833" s="569"/>
      <c r="R833" s="569"/>
      <c r="S833" s="569"/>
      <c r="T833" s="569"/>
      <c r="U833" s="569"/>
      <c r="V833" s="569"/>
      <c r="W833" s="569"/>
      <c r="X833" s="569"/>
      <c r="Y833" s="569"/>
      <c r="Z833" s="569"/>
      <c r="AA833" s="569"/>
    </row>
    <row r="834" ht="12.75" customHeight="1">
      <c r="A834" s="569"/>
      <c r="B834" s="569"/>
      <c r="D834" s="569"/>
      <c r="E834" s="569"/>
      <c r="F834" s="569"/>
      <c r="G834" s="569"/>
      <c r="H834" s="569"/>
      <c r="I834" s="569"/>
      <c r="J834" s="569"/>
      <c r="K834" s="569"/>
      <c r="L834" s="569"/>
      <c r="M834" s="569"/>
      <c r="N834" s="569"/>
      <c r="O834" s="569"/>
      <c r="P834" s="569"/>
      <c r="Q834" s="569"/>
      <c r="R834" s="569"/>
      <c r="S834" s="569"/>
      <c r="T834" s="569"/>
      <c r="U834" s="569"/>
      <c r="V834" s="569"/>
      <c r="W834" s="569"/>
      <c r="X834" s="569"/>
      <c r="Y834" s="569"/>
      <c r="Z834" s="569"/>
      <c r="AA834" s="569"/>
    </row>
    <row r="835" ht="12.75" customHeight="1">
      <c r="A835" s="569"/>
      <c r="B835" s="569"/>
      <c r="D835" s="569"/>
      <c r="E835" s="569"/>
      <c r="F835" s="569"/>
      <c r="G835" s="569"/>
      <c r="H835" s="569"/>
      <c r="I835" s="569"/>
      <c r="J835" s="569"/>
      <c r="K835" s="569"/>
      <c r="L835" s="569"/>
      <c r="M835" s="569"/>
      <c r="N835" s="569"/>
      <c r="O835" s="569"/>
      <c r="P835" s="569"/>
      <c r="Q835" s="569"/>
      <c r="R835" s="569"/>
      <c r="S835" s="569"/>
      <c r="T835" s="569"/>
      <c r="U835" s="569"/>
      <c r="V835" s="569"/>
      <c r="W835" s="569"/>
      <c r="X835" s="569"/>
      <c r="Y835" s="569"/>
      <c r="Z835" s="569"/>
      <c r="AA835" s="569"/>
    </row>
    <row r="836" ht="12.75" customHeight="1">
      <c r="A836" s="569"/>
      <c r="B836" s="569"/>
      <c r="D836" s="569"/>
      <c r="E836" s="569"/>
      <c r="F836" s="569"/>
      <c r="G836" s="569"/>
      <c r="H836" s="569"/>
      <c r="I836" s="569"/>
      <c r="J836" s="569"/>
      <c r="K836" s="569"/>
      <c r="L836" s="569"/>
      <c r="M836" s="569"/>
      <c r="N836" s="569"/>
      <c r="O836" s="569"/>
      <c r="P836" s="569"/>
      <c r="Q836" s="569"/>
      <c r="R836" s="569"/>
      <c r="S836" s="569"/>
      <c r="T836" s="569"/>
      <c r="U836" s="569"/>
      <c r="V836" s="569"/>
      <c r="W836" s="569"/>
      <c r="X836" s="569"/>
      <c r="Y836" s="569"/>
      <c r="Z836" s="569"/>
      <c r="AA836" s="569"/>
    </row>
    <row r="837" ht="12.75" customHeight="1">
      <c r="A837" s="569"/>
      <c r="B837" s="569"/>
      <c r="D837" s="569"/>
      <c r="E837" s="569"/>
      <c r="F837" s="569"/>
      <c r="G837" s="569"/>
      <c r="H837" s="569"/>
      <c r="I837" s="569"/>
      <c r="J837" s="569"/>
      <c r="K837" s="569"/>
      <c r="L837" s="569"/>
      <c r="M837" s="569"/>
      <c r="N837" s="569"/>
      <c r="O837" s="569"/>
      <c r="P837" s="569"/>
      <c r="Q837" s="569"/>
      <c r="R837" s="569"/>
      <c r="S837" s="569"/>
      <c r="T837" s="569"/>
      <c r="U837" s="569"/>
      <c r="V837" s="569"/>
      <c r="W837" s="569"/>
      <c r="X837" s="569"/>
      <c r="Y837" s="569"/>
      <c r="Z837" s="569"/>
      <c r="AA837" s="569"/>
    </row>
    <row r="838" ht="12.75" customHeight="1">
      <c r="A838" s="569"/>
      <c r="B838" s="569"/>
      <c r="D838" s="569"/>
      <c r="E838" s="569"/>
      <c r="F838" s="569"/>
      <c r="G838" s="569"/>
      <c r="H838" s="569"/>
      <c r="I838" s="569"/>
      <c r="J838" s="569"/>
      <c r="K838" s="569"/>
      <c r="L838" s="569"/>
      <c r="M838" s="569"/>
      <c r="N838" s="569"/>
      <c r="O838" s="569"/>
      <c r="P838" s="569"/>
      <c r="Q838" s="569"/>
      <c r="R838" s="569"/>
      <c r="S838" s="569"/>
      <c r="T838" s="569"/>
      <c r="U838" s="569"/>
      <c r="V838" s="569"/>
      <c r="W838" s="569"/>
      <c r="X838" s="569"/>
      <c r="Y838" s="569"/>
      <c r="Z838" s="569"/>
      <c r="AA838" s="569"/>
    </row>
    <row r="839" ht="12.75" customHeight="1">
      <c r="A839" s="569"/>
      <c r="B839" s="569"/>
      <c r="D839" s="569"/>
      <c r="E839" s="569"/>
      <c r="F839" s="569"/>
      <c r="G839" s="569"/>
      <c r="H839" s="569"/>
      <c r="I839" s="569"/>
      <c r="J839" s="569"/>
      <c r="K839" s="569"/>
      <c r="L839" s="569"/>
      <c r="M839" s="569"/>
      <c r="N839" s="569"/>
      <c r="O839" s="569"/>
      <c r="P839" s="569"/>
      <c r="Q839" s="569"/>
      <c r="R839" s="569"/>
      <c r="S839" s="569"/>
      <c r="T839" s="569"/>
      <c r="U839" s="569"/>
      <c r="V839" s="569"/>
      <c r="W839" s="569"/>
      <c r="X839" s="569"/>
      <c r="Y839" s="569"/>
      <c r="Z839" s="569"/>
      <c r="AA839" s="569"/>
    </row>
    <row r="840" ht="12.75" customHeight="1">
      <c r="A840" s="569"/>
      <c r="B840" s="569"/>
      <c r="D840" s="569"/>
      <c r="E840" s="569"/>
      <c r="F840" s="569"/>
      <c r="G840" s="569"/>
      <c r="H840" s="569"/>
      <c r="I840" s="569"/>
      <c r="J840" s="569"/>
      <c r="K840" s="569"/>
      <c r="L840" s="569"/>
      <c r="M840" s="569"/>
      <c r="N840" s="569"/>
      <c r="O840" s="569"/>
      <c r="P840" s="569"/>
      <c r="Q840" s="569"/>
      <c r="R840" s="569"/>
      <c r="S840" s="569"/>
      <c r="T840" s="569"/>
      <c r="U840" s="569"/>
      <c r="V840" s="569"/>
      <c r="W840" s="569"/>
      <c r="X840" s="569"/>
      <c r="Y840" s="569"/>
      <c r="Z840" s="569"/>
      <c r="AA840" s="569"/>
    </row>
    <row r="841" ht="12.75" customHeight="1">
      <c r="A841" s="569"/>
      <c r="B841" s="569"/>
      <c r="D841" s="569"/>
      <c r="E841" s="569"/>
      <c r="F841" s="569"/>
      <c r="G841" s="569"/>
      <c r="H841" s="569"/>
      <c r="I841" s="569"/>
      <c r="J841" s="569"/>
      <c r="K841" s="569"/>
      <c r="L841" s="569"/>
      <c r="M841" s="569"/>
      <c r="N841" s="569"/>
      <c r="O841" s="569"/>
      <c r="P841" s="569"/>
      <c r="Q841" s="569"/>
      <c r="R841" s="569"/>
      <c r="S841" s="569"/>
      <c r="T841" s="569"/>
      <c r="U841" s="569"/>
      <c r="V841" s="569"/>
      <c r="W841" s="569"/>
      <c r="X841" s="569"/>
      <c r="Y841" s="569"/>
      <c r="Z841" s="569"/>
      <c r="AA841" s="569"/>
    </row>
    <row r="842" ht="12.75" customHeight="1">
      <c r="A842" s="569"/>
      <c r="B842" s="569"/>
      <c r="D842" s="569"/>
      <c r="E842" s="569"/>
      <c r="F842" s="569"/>
      <c r="G842" s="569"/>
      <c r="H842" s="569"/>
      <c r="I842" s="569"/>
      <c r="J842" s="569"/>
      <c r="K842" s="569"/>
      <c r="L842" s="569"/>
      <c r="M842" s="569"/>
      <c r="N842" s="569"/>
      <c r="O842" s="569"/>
      <c r="P842" s="569"/>
      <c r="Q842" s="569"/>
      <c r="R842" s="569"/>
      <c r="S842" s="569"/>
      <c r="T842" s="569"/>
      <c r="U842" s="569"/>
      <c r="V842" s="569"/>
      <c r="W842" s="569"/>
      <c r="X842" s="569"/>
      <c r="Y842" s="569"/>
      <c r="Z842" s="569"/>
      <c r="AA842" s="569"/>
    </row>
    <row r="843" ht="12.75" customHeight="1">
      <c r="A843" s="569"/>
      <c r="B843" s="569"/>
      <c r="D843" s="569"/>
      <c r="E843" s="569"/>
      <c r="F843" s="569"/>
      <c r="G843" s="569"/>
      <c r="H843" s="569"/>
      <c r="I843" s="569"/>
      <c r="J843" s="569"/>
      <c r="K843" s="569"/>
      <c r="L843" s="569"/>
      <c r="M843" s="569"/>
      <c r="N843" s="569"/>
      <c r="O843" s="569"/>
      <c r="P843" s="569"/>
      <c r="Q843" s="569"/>
      <c r="R843" s="569"/>
      <c r="S843" s="569"/>
      <c r="T843" s="569"/>
      <c r="U843" s="569"/>
      <c r="V843" s="569"/>
      <c r="W843" s="569"/>
      <c r="X843" s="569"/>
      <c r="Y843" s="569"/>
      <c r="Z843" s="569"/>
      <c r="AA843" s="569"/>
    </row>
    <row r="844" ht="12.75" customHeight="1">
      <c r="A844" s="569"/>
      <c r="B844" s="569"/>
      <c r="D844" s="569"/>
      <c r="E844" s="569"/>
      <c r="F844" s="569"/>
      <c r="G844" s="569"/>
      <c r="H844" s="569"/>
      <c r="I844" s="569"/>
      <c r="J844" s="569"/>
      <c r="K844" s="569"/>
      <c r="L844" s="569"/>
      <c r="M844" s="569"/>
      <c r="N844" s="569"/>
      <c r="O844" s="569"/>
      <c r="P844" s="569"/>
      <c r="Q844" s="569"/>
      <c r="R844" s="569"/>
      <c r="S844" s="569"/>
      <c r="T844" s="569"/>
      <c r="U844" s="569"/>
      <c r="V844" s="569"/>
      <c r="W844" s="569"/>
      <c r="X844" s="569"/>
      <c r="Y844" s="569"/>
      <c r="Z844" s="569"/>
      <c r="AA844" s="569"/>
    </row>
    <row r="845" ht="12.75" customHeight="1">
      <c r="A845" s="569"/>
      <c r="B845" s="569"/>
      <c r="D845" s="569"/>
      <c r="E845" s="569"/>
      <c r="F845" s="569"/>
      <c r="G845" s="569"/>
      <c r="H845" s="569"/>
      <c r="I845" s="569"/>
      <c r="J845" s="569"/>
      <c r="K845" s="569"/>
      <c r="L845" s="569"/>
      <c r="M845" s="569"/>
      <c r="N845" s="569"/>
      <c r="O845" s="569"/>
      <c r="P845" s="569"/>
      <c r="Q845" s="569"/>
      <c r="R845" s="569"/>
      <c r="S845" s="569"/>
      <c r="T845" s="569"/>
      <c r="U845" s="569"/>
      <c r="V845" s="569"/>
      <c r="W845" s="569"/>
      <c r="X845" s="569"/>
      <c r="Y845" s="569"/>
      <c r="Z845" s="569"/>
      <c r="AA845" s="569"/>
    </row>
    <row r="846" ht="12.75" customHeight="1">
      <c r="A846" s="569"/>
      <c r="B846" s="569"/>
      <c r="D846" s="569"/>
      <c r="E846" s="569"/>
      <c r="F846" s="569"/>
      <c r="G846" s="569"/>
      <c r="H846" s="569"/>
      <c r="I846" s="569"/>
      <c r="J846" s="569"/>
      <c r="K846" s="569"/>
      <c r="L846" s="569"/>
      <c r="M846" s="569"/>
      <c r="N846" s="569"/>
      <c r="O846" s="569"/>
      <c r="P846" s="569"/>
      <c r="Q846" s="569"/>
      <c r="R846" s="569"/>
      <c r="S846" s="569"/>
      <c r="T846" s="569"/>
      <c r="U846" s="569"/>
      <c r="V846" s="569"/>
      <c r="W846" s="569"/>
      <c r="X846" s="569"/>
      <c r="Y846" s="569"/>
      <c r="Z846" s="569"/>
      <c r="AA846" s="569"/>
    </row>
    <row r="847" ht="12.75" customHeight="1">
      <c r="A847" s="569"/>
      <c r="B847" s="569"/>
      <c r="D847" s="569"/>
      <c r="E847" s="569"/>
      <c r="F847" s="569"/>
      <c r="G847" s="569"/>
      <c r="H847" s="569"/>
      <c r="I847" s="569"/>
      <c r="J847" s="569"/>
      <c r="K847" s="569"/>
      <c r="L847" s="569"/>
      <c r="M847" s="569"/>
      <c r="N847" s="569"/>
      <c r="O847" s="569"/>
      <c r="P847" s="569"/>
      <c r="Q847" s="569"/>
      <c r="R847" s="569"/>
      <c r="S847" s="569"/>
      <c r="T847" s="569"/>
      <c r="U847" s="569"/>
      <c r="V847" s="569"/>
      <c r="W847" s="569"/>
      <c r="X847" s="569"/>
      <c r="Y847" s="569"/>
      <c r="Z847" s="569"/>
      <c r="AA847" s="569"/>
    </row>
    <row r="848" ht="12.75" customHeight="1">
      <c r="A848" s="569"/>
      <c r="B848" s="569"/>
      <c r="D848" s="569"/>
      <c r="E848" s="569"/>
      <c r="F848" s="569"/>
      <c r="G848" s="569"/>
      <c r="H848" s="569"/>
      <c r="I848" s="569"/>
      <c r="J848" s="569"/>
      <c r="K848" s="569"/>
      <c r="L848" s="569"/>
      <c r="M848" s="569"/>
      <c r="N848" s="569"/>
      <c r="O848" s="569"/>
      <c r="P848" s="569"/>
      <c r="Q848" s="569"/>
      <c r="R848" s="569"/>
      <c r="S848" s="569"/>
      <c r="T848" s="569"/>
      <c r="U848" s="569"/>
      <c r="V848" s="569"/>
      <c r="W848" s="569"/>
      <c r="X848" s="569"/>
      <c r="Y848" s="569"/>
      <c r="Z848" s="569"/>
      <c r="AA848" s="569"/>
    </row>
    <row r="849" ht="12.75" customHeight="1">
      <c r="A849" s="569"/>
      <c r="B849" s="569"/>
      <c r="D849" s="569"/>
      <c r="E849" s="569"/>
      <c r="F849" s="569"/>
      <c r="G849" s="569"/>
      <c r="H849" s="569"/>
      <c r="I849" s="569"/>
      <c r="J849" s="569"/>
      <c r="K849" s="569"/>
      <c r="L849" s="569"/>
      <c r="M849" s="569"/>
      <c r="N849" s="569"/>
      <c r="O849" s="569"/>
      <c r="P849" s="569"/>
      <c r="Q849" s="569"/>
      <c r="R849" s="569"/>
      <c r="S849" s="569"/>
      <c r="T849" s="569"/>
      <c r="U849" s="569"/>
      <c r="V849" s="569"/>
      <c r="W849" s="569"/>
      <c r="X849" s="569"/>
      <c r="Y849" s="569"/>
      <c r="Z849" s="569"/>
      <c r="AA849" s="569"/>
    </row>
    <row r="850" ht="12.75" customHeight="1">
      <c r="A850" s="569"/>
      <c r="B850" s="569"/>
      <c r="D850" s="569"/>
      <c r="E850" s="569"/>
      <c r="F850" s="569"/>
      <c r="G850" s="569"/>
      <c r="H850" s="569"/>
      <c r="I850" s="569"/>
      <c r="J850" s="569"/>
      <c r="K850" s="569"/>
      <c r="L850" s="569"/>
      <c r="M850" s="569"/>
      <c r="N850" s="569"/>
      <c r="O850" s="569"/>
      <c r="P850" s="569"/>
      <c r="Q850" s="569"/>
      <c r="R850" s="569"/>
      <c r="S850" s="569"/>
      <c r="T850" s="569"/>
      <c r="U850" s="569"/>
      <c r="V850" s="569"/>
      <c r="W850" s="569"/>
      <c r="X850" s="569"/>
      <c r="Y850" s="569"/>
      <c r="Z850" s="569"/>
      <c r="AA850" s="569"/>
    </row>
    <row r="851" ht="12.75" customHeight="1">
      <c r="A851" s="569"/>
      <c r="B851" s="569"/>
      <c r="D851" s="569"/>
      <c r="E851" s="569"/>
      <c r="F851" s="569"/>
      <c r="G851" s="569"/>
      <c r="H851" s="569"/>
      <c r="I851" s="569"/>
      <c r="J851" s="569"/>
      <c r="K851" s="569"/>
      <c r="L851" s="569"/>
      <c r="M851" s="569"/>
      <c r="N851" s="569"/>
      <c r="O851" s="569"/>
      <c r="P851" s="569"/>
      <c r="Q851" s="569"/>
      <c r="R851" s="569"/>
      <c r="S851" s="569"/>
      <c r="T851" s="569"/>
      <c r="U851" s="569"/>
      <c r="V851" s="569"/>
      <c r="W851" s="569"/>
      <c r="X851" s="569"/>
      <c r="Y851" s="569"/>
      <c r="Z851" s="569"/>
      <c r="AA851" s="569"/>
    </row>
    <row r="852" ht="12.75" customHeight="1">
      <c r="A852" s="569"/>
      <c r="B852" s="569"/>
      <c r="D852" s="569"/>
      <c r="E852" s="569"/>
      <c r="F852" s="569"/>
      <c r="G852" s="569"/>
      <c r="H852" s="569"/>
      <c r="I852" s="569"/>
      <c r="J852" s="569"/>
      <c r="K852" s="569"/>
      <c r="L852" s="569"/>
      <c r="M852" s="569"/>
      <c r="N852" s="569"/>
      <c r="O852" s="569"/>
      <c r="P852" s="569"/>
      <c r="Q852" s="569"/>
      <c r="R852" s="569"/>
      <c r="S852" s="569"/>
      <c r="T852" s="569"/>
      <c r="U852" s="569"/>
      <c r="V852" s="569"/>
      <c r="W852" s="569"/>
      <c r="X852" s="569"/>
      <c r="Y852" s="569"/>
      <c r="Z852" s="569"/>
      <c r="AA852" s="569"/>
    </row>
    <row r="853" ht="12.75" customHeight="1">
      <c r="A853" s="569"/>
      <c r="B853" s="569"/>
      <c r="D853" s="569"/>
      <c r="E853" s="569"/>
      <c r="F853" s="569"/>
      <c r="G853" s="569"/>
      <c r="H853" s="569"/>
      <c r="I853" s="569"/>
      <c r="J853" s="569"/>
      <c r="K853" s="569"/>
      <c r="L853" s="569"/>
      <c r="M853" s="569"/>
      <c r="N853" s="569"/>
      <c r="O853" s="569"/>
      <c r="P853" s="569"/>
      <c r="Q853" s="569"/>
      <c r="R853" s="569"/>
      <c r="S853" s="569"/>
      <c r="T853" s="569"/>
      <c r="U853" s="569"/>
      <c r="V853" s="569"/>
      <c r="W853" s="569"/>
      <c r="X853" s="569"/>
      <c r="Y853" s="569"/>
      <c r="Z853" s="569"/>
      <c r="AA853" s="569"/>
    </row>
    <row r="854" ht="12.75" customHeight="1">
      <c r="A854" s="569"/>
      <c r="B854" s="569"/>
      <c r="D854" s="569"/>
      <c r="E854" s="569"/>
      <c r="F854" s="569"/>
      <c r="G854" s="569"/>
      <c r="H854" s="569"/>
      <c r="I854" s="569"/>
      <c r="J854" s="569"/>
      <c r="K854" s="569"/>
      <c r="L854" s="569"/>
      <c r="M854" s="569"/>
      <c r="N854" s="569"/>
      <c r="O854" s="569"/>
      <c r="P854" s="569"/>
      <c r="Q854" s="569"/>
      <c r="R854" s="569"/>
      <c r="S854" s="569"/>
      <c r="T854" s="569"/>
      <c r="U854" s="569"/>
      <c r="V854" s="569"/>
      <c r="W854" s="569"/>
      <c r="X854" s="569"/>
      <c r="Y854" s="569"/>
      <c r="Z854" s="569"/>
      <c r="AA854" s="569"/>
    </row>
    <row r="855" ht="12.75" customHeight="1">
      <c r="A855" s="569"/>
      <c r="B855" s="569"/>
      <c r="D855" s="569"/>
      <c r="E855" s="569"/>
      <c r="F855" s="569"/>
      <c r="G855" s="569"/>
      <c r="H855" s="569"/>
      <c r="I855" s="569"/>
      <c r="J855" s="569"/>
      <c r="K855" s="569"/>
      <c r="L855" s="569"/>
      <c r="M855" s="569"/>
      <c r="N855" s="569"/>
      <c r="O855" s="569"/>
      <c r="P855" s="569"/>
      <c r="Q855" s="569"/>
      <c r="R855" s="569"/>
      <c r="S855" s="569"/>
      <c r="T855" s="569"/>
      <c r="U855" s="569"/>
      <c r="V855" s="569"/>
      <c r="W855" s="569"/>
      <c r="X855" s="569"/>
      <c r="Y855" s="569"/>
      <c r="Z855" s="569"/>
      <c r="AA855" s="569"/>
    </row>
    <row r="856" ht="12.75" customHeight="1">
      <c r="A856" s="569"/>
      <c r="B856" s="569"/>
      <c r="D856" s="569"/>
      <c r="E856" s="569"/>
      <c r="F856" s="569"/>
      <c r="G856" s="569"/>
      <c r="H856" s="569"/>
      <c r="I856" s="569"/>
      <c r="J856" s="569"/>
      <c r="K856" s="569"/>
      <c r="L856" s="569"/>
      <c r="M856" s="569"/>
      <c r="N856" s="569"/>
      <c r="O856" s="569"/>
      <c r="P856" s="569"/>
      <c r="Q856" s="569"/>
      <c r="R856" s="569"/>
      <c r="S856" s="569"/>
      <c r="T856" s="569"/>
      <c r="U856" s="569"/>
      <c r="V856" s="569"/>
      <c r="W856" s="569"/>
      <c r="X856" s="569"/>
      <c r="Y856" s="569"/>
      <c r="Z856" s="569"/>
      <c r="AA856" s="569"/>
    </row>
    <row r="857" ht="12.75" customHeight="1">
      <c r="A857" s="569"/>
      <c r="B857" s="569"/>
      <c r="D857" s="569"/>
      <c r="E857" s="569"/>
      <c r="F857" s="569"/>
      <c r="G857" s="569"/>
      <c r="H857" s="569"/>
      <c r="I857" s="569"/>
      <c r="J857" s="569"/>
      <c r="K857" s="569"/>
      <c r="L857" s="569"/>
      <c r="M857" s="569"/>
      <c r="N857" s="569"/>
      <c r="O857" s="569"/>
      <c r="P857" s="569"/>
      <c r="Q857" s="569"/>
      <c r="R857" s="569"/>
      <c r="S857" s="569"/>
      <c r="T857" s="569"/>
      <c r="U857" s="569"/>
      <c r="V857" s="569"/>
      <c r="W857" s="569"/>
      <c r="X857" s="569"/>
      <c r="Y857" s="569"/>
      <c r="Z857" s="569"/>
      <c r="AA857" s="569"/>
    </row>
    <row r="858" ht="12.75" customHeight="1">
      <c r="A858" s="569"/>
      <c r="B858" s="569"/>
      <c r="D858" s="569"/>
      <c r="E858" s="569"/>
      <c r="F858" s="569"/>
      <c r="G858" s="569"/>
      <c r="H858" s="569"/>
      <c r="I858" s="569"/>
      <c r="J858" s="569"/>
      <c r="K858" s="569"/>
      <c r="L858" s="569"/>
      <c r="M858" s="569"/>
      <c r="N858" s="569"/>
      <c r="O858" s="569"/>
      <c r="P858" s="569"/>
      <c r="Q858" s="569"/>
      <c r="R858" s="569"/>
      <c r="S858" s="569"/>
      <c r="T858" s="569"/>
      <c r="U858" s="569"/>
      <c r="V858" s="569"/>
      <c r="W858" s="569"/>
      <c r="X858" s="569"/>
      <c r="Y858" s="569"/>
      <c r="Z858" s="569"/>
      <c r="AA858" s="569"/>
    </row>
    <row r="859" ht="12.75" customHeight="1">
      <c r="A859" s="569"/>
      <c r="B859" s="569"/>
      <c r="D859" s="569"/>
      <c r="E859" s="569"/>
      <c r="F859" s="569"/>
      <c r="G859" s="569"/>
      <c r="H859" s="569"/>
      <c r="I859" s="569"/>
      <c r="J859" s="569"/>
      <c r="K859" s="569"/>
      <c r="L859" s="569"/>
      <c r="M859" s="569"/>
      <c r="N859" s="569"/>
      <c r="O859" s="569"/>
      <c r="P859" s="569"/>
      <c r="Q859" s="569"/>
      <c r="R859" s="569"/>
      <c r="S859" s="569"/>
      <c r="T859" s="569"/>
      <c r="U859" s="569"/>
      <c r="V859" s="569"/>
      <c r="W859" s="569"/>
      <c r="X859" s="569"/>
      <c r="Y859" s="569"/>
      <c r="Z859" s="569"/>
      <c r="AA859" s="569"/>
    </row>
    <row r="860" ht="12.75" customHeight="1">
      <c r="A860" s="569"/>
      <c r="B860" s="569"/>
      <c r="D860" s="569"/>
      <c r="E860" s="569"/>
      <c r="F860" s="569"/>
      <c r="G860" s="569"/>
      <c r="H860" s="569"/>
      <c r="I860" s="569"/>
      <c r="J860" s="569"/>
      <c r="K860" s="569"/>
      <c r="L860" s="569"/>
      <c r="M860" s="569"/>
      <c r="N860" s="569"/>
      <c r="O860" s="569"/>
      <c r="P860" s="569"/>
      <c r="Q860" s="569"/>
      <c r="R860" s="569"/>
      <c r="S860" s="569"/>
      <c r="T860" s="569"/>
      <c r="U860" s="569"/>
      <c r="V860" s="569"/>
      <c r="W860" s="569"/>
      <c r="X860" s="569"/>
      <c r="Y860" s="569"/>
      <c r="Z860" s="569"/>
      <c r="AA860" s="569"/>
    </row>
    <row r="861" ht="12.75" customHeight="1">
      <c r="A861" s="569"/>
      <c r="B861" s="569"/>
      <c r="D861" s="569"/>
      <c r="E861" s="569"/>
      <c r="F861" s="569"/>
      <c r="G861" s="569"/>
      <c r="H861" s="569"/>
      <c r="I861" s="569"/>
      <c r="J861" s="569"/>
      <c r="K861" s="569"/>
      <c r="L861" s="569"/>
      <c r="M861" s="569"/>
      <c r="N861" s="569"/>
      <c r="O861" s="569"/>
      <c r="P861" s="569"/>
      <c r="Q861" s="569"/>
      <c r="R861" s="569"/>
      <c r="S861" s="569"/>
      <c r="T861" s="569"/>
      <c r="U861" s="569"/>
      <c r="V861" s="569"/>
      <c r="W861" s="569"/>
      <c r="X861" s="569"/>
      <c r="Y861" s="569"/>
      <c r="Z861" s="569"/>
      <c r="AA861" s="569"/>
    </row>
    <row r="862" ht="12.75" customHeight="1">
      <c r="A862" s="569"/>
      <c r="B862" s="569"/>
      <c r="D862" s="569"/>
      <c r="E862" s="569"/>
      <c r="F862" s="569"/>
      <c r="G862" s="569"/>
      <c r="H862" s="569"/>
      <c r="I862" s="569"/>
      <c r="J862" s="569"/>
      <c r="K862" s="569"/>
      <c r="L862" s="569"/>
      <c r="M862" s="569"/>
      <c r="N862" s="569"/>
      <c r="O862" s="569"/>
      <c r="P862" s="569"/>
      <c r="Q862" s="569"/>
      <c r="R862" s="569"/>
      <c r="S862" s="569"/>
      <c r="T862" s="569"/>
      <c r="U862" s="569"/>
      <c r="V862" s="569"/>
      <c r="W862" s="569"/>
      <c r="X862" s="569"/>
      <c r="Y862" s="569"/>
      <c r="Z862" s="569"/>
      <c r="AA862" s="569"/>
    </row>
    <row r="863" ht="12.75" customHeight="1">
      <c r="A863" s="569"/>
      <c r="B863" s="569"/>
      <c r="D863" s="569"/>
      <c r="E863" s="569"/>
      <c r="F863" s="569"/>
      <c r="G863" s="569"/>
      <c r="H863" s="569"/>
      <c r="I863" s="569"/>
      <c r="J863" s="569"/>
      <c r="K863" s="569"/>
      <c r="L863" s="569"/>
      <c r="M863" s="569"/>
      <c r="N863" s="569"/>
      <c r="O863" s="569"/>
      <c r="P863" s="569"/>
      <c r="Q863" s="569"/>
      <c r="R863" s="569"/>
      <c r="S863" s="569"/>
      <c r="T863" s="569"/>
      <c r="U863" s="569"/>
      <c r="V863" s="569"/>
      <c r="W863" s="569"/>
      <c r="X863" s="569"/>
      <c r="Y863" s="569"/>
      <c r="Z863" s="569"/>
      <c r="AA863" s="569"/>
    </row>
    <row r="864" ht="12.75" customHeight="1">
      <c r="A864" s="569"/>
      <c r="B864" s="569"/>
      <c r="D864" s="569"/>
      <c r="E864" s="569"/>
      <c r="F864" s="569"/>
      <c r="G864" s="569"/>
      <c r="H864" s="569"/>
      <c r="I864" s="569"/>
      <c r="J864" s="569"/>
      <c r="K864" s="569"/>
      <c r="L864" s="569"/>
      <c r="M864" s="569"/>
      <c r="N864" s="569"/>
      <c r="O864" s="569"/>
      <c r="P864" s="569"/>
      <c r="Q864" s="569"/>
      <c r="R864" s="569"/>
      <c r="S864" s="569"/>
      <c r="T864" s="569"/>
      <c r="U864" s="569"/>
      <c r="V864" s="569"/>
      <c r="W864" s="569"/>
      <c r="X864" s="569"/>
      <c r="Y864" s="569"/>
      <c r="Z864" s="569"/>
      <c r="AA864" s="569"/>
    </row>
    <row r="865" ht="12.75" customHeight="1">
      <c r="A865" s="569"/>
      <c r="B865" s="569"/>
      <c r="D865" s="569"/>
      <c r="E865" s="569"/>
      <c r="F865" s="569"/>
      <c r="G865" s="569"/>
      <c r="H865" s="569"/>
      <c r="I865" s="569"/>
      <c r="J865" s="569"/>
      <c r="K865" s="569"/>
      <c r="L865" s="569"/>
      <c r="M865" s="569"/>
      <c r="N865" s="569"/>
      <c r="O865" s="569"/>
      <c r="P865" s="569"/>
      <c r="Q865" s="569"/>
      <c r="R865" s="569"/>
      <c r="S865" s="569"/>
      <c r="T865" s="569"/>
      <c r="U865" s="569"/>
      <c r="V865" s="569"/>
      <c r="W865" s="569"/>
      <c r="X865" s="569"/>
      <c r="Y865" s="569"/>
      <c r="Z865" s="569"/>
      <c r="AA865" s="569"/>
    </row>
    <row r="866" ht="12.75" customHeight="1">
      <c r="A866" s="569"/>
      <c r="B866" s="569"/>
      <c r="D866" s="569"/>
      <c r="E866" s="569"/>
      <c r="F866" s="569"/>
      <c r="G866" s="569"/>
      <c r="H866" s="569"/>
      <c r="I866" s="569"/>
      <c r="J866" s="569"/>
      <c r="K866" s="569"/>
      <c r="L866" s="569"/>
      <c r="M866" s="569"/>
      <c r="N866" s="569"/>
      <c r="O866" s="569"/>
      <c r="P866" s="569"/>
      <c r="Q866" s="569"/>
      <c r="R866" s="569"/>
      <c r="S866" s="569"/>
      <c r="T866" s="569"/>
      <c r="U866" s="569"/>
      <c r="V866" s="569"/>
      <c r="W866" s="569"/>
      <c r="X866" s="569"/>
      <c r="Y866" s="569"/>
      <c r="Z866" s="569"/>
      <c r="AA866" s="569"/>
    </row>
    <row r="867" ht="12.75" customHeight="1">
      <c r="A867" s="569"/>
      <c r="B867" s="569"/>
      <c r="D867" s="569"/>
      <c r="E867" s="569"/>
      <c r="F867" s="569"/>
      <c r="G867" s="569"/>
      <c r="H867" s="569"/>
      <c r="I867" s="569"/>
      <c r="J867" s="569"/>
      <c r="K867" s="569"/>
      <c r="L867" s="569"/>
      <c r="M867" s="569"/>
      <c r="N867" s="569"/>
      <c r="O867" s="569"/>
      <c r="P867" s="569"/>
      <c r="Q867" s="569"/>
      <c r="R867" s="569"/>
      <c r="S867" s="569"/>
      <c r="T867" s="569"/>
      <c r="U867" s="569"/>
      <c r="V867" s="569"/>
      <c r="W867" s="569"/>
      <c r="X867" s="569"/>
      <c r="Y867" s="569"/>
      <c r="Z867" s="569"/>
      <c r="AA867" s="569"/>
    </row>
    <row r="868" ht="12.75" customHeight="1">
      <c r="A868" s="569"/>
      <c r="B868" s="569"/>
      <c r="D868" s="569"/>
      <c r="E868" s="569"/>
      <c r="F868" s="569"/>
      <c r="G868" s="569"/>
      <c r="H868" s="569"/>
      <c r="I868" s="569"/>
      <c r="J868" s="569"/>
      <c r="K868" s="569"/>
      <c r="L868" s="569"/>
      <c r="M868" s="569"/>
      <c r="N868" s="569"/>
      <c r="O868" s="569"/>
      <c r="P868" s="569"/>
      <c r="Q868" s="569"/>
      <c r="R868" s="569"/>
      <c r="S868" s="569"/>
      <c r="T868" s="569"/>
      <c r="U868" s="569"/>
      <c r="V868" s="569"/>
      <c r="W868" s="569"/>
      <c r="X868" s="569"/>
      <c r="Y868" s="569"/>
      <c r="Z868" s="569"/>
      <c r="AA868" s="569"/>
    </row>
    <row r="869" ht="12.75" customHeight="1">
      <c r="A869" s="569"/>
      <c r="B869" s="569"/>
      <c r="D869" s="569"/>
      <c r="E869" s="569"/>
      <c r="F869" s="569"/>
      <c r="G869" s="569"/>
      <c r="H869" s="569"/>
      <c r="I869" s="569"/>
      <c r="J869" s="569"/>
      <c r="K869" s="569"/>
      <c r="L869" s="569"/>
      <c r="M869" s="569"/>
      <c r="N869" s="569"/>
      <c r="O869" s="569"/>
      <c r="P869" s="569"/>
      <c r="Q869" s="569"/>
      <c r="R869" s="569"/>
      <c r="S869" s="569"/>
      <c r="T869" s="569"/>
      <c r="U869" s="569"/>
      <c r="V869" s="569"/>
      <c r="W869" s="569"/>
      <c r="X869" s="569"/>
      <c r="Y869" s="569"/>
      <c r="Z869" s="569"/>
      <c r="AA869" s="569"/>
    </row>
    <row r="870" ht="12.75" customHeight="1">
      <c r="A870" s="569"/>
      <c r="B870" s="569"/>
      <c r="D870" s="569"/>
      <c r="E870" s="569"/>
      <c r="F870" s="569"/>
      <c r="G870" s="569"/>
      <c r="H870" s="569"/>
      <c r="I870" s="569"/>
      <c r="J870" s="569"/>
      <c r="K870" s="569"/>
      <c r="L870" s="569"/>
      <c r="M870" s="569"/>
      <c r="N870" s="569"/>
      <c r="O870" s="569"/>
      <c r="P870" s="569"/>
      <c r="Q870" s="569"/>
      <c r="R870" s="569"/>
      <c r="S870" s="569"/>
      <c r="T870" s="569"/>
      <c r="U870" s="569"/>
      <c r="V870" s="569"/>
      <c r="W870" s="569"/>
      <c r="X870" s="569"/>
      <c r="Y870" s="569"/>
      <c r="Z870" s="569"/>
      <c r="AA870" s="569"/>
    </row>
    <row r="871" ht="12.75" customHeight="1">
      <c r="A871" s="569"/>
      <c r="B871" s="569"/>
      <c r="D871" s="569"/>
      <c r="E871" s="569"/>
      <c r="F871" s="569"/>
      <c r="G871" s="569"/>
      <c r="H871" s="569"/>
      <c r="I871" s="569"/>
      <c r="J871" s="569"/>
      <c r="K871" s="569"/>
      <c r="L871" s="569"/>
      <c r="M871" s="569"/>
      <c r="N871" s="569"/>
      <c r="O871" s="569"/>
      <c r="P871" s="569"/>
      <c r="Q871" s="569"/>
      <c r="R871" s="569"/>
      <c r="S871" s="569"/>
      <c r="T871" s="569"/>
      <c r="U871" s="569"/>
      <c r="V871" s="569"/>
      <c r="W871" s="569"/>
      <c r="X871" s="569"/>
      <c r="Y871" s="569"/>
      <c r="Z871" s="569"/>
      <c r="AA871" s="569"/>
    </row>
    <row r="872" ht="12.75" customHeight="1">
      <c r="A872" s="569"/>
      <c r="B872" s="569"/>
      <c r="D872" s="569"/>
      <c r="E872" s="569"/>
      <c r="F872" s="569"/>
      <c r="G872" s="569"/>
      <c r="H872" s="569"/>
      <c r="I872" s="569"/>
      <c r="J872" s="569"/>
      <c r="K872" s="569"/>
      <c r="L872" s="569"/>
      <c r="M872" s="569"/>
      <c r="N872" s="569"/>
      <c r="O872" s="569"/>
      <c r="P872" s="569"/>
      <c r="Q872" s="569"/>
      <c r="R872" s="569"/>
      <c r="S872" s="569"/>
      <c r="T872" s="569"/>
      <c r="U872" s="569"/>
      <c r="V872" s="569"/>
      <c r="W872" s="569"/>
      <c r="X872" s="569"/>
      <c r="Y872" s="569"/>
      <c r="Z872" s="569"/>
      <c r="AA872" s="569"/>
    </row>
    <row r="873" ht="12.75" customHeight="1">
      <c r="A873" s="569"/>
      <c r="B873" s="569"/>
      <c r="D873" s="569"/>
      <c r="E873" s="569"/>
      <c r="F873" s="569"/>
      <c r="G873" s="569"/>
      <c r="H873" s="569"/>
      <c r="I873" s="569"/>
      <c r="J873" s="569"/>
      <c r="K873" s="569"/>
      <c r="L873" s="569"/>
      <c r="M873" s="569"/>
      <c r="N873" s="569"/>
      <c r="O873" s="569"/>
      <c r="P873" s="569"/>
      <c r="Q873" s="569"/>
      <c r="R873" s="569"/>
      <c r="S873" s="569"/>
      <c r="T873" s="569"/>
      <c r="U873" s="569"/>
      <c r="V873" s="569"/>
      <c r="W873" s="569"/>
      <c r="X873" s="569"/>
      <c r="Y873" s="569"/>
      <c r="Z873" s="569"/>
      <c r="AA873" s="569"/>
    </row>
    <row r="874" ht="12.75" customHeight="1">
      <c r="A874" s="569"/>
      <c r="B874" s="569"/>
      <c r="D874" s="569"/>
      <c r="E874" s="569"/>
      <c r="F874" s="569"/>
      <c r="G874" s="569"/>
      <c r="H874" s="569"/>
      <c r="I874" s="569"/>
      <c r="J874" s="569"/>
      <c r="K874" s="569"/>
      <c r="L874" s="569"/>
      <c r="M874" s="569"/>
      <c r="N874" s="569"/>
      <c r="O874" s="569"/>
      <c r="P874" s="569"/>
      <c r="Q874" s="569"/>
      <c r="R874" s="569"/>
      <c r="S874" s="569"/>
      <c r="T874" s="569"/>
      <c r="U874" s="569"/>
      <c r="V874" s="569"/>
      <c r="W874" s="569"/>
      <c r="X874" s="569"/>
      <c r="Y874" s="569"/>
      <c r="Z874" s="569"/>
      <c r="AA874" s="569"/>
    </row>
    <row r="875" ht="12.75" customHeight="1">
      <c r="A875" s="569"/>
      <c r="B875" s="569"/>
      <c r="D875" s="569"/>
      <c r="E875" s="569"/>
      <c r="F875" s="569"/>
      <c r="G875" s="569"/>
      <c r="H875" s="569"/>
      <c r="I875" s="569"/>
      <c r="J875" s="569"/>
      <c r="K875" s="569"/>
      <c r="L875" s="569"/>
      <c r="M875" s="569"/>
      <c r="N875" s="569"/>
      <c r="O875" s="569"/>
      <c r="P875" s="569"/>
      <c r="Q875" s="569"/>
      <c r="R875" s="569"/>
      <c r="S875" s="569"/>
      <c r="T875" s="569"/>
      <c r="U875" s="569"/>
      <c r="V875" s="569"/>
      <c r="W875" s="569"/>
      <c r="X875" s="569"/>
      <c r="Y875" s="569"/>
      <c r="Z875" s="569"/>
      <c r="AA875" s="569"/>
    </row>
    <row r="876" ht="12.75" customHeight="1">
      <c r="A876" s="569"/>
      <c r="B876" s="569"/>
      <c r="D876" s="569"/>
      <c r="E876" s="569"/>
      <c r="F876" s="569"/>
      <c r="G876" s="569"/>
      <c r="H876" s="569"/>
      <c r="I876" s="569"/>
      <c r="J876" s="569"/>
      <c r="K876" s="569"/>
      <c r="L876" s="569"/>
      <c r="M876" s="569"/>
      <c r="N876" s="569"/>
      <c r="O876" s="569"/>
      <c r="P876" s="569"/>
      <c r="Q876" s="569"/>
      <c r="R876" s="569"/>
      <c r="S876" s="569"/>
      <c r="T876" s="569"/>
      <c r="U876" s="569"/>
      <c r="V876" s="569"/>
      <c r="W876" s="569"/>
      <c r="X876" s="569"/>
      <c r="Y876" s="569"/>
      <c r="Z876" s="569"/>
      <c r="AA876" s="569"/>
    </row>
    <row r="877" ht="12.75" customHeight="1">
      <c r="A877" s="569"/>
      <c r="B877" s="569"/>
      <c r="D877" s="569"/>
      <c r="E877" s="569"/>
      <c r="F877" s="569"/>
      <c r="G877" s="569"/>
      <c r="H877" s="569"/>
      <c r="I877" s="569"/>
      <c r="J877" s="569"/>
      <c r="K877" s="569"/>
      <c r="L877" s="569"/>
      <c r="M877" s="569"/>
      <c r="N877" s="569"/>
      <c r="O877" s="569"/>
      <c r="P877" s="569"/>
      <c r="Q877" s="569"/>
      <c r="R877" s="569"/>
      <c r="S877" s="569"/>
      <c r="T877" s="569"/>
      <c r="U877" s="569"/>
      <c r="V877" s="569"/>
      <c r="W877" s="569"/>
      <c r="X877" s="569"/>
      <c r="Y877" s="569"/>
      <c r="Z877" s="569"/>
      <c r="AA877" s="569"/>
    </row>
    <row r="878" ht="12.75" customHeight="1">
      <c r="A878" s="569"/>
      <c r="B878" s="569"/>
      <c r="D878" s="569"/>
      <c r="E878" s="569"/>
      <c r="F878" s="569"/>
      <c r="G878" s="569"/>
      <c r="H878" s="569"/>
      <c r="I878" s="569"/>
      <c r="J878" s="569"/>
      <c r="K878" s="569"/>
      <c r="L878" s="569"/>
      <c r="M878" s="569"/>
      <c r="N878" s="569"/>
      <c r="O878" s="569"/>
      <c r="P878" s="569"/>
      <c r="Q878" s="569"/>
      <c r="R878" s="569"/>
      <c r="S878" s="569"/>
      <c r="T878" s="569"/>
      <c r="U878" s="569"/>
      <c r="V878" s="569"/>
      <c r="W878" s="569"/>
      <c r="X878" s="569"/>
      <c r="Y878" s="569"/>
      <c r="Z878" s="569"/>
      <c r="AA878" s="569"/>
    </row>
    <row r="879" ht="12.75" customHeight="1">
      <c r="A879" s="569"/>
      <c r="B879" s="569"/>
      <c r="D879" s="569"/>
      <c r="E879" s="569"/>
      <c r="F879" s="569"/>
      <c r="G879" s="569"/>
      <c r="H879" s="569"/>
      <c r="I879" s="569"/>
      <c r="J879" s="569"/>
      <c r="K879" s="569"/>
      <c r="L879" s="569"/>
      <c r="M879" s="569"/>
      <c r="N879" s="569"/>
      <c r="O879" s="569"/>
      <c r="P879" s="569"/>
      <c r="Q879" s="569"/>
      <c r="R879" s="569"/>
      <c r="S879" s="569"/>
      <c r="T879" s="569"/>
      <c r="U879" s="569"/>
      <c r="V879" s="569"/>
      <c r="W879" s="569"/>
      <c r="X879" s="569"/>
      <c r="Y879" s="569"/>
      <c r="Z879" s="569"/>
      <c r="AA879" s="569"/>
    </row>
    <row r="880" ht="12.75" customHeight="1">
      <c r="A880" s="569"/>
      <c r="B880" s="569"/>
      <c r="D880" s="569"/>
      <c r="E880" s="569"/>
      <c r="F880" s="569"/>
      <c r="G880" s="569"/>
      <c r="H880" s="569"/>
      <c r="I880" s="569"/>
      <c r="J880" s="569"/>
      <c r="K880" s="569"/>
      <c r="L880" s="569"/>
      <c r="M880" s="569"/>
      <c r="N880" s="569"/>
      <c r="O880" s="569"/>
      <c r="P880" s="569"/>
      <c r="Q880" s="569"/>
      <c r="R880" s="569"/>
      <c r="S880" s="569"/>
      <c r="T880" s="569"/>
      <c r="U880" s="569"/>
      <c r="V880" s="569"/>
      <c r="W880" s="569"/>
      <c r="X880" s="569"/>
      <c r="Y880" s="569"/>
      <c r="Z880" s="569"/>
      <c r="AA880" s="569"/>
    </row>
    <row r="881" ht="12.75" customHeight="1">
      <c r="A881" s="569"/>
      <c r="B881" s="569"/>
      <c r="D881" s="569"/>
      <c r="E881" s="569"/>
      <c r="F881" s="569"/>
      <c r="G881" s="569"/>
      <c r="H881" s="569"/>
      <c r="I881" s="569"/>
      <c r="J881" s="569"/>
      <c r="K881" s="569"/>
      <c r="L881" s="569"/>
      <c r="M881" s="569"/>
      <c r="N881" s="569"/>
      <c r="O881" s="569"/>
      <c r="P881" s="569"/>
      <c r="Q881" s="569"/>
      <c r="R881" s="569"/>
      <c r="S881" s="569"/>
      <c r="T881" s="569"/>
      <c r="U881" s="569"/>
      <c r="V881" s="569"/>
      <c r="W881" s="569"/>
      <c r="X881" s="569"/>
      <c r="Y881" s="569"/>
      <c r="Z881" s="569"/>
      <c r="AA881" s="569"/>
    </row>
    <row r="882" ht="12.75" customHeight="1">
      <c r="A882" s="569"/>
      <c r="B882" s="569"/>
      <c r="D882" s="569"/>
      <c r="E882" s="569"/>
      <c r="F882" s="569"/>
      <c r="G882" s="569"/>
      <c r="H882" s="569"/>
      <c r="I882" s="569"/>
      <c r="J882" s="569"/>
      <c r="K882" s="569"/>
      <c r="L882" s="569"/>
      <c r="M882" s="569"/>
      <c r="N882" s="569"/>
      <c r="O882" s="569"/>
      <c r="P882" s="569"/>
      <c r="Q882" s="569"/>
      <c r="R882" s="569"/>
      <c r="S882" s="569"/>
      <c r="T882" s="569"/>
      <c r="U882" s="569"/>
      <c r="V882" s="569"/>
      <c r="W882" s="569"/>
      <c r="X882" s="569"/>
      <c r="Y882" s="569"/>
      <c r="Z882" s="569"/>
      <c r="AA882" s="569"/>
    </row>
    <row r="883" ht="12.75" customHeight="1">
      <c r="A883" s="569"/>
      <c r="B883" s="569"/>
      <c r="D883" s="569"/>
      <c r="E883" s="569"/>
      <c r="F883" s="569"/>
      <c r="G883" s="569"/>
      <c r="H883" s="569"/>
      <c r="I883" s="569"/>
      <c r="J883" s="569"/>
      <c r="K883" s="569"/>
      <c r="L883" s="569"/>
      <c r="M883" s="569"/>
      <c r="N883" s="569"/>
      <c r="O883" s="569"/>
      <c r="P883" s="569"/>
      <c r="Q883" s="569"/>
      <c r="R883" s="569"/>
      <c r="S883" s="569"/>
      <c r="T883" s="569"/>
      <c r="U883" s="569"/>
      <c r="V883" s="569"/>
      <c r="W883" s="569"/>
      <c r="X883" s="569"/>
      <c r="Y883" s="569"/>
      <c r="Z883" s="569"/>
      <c r="AA883" s="569"/>
    </row>
    <row r="884" ht="12.75" customHeight="1">
      <c r="A884" s="569"/>
      <c r="B884" s="569"/>
      <c r="D884" s="569"/>
      <c r="E884" s="569"/>
      <c r="F884" s="569"/>
      <c r="G884" s="569"/>
      <c r="H884" s="569"/>
      <c r="I884" s="569"/>
      <c r="J884" s="569"/>
      <c r="K884" s="569"/>
      <c r="L884" s="569"/>
      <c r="M884" s="569"/>
      <c r="N884" s="569"/>
      <c r="O884" s="569"/>
      <c r="P884" s="569"/>
      <c r="Q884" s="569"/>
      <c r="R884" s="569"/>
      <c r="S884" s="569"/>
      <c r="T884" s="569"/>
      <c r="U884" s="569"/>
      <c r="V884" s="569"/>
      <c r="W884" s="569"/>
      <c r="X884" s="569"/>
      <c r="Y884" s="569"/>
      <c r="Z884" s="569"/>
      <c r="AA884" s="569"/>
    </row>
    <row r="885" ht="12.75" customHeight="1">
      <c r="A885" s="569"/>
      <c r="B885" s="569"/>
      <c r="D885" s="569"/>
      <c r="E885" s="569"/>
      <c r="F885" s="569"/>
      <c r="G885" s="569"/>
      <c r="H885" s="569"/>
      <c r="I885" s="569"/>
      <c r="J885" s="569"/>
      <c r="K885" s="569"/>
      <c r="L885" s="569"/>
      <c r="M885" s="569"/>
      <c r="N885" s="569"/>
      <c r="O885" s="569"/>
      <c r="P885" s="569"/>
      <c r="Q885" s="569"/>
      <c r="R885" s="569"/>
      <c r="S885" s="569"/>
      <c r="T885" s="569"/>
      <c r="U885" s="569"/>
      <c r="V885" s="569"/>
      <c r="W885" s="569"/>
      <c r="X885" s="569"/>
      <c r="Y885" s="569"/>
      <c r="Z885" s="569"/>
      <c r="AA885" s="569"/>
    </row>
    <row r="886" ht="12.75" customHeight="1">
      <c r="A886" s="569"/>
      <c r="B886" s="569"/>
      <c r="D886" s="569"/>
      <c r="E886" s="569"/>
      <c r="F886" s="569"/>
      <c r="G886" s="569"/>
      <c r="H886" s="569"/>
      <c r="I886" s="569"/>
      <c r="J886" s="569"/>
      <c r="K886" s="569"/>
      <c r="L886" s="569"/>
      <c r="M886" s="569"/>
      <c r="N886" s="569"/>
      <c r="O886" s="569"/>
      <c r="P886" s="569"/>
      <c r="Q886" s="569"/>
      <c r="R886" s="569"/>
      <c r="S886" s="569"/>
      <c r="T886" s="569"/>
      <c r="U886" s="569"/>
      <c r="V886" s="569"/>
      <c r="W886" s="569"/>
      <c r="X886" s="569"/>
      <c r="Y886" s="569"/>
      <c r="Z886" s="569"/>
      <c r="AA886" s="569"/>
    </row>
    <row r="887" ht="12.75" customHeight="1">
      <c r="A887" s="569"/>
      <c r="B887" s="569"/>
      <c r="D887" s="569"/>
      <c r="E887" s="569"/>
      <c r="F887" s="569"/>
      <c r="G887" s="569"/>
      <c r="H887" s="569"/>
      <c r="I887" s="569"/>
      <c r="J887" s="569"/>
      <c r="K887" s="569"/>
      <c r="L887" s="569"/>
      <c r="M887" s="569"/>
      <c r="N887" s="569"/>
      <c r="O887" s="569"/>
      <c r="P887" s="569"/>
      <c r="Q887" s="569"/>
      <c r="R887" s="569"/>
      <c r="S887" s="569"/>
      <c r="T887" s="569"/>
      <c r="U887" s="569"/>
      <c r="V887" s="569"/>
      <c r="W887" s="569"/>
      <c r="X887" s="569"/>
      <c r="Y887" s="569"/>
      <c r="Z887" s="569"/>
      <c r="AA887" s="569"/>
    </row>
    <row r="888" ht="12.75" customHeight="1">
      <c r="A888" s="569"/>
      <c r="B888" s="569"/>
      <c r="D888" s="569"/>
      <c r="E888" s="569"/>
      <c r="F888" s="569"/>
      <c r="G888" s="569"/>
      <c r="H888" s="569"/>
      <c r="I888" s="569"/>
      <c r="J888" s="569"/>
      <c r="K888" s="569"/>
      <c r="L888" s="569"/>
      <c r="M888" s="569"/>
      <c r="N888" s="569"/>
      <c r="O888" s="569"/>
      <c r="P888" s="569"/>
      <c r="Q888" s="569"/>
      <c r="R888" s="569"/>
      <c r="S888" s="569"/>
      <c r="T888" s="569"/>
      <c r="U888" s="569"/>
      <c r="V888" s="569"/>
      <c r="W888" s="569"/>
      <c r="X888" s="569"/>
      <c r="Y888" s="569"/>
      <c r="Z888" s="569"/>
      <c r="AA888" s="569"/>
    </row>
    <row r="889" ht="12.75" customHeight="1">
      <c r="A889" s="569"/>
      <c r="B889" s="569"/>
      <c r="D889" s="569"/>
      <c r="E889" s="569"/>
      <c r="F889" s="569"/>
      <c r="G889" s="569"/>
      <c r="H889" s="569"/>
      <c r="I889" s="569"/>
      <c r="J889" s="569"/>
      <c r="K889" s="569"/>
      <c r="L889" s="569"/>
      <c r="M889" s="569"/>
      <c r="N889" s="569"/>
      <c r="O889" s="569"/>
      <c r="P889" s="569"/>
      <c r="Q889" s="569"/>
      <c r="R889" s="569"/>
      <c r="S889" s="569"/>
      <c r="T889" s="569"/>
      <c r="U889" s="569"/>
      <c r="V889" s="569"/>
      <c r="W889" s="569"/>
      <c r="X889" s="569"/>
      <c r="Y889" s="569"/>
      <c r="Z889" s="569"/>
      <c r="AA889" s="569"/>
    </row>
    <row r="890" ht="12.75" customHeight="1">
      <c r="A890" s="569"/>
      <c r="B890" s="569"/>
      <c r="D890" s="569"/>
      <c r="E890" s="569"/>
      <c r="F890" s="569"/>
      <c r="G890" s="569"/>
      <c r="H890" s="569"/>
      <c r="I890" s="569"/>
      <c r="J890" s="569"/>
      <c r="K890" s="569"/>
      <c r="L890" s="569"/>
      <c r="M890" s="569"/>
      <c r="N890" s="569"/>
      <c r="O890" s="569"/>
      <c r="P890" s="569"/>
      <c r="Q890" s="569"/>
      <c r="R890" s="569"/>
      <c r="S890" s="569"/>
      <c r="T890" s="569"/>
      <c r="U890" s="569"/>
      <c r="V890" s="569"/>
      <c r="W890" s="569"/>
      <c r="X890" s="569"/>
      <c r="Y890" s="569"/>
      <c r="Z890" s="569"/>
      <c r="AA890" s="569"/>
    </row>
    <row r="891" ht="12.75" customHeight="1">
      <c r="A891" s="569"/>
      <c r="B891" s="569"/>
      <c r="D891" s="569"/>
      <c r="E891" s="569"/>
      <c r="F891" s="569"/>
      <c r="G891" s="569"/>
      <c r="H891" s="569"/>
      <c r="I891" s="569"/>
      <c r="J891" s="569"/>
      <c r="K891" s="569"/>
      <c r="L891" s="569"/>
      <c r="M891" s="569"/>
      <c r="N891" s="569"/>
      <c r="O891" s="569"/>
      <c r="P891" s="569"/>
      <c r="Q891" s="569"/>
      <c r="R891" s="569"/>
      <c r="S891" s="569"/>
      <c r="T891" s="569"/>
      <c r="U891" s="569"/>
      <c r="V891" s="569"/>
      <c r="W891" s="569"/>
      <c r="X891" s="569"/>
      <c r="Y891" s="569"/>
      <c r="Z891" s="569"/>
      <c r="AA891" s="569"/>
    </row>
    <row r="892" ht="12.75" customHeight="1">
      <c r="A892" s="569"/>
      <c r="B892" s="569"/>
      <c r="D892" s="569"/>
      <c r="E892" s="569"/>
      <c r="F892" s="569"/>
      <c r="G892" s="569"/>
      <c r="H892" s="569"/>
      <c r="I892" s="569"/>
      <c r="J892" s="569"/>
      <c r="K892" s="569"/>
      <c r="L892" s="569"/>
      <c r="M892" s="569"/>
      <c r="N892" s="569"/>
      <c r="O892" s="569"/>
      <c r="P892" s="569"/>
      <c r="Q892" s="569"/>
      <c r="R892" s="569"/>
      <c r="S892" s="569"/>
      <c r="T892" s="569"/>
      <c r="U892" s="569"/>
      <c r="V892" s="569"/>
      <c r="W892" s="569"/>
      <c r="X892" s="569"/>
      <c r="Y892" s="569"/>
      <c r="Z892" s="569"/>
      <c r="AA892" s="569"/>
    </row>
    <row r="893" ht="12.75" customHeight="1">
      <c r="A893" s="569"/>
      <c r="B893" s="569"/>
      <c r="D893" s="569"/>
      <c r="E893" s="569"/>
      <c r="F893" s="569"/>
      <c r="G893" s="569"/>
      <c r="H893" s="569"/>
      <c r="I893" s="569"/>
      <c r="J893" s="569"/>
      <c r="K893" s="569"/>
      <c r="L893" s="569"/>
      <c r="M893" s="569"/>
      <c r="N893" s="569"/>
      <c r="O893" s="569"/>
      <c r="P893" s="569"/>
      <c r="Q893" s="569"/>
      <c r="R893" s="569"/>
      <c r="S893" s="569"/>
      <c r="T893" s="569"/>
      <c r="U893" s="569"/>
      <c r="V893" s="569"/>
      <c r="W893" s="569"/>
      <c r="X893" s="569"/>
      <c r="Y893" s="569"/>
      <c r="Z893" s="569"/>
      <c r="AA893" s="569"/>
    </row>
    <row r="894" ht="12.75" customHeight="1">
      <c r="A894" s="569"/>
      <c r="B894" s="569"/>
      <c r="D894" s="569"/>
      <c r="E894" s="569"/>
      <c r="F894" s="569"/>
      <c r="G894" s="569"/>
      <c r="H894" s="569"/>
      <c r="I894" s="569"/>
      <c r="J894" s="569"/>
      <c r="K894" s="569"/>
      <c r="L894" s="569"/>
      <c r="M894" s="569"/>
      <c r="N894" s="569"/>
      <c r="O894" s="569"/>
      <c r="P894" s="569"/>
      <c r="Q894" s="569"/>
      <c r="R894" s="569"/>
      <c r="S894" s="569"/>
      <c r="T894" s="569"/>
      <c r="U894" s="569"/>
      <c r="V894" s="569"/>
      <c r="W894" s="569"/>
      <c r="X894" s="569"/>
      <c r="Y894" s="569"/>
      <c r="Z894" s="569"/>
      <c r="AA894" s="569"/>
    </row>
    <row r="895" ht="12.75" customHeight="1">
      <c r="A895" s="569"/>
      <c r="B895" s="569"/>
      <c r="D895" s="569"/>
      <c r="E895" s="569"/>
      <c r="F895" s="569"/>
      <c r="G895" s="569"/>
      <c r="H895" s="569"/>
      <c r="I895" s="569"/>
      <c r="J895" s="569"/>
      <c r="K895" s="569"/>
      <c r="L895" s="569"/>
      <c r="M895" s="569"/>
      <c r="N895" s="569"/>
      <c r="O895" s="569"/>
      <c r="P895" s="569"/>
      <c r="Q895" s="569"/>
      <c r="R895" s="569"/>
      <c r="S895" s="569"/>
      <c r="T895" s="569"/>
      <c r="U895" s="569"/>
      <c r="V895" s="569"/>
      <c r="W895" s="569"/>
      <c r="X895" s="569"/>
      <c r="Y895" s="569"/>
      <c r="Z895" s="569"/>
      <c r="AA895" s="569"/>
    </row>
    <row r="896" ht="12.75" customHeight="1">
      <c r="A896" s="569"/>
      <c r="B896" s="569"/>
      <c r="D896" s="569"/>
      <c r="E896" s="569"/>
      <c r="F896" s="569"/>
      <c r="G896" s="569"/>
      <c r="H896" s="569"/>
      <c r="I896" s="569"/>
      <c r="J896" s="569"/>
      <c r="K896" s="569"/>
      <c r="L896" s="569"/>
      <c r="M896" s="569"/>
      <c r="N896" s="569"/>
      <c r="O896" s="569"/>
      <c r="P896" s="569"/>
      <c r="Q896" s="569"/>
      <c r="R896" s="569"/>
      <c r="S896" s="569"/>
      <c r="T896" s="569"/>
      <c r="U896" s="569"/>
      <c r="V896" s="569"/>
      <c r="W896" s="569"/>
      <c r="X896" s="569"/>
      <c r="Y896" s="569"/>
      <c r="Z896" s="569"/>
      <c r="AA896" s="569"/>
    </row>
    <row r="897" ht="12.75" customHeight="1">
      <c r="A897" s="569"/>
      <c r="B897" s="569"/>
      <c r="D897" s="569"/>
      <c r="E897" s="569"/>
      <c r="F897" s="569"/>
      <c r="G897" s="569"/>
      <c r="H897" s="569"/>
      <c r="I897" s="569"/>
      <c r="J897" s="569"/>
      <c r="K897" s="569"/>
      <c r="L897" s="569"/>
      <c r="M897" s="569"/>
      <c r="N897" s="569"/>
      <c r="O897" s="569"/>
      <c r="P897" s="569"/>
      <c r="Q897" s="569"/>
      <c r="R897" s="569"/>
      <c r="S897" s="569"/>
      <c r="T897" s="569"/>
      <c r="U897" s="569"/>
      <c r="V897" s="569"/>
      <c r="W897" s="569"/>
      <c r="X897" s="569"/>
      <c r="Y897" s="569"/>
      <c r="Z897" s="569"/>
      <c r="AA897" s="569"/>
    </row>
    <row r="898" ht="12.75" customHeight="1">
      <c r="A898" s="569"/>
      <c r="B898" s="569"/>
      <c r="D898" s="569"/>
      <c r="E898" s="569"/>
      <c r="F898" s="569"/>
      <c r="G898" s="569"/>
      <c r="H898" s="569"/>
      <c r="I898" s="569"/>
      <c r="J898" s="569"/>
      <c r="K898" s="569"/>
      <c r="L898" s="569"/>
      <c r="M898" s="569"/>
      <c r="N898" s="569"/>
      <c r="O898" s="569"/>
      <c r="P898" s="569"/>
      <c r="Q898" s="569"/>
      <c r="R898" s="569"/>
      <c r="S898" s="569"/>
      <c r="T898" s="569"/>
      <c r="U898" s="569"/>
      <c r="V898" s="569"/>
      <c r="W898" s="569"/>
      <c r="X898" s="569"/>
      <c r="Y898" s="569"/>
      <c r="Z898" s="569"/>
      <c r="AA898" s="569"/>
    </row>
    <row r="899" ht="12.75" customHeight="1">
      <c r="A899" s="569"/>
      <c r="B899" s="569"/>
      <c r="D899" s="569"/>
      <c r="E899" s="569"/>
      <c r="F899" s="569"/>
      <c r="G899" s="569"/>
      <c r="H899" s="569"/>
      <c r="I899" s="569"/>
      <c r="J899" s="569"/>
      <c r="K899" s="569"/>
      <c r="L899" s="569"/>
      <c r="M899" s="569"/>
      <c r="N899" s="569"/>
      <c r="O899" s="569"/>
      <c r="P899" s="569"/>
      <c r="Q899" s="569"/>
      <c r="R899" s="569"/>
      <c r="S899" s="569"/>
      <c r="T899" s="569"/>
      <c r="U899" s="569"/>
      <c r="V899" s="569"/>
      <c r="W899" s="569"/>
      <c r="X899" s="569"/>
      <c r="Y899" s="569"/>
      <c r="Z899" s="569"/>
      <c r="AA899" s="569"/>
    </row>
    <row r="900" ht="12.75" customHeight="1">
      <c r="A900" s="569"/>
      <c r="B900" s="569"/>
      <c r="D900" s="569"/>
      <c r="E900" s="569"/>
      <c r="F900" s="569"/>
      <c r="G900" s="569"/>
      <c r="H900" s="569"/>
      <c r="I900" s="569"/>
      <c r="J900" s="569"/>
      <c r="K900" s="569"/>
      <c r="L900" s="569"/>
      <c r="M900" s="569"/>
      <c r="N900" s="569"/>
      <c r="O900" s="569"/>
      <c r="P900" s="569"/>
      <c r="Q900" s="569"/>
      <c r="R900" s="569"/>
      <c r="S900" s="569"/>
      <c r="T900" s="569"/>
      <c r="U900" s="569"/>
      <c r="V900" s="569"/>
      <c r="W900" s="569"/>
      <c r="X900" s="569"/>
      <c r="Y900" s="569"/>
      <c r="Z900" s="569"/>
      <c r="AA900" s="569"/>
    </row>
    <row r="901" ht="12.75" customHeight="1">
      <c r="A901" s="569"/>
      <c r="B901" s="569"/>
      <c r="D901" s="569"/>
      <c r="E901" s="569"/>
      <c r="F901" s="569"/>
      <c r="G901" s="569"/>
      <c r="H901" s="569"/>
      <c r="I901" s="569"/>
      <c r="J901" s="569"/>
      <c r="K901" s="569"/>
      <c r="L901" s="569"/>
      <c r="M901" s="569"/>
      <c r="N901" s="569"/>
      <c r="O901" s="569"/>
      <c r="P901" s="569"/>
      <c r="Q901" s="569"/>
      <c r="R901" s="569"/>
      <c r="S901" s="569"/>
      <c r="T901" s="569"/>
      <c r="U901" s="569"/>
      <c r="V901" s="569"/>
      <c r="W901" s="569"/>
      <c r="X901" s="569"/>
      <c r="Y901" s="569"/>
      <c r="Z901" s="569"/>
      <c r="AA901" s="569"/>
    </row>
    <row r="902" ht="12.75" customHeight="1">
      <c r="A902" s="569"/>
      <c r="B902" s="569"/>
      <c r="D902" s="569"/>
      <c r="E902" s="569"/>
      <c r="F902" s="569"/>
      <c r="G902" s="569"/>
      <c r="H902" s="569"/>
      <c r="I902" s="569"/>
      <c r="J902" s="569"/>
      <c r="K902" s="569"/>
      <c r="L902" s="569"/>
      <c r="M902" s="569"/>
      <c r="N902" s="569"/>
      <c r="O902" s="569"/>
      <c r="P902" s="569"/>
      <c r="Q902" s="569"/>
      <c r="R902" s="569"/>
      <c r="S902" s="569"/>
      <c r="T902" s="569"/>
      <c r="U902" s="569"/>
      <c r="V902" s="569"/>
      <c r="W902" s="569"/>
      <c r="X902" s="569"/>
      <c r="Y902" s="569"/>
      <c r="Z902" s="569"/>
      <c r="AA902" s="569"/>
    </row>
    <row r="903" ht="12.75" customHeight="1">
      <c r="A903" s="569"/>
      <c r="B903" s="569"/>
      <c r="D903" s="569"/>
      <c r="E903" s="569"/>
      <c r="F903" s="569"/>
      <c r="G903" s="569"/>
      <c r="H903" s="569"/>
      <c r="I903" s="569"/>
      <c r="J903" s="569"/>
      <c r="K903" s="569"/>
      <c r="L903" s="569"/>
      <c r="M903" s="569"/>
      <c r="N903" s="569"/>
      <c r="O903" s="569"/>
      <c r="P903" s="569"/>
      <c r="Q903" s="569"/>
      <c r="R903" s="569"/>
      <c r="S903" s="569"/>
      <c r="T903" s="569"/>
      <c r="U903" s="569"/>
      <c r="V903" s="569"/>
      <c r="W903" s="569"/>
      <c r="X903" s="569"/>
      <c r="Y903" s="569"/>
      <c r="Z903" s="569"/>
      <c r="AA903" s="569"/>
    </row>
    <row r="904" ht="12.75" customHeight="1">
      <c r="A904" s="569"/>
      <c r="B904" s="569"/>
      <c r="D904" s="569"/>
      <c r="E904" s="569"/>
      <c r="F904" s="569"/>
      <c r="G904" s="569"/>
      <c r="H904" s="569"/>
      <c r="I904" s="569"/>
      <c r="J904" s="569"/>
      <c r="K904" s="569"/>
      <c r="L904" s="569"/>
      <c r="M904" s="569"/>
      <c r="N904" s="569"/>
      <c r="O904" s="569"/>
      <c r="P904" s="569"/>
      <c r="Q904" s="569"/>
      <c r="R904" s="569"/>
      <c r="S904" s="569"/>
      <c r="T904" s="569"/>
      <c r="U904" s="569"/>
      <c r="V904" s="569"/>
      <c r="W904" s="569"/>
      <c r="X904" s="569"/>
      <c r="Y904" s="569"/>
      <c r="Z904" s="569"/>
      <c r="AA904" s="569"/>
    </row>
    <row r="905" ht="12.75" customHeight="1">
      <c r="A905" s="569"/>
      <c r="B905" s="569"/>
      <c r="D905" s="569"/>
      <c r="E905" s="569"/>
      <c r="F905" s="569"/>
      <c r="G905" s="569"/>
      <c r="H905" s="569"/>
      <c r="I905" s="569"/>
      <c r="J905" s="569"/>
      <c r="K905" s="569"/>
      <c r="L905" s="569"/>
      <c r="M905" s="569"/>
      <c r="N905" s="569"/>
      <c r="O905" s="569"/>
      <c r="P905" s="569"/>
      <c r="Q905" s="569"/>
      <c r="R905" s="569"/>
      <c r="S905" s="569"/>
      <c r="T905" s="569"/>
      <c r="U905" s="569"/>
      <c r="V905" s="569"/>
      <c r="W905" s="569"/>
      <c r="X905" s="569"/>
      <c r="Y905" s="569"/>
      <c r="Z905" s="569"/>
      <c r="AA905" s="569"/>
    </row>
    <row r="906" ht="12.75" customHeight="1">
      <c r="A906" s="569"/>
      <c r="B906" s="569"/>
      <c r="D906" s="569"/>
      <c r="E906" s="569"/>
      <c r="F906" s="569"/>
      <c r="G906" s="569"/>
      <c r="H906" s="569"/>
      <c r="I906" s="569"/>
      <c r="J906" s="569"/>
      <c r="K906" s="569"/>
      <c r="L906" s="569"/>
      <c r="M906" s="569"/>
      <c r="N906" s="569"/>
      <c r="O906" s="569"/>
      <c r="P906" s="569"/>
      <c r="Q906" s="569"/>
      <c r="R906" s="569"/>
      <c r="S906" s="569"/>
      <c r="T906" s="569"/>
      <c r="U906" s="569"/>
      <c r="V906" s="569"/>
      <c r="W906" s="569"/>
      <c r="X906" s="569"/>
      <c r="Y906" s="569"/>
      <c r="Z906" s="569"/>
      <c r="AA906" s="569"/>
    </row>
    <row r="907" ht="12.75" customHeight="1">
      <c r="A907" s="569"/>
      <c r="B907" s="569"/>
      <c r="D907" s="569"/>
      <c r="E907" s="569"/>
      <c r="F907" s="569"/>
      <c r="G907" s="569"/>
      <c r="H907" s="569"/>
      <c r="I907" s="569"/>
      <c r="J907" s="569"/>
      <c r="K907" s="569"/>
      <c r="L907" s="569"/>
      <c r="M907" s="569"/>
      <c r="N907" s="569"/>
      <c r="O907" s="569"/>
      <c r="P907" s="569"/>
      <c r="Q907" s="569"/>
      <c r="R907" s="569"/>
      <c r="S907" s="569"/>
      <c r="T907" s="569"/>
      <c r="U907" s="569"/>
      <c r="V907" s="569"/>
      <c r="W907" s="569"/>
      <c r="X907" s="569"/>
      <c r="Y907" s="569"/>
      <c r="Z907" s="569"/>
      <c r="AA907" s="569"/>
    </row>
    <row r="908" ht="12.75" customHeight="1">
      <c r="A908" s="569"/>
      <c r="B908" s="569"/>
      <c r="D908" s="569"/>
      <c r="E908" s="569"/>
      <c r="F908" s="569"/>
      <c r="G908" s="569"/>
      <c r="H908" s="569"/>
      <c r="I908" s="569"/>
      <c r="J908" s="569"/>
      <c r="K908" s="569"/>
      <c r="L908" s="569"/>
      <c r="M908" s="569"/>
      <c r="N908" s="569"/>
      <c r="O908" s="569"/>
      <c r="P908" s="569"/>
      <c r="Q908" s="569"/>
      <c r="R908" s="569"/>
      <c r="S908" s="569"/>
      <c r="T908" s="569"/>
      <c r="U908" s="569"/>
      <c r="V908" s="569"/>
      <c r="W908" s="569"/>
      <c r="X908" s="569"/>
      <c r="Y908" s="569"/>
      <c r="Z908" s="569"/>
      <c r="AA908" s="569"/>
    </row>
    <row r="909" ht="12.75" customHeight="1">
      <c r="A909" s="569"/>
      <c r="B909" s="569"/>
      <c r="D909" s="569"/>
      <c r="E909" s="569"/>
      <c r="F909" s="569"/>
      <c r="G909" s="569"/>
      <c r="H909" s="569"/>
      <c r="I909" s="569"/>
      <c r="J909" s="569"/>
      <c r="K909" s="569"/>
      <c r="L909" s="569"/>
      <c r="M909" s="569"/>
      <c r="N909" s="569"/>
      <c r="O909" s="569"/>
      <c r="P909" s="569"/>
      <c r="Q909" s="569"/>
      <c r="R909" s="569"/>
      <c r="S909" s="569"/>
      <c r="T909" s="569"/>
      <c r="U909" s="569"/>
      <c r="V909" s="569"/>
      <c r="W909" s="569"/>
      <c r="X909" s="569"/>
      <c r="Y909" s="569"/>
      <c r="Z909" s="569"/>
      <c r="AA909" s="569"/>
    </row>
    <row r="910" ht="12.75" customHeight="1">
      <c r="A910" s="569"/>
      <c r="B910" s="569"/>
      <c r="D910" s="569"/>
      <c r="E910" s="569"/>
      <c r="F910" s="569"/>
      <c r="G910" s="569"/>
      <c r="H910" s="569"/>
      <c r="I910" s="569"/>
      <c r="J910" s="569"/>
      <c r="K910" s="569"/>
      <c r="L910" s="569"/>
      <c r="M910" s="569"/>
      <c r="N910" s="569"/>
      <c r="O910" s="569"/>
      <c r="P910" s="569"/>
      <c r="Q910" s="569"/>
      <c r="R910" s="569"/>
      <c r="S910" s="569"/>
      <c r="T910" s="569"/>
      <c r="U910" s="569"/>
      <c r="V910" s="569"/>
      <c r="W910" s="569"/>
      <c r="X910" s="569"/>
      <c r="Y910" s="569"/>
      <c r="Z910" s="569"/>
      <c r="AA910" s="569"/>
    </row>
    <row r="911" ht="12.75" customHeight="1">
      <c r="A911" s="569"/>
      <c r="B911" s="569"/>
      <c r="D911" s="569"/>
      <c r="E911" s="569"/>
      <c r="F911" s="569"/>
      <c r="G911" s="569"/>
      <c r="H911" s="569"/>
      <c r="I911" s="569"/>
      <c r="J911" s="569"/>
      <c r="K911" s="569"/>
      <c r="L911" s="569"/>
      <c r="M911" s="569"/>
      <c r="N911" s="569"/>
      <c r="O911" s="569"/>
      <c r="P911" s="569"/>
      <c r="Q911" s="569"/>
      <c r="R911" s="569"/>
      <c r="S911" s="569"/>
      <c r="T911" s="569"/>
      <c r="U911" s="569"/>
      <c r="V911" s="569"/>
      <c r="W911" s="569"/>
      <c r="X911" s="569"/>
      <c r="Y911" s="569"/>
      <c r="Z911" s="569"/>
      <c r="AA911" s="569"/>
    </row>
    <row r="912" ht="12.75" customHeight="1">
      <c r="A912" s="569"/>
      <c r="B912" s="569"/>
      <c r="D912" s="569"/>
      <c r="E912" s="569"/>
      <c r="F912" s="569"/>
      <c r="G912" s="569"/>
      <c r="H912" s="569"/>
      <c r="I912" s="569"/>
      <c r="J912" s="569"/>
      <c r="K912" s="569"/>
      <c r="L912" s="569"/>
      <c r="M912" s="569"/>
      <c r="N912" s="569"/>
      <c r="O912" s="569"/>
      <c r="P912" s="569"/>
      <c r="Q912" s="569"/>
      <c r="R912" s="569"/>
      <c r="S912" s="569"/>
      <c r="T912" s="569"/>
      <c r="U912" s="569"/>
      <c r="V912" s="569"/>
      <c r="W912" s="569"/>
      <c r="X912" s="569"/>
      <c r="Y912" s="569"/>
      <c r="Z912" s="569"/>
      <c r="AA912" s="569"/>
    </row>
    <row r="913" ht="12.75" customHeight="1">
      <c r="A913" s="569"/>
      <c r="B913" s="569"/>
      <c r="D913" s="569"/>
      <c r="E913" s="569"/>
      <c r="F913" s="569"/>
      <c r="G913" s="569"/>
      <c r="H913" s="569"/>
      <c r="I913" s="569"/>
      <c r="J913" s="569"/>
      <c r="K913" s="569"/>
      <c r="L913" s="569"/>
      <c r="M913" s="569"/>
      <c r="N913" s="569"/>
      <c r="O913" s="569"/>
      <c r="P913" s="569"/>
      <c r="Q913" s="569"/>
      <c r="R913" s="569"/>
      <c r="S913" s="569"/>
      <c r="T913" s="569"/>
      <c r="U913" s="569"/>
      <c r="V913" s="569"/>
      <c r="W913" s="569"/>
      <c r="X913" s="569"/>
      <c r="Y913" s="569"/>
      <c r="Z913" s="569"/>
      <c r="AA913" s="569"/>
    </row>
    <row r="914" ht="12.75" customHeight="1">
      <c r="A914" s="569"/>
      <c r="B914" s="569"/>
      <c r="D914" s="569"/>
      <c r="E914" s="569"/>
      <c r="F914" s="569"/>
      <c r="G914" s="569"/>
      <c r="H914" s="569"/>
      <c r="I914" s="569"/>
      <c r="J914" s="569"/>
      <c r="K914" s="569"/>
      <c r="L914" s="569"/>
      <c r="M914" s="569"/>
      <c r="N914" s="569"/>
      <c r="O914" s="569"/>
      <c r="P914" s="569"/>
      <c r="Q914" s="569"/>
      <c r="R914" s="569"/>
      <c r="S914" s="569"/>
      <c r="T914" s="569"/>
      <c r="U914" s="569"/>
      <c r="V914" s="569"/>
      <c r="W914" s="569"/>
      <c r="X914" s="569"/>
      <c r="Y914" s="569"/>
      <c r="Z914" s="569"/>
      <c r="AA914" s="569"/>
    </row>
    <row r="915" ht="12.75" customHeight="1">
      <c r="A915" s="569"/>
      <c r="B915" s="569"/>
      <c r="D915" s="569"/>
      <c r="E915" s="569"/>
      <c r="F915" s="569"/>
      <c r="G915" s="569"/>
      <c r="H915" s="569"/>
      <c r="I915" s="569"/>
      <c r="J915" s="569"/>
      <c r="K915" s="569"/>
      <c r="L915" s="569"/>
      <c r="M915" s="569"/>
      <c r="N915" s="569"/>
      <c r="O915" s="569"/>
      <c r="P915" s="569"/>
      <c r="Q915" s="569"/>
      <c r="R915" s="569"/>
      <c r="S915" s="569"/>
      <c r="T915" s="569"/>
      <c r="U915" s="569"/>
      <c r="V915" s="569"/>
      <c r="W915" s="569"/>
      <c r="X915" s="569"/>
      <c r="Y915" s="569"/>
      <c r="Z915" s="569"/>
      <c r="AA915" s="569"/>
    </row>
    <row r="916" ht="12.75" customHeight="1">
      <c r="A916" s="569"/>
      <c r="B916" s="569"/>
      <c r="D916" s="569"/>
      <c r="E916" s="569"/>
      <c r="F916" s="569"/>
      <c r="G916" s="569"/>
      <c r="H916" s="569"/>
      <c r="I916" s="569"/>
      <c r="J916" s="569"/>
      <c r="K916" s="569"/>
      <c r="L916" s="569"/>
      <c r="M916" s="569"/>
      <c r="N916" s="569"/>
      <c r="O916" s="569"/>
      <c r="P916" s="569"/>
      <c r="Q916" s="569"/>
      <c r="R916" s="569"/>
      <c r="S916" s="569"/>
      <c r="T916" s="569"/>
      <c r="U916" s="569"/>
      <c r="V916" s="569"/>
      <c r="W916" s="569"/>
      <c r="X916" s="569"/>
      <c r="Y916" s="569"/>
      <c r="Z916" s="569"/>
      <c r="AA916" s="569"/>
    </row>
    <row r="917" ht="12.75" customHeight="1">
      <c r="A917" s="569"/>
      <c r="B917" s="569"/>
      <c r="D917" s="569"/>
      <c r="E917" s="569"/>
      <c r="F917" s="569"/>
      <c r="G917" s="569"/>
      <c r="H917" s="569"/>
      <c r="I917" s="569"/>
      <c r="J917" s="569"/>
      <c r="K917" s="569"/>
      <c r="L917" s="569"/>
      <c r="M917" s="569"/>
      <c r="N917" s="569"/>
      <c r="O917" s="569"/>
      <c r="P917" s="569"/>
      <c r="Q917" s="569"/>
      <c r="R917" s="569"/>
      <c r="S917" s="569"/>
      <c r="T917" s="569"/>
      <c r="U917" s="569"/>
      <c r="V917" s="569"/>
      <c r="W917" s="569"/>
      <c r="X917" s="569"/>
      <c r="Y917" s="569"/>
      <c r="Z917" s="569"/>
      <c r="AA917" s="569"/>
    </row>
    <row r="918" ht="12.75" customHeight="1">
      <c r="A918" s="569"/>
      <c r="B918" s="569"/>
      <c r="D918" s="569"/>
      <c r="E918" s="569"/>
      <c r="F918" s="569"/>
      <c r="G918" s="569"/>
      <c r="H918" s="569"/>
      <c r="I918" s="569"/>
      <c r="J918" s="569"/>
      <c r="K918" s="569"/>
      <c r="L918" s="569"/>
      <c r="M918" s="569"/>
      <c r="N918" s="569"/>
      <c r="O918" s="569"/>
      <c r="P918" s="569"/>
      <c r="Q918" s="569"/>
      <c r="R918" s="569"/>
      <c r="S918" s="569"/>
      <c r="T918" s="569"/>
      <c r="U918" s="569"/>
      <c r="V918" s="569"/>
      <c r="W918" s="569"/>
      <c r="X918" s="569"/>
      <c r="Y918" s="569"/>
      <c r="Z918" s="569"/>
      <c r="AA918" s="569"/>
    </row>
    <row r="919" ht="12.75" customHeight="1">
      <c r="A919" s="569"/>
      <c r="B919" s="569"/>
      <c r="D919" s="569"/>
      <c r="E919" s="569"/>
      <c r="F919" s="569"/>
      <c r="G919" s="569"/>
      <c r="H919" s="569"/>
      <c r="I919" s="569"/>
      <c r="J919" s="569"/>
      <c r="K919" s="569"/>
      <c r="L919" s="569"/>
      <c r="M919" s="569"/>
      <c r="N919" s="569"/>
      <c r="O919" s="569"/>
      <c r="P919" s="569"/>
      <c r="Q919" s="569"/>
      <c r="R919" s="569"/>
      <c r="S919" s="569"/>
      <c r="T919" s="569"/>
      <c r="U919" s="569"/>
      <c r="V919" s="569"/>
      <c r="W919" s="569"/>
      <c r="X919" s="569"/>
      <c r="Y919" s="569"/>
      <c r="Z919" s="569"/>
      <c r="AA919" s="569"/>
    </row>
    <row r="920" ht="12.75" customHeight="1">
      <c r="A920" s="569"/>
      <c r="B920" s="569"/>
      <c r="D920" s="569"/>
      <c r="E920" s="569"/>
      <c r="F920" s="569"/>
      <c r="G920" s="569"/>
      <c r="H920" s="569"/>
      <c r="I920" s="569"/>
      <c r="J920" s="569"/>
      <c r="K920" s="569"/>
      <c r="L920" s="569"/>
      <c r="M920" s="569"/>
      <c r="N920" s="569"/>
      <c r="O920" s="569"/>
      <c r="P920" s="569"/>
      <c r="Q920" s="569"/>
      <c r="R920" s="569"/>
      <c r="S920" s="569"/>
      <c r="T920" s="569"/>
      <c r="U920" s="569"/>
      <c r="V920" s="569"/>
      <c r="W920" s="569"/>
      <c r="X920" s="569"/>
      <c r="Y920" s="569"/>
      <c r="Z920" s="569"/>
      <c r="AA920" s="569"/>
    </row>
    <row r="921" ht="12.75" customHeight="1">
      <c r="A921" s="569"/>
      <c r="B921" s="569"/>
      <c r="D921" s="569"/>
      <c r="E921" s="569"/>
      <c r="F921" s="569"/>
      <c r="G921" s="569"/>
      <c r="H921" s="569"/>
      <c r="I921" s="569"/>
      <c r="J921" s="569"/>
      <c r="K921" s="569"/>
      <c r="L921" s="569"/>
      <c r="M921" s="569"/>
      <c r="N921" s="569"/>
      <c r="O921" s="569"/>
      <c r="P921" s="569"/>
      <c r="Q921" s="569"/>
      <c r="R921" s="569"/>
      <c r="S921" s="569"/>
      <c r="T921" s="569"/>
      <c r="U921" s="569"/>
      <c r="V921" s="569"/>
      <c r="W921" s="569"/>
      <c r="X921" s="569"/>
      <c r="Y921" s="569"/>
      <c r="Z921" s="569"/>
      <c r="AA921" s="569"/>
    </row>
    <row r="922" ht="12.75" customHeight="1">
      <c r="A922" s="569"/>
      <c r="B922" s="569"/>
      <c r="D922" s="569"/>
      <c r="E922" s="569"/>
      <c r="F922" s="569"/>
      <c r="G922" s="569"/>
      <c r="H922" s="569"/>
      <c r="I922" s="569"/>
      <c r="J922" s="569"/>
      <c r="K922" s="569"/>
      <c r="L922" s="569"/>
      <c r="M922" s="569"/>
      <c r="N922" s="569"/>
      <c r="O922" s="569"/>
      <c r="P922" s="569"/>
      <c r="Q922" s="569"/>
      <c r="R922" s="569"/>
      <c r="S922" s="569"/>
      <c r="T922" s="569"/>
      <c r="U922" s="569"/>
      <c r="V922" s="569"/>
      <c r="W922" s="569"/>
      <c r="X922" s="569"/>
      <c r="Y922" s="569"/>
      <c r="Z922" s="569"/>
      <c r="AA922" s="569"/>
    </row>
    <row r="923" ht="12.75" customHeight="1">
      <c r="A923" s="569"/>
      <c r="B923" s="569"/>
      <c r="D923" s="569"/>
      <c r="E923" s="569"/>
      <c r="F923" s="569"/>
      <c r="G923" s="569"/>
      <c r="H923" s="569"/>
      <c r="I923" s="569"/>
      <c r="J923" s="569"/>
      <c r="K923" s="569"/>
      <c r="L923" s="569"/>
      <c r="M923" s="569"/>
      <c r="N923" s="569"/>
      <c r="O923" s="569"/>
      <c r="P923" s="569"/>
      <c r="Q923" s="569"/>
      <c r="R923" s="569"/>
      <c r="S923" s="569"/>
      <c r="T923" s="569"/>
      <c r="U923" s="569"/>
      <c r="V923" s="569"/>
      <c r="W923" s="569"/>
      <c r="X923" s="569"/>
      <c r="Y923" s="569"/>
      <c r="Z923" s="569"/>
      <c r="AA923" s="569"/>
    </row>
    <row r="924" ht="12.75" customHeight="1">
      <c r="A924" s="569"/>
      <c r="B924" s="569"/>
      <c r="D924" s="569"/>
      <c r="E924" s="569"/>
      <c r="F924" s="569"/>
      <c r="G924" s="569"/>
      <c r="H924" s="569"/>
      <c r="I924" s="569"/>
      <c r="J924" s="569"/>
      <c r="K924" s="569"/>
      <c r="L924" s="569"/>
      <c r="M924" s="569"/>
      <c r="N924" s="569"/>
      <c r="O924" s="569"/>
      <c r="P924" s="569"/>
      <c r="Q924" s="569"/>
      <c r="R924" s="569"/>
      <c r="S924" s="569"/>
      <c r="T924" s="569"/>
      <c r="U924" s="569"/>
      <c r="V924" s="569"/>
      <c r="W924" s="569"/>
      <c r="X924" s="569"/>
      <c r="Y924" s="569"/>
      <c r="Z924" s="569"/>
      <c r="AA924" s="569"/>
    </row>
    <row r="925" ht="12.75" customHeight="1">
      <c r="A925" s="569"/>
      <c r="B925" s="569"/>
      <c r="D925" s="569"/>
      <c r="E925" s="569"/>
      <c r="F925" s="569"/>
      <c r="G925" s="569"/>
      <c r="H925" s="569"/>
      <c r="I925" s="569"/>
      <c r="J925" s="569"/>
      <c r="K925" s="569"/>
      <c r="L925" s="569"/>
      <c r="M925" s="569"/>
      <c r="N925" s="569"/>
      <c r="O925" s="569"/>
      <c r="P925" s="569"/>
      <c r="Q925" s="569"/>
      <c r="R925" s="569"/>
      <c r="S925" s="569"/>
      <c r="T925" s="569"/>
      <c r="U925" s="569"/>
      <c r="V925" s="569"/>
      <c r="W925" s="569"/>
      <c r="X925" s="569"/>
      <c r="Y925" s="569"/>
      <c r="Z925" s="569"/>
      <c r="AA925" s="569"/>
    </row>
    <row r="926" ht="12.75" customHeight="1">
      <c r="A926" s="569"/>
      <c r="B926" s="569"/>
      <c r="D926" s="569"/>
      <c r="E926" s="569"/>
      <c r="F926" s="569"/>
      <c r="G926" s="569"/>
      <c r="H926" s="569"/>
      <c r="I926" s="569"/>
      <c r="J926" s="569"/>
      <c r="K926" s="569"/>
      <c r="L926" s="569"/>
      <c r="M926" s="569"/>
      <c r="N926" s="569"/>
      <c r="O926" s="569"/>
      <c r="P926" s="569"/>
      <c r="Q926" s="569"/>
      <c r="R926" s="569"/>
      <c r="S926" s="569"/>
      <c r="T926" s="569"/>
      <c r="U926" s="569"/>
      <c r="V926" s="569"/>
      <c r="W926" s="569"/>
      <c r="X926" s="569"/>
      <c r="Y926" s="569"/>
      <c r="Z926" s="569"/>
      <c r="AA926" s="569"/>
    </row>
    <row r="927" ht="12.75" customHeight="1">
      <c r="A927" s="569"/>
      <c r="B927" s="569"/>
      <c r="D927" s="569"/>
      <c r="E927" s="569"/>
      <c r="F927" s="569"/>
      <c r="G927" s="569"/>
      <c r="H927" s="569"/>
      <c r="I927" s="569"/>
      <c r="J927" s="569"/>
      <c r="K927" s="569"/>
      <c r="L927" s="569"/>
      <c r="M927" s="569"/>
      <c r="N927" s="569"/>
      <c r="O927" s="569"/>
      <c r="P927" s="569"/>
      <c r="Q927" s="569"/>
      <c r="R927" s="569"/>
      <c r="S927" s="569"/>
      <c r="T927" s="569"/>
      <c r="U927" s="569"/>
      <c r="V927" s="569"/>
      <c r="W927" s="569"/>
      <c r="X927" s="569"/>
      <c r="Y927" s="569"/>
      <c r="Z927" s="569"/>
      <c r="AA927" s="569"/>
    </row>
    <row r="928" ht="12.75" customHeight="1">
      <c r="A928" s="569"/>
      <c r="B928" s="569"/>
      <c r="D928" s="569"/>
      <c r="E928" s="569"/>
      <c r="F928" s="569"/>
      <c r="G928" s="569"/>
      <c r="H928" s="569"/>
      <c r="I928" s="569"/>
      <c r="J928" s="569"/>
      <c r="K928" s="569"/>
      <c r="L928" s="569"/>
      <c r="M928" s="569"/>
      <c r="N928" s="569"/>
      <c r="O928" s="569"/>
      <c r="P928" s="569"/>
      <c r="Q928" s="569"/>
      <c r="R928" s="569"/>
      <c r="S928" s="569"/>
      <c r="T928" s="569"/>
      <c r="U928" s="569"/>
      <c r="V928" s="569"/>
      <c r="W928" s="569"/>
      <c r="X928" s="569"/>
      <c r="Y928" s="569"/>
      <c r="Z928" s="569"/>
      <c r="AA928" s="569"/>
    </row>
    <row r="929" ht="12.75" customHeight="1">
      <c r="A929" s="569"/>
      <c r="B929" s="569"/>
      <c r="D929" s="569"/>
      <c r="E929" s="569"/>
      <c r="F929" s="569"/>
      <c r="G929" s="569"/>
      <c r="H929" s="569"/>
      <c r="I929" s="569"/>
      <c r="J929" s="569"/>
      <c r="K929" s="569"/>
      <c r="L929" s="569"/>
      <c r="M929" s="569"/>
      <c r="N929" s="569"/>
      <c r="O929" s="569"/>
      <c r="P929" s="569"/>
      <c r="Q929" s="569"/>
      <c r="R929" s="569"/>
      <c r="S929" s="569"/>
      <c r="T929" s="569"/>
      <c r="U929" s="569"/>
      <c r="V929" s="569"/>
      <c r="W929" s="569"/>
      <c r="X929" s="569"/>
      <c r="Y929" s="569"/>
      <c r="Z929" s="569"/>
      <c r="AA929" s="569"/>
    </row>
    <row r="930" ht="12.75" customHeight="1">
      <c r="A930" s="569"/>
      <c r="B930" s="569"/>
      <c r="D930" s="569"/>
      <c r="E930" s="569"/>
      <c r="F930" s="569"/>
      <c r="G930" s="569"/>
      <c r="H930" s="569"/>
      <c r="I930" s="569"/>
      <c r="J930" s="569"/>
      <c r="K930" s="569"/>
      <c r="L930" s="569"/>
      <c r="M930" s="569"/>
      <c r="N930" s="569"/>
      <c r="O930" s="569"/>
      <c r="P930" s="569"/>
      <c r="Q930" s="569"/>
      <c r="R930" s="569"/>
      <c r="S930" s="569"/>
      <c r="T930" s="569"/>
      <c r="U930" s="569"/>
      <c r="V930" s="569"/>
      <c r="W930" s="569"/>
      <c r="X930" s="569"/>
      <c r="Y930" s="569"/>
      <c r="Z930" s="569"/>
      <c r="AA930" s="569"/>
    </row>
    <row r="931" ht="12.75" customHeight="1">
      <c r="A931" s="569"/>
      <c r="B931" s="569"/>
      <c r="D931" s="569"/>
      <c r="E931" s="569"/>
      <c r="F931" s="569"/>
      <c r="G931" s="569"/>
      <c r="H931" s="569"/>
      <c r="I931" s="569"/>
      <c r="J931" s="569"/>
      <c r="K931" s="569"/>
      <c r="L931" s="569"/>
      <c r="M931" s="569"/>
      <c r="N931" s="569"/>
      <c r="O931" s="569"/>
      <c r="P931" s="569"/>
      <c r="Q931" s="569"/>
      <c r="R931" s="569"/>
      <c r="S931" s="569"/>
      <c r="T931" s="569"/>
      <c r="U931" s="569"/>
      <c r="V931" s="569"/>
      <c r="W931" s="569"/>
      <c r="X931" s="569"/>
      <c r="Y931" s="569"/>
      <c r="Z931" s="569"/>
      <c r="AA931" s="569"/>
    </row>
    <row r="932" ht="12.75" customHeight="1">
      <c r="A932" s="569"/>
      <c r="B932" s="569"/>
      <c r="D932" s="569"/>
      <c r="E932" s="569"/>
      <c r="F932" s="569"/>
      <c r="G932" s="569"/>
      <c r="H932" s="569"/>
      <c r="I932" s="569"/>
      <c r="J932" s="569"/>
      <c r="K932" s="569"/>
      <c r="L932" s="569"/>
      <c r="M932" s="569"/>
      <c r="N932" s="569"/>
      <c r="O932" s="569"/>
      <c r="P932" s="569"/>
      <c r="Q932" s="569"/>
      <c r="R932" s="569"/>
      <c r="S932" s="569"/>
      <c r="T932" s="569"/>
      <c r="U932" s="569"/>
      <c r="V932" s="569"/>
      <c r="W932" s="569"/>
      <c r="X932" s="569"/>
      <c r="Y932" s="569"/>
      <c r="Z932" s="569"/>
      <c r="AA932" s="569"/>
    </row>
    <row r="933" ht="12.75" customHeight="1">
      <c r="A933" s="569"/>
      <c r="B933" s="569"/>
      <c r="D933" s="569"/>
      <c r="E933" s="569"/>
      <c r="F933" s="569"/>
      <c r="G933" s="569"/>
      <c r="H933" s="569"/>
      <c r="I933" s="569"/>
      <c r="J933" s="569"/>
      <c r="K933" s="569"/>
      <c r="L933" s="569"/>
      <c r="M933" s="569"/>
      <c r="N933" s="569"/>
      <c r="O933" s="569"/>
      <c r="P933" s="569"/>
      <c r="Q933" s="569"/>
      <c r="R933" s="569"/>
      <c r="S933" s="569"/>
      <c r="T933" s="569"/>
      <c r="U933" s="569"/>
      <c r="V933" s="569"/>
      <c r="W933" s="569"/>
      <c r="X933" s="569"/>
      <c r="Y933" s="569"/>
      <c r="Z933" s="569"/>
      <c r="AA933" s="569"/>
    </row>
    <row r="934" ht="12.75" customHeight="1">
      <c r="A934" s="569"/>
      <c r="B934" s="569"/>
      <c r="D934" s="569"/>
      <c r="E934" s="569"/>
      <c r="F934" s="569"/>
      <c r="G934" s="569"/>
      <c r="H934" s="569"/>
      <c r="I934" s="569"/>
      <c r="J934" s="569"/>
      <c r="K934" s="569"/>
      <c r="L934" s="569"/>
      <c r="M934" s="569"/>
      <c r="N934" s="569"/>
      <c r="O934" s="569"/>
      <c r="P934" s="569"/>
      <c r="Q934" s="569"/>
      <c r="R934" s="569"/>
      <c r="S934" s="569"/>
      <c r="T934" s="569"/>
      <c r="U934" s="569"/>
      <c r="V934" s="569"/>
      <c r="W934" s="569"/>
      <c r="X934" s="569"/>
      <c r="Y934" s="569"/>
      <c r="Z934" s="569"/>
      <c r="AA934" s="569"/>
    </row>
    <row r="935" ht="12.75" customHeight="1">
      <c r="A935" s="569"/>
      <c r="B935" s="569"/>
      <c r="D935" s="569"/>
      <c r="E935" s="569"/>
      <c r="F935" s="569"/>
      <c r="G935" s="569"/>
      <c r="H935" s="569"/>
      <c r="I935" s="569"/>
      <c r="J935" s="569"/>
      <c r="K935" s="569"/>
      <c r="L935" s="569"/>
      <c r="M935" s="569"/>
      <c r="N935" s="569"/>
      <c r="O935" s="569"/>
      <c r="P935" s="569"/>
      <c r="Q935" s="569"/>
      <c r="R935" s="569"/>
      <c r="S935" s="569"/>
      <c r="T935" s="569"/>
      <c r="U935" s="569"/>
      <c r="V935" s="569"/>
      <c r="W935" s="569"/>
      <c r="X935" s="569"/>
      <c r="Y935" s="569"/>
      <c r="Z935" s="569"/>
      <c r="AA935" s="569"/>
    </row>
    <row r="936" ht="12.75" customHeight="1">
      <c r="A936" s="569"/>
      <c r="B936" s="569"/>
      <c r="D936" s="569"/>
      <c r="E936" s="569"/>
      <c r="F936" s="569"/>
      <c r="G936" s="569"/>
      <c r="H936" s="569"/>
      <c r="I936" s="569"/>
      <c r="J936" s="569"/>
      <c r="K936" s="569"/>
      <c r="L936" s="569"/>
      <c r="M936" s="569"/>
      <c r="N936" s="569"/>
      <c r="O936" s="569"/>
      <c r="P936" s="569"/>
      <c r="Q936" s="569"/>
      <c r="R936" s="569"/>
      <c r="S936" s="569"/>
      <c r="T936" s="569"/>
      <c r="U936" s="569"/>
      <c r="V936" s="569"/>
      <c r="W936" s="569"/>
      <c r="X936" s="569"/>
      <c r="Y936" s="569"/>
      <c r="Z936" s="569"/>
      <c r="AA936" s="569"/>
    </row>
    <row r="937" ht="12.75" customHeight="1">
      <c r="A937" s="569"/>
      <c r="B937" s="569"/>
      <c r="D937" s="569"/>
      <c r="E937" s="569"/>
      <c r="F937" s="569"/>
      <c r="G937" s="569"/>
      <c r="H937" s="569"/>
      <c r="I937" s="569"/>
      <c r="J937" s="569"/>
      <c r="K937" s="569"/>
      <c r="L937" s="569"/>
      <c r="M937" s="569"/>
      <c r="N937" s="569"/>
      <c r="O937" s="569"/>
      <c r="P937" s="569"/>
      <c r="Q937" s="569"/>
      <c r="R937" s="569"/>
      <c r="S937" s="569"/>
      <c r="T937" s="569"/>
      <c r="U937" s="569"/>
      <c r="V937" s="569"/>
      <c r="W937" s="569"/>
      <c r="X937" s="569"/>
      <c r="Y937" s="569"/>
      <c r="Z937" s="569"/>
      <c r="AA937" s="569"/>
    </row>
    <row r="938" ht="12.75" customHeight="1">
      <c r="A938" s="569"/>
      <c r="B938" s="569"/>
      <c r="D938" s="569"/>
      <c r="E938" s="569"/>
      <c r="F938" s="569"/>
      <c r="G938" s="569"/>
      <c r="H938" s="569"/>
      <c r="I938" s="569"/>
      <c r="J938" s="569"/>
      <c r="K938" s="569"/>
      <c r="L938" s="569"/>
      <c r="M938" s="569"/>
      <c r="N938" s="569"/>
      <c r="O938" s="569"/>
      <c r="P938" s="569"/>
      <c r="Q938" s="569"/>
      <c r="R938" s="569"/>
      <c r="S938" s="569"/>
      <c r="T938" s="569"/>
      <c r="U938" s="569"/>
      <c r="V938" s="569"/>
      <c r="W938" s="569"/>
      <c r="X938" s="569"/>
      <c r="Y938" s="569"/>
      <c r="Z938" s="569"/>
      <c r="AA938" s="569"/>
    </row>
    <row r="939" ht="12.75" customHeight="1">
      <c r="A939" s="569"/>
      <c r="B939" s="569"/>
      <c r="D939" s="569"/>
      <c r="E939" s="569"/>
      <c r="F939" s="569"/>
      <c r="G939" s="569"/>
      <c r="H939" s="569"/>
      <c r="I939" s="569"/>
      <c r="J939" s="569"/>
      <c r="K939" s="569"/>
      <c r="L939" s="569"/>
      <c r="M939" s="569"/>
      <c r="N939" s="569"/>
      <c r="O939" s="569"/>
      <c r="P939" s="569"/>
      <c r="Q939" s="569"/>
      <c r="R939" s="569"/>
      <c r="S939" s="569"/>
      <c r="T939" s="569"/>
      <c r="U939" s="569"/>
      <c r="V939" s="569"/>
      <c r="W939" s="569"/>
      <c r="X939" s="569"/>
      <c r="Y939" s="569"/>
      <c r="Z939" s="569"/>
      <c r="AA939" s="569"/>
    </row>
    <row r="940" ht="12.75" customHeight="1">
      <c r="A940" s="569"/>
      <c r="B940" s="569"/>
      <c r="D940" s="569"/>
      <c r="E940" s="569"/>
      <c r="F940" s="569"/>
      <c r="G940" s="569"/>
      <c r="H940" s="569"/>
      <c r="I940" s="569"/>
      <c r="J940" s="569"/>
      <c r="K940" s="569"/>
      <c r="L940" s="569"/>
      <c r="M940" s="569"/>
      <c r="N940" s="569"/>
      <c r="O940" s="569"/>
      <c r="P940" s="569"/>
      <c r="Q940" s="569"/>
      <c r="R940" s="569"/>
      <c r="S940" s="569"/>
      <c r="T940" s="569"/>
      <c r="U940" s="569"/>
      <c r="V940" s="569"/>
      <c r="W940" s="569"/>
      <c r="X940" s="569"/>
      <c r="Y940" s="569"/>
      <c r="Z940" s="569"/>
      <c r="AA940" s="569"/>
    </row>
    <row r="941" ht="12.75" customHeight="1">
      <c r="A941" s="569"/>
      <c r="B941" s="569"/>
      <c r="D941" s="569"/>
      <c r="E941" s="569"/>
      <c r="F941" s="569"/>
      <c r="G941" s="569"/>
      <c r="H941" s="569"/>
      <c r="I941" s="569"/>
      <c r="J941" s="569"/>
      <c r="K941" s="569"/>
      <c r="L941" s="569"/>
      <c r="M941" s="569"/>
      <c r="N941" s="569"/>
      <c r="O941" s="569"/>
      <c r="P941" s="569"/>
      <c r="Q941" s="569"/>
      <c r="R941" s="569"/>
      <c r="S941" s="569"/>
      <c r="T941" s="569"/>
      <c r="U941" s="569"/>
      <c r="V941" s="569"/>
      <c r="W941" s="569"/>
      <c r="X941" s="569"/>
      <c r="Y941" s="569"/>
      <c r="Z941" s="569"/>
      <c r="AA941" s="569"/>
    </row>
    <row r="942" ht="12.75" customHeight="1">
      <c r="A942" s="569"/>
      <c r="B942" s="569"/>
      <c r="D942" s="569"/>
      <c r="E942" s="569"/>
      <c r="F942" s="569"/>
      <c r="G942" s="569"/>
      <c r="H942" s="569"/>
      <c r="I942" s="569"/>
      <c r="J942" s="569"/>
      <c r="K942" s="569"/>
      <c r="L942" s="569"/>
      <c r="M942" s="569"/>
      <c r="N942" s="569"/>
      <c r="O942" s="569"/>
      <c r="P942" s="569"/>
      <c r="Q942" s="569"/>
      <c r="R942" s="569"/>
      <c r="S942" s="569"/>
      <c r="T942" s="569"/>
      <c r="U942" s="569"/>
      <c r="V942" s="569"/>
      <c r="W942" s="569"/>
      <c r="X942" s="569"/>
      <c r="Y942" s="569"/>
      <c r="Z942" s="569"/>
      <c r="AA942" s="569"/>
    </row>
    <row r="943" ht="12.75" customHeight="1">
      <c r="A943" s="569"/>
      <c r="B943" s="569"/>
      <c r="D943" s="569"/>
      <c r="E943" s="569"/>
      <c r="F943" s="569"/>
      <c r="G943" s="569"/>
      <c r="H943" s="569"/>
      <c r="I943" s="569"/>
      <c r="J943" s="569"/>
      <c r="K943" s="569"/>
      <c r="L943" s="569"/>
      <c r="M943" s="569"/>
      <c r="N943" s="569"/>
      <c r="O943" s="569"/>
      <c r="P943" s="569"/>
      <c r="Q943" s="569"/>
      <c r="R943" s="569"/>
      <c r="S943" s="569"/>
      <c r="T943" s="569"/>
      <c r="U943" s="569"/>
      <c r="V943" s="569"/>
      <c r="W943" s="569"/>
      <c r="X943" s="569"/>
      <c r="Y943" s="569"/>
      <c r="Z943" s="569"/>
      <c r="AA943" s="569"/>
    </row>
    <row r="944" ht="12.75" customHeight="1">
      <c r="A944" s="569"/>
      <c r="B944" s="569"/>
      <c r="D944" s="569"/>
      <c r="E944" s="569"/>
      <c r="F944" s="569"/>
      <c r="G944" s="569"/>
      <c r="H944" s="569"/>
      <c r="I944" s="569"/>
      <c r="J944" s="569"/>
      <c r="K944" s="569"/>
      <c r="L944" s="569"/>
      <c r="M944" s="569"/>
      <c r="N944" s="569"/>
      <c r="O944" s="569"/>
      <c r="P944" s="569"/>
      <c r="Q944" s="569"/>
      <c r="R944" s="569"/>
      <c r="S944" s="569"/>
      <c r="T944" s="569"/>
      <c r="U944" s="569"/>
      <c r="V944" s="569"/>
      <c r="W944" s="569"/>
      <c r="X944" s="569"/>
      <c r="Y944" s="569"/>
      <c r="Z944" s="569"/>
      <c r="AA944" s="569"/>
    </row>
    <row r="945" ht="12.75" customHeight="1">
      <c r="A945" s="569"/>
      <c r="B945" s="569"/>
      <c r="D945" s="569"/>
      <c r="E945" s="569"/>
      <c r="F945" s="569"/>
      <c r="G945" s="569"/>
      <c r="H945" s="569"/>
      <c r="I945" s="569"/>
      <c r="J945" s="569"/>
      <c r="K945" s="569"/>
      <c r="L945" s="569"/>
      <c r="M945" s="569"/>
      <c r="N945" s="569"/>
      <c r="O945" s="569"/>
      <c r="P945" s="569"/>
      <c r="Q945" s="569"/>
      <c r="R945" s="569"/>
      <c r="S945" s="569"/>
      <c r="T945" s="569"/>
      <c r="U945" s="569"/>
      <c r="V945" s="569"/>
      <c r="W945" s="569"/>
      <c r="X945" s="569"/>
      <c r="Y945" s="569"/>
      <c r="Z945" s="569"/>
      <c r="AA945" s="569"/>
    </row>
    <row r="946" ht="12.75" customHeight="1">
      <c r="A946" s="569"/>
      <c r="B946" s="569"/>
      <c r="D946" s="569"/>
      <c r="E946" s="569"/>
      <c r="F946" s="569"/>
      <c r="G946" s="569"/>
      <c r="H946" s="569"/>
      <c r="I946" s="569"/>
      <c r="J946" s="569"/>
      <c r="K946" s="569"/>
      <c r="L946" s="569"/>
      <c r="M946" s="569"/>
      <c r="N946" s="569"/>
      <c r="O946" s="569"/>
      <c r="P946" s="569"/>
      <c r="Q946" s="569"/>
      <c r="R946" s="569"/>
      <c r="S946" s="569"/>
      <c r="T946" s="569"/>
      <c r="U946" s="569"/>
      <c r="V946" s="569"/>
      <c r="W946" s="569"/>
      <c r="X946" s="569"/>
      <c r="Y946" s="569"/>
      <c r="Z946" s="569"/>
      <c r="AA946" s="569"/>
    </row>
    <row r="947" ht="12.75" customHeight="1">
      <c r="A947" s="569"/>
      <c r="B947" s="569"/>
      <c r="D947" s="569"/>
      <c r="E947" s="569"/>
      <c r="F947" s="569"/>
      <c r="G947" s="569"/>
      <c r="H947" s="569"/>
      <c r="I947" s="569"/>
      <c r="J947" s="569"/>
      <c r="K947" s="569"/>
      <c r="L947" s="569"/>
      <c r="M947" s="569"/>
      <c r="N947" s="569"/>
      <c r="O947" s="569"/>
      <c r="P947" s="569"/>
      <c r="Q947" s="569"/>
      <c r="R947" s="569"/>
      <c r="S947" s="569"/>
      <c r="T947" s="569"/>
      <c r="U947" s="569"/>
      <c r="V947" s="569"/>
      <c r="W947" s="569"/>
      <c r="X947" s="569"/>
      <c r="Y947" s="569"/>
      <c r="Z947" s="569"/>
      <c r="AA947" s="569"/>
    </row>
    <row r="948" ht="12.75" customHeight="1">
      <c r="A948" s="569"/>
      <c r="B948" s="569"/>
      <c r="D948" s="569"/>
      <c r="E948" s="569"/>
      <c r="F948" s="569"/>
      <c r="G948" s="569"/>
      <c r="H948" s="569"/>
      <c r="I948" s="569"/>
      <c r="J948" s="569"/>
      <c r="K948" s="569"/>
      <c r="L948" s="569"/>
      <c r="M948" s="569"/>
      <c r="N948" s="569"/>
      <c r="O948" s="569"/>
      <c r="P948" s="569"/>
      <c r="Q948" s="569"/>
      <c r="R948" s="569"/>
      <c r="S948" s="569"/>
      <c r="T948" s="569"/>
      <c r="U948" s="569"/>
      <c r="V948" s="569"/>
      <c r="W948" s="569"/>
      <c r="X948" s="569"/>
      <c r="Y948" s="569"/>
      <c r="Z948" s="569"/>
      <c r="AA948" s="569"/>
    </row>
    <row r="949" ht="12.75" customHeight="1">
      <c r="A949" s="569"/>
      <c r="B949" s="569"/>
      <c r="D949" s="569"/>
      <c r="E949" s="569"/>
      <c r="F949" s="569"/>
      <c r="G949" s="569"/>
      <c r="H949" s="569"/>
      <c r="I949" s="569"/>
      <c r="J949" s="569"/>
      <c r="K949" s="569"/>
      <c r="L949" s="569"/>
      <c r="M949" s="569"/>
      <c r="N949" s="569"/>
      <c r="O949" s="569"/>
      <c r="P949" s="569"/>
      <c r="Q949" s="569"/>
      <c r="R949" s="569"/>
      <c r="S949" s="569"/>
      <c r="T949" s="569"/>
      <c r="U949" s="569"/>
      <c r="V949" s="569"/>
      <c r="W949" s="569"/>
      <c r="X949" s="569"/>
      <c r="Y949" s="569"/>
      <c r="Z949" s="569"/>
      <c r="AA949" s="569"/>
    </row>
    <row r="950" ht="12.75" customHeight="1">
      <c r="A950" s="569"/>
      <c r="B950" s="569"/>
      <c r="D950" s="569"/>
      <c r="E950" s="569"/>
      <c r="F950" s="569"/>
      <c r="G950" s="569"/>
      <c r="H950" s="569"/>
      <c r="I950" s="569"/>
      <c r="J950" s="569"/>
      <c r="K950" s="569"/>
      <c r="L950" s="569"/>
      <c r="M950" s="569"/>
      <c r="N950" s="569"/>
      <c r="O950" s="569"/>
      <c r="P950" s="569"/>
      <c r="Q950" s="569"/>
      <c r="R950" s="569"/>
      <c r="S950" s="569"/>
      <c r="T950" s="569"/>
      <c r="U950" s="569"/>
      <c r="V950" s="569"/>
      <c r="W950" s="569"/>
      <c r="X950" s="569"/>
      <c r="Y950" s="569"/>
      <c r="Z950" s="569"/>
      <c r="AA950" s="569"/>
    </row>
    <row r="951" ht="12.75" customHeight="1">
      <c r="A951" s="569"/>
      <c r="B951" s="569"/>
      <c r="D951" s="569"/>
      <c r="E951" s="569"/>
      <c r="F951" s="569"/>
      <c r="G951" s="569"/>
      <c r="H951" s="569"/>
      <c r="I951" s="569"/>
      <c r="J951" s="569"/>
      <c r="K951" s="569"/>
      <c r="L951" s="569"/>
      <c r="M951" s="569"/>
      <c r="N951" s="569"/>
      <c r="O951" s="569"/>
      <c r="P951" s="569"/>
      <c r="Q951" s="569"/>
      <c r="R951" s="569"/>
      <c r="S951" s="569"/>
      <c r="T951" s="569"/>
      <c r="U951" s="569"/>
      <c r="V951" s="569"/>
      <c r="W951" s="569"/>
      <c r="X951" s="569"/>
      <c r="Y951" s="569"/>
      <c r="Z951" s="569"/>
      <c r="AA951" s="569"/>
    </row>
    <row r="952" ht="12.75" customHeight="1">
      <c r="A952" s="569"/>
      <c r="B952" s="569"/>
      <c r="D952" s="569"/>
      <c r="E952" s="569"/>
      <c r="F952" s="569"/>
      <c r="G952" s="569"/>
      <c r="H952" s="569"/>
      <c r="I952" s="569"/>
      <c r="J952" s="569"/>
      <c r="K952" s="569"/>
      <c r="L952" s="569"/>
      <c r="M952" s="569"/>
      <c r="N952" s="569"/>
      <c r="O952" s="569"/>
      <c r="P952" s="569"/>
      <c r="Q952" s="569"/>
      <c r="R952" s="569"/>
      <c r="S952" s="569"/>
      <c r="T952" s="569"/>
      <c r="U952" s="569"/>
      <c r="V952" s="569"/>
      <c r="W952" s="569"/>
      <c r="X952" s="569"/>
      <c r="Y952" s="569"/>
      <c r="Z952" s="569"/>
      <c r="AA952" s="569"/>
    </row>
    <row r="953" ht="12.75" customHeight="1">
      <c r="A953" s="569"/>
      <c r="B953" s="569"/>
      <c r="D953" s="569"/>
      <c r="E953" s="569"/>
      <c r="F953" s="569"/>
      <c r="G953" s="569"/>
      <c r="H953" s="569"/>
      <c r="I953" s="569"/>
      <c r="J953" s="569"/>
      <c r="K953" s="569"/>
      <c r="L953" s="569"/>
      <c r="M953" s="569"/>
      <c r="N953" s="569"/>
      <c r="O953" s="569"/>
      <c r="P953" s="569"/>
      <c r="Q953" s="569"/>
      <c r="R953" s="569"/>
      <c r="S953" s="569"/>
      <c r="T953" s="569"/>
      <c r="U953" s="569"/>
      <c r="V953" s="569"/>
      <c r="W953" s="569"/>
      <c r="X953" s="569"/>
      <c r="Y953" s="569"/>
      <c r="Z953" s="569"/>
      <c r="AA953" s="569"/>
    </row>
    <row r="954" ht="12.75" customHeight="1">
      <c r="A954" s="569"/>
      <c r="B954" s="569"/>
      <c r="D954" s="569"/>
      <c r="E954" s="569"/>
      <c r="F954" s="569"/>
      <c r="G954" s="569"/>
      <c r="H954" s="569"/>
      <c r="I954" s="569"/>
      <c r="J954" s="569"/>
      <c r="K954" s="569"/>
      <c r="L954" s="569"/>
      <c r="M954" s="569"/>
      <c r="N954" s="569"/>
      <c r="O954" s="569"/>
      <c r="P954" s="569"/>
      <c r="Q954" s="569"/>
      <c r="R954" s="569"/>
      <c r="S954" s="569"/>
      <c r="T954" s="569"/>
      <c r="U954" s="569"/>
      <c r="V954" s="569"/>
      <c r="W954" s="569"/>
      <c r="X954" s="569"/>
      <c r="Y954" s="569"/>
      <c r="Z954" s="569"/>
      <c r="AA954" s="569"/>
    </row>
    <row r="955" ht="12.75" customHeight="1">
      <c r="A955" s="569"/>
      <c r="B955" s="569"/>
      <c r="D955" s="569"/>
      <c r="E955" s="569"/>
      <c r="F955" s="569"/>
      <c r="G955" s="569"/>
      <c r="H955" s="569"/>
      <c r="I955" s="569"/>
      <c r="J955" s="569"/>
      <c r="K955" s="569"/>
      <c r="L955" s="569"/>
      <c r="M955" s="569"/>
      <c r="N955" s="569"/>
      <c r="O955" s="569"/>
      <c r="P955" s="569"/>
      <c r="Q955" s="569"/>
      <c r="R955" s="569"/>
      <c r="S955" s="569"/>
      <c r="T955" s="569"/>
      <c r="U955" s="569"/>
      <c r="V955" s="569"/>
      <c r="W955" s="569"/>
      <c r="X955" s="569"/>
      <c r="Y955" s="569"/>
      <c r="Z955" s="569"/>
      <c r="AA955" s="569"/>
    </row>
    <row r="956" ht="12.75" customHeight="1">
      <c r="A956" s="569"/>
      <c r="B956" s="569"/>
      <c r="D956" s="569"/>
      <c r="E956" s="569"/>
      <c r="F956" s="569"/>
      <c r="G956" s="569"/>
      <c r="H956" s="569"/>
      <c r="I956" s="569"/>
      <c r="J956" s="569"/>
      <c r="K956" s="569"/>
      <c r="L956" s="569"/>
      <c r="M956" s="569"/>
      <c r="N956" s="569"/>
      <c r="O956" s="569"/>
      <c r="P956" s="569"/>
      <c r="Q956" s="569"/>
      <c r="R956" s="569"/>
      <c r="S956" s="569"/>
      <c r="T956" s="569"/>
      <c r="U956" s="569"/>
      <c r="V956" s="569"/>
      <c r="W956" s="569"/>
      <c r="X956" s="569"/>
      <c r="Y956" s="569"/>
      <c r="Z956" s="569"/>
      <c r="AA956" s="569"/>
    </row>
    <row r="957" ht="12.75" customHeight="1">
      <c r="A957" s="569"/>
      <c r="B957" s="569"/>
      <c r="D957" s="569"/>
      <c r="E957" s="569"/>
      <c r="F957" s="569"/>
      <c r="G957" s="569"/>
      <c r="H957" s="569"/>
      <c r="I957" s="569"/>
      <c r="J957" s="569"/>
      <c r="K957" s="569"/>
      <c r="L957" s="569"/>
      <c r="M957" s="569"/>
      <c r="N957" s="569"/>
      <c r="O957" s="569"/>
      <c r="P957" s="569"/>
      <c r="Q957" s="569"/>
      <c r="R957" s="569"/>
      <c r="S957" s="569"/>
      <c r="T957" s="569"/>
      <c r="U957" s="569"/>
      <c r="V957" s="569"/>
      <c r="W957" s="569"/>
      <c r="X957" s="569"/>
      <c r="Y957" s="569"/>
      <c r="Z957" s="569"/>
      <c r="AA957" s="569"/>
    </row>
    <row r="958" ht="12.75" customHeight="1">
      <c r="A958" s="569"/>
      <c r="B958" s="569"/>
      <c r="D958" s="569"/>
      <c r="E958" s="569"/>
      <c r="F958" s="569"/>
      <c r="G958" s="569"/>
      <c r="H958" s="569"/>
      <c r="I958" s="569"/>
      <c r="J958" s="569"/>
      <c r="K958" s="569"/>
      <c r="L958" s="569"/>
      <c r="M958" s="569"/>
      <c r="N958" s="569"/>
      <c r="O958" s="569"/>
      <c r="P958" s="569"/>
      <c r="Q958" s="569"/>
      <c r="R958" s="569"/>
      <c r="S958" s="569"/>
      <c r="T958" s="569"/>
      <c r="U958" s="569"/>
      <c r="V958" s="569"/>
      <c r="W958" s="569"/>
      <c r="X958" s="569"/>
      <c r="Y958" s="569"/>
      <c r="Z958" s="569"/>
      <c r="AA958" s="569"/>
    </row>
    <row r="959" ht="12.75" customHeight="1">
      <c r="A959" s="569"/>
      <c r="B959" s="569"/>
      <c r="D959" s="569"/>
      <c r="E959" s="569"/>
      <c r="F959" s="569"/>
      <c r="G959" s="569"/>
      <c r="H959" s="569"/>
      <c r="I959" s="569"/>
      <c r="J959" s="569"/>
      <c r="K959" s="569"/>
      <c r="L959" s="569"/>
      <c r="M959" s="569"/>
      <c r="N959" s="569"/>
      <c r="O959" s="569"/>
      <c r="P959" s="569"/>
      <c r="Q959" s="569"/>
      <c r="R959" s="569"/>
      <c r="S959" s="569"/>
      <c r="T959" s="569"/>
      <c r="U959" s="569"/>
      <c r="V959" s="569"/>
      <c r="W959" s="569"/>
      <c r="X959" s="569"/>
      <c r="Y959" s="569"/>
      <c r="Z959" s="569"/>
      <c r="AA959" s="569"/>
    </row>
    <row r="960" ht="12.75" customHeight="1">
      <c r="A960" s="569"/>
      <c r="B960" s="569"/>
      <c r="D960" s="569"/>
      <c r="E960" s="569"/>
      <c r="F960" s="569"/>
      <c r="G960" s="569"/>
      <c r="H960" s="569"/>
      <c r="I960" s="569"/>
      <c r="J960" s="569"/>
      <c r="K960" s="569"/>
      <c r="L960" s="569"/>
      <c r="M960" s="569"/>
      <c r="N960" s="569"/>
      <c r="O960" s="569"/>
      <c r="P960" s="569"/>
      <c r="Q960" s="569"/>
      <c r="R960" s="569"/>
      <c r="S960" s="569"/>
      <c r="T960" s="569"/>
      <c r="U960" s="569"/>
      <c r="V960" s="569"/>
      <c r="W960" s="569"/>
      <c r="X960" s="569"/>
      <c r="Y960" s="569"/>
      <c r="Z960" s="569"/>
      <c r="AA960" s="569"/>
    </row>
    <row r="961" ht="12.75" customHeight="1">
      <c r="A961" s="569"/>
      <c r="B961" s="569"/>
      <c r="D961" s="569"/>
      <c r="E961" s="569"/>
      <c r="F961" s="569"/>
      <c r="G961" s="569"/>
      <c r="H961" s="569"/>
      <c r="I961" s="569"/>
      <c r="J961" s="569"/>
      <c r="K961" s="569"/>
      <c r="L961" s="569"/>
      <c r="M961" s="569"/>
      <c r="N961" s="569"/>
      <c r="O961" s="569"/>
      <c r="P961" s="569"/>
      <c r="Q961" s="569"/>
      <c r="R961" s="569"/>
      <c r="S961" s="569"/>
      <c r="T961" s="569"/>
      <c r="U961" s="569"/>
      <c r="V961" s="569"/>
      <c r="W961" s="569"/>
      <c r="X961" s="569"/>
      <c r="Y961" s="569"/>
      <c r="Z961" s="569"/>
      <c r="AA961" s="569"/>
    </row>
    <row r="962" ht="12.75" customHeight="1">
      <c r="A962" s="569"/>
      <c r="B962" s="569"/>
      <c r="D962" s="569"/>
      <c r="E962" s="569"/>
      <c r="F962" s="569"/>
      <c r="G962" s="569"/>
      <c r="H962" s="569"/>
      <c r="I962" s="569"/>
      <c r="J962" s="569"/>
      <c r="K962" s="569"/>
      <c r="L962" s="569"/>
      <c r="M962" s="569"/>
      <c r="N962" s="569"/>
      <c r="O962" s="569"/>
      <c r="P962" s="569"/>
      <c r="Q962" s="569"/>
      <c r="R962" s="569"/>
      <c r="S962" s="569"/>
      <c r="T962" s="569"/>
      <c r="U962" s="569"/>
      <c r="V962" s="569"/>
      <c r="W962" s="569"/>
      <c r="X962" s="569"/>
      <c r="Y962" s="569"/>
      <c r="Z962" s="569"/>
      <c r="AA962" s="569"/>
    </row>
    <row r="963" ht="12.75" customHeight="1">
      <c r="A963" s="569"/>
      <c r="B963" s="569"/>
      <c r="D963" s="569"/>
      <c r="E963" s="569"/>
      <c r="F963" s="569"/>
      <c r="G963" s="569"/>
      <c r="H963" s="569"/>
      <c r="I963" s="569"/>
      <c r="J963" s="569"/>
      <c r="K963" s="569"/>
      <c r="L963" s="569"/>
      <c r="M963" s="569"/>
      <c r="N963" s="569"/>
      <c r="O963" s="569"/>
      <c r="P963" s="569"/>
      <c r="Q963" s="569"/>
      <c r="R963" s="569"/>
      <c r="S963" s="569"/>
      <c r="T963" s="569"/>
      <c r="U963" s="569"/>
      <c r="V963" s="569"/>
      <c r="W963" s="569"/>
      <c r="X963" s="569"/>
      <c r="Y963" s="569"/>
      <c r="Z963" s="569"/>
      <c r="AA963" s="569"/>
    </row>
    <row r="964" ht="12.75" customHeight="1">
      <c r="A964" s="569"/>
      <c r="B964" s="569"/>
      <c r="D964" s="569"/>
      <c r="E964" s="569"/>
      <c r="F964" s="569"/>
      <c r="G964" s="569"/>
      <c r="H964" s="569"/>
      <c r="I964" s="569"/>
      <c r="J964" s="569"/>
      <c r="K964" s="569"/>
      <c r="L964" s="569"/>
      <c r="M964" s="569"/>
      <c r="N964" s="569"/>
      <c r="O964" s="569"/>
      <c r="P964" s="569"/>
      <c r="Q964" s="569"/>
      <c r="R964" s="569"/>
      <c r="S964" s="569"/>
      <c r="T964" s="569"/>
      <c r="U964" s="569"/>
      <c r="V964" s="569"/>
      <c r="W964" s="569"/>
      <c r="X964" s="569"/>
      <c r="Y964" s="569"/>
      <c r="Z964" s="569"/>
      <c r="AA964" s="569"/>
    </row>
    <row r="965" ht="12.75" customHeight="1">
      <c r="A965" s="569"/>
      <c r="B965" s="569"/>
      <c r="D965" s="569"/>
      <c r="E965" s="569"/>
      <c r="F965" s="569"/>
      <c r="G965" s="569"/>
      <c r="H965" s="569"/>
      <c r="I965" s="569"/>
      <c r="J965" s="569"/>
      <c r="K965" s="569"/>
      <c r="L965" s="569"/>
      <c r="M965" s="569"/>
      <c r="N965" s="569"/>
      <c r="O965" s="569"/>
      <c r="P965" s="569"/>
      <c r="Q965" s="569"/>
      <c r="R965" s="569"/>
      <c r="S965" s="569"/>
      <c r="T965" s="569"/>
      <c r="U965" s="569"/>
      <c r="V965" s="569"/>
      <c r="W965" s="569"/>
      <c r="X965" s="569"/>
      <c r="Y965" s="569"/>
      <c r="Z965" s="569"/>
      <c r="AA965" s="569"/>
    </row>
    <row r="966" ht="12.75" customHeight="1">
      <c r="A966" s="569"/>
      <c r="B966" s="569"/>
      <c r="D966" s="569"/>
      <c r="E966" s="569"/>
      <c r="F966" s="569"/>
      <c r="G966" s="569"/>
      <c r="H966" s="569"/>
      <c r="I966" s="569"/>
      <c r="J966" s="569"/>
      <c r="K966" s="569"/>
      <c r="L966" s="569"/>
      <c r="M966" s="569"/>
      <c r="N966" s="569"/>
      <c r="O966" s="569"/>
      <c r="P966" s="569"/>
      <c r="Q966" s="569"/>
      <c r="R966" s="569"/>
      <c r="S966" s="569"/>
      <c r="T966" s="569"/>
      <c r="U966" s="569"/>
      <c r="V966" s="569"/>
      <c r="W966" s="569"/>
      <c r="X966" s="569"/>
      <c r="Y966" s="569"/>
      <c r="Z966" s="569"/>
      <c r="AA966" s="569"/>
    </row>
    <row r="967" ht="12.75" customHeight="1">
      <c r="A967" s="569"/>
      <c r="B967" s="569"/>
      <c r="D967" s="569"/>
      <c r="E967" s="569"/>
      <c r="F967" s="569"/>
      <c r="G967" s="569"/>
      <c r="H967" s="569"/>
      <c r="I967" s="569"/>
      <c r="J967" s="569"/>
      <c r="K967" s="569"/>
      <c r="L967" s="569"/>
      <c r="M967" s="569"/>
      <c r="N967" s="569"/>
      <c r="O967" s="569"/>
      <c r="P967" s="569"/>
      <c r="Q967" s="569"/>
      <c r="R967" s="569"/>
      <c r="S967" s="569"/>
      <c r="T967" s="569"/>
      <c r="U967" s="569"/>
      <c r="V967" s="569"/>
      <c r="W967" s="569"/>
      <c r="X967" s="569"/>
      <c r="Y967" s="569"/>
      <c r="Z967" s="569"/>
      <c r="AA967" s="569"/>
    </row>
    <row r="968" ht="12.75" customHeight="1">
      <c r="A968" s="569"/>
      <c r="B968" s="569"/>
      <c r="D968" s="569"/>
      <c r="E968" s="569"/>
      <c r="F968" s="569"/>
      <c r="G968" s="569"/>
      <c r="H968" s="569"/>
      <c r="I968" s="569"/>
      <c r="J968" s="569"/>
      <c r="K968" s="569"/>
      <c r="L968" s="569"/>
      <c r="M968" s="569"/>
      <c r="N968" s="569"/>
      <c r="O968" s="569"/>
      <c r="P968" s="569"/>
      <c r="Q968" s="569"/>
      <c r="R968" s="569"/>
      <c r="S968" s="569"/>
      <c r="T968" s="569"/>
      <c r="U968" s="569"/>
      <c r="V968" s="569"/>
      <c r="W968" s="569"/>
      <c r="X968" s="569"/>
      <c r="Y968" s="569"/>
      <c r="Z968" s="569"/>
      <c r="AA968" s="569"/>
    </row>
    <row r="969" ht="12.75" customHeight="1">
      <c r="A969" s="569"/>
      <c r="B969" s="569"/>
      <c r="D969" s="569"/>
      <c r="E969" s="569"/>
      <c r="F969" s="569"/>
      <c r="G969" s="569"/>
      <c r="H969" s="569"/>
      <c r="I969" s="569"/>
      <c r="J969" s="569"/>
      <c r="K969" s="569"/>
      <c r="L969" s="569"/>
      <c r="M969" s="569"/>
      <c r="N969" s="569"/>
      <c r="O969" s="569"/>
      <c r="P969" s="569"/>
      <c r="Q969" s="569"/>
      <c r="R969" s="569"/>
      <c r="S969" s="569"/>
      <c r="T969" s="569"/>
      <c r="U969" s="569"/>
      <c r="V969" s="569"/>
      <c r="W969" s="569"/>
      <c r="X969" s="569"/>
      <c r="Y969" s="569"/>
      <c r="Z969" s="569"/>
      <c r="AA969" s="569"/>
    </row>
    <row r="970" ht="12.75" customHeight="1">
      <c r="A970" s="569"/>
      <c r="B970" s="569"/>
      <c r="D970" s="569"/>
      <c r="E970" s="569"/>
      <c r="F970" s="569"/>
      <c r="G970" s="569"/>
      <c r="H970" s="569"/>
      <c r="I970" s="569"/>
      <c r="J970" s="569"/>
      <c r="K970" s="569"/>
      <c r="L970" s="569"/>
      <c r="M970" s="569"/>
      <c r="N970" s="569"/>
      <c r="O970" s="569"/>
      <c r="P970" s="569"/>
      <c r="Q970" s="569"/>
      <c r="R970" s="569"/>
      <c r="S970" s="569"/>
      <c r="T970" s="569"/>
      <c r="U970" s="569"/>
      <c r="V970" s="569"/>
      <c r="W970" s="569"/>
      <c r="X970" s="569"/>
      <c r="Y970" s="569"/>
      <c r="Z970" s="569"/>
      <c r="AA970" s="569"/>
    </row>
    <row r="971" ht="12.75" customHeight="1">
      <c r="A971" s="569"/>
      <c r="B971" s="569"/>
      <c r="D971" s="569"/>
      <c r="E971" s="569"/>
      <c r="F971" s="569"/>
      <c r="G971" s="569"/>
      <c r="H971" s="569"/>
      <c r="I971" s="569"/>
      <c r="J971" s="569"/>
      <c r="K971" s="569"/>
      <c r="L971" s="569"/>
      <c r="M971" s="569"/>
      <c r="N971" s="569"/>
      <c r="O971" s="569"/>
      <c r="P971" s="569"/>
      <c r="Q971" s="569"/>
      <c r="R971" s="569"/>
      <c r="S971" s="569"/>
      <c r="T971" s="569"/>
      <c r="U971" s="569"/>
      <c r="V971" s="569"/>
      <c r="W971" s="569"/>
      <c r="X971" s="569"/>
      <c r="Y971" s="569"/>
      <c r="Z971" s="569"/>
      <c r="AA971" s="569"/>
    </row>
    <row r="972" ht="12.75" customHeight="1">
      <c r="A972" s="569"/>
      <c r="B972" s="569"/>
      <c r="D972" s="569"/>
      <c r="E972" s="569"/>
      <c r="F972" s="569"/>
      <c r="G972" s="569"/>
      <c r="H972" s="569"/>
      <c r="I972" s="569"/>
      <c r="J972" s="569"/>
      <c r="K972" s="569"/>
      <c r="L972" s="569"/>
      <c r="M972" s="569"/>
      <c r="N972" s="569"/>
      <c r="O972" s="569"/>
      <c r="P972" s="569"/>
      <c r="Q972" s="569"/>
      <c r="R972" s="569"/>
      <c r="S972" s="569"/>
      <c r="T972" s="569"/>
      <c r="U972" s="569"/>
      <c r="V972" s="569"/>
      <c r="W972" s="569"/>
      <c r="X972" s="569"/>
      <c r="Y972" s="569"/>
      <c r="Z972" s="569"/>
      <c r="AA972" s="569"/>
    </row>
    <row r="973" ht="12.75" customHeight="1">
      <c r="A973" s="569"/>
      <c r="B973" s="569"/>
      <c r="D973" s="569"/>
      <c r="E973" s="569"/>
      <c r="F973" s="569"/>
      <c r="G973" s="569"/>
      <c r="H973" s="569"/>
      <c r="I973" s="569"/>
      <c r="J973" s="569"/>
      <c r="K973" s="569"/>
      <c r="L973" s="569"/>
      <c r="M973" s="569"/>
      <c r="N973" s="569"/>
      <c r="O973" s="569"/>
      <c r="P973" s="569"/>
      <c r="Q973" s="569"/>
      <c r="R973" s="569"/>
      <c r="S973" s="569"/>
      <c r="T973" s="569"/>
      <c r="U973" s="569"/>
      <c r="V973" s="569"/>
      <c r="W973" s="569"/>
      <c r="X973" s="569"/>
      <c r="Y973" s="569"/>
      <c r="Z973" s="569"/>
      <c r="AA973" s="569"/>
    </row>
    <row r="974" ht="12.75" customHeight="1">
      <c r="A974" s="569"/>
      <c r="B974" s="569"/>
      <c r="D974" s="569"/>
      <c r="E974" s="569"/>
      <c r="F974" s="569"/>
      <c r="G974" s="569"/>
      <c r="H974" s="569"/>
      <c r="I974" s="569"/>
      <c r="J974" s="569"/>
      <c r="K974" s="569"/>
      <c r="L974" s="569"/>
      <c r="M974" s="569"/>
      <c r="N974" s="569"/>
      <c r="O974" s="569"/>
      <c r="P974" s="569"/>
      <c r="Q974" s="569"/>
      <c r="R974" s="569"/>
      <c r="S974" s="569"/>
      <c r="T974" s="569"/>
      <c r="U974" s="569"/>
      <c r="V974" s="569"/>
      <c r="W974" s="569"/>
      <c r="X974" s="569"/>
      <c r="Y974" s="569"/>
      <c r="Z974" s="569"/>
      <c r="AA974" s="569"/>
    </row>
    <row r="975" ht="12.75" customHeight="1">
      <c r="A975" s="569"/>
      <c r="B975" s="569"/>
      <c r="D975" s="569"/>
      <c r="E975" s="569"/>
      <c r="F975" s="569"/>
      <c r="G975" s="569"/>
      <c r="H975" s="569"/>
      <c r="I975" s="569"/>
      <c r="J975" s="569"/>
      <c r="K975" s="569"/>
      <c r="L975" s="569"/>
      <c r="M975" s="569"/>
      <c r="N975" s="569"/>
      <c r="O975" s="569"/>
      <c r="P975" s="569"/>
      <c r="Q975" s="569"/>
      <c r="R975" s="569"/>
      <c r="S975" s="569"/>
      <c r="T975" s="569"/>
      <c r="U975" s="569"/>
      <c r="V975" s="569"/>
      <c r="W975" s="569"/>
      <c r="X975" s="569"/>
      <c r="Y975" s="569"/>
      <c r="Z975" s="569"/>
      <c r="AA975" s="569"/>
    </row>
    <row r="976" ht="12.75" customHeight="1">
      <c r="A976" s="569"/>
      <c r="B976" s="569"/>
      <c r="D976" s="569"/>
      <c r="E976" s="569"/>
      <c r="F976" s="569"/>
      <c r="G976" s="569"/>
      <c r="H976" s="569"/>
      <c r="I976" s="569"/>
      <c r="J976" s="569"/>
      <c r="K976" s="569"/>
      <c r="L976" s="569"/>
      <c r="M976" s="569"/>
      <c r="N976" s="569"/>
      <c r="O976" s="569"/>
      <c r="P976" s="569"/>
      <c r="Q976" s="569"/>
      <c r="R976" s="569"/>
      <c r="S976" s="569"/>
      <c r="T976" s="569"/>
      <c r="U976" s="569"/>
      <c r="V976" s="569"/>
      <c r="W976" s="569"/>
      <c r="X976" s="569"/>
      <c r="Y976" s="569"/>
      <c r="Z976" s="569"/>
      <c r="AA976" s="569"/>
    </row>
    <row r="977" ht="12.75" customHeight="1">
      <c r="A977" s="569"/>
      <c r="B977" s="569"/>
      <c r="D977" s="569"/>
      <c r="E977" s="569"/>
      <c r="F977" s="569"/>
      <c r="G977" s="569"/>
      <c r="H977" s="569"/>
      <c r="I977" s="569"/>
      <c r="J977" s="569"/>
      <c r="K977" s="569"/>
      <c r="L977" s="569"/>
      <c r="M977" s="569"/>
      <c r="N977" s="569"/>
      <c r="O977" s="569"/>
      <c r="P977" s="569"/>
      <c r="Q977" s="569"/>
      <c r="R977" s="569"/>
      <c r="S977" s="569"/>
      <c r="T977" s="569"/>
      <c r="U977" s="569"/>
      <c r="V977" s="569"/>
      <c r="W977" s="569"/>
      <c r="X977" s="569"/>
      <c r="Y977" s="569"/>
      <c r="Z977" s="569"/>
      <c r="AA977" s="569"/>
    </row>
    <row r="978" ht="12.75" customHeight="1">
      <c r="A978" s="569"/>
      <c r="B978" s="569"/>
      <c r="D978" s="569"/>
      <c r="E978" s="569"/>
      <c r="F978" s="569"/>
      <c r="G978" s="569"/>
      <c r="H978" s="569"/>
      <c r="I978" s="569"/>
      <c r="J978" s="569"/>
      <c r="K978" s="569"/>
      <c r="L978" s="569"/>
      <c r="M978" s="569"/>
      <c r="N978" s="569"/>
      <c r="O978" s="569"/>
      <c r="P978" s="569"/>
      <c r="Q978" s="569"/>
      <c r="R978" s="569"/>
      <c r="S978" s="569"/>
      <c r="T978" s="569"/>
      <c r="U978" s="569"/>
      <c r="V978" s="569"/>
      <c r="W978" s="569"/>
      <c r="X978" s="569"/>
      <c r="Y978" s="569"/>
      <c r="Z978" s="569"/>
      <c r="AA978" s="569"/>
    </row>
    <row r="979" ht="12.75" customHeight="1">
      <c r="A979" s="569"/>
      <c r="B979" s="569"/>
      <c r="D979" s="569"/>
      <c r="E979" s="569"/>
      <c r="F979" s="569"/>
      <c r="G979" s="569"/>
      <c r="H979" s="569"/>
      <c r="I979" s="569"/>
      <c r="J979" s="569"/>
      <c r="K979" s="569"/>
      <c r="L979" s="569"/>
      <c r="M979" s="569"/>
      <c r="N979" s="569"/>
      <c r="O979" s="569"/>
      <c r="P979" s="569"/>
      <c r="Q979" s="569"/>
      <c r="R979" s="569"/>
      <c r="S979" s="569"/>
      <c r="T979" s="569"/>
      <c r="U979" s="569"/>
      <c r="V979" s="569"/>
      <c r="W979" s="569"/>
      <c r="X979" s="569"/>
      <c r="Y979" s="569"/>
      <c r="Z979" s="569"/>
      <c r="AA979" s="569"/>
    </row>
    <row r="980" ht="12.75" customHeight="1">
      <c r="A980" s="569"/>
      <c r="B980" s="569"/>
      <c r="D980" s="569"/>
      <c r="E980" s="569"/>
      <c r="F980" s="569"/>
      <c r="G980" s="569"/>
      <c r="H980" s="569"/>
      <c r="I980" s="569"/>
      <c r="J980" s="569"/>
      <c r="K980" s="569"/>
      <c r="L980" s="569"/>
      <c r="M980" s="569"/>
      <c r="N980" s="569"/>
      <c r="O980" s="569"/>
      <c r="P980" s="569"/>
      <c r="Q980" s="569"/>
      <c r="R980" s="569"/>
      <c r="S980" s="569"/>
      <c r="T980" s="569"/>
      <c r="U980" s="569"/>
      <c r="V980" s="569"/>
      <c r="W980" s="569"/>
      <c r="X980" s="569"/>
      <c r="Y980" s="569"/>
      <c r="Z980" s="569"/>
      <c r="AA980" s="569"/>
    </row>
    <row r="981" ht="12.75" customHeight="1">
      <c r="A981" s="569"/>
      <c r="B981" s="569"/>
      <c r="D981" s="569"/>
      <c r="E981" s="569"/>
      <c r="F981" s="569"/>
      <c r="G981" s="569"/>
      <c r="H981" s="569"/>
      <c r="I981" s="569"/>
      <c r="J981" s="569"/>
      <c r="K981" s="569"/>
      <c r="L981" s="569"/>
      <c r="M981" s="569"/>
      <c r="N981" s="569"/>
      <c r="O981" s="569"/>
      <c r="P981" s="569"/>
      <c r="Q981" s="569"/>
      <c r="R981" s="569"/>
      <c r="S981" s="569"/>
      <c r="T981" s="569"/>
      <c r="U981" s="569"/>
      <c r="V981" s="569"/>
      <c r="W981" s="569"/>
      <c r="X981" s="569"/>
      <c r="Y981" s="569"/>
      <c r="Z981" s="569"/>
      <c r="AA981" s="569"/>
    </row>
    <row r="982" ht="12.75" customHeight="1">
      <c r="A982" s="569"/>
      <c r="B982" s="569"/>
      <c r="D982" s="569"/>
      <c r="E982" s="569"/>
      <c r="F982" s="569"/>
      <c r="G982" s="569"/>
      <c r="H982" s="569"/>
      <c r="I982" s="569"/>
      <c r="J982" s="569"/>
      <c r="K982" s="569"/>
      <c r="L982" s="569"/>
      <c r="M982" s="569"/>
      <c r="N982" s="569"/>
      <c r="O982" s="569"/>
      <c r="P982" s="569"/>
      <c r="Q982" s="569"/>
      <c r="R982" s="569"/>
      <c r="S982" s="569"/>
      <c r="T982" s="569"/>
      <c r="U982" s="569"/>
      <c r="V982" s="569"/>
      <c r="W982" s="569"/>
      <c r="X982" s="569"/>
      <c r="Y982" s="569"/>
      <c r="Z982" s="569"/>
      <c r="AA982" s="569"/>
    </row>
    <row r="983" ht="12.75" customHeight="1">
      <c r="A983" s="569"/>
      <c r="B983" s="569"/>
      <c r="D983" s="569"/>
      <c r="E983" s="569"/>
      <c r="F983" s="569"/>
      <c r="G983" s="569"/>
      <c r="H983" s="569"/>
      <c r="I983" s="569"/>
      <c r="J983" s="569"/>
      <c r="K983" s="569"/>
      <c r="L983" s="569"/>
      <c r="M983" s="569"/>
      <c r="N983" s="569"/>
      <c r="O983" s="569"/>
      <c r="P983" s="569"/>
      <c r="Q983" s="569"/>
      <c r="R983" s="569"/>
      <c r="S983" s="569"/>
      <c r="T983" s="569"/>
      <c r="U983" s="569"/>
      <c r="V983" s="569"/>
      <c r="W983" s="569"/>
      <c r="X983" s="569"/>
      <c r="Y983" s="569"/>
      <c r="Z983" s="569"/>
      <c r="AA983" s="569"/>
    </row>
    <row r="984" ht="12.75" customHeight="1">
      <c r="A984" s="569"/>
      <c r="B984" s="569"/>
      <c r="D984" s="569"/>
      <c r="E984" s="569"/>
      <c r="F984" s="569"/>
      <c r="G984" s="569"/>
      <c r="H984" s="569"/>
      <c r="I984" s="569"/>
      <c r="J984" s="569"/>
      <c r="K984" s="569"/>
      <c r="L984" s="569"/>
      <c r="M984" s="569"/>
      <c r="N984" s="569"/>
      <c r="O984" s="569"/>
      <c r="P984" s="569"/>
      <c r="Q984" s="569"/>
      <c r="R984" s="569"/>
      <c r="S984" s="569"/>
      <c r="T984" s="569"/>
      <c r="U984" s="569"/>
      <c r="V984" s="569"/>
      <c r="W984" s="569"/>
      <c r="X984" s="569"/>
      <c r="Y984" s="569"/>
      <c r="Z984" s="569"/>
      <c r="AA984" s="569"/>
    </row>
    <row r="985" ht="12.75" customHeight="1">
      <c r="A985" s="569"/>
      <c r="B985" s="569"/>
      <c r="D985" s="569"/>
      <c r="E985" s="569"/>
      <c r="F985" s="569"/>
      <c r="G985" s="569"/>
      <c r="H985" s="569"/>
      <c r="I985" s="569"/>
      <c r="J985" s="569"/>
      <c r="K985" s="569"/>
      <c r="L985" s="569"/>
      <c r="M985" s="569"/>
      <c r="N985" s="569"/>
      <c r="O985" s="569"/>
      <c r="P985" s="569"/>
      <c r="Q985" s="569"/>
      <c r="R985" s="569"/>
      <c r="S985" s="569"/>
      <c r="T985" s="569"/>
      <c r="U985" s="569"/>
      <c r="V985" s="569"/>
      <c r="W985" s="569"/>
      <c r="X985" s="569"/>
      <c r="Y985" s="569"/>
      <c r="Z985" s="569"/>
      <c r="AA985" s="569"/>
    </row>
    <row r="986" ht="12.75" customHeight="1">
      <c r="A986" s="569"/>
      <c r="B986" s="569"/>
      <c r="D986" s="569"/>
      <c r="E986" s="569"/>
      <c r="F986" s="569"/>
      <c r="G986" s="569"/>
      <c r="H986" s="569"/>
      <c r="I986" s="569"/>
      <c r="J986" s="569"/>
      <c r="K986" s="569"/>
      <c r="L986" s="569"/>
      <c r="M986" s="569"/>
      <c r="N986" s="569"/>
      <c r="O986" s="569"/>
      <c r="P986" s="569"/>
      <c r="Q986" s="569"/>
      <c r="R986" s="569"/>
      <c r="S986" s="569"/>
      <c r="T986" s="569"/>
      <c r="U986" s="569"/>
      <c r="V986" s="569"/>
      <c r="W986" s="569"/>
      <c r="X986" s="569"/>
      <c r="Y986" s="569"/>
      <c r="Z986" s="569"/>
      <c r="AA986" s="569"/>
    </row>
    <row r="987" ht="12.75" customHeight="1">
      <c r="A987" s="569"/>
      <c r="B987" s="569"/>
      <c r="D987" s="569"/>
      <c r="E987" s="569"/>
      <c r="F987" s="569"/>
      <c r="G987" s="569"/>
      <c r="H987" s="569"/>
      <c r="I987" s="569"/>
      <c r="J987" s="569"/>
      <c r="K987" s="569"/>
      <c r="L987" s="569"/>
      <c r="M987" s="569"/>
      <c r="N987" s="569"/>
      <c r="O987" s="569"/>
      <c r="P987" s="569"/>
      <c r="Q987" s="569"/>
      <c r="R987" s="569"/>
      <c r="S987" s="569"/>
      <c r="T987" s="569"/>
      <c r="U987" s="569"/>
      <c r="V987" s="569"/>
      <c r="W987" s="569"/>
      <c r="X987" s="569"/>
      <c r="Y987" s="569"/>
      <c r="Z987" s="569"/>
      <c r="AA987" s="569"/>
    </row>
    <row r="988" ht="12.75" customHeight="1">
      <c r="A988" s="569"/>
      <c r="B988" s="569"/>
      <c r="D988" s="569"/>
      <c r="E988" s="569"/>
      <c r="F988" s="569"/>
      <c r="G988" s="569"/>
      <c r="H988" s="569"/>
      <c r="I988" s="569"/>
      <c r="J988" s="569"/>
      <c r="K988" s="569"/>
      <c r="L988" s="569"/>
      <c r="M988" s="569"/>
      <c r="N988" s="569"/>
      <c r="O988" s="569"/>
      <c r="P988" s="569"/>
      <c r="Q988" s="569"/>
      <c r="R988" s="569"/>
      <c r="S988" s="569"/>
      <c r="T988" s="569"/>
      <c r="U988" s="569"/>
      <c r="V988" s="569"/>
      <c r="W988" s="569"/>
      <c r="X988" s="569"/>
      <c r="Y988" s="569"/>
      <c r="Z988" s="569"/>
      <c r="AA988" s="569"/>
    </row>
    <row r="989" ht="12.75" customHeight="1">
      <c r="A989" s="569"/>
      <c r="B989" s="569"/>
      <c r="D989" s="569"/>
      <c r="E989" s="569"/>
      <c r="F989" s="569"/>
      <c r="G989" s="569"/>
      <c r="H989" s="569"/>
      <c r="I989" s="569"/>
      <c r="J989" s="569"/>
      <c r="K989" s="569"/>
      <c r="L989" s="569"/>
      <c r="M989" s="569"/>
      <c r="N989" s="569"/>
      <c r="O989" s="569"/>
      <c r="P989" s="569"/>
      <c r="Q989" s="569"/>
      <c r="R989" s="569"/>
      <c r="S989" s="569"/>
      <c r="T989" s="569"/>
      <c r="U989" s="569"/>
      <c r="V989" s="569"/>
      <c r="W989" s="569"/>
      <c r="X989" s="569"/>
      <c r="Y989" s="569"/>
      <c r="Z989" s="569"/>
      <c r="AA989" s="569"/>
    </row>
    <row r="990" ht="12.75" customHeight="1">
      <c r="A990" s="569"/>
      <c r="B990" s="569"/>
      <c r="D990" s="569"/>
      <c r="E990" s="569"/>
      <c r="F990" s="569"/>
      <c r="G990" s="569"/>
      <c r="H990" s="569"/>
      <c r="I990" s="569"/>
      <c r="J990" s="569"/>
      <c r="K990" s="569"/>
      <c r="L990" s="569"/>
      <c r="M990" s="569"/>
      <c r="N990" s="569"/>
      <c r="O990" s="569"/>
      <c r="P990" s="569"/>
      <c r="Q990" s="569"/>
      <c r="R990" s="569"/>
      <c r="S990" s="569"/>
      <c r="T990" s="569"/>
      <c r="U990" s="569"/>
      <c r="V990" s="569"/>
      <c r="W990" s="569"/>
      <c r="X990" s="569"/>
      <c r="Y990" s="569"/>
      <c r="Z990" s="569"/>
      <c r="AA990" s="569"/>
    </row>
    <row r="991" ht="12.75" customHeight="1">
      <c r="A991" s="569"/>
      <c r="B991" s="569"/>
      <c r="D991" s="569"/>
      <c r="E991" s="569"/>
      <c r="F991" s="569"/>
      <c r="G991" s="569"/>
      <c r="H991" s="569"/>
      <c r="I991" s="569"/>
      <c r="J991" s="569"/>
      <c r="K991" s="569"/>
      <c r="L991" s="569"/>
      <c r="M991" s="569"/>
      <c r="N991" s="569"/>
      <c r="O991" s="569"/>
      <c r="P991" s="569"/>
      <c r="Q991" s="569"/>
      <c r="R991" s="569"/>
      <c r="S991" s="569"/>
      <c r="T991" s="569"/>
      <c r="U991" s="569"/>
      <c r="V991" s="569"/>
      <c r="W991" s="569"/>
      <c r="X991" s="569"/>
      <c r="Y991" s="569"/>
      <c r="Z991" s="569"/>
      <c r="AA991" s="569"/>
    </row>
    <row r="992" ht="12.75" customHeight="1">
      <c r="A992" s="569"/>
      <c r="B992" s="569"/>
      <c r="D992" s="569"/>
      <c r="E992" s="569"/>
      <c r="F992" s="569"/>
      <c r="G992" s="569"/>
      <c r="H992" s="569"/>
      <c r="I992" s="569"/>
      <c r="J992" s="569"/>
      <c r="K992" s="569"/>
      <c r="L992" s="569"/>
      <c r="M992" s="569"/>
      <c r="N992" s="569"/>
      <c r="O992" s="569"/>
      <c r="P992" s="569"/>
      <c r="Q992" s="569"/>
      <c r="R992" s="569"/>
      <c r="S992" s="569"/>
      <c r="T992" s="569"/>
      <c r="U992" s="569"/>
      <c r="V992" s="569"/>
      <c r="W992" s="569"/>
      <c r="X992" s="569"/>
      <c r="Y992" s="569"/>
      <c r="Z992" s="569"/>
      <c r="AA992" s="569"/>
    </row>
    <row r="993" ht="12.75" customHeight="1">
      <c r="A993" s="569"/>
      <c r="B993" s="569"/>
      <c r="D993" s="569"/>
      <c r="E993" s="569"/>
      <c r="F993" s="569"/>
      <c r="G993" s="569"/>
      <c r="H993" s="569"/>
      <c r="I993" s="569"/>
      <c r="J993" s="569"/>
      <c r="K993" s="569"/>
      <c r="L993" s="569"/>
      <c r="M993" s="569"/>
      <c r="N993" s="569"/>
      <c r="O993" s="569"/>
      <c r="P993" s="569"/>
      <c r="Q993" s="569"/>
      <c r="R993" s="569"/>
      <c r="S993" s="569"/>
      <c r="T993" s="569"/>
      <c r="U993" s="569"/>
      <c r="V993" s="569"/>
      <c r="W993" s="569"/>
      <c r="X993" s="569"/>
      <c r="Y993" s="569"/>
      <c r="Z993" s="569"/>
      <c r="AA993" s="569"/>
    </row>
    <row r="994" ht="12.75" customHeight="1">
      <c r="A994" s="569"/>
      <c r="B994" s="569"/>
      <c r="D994" s="569"/>
      <c r="E994" s="569"/>
      <c r="F994" s="569"/>
      <c r="G994" s="569"/>
      <c r="H994" s="569"/>
      <c r="I994" s="569"/>
      <c r="J994" s="569"/>
      <c r="K994" s="569"/>
      <c r="L994" s="569"/>
      <c r="M994" s="569"/>
      <c r="N994" s="569"/>
      <c r="O994" s="569"/>
      <c r="P994" s="569"/>
      <c r="Q994" s="569"/>
      <c r="R994" s="569"/>
      <c r="S994" s="569"/>
      <c r="T994" s="569"/>
      <c r="U994" s="569"/>
      <c r="V994" s="569"/>
      <c r="W994" s="569"/>
      <c r="X994" s="569"/>
      <c r="Y994" s="569"/>
      <c r="Z994" s="569"/>
      <c r="AA994" s="569"/>
    </row>
    <row r="995" ht="12.75" customHeight="1">
      <c r="A995" s="569"/>
      <c r="B995" s="569"/>
      <c r="D995" s="569"/>
      <c r="E995" s="569"/>
      <c r="F995" s="569"/>
      <c r="G995" s="569"/>
      <c r="H995" s="569"/>
      <c r="I995" s="569"/>
      <c r="J995" s="569"/>
      <c r="K995" s="569"/>
      <c r="L995" s="569"/>
      <c r="M995" s="569"/>
      <c r="N995" s="569"/>
      <c r="O995" s="569"/>
      <c r="P995" s="569"/>
      <c r="Q995" s="569"/>
      <c r="R995" s="569"/>
      <c r="S995" s="569"/>
      <c r="T995" s="569"/>
      <c r="U995" s="569"/>
      <c r="V995" s="569"/>
      <c r="W995" s="569"/>
      <c r="X995" s="569"/>
      <c r="Y995" s="569"/>
      <c r="Z995" s="569"/>
      <c r="AA995" s="569"/>
    </row>
    <row r="996" ht="12.75" customHeight="1">
      <c r="A996" s="569"/>
      <c r="B996" s="569"/>
      <c r="D996" s="569"/>
      <c r="E996" s="569"/>
      <c r="F996" s="569"/>
      <c r="G996" s="569"/>
      <c r="H996" s="569"/>
      <c r="I996" s="569"/>
      <c r="J996" s="569"/>
      <c r="K996" s="569"/>
      <c r="L996" s="569"/>
      <c r="M996" s="569"/>
      <c r="N996" s="569"/>
      <c r="O996" s="569"/>
      <c r="P996" s="569"/>
      <c r="Q996" s="569"/>
      <c r="R996" s="569"/>
      <c r="S996" s="569"/>
      <c r="T996" s="569"/>
      <c r="U996" s="569"/>
      <c r="V996" s="569"/>
      <c r="W996" s="569"/>
      <c r="X996" s="569"/>
      <c r="Y996" s="569"/>
      <c r="Z996" s="569"/>
      <c r="AA996" s="569"/>
    </row>
    <row r="997" ht="12.75" customHeight="1">
      <c r="A997" s="569"/>
      <c r="B997" s="569"/>
      <c r="D997" s="569"/>
      <c r="E997" s="569"/>
      <c r="F997" s="569"/>
      <c r="G997" s="569"/>
      <c r="H997" s="569"/>
      <c r="I997" s="569"/>
      <c r="J997" s="569"/>
      <c r="K997" s="569"/>
      <c r="L997" s="569"/>
      <c r="M997" s="569"/>
      <c r="N997" s="569"/>
      <c r="O997" s="569"/>
      <c r="P997" s="569"/>
      <c r="Q997" s="569"/>
      <c r="R997" s="569"/>
      <c r="S997" s="569"/>
      <c r="T997" s="569"/>
      <c r="U997" s="569"/>
      <c r="V997" s="569"/>
      <c r="W997" s="569"/>
      <c r="X997" s="569"/>
      <c r="Y997" s="569"/>
      <c r="Z997" s="569"/>
      <c r="AA997" s="569"/>
    </row>
    <row r="998" ht="12.75" customHeight="1">
      <c r="A998" s="569"/>
      <c r="B998" s="569"/>
      <c r="D998" s="569"/>
      <c r="E998" s="569"/>
      <c r="F998" s="569"/>
      <c r="G998" s="569"/>
      <c r="H998" s="569"/>
      <c r="I998" s="569"/>
      <c r="J998" s="569"/>
      <c r="K998" s="569"/>
      <c r="L998" s="569"/>
      <c r="M998" s="569"/>
      <c r="N998" s="569"/>
      <c r="O998" s="569"/>
      <c r="P998" s="569"/>
      <c r="Q998" s="569"/>
      <c r="R998" s="569"/>
      <c r="S998" s="569"/>
      <c r="T998" s="569"/>
      <c r="U998" s="569"/>
      <c r="V998" s="569"/>
      <c r="W998" s="569"/>
      <c r="X998" s="569"/>
      <c r="Y998" s="569"/>
      <c r="Z998" s="569"/>
      <c r="AA998" s="569"/>
    </row>
    <row r="999" ht="12.75" customHeight="1">
      <c r="A999" s="569"/>
      <c r="B999" s="569"/>
      <c r="D999" s="569"/>
      <c r="E999" s="569"/>
      <c r="F999" s="569"/>
      <c r="G999" s="569"/>
      <c r="H999" s="569"/>
      <c r="I999" s="569"/>
      <c r="J999" s="569"/>
      <c r="K999" s="569"/>
      <c r="L999" s="569"/>
      <c r="M999" s="569"/>
      <c r="N999" s="569"/>
      <c r="O999" s="569"/>
      <c r="P999" s="569"/>
      <c r="Q999" s="569"/>
      <c r="R999" s="569"/>
      <c r="S999" s="569"/>
      <c r="T999" s="569"/>
      <c r="U999" s="569"/>
      <c r="V999" s="569"/>
      <c r="W999" s="569"/>
      <c r="X999" s="569"/>
      <c r="Y999" s="569"/>
      <c r="Z999" s="569"/>
      <c r="AA999" s="569"/>
    </row>
    <row r="1000" ht="12.75" customHeight="1">
      <c r="A1000" s="569"/>
      <c r="B1000" s="569"/>
      <c r="D1000" s="569"/>
      <c r="E1000" s="569"/>
      <c r="F1000" s="569"/>
      <c r="G1000" s="569"/>
      <c r="H1000" s="569"/>
      <c r="I1000" s="569"/>
      <c r="J1000" s="569"/>
      <c r="K1000" s="569"/>
      <c r="L1000" s="569"/>
      <c r="M1000" s="569"/>
      <c r="N1000" s="569"/>
      <c r="O1000" s="569"/>
      <c r="P1000" s="569"/>
      <c r="Q1000" s="569"/>
      <c r="R1000" s="569"/>
      <c r="S1000" s="569"/>
      <c r="T1000" s="569"/>
      <c r="U1000" s="569"/>
      <c r="V1000" s="569"/>
      <c r="W1000" s="569"/>
      <c r="X1000" s="569"/>
      <c r="Y1000" s="569"/>
      <c r="Z1000" s="569"/>
      <c r="AA1000" s="569"/>
    </row>
  </sheetData>
  <mergeCells count="3">
    <mergeCell ref="D3:H3"/>
    <mergeCell ref="J3:P3"/>
    <mergeCell ref="T3:Y3"/>
  </mergeCells>
  <printOptions/>
  <pageMargins bottom="0.984027777777778" footer="0.0" header="0.0" left="0.747916666666667" right="0.747916666666667" top="0.984027777777778"/>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0" outlineLevelRow="1"/>
  <cols>
    <col customWidth="1" min="1" max="1" width="44.0"/>
    <col customWidth="1" min="2" max="2" width="12.0"/>
    <col customWidth="1" min="3" max="3" width="11.25"/>
    <col customWidth="1" min="4" max="4" width="12.75"/>
    <col customWidth="1" min="5" max="7" width="12.0"/>
    <col customWidth="1" min="8" max="8" width="11.0"/>
    <col customWidth="1" min="9" max="9" width="14.0"/>
    <col customWidth="1" min="10" max="10" width="10.75"/>
    <col customWidth="1" min="11" max="11" width="12.88"/>
    <col customWidth="1" min="12" max="26" width="9.13"/>
  </cols>
  <sheetData>
    <row r="1" ht="12.75" customHeight="1">
      <c r="A1" s="603" t="s">
        <v>1475</v>
      </c>
    </row>
    <row r="2" ht="12.75" customHeight="1">
      <c r="A2" s="603" t="s">
        <v>1484</v>
      </c>
    </row>
    <row r="3" ht="12.75" customHeight="1">
      <c r="A3" s="63" t="s">
        <v>1485</v>
      </c>
    </row>
    <row r="4" ht="12.75" customHeight="1">
      <c r="A4" s="72"/>
      <c r="B4" s="604" t="s">
        <v>1261</v>
      </c>
      <c r="C4" s="18"/>
      <c r="D4" s="18"/>
      <c r="E4" s="18"/>
      <c r="F4" s="18"/>
      <c r="G4" s="19"/>
      <c r="H4" s="604" t="s">
        <v>1145</v>
      </c>
      <c r="I4" s="18"/>
      <c r="J4" s="18"/>
      <c r="K4" s="605" t="s">
        <v>1486</v>
      </c>
    </row>
    <row r="5" ht="12.75" customHeight="1">
      <c r="A5" s="90"/>
      <c r="B5" s="606" t="s">
        <v>71</v>
      </c>
      <c r="C5" s="606" t="s">
        <v>72</v>
      </c>
      <c r="D5" s="606" t="s">
        <v>73</v>
      </c>
      <c r="E5" s="606" t="s">
        <v>1265</v>
      </c>
      <c r="F5" s="607" t="s">
        <v>1487</v>
      </c>
      <c r="G5" s="606" t="s">
        <v>172</v>
      </c>
      <c r="H5" s="606" t="s">
        <v>1488</v>
      </c>
      <c r="I5" s="606" t="s">
        <v>1489</v>
      </c>
      <c r="J5" s="606" t="s">
        <v>172</v>
      </c>
      <c r="K5" s="608" t="s">
        <v>1490</v>
      </c>
    </row>
    <row r="6" ht="12.75" customHeight="1">
      <c r="A6" s="609" t="s">
        <v>1491</v>
      </c>
      <c r="B6" s="610"/>
      <c r="C6" s="610"/>
      <c r="D6" s="610"/>
      <c r="E6" s="610"/>
      <c r="F6" s="611"/>
      <c r="G6" s="610"/>
      <c r="H6" s="610"/>
      <c r="I6" s="610"/>
      <c r="J6" s="610"/>
      <c r="K6" s="610"/>
      <c r="L6" s="90"/>
      <c r="M6" s="90"/>
      <c r="N6" s="90"/>
      <c r="O6" s="90"/>
      <c r="P6" s="90"/>
      <c r="Q6" s="90"/>
      <c r="R6" s="90"/>
      <c r="S6" s="90"/>
      <c r="T6" s="90"/>
      <c r="U6" s="90"/>
      <c r="V6" s="90"/>
      <c r="W6" s="90"/>
      <c r="X6" s="90"/>
      <c r="Y6" s="90"/>
      <c r="Z6" s="90"/>
    </row>
    <row r="7" ht="12.75" hidden="1" customHeight="1" outlineLevel="1">
      <c r="A7" s="612" t="s">
        <v>1492</v>
      </c>
      <c r="B7" s="613">
        <v>0.0</v>
      </c>
      <c r="C7" s="613">
        <v>0.0</v>
      </c>
      <c r="D7" s="613">
        <v>0.0</v>
      </c>
      <c r="E7" s="613">
        <f t="shared" ref="E7:E245" si="1">IF(D7="","",SUM(B7:D7))</f>
        <v>0</v>
      </c>
      <c r="F7" s="614">
        <v>0.0</v>
      </c>
      <c r="G7" s="613">
        <f t="shared" ref="G7:G245" si="2">IF(F7="","",SUM(E7:F7))</f>
        <v>0</v>
      </c>
      <c r="H7" s="615"/>
      <c r="I7" s="613"/>
      <c r="J7" s="613" t="str">
        <f t="shared" ref="J7:J245" si="3">IF(I7="","",SUM(H7:I7))</f>
        <v/>
      </c>
      <c r="K7" s="613">
        <v>0.0</v>
      </c>
      <c r="L7" s="90"/>
      <c r="M7" s="90"/>
      <c r="N7" s="90"/>
      <c r="O7" s="90"/>
      <c r="P7" s="90"/>
      <c r="Q7" s="90"/>
      <c r="R7" s="90"/>
      <c r="S7" s="90"/>
      <c r="T7" s="90"/>
      <c r="U7" s="90"/>
      <c r="V7" s="90"/>
      <c r="W7" s="90"/>
      <c r="X7" s="90"/>
      <c r="Y7" s="90"/>
      <c r="Z7" s="90"/>
    </row>
    <row r="8" ht="12.75" hidden="1" customHeight="1" outlineLevel="1">
      <c r="A8" s="612" t="s">
        <v>1493</v>
      </c>
      <c r="B8" s="613">
        <v>0.0</v>
      </c>
      <c r="C8" s="613">
        <v>0.0</v>
      </c>
      <c r="D8" s="613">
        <v>0.0</v>
      </c>
      <c r="E8" s="613">
        <f t="shared" si="1"/>
        <v>0</v>
      </c>
      <c r="F8" s="614">
        <v>0.0</v>
      </c>
      <c r="G8" s="613">
        <f t="shared" si="2"/>
        <v>0</v>
      </c>
      <c r="H8" s="615"/>
      <c r="I8" s="613"/>
      <c r="J8" s="613" t="str">
        <f t="shared" si="3"/>
        <v/>
      </c>
      <c r="K8" s="613">
        <v>0.0</v>
      </c>
      <c r="L8" s="90"/>
      <c r="M8" s="90"/>
      <c r="N8" s="90"/>
      <c r="O8" s="90"/>
      <c r="P8" s="90"/>
      <c r="Q8" s="90"/>
      <c r="R8" s="90"/>
      <c r="S8" s="90"/>
      <c r="T8" s="90"/>
      <c r="U8" s="90"/>
      <c r="V8" s="90"/>
      <c r="W8" s="90"/>
      <c r="X8" s="90"/>
      <c r="Y8" s="90"/>
      <c r="Z8" s="90"/>
    </row>
    <row r="9" ht="12.75" hidden="1" customHeight="1" outlineLevel="1">
      <c r="A9" s="612" t="s">
        <v>1494</v>
      </c>
      <c r="B9" s="613">
        <v>26604.0</v>
      </c>
      <c r="C9" s="613">
        <v>0.0</v>
      </c>
      <c r="D9" s="613">
        <v>0.0</v>
      </c>
      <c r="E9" s="613">
        <f t="shared" si="1"/>
        <v>26604</v>
      </c>
      <c r="F9" s="614">
        <v>0.0</v>
      </c>
      <c r="G9" s="613">
        <f t="shared" si="2"/>
        <v>26604</v>
      </c>
      <c r="H9" s="615"/>
      <c r="I9" s="613"/>
      <c r="J9" s="613" t="str">
        <f t="shared" si="3"/>
        <v/>
      </c>
      <c r="K9" s="613">
        <v>26604.0</v>
      </c>
      <c r="L9" s="90"/>
      <c r="M9" s="90"/>
      <c r="N9" s="90"/>
      <c r="O9" s="90"/>
      <c r="P9" s="90"/>
      <c r="Q9" s="90"/>
      <c r="R9" s="90"/>
      <c r="S9" s="90"/>
      <c r="T9" s="90"/>
      <c r="U9" s="90"/>
      <c r="V9" s="90"/>
      <c r="W9" s="90"/>
      <c r="X9" s="90"/>
      <c r="Y9" s="90"/>
      <c r="Z9" s="90"/>
    </row>
    <row r="10" ht="12.75" hidden="1" customHeight="1" outlineLevel="1">
      <c r="A10" s="612" t="s">
        <v>1495</v>
      </c>
      <c r="B10" s="613">
        <v>6323.0</v>
      </c>
      <c r="C10" s="613">
        <v>0.0</v>
      </c>
      <c r="D10" s="613">
        <v>0.0</v>
      </c>
      <c r="E10" s="613">
        <f t="shared" si="1"/>
        <v>6323</v>
      </c>
      <c r="F10" s="614">
        <v>0.0</v>
      </c>
      <c r="G10" s="613">
        <f t="shared" si="2"/>
        <v>6323</v>
      </c>
      <c r="H10" s="615"/>
      <c r="I10" s="613"/>
      <c r="J10" s="613" t="str">
        <f t="shared" si="3"/>
        <v/>
      </c>
      <c r="K10" s="613">
        <v>6323.0</v>
      </c>
      <c r="L10" s="90"/>
      <c r="M10" s="90"/>
      <c r="N10" s="90"/>
      <c r="O10" s="90"/>
      <c r="P10" s="90"/>
      <c r="Q10" s="90"/>
      <c r="R10" s="90"/>
      <c r="S10" s="90"/>
      <c r="T10" s="90"/>
      <c r="U10" s="90"/>
      <c r="V10" s="90"/>
      <c r="W10" s="90"/>
      <c r="X10" s="90"/>
      <c r="Y10" s="90"/>
      <c r="Z10" s="90"/>
    </row>
    <row r="11" ht="12.75" hidden="1" customHeight="1" outlineLevel="1">
      <c r="A11" s="612" t="s">
        <v>1496</v>
      </c>
      <c r="B11" s="616">
        <v>32927.0</v>
      </c>
      <c r="C11" s="616">
        <v>0.0</v>
      </c>
      <c r="D11" s="616">
        <v>0.0</v>
      </c>
      <c r="E11" s="616">
        <f t="shared" si="1"/>
        <v>32927</v>
      </c>
      <c r="F11" s="617">
        <v>0.0</v>
      </c>
      <c r="G11" s="616">
        <f t="shared" si="2"/>
        <v>32927</v>
      </c>
      <c r="H11" s="616">
        <v>0.0</v>
      </c>
      <c r="I11" s="616">
        <v>0.0</v>
      </c>
      <c r="J11" s="616">
        <f t="shared" si="3"/>
        <v>0</v>
      </c>
      <c r="K11" s="616">
        <v>32927.0</v>
      </c>
      <c r="L11" s="90"/>
      <c r="M11" s="90"/>
      <c r="N11" s="90"/>
      <c r="O11" s="90"/>
      <c r="P11" s="90"/>
      <c r="Q11" s="90"/>
      <c r="R11" s="90"/>
      <c r="S11" s="90"/>
      <c r="T11" s="90"/>
      <c r="U11" s="90"/>
      <c r="V11" s="90"/>
      <c r="W11" s="90"/>
      <c r="X11" s="90"/>
      <c r="Y11" s="90"/>
      <c r="Z11" s="90"/>
    </row>
    <row r="12" ht="12.75" hidden="1" customHeight="1" outlineLevel="1">
      <c r="A12" s="618" t="s">
        <v>1497</v>
      </c>
      <c r="B12" s="613">
        <v>98595.22</v>
      </c>
      <c r="C12" s="613">
        <v>0.0</v>
      </c>
      <c r="D12" s="613">
        <v>0.0</v>
      </c>
      <c r="E12" s="613">
        <f t="shared" si="1"/>
        <v>98595.22</v>
      </c>
      <c r="F12" s="614">
        <v>0.0</v>
      </c>
      <c r="G12" s="613">
        <f t="shared" si="2"/>
        <v>98595.22</v>
      </c>
      <c r="H12" s="615"/>
      <c r="I12" s="613"/>
      <c r="J12" s="613" t="str">
        <f t="shared" si="3"/>
        <v/>
      </c>
      <c r="K12" s="613">
        <v>98595.22</v>
      </c>
      <c r="L12" s="90"/>
      <c r="M12" s="90"/>
      <c r="N12" s="90"/>
      <c r="O12" s="90"/>
      <c r="P12" s="90"/>
      <c r="Q12" s="90"/>
      <c r="R12" s="90"/>
      <c r="S12" s="90"/>
      <c r="T12" s="90"/>
      <c r="U12" s="90"/>
      <c r="V12" s="90"/>
      <c r="W12" s="90"/>
      <c r="X12" s="90"/>
      <c r="Y12" s="90"/>
      <c r="Z12" s="90"/>
    </row>
    <row r="13" ht="12.75" hidden="1" customHeight="1" outlineLevel="1">
      <c r="A13" s="612" t="s">
        <v>1498</v>
      </c>
      <c r="B13" s="613">
        <v>11792.98</v>
      </c>
      <c r="C13" s="613">
        <v>0.0</v>
      </c>
      <c r="D13" s="613">
        <v>0.0</v>
      </c>
      <c r="E13" s="613">
        <f t="shared" si="1"/>
        <v>11792.98</v>
      </c>
      <c r="F13" s="614">
        <v>0.0</v>
      </c>
      <c r="G13" s="613">
        <f t="shared" si="2"/>
        <v>11792.98</v>
      </c>
      <c r="H13" s="615"/>
      <c r="I13" s="613"/>
      <c r="J13" s="613" t="str">
        <f t="shared" si="3"/>
        <v/>
      </c>
      <c r="K13" s="613">
        <v>11792.98</v>
      </c>
      <c r="L13" s="90"/>
      <c r="M13" s="90"/>
      <c r="N13" s="90"/>
      <c r="O13" s="90"/>
      <c r="P13" s="90"/>
      <c r="Q13" s="90"/>
      <c r="R13" s="90"/>
      <c r="S13" s="90"/>
      <c r="T13" s="90"/>
      <c r="U13" s="90"/>
      <c r="V13" s="90"/>
      <c r="W13" s="90"/>
      <c r="X13" s="90"/>
      <c r="Y13" s="90"/>
      <c r="Z13" s="90"/>
    </row>
    <row r="14" ht="12.75" hidden="1" customHeight="1" outlineLevel="1">
      <c r="A14" s="612" t="s">
        <v>1499</v>
      </c>
      <c r="B14" s="616">
        <v>110388.2</v>
      </c>
      <c r="C14" s="616">
        <v>0.0</v>
      </c>
      <c r="D14" s="616">
        <v>0.0</v>
      </c>
      <c r="E14" s="616">
        <f t="shared" si="1"/>
        <v>110388.2</v>
      </c>
      <c r="F14" s="617">
        <v>0.0</v>
      </c>
      <c r="G14" s="616">
        <f t="shared" si="2"/>
        <v>110388.2</v>
      </c>
      <c r="H14" s="616">
        <v>0.0</v>
      </c>
      <c r="I14" s="616">
        <v>0.0</v>
      </c>
      <c r="J14" s="616">
        <f t="shared" si="3"/>
        <v>0</v>
      </c>
      <c r="K14" s="616">
        <v>110388.2</v>
      </c>
      <c r="L14" s="90"/>
      <c r="M14" s="90"/>
      <c r="N14" s="90"/>
      <c r="O14" s="90"/>
      <c r="P14" s="90"/>
      <c r="Q14" s="90"/>
      <c r="R14" s="90"/>
      <c r="S14" s="90"/>
      <c r="T14" s="90"/>
      <c r="U14" s="90"/>
      <c r="V14" s="90"/>
      <c r="W14" s="90"/>
      <c r="X14" s="90"/>
      <c r="Y14" s="90"/>
      <c r="Z14" s="90"/>
    </row>
    <row r="15" ht="12.75" hidden="1" customHeight="1" outlineLevel="1">
      <c r="A15" s="618" t="s">
        <v>1500</v>
      </c>
      <c r="B15" s="613">
        <v>0.0</v>
      </c>
      <c r="C15" s="613">
        <v>0.0</v>
      </c>
      <c r="D15" s="613">
        <v>0.0</v>
      </c>
      <c r="E15" s="613">
        <f t="shared" si="1"/>
        <v>0</v>
      </c>
      <c r="F15" s="614">
        <v>0.0</v>
      </c>
      <c r="G15" s="613">
        <f t="shared" si="2"/>
        <v>0</v>
      </c>
      <c r="H15" s="615"/>
      <c r="I15" s="613"/>
      <c r="J15" s="613" t="str">
        <f t="shared" si="3"/>
        <v/>
      </c>
      <c r="K15" s="613">
        <v>0.0</v>
      </c>
      <c r="L15" s="90"/>
      <c r="M15" s="90"/>
      <c r="N15" s="90"/>
      <c r="O15" s="90"/>
      <c r="P15" s="90"/>
      <c r="Q15" s="90"/>
      <c r="R15" s="90"/>
      <c r="S15" s="90"/>
      <c r="T15" s="90"/>
      <c r="U15" s="90"/>
      <c r="V15" s="90"/>
      <c r="W15" s="90"/>
      <c r="X15" s="90"/>
      <c r="Y15" s="90"/>
      <c r="Z15" s="90"/>
    </row>
    <row r="16" ht="12.75" hidden="1" customHeight="1" outlineLevel="1">
      <c r="A16" s="612" t="s">
        <v>1501</v>
      </c>
      <c r="B16" s="613">
        <v>29714.0</v>
      </c>
      <c r="C16" s="613">
        <v>0.0</v>
      </c>
      <c r="D16" s="613">
        <v>0.0</v>
      </c>
      <c r="E16" s="613">
        <f t="shared" si="1"/>
        <v>29714</v>
      </c>
      <c r="F16" s="614">
        <v>0.0</v>
      </c>
      <c r="G16" s="613">
        <f t="shared" si="2"/>
        <v>29714</v>
      </c>
      <c r="H16" s="615"/>
      <c r="I16" s="613"/>
      <c r="J16" s="613" t="str">
        <f t="shared" si="3"/>
        <v/>
      </c>
      <c r="K16" s="613">
        <v>29714.0</v>
      </c>
      <c r="L16" s="90"/>
      <c r="M16" s="90"/>
      <c r="N16" s="90"/>
      <c r="O16" s="90"/>
      <c r="P16" s="90"/>
      <c r="Q16" s="90"/>
      <c r="R16" s="90"/>
      <c r="S16" s="90"/>
      <c r="T16" s="90"/>
      <c r="U16" s="90"/>
      <c r="V16" s="90"/>
      <c r="W16" s="90"/>
      <c r="X16" s="90"/>
      <c r="Y16" s="90"/>
      <c r="Z16" s="90"/>
    </row>
    <row r="17" ht="12.75" hidden="1" customHeight="1" outlineLevel="1">
      <c r="A17" s="612" t="s">
        <v>1502</v>
      </c>
      <c r="B17" s="613">
        <v>31935.0</v>
      </c>
      <c r="C17" s="613">
        <v>0.0</v>
      </c>
      <c r="D17" s="613">
        <v>0.0</v>
      </c>
      <c r="E17" s="613">
        <f t="shared" si="1"/>
        <v>31935</v>
      </c>
      <c r="F17" s="614">
        <v>0.0</v>
      </c>
      <c r="G17" s="613">
        <f t="shared" si="2"/>
        <v>31935</v>
      </c>
      <c r="H17" s="615"/>
      <c r="I17" s="613"/>
      <c r="J17" s="613" t="str">
        <f t="shared" si="3"/>
        <v/>
      </c>
      <c r="K17" s="613">
        <v>31935.0</v>
      </c>
      <c r="L17" s="90"/>
      <c r="M17" s="90"/>
      <c r="N17" s="90"/>
      <c r="O17" s="90"/>
      <c r="P17" s="90"/>
      <c r="Q17" s="90"/>
      <c r="R17" s="90"/>
      <c r="S17" s="90"/>
      <c r="T17" s="90"/>
      <c r="U17" s="90"/>
      <c r="V17" s="90"/>
      <c r="W17" s="90"/>
      <c r="X17" s="90"/>
      <c r="Y17" s="90"/>
      <c r="Z17" s="90"/>
    </row>
    <row r="18" ht="12.75" hidden="1" customHeight="1" outlineLevel="1">
      <c r="A18" s="612" t="s">
        <v>1503</v>
      </c>
      <c r="B18" s="613">
        <v>81106.0</v>
      </c>
      <c r="C18" s="613">
        <v>0.0</v>
      </c>
      <c r="D18" s="613">
        <v>0.0</v>
      </c>
      <c r="E18" s="613">
        <f t="shared" si="1"/>
        <v>81106</v>
      </c>
      <c r="F18" s="614">
        <v>0.0</v>
      </c>
      <c r="G18" s="613">
        <f t="shared" si="2"/>
        <v>81106</v>
      </c>
      <c r="H18" s="615"/>
      <c r="I18" s="613"/>
      <c r="J18" s="613" t="str">
        <f t="shared" si="3"/>
        <v/>
      </c>
      <c r="K18" s="613">
        <v>81106.0</v>
      </c>
      <c r="L18" s="90"/>
      <c r="M18" s="90"/>
      <c r="N18" s="90"/>
      <c r="O18" s="90"/>
      <c r="P18" s="90"/>
      <c r="Q18" s="90"/>
      <c r="R18" s="90"/>
      <c r="S18" s="90"/>
      <c r="T18" s="90"/>
      <c r="U18" s="90"/>
      <c r="V18" s="90"/>
      <c r="W18" s="90"/>
      <c r="X18" s="90"/>
      <c r="Y18" s="90"/>
      <c r="Z18" s="90"/>
    </row>
    <row r="19" ht="12.75" hidden="1" customHeight="1" outlineLevel="1">
      <c r="A19" s="612" t="s">
        <v>1504</v>
      </c>
      <c r="B19" s="616">
        <v>142755.0</v>
      </c>
      <c r="C19" s="616">
        <v>0.0</v>
      </c>
      <c r="D19" s="616">
        <v>0.0</v>
      </c>
      <c r="E19" s="616">
        <f t="shared" si="1"/>
        <v>142755</v>
      </c>
      <c r="F19" s="617">
        <v>0.0</v>
      </c>
      <c r="G19" s="616">
        <f t="shared" si="2"/>
        <v>142755</v>
      </c>
      <c r="H19" s="616">
        <v>0.0</v>
      </c>
      <c r="I19" s="616">
        <v>0.0</v>
      </c>
      <c r="J19" s="616">
        <f t="shared" si="3"/>
        <v>0</v>
      </c>
      <c r="K19" s="616">
        <v>142755.0</v>
      </c>
      <c r="L19" s="90"/>
      <c r="M19" s="90"/>
      <c r="N19" s="90"/>
      <c r="O19" s="90"/>
      <c r="P19" s="90"/>
      <c r="Q19" s="90"/>
      <c r="R19" s="90"/>
      <c r="S19" s="90"/>
      <c r="T19" s="90"/>
      <c r="U19" s="90"/>
      <c r="V19" s="90"/>
      <c r="W19" s="90"/>
      <c r="X19" s="90"/>
      <c r="Y19" s="90"/>
      <c r="Z19" s="90"/>
    </row>
    <row r="20" ht="12.75" hidden="1" customHeight="1" outlineLevel="1">
      <c r="A20" s="618" t="s">
        <v>1505</v>
      </c>
      <c r="B20" s="613">
        <v>0.0</v>
      </c>
      <c r="C20" s="613">
        <v>0.0</v>
      </c>
      <c r="D20" s="613">
        <v>0.0</v>
      </c>
      <c r="E20" s="613">
        <f t="shared" si="1"/>
        <v>0</v>
      </c>
      <c r="F20" s="614">
        <v>0.0</v>
      </c>
      <c r="G20" s="613">
        <f t="shared" si="2"/>
        <v>0</v>
      </c>
      <c r="H20" s="615"/>
      <c r="I20" s="613"/>
      <c r="J20" s="613" t="str">
        <f t="shared" si="3"/>
        <v/>
      </c>
      <c r="K20" s="613">
        <v>0.0</v>
      </c>
      <c r="L20" s="90"/>
      <c r="M20" s="90"/>
      <c r="N20" s="90"/>
      <c r="O20" s="90"/>
      <c r="P20" s="90"/>
      <c r="Q20" s="90"/>
      <c r="R20" s="90"/>
      <c r="S20" s="90"/>
      <c r="T20" s="90"/>
      <c r="U20" s="90"/>
      <c r="V20" s="90"/>
      <c r="W20" s="90"/>
      <c r="X20" s="90"/>
      <c r="Y20" s="90"/>
      <c r="Z20" s="90"/>
    </row>
    <row r="21" ht="12.75" hidden="1" customHeight="1" outlineLevel="1">
      <c r="A21" s="612" t="s">
        <v>1506</v>
      </c>
      <c r="B21" s="613">
        <v>0.0</v>
      </c>
      <c r="C21" s="613">
        <v>0.0</v>
      </c>
      <c r="D21" s="613">
        <v>0.0</v>
      </c>
      <c r="E21" s="613">
        <f t="shared" si="1"/>
        <v>0</v>
      </c>
      <c r="F21" s="614">
        <v>0.0</v>
      </c>
      <c r="G21" s="613">
        <f t="shared" si="2"/>
        <v>0</v>
      </c>
      <c r="H21" s="615"/>
      <c r="I21" s="613"/>
      <c r="J21" s="613" t="str">
        <f t="shared" si="3"/>
        <v/>
      </c>
      <c r="K21" s="613">
        <v>0.0</v>
      </c>
      <c r="L21" s="90"/>
      <c r="M21" s="90"/>
      <c r="N21" s="90"/>
      <c r="O21" s="90"/>
      <c r="P21" s="90"/>
      <c r="Q21" s="90"/>
      <c r="R21" s="90"/>
      <c r="S21" s="90"/>
      <c r="T21" s="90"/>
      <c r="U21" s="90"/>
      <c r="V21" s="90"/>
      <c r="W21" s="90"/>
      <c r="X21" s="90"/>
      <c r="Y21" s="90"/>
      <c r="Z21" s="90"/>
    </row>
    <row r="22" ht="12.75" hidden="1" customHeight="1" outlineLevel="1">
      <c r="A22" s="612" t="s">
        <v>1507</v>
      </c>
      <c r="B22" s="613">
        <v>91807.0</v>
      </c>
      <c r="C22" s="613">
        <v>0.0</v>
      </c>
      <c r="D22" s="613">
        <v>0.0</v>
      </c>
      <c r="E22" s="613">
        <f t="shared" si="1"/>
        <v>91807</v>
      </c>
      <c r="F22" s="614">
        <v>0.0</v>
      </c>
      <c r="G22" s="613">
        <f t="shared" si="2"/>
        <v>91807</v>
      </c>
      <c r="H22" s="615"/>
      <c r="I22" s="613"/>
      <c r="J22" s="613" t="str">
        <f t="shared" si="3"/>
        <v/>
      </c>
      <c r="K22" s="613">
        <v>91807.0</v>
      </c>
      <c r="L22" s="90"/>
      <c r="M22" s="90"/>
      <c r="N22" s="90"/>
      <c r="O22" s="90"/>
      <c r="P22" s="90"/>
      <c r="Q22" s="90"/>
      <c r="R22" s="90"/>
      <c r="S22" s="90"/>
      <c r="T22" s="90"/>
      <c r="U22" s="90"/>
      <c r="V22" s="90"/>
      <c r="W22" s="90"/>
      <c r="X22" s="90"/>
      <c r="Y22" s="90"/>
      <c r="Z22" s="90"/>
    </row>
    <row r="23" ht="12.75" hidden="1" customHeight="1" outlineLevel="1">
      <c r="A23" s="612" t="s">
        <v>1508</v>
      </c>
      <c r="B23" s="613">
        <v>3688.0</v>
      </c>
      <c r="C23" s="613">
        <v>0.0</v>
      </c>
      <c r="D23" s="613">
        <v>0.0</v>
      </c>
      <c r="E23" s="613">
        <f t="shared" si="1"/>
        <v>3688</v>
      </c>
      <c r="F23" s="614">
        <v>0.0</v>
      </c>
      <c r="G23" s="613">
        <f t="shared" si="2"/>
        <v>3688</v>
      </c>
      <c r="H23" s="615"/>
      <c r="I23" s="613"/>
      <c r="J23" s="613" t="str">
        <f t="shared" si="3"/>
        <v/>
      </c>
      <c r="K23" s="613">
        <v>3688.0</v>
      </c>
      <c r="L23" s="90"/>
      <c r="M23" s="90"/>
      <c r="N23" s="90"/>
      <c r="O23" s="90"/>
      <c r="P23" s="90"/>
      <c r="Q23" s="90"/>
      <c r="R23" s="90"/>
      <c r="S23" s="90"/>
      <c r="T23" s="90"/>
      <c r="U23" s="90"/>
      <c r="V23" s="90"/>
      <c r="W23" s="90"/>
      <c r="X23" s="90"/>
      <c r="Y23" s="90"/>
      <c r="Z23" s="90"/>
    </row>
    <row r="24" ht="12.75" hidden="1" customHeight="1" outlineLevel="1">
      <c r="A24" s="612" t="s">
        <v>1509</v>
      </c>
      <c r="B24" s="613">
        <v>36000.0</v>
      </c>
      <c r="C24" s="613">
        <v>62500.0</v>
      </c>
      <c r="D24" s="613">
        <v>0.0</v>
      </c>
      <c r="E24" s="613">
        <f t="shared" si="1"/>
        <v>98500</v>
      </c>
      <c r="F24" s="614">
        <v>0.0</v>
      </c>
      <c r="G24" s="613">
        <f t="shared" si="2"/>
        <v>98500</v>
      </c>
      <c r="H24" s="615"/>
      <c r="I24" s="613"/>
      <c r="J24" s="613" t="str">
        <f t="shared" si="3"/>
        <v/>
      </c>
      <c r="K24" s="613">
        <v>98500.0</v>
      </c>
      <c r="L24" s="90"/>
      <c r="M24" s="90"/>
      <c r="N24" s="90"/>
      <c r="O24" s="90"/>
      <c r="P24" s="90"/>
      <c r="Q24" s="90"/>
      <c r="R24" s="90"/>
      <c r="S24" s="90"/>
      <c r="T24" s="90"/>
      <c r="U24" s="90"/>
      <c r="V24" s="90"/>
      <c r="W24" s="90"/>
      <c r="X24" s="90"/>
      <c r="Y24" s="90"/>
      <c r="Z24" s="90"/>
    </row>
    <row r="25" ht="12.75" hidden="1" customHeight="1" outlineLevel="1">
      <c r="A25" s="612" t="s">
        <v>1510</v>
      </c>
      <c r="B25" s="616">
        <v>131495.0</v>
      </c>
      <c r="C25" s="616">
        <v>62500.0</v>
      </c>
      <c r="D25" s="616">
        <v>0.0</v>
      </c>
      <c r="E25" s="616">
        <f t="shared" si="1"/>
        <v>193995</v>
      </c>
      <c r="F25" s="617">
        <v>0.0</v>
      </c>
      <c r="G25" s="616">
        <f t="shared" si="2"/>
        <v>193995</v>
      </c>
      <c r="H25" s="616">
        <v>0.0</v>
      </c>
      <c r="I25" s="616">
        <v>0.0</v>
      </c>
      <c r="J25" s="616">
        <f t="shared" si="3"/>
        <v>0</v>
      </c>
      <c r="K25" s="616">
        <v>193995.0</v>
      </c>
      <c r="L25" s="90"/>
      <c r="M25" s="90"/>
      <c r="N25" s="90"/>
      <c r="O25" s="90"/>
      <c r="P25" s="90"/>
      <c r="Q25" s="90"/>
      <c r="R25" s="90"/>
      <c r="S25" s="90"/>
      <c r="T25" s="90"/>
      <c r="U25" s="90"/>
      <c r="V25" s="90"/>
      <c r="W25" s="90"/>
      <c r="X25" s="90"/>
      <c r="Y25" s="90"/>
      <c r="Z25" s="90"/>
    </row>
    <row r="26" ht="12.75" customHeight="1">
      <c r="A26" s="618" t="s">
        <v>1511</v>
      </c>
      <c r="B26" s="616">
        <v>417565.2</v>
      </c>
      <c r="C26" s="616">
        <v>62500.0</v>
      </c>
      <c r="D26" s="616">
        <v>0.0</v>
      </c>
      <c r="E26" s="616">
        <f t="shared" si="1"/>
        <v>480065.2</v>
      </c>
      <c r="F26" s="617">
        <v>0.0</v>
      </c>
      <c r="G26" s="616">
        <f t="shared" si="2"/>
        <v>480065.2</v>
      </c>
      <c r="H26" s="616">
        <v>0.0</v>
      </c>
      <c r="I26" s="616">
        <v>0.0</v>
      </c>
      <c r="J26" s="616">
        <f t="shared" si="3"/>
        <v>0</v>
      </c>
      <c r="K26" s="616">
        <v>480065.2</v>
      </c>
      <c r="L26" s="90"/>
      <c r="M26" s="90"/>
      <c r="N26" s="90"/>
      <c r="O26" s="90"/>
      <c r="P26" s="90"/>
      <c r="Q26" s="90"/>
      <c r="R26" s="90"/>
      <c r="S26" s="90"/>
      <c r="T26" s="90"/>
      <c r="U26" s="90"/>
      <c r="V26" s="90"/>
      <c r="W26" s="90"/>
      <c r="X26" s="90"/>
      <c r="Y26" s="90"/>
      <c r="Z26" s="90"/>
    </row>
    <row r="27" ht="12.75" hidden="1" customHeight="1" outlineLevel="1">
      <c r="A27" s="618" t="s">
        <v>1512</v>
      </c>
      <c r="B27" s="613">
        <v>0.0</v>
      </c>
      <c r="C27" s="613">
        <v>0.0</v>
      </c>
      <c r="D27" s="613">
        <v>0.0</v>
      </c>
      <c r="E27" s="613">
        <f t="shared" si="1"/>
        <v>0</v>
      </c>
      <c r="F27" s="614">
        <v>0.0</v>
      </c>
      <c r="G27" s="613">
        <f t="shared" si="2"/>
        <v>0</v>
      </c>
      <c r="H27" s="615"/>
      <c r="I27" s="613"/>
      <c r="J27" s="613" t="str">
        <f t="shared" si="3"/>
        <v/>
      </c>
      <c r="K27" s="613">
        <v>0.0</v>
      </c>
      <c r="L27" s="90"/>
      <c r="M27" s="90"/>
      <c r="N27" s="90"/>
      <c r="O27" s="90"/>
      <c r="P27" s="90"/>
      <c r="Q27" s="90"/>
      <c r="R27" s="90"/>
      <c r="S27" s="90"/>
      <c r="T27" s="90"/>
      <c r="U27" s="90"/>
      <c r="V27" s="90"/>
      <c r="W27" s="90"/>
      <c r="X27" s="90"/>
      <c r="Y27" s="90"/>
      <c r="Z27" s="90"/>
    </row>
    <row r="28" ht="12.75" hidden="1" customHeight="1" outlineLevel="1">
      <c r="A28" s="612" t="s">
        <v>1513</v>
      </c>
      <c r="B28" s="613">
        <v>0.0</v>
      </c>
      <c r="C28" s="613">
        <v>0.0</v>
      </c>
      <c r="D28" s="613">
        <v>0.0</v>
      </c>
      <c r="E28" s="613">
        <f t="shared" si="1"/>
        <v>0</v>
      </c>
      <c r="F28" s="614">
        <v>447612.93</v>
      </c>
      <c r="G28" s="613">
        <f t="shared" si="2"/>
        <v>447612.93</v>
      </c>
      <c r="H28" s="615"/>
      <c r="I28" s="613"/>
      <c r="J28" s="613" t="str">
        <f t="shared" si="3"/>
        <v/>
      </c>
      <c r="K28" s="613">
        <v>447612.93</v>
      </c>
      <c r="L28" s="90"/>
      <c r="M28" s="90"/>
      <c r="N28" s="90"/>
      <c r="O28" s="90"/>
      <c r="P28" s="90"/>
      <c r="Q28" s="90"/>
      <c r="R28" s="90"/>
      <c r="S28" s="90"/>
      <c r="T28" s="90"/>
      <c r="U28" s="90"/>
      <c r="V28" s="90"/>
      <c r="W28" s="90"/>
      <c r="X28" s="90"/>
      <c r="Y28" s="90"/>
      <c r="Z28" s="90"/>
    </row>
    <row r="29" ht="12.75" hidden="1" customHeight="1" outlineLevel="1">
      <c r="A29" s="612" t="s">
        <v>1514</v>
      </c>
      <c r="B29" s="613">
        <v>0.0</v>
      </c>
      <c r="C29" s="613">
        <v>0.0</v>
      </c>
      <c r="D29" s="613">
        <v>0.0</v>
      </c>
      <c r="E29" s="613">
        <f t="shared" si="1"/>
        <v>0</v>
      </c>
      <c r="F29" s="614">
        <v>0.0</v>
      </c>
      <c r="G29" s="613">
        <f t="shared" si="2"/>
        <v>0</v>
      </c>
      <c r="H29" s="613">
        <v>460003.59</v>
      </c>
      <c r="I29" s="613">
        <v>232000.0</v>
      </c>
      <c r="J29" s="613">
        <f t="shared" si="3"/>
        <v>692003.59</v>
      </c>
      <c r="K29" s="613">
        <v>692003.59</v>
      </c>
      <c r="L29" s="90"/>
      <c r="M29" s="90"/>
      <c r="N29" s="90"/>
      <c r="O29" s="90"/>
      <c r="P29" s="90"/>
      <c r="Q29" s="90"/>
      <c r="R29" s="90"/>
      <c r="S29" s="90"/>
      <c r="T29" s="90"/>
      <c r="U29" s="90"/>
      <c r="V29" s="90"/>
      <c r="W29" s="90"/>
      <c r="X29" s="90"/>
      <c r="Y29" s="90"/>
      <c r="Z29" s="90"/>
    </row>
    <row r="30" ht="12.75" customHeight="1">
      <c r="A30" s="612" t="s">
        <v>1515</v>
      </c>
      <c r="B30" s="616">
        <v>0.0</v>
      </c>
      <c r="C30" s="616">
        <v>0.0</v>
      </c>
      <c r="D30" s="616">
        <v>0.0</v>
      </c>
      <c r="E30" s="616">
        <f t="shared" si="1"/>
        <v>0</v>
      </c>
      <c r="F30" s="617">
        <v>447612.93</v>
      </c>
      <c r="G30" s="616">
        <f t="shared" si="2"/>
        <v>447612.93</v>
      </c>
      <c r="H30" s="616">
        <v>460003.59</v>
      </c>
      <c r="I30" s="616">
        <v>232000.0</v>
      </c>
      <c r="J30" s="616">
        <f t="shared" si="3"/>
        <v>692003.59</v>
      </c>
      <c r="K30" s="616">
        <v>1139616.52</v>
      </c>
      <c r="L30" s="90"/>
      <c r="M30" s="90"/>
      <c r="N30" s="90"/>
      <c r="O30" s="90"/>
      <c r="P30" s="90"/>
      <c r="Q30" s="90"/>
      <c r="R30" s="90"/>
      <c r="S30" s="90"/>
      <c r="T30" s="90"/>
      <c r="U30" s="90"/>
      <c r="V30" s="90"/>
      <c r="W30" s="90"/>
      <c r="X30" s="90"/>
      <c r="Y30" s="90"/>
      <c r="Z30" s="90"/>
    </row>
    <row r="31" ht="12.75" hidden="1" customHeight="1" outlineLevel="1">
      <c r="A31" s="618" t="s">
        <v>1516</v>
      </c>
      <c r="B31" s="613">
        <v>0.0</v>
      </c>
      <c r="C31" s="613">
        <v>0.0</v>
      </c>
      <c r="D31" s="613">
        <v>0.0</v>
      </c>
      <c r="E31" s="613">
        <f t="shared" si="1"/>
        <v>0</v>
      </c>
      <c r="F31" s="614">
        <v>0.0</v>
      </c>
      <c r="G31" s="613">
        <f t="shared" si="2"/>
        <v>0</v>
      </c>
      <c r="H31" s="615"/>
      <c r="I31" s="613"/>
      <c r="J31" s="613" t="str">
        <f t="shared" si="3"/>
        <v/>
      </c>
      <c r="K31" s="613">
        <v>0.0</v>
      </c>
      <c r="L31" s="90"/>
      <c r="M31" s="90"/>
      <c r="N31" s="90"/>
      <c r="O31" s="90"/>
      <c r="P31" s="90"/>
      <c r="Q31" s="90"/>
      <c r="R31" s="90"/>
      <c r="S31" s="90"/>
      <c r="T31" s="90"/>
      <c r="U31" s="90"/>
      <c r="V31" s="90"/>
      <c r="W31" s="90"/>
      <c r="X31" s="90"/>
      <c r="Y31" s="90"/>
      <c r="Z31" s="90"/>
    </row>
    <row r="32" ht="12.75" hidden="1" customHeight="1" outlineLevel="1">
      <c r="A32" s="612" t="s">
        <v>1517</v>
      </c>
      <c r="B32" s="613">
        <v>0.0</v>
      </c>
      <c r="C32" s="613">
        <v>0.0</v>
      </c>
      <c r="D32" s="613">
        <v>0.0</v>
      </c>
      <c r="E32" s="613">
        <f t="shared" si="1"/>
        <v>0</v>
      </c>
      <c r="F32" s="614">
        <v>0.0</v>
      </c>
      <c r="G32" s="613">
        <f t="shared" si="2"/>
        <v>0</v>
      </c>
      <c r="H32" s="615"/>
      <c r="I32" s="613"/>
      <c r="J32" s="613" t="str">
        <f t="shared" si="3"/>
        <v/>
      </c>
      <c r="K32" s="613">
        <v>0.0</v>
      </c>
      <c r="L32" s="90"/>
      <c r="M32" s="90"/>
      <c r="N32" s="90"/>
      <c r="O32" s="90"/>
      <c r="P32" s="90"/>
      <c r="Q32" s="90"/>
      <c r="R32" s="90"/>
      <c r="S32" s="90"/>
      <c r="T32" s="90"/>
      <c r="U32" s="90"/>
      <c r="V32" s="90"/>
      <c r="W32" s="90"/>
      <c r="X32" s="90"/>
      <c r="Y32" s="90"/>
      <c r="Z32" s="90"/>
    </row>
    <row r="33" ht="12.75" hidden="1" customHeight="1" outlineLevel="1">
      <c r="A33" s="612" t="s">
        <v>1518</v>
      </c>
      <c r="B33" s="613">
        <v>0.0</v>
      </c>
      <c r="C33" s="613">
        <v>0.0</v>
      </c>
      <c r="D33" s="613">
        <v>0.0</v>
      </c>
      <c r="E33" s="613">
        <f t="shared" si="1"/>
        <v>0</v>
      </c>
      <c r="F33" s="614">
        <v>156000.0</v>
      </c>
      <c r="G33" s="613">
        <f t="shared" si="2"/>
        <v>156000</v>
      </c>
      <c r="H33" s="615"/>
      <c r="I33" s="613"/>
      <c r="J33" s="613" t="str">
        <f t="shared" si="3"/>
        <v/>
      </c>
      <c r="K33" s="613">
        <v>156000.0</v>
      </c>
      <c r="L33" s="90"/>
      <c r="M33" s="90"/>
      <c r="N33" s="90"/>
      <c r="O33" s="90"/>
      <c r="P33" s="90"/>
      <c r="Q33" s="90"/>
      <c r="R33" s="90"/>
      <c r="S33" s="90"/>
      <c r="T33" s="90"/>
      <c r="U33" s="90"/>
      <c r="V33" s="90"/>
      <c r="W33" s="90"/>
      <c r="X33" s="90"/>
      <c r="Y33" s="90"/>
      <c r="Z33" s="90"/>
    </row>
    <row r="34" ht="12.75" hidden="1" customHeight="1" outlineLevel="1">
      <c r="A34" s="612" t="s">
        <v>1519</v>
      </c>
      <c r="B34" s="613">
        <v>8976.02</v>
      </c>
      <c r="C34" s="613">
        <v>0.0</v>
      </c>
      <c r="D34" s="613">
        <v>0.0</v>
      </c>
      <c r="E34" s="613">
        <f t="shared" si="1"/>
        <v>8976.02</v>
      </c>
      <c r="F34" s="614">
        <v>0.0</v>
      </c>
      <c r="G34" s="613">
        <f t="shared" si="2"/>
        <v>8976.02</v>
      </c>
      <c r="H34" s="615"/>
      <c r="I34" s="613"/>
      <c r="J34" s="613" t="str">
        <f t="shared" si="3"/>
        <v/>
      </c>
      <c r="K34" s="613">
        <v>8976.02</v>
      </c>
      <c r="L34" s="90"/>
      <c r="M34" s="90"/>
      <c r="N34" s="90"/>
      <c r="O34" s="90"/>
      <c r="P34" s="90"/>
      <c r="Q34" s="90"/>
      <c r="R34" s="90"/>
      <c r="S34" s="90"/>
      <c r="T34" s="90"/>
      <c r="U34" s="90"/>
      <c r="V34" s="90"/>
      <c r="W34" s="90"/>
      <c r="X34" s="90"/>
      <c r="Y34" s="90"/>
      <c r="Z34" s="90"/>
    </row>
    <row r="35" ht="12.75" hidden="1" customHeight="1" outlineLevel="1">
      <c r="A35" s="612" t="s">
        <v>1520</v>
      </c>
      <c r="B35" s="613">
        <v>1340.0</v>
      </c>
      <c r="C35" s="613">
        <v>0.0</v>
      </c>
      <c r="D35" s="613">
        <v>0.0</v>
      </c>
      <c r="E35" s="613">
        <f t="shared" si="1"/>
        <v>1340</v>
      </c>
      <c r="F35" s="614">
        <v>0.0</v>
      </c>
      <c r="G35" s="613">
        <f t="shared" si="2"/>
        <v>1340</v>
      </c>
      <c r="H35" s="615"/>
      <c r="I35" s="613"/>
      <c r="J35" s="613" t="str">
        <f t="shared" si="3"/>
        <v/>
      </c>
      <c r="K35" s="613">
        <v>1340.0</v>
      </c>
      <c r="L35" s="90"/>
      <c r="M35" s="90"/>
      <c r="N35" s="90"/>
      <c r="O35" s="90"/>
      <c r="P35" s="90"/>
      <c r="Q35" s="90"/>
      <c r="R35" s="90"/>
      <c r="S35" s="90"/>
      <c r="T35" s="90"/>
      <c r="U35" s="90"/>
      <c r="V35" s="90"/>
      <c r="W35" s="90"/>
      <c r="X35" s="90"/>
      <c r="Y35" s="90"/>
      <c r="Z35" s="90"/>
    </row>
    <row r="36" ht="12.75" hidden="1" customHeight="1" outlineLevel="1">
      <c r="A36" s="612" t="s">
        <v>1521</v>
      </c>
      <c r="B36" s="613">
        <v>811.17</v>
      </c>
      <c r="C36" s="613">
        <v>0.0</v>
      </c>
      <c r="D36" s="613">
        <v>0.0</v>
      </c>
      <c r="E36" s="613">
        <f t="shared" si="1"/>
        <v>811.17</v>
      </c>
      <c r="F36" s="614">
        <v>1854.07</v>
      </c>
      <c r="G36" s="613">
        <f t="shared" si="2"/>
        <v>2665.24</v>
      </c>
      <c r="H36" s="615"/>
      <c r="I36" s="613"/>
      <c r="J36" s="613" t="str">
        <f t="shared" si="3"/>
        <v/>
      </c>
      <c r="K36" s="613">
        <v>2665.24</v>
      </c>
      <c r="L36" s="90"/>
      <c r="M36" s="90"/>
      <c r="N36" s="90"/>
      <c r="O36" s="90"/>
      <c r="P36" s="90"/>
      <c r="Q36" s="90"/>
      <c r="R36" s="90"/>
      <c r="S36" s="90"/>
      <c r="T36" s="90"/>
      <c r="U36" s="90"/>
      <c r="V36" s="90"/>
      <c r="W36" s="90"/>
      <c r="X36" s="90"/>
      <c r="Y36" s="90"/>
      <c r="Z36" s="90"/>
    </row>
    <row r="37" ht="12.75" hidden="1" customHeight="1" outlineLevel="1">
      <c r="A37" s="612" t="s">
        <v>1522</v>
      </c>
      <c r="B37" s="613">
        <v>0.0</v>
      </c>
      <c r="C37" s="613">
        <v>0.0</v>
      </c>
      <c r="D37" s="613">
        <v>0.0</v>
      </c>
      <c r="E37" s="613">
        <f t="shared" si="1"/>
        <v>0</v>
      </c>
      <c r="F37" s="614">
        <v>4309.28</v>
      </c>
      <c r="G37" s="613">
        <f t="shared" si="2"/>
        <v>4309.28</v>
      </c>
      <c r="H37" s="615"/>
      <c r="I37" s="613">
        <v>232.85</v>
      </c>
      <c r="J37" s="613">
        <f t="shared" si="3"/>
        <v>232.85</v>
      </c>
      <c r="K37" s="613">
        <v>4542.13</v>
      </c>
      <c r="L37" s="90"/>
      <c r="M37" s="90"/>
      <c r="N37" s="90"/>
      <c r="O37" s="90"/>
      <c r="P37" s="90"/>
      <c r="Q37" s="90"/>
      <c r="R37" s="90"/>
      <c r="S37" s="90"/>
      <c r="T37" s="90"/>
      <c r="U37" s="90"/>
      <c r="V37" s="90"/>
      <c r="W37" s="90"/>
      <c r="X37" s="90"/>
      <c r="Y37" s="90"/>
      <c r="Z37" s="90"/>
    </row>
    <row r="38" ht="12.75" hidden="1" customHeight="1" outlineLevel="1">
      <c r="A38" s="612" t="s">
        <v>1523</v>
      </c>
      <c r="B38" s="616">
        <v>11127.19</v>
      </c>
      <c r="C38" s="616">
        <v>0.0</v>
      </c>
      <c r="D38" s="616">
        <v>0.0</v>
      </c>
      <c r="E38" s="616">
        <f t="shared" si="1"/>
        <v>11127.19</v>
      </c>
      <c r="F38" s="617">
        <v>162163.35</v>
      </c>
      <c r="G38" s="616">
        <f t="shared" si="2"/>
        <v>173290.54</v>
      </c>
      <c r="H38" s="616">
        <v>0.0</v>
      </c>
      <c r="I38" s="616">
        <v>232.85</v>
      </c>
      <c r="J38" s="616">
        <f t="shared" si="3"/>
        <v>232.85</v>
      </c>
      <c r="K38" s="616">
        <v>173523.39</v>
      </c>
      <c r="L38" s="90"/>
      <c r="M38" s="90"/>
      <c r="N38" s="90"/>
      <c r="O38" s="90"/>
      <c r="P38" s="90"/>
      <c r="Q38" s="90"/>
      <c r="R38" s="90"/>
      <c r="S38" s="90"/>
      <c r="T38" s="90"/>
      <c r="U38" s="90"/>
      <c r="V38" s="90"/>
      <c r="W38" s="90"/>
      <c r="X38" s="90"/>
      <c r="Y38" s="90"/>
      <c r="Z38" s="90"/>
    </row>
    <row r="39" ht="12.75" hidden="1" customHeight="1" outlineLevel="1">
      <c r="A39" s="618" t="s">
        <v>1524</v>
      </c>
      <c r="B39" s="613">
        <v>0.0</v>
      </c>
      <c r="C39" s="613">
        <v>0.0</v>
      </c>
      <c r="D39" s="613">
        <v>0.0</v>
      </c>
      <c r="E39" s="613">
        <f t="shared" si="1"/>
        <v>0</v>
      </c>
      <c r="F39" s="614">
        <v>0.0</v>
      </c>
      <c r="G39" s="613">
        <f t="shared" si="2"/>
        <v>0</v>
      </c>
      <c r="H39" s="615"/>
      <c r="I39" s="613"/>
      <c r="J39" s="613" t="str">
        <f t="shared" si="3"/>
        <v/>
      </c>
      <c r="K39" s="613">
        <v>0.0</v>
      </c>
      <c r="L39" s="90"/>
      <c r="M39" s="90"/>
      <c r="N39" s="90"/>
      <c r="O39" s="90"/>
      <c r="P39" s="90"/>
      <c r="Q39" s="90"/>
      <c r="R39" s="90"/>
      <c r="S39" s="90"/>
      <c r="T39" s="90"/>
      <c r="U39" s="90"/>
      <c r="V39" s="90"/>
      <c r="W39" s="90"/>
      <c r="X39" s="90"/>
      <c r="Y39" s="90"/>
      <c r="Z39" s="90"/>
    </row>
    <row r="40" ht="12.75" hidden="1" customHeight="1" outlineLevel="1">
      <c r="A40" s="612" t="s">
        <v>1525</v>
      </c>
      <c r="B40" s="613">
        <v>7148.31</v>
      </c>
      <c r="C40" s="613">
        <v>250000.0</v>
      </c>
      <c r="D40" s="613">
        <v>125000.0</v>
      </c>
      <c r="E40" s="613">
        <f t="shared" si="1"/>
        <v>382148.31</v>
      </c>
      <c r="F40" s="614">
        <v>409739.04</v>
      </c>
      <c r="G40" s="613">
        <f t="shared" si="2"/>
        <v>791887.35</v>
      </c>
      <c r="H40" s="615"/>
      <c r="I40" s="613"/>
      <c r="J40" s="613" t="str">
        <f t="shared" si="3"/>
        <v/>
      </c>
      <c r="K40" s="613">
        <v>791887.35</v>
      </c>
      <c r="L40" s="90"/>
      <c r="M40" s="90"/>
      <c r="N40" s="90"/>
      <c r="O40" s="90"/>
      <c r="P40" s="90"/>
      <c r="Q40" s="90"/>
      <c r="R40" s="90"/>
      <c r="S40" s="90"/>
      <c r="T40" s="90"/>
      <c r="U40" s="90"/>
      <c r="V40" s="90"/>
      <c r="W40" s="90"/>
      <c r="X40" s="90"/>
      <c r="Y40" s="90"/>
      <c r="Z40" s="90"/>
    </row>
    <row r="41" ht="12.75" hidden="1" customHeight="1" outlineLevel="1">
      <c r="A41" s="612" t="s">
        <v>1526</v>
      </c>
      <c r="B41" s="616">
        <v>7148.31</v>
      </c>
      <c r="C41" s="616">
        <v>250000.0</v>
      </c>
      <c r="D41" s="616">
        <v>125000.0</v>
      </c>
      <c r="E41" s="616">
        <f t="shared" si="1"/>
        <v>382148.31</v>
      </c>
      <c r="F41" s="617">
        <v>409739.04</v>
      </c>
      <c r="G41" s="616">
        <f t="shared" si="2"/>
        <v>791887.35</v>
      </c>
      <c r="H41" s="616">
        <v>0.0</v>
      </c>
      <c r="I41" s="616">
        <v>0.0</v>
      </c>
      <c r="J41" s="616">
        <f t="shared" si="3"/>
        <v>0</v>
      </c>
      <c r="K41" s="616">
        <v>791887.35</v>
      </c>
      <c r="L41" s="90"/>
      <c r="M41" s="90"/>
      <c r="N41" s="90"/>
      <c r="O41" s="90"/>
      <c r="P41" s="90"/>
      <c r="Q41" s="90"/>
      <c r="R41" s="90"/>
      <c r="S41" s="90"/>
      <c r="T41" s="90"/>
      <c r="U41" s="90"/>
      <c r="V41" s="90"/>
      <c r="W41" s="90"/>
      <c r="X41" s="90"/>
      <c r="Y41" s="90"/>
      <c r="Z41" s="90"/>
    </row>
    <row r="42" ht="12.75" customHeight="1">
      <c r="A42" s="618" t="s">
        <v>1527</v>
      </c>
      <c r="B42" s="616">
        <v>18275.5</v>
      </c>
      <c r="C42" s="616">
        <v>250000.0</v>
      </c>
      <c r="D42" s="616">
        <v>125000.0</v>
      </c>
      <c r="E42" s="616">
        <f t="shared" si="1"/>
        <v>393275.5</v>
      </c>
      <c r="F42" s="617">
        <v>571902.39</v>
      </c>
      <c r="G42" s="616">
        <f t="shared" si="2"/>
        <v>965177.89</v>
      </c>
      <c r="H42" s="616">
        <v>0.0</v>
      </c>
      <c r="I42" s="616">
        <v>232.85</v>
      </c>
      <c r="J42" s="616">
        <f t="shared" si="3"/>
        <v>232.85</v>
      </c>
      <c r="K42" s="616">
        <v>965410.74</v>
      </c>
      <c r="L42" s="90"/>
      <c r="M42" s="90"/>
      <c r="N42" s="90"/>
      <c r="O42" s="90"/>
      <c r="P42" s="90"/>
      <c r="Q42" s="90"/>
      <c r="R42" s="90"/>
      <c r="S42" s="90"/>
      <c r="T42" s="90"/>
      <c r="U42" s="90"/>
      <c r="V42" s="90"/>
      <c r="W42" s="90"/>
      <c r="X42" s="90"/>
      <c r="Y42" s="90"/>
      <c r="Z42" s="90"/>
    </row>
    <row r="43" ht="12.75" hidden="1" customHeight="1" outlineLevel="1">
      <c r="A43" s="618" t="s">
        <v>1528</v>
      </c>
      <c r="B43" s="613">
        <v>0.0</v>
      </c>
      <c r="C43" s="613">
        <v>0.0</v>
      </c>
      <c r="D43" s="613">
        <v>0.0</v>
      </c>
      <c r="E43" s="613">
        <f t="shared" si="1"/>
        <v>0</v>
      </c>
      <c r="F43" s="614">
        <v>0.0</v>
      </c>
      <c r="G43" s="613">
        <f t="shared" si="2"/>
        <v>0</v>
      </c>
      <c r="H43" s="615"/>
      <c r="I43" s="613"/>
      <c r="J43" s="613" t="str">
        <f t="shared" si="3"/>
        <v/>
      </c>
      <c r="K43" s="613">
        <v>0.0</v>
      </c>
      <c r="L43" s="90"/>
      <c r="M43" s="90"/>
      <c r="N43" s="90"/>
      <c r="O43" s="90"/>
      <c r="P43" s="90"/>
      <c r="Q43" s="90"/>
      <c r="R43" s="90"/>
      <c r="S43" s="90"/>
      <c r="T43" s="90"/>
      <c r="U43" s="90"/>
      <c r="V43" s="90"/>
      <c r="W43" s="90"/>
      <c r="X43" s="90"/>
      <c r="Y43" s="90"/>
      <c r="Z43" s="90"/>
    </row>
    <row r="44" ht="12.75" hidden="1" customHeight="1" outlineLevel="1">
      <c r="A44" s="612" t="s">
        <v>1529</v>
      </c>
      <c r="B44" s="613">
        <v>7997.26</v>
      </c>
      <c r="C44" s="613">
        <v>0.0</v>
      </c>
      <c r="D44" s="613">
        <v>0.0</v>
      </c>
      <c r="E44" s="613">
        <f t="shared" si="1"/>
        <v>7997.26</v>
      </c>
      <c r="F44" s="614">
        <v>0.0</v>
      </c>
      <c r="G44" s="613">
        <f t="shared" si="2"/>
        <v>7997.26</v>
      </c>
      <c r="H44" s="615"/>
      <c r="I44" s="613"/>
      <c r="J44" s="613" t="str">
        <f t="shared" si="3"/>
        <v/>
      </c>
      <c r="K44" s="613">
        <v>7997.26</v>
      </c>
      <c r="L44" s="90"/>
      <c r="M44" s="90"/>
      <c r="N44" s="90"/>
      <c r="O44" s="90"/>
      <c r="P44" s="90"/>
      <c r="Q44" s="90"/>
      <c r="R44" s="90"/>
      <c r="S44" s="90"/>
      <c r="T44" s="90"/>
      <c r="U44" s="90"/>
      <c r="V44" s="90"/>
      <c r="W44" s="90"/>
      <c r="X44" s="90"/>
      <c r="Y44" s="90"/>
      <c r="Z44" s="90"/>
    </row>
    <row r="45" ht="12.75" hidden="1" customHeight="1" outlineLevel="1">
      <c r="A45" s="612" t="s">
        <v>1530</v>
      </c>
      <c r="B45" s="613">
        <v>0.0</v>
      </c>
      <c r="C45" s="613">
        <v>0.0</v>
      </c>
      <c r="D45" s="613">
        <v>0.0</v>
      </c>
      <c r="E45" s="613">
        <f t="shared" si="1"/>
        <v>0</v>
      </c>
      <c r="F45" s="614">
        <v>0.0</v>
      </c>
      <c r="G45" s="613">
        <f t="shared" si="2"/>
        <v>0</v>
      </c>
      <c r="H45" s="615"/>
      <c r="I45" s="613"/>
      <c r="J45" s="613" t="str">
        <f t="shared" si="3"/>
        <v/>
      </c>
      <c r="K45" s="613">
        <v>0.0</v>
      </c>
      <c r="L45" s="90"/>
      <c r="M45" s="90"/>
      <c r="N45" s="90"/>
      <c r="O45" s="90"/>
      <c r="P45" s="90"/>
      <c r="Q45" s="90"/>
      <c r="R45" s="90"/>
      <c r="S45" s="90"/>
      <c r="T45" s="90"/>
      <c r="U45" s="90"/>
      <c r="V45" s="90"/>
      <c r="W45" s="90"/>
      <c r="X45" s="90"/>
      <c r="Y45" s="90"/>
      <c r="Z45" s="90"/>
    </row>
    <row r="46" ht="12.75" hidden="1" customHeight="1" outlineLevel="1">
      <c r="A46" s="612" t="s">
        <v>1531</v>
      </c>
      <c r="B46" s="613">
        <v>98.16</v>
      </c>
      <c r="C46" s="613">
        <v>0.0</v>
      </c>
      <c r="D46" s="613">
        <v>0.0</v>
      </c>
      <c r="E46" s="613">
        <f t="shared" si="1"/>
        <v>98.16</v>
      </c>
      <c r="F46" s="614">
        <v>0.0</v>
      </c>
      <c r="G46" s="613">
        <f t="shared" si="2"/>
        <v>98.16</v>
      </c>
      <c r="H46" s="615"/>
      <c r="I46" s="613"/>
      <c r="J46" s="613" t="str">
        <f t="shared" si="3"/>
        <v/>
      </c>
      <c r="K46" s="613">
        <v>98.16</v>
      </c>
      <c r="L46" s="90"/>
      <c r="M46" s="90"/>
      <c r="N46" s="90"/>
      <c r="O46" s="90"/>
      <c r="P46" s="90"/>
      <c r="Q46" s="90"/>
      <c r="R46" s="90"/>
      <c r="S46" s="90"/>
      <c r="T46" s="90"/>
      <c r="U46" s="90"/>
      <c r="V46" s="90"/>
      <c r="W46" s="90"/>
      <c r="X46" s="90"/>
      <c r="Y46" s="90"/>
      <c r="Z46" s="90"/>
    </row>
    <row r="47" ht="12.75" hidden="1" customHeight="1" outlineLevel="1">
      <c r="A47" s="612" t="s">
        <v>1532</v>
      </c>
      <c r="B47" s="613">
        <v>0.0</v>
      </c>
      <c r="C47" s="613">
        <v>0.0</v>
      </c>
      <c r="D47" s="613">
        <v>0.0</v>
      </c>
      <c r="E47" s="613">
        <f t="shared" si="1"/>
        <v>0</v>
      </c>
      <c r="F47" s="614">
        <v>0.0</v>
      </c>
      <c r="G47" s="613">
        <f t="shared" si="2"/>
        <v>0</v>
      </c>
      <c r="H47" s="615"/>
      <c r="I47" s="613"/>
      <c r="J47" s="613" t="str">
        <f t="shared" si="3"/>
        <v/>
      </c>
      <c r="K47" s="613">
        <v>0.0</v>
      </c>
      <c r="L47" s="90"/>
      <c r="M47" s="90"/>
      <c r="N47" s="90"/>
      <c r="O47" s="90"/>
      <c r="P47" s="90"/>
      <c r="Q47" s="90"/>
      <c r="R47" s="90"/>
      <c r="S47" s="90"/>
      <c r="T47" s="90"/>
      <c r="U47" s="90"/>
      <c r="V47" s="90"/>
      <c r="W47" s="90"/>
      <c r="X47" s="90"/>
      <c r="Y47" s="90"/>
      <c r="Z47" s="90"/>
    </row>
    <row r="48" ht="12.75" hidden="1" customHeight="1" outlineLevel="1">
      <c r="A48" s="612" t="s">
        <v>1533</v>
      </c>
      <c r="B48" s="613">
        <v>310590.0</v>
      </c>
      <c r="C48" s="613">
        <v>0.0</v>
      </c>
      <c r="D48" s="613">
        <v>0.0</v>
      </c>
      <c r="E48" s="613">
        <f t="shared" si="1"/>
        <v>310590</v>
      </c>
      <c r="F48" s="614">
        <v>0.0</v>
      </c>
      <c r="G48" s="613">
        <f t="shared" si="2"/>
        <v>310590</v>
      </c>
      <c r="H48" s="615"/>
      <c r="I48" s="613"/>
      <c r="J48" s="613" t="str">
        <f t="shared" si="3"/>
        <v/>
      </c>
      <c r="K48" s="613">
        <v>310590.0</v>
      </c>
      <c r="L48" s="90"/>
      <c r="M48" s="90"/>
      <c r="N48" s="90"/>
      <c r="O48" s="90"/>
      <c r="P48" s="90"/>
      <c r="Q48" s="90"/>
      <c r="R48" s="90"/>
      <c r="S48" s="90"/>
      <c r="T48" s="90"/>
      <c r="U48" s="90"/>
      <c r="V48" s="90"/>
      <c r="W48" s="90"/>
      <c r="X48" s="90"/>
      <c r="Y48" s="90"/>
      <c r="Z48" s="90"/>
    </row>
    <row r="49" ht="12.75" hidden="1" customHeight="1" outlineLevel="1">
      <c r="A49" s="612" t="s">
        <v>1534</v>
      </c>
      <c r="B49" s="613">
        <v>-320.0</v>
      </c>
      <c r="C49" s="613">
        <v>0.0</v>
      </c>
      <c r="D49" s="613">
        <v>0.0</v>
      </c>
      <c r="E49" s="613">
        <f t="shared" si="1"/>
        <v>-320</v>
      </c>
      <c r="F49" s="614">
        <v>0.0</v>
      </c>
      <c r="G49" s="613">
        <f t="shared" si="2"/>
        <v>-320</v>
      </c>
      <c r="H49" s="615"/>
      <c r="I49" s="613"/>
      <c r="J49" s="613" t="str">
        <f t="shared" si="3"/>
        <v/>
      </c>
      <c r="K49" s="613">
        <v>-320.0</v>
      </c>
      <c r="L49" s="90"/>
      <c r="M49" s="90"/>
      <c r="N49" s="90"/>
      <c r="O49" s="90"/>
      <c r="P49" s="90"/>
      <c r="Q49" s="90"/>
      <c r="R49" s="90"/>
      <c r="S49" s="90"/>
      <c r="T49" s="90"/>
      <c r="U49" s="90"/>
      <c r="V49" s="90"/>
      <c r="W49" s="90"/>
      <c r="X49" s="90"/>
      <c r="Y49" s="90"/>
      <c r="Z49" s="90"/>
    </row>
    <row r="50" ht="12.75" hidden="1" customHeight="1" outlineLevel="1">
      <c r="A50" s="612" t="s">
        <v>1535</v>
      </c>
      <c r="B50" s="613">
        <v>34344.68</v>
      </c>
      <c r="C50" s="613">
        <v>0.0</v>
      </c>
      <c r="D50" s="613">
        <v>0.0</v>
      </c>
      <c r="E50" s="613">
        <f t="shared" si="1"/>
        <v>34344.68</v>
      </c>
      <c r="F50" s="614">
        <v>0.0</v>
      </c>
      <c r="G50" s="613">
        <f t="shared" si="2"/>
        <v>34344.68</v>
      </c>
      <c r="H50" s="615"/>
      <c r="I50" s="613"/>
      <c r="J50" s="613" t="str">
        <f t="shared" si="3"/>
        <v/>
      </c>
      <c r="K50" s="613">
        <v>34344.68</v>
      </c>
      <c r="L50" s="90"/>
      <c r="M50" s="90"/>
      <c r="N50" s="90"/>
      <c r="O50" s="90"/>
      <c r="P50" s="90"/>
      <c r="Q50" s="90"/>
      <c r="R50" s="90"/>
      <c r="S50" s="90"/>
      <c r="T50" s="90"/>
      <c r="U50" s="90"/>
      <c r="V50" s="90"/>
      <c r="W50" s="90"/>
      <c r="X50" s="90"/>
      <c r="Y50" s="90"/>
      <c r="Z50" s="90"/>
    </row>
    <row r="51" ht="12.75" hidden="1" customHeight="1" outlineLevel="1">
      <c r="A51" s="612" t="s">
        <v>1536</v>
      </c>
      <c r="B51" s="613">
        <v>3606.98</v>
      </c>
      <c r="C51" s="613">
        <v>0.0</v>
      </c>
      <c r="D51" s="613">
        <v>0.0</v>
      </c>
      <c r="E51" s="613">
        <f t="shared" si="1"/>
        <v>3606.98</v>
      </c>
      <c r="F51" s="614">
        <v>0.0</v>
      </c>
      <c r="G51" s="613">
        <f t="shared" si="2"/>
        <v>3606.98</v>
      </c>
      <c r="H51" s="615"/>
      <c r="I51" s="613"/>
      <c r="J51" s="613" t="str">
        <f t="shared" si="3"/>
        <v/>
      </c>
      <c r="K51" s="613">
        <v>3606.98</v>
      </c>
      <c r="L51" s="90"/>
      <c r="M51" s="90"/>
      <c r="N51" s="90"/>
      <c r="O51" s="90"/>
      <c r="P51" s="90"/>
      <c r="Q51" s="90"/>
      <c r="R51" s="90"/>
      <c r="S51" s="90"/>
      <c r="T51" s="90"/>
      <c r="U51" s="90"/>
      <c r="V51" s="90"/>
      <c r="W51" s="90"/>
      <c r="X51" s="90"/>
      <c r="Y51" s="90"/>
      <c r="Z51" s="90"/>
    </row>
    <row r="52" ht="12.75" hidden="1" customHeight="1" outlineLevel="1">
      <c r="A52" s="612" t="s">
        <v>1537</v>
      </c>
      <c r="B52" s="613">
        <v>956.35</v>
      </c>
      <c r="C52" s="613">
        <v>0.0</v>
      </c>
      <c r="D52" s="613">
        <v>0.0</v>
      </c>
      <c r="E52" s="613">
        <f t="shared" si="1"/>
        <v>956.35</v>
      </c>
      <c r="F52" s="614">
        <v>0.0</v>
      </c>
      <c r="G52" s="613">
        <f t="shared" si="2"/>
        <v>956.35</v>
      </c>
      <c r="H52" s="615"/>
      <c r="I52" s="613"/>
      <c r="J52" s="613" t="str">
        <f t="shared" si="3"/>
        <v/>
      </c>
      <c r="K52" s="613">
        <v>956.35</v>
      </c>
      <c r="L52" s="90"/>
      <c r="M52" s="90"/>
      <c r="N52" s="90"/>
      <c r="O52" s="90"/>
      <c r="P52" s="90"/>
      <c r="Q52" s="90"/>
      <c r="R52" s="90"/>
      <c r="S52" s="90"/>
      <c r="T52" s="90"/>
      <c r="U52" s="90"/>
      <c r="V52" s="90"/>
      <c r="W52" s="90"/>
      <c r="X52" s="90"/>
      <c r="Y52" s="90"/>
      <c r="Z52" s="90"/>
    </row>
    <row r="53" ht="12.75" hidden="1" customHeight="1" outlineLevel="1">
      <c r="A53" s="612" t="s">
        <v>1538</v>
      </c>
      <c r="B53" s="613">
        <v>74502.0</v>
      </c>
      <c r="C53" s="613">
        <v>0.0</v>
      </c>
      <c r="D53" s="613">
        <v>0.0</v>
      </c>
      <c r="E53" s="613">
        <f t="shared" si="1"/>
        <v>74502</v>
      </c>
      <c r="F53" s="614">
        <v>0.0</v>
      </c>
      <c r="G53" s="613">
        <f t="shared" si="2"/>
        <v>74502</v>
      </c>
      <c r="H53" s="615"/>
      <c r="I53" s="613"/>
      <c r="J53" s="613" t="str">
        <f t="shared" si="3"/>
        <v/>
      </c>
      <c r="K53" s="613">
        <v>74502.0</v>
      </c>
      <c r="L53" s="90"/>
      <c r="M53" s="90"/>
      <c r="N53" s="90"/>
      <c r="O53" s="90"/>
      <c r="P53" s="90"/>
      <c r="Q53" s="90"/>
      <c r="R53" s="90"/>
      <c r="S53" s="90"/>
      <c r="T53" s="90"/>
      <c r="U53" s="90"/>
      <c r="V53" s="90"/>
      <c r="W53" s="90"/>
      <c r="X53" s="90"/>
      <c r="Y53" s="90"/>
      <c r="Z53" s="90"/>
    </row>
    <row r="54" ht="12.75" hidden="1" customHeight="1" outlineLevel="1">
      <c r="A54" s="612" t="s">
        <v>1539</v>
      </c>
      <c r="B54" s="613">
        <v>159857.0</v>
      </c>
      <c r="C54" s="613">
        <v>0.0</v>
      </c>
      <c r="D54" s="613">
        <v>0.0</v>
      </c>
      <c r="E54" s="613">
        <f t="shared" si="1"/>
        <v>159857</v>
      </c>
      <c r="F54" s="614">
        <v>0.0</v>
      </c>
      <c r="G54" s="613">
        <f t="shared" si="2"/>
        <v>159857</v>
      </c>
      <c r="H54" s="615"/>
      <c r="I54" s="613"/>
      <c r="J54" s="613" t="str">
        <f t="shared" si="3"/>
        <v/>
      </c>
      <c r="K54" s="613">
        <v>159857.0</v>
      </c>
      <c r="L54" s="90"/>
      <c r="M54" s="90"/>
      <c r="N54" s="90"/>
      <c r="O54" s="90"/>
      <c r="P54" s="90"/>
      <c r="Q54" s="90"/>
      <c r="R54" s="90"/>
      <c r="S54" s="90"/>
      <c r="T54" s="90"/>
      <c r="U54" s="90"/>
      <c r="V54" s="90"/>
      <c r="W54" s="90"/>
      <c r="X54" s="90"/>
      <c r="Y54" s="90"/>
      <c r="Z54" s="90"/>
    </row>
    <row r="55" ht="12.75" hidden="1" customHeight="1" outlineLevel="1">
      <c r="A55" s="612" t="s">
        <v>1540</v>
      </c>
      <c r="B55" s="613">
        <v>4618.0</v>
      </c>
      <c r="C55" s="613">
        <v>0.0</v>
      </c>
      <c r="D55" s="613">
        <v>0.0</v>
      </c>
      <c r="E55" s="613">
        <f t="shared" si="1"/>
        <v>4618</v>
      </c>
      <c r="F55" s="614">
        <v>0.0</v>
      </c>
      <c r="G55" s="613">
        <f t="shared" si="2"/>
        <v>4618</v>
      </c>
      <c r="H55" s="615"/>
      <c r="I55" s="613"/>
      <c r="J55" s="613" t="str">
        <f t="shared" si="3"/>
        <v/>
      </c>
      <c r="K55" s="613">
        <v>4618.0</v>
      </c>
      <c r="L55" s="90"/>
      <c r="M55" s="90"/>
      <c r="N55" s="90"/>
      <c r="O55" s="90"/>
      <c r="P55" s="90"/>
      <c r="Q55" s="90"/>
      <c r="R55" s="90"/>
      <c r="S55" s="90"/>
      <c r="T55" s="90"/>
      <c r="U55" s="90"/>
      <c r="V55" s="90"/>
      <c r="W55" s="90"/>
      <c r="X55" s="90"/>
      <c r="Y55" s="90"/>
      <c r="Z55" s="90"/>
    </row>
    <row r="56" ht="12.75" hidden="1" customHeight="1" outlineLevel="1">
      <c r="A56" s="612" t="s">
        <v>1541</v>
      </c>
      <c r="B56" s="613">
        <v>2464.0</v>
      </c>
      <c r="C56" s="613">
        <v>0.0</v>
      </c>
      <c r="D56" s="613">
        <v>0.0</v>
      </c>
      <c r="E56" s="613">
        <f t="shared" si="1"/>
        <v>2464</v>
      </c>
      <c r="F56" s="614">
        <v>0.0</v>
      </c>
      <c r="G56" s="613">
        <f t="shared" si="2"/>
        <v>2464</v>
      </c>
      <c r="H56" s="615"/>
      <c r="I56" s="613"/>
      <c r="J56" s="613" t="str">
        <f t="shared" si="3"/>
        <v/>
      </c>
      <c r="K56" s="613">
        <v>2464.0</v>
      </c>
      <c r="L56" s="90"/>
      <c r="M56" s="90"/>
      <c r="N56" s="90"/>
      <c r="O56" s="90"/>
      <c r="P56" s="90"/>
      <c r="Q56" s="90"/>
      <c r="R56" s="90"/>
      <c r="S56" s="90"/>
      <c r="T56" s="90"/>
      <c r="U56" s="90"/>
      <c r="V56" s="90"/>
      <c r="W56" s="90"/>
      <c r="X56" s="90"/>
      <c r="Y56" s="90"/>
      <c r="Z56" s="90"/>
    </row>
    <row r="57" ht="12.75" hidden="1" customHeight="1" outlineLevel="1">
      <c r="A57" s="612" t="s">
        <v>1542</v>
      </c>
      <c r="B57" s="616">
        <v>590717.17</v>
      </c>
      <c r="C57" s="616">
        <v>0.0</v>
      </c>
      <c r="D57" s="616">
        <v>0.0</v>
      </c>
      <c r="E57" s="616">
        <f t="shared" si="1"/>
        <v>590717.17</v>
      </c>
      <c r="F57" s="617">
        <v>0.0</v>
      </c>
      <c r="G57" s="616">
        <f t="shared" si="2"/>
        <v>590717.17</v>
      </c>
      <c r="H57" s="616">
        <v>0.0</v>
      </c>
      <c r="I57" s="616">
        <v>0.0</v>
      </c>
      <c r="J57" s="616">
        <f t="shared" si="3"/>
        <v>0</v>
      </c>
      <c r="K57" s="616">
        <v>590717.17</v>
      </c>
      <c r="L57" s="90"/>
      <c r="M57" s="90"/>
      <c r="N57" s="90"/>
      <c r="O57" s="90"/>
      <c r="P57" s="90"/>
      <c r="Q57" s="90"/>
      <c r="R57" s="90"/>
      <c r="S57" s="90"/>
      <c r="T57" s="90"/>
      <c r="U57" s="90"/>
      <c r="V57" s="90"/>
      <c r="W57" s="90"/>
      <c r="X57" s="90"/>
      <c r="Y57" s="90"/>
      <c r="Z57" s="90"/>
    </row>
    <row r="58" ht="12.75" hidden="1" customHeight="1" outlineLevel="1">
      <c r="A58" s="618" t="s">
        <v>1543</v>
      </c>
      <c r="B58" s="613">
        <v>0.0</v>
      </c>
      <c r="C58" s="613">
        <v>0.0</v>
      </c>
      <c r="D58" s="613">
        <v>0.0</v>
      </c>
      <c r="E58" s="613">
        <f t="shared" si="1"/>
        <v>0</v>
      </c>
      <c r="F58" s="614">
        <v>0.0</v>
      </c>
      <c r="G58" s="613">
        <f t="shared" si="2"/>
        <v>0</v>
      </c>
      <c r="H58" s="615"/>
      <c r="I58" s="613"/>
      <c r="J58" s="613" t="str">
        <f t="shared" si="3"/>
        <v/>
      </c>
      <c r="K58" s="613">
        <v>0.0</v>
      </c>
      <c r="L58" s="90"/>
      <c r="M58" s="90"/>
      <c r="N58" s="90"/>
      <c r="O58" s="90"/>
      <c r="P58" s="90"/>
      <c r="Q58" s="90"/>
      <c r="R58" s="90"/>
      <c r="S58" s="90"/>
      <c r="T58" s="90"/>
      <c r="U58" s="90"/>
      <c r="V58" s="90"/>
      <c r="W58" s="90"/>
      <c r="X58" s="90"/>
      <c r="Y58" s="90"/>
      <c r="Z58" s="90"/>
    </row>
    <row r="59" ht="12.75" hidden="1" customHeight="1" outlineLevel="1">
      <c r="A59" s="612" t="s">
        <v>1544</v>
      </c>
      <c r="B59" s="613">
        <v>203375.0</v>
      </c>
      <c r="C59" s="613">
        <v>0.0</v>
      </c>
      <c r="D59" s="613">
        <v>0.0</v>
      </c>
      <c r="E59" s="613">
        <f t="shared" si="1"/>
        <v>203375</v>
      </c>
      <c r="F59" s="614">
        <v>0.0</v>
      </c>
      <c r="G59" s="613">
        <f t="shared" si="2"/>
        <v>203375</v>
      </c>
      <c r="H59" s="615"/>
      <c r="I59" s="613"/>
      <c r="J59" s="613" t="str">
        <f t="shared" si="3"/>
        <v/>
      </c>
      <c r="K59" s="613">
        <v>203375.0</v>
      </c>
      <c r="L59" s="90"/>
      <c r="M59" s="90"/>
      <c r="N59" s="90"/>
      <c r="O59" s="90"/>
      <c r="P59" s="90"/>
      <c r="Q59" s="90"/>
      <c r="R59" s="90"/>
      <c r="S59" s="90"/>
      <c r="T59" s="90"/>
      <c r="U59" s="90"/>
      <c r="V59" s="90"/>
      <c r="W59" s="90"/>
      <c r="X59" s="90"/>
      <c r="Y59" s="90"/>
      <c r="Z59" s="90"/>
    </row>
    <row r="60" ht="12.75" hidden="1" customHeight="1" outlineLevel="1">
      <c r="A60" s="612" t="s">
        <v>1545</v>
      </c>
      <c r="B60" s="613">
        <v>13363.0</v>
      </c>
      <c r="C60" s="613">
        <v>0.0</v>
      </c>
      <c r="D60" s="613">
        <v>0.0</v>
      </c>
      <c r="E60" s="613">
        <f t="shared" si="1"/>
        <v>13363</v>
      </c>
      <c r="F60" s="614">
        <v>0.0</v>
      </c>
      <c r="G60" s="613">
        <f t="shared" si="2"/>
        <v>13363</v>
      </c>
      <c r="H60" s="615"/>
      <c r="I60" s="613"/>
      <c r="J60" s="613" t="str">
        <f t="shared" si="3"/>
        <v/>
      </c>
      <c r="K60" s="613">
        <v>13363.0</v>
      </c>
      <c r="L60" s="90"/>
      <c r="M60" s="90"/>
      <c r="N60" s="90"/>
      <c r="O60" s="90"/>
      <c r="P60" s="90"/>
      <c r="Q60" s="90"/>
      <c r="R60" s="90"/>
      <c r="S60" s="90"/>
      <c r="T60" s="90"/>
      <c r="U60" s="90"/>
      <c r="V60" s="90"/>
      <c r="W60" s="90"/>
      <c r="X60" s="90"/>
      <c r="Y60" s="90"/>
      <c r="Z60" s="90"/>
    </row>
    <row r="61" ht="12.75" hidden="1" customHeight="1" outlineLevel="1">
      <c r="A61" s="612" t="s">
        <v>1546</v>
      </c>
      <c r="B61" s="616">
        <v>216738.0</v>
      </c>
      <c r="C61" s="616">
        <v>0.0</v>
      </c>
      <c r="D61" s="616">
        <v>0.0</v>
      </c>
      <c r="E61" s="616">
        <f t="shared" si="1"/>
        <v>216738</v>
      </c>
      <c r="F61" s="617">
        <v>0.0</v>
      </c>
      <c r="G61" s="616">
        <f t="shared" si="2"/>
        <v>216738</v>
      </c>
      <c r="H61" s="616">
        <v>0.0</v>
      </c>
      <c r="I61" s="616">
        <v>0.0</v>
      </c>
      <c r="J61" s="616">
        <f t="shared" si="3"/>
        <v>0</v>
      </c>
      <c r="K61" s="616">
        <v>216738.0</v>
      </c>
      <c r="L61" s="90"/>
      <c r="M61" s="90"/>
      <c r="N61" s="90"/>
      <c r="O61" s="90"/>
      <c r="P61" s="90"/>
      <c r="Q61" s="90"/>
      <c r="R61" s="90"/>
      <c r="S61" s="90"/>
      <c r="T61" s="90"/>
      <c r="U61" s="90"/>
      <c r="V61" s="90"/>
      <c r="W61" s="90"/>
      <c r="X61" s="90"/>
      <c r="Y61" s="90"/>
      <c r="Z61" s="90"/>
    </row>
    <row r="62" ht="12.75" hidden="1" customHeight="1" outlineLevel="1">
      <c r="A62" s="618" t="s">
        <v>1547</v>
      </c>
      <c r="B62" s="613">
        <v>0.0</v>
      </c>
      <c r="C62" s="613">
        <v>0.0</v>
      </c>
      <c r="D62" s="613">
        <v>0.0</v>
      </c>
      <c r="E62" s="613">
        <f t="shared" si="1"/>
        <v>0</v>
      </c>
      <c r="F62" s="614">
        <v>0.0</v>
      </c>
      <c r="G62" s="613">
        <f t="shared" si="2"/>
        <v>0</v>
      </c>
      <c r="H62" s="615"/>
      <c r="I62" s="613"/>
      <c r="J62" s="613" t="str">
        <f t="shared" si="3"/>
        <v/>
      </c>
      <c r="K62" s="613">
        <v>0.0</v>
      </c>
      <c r="L62" s="90"/>
      <c r="M62" s="90"/>
      <c r="N62" s="90"/>
      <c r="O62" s="90"/>
      <c r="P62" s="90"/>
      <c r="Q62" s="90"/>
      <c r="R62" s="90"/>
      <c r="S62" s="90"/>
      <c r="T62" s="90"/>
      <c r="U62" s="90"/>
      <c r="V62" s="90"/>
      <c r="W62" s="90"/>
      <c r="X62" s="90"/>
      <c r="Y62" s="90"/>
      <c r="Z62" s="90"/>
    </row>
    <row r="63" ht="12.75" hidden="1" customHeight="1" outlineLevel="1">
      <c r="A63" s="612" t="s">
        <v>1548</v>
      </c>
      <c r="B63" s="613">
        <v>145912.67</v>
      </c>
      <c r="C63" s="613">
        <v>0.0</v>
      </c>
      <c r="D63" s="613">
        <v>0.0</v>
      </c>
      <c r="E63" s="613">
        <f t="shared" si="1"/>
        <v>145912.67</v>
      </c>
      <c r="F63" s="614">
        <v>0.0</v>
      </c>
      <c r="G63" s="613">
        <f t="shared" si="2"/>
        <v>145912.67</v>
      </c>
      <c r="H63" s="615"/>
      <c r="I63" s="613"/>
      <c r="J63" s="613" t="str">
        <f t="shared" si="3"/>
        <v/>
      </c>
      <c r="K63" s="613">
        <v>145912.67</v>
      </c>
      <c r="L63" s="90"/>
      <c r="M63" s="90"/>
      <c r="N63" s="90"/>
      <c r="O63" s="90"/>
      <c r="P63" s="90"/>
      <c r="Q63" s="90"/>
      <c r="R63" s="90"/>
      <c r="S63" s="90"/>
      <c r="T63" s="90"/>
      <c r="U63" s="90"/>
      <c r="V63" s="90"/>
      <c r="W63" s="90"/>
      <c r="X63" s="90"/>
      <c r="Y63" s="90"/>
      <c r="Z63" s="90"/>
    </row>
    <row r="64" ht="12.75" hidden="1" customHeight="1" outlineLevel="1">
      <c r="A64" s="612" t="s">
        <v>1549</v>
      </c>
      <c r="B64" s="613">
        <v>2439.0</v>
      </c>
      <c r="C64" s="613">
        <v>0.0</v>
      </c>
      <c r="D64" s="613">
        <v>0.0</v>
      </c>
      <c r="E64" s="613">
        <f t="shared" si="1"/>
        <v>2439</v>
      </c>
      <c r="F64" s="614">
        <v>0.0</v>
      </c>
      <c r="G64" s="613">
        <f t="shared" si="2"/>
        <v>2439</v>
      </c>
      <c r="H64" s="615"/>
      <c r="I64" s="613"/>
      <c r="J64" s="613" t="str">
        <f t="shared" si="3"/>
        <v/>
      </c>
      <c r="K64" s="613">
        <v>2439.0</v>
      </c>
      <c r="L64" s="90"/>
      <c r="M64" s="90"/>
      <c r="N64" s="90"/>
      <c r="O64" s="90"/>
      <c r="P64" s="90"/>
      <c r="Q64" s="90"/>
      <c r="R64" s="90"/>
      <c r="S64" s="90"/>
      <c r="T64" s="90"/>
      <c r="U64" s="90"/>
      <c r="V64" s="90"/>
      <c r="W64" s="90"/>
      <c r="X64" s="90"/>
      <c r="Y64" s="90"/>
      <c r="Z64" s="90"/>
    </row>
    <row r="65" ht="12.75" hidden="1" customHeight="1" outlineLevel="1">
      <c r="A65" s="612" t="s">
        <v>1550</v>
      </c>
      <c r="B65" s="613">
        <v>18.0</v>
      </c>
      <c r="C65" s="613">
        <v>0.0</v>
      </c>
      <c r="D65" s="613">
        <v>0.0</v>
      </c>
      <c r="E65" s="613">
        <f t="shared" si="1"/>
        <v>18</v>
      </c>
      <c r="F65" s="614">
        <v>0.0</v>
      </c>
      <c r="G65" s="613">
        <f t="shared" si="2"/>
        <v>18</v>
      </c>
      <c r="H65" s="615"/>
      <c r="I65" s="613"/>
      <c r="J65" s="613" t="str">
        <f t="shared" si="3"/>
        <v/>
      </c>
      <c r="K65" s="613">
        <v>18.0</v>
      </c>
      <c r="L65" s="90"/>
      <c r="M65" s="90"/>
      <c r="N65" s="90"/>
      <c r="O65" s="90"/>
      <c r="P65" s="90"/>
      <c r="Q65" s="90"/>
      <c r="R65" s="90"/>
      <c r="S65" s="90"/>
      <c r="T65" s="90"/>
      <c r="U65" s="90"/>
      <c r="V65" s="90"/>
      <c r="W65" s="90"/>
      <c r="X65" s="90"/>
      <c r="Y65" s="90"/>
      <c r="Z65" s="90"/>
    </row>
    <row r="66" ht="12.75" hidden="1" customHeight="1" outlineLevel="1">
      <c r="A66" s="612" t="s">
        <v>1551</v>
      </c>
      <c r="B66" s="616">
        <v>148369.67</v>
      </c>
      <c r="C66" s="616">
        <v>0.0</v>
      </c>
      <c r="D66" s="616">
        <v>0.0</v>
      </c>
      <c r="E66" s="616">
        <f t="shared" si="1"/>
        <v>148369.67</v>
      </c>
      <c r="F66" s="617">
        <v>0.0</v>
      </c>
      <c r="G66" s="616">
        <f t="shared" si="2"/>
        <v>148369.67</v>
      </c>
      <c r="H66" s="616">
        <v>0.0</v>
      </c>
      <c r="I66" s="616">
        <v>0.0</v>
      </c>
      <c r="J66" s="616">
        <f t="shared" si="3"/>
        <v>0</v>
      </c>
      <c r="K66" s="616">
        <v>148369.67</v>
      </c>
      <c r="L66" s="90"/>
      <c r="M66" s="90"/>
      <c r="N66" s="90"/>
      <c r="O66" s="90"/>
      <c r="P66" s="90"/>
      <c r="Q66" s="90"/>
      <c r="R66" s="90"/>
      <c r="S66" s="90"/>
      <c r="T66" s="90"/>
      <c r="U66" s="90"/>
      <c r="V66" s="90"/>
      <c r="W66" s="90"/>
      <c r="X66" s="90"/>
      <c r="Y66" s="90"/>
      <c r="Z66" s="90"/>
    </row>
    <row r="67" ht="12.75" customHeight="1">
      <c r="A67" s="618" t="s">
        <v>1552</v>
      </c>
      <c r="B67" s="616">
        <v>963822.1</v>
      </c>
      <c r="C67" s="616">
        <v>0.0</v>
      </c>
      <c r="D67" s="616">
        <v>0.0</v>
      </c>
      <c r="E67" s="616">
        <f t="shared" si="1"/>
        <v>963822.1</v>
      </c>
      <c r="F67" s="617">
        <v>0.0</v>
      </c>
      <c r="G67" s="616">
        <f t="shared" si="2"/>
        <v>963822.1</v>
      </c>
      <c r="H67" s="616">
        <v>0.0</v>
      </c>
      <c r="I67" s="616">
        <v>0.0</v>
      </c>
      <c r="J67" s="616">
        <f t="shared" si="3"/>
        <v>0</v>
      </c>
      <c r="K67" s="616">
        <v>963822.1</v>
      </c>
      <c r="L67" s="90"/>
      <c r="M67" s="90"/>
      <c r="N67" s="90"/>
      <c r="O67" s="90"/>
      <c r="P67" s="90"/>
      <c r="Q67" s="90"/>
      <c r="R67" s="90"/>
      <c r="S67" s="90"/>
      <c r="T67" s="90"/>
      <c r="U67" s="90"/>
      <c r="V67" s="90"/>
      <c r="W67" s="90"/>
      <c r="X67" s="90"/>
      <c r="Y67" s="90"/>
      <c r="Z67" s="90"/>
    </row>
    <row r="68" ht="12.75" hidden="1" customHeight="1" outlineLevel="1">
      <c r="A68" s="618" t="s">
        <v>1553</v>
      </c>
      <c r="B68" s="613">
        <v>0.0</v>
      </c>
      <c r="C68" s="613">
        <v>0.0</v>
      </c>
      <c r="D68" s="613">
        <v>0.0</v>
      </c>
      <c r="E68" s="613">
        <f t="shared" si="1"/>
        <v>0</v>
      </c>
      <c r="F68" s="614">
        <v>0.0</v>
      </c>
      <c r="G68" s="613">
        <f t="shared" si="2"/>
        <v>0</v>
      </c>
      <c r="H68" s="615"/>
      <c r="I68" s="613"/>
      <c r="J68" s="613" t="str">
        <f t="shared" si="3"/>
        <v/>
      </c>
      <c r="K68" s="613">
        <v>0.0</v>
      </c>
      <c r="L68" s="90"/>
      <c r="M68" s="90"/>
      <c r="N68" s="90"/>
      <c r="O68" s="90"/>
      <c r="P68" s="90"/>
      <c r="Q68" s="90"/>
      <c r="R68" s="90"/>
      <c r="S68" s="90"/>
      <c r="T68" s="90"/>
      <c r="U68" s="90"/>
      <c r="V68" s="90"/>
      <c r="W68" s="90"/>
      <c r="X68" s="90"/>
      <c r="Y68" s="90"/>
      <c r="Z68" s="90"/>
    </row>
    <row r="69" ht="12.75" hidden="1" customHeight="1" outlineLevel="1">
      <c r="A69" s="612" t="s">
        <v>1554</v>
      </c>
      <c r="B69" s="613">
        <v>47666.0</v>
      </c>
      <c r="C69" s="613">
        <v>0.0</v>
      </c>
      <c r="D69" s="613">
        <v>0.0</v>
      </c>
      <c r="E69" s="613">
        <f t="shared" si="1"/>
        <v>47666</v>
      </c>
      <c r="F69" s="614">
        <v>0.0</v>
      </c>
      <c r="G69" s="613">
        <f t="shared" si="2"/>
        <v>47666</v>
      </c>
      <c r="H69" s="615"/>
      <c r="I69" s="613"/>
      <c r="J69" s="613" t="str">
        <f t="shared" si="3"/>
        <v/>
      </c>
      <c r="K69" s="613">
        <v>47666.0</v>
      </c>
      <c r="L69" s="90"/>
      <c r="M69" s="90"/>
      <c r="N69" s="90"/>
      <c r="O69" s="90"/>
      <c r="P69" s="90"/>
      <c r="Q69" s="90"/>
      <c r="R69" s="90"/>
      <c r="S69" s="90"/>
      <c r="T69" s="90"/>
      <c r="U69" s="90"/>
      <c r="V69" s="90"/>
      <c r="W69" s="90"/>
      <c r="X69" s="90"/>
      <c r="Y69" s="90"/>
      <c r="Z69" s="90"/>
    </row>
    <row r="70" ht="12.75" hidden="1" customHeight="1" outlineLevel="1">
      <c r="A70" s="612" t="s">
        <v>1555</v>
      </c>
      <c r="B70" s="613">
        <v>-16976.0</v>
      </c>
      <c r="C70" s="613">
        <v>0.0</v>
      </c>
      <c r="D70" s="613">
        <v>0.0</v>
      </c>
      <c r="E70" s="613">
        <f t="shared" si="1"/>
        <v>-16976</v>
      </c>
      <c r="F70" s="614">
        <v>0.0</v>
      </c>
      <c r="G70" s="613">
        <f t="shared" si="2"/>
        <v>-16976</v>
      </c>
      <c r="H70" s="615"/>
      <c r="I70" s="613"/>
      <c r="J70" s="613" t="str">
        <f t="shared" si="3"/>
        <v/>
      </c>
      <c r="K70" s="613">
        <v>-16976.0</v>
      </c>
      <c r="L70" s="90"/>
      <c r="M70" s="90"/>
      <c r="N70" s="90"/>
      <c r="O70" s="90"/>
      <c r="P70" s="90"/>
      <c r="Q70" s="90"/>
      <c r="R70" s="90"/>
      <c r="S70" s="90"/>
      <c r="T70" s="90"/>
      <c r="U70" s="90"/>
      <c r="V70" s="90"/>
      <c r="W70" s="90"/>
      <c r="X70" s="90"/>
      <c r="Y70" s="90"/>
      <c r="Z70" s="90"/>
    </row>
    <row r="71" ht="12.75" hidden="1" customHeight="1" outlineLevel="1">
      <c r="A71" s="612" t="s">
        <v>1556</v>
      </c>
      <c r="B71" s="613">
        <v>0.0</v>
      </c>
      <c r="C71" s="613">
        <v>0.0</v>
      </c>
      <c r="D71" s="613">
        <v>0.0</v>
      </c>
      <c r="E71" s="613">
        <f t="shared" si="1"/>
        <v>0</v>
      </c>
      <c r="F71" s="614">
        <v>0.0</v>
      </c>
      <c r="G71" s="613">
        <f t="shared" si="2"/>
        <v>0</v>
      </c>
      <c r="H71" s="615"/>
      <c r="I71" s="613"/>
      <c r="J71" s="613" t="str">
        <f t="shared" si="3"/>
        <v/>
      </c>
      <c r="K71" s="613">
        <v>0.0</v>
      </c>
      <c r="L71" s="90"/>
      <c r="M71" s="90"/>
      <c r="N71" s="90"/>
      <c r="O71" s="90"/>
      <c r="P71" s="90"/>
      <c r="Q71" s="90"/>
      <c r="R71" s="90"/>
      <c r="S71" s="90"/>
      <c r="T71" s="90"/>
      <c r="U71" s="90"/>
      <c r="V71" s="90"/>
      <c r="W71" s="90"/>
      <c r="X71" s="90"/>
      <c r="Y71" s="90"/>
      <c r="Z71" s="90"/>
    </row>
    <row r="72" ht="12.75" hidden="1" customHeight="1" outlineLevel="1">
      <c r="A72" s="612" t="s">
        <v>1557</v>
      </c>
      <c r="B72" s="613">
        <v>1665952.0</v>
      </c>
      <c r="C72" s="613">
        <v>0.0</v>
      </c>
      <c r="D72" s="613">
        <v>0.0</v>
      </c>
      <c r="E72" s="613">
        <f t="shared" si="1"/>
        <v>1665952</v>
      </c>
      <c r="F72" s="614">
        <v>0.0</v>
      </c>
      <c r="G72" s="613">
        <f t="shared" si="2"/>
        <v>1665952</v>
      </c>
      <c r="H72" s="615"/>
      <c r="I72" s="613"/>
      <c r="J72" s="613" t="str">
        <f t="shared" si="3"/>
        <v/>
      </c>
      <c r="K72" s="613">
        <v>1665952.0</v>
      </c>
      <c r="L72" s="90"/>
      <c r="M72" s="90"/>
      <c r="N72" s="90"/>
      <c r="O72" s="90"/>
      <c r="P72" s="90"/>
      <c r="Q72" s="90"/>
      <c r="R72" s="90"/>
      <c r="S72" s="90"/>
      <c r="T72" s="90"/>
      <c r="U72" s="90"/>
      <c r="V72" s="90"/>
      <c r="W72" s="90"/>
      <c r="X72" s="90"/>
      <c r="Y72" s="90"/>
      <c r="Z72" s="90"/>
    </row>
    <row r="73" ht="12.75" hidden="1" customHeight="1" outlineLevel="1">
      <c r="A73" s="612" t="s">
        <v>1558</v>
      </c>
      <c r="B73" s="613">
        <v>6407.0</v>
      </c>
      <c r="C73" s="613">
        <v>0.0</v>
      </c>
      <c r="D73" s="613">
        <v>0.0</v>
      </c>
      <c r="E73" s="613">
        <f t="shared" si="1"/>
        <v>6407</v>
      </c>
      <c r="F73" s="614">
        <v>0.0</v>
      </c>
      <c r="G73" s="613">
        <f t="shared" si="2"/>
        <v>6407</v>
      </c>
      <c r="H73" s="615"/>
      <c r="I73" s="613"/>
      <c r="J73" s="613" t="str">
        <f t="shared" si="3"/>
        <v/>
      </c>
      <c r="K73" s="613">
        <v>6407.0</v>
      </c>
      <c r="L73" s="90"/>
      <c r="M73" s="90"/>
      <c r="N73" s="90"/>
      <c r="O73" s="90"/>
      <c r="P73" s="90"/>
      <c r="Q73" s="90"/>
      <c r="R73" s="90"/>
      <c r="S73" s="90"/>
      <c r="T73" s="90"/>
      <c r="U73" s="90"/>
      <c r="V73" s="90"/>
      <c r="W73" s="90"/>
      <c r="X73" s="90"/>
      <c r="Y73" s="90"/>
      <c r="Z73" s="90"/>
    </row>
    <row r="74" ht="12.75" customHeight="1">
      <c r="A74" s="612" t="s">
        <v>1559</v>
      </c>
      <c r="B74" s="616">
        <v>1703049.0</v>
      </c>
      <c r="C74" s="616">
        <v>0.0</v>
      </c>
      <c r="D74" s="616">
        <v>0.0</v>
      </c>
      <c r="E74" s="616">
        <f t="shared" si="1"/>
        <v>1703049</v>
      </c>
      <c r="F74" s="617">
        <v>0.0</v>
      </c>
      <c r="G74" s="616">
        <f t="shared" si="2"/>
        <v>1703049</v>
      </c>
      <c r="H74" s="616">
        <v>0.0</v>
      </c>
      <c r="I74" s="616">
        <v>0.0</v>
      </c>
      <c r="J74" s="616">
        <f t="shared" si="3"/>
        <v>0</v>
      </c>
      <c r="K74" s="616">
        <v>1703049.0</v>
      </c>
      <c r="L74" s="90"/>
      <c r="M74" s="90"/>
      <c r="N74" s="90"/>
      <c r="O74" s="90"/>
      <c r="P74" s="90"/>
      <c r="Q74" s="90"/>
      <c r="R74" s="90"/>
      <c r="S74" s="90"/>
      <c r="T74" s="90"/>
      <c r="U74" s="90"/>
      <c r="V74" s="90"/>
      <c r="W74" s="90"/>
      <c r="X74" s="90"/>
      <c r="Y74" s="90"/>
      <c r="Z74" s="90"/>
    </row>
    <row r="75" ht="12.75" customHeight="1">
      <c r="A75" s="618" t="s">
        <v>1560</v>
      </c>
      <c r="B75" s="616">
        <v>3102711.8</v>
      </c>
      <c r="C75" s="616">
        <v>312500.0</v>
      </c>
      <c r="D75" s="616">
        <v>125000.0</v>
      </c>
      <c r="E75" s="616">
        <f t="shared" si="1"/>
        <v>3540211.8</v>
      </c>
      <c r="F75" s="617">
        <v>1019515.32</v>
      </c>
      <c r="G75" s="616">
        <f t="shared" si="2"/>
        <v>4559727.12</v>
      </c>
      <c r="H75" s="616">
        <v>460003.59</v>
      </c>
      <c r="I75" s="616">
        <v>232232.85</v>
      </c>
      <c r="J75" s="616">
        <f t="shared" si="3"/>
        <v>692236.44</v>
      </c>
      <c r="K75" s="616">
        <v>5251963.56</v>
      </c>
      <c r="L75" s="90"/>
      <c r="M75" s="90"/>
      <c r="N75" s="90"/>
      <c r="O75" s="90"/>
      <c r="P75" s="90"/>
      <c r="Q75" s="90"/>
      <c r="R75" s="90"/>
      <c r="S75" s="90"/>
      <c r="T75" s="90"/>
      <c r="U75" s="90"/>
      <c r="V75" s="90"/>
      <c r="W75" s="90"/>
      <c r="X75" s="90"/>
      <c r="Y75" s="90"/>
      <c r="Z75" s="90"/>
    </row>
    <row r="76" ht="12.75" customHeight="1">
      <c r="A76" s="618" t="s">
        <v>1561</v>
      </c>
      <c r="B76" s="616">
        <v>3102711.8</v>
      </c>
      <c r="C76" s="616">
        <v>312500.0</v>
      </c>
      <c r="D76" s="616">
        <v>125000.0</v>
      </c>
      <c r="E76" s="616">
        <f t="shared" si="1"/>
        <v>3540211.8</v>
      </c>
      <c r="F76" s="617">
        <v>1019515.32</v>
      </c>
      <c r="G76" s="616">
        <f t="shared" si="2"/>
        <v>4559727.12</v>
      </c>
      <c r="H76" s="616">
        <v>460003.59</v>
      </c>
      <c r="I76" s="616">
        <v>232232.85</v>
      </c>
      <c r="J76" s="616">
        <f t="shared" si="3"/>
        <v>692236.44</v>
      </c>
      <c r="K76" s="616">
        <v>5251963.56</v>
      </c>
      <c r="L76" s="90"/>
      <c r="M76" s="90"/>
      <c r="N76" s="90"/>
      <c r="O76" s="90"/>
      <c r="P76" s="90"/>
      <c r="Q76" s="90"/>
      <c r="R76" s="90"/>
      <c r="S76" s="90"/>
      <c r="T76" s="90"/>
      <c r="U76" s="90"/>
      <c r="V76" s="90"/>
      <c r="W76" s="90"/>
      <c r="X76" s="90"/>
      <c r="Y76" s="90"/>
      <c r="Z76" s="90"/>
    </row>
    <row r="77" ht="12.75" customHeight="1">
      <c r="A77" s="618" t="s">
        <v>178</v>
      </c>
      <c r="B77" s="615"/>
      <c r="C77" s="615"/>
      <c r="D77" s="615"/>
      <c r="E77" s="615" t="str">
        <f t="shared" si="1"/>
        <v/>
      </c>
      <c r="F77" s="619"/>
      <c r="G77" s="615" t="str">
        <f t="shared" si="2"/>
        <v/>
      </c>
      <c r="H77" s="615"/>
      <c r="I77" s="615"/>
      <c r="J77" s="615" t="str">
        <f t="shared" si="3"/>
        <v/>
      </c>
      <c r="K77" s="615"/>
      <c r="L77" s="90"/>
      <c r="M77" s="90"/>
      <c r="N77" s="90"/>
      <c r="O77" s="90"/>
      <c r="P77" s="90"/>
      <c r="Q77" s="90"/>
      <c r="R77" s="90"/>
      <c r="S77" s="90"/>
      <c r="T77" s="90"/>
      <c r="U77" s="90"/>
      <c r="V77" s="90"/>
      <c r="W77" s="90"/>
      <c r="X77" s="90"/>
      <c r="Y77" s="90"/>
      <c r="Z77" s="90"/>
    </row>
    <row r="78" ht="12.75" hidden="1" customHeight="1" outlineLevel="1">
      <c r="A78" s="612" t="s">
        <v>1562</v>
      </c>
      <c r="B78" s="613">
        <v>0.0</v>
      </c>
      <c r="C78" s="613">
        <v>0.0</v>
      </c>
      <c r="D78" s="613">
        <v>0.0</v>
      </c>
      <c r="E78" s="613">
        <f t="shared" si="1"/>
        <v>0</v>
      </c>
      <c r="F78" s="614">
        <v>0.0</v>
      </c>
      <c r="G78" s="613">
        <f t="shared" si="2"/>
        <v>0</v>
      </c>
      <c r="H78" s="615"/>
      <c r="I78" s="613"/>
      <c r="J78" s="613" t="str">
        <f t="shared" si="3"/>
        <v/>
      </c>
      <c r="K78" s="613">
        <v>0.0</v>
      </c>
      <c r="L78" s="90"/>
      <c r="M78" s="90"/>
      <c r="N78" s="90"/>
      <c r="O78" s="90"/>
      <c r="P78" s="90"/>
      <c r="Q78" s="90"/>
      <c r="R78" s="90"/>
      <c r="S78" s="90"/>
      <c r="T78" s="90"/>
      <c r="U78" s="90"/>
      <c r="V78" s="90"/>
      <c r="W78" s="90"/>
      <c r="X78" s="90"/>
      <c r="Y78" s="90"/>
      <c r="Z78" s="90"/>
    </row>
    <row r="79" ht="12.75" hidden="1" customHeight="1" outlineLevel="1">
      <c r="A79" s="612" t="s">
        <v>1563</v>
      </c>
      <c r="B79" s="613">
        <v>0.0</v>
      </c>
      <c r="C79" s="613">
        <v>0.0</v>
      </c>
      <c r="D79" s="613">
        <v>0.0</v>
      </c>
      <c r="E79" s="613">
        <f t="shared" si="1"/>
        <v>0</v>
      </c>
      <c r="F79" s="614">
        <v>0.0</v>
      </c>
      <c r="G79" s="613">
        <f t="shared" si="2"/>
        <v>0</v>
      </c>
      <c r="H79" s="615"/>
      <c r="I79" s="613"/>
      <c r="J79" s="613" t="str">
        <f t="shared" si="3"/>
        <v/>
      </c>
      <c r="K79" s="613">
        <v>0.0</v>
      </c>
      <c r="L79" s="90"/>
      <c r="M79" s="90"/>
      <c r="N79" s="90"/>
      <c r="O79" s="90"/>
      <c r="P79" s="90"/>
      <c r="Q79" s="90"/>
      <c r="R79" s="90"/>
      <c r="S79" s="90"/>
      <c r="T79" s="90"/>
      <c r="U79" s="90"/>
      <c r="V79" s="90"/>
      <c r="W79" s="90"/>
      <c r="X79" s="90"/>
      <c r="Y79" s="90"/>
      <c r="Z79" s="90"/>
    </row>
    <row r="80" ht="12.75" hidden="1" customHeight="1" outlineLevel="1">
      <c r="A80" s="612" t="s">
        <v>1564</v>
      </c>
      <c r="B80" s="613">
        <v>647853.05</v>
      </c>
      <c r="C80" s="613">
        <v>0.0</v>
      </c>
      <c r="D80" s="613">
        <v>0.0</v>
      </c>
      <c r="E80" s="613">
        <f t="shared" si="1"/>
        <v>647853.05</v>
      </c>
      <c r="F80" s="614">
        <v>0.0</v>
      </c>
      <c r="G80" s="613">
        <f t="shared" si="2"/>
        <v>647853.05</v>
      </c>
      <c r="H80" s="615"/>
      <c r="I80" s="613"/>
      <c r="J80" s="613" t="str">
        <f t="shared" si="3"/>
        <v/>
      </c>
      <c r="K80" s="613">
        <v>647853.05</v>
      </c>
      <c r="L80" s="90"/>
      <c r="M80" s="90"/>
      <c r="N80" s="90"/>
      <c r="O80" s="90"/>
      <c r="P80" s="90"/>
      <c r="Q80" s="90"/>
      <c r="R80" s="90"/>
      <c r="S80" s="90"/>
      <c r="T80" s="90"/>
      <c r="U80" s="90"/>
      <c r="V80" s="90"/>
      <c r="W80" s="90"/>
      <c r="X80" s="90"/>
      <c r="Y80" s="90"/>
      <c r="Z80" s="90"/>
    </row>
    <row r="81" ht="12.75" hidden="1" customHeight="1" outlineLevel="1">
      <c r="A81" s="612" t="s">
        <v>1565</v>
      </c>
      <c r="B81" s="613">
        <v>59995.5</v>
      </c>
      <c r="C81" s="613">
        <v>0.0</v>
      </c>
      <c r="D81" s="613">
        <v>0.0</v>
      </c>
      <c r="E81" s="613">
        <f t="shared" si="1"/>
        <v>59995.5</v>
      </c>
      <c r="F81" s="614">
        <v>0.0</v>
      </c>
      <c r="G81" s="613">
        <f t="shared" si="2"/>
        <v>59995.5</v>
      </c>
      <c r="H81" s="615"/>
      <c r="I81" s="613"/>
      <c r="J81" s="613" t="str">
        <f t="shared" si="3"/>
        <v/>
      </c>
      <c r="K81" s="613">
        <v>59995.5</v>
      </c>
      <c r="L81" s="90"/>
      <c r="M81" s="90"/>
      <c r="N81" s="90"/>
      <c r="O81" s="90"/>
      <c r="P81" s="90"/>
      <c r="Q81" s="90"/>
      <c r="R81" s="90"/>
      <c r="S81" s="90"/>
      <c r="T81" s="90"/>
      <c r="U81" s="90"/>
      <c r="V81" s="90"/>
      <c r="W81" s="90"/>
      <c r="X81" s="90"/>
      <c r="Y81" s="90"/>
      <c r="Z81" s="90"/>
    </row>
    <row r="82" ht="12.75" hidden="1" customHeight="1" outlineLevel="1">
      <c r="A82" s="612" t="s">
        <v>1566</v>
      </c>
      <c r="B82" s="613">
        <v>0.0</v>
      </c>
      <c r="C82" s="613">
        <v>0.0</v>
      </c>
      <c r="D82" s="613">
        <v>0.0</v>
      </c>
      <c r="E82" s="613">
        <f t="shared" si="1"/>
        <v>0</v>
      </c>
      <c r="F82" s="614">
        <v>0.0</v>
      </c>
      <c r="G82" s="613">
        <f t="shared" si="2"/>
        <v>0</v>
      </c>
      <c r="H82" s="615"/>
      <c r="I82" s="613"/>
      <c r="J82" s="613" t="str">
        <f t="shared" si="3"/>
        <v/>
      </c>
      <c r="K82" s="613">
        <v>0.0</v>
      </c>
      <c r="L82" s="90"/>
      <c r="M82" s="90"/>
      <c r="N82" s="90"/>
      <c r="O82" s="90"/>
      <c r="P82" s="90"/>
      <c r="Q82" s="90"/>
      <c r="R82" s="90"/>
      <c r="S82" s="90"/>
      <c r="T82" s="90"/>
      <c r="U82" s="90"/>
      <c r="V82" s="90"/>
      <c r="W82" s="90"/>
      <c r="X82" s="90"/>
      <c r="Y82" s="90"/>
      <c r="Z82" s="90"/>
    </row>
    <row r="83" ht="12.75" hidden="1" customHeight="1" outlineLevel="1">
      <c r="A83" s="612" t="s">
        <v>1567</v>
      </c>
      <c r="B83" s="613">
        <v>0.0</v>
      </c>
      <c r="C83" s="613">
        <v>0.0</v>
      </c>
      <c r="D83" s="613">
        <v>0.0</v>
      </c>
      <c r="E83" s="613">
        <f t="shared" si="1"/>
        <v>0</v>
      </c>
      <c r="F83" s="614">
        <v>0.0</v>
      </c>
      <c r="G83" s="613">
        <f t="shared" si="2"/>
        <v>0</v>
      </c>
      <c r="H83" s="615"/>
      <c r="I83" s="613"/>
      <c r="J83" s="613" t="str">
        <f t="shared" si="3"/>
        <v/>
      </c>
      <c r="K83" s="613">
        <v>0.0</v>
      </c>
      <c r="L83" s="90"/>
      <c r="M83" s="90"/>
      <c r="N83" s="90"/>
      <c r="O83" s="90"/>
      <c r="P83" s="90"/>
      <c r="Q83" s="90"/>
      <c r="R83" s="90"/>
      <c r="S83" s="90"/>
      <c r="T83" s="90"/>
      <c r="U83" s="90"/>
      <c r="V83" s="90"/>
      <c r="W83" s="90"/>
      <c r="X83" s="90"/>
      <c r="Y83" s="90"/>
      <c r="Z83" s="90"/>
    </row>
    <row r="84" ht="12.75" hidden="1" customHeight="1" outlineLevel="1">
      <c r="A84" s="612" t="s">
        <v>1568</v>
      </c>
      <c r="B84" s="613">
        <v>0.0</v>
      </c>
      <c r="C84" s="613">
        <v>0.0</v>
      </c>
      <c r="D84" s="613">
        <v>0.0</v>
      </c>
      <c r="E84" s="613">
        <f t="shared" si="1"/>
        <v>0</v>
      </c>
      <c r="F84" s="614">
        <v>0.0</v>
      </c>
      <c r="G84" s="613">
        <f t="shared" si="2"/>
        <v>0</v>
      </c>
      <c r="H84" s="615"/>
      <c r="I84" s="613"/>
      <c r="J84" s="613" t="str">
        <f t="shared" si="3"/>
        <v/>
      </c>
      <c r="K84" s="613">
        <v>0.0</v>
      </c>
      <c r="L84" s="90"/>
      <c r="M84" s="90"/>
      <c r="N84" s="90"/>
      <c r="O84" s="90"/>
      <c r="P84" s="90"/>
      <c r="Q84" s="90"/>
      <c r="R84" s="90"/>
      <c r="S84" s="90"/>
      <c r="T84" s="90"/>
      <c r="U84" s="90"/>
      <c r="V84" s="90"/>
      <c r="W84" s="90"/>
      <c r="X84" s="90"/>
      <c r="Y84" s="90"/>
      <c r="Z84" s="90"/>
    </row>
    <row r="85" ht="12.75" hidden="1" customHeight="1" outlineLevel="1">
      <c r="A85" s="612" t="s">
        <v>1569</v>
      </c>
      <c r="B85" s="616">
        <v>707848.55</v>
      </c>
      <c r="C85" s="616">
        <v>0.0</v>
      </c>
      <c r="D85" s="616">
        <v>0.0</v>
      </c>
      <c r="E85" s="616">
        <f t="shared" si="1"/>
        <v>707848.55</v>
      </c>
      <c r="F85" s="617">
        <v>0.0</v>
      </c>
      <c r="G85" s="616">
        <f t="shared" si="2"/>
        <v>707848.55</v>
      </c>
      <c r="H85" s="616">
        <v>0.0</v>
      </c>
      <c r="I85" s="616">
        <v>0.0</v>
      </c>
      <c r="J85" s="616">
        <f t="shared" si="3"/>
        <v>0</v>
      </c>
      <c r="K85" s="616">
        <v>707848.55</v>
      </c>
      <c r="L85" s="90"/>
      <c r="M85" s="90"/>
      <c r="N85" s="90"/>
      <c r="O85" s="90"/>
      <c r="P85" s="90"/>
      <c r="Q85" s="90"/>
      <c r="R85" s="90"/>
      <c r="S85" s="90"/>
      <c r="T85" s="90"/>
      <c r="U85" s="90"/>
      <c r="V85" s="90"/>
      <c r="W85" s="90"/>
      <c r="X85" s="90"/>
      <c r="Y85" s="90"/>
      <c r="Z85" s="90"/>
    </row>
    <row r="86" ht="12.75" hidden="1" customHeight="1" outlineLevel="1">
      <c r="A86" s="618" t="s">
        <v>1570</v>
      </c>
      <c r="B86" s="613">
        <v>0.0</v>
      </c>
      <c r="C86" s="613">
        <v>0.0</v>
      </c>
      <c r="D86" s="613">
        <v>0.0</v>
      </c>
      <c r="E86" s="613">
        <f t="shared" si="1"/>
        <v>0</v>
      </c>
      <c r="F86" s="614">
        <v>0.0</v>
      </c>
      <c r="G86" s="613">
        <f t="shared" si="2"/>
        <v>0</v>
      </c>
      <c r="H86" s="615"/>
      <c r="I86" s="613"/>
      <c r="J86" s="613" t="str">
        <f t="shared" si="3"/>
        <v/>
      </c>
      <c r="K86" s="613">
        <v>0.0</v>
      </c>
      <c r="L86" s="90"/>
      <c r="M86" s="90"/>
      <c r="N86" s="90"/>
      <c r="O86" s="90"/>
      <c r="P86" s="90"/>
      <c r="Q86" s="90"/>
      <c r="R86" s="90"/>
      <c r="S86" s="90"/>
      <c r="T86" s="90"/>
      <c r="U86" s="90"/>
      <c r="V86" s="90"/>
      <c r="W86" s="90"/>
      <c r="X86" s="90"/>
      <c r="Y86" s="90"/>
      <c r="Z86" s="90"/>
    </row>
    <row r="87" ht="12.75" hidden="1" customHeight="1" outlineLevel="1">
      <c r="A87" s="612" t="s">
        <v>1571</v>
      </c>
      <c r="B87" s="613">
        <v>100960.0</v>
      </c>
      <c r="C87" s="613">
        <v>48726.23</v>
      </c>
      <c r="D87" s="613">
        <v>0.0</v>
      </c>
      <c r="E87" s="613">
        <f t="shared" si="1"/>
        <v>149686.23</v>
      </c>
      <c r="F87" s="614">
        <v>0.0</v>
      </c>
      <c r="G87" s="613">
        <f t="shared" si="2"/>
        <v>149686.23</v>
      </c>
      <c r="H87" s="615"/>
      <c r="I87" s="613"/>
      <c r="J87" s="613" t="str">
        <f t="shared" si="3"/>
        <v/>
      </c>
      <c r="K87" s="613">
        <v>149686.23</v>
      </c>
      <c r="L87" s="90"/>
      <c r="M87" s="90"/>
      <c r="N87" s="90"/>
      <c r="O87" s="90"/>
      <c r="P87" s="90"/>
      <c r="Q87" s="90"/>
      <c r="R87" s="90"/>
      <c r="S87" s="90"/>
      <c r="T87" s="90"/>
      <c r="U87" s="90"/>
      <c r="V87" s="90"/>
      <c r="W87" s="90"/>
      <c r="X87" s="90"/>
      <c r="Y87" s="90"/>
      <c r="Z87" s="90"/>
    </row>
    <row r="88" ht="12.75" hidden="1" customHeight="1" outlineLevel="1">
      <c r="A88" s="612" t="s">
        <v>1572</v>
      </c>
      <c r="B88" s="613">
        <v>35000.0</v>
      </c>
      <c r="C88" s="613">
        <v>14137.5</v>
      </c>
      <c r="D88" s="613">
        <v>0.0</v>
      </c>
      <c r="E88" s="613">
        <f t="shared" si="1"/>
        <v>49137.5</v>
      </c>
      <c r="F88" s="614">
        <v>0.0</v>
      </c>
      <c r="G88" s="613">
        <f t="shared" si="2"/>
        <v>49137.5</v>
      </c>
      <c r="H88" s="615"/>
      <c r="I88" s="613"/>
      <c r="J88" s="613" t="str">
        <f t="shared" si="3"/>
        <v/>
      </c>
      <c r="K88" s="613">
        <v>49137.5</v>
      </c>
      <c r="L88" s="90"/>
      <c r="M88" s="90"/>
      <c r="N88" s="90"/>
      <c r="O88" s="90"/>
      <c r="P88" s="90"/>
      <c r="Q88" s="90"/>
      <c r="R88" s="90"/>
      <c r="S88" s="90"/>
      <c r="T88" s="90"/>
      <c r="U88" s="90"/>
      <c r="V88" s="90"/>
      <c r="W88" s="90"/>
      <c r="X88" s="90"/>
      <c r="Y88" s="90"/>
      <c r="Z88" s="90"/>
    </row>
    <row r="89" ht="12.75" hidden="1" customHeight="1" outlineLevel="1">
      <c r="A89" s="612" t="s">
        <v>1573</v>
      </c>
      <c r="B89" s="616">
        <v>135960.0</v>
      </c>
      <c r="C89" s="616">
        <v>62863.73</v>
      </c>
      <c r="D89" s="616">
        <v>0.0</v>
      </c>
      <c r="E89" s="616">
        <f t="shared" si="1"/>
        <v>198823.73</v>
      </c>
      <c r="F89" s="617">
        <v>0.0</v>
      </c>
      <c r="G89" s="616">
        <f t="shared" si="2"/>
        <v>198823.73</v>
      </c>
      <c r="H89" s="616">
        <v>0.0</v>
      </c>
      <c r="I89" s="616">
        <v>0.0</v>
      </c>
      <c r="J89" s="616">
        <f t="shared" si="3"/>
        <v>0</v>
      </c>
      <c r="K89" s="616">
        <v>198823.73</v>
      </c>
      <c r="L89" s="90"/>
      <c r="M89" s="90"/>
      <c r="N89" s="90"/>
      <c r="O89" s="90"/>
      <c r="P89" s="90"/>
      <c r="Q89" s="90"/>
      <c r="R89" s="90"/>
      <c r="S89" s="90"/>
      <c r="T89" s="90"/>
      <c r="U89" s="90"/>
      <c r="V89" s="90"/>
      <c r="W89" s="90"/>
      <c r="X89" s="90"/>
      <c r="Y89" s="90"/>
      <c r="Z89" s="90"/>
    </row>
    <row r="90" ht="12.75" customHeight="1">
      <c r="A90" s="618" t="s">
        <v>1574</v>
      </c>
      <c r="B90" s="616">
        <v>843808.55</v>
      </c>
      <c r="C90" s="616">
        <v>62863.73</v>
      </c>
      <c r="D90" s="616">
        <v>0.0</v>
      </c>
      <c r="E90" s="616">
        <f t="shared" si="1"/>
        <v>906672.28</v>
      </c>
      <c r="F90" s="617">
        <v>0.0</v>
      </c>
      <c r="G90" s="616">
        <f t="shared" si="2"/>
        <v>906672.28</v>
      </c>
      <c r="H90" s="616">
        <v>0.0</v>
      </c>
      <c r="I90" s="616">
        <v>0.0</v>
      </c>
      <c r="J90" s="616">
        <f t="shared" si="3"/>
        <v>0</v>
      </c>
      <c r="K90" s="616">
        <v>906672.28</v>
      </c>
      <c r="L90" s="90"/>
      <c r="M90" s="90"/>
      <c r="N90" s="90"/>
      <c r="O90" s="90"/>
      <c r="P90" s="90"/>
      <c r="Q90" s="90"/>
      <c r="R90" s="90"/>
      <c r="S90" s="90"/>
      <c r="T90" s="90"/>
      <c r="U90" s="90"/>
      <c r="V90" s="90"/>
      <c r="W90" s="90"/>
      <c r="X90" s="90"/>
      <c r="Y90" s="90"/>
      <c r="Z90" s="90"/>
    </row>
    <row r="91" ht="12.75" hidden="1" customHeight="1" outlineLevel="1">
      <c r="A91" s="618" t="s">
        <v>1575</v>
      </c>
      <c r="B91" s="613">
        <v>0.0</v>
      </c>
      <c r="C91" s="613">
        <v>0.0</v>
      </c>
      <c r="D91" s="613">
        <v>0.0</v>
      </c>
      <c r="E91" s="613">
        <f t="shared" si="1"/>
        <v>0</v>
      </c>
      <c r="F91" s="614">
        <v>0.0</v>
      </c>
      <c r="G91" s="613">
        <f t="shared" si="2"/>
        <v>0</v>
      </c>
      <c r="H91" s="615"/>
      <c r="I91" s="613"/>
      <c r="J91" s="613" t="str">
        <f t="shared" si="3"/>
        <v/>
      </c>
      <c r="K91" s="613">
        <v>0.0</v>
      </c>
      <c r="L91" s="90"/>
      <c r="M91" s="90"/>
      <c r="N91" s="90"/>
      <c r="O91" s="90"/>
      <c r="P91" s="90"/>
      <c r="Q91" s="90"/>
      <c r="R91" s="90"/>
      <c r="S91" s="90"/>
      <c r="T91" s="90"/>
      <c r="U91" s="90"/>
      <c r="V91" s="90"/>
      <c r="W91" s="90"/>
      <c r="X91" s="90"/>
      <c r="Y91" s="90"/>
      <c r="Z91" s="90"/>
    </row>
    <row r="92" ht="12.75" hidden="1" customHeight="1" outlineLevel="1">
      <c r="A92" s="612" t="s">
        <v>1576</v>
      </c>
      <c r="B92" s="613">
        <v>0.0</v>
      </c>
      <c r="C92" s="613">
        <v>0.0</v>
      </c>
      <c r="D92" s="613">
        <v>0.0</v>
      </c>
      <c r="E92" s="613">
        <f t="shared" si="1"/>
        <v>0</v>
      </c>
      <c r="F92" s="614">
        <v>0.0</v>
      </c>
      <c r="G92" s="613">
        <f t="shared" si="2"/>
        <v>0</v>
      </c>
      <c r="H92" s="615"/>
      <c r="I92" s="613"/>
      <c r="J92" s="613" t="str">
        <f t="shared" si="3"/>
        <v/>
      </c>
      <c r="K92" s="613">
        <v>0.0</v>
      </c>
      <c r="L92" s="90"/>
      <c r="M92" s="90"/>
      <c r="N92" s="90"/>
      <c r="O92" s="90"/>
      <c r="P92" s="90"/>
      <c r="Q92" s="90"/>
      <c r="R92" s="90"/>
      <c r="S92" s="90"/>
      <c r="T92" s="90"/>
      <c r="U92" s="90"/>
      <c r="V92" s="90"/>
      <c r="W92" s="90"/>
      <c r="X92" s="90"/>
      <c r="Y92" s="90"/>
      <c r="Z92" s="90"/>
    </row>
    <row r="93" ht="12.75" hidden="1" customHeight="1" outlineLevel="1">
      <c r="A93" s="612" t="s">
        <v>1577</v>
      </c>
      <c r="B93" s="613">
        <v>72901.6</v>
      </c>
      <c r="C93" s="613">
        <v>0.0</v>
      </c>
      <c r="D93" s="613">
        <v>0.0</v>
      </c>
      <c r="E93" s="613">
        <f t="shared" si="1"/>
        <v>72901.6</v>
      </c>
      <c r="F93" s="614">
        <v>0.0</v>
      </c>
      <c r="G93" s="613">
        <f t="shared" si="2"/>
        <v>72901.6</v>
      </c>
      <c r="H93" s="615"/>
      <c r="I93" s="613"/>
      <c r="J93" s="613" t="str">
        <f t="shared" si="3"/>
        <v/>
      </c>
      <c r="K93" s="613">
        <v>72901.6</v>
      </c>
      <c r="L93" s="90"/>
      <c r="M93" s="90"/>
      <c r="N93" s="90"/>
      <c r="O93" s="90"/>
      <c r="P93" s="90"/>
      <c r="Q93" s="90"/>
      <c r="R93" s="90"/>
      <c r="S93" s="90"/>
      <c r="T93" s="90"/>
      <c r="U93" s="90"/>
      <c r="V93" s="90"/>
      <c r="W93" s="90"/>
      <c r="X93" s="90"/>
      <c r="Y93" s="90"/>
      <c r="Z93" s="90"/>
    </row>
    <row r="94" ht="12.75" hidden="1" customHeight="1" outlineLevel="1">
      <c r="A94" s="612" t="s">
        <v>1578</v>
      </c>
      <c r="B94" s="616">
        <v>72901.6</v>
      </c>
      <c r="C94" s="616">
        <v>0.0</v>
      </c>
      <c r="D94" s="616">
        <v>0.0</v>
      </c>
      <c r="E94" s="616">
        <f t="shared" si="1"/>
        <v>72901.6</v>
      </c>
      <c r="F94" s="617">
        <v>0.0</v>
      </c>
      <c r="G94" s="616">
        <f t="shared" si="2"/>
        <v>72901.6</v>
      </c>
      <c r="H94" s="616">
        <v>0.0</v>
      </c>
      <c r="I94" s="616">
        <v>0.0</v>
      </c>
      <c r="J94" s="616">
        <f t="shared" si="3"/>
        <v>0</v>
      </c>
      <c r="K94" s="616">
        <v>72901.6</v>
      </c>
      <c r="L94" s="90"/>
      <c r="M94" s="90"/>
      <c r="N94" s="90"/>
      <c r="O94" s="90"/>
      <c r="P94" s="90"/>
      <c r="Q94" s="90"/>
      <c r="R94" s="90"/>
      <c r="S94" s="90"/>
      <c r="T94" s="90"/>
      <c r="U94" s="90"/>
      <c r="V94" s="90"/>
      <c r="W94" s="90"/>
      <c r="X94" s="90"/>
      <c r="Y94" s="90"/>
      <c r="Z94" s="90"/>
    </row>
    <row r="95" ht="12.75" hidden="1" customHeight="1" outlineLevel="1">
      <c r="A95" s="618" t="s">
        <v>1579</v>
      </c>
      <c r="B95" s="613">
        <v>0.0</v>
      </c>
      <c r="C95" s="613">
        <v>0.0</v>
      </c>
      <c r="D95" s="613">
        <v>0.0</v>
      </c>
      <c r="E95" s="613">
        <f t="shared" si="1"/>
        <v>0</v>
      </c>
      <c r="F95" s="614">
        <v>0.0</v>
      </c>
      <c r="G95" s="613">
        <f t="shared" si="2"/>
        <v>0</v>
      </c>
      <c r="H95" s="615"/>
      <c r="I95" s="613"/>
      <c r="J95" s="613" t="str">
        <f t="shared" si="3"/>
        <v/>
      </c>
      <c r="K95" s="613">
        <v>0.0</v>
      </c>
      <c r="L95" s="90"/>
      <c r="M95" s="90"/>
      <c r="N95" s="90"/>
      <c r="O95" s="90"/>
      <c r="P95" s="90"/>
      <c r="Q95" s="90"/>
      <c r="R95" s="90"/>
      <c r="S95" s="90"/>
      <c r="T95" s="90"/>
      <c r="U95" s="90"/>
      <c r="V95" s="90"/>
      <c r="W95" s="90"/>
      <c r="X95" s="90"/>
      <c r="Y95" s="90"/>
      <c r="Z95" s="90"/>
    </row>
    <row r="96" ht="12.75" hidden="1" customHeight="1" outlineLevel="1">
      <c r="A96" s="612" t="s">
        <v>1580</v>
      </c>
      <c r="B96" s="613">
        <v>14090.0</v>
      </c>
      <c r="C96" s="613">
        <v>0.0</v>
      </c>
      <c r="D96" s="613">
        <v>0.0</v>
      </c>
      <c r="E96" s="613">
        <f t="shared" si="1"/>
        <v>14090</v>
      </c>
      <c r="F96" s="614">
        <v>0.0</v>
      </c>
      <c r="G96" s="613">
        <f t="shared" si="2"/>
        <v>14090</v>
      </c>
      <c r="H96" s="615"/>
      <c r="I96" s="613"/>
      <c r="J96" s="613" t="str">
        <f t="shared" si="3"/>
        <v/>
      </c>
      <c r="K96" s="613">
        <v>14090.0</v>
      </c>
      <c r="L96" s="90"/>
      <c r="M96" s="90"/>
      <c r="N96" s="90"/>
      <c r="O96" s="90"/>
      <c r="P96" s="90"/>
      <c r="Q96" s="90"/>
      <c r="R96" s="90"/>
      <c r="S96" s="90"/>
      <c r="T96" s="90"/>
      <c r="U96" s="90"/>
      <c r="V96" s="90"/>
      <c r="W96" s="90"/>
      <c r="X96" s="90"/>
      <c r="Y96" s="90"/>
      <c r="Z96" s="90"/>
    </row>
    <row r="97" ht="12.75" hidden="1" customHeight="1" outlineLevel="1">
      <c r="A97" s="612" t="s">
        <v>1581</v>
      </c>
      <c r="B97" s="616">
        <v>14090.0</v>
      </c>
      <c r="C97" s="616">
        <v>0.0</v>
      </c>
      <c r="D97" s="616">
        <v>0.0</v>
      </c>
      <c r="E97" s="616">
        <f t="shared" si="1"/>
        <v>14090</v>
      </c>
      <c r="F97" s="617">
        <v>0.0</v>
      </c>
      <c r="G97" s="616">
        <f t="shared" si="2"/>
        <v>14090</v>
      </c>
      <c r="H97" s="616">
        <v>0.0</v>
      </c>
      <c r="I97" s="616">
        <v>0.0</v>
      </c>
      <c r="J97" s="616">
        <f t="shared" si="3"/>
        <v>0</v>
      </c>
      <c r="K97" s="616">
        <v>14090.0</v>
      </c>
      <c r="L97" s="90"/>
      <c r="M97" s="90"/>
      <c r="N97" s="90"/>
      <c r="O97" s="90"/>
      <c r="P97" s="90"/>
      <c r="Q97" s="90"/>
      <c r="R97" s="90"/>
      <c r="S97" s="90"/>
      <c r="T97" s="90"/>
      <c r="U97" s="90"/>
      <c r="V97" s="90"/>
      <c r="W97" s="90"/>
      <c r="X97" s="90"/>
      <c r="Y97" s="90"/>
      <c r="Z97" s="90"/>
    </row>
    <row r="98" ht="12.75" hidden="1" customHeight="1" outlineLevel="1">
      <c r="A98" s="618" t="s">
        <v>1582</v>
      </c>
      <c r="B98" s="613">
        <v>0.0</v>
      </c>
      <c r="C98" s="613">
        <v>0.0</v>
      </c>
      <c r="D98" s="613">
        <v>0.0</v>
      </c>
      <c r="E98" s="613">
        <f t="shared" si="1"/>
        <v>0</v>
      </c>
      <c r="F98" s="614">
        <v>0.0</v>
      </c>
      <c r="G98" s="613">
        <f t="shared" si="2"/>
        <v>0</v>
      </c>
      <c r="H98" s="615"/>
      <c r="I98" s="613"/>
      <c r="J98" s="613" t="str">
        <f t="shared" si="3"/>
        <v/>
      </c>
      <c r="K98" s="613">
        <v>0.0</v>
      </c>
      <c r="L98" s="90"/>
      <c r="M98" s="90"/>
      <c r="N98" s="90"/>
      <c r="O98" s="90"/>
      <c r="P98" s="90"/>
      <c r="Q98" s="90"/>
      <c r="R98" s="90"/>
      <c r="S98" s="90"/>
      <c r="T98" s="90"/>
      <c r="U98" s="90"/>
      <c r="V98" s="90"/>
      <c r="W98" s="90"/>
      <c r="X98" s="90"/>
      <c r="Y98" s="90"/>
      <c r="Z98" s="90"/>
    </row>
    <row r="99" ht="12.75" hidden="1" customHeight="1" outlineLevel="1">
      <c r="A99" s="612" t="s">
        <v>1583</v>
      </c>
      <c r="B99" s="613">
        <v>0.0</v>
      </c>
      <c r="C99" s="613">
        <v>0.0</v>
      </c>
      <c r="D99" s="613">
        <v>0.0</v>
      </c>
      <c r="E99" s="613">
        <f t="shared" si="1"/>
        <v>0</v>
      </c>
      <c r="F99" s="614">
        <v>106307.0</v>
      </c>
      <c r="G99" s="613">
        <f t="shared" si="2"/>
        <v>106307</v>
      </c>
      <c r="H99" s="615"/>
      <c r="I99" s="613"/>
      <c r="J99" s="613" t="str">
        <f t="shared" si="3"/>
        <v/>
      </c>
      <c r="K99" s="613">
        <v>106307.0</v>
      </c>
      <c r="L99" s="90"/>
      <c r="M99" s="90"/>
      <c r="N99" s="90"/>
      <c r="O99" s="90"/>
      <c r="P99" s="90"/>
      <c r="Q99" s="90"/>
      <c r="R99" s="90"/>
      <c r="S99" s="90"/>
      <c r="T99" s="90"/>
      <c r="U99" s="90"/>
      <c r="V99" s="90"/>
      <c r="W99" s="90"/>
      <c r="X99" s="90"/>
      <c r="Y99" s="90"/>
      <c r="Z99" s="90"/>
    </row>
    <row r="100" ht="12.75" hidden="1" customHeight="1" outlineLevel="1">
      <c r="A100" s="612" t="s">
        <v>1584</v>
      </c>
      <c r="B100" s="613">
        <v>0.0</v>
      </c>
      <c r="C100" s="613">
        <v>0.0</v>
      </c>
      <c r="D100" s="613">
        <v>0.0</v>
      </c>
      <c r="E100" s="613">
        <f t="shared" si="1"/>
        <v>0</v>
      </c>
      <c r="F100" s="614">
        <v>0.0</v>
      </c>
      <c r="G100" s="613">
        <f t="shared" si="2"/>
        <v>0</v>
      </c>
      <c r="H100" s="615"/>
      <c r="I100" s="613"/>
      <c r="J100" s="613" t="str">
        <f t="shared" si="3"/>
        <v/>
      </c>
      <c r="K100" s="613">
        <v>0.0</v>
      </c>
      <c r="L100" s="90"/>
      <c r="M100" s="90"/>
      <c r="N100" s="90"/>
      <c r="O100" s="90"/>
      <c r="P100" s="90"/>
      <c r="Q100" s="90"/>
      <c r="R100" s="90"/>
      <c r="S100" s="90"/>
      <c r="T100" s="90"/>
      <c r="U100" s="90"/>
      <c r="V100" s="90"/>
      <c r="W100" s="90"/>
      <c r="X100" s="90"/>
      <c r="Y100" s="90"/>
      <c r="Z100" s="90"/>
    </row>
    <row r="101" ht="12.75" hidden="1" customHeight="1" outlineLevel="1">
      <c r="A101" s="612" t="s">
        <v>1585</v>
      </c>
      <c r="B101" s="616">
        <v>0.0</v>
      </c>
      <c r="C101" s="616">
        <v>0.0</v>
      </c>
      <c r="D101" s="616">
        <v>0.0</v>
      </c>
      <c r="E101" s="616">
        <f t="shared" si="1"/>
        <v>0</v>
      </c>
      <c r="F101" s="617">
        <v>106307.0</v>
      </c>
      <c r="G101" s="616">
        <f t="shared" si="2"/>
        <v>106307</v>
      </c>
      <c r="H101" s="616">
        <v>0.0</v>
      </c>
      <c r="I101" s="616">
        <v>0.0</v>
      </c>
      <c r="J101" s="616">
        <f t="shared" si="3"/>
        <v>0</v>
      </c>
      <c r="K101" s="616">
        <v>106307.0</v>
      </c>
      <c r="L101" s="90"/>
      <c r="M101" s="90"/>
      <c r="N101" s="90"/>
      <c r="O101" s="90"/>
      <c r="P101" s="90"/>
      <c r="Q101" s="90"/>
      <c r="R101" s="90"/>
      <c r="S101" s="90"/>
      <c r="T101" s="90"/>
      <c r="U101" s="90"/>
      <c r="V101" s="90"/>
      <c r="W101" s="90"/>
      <c r="X101" s="90"/>
      <c r="Y101" s="90"/>
      <c r="Z101" s="90"/>
    </row>
    <row r="102" ht="12.75" hidden="1" customHeight="1" outlineLevel="1">
      <c r="A102" s="618" t="s">
        <v>1586</v>
      </c>
      <c r="B102" s="613">
        <v>0.0</v>
      </c>
      <c r="C102" s="613">
        <v>0.0</v>
      </c>
      <c r="D102" s="613">
        <v>0.0</v>
      </c>
      <c r="E102" s="613">
        <f t="shared" si="1"/>
        <v>0</v>
      </c>
      <c r="F102" s="614">
        <v>0.0</v>
      </c>
      <c r="G102" s="613">
        <f t="shared" si="2"/>
        <v>0</v>
      </c>
      <c r="H102" s="615"/>
      <c r="I102" s="613"/>
      <c r="J102" s="613" t="str">
        <f t="shared" si="3"/>
        <v/>
      </c>
      <c r="K102" s="613">
        <v>0.0</v>
      </c>
      <c r="L102" s="90"/>
      <c r="M102" s="90"/>
      <c r="N102" s="90"/>
      <c r="O102" s="90"/>
      <c r="P102" s="90"/>
      <c r="Q102" s="90"/>
      <c r="R102" s="90"/>
      <c r="S102" s="90"/>
      <c r="T102" s="90"/>
      <c r="U102" s="90"/>
      <c r="V102" s="90"/>
      <c r="W102" s="90"/>
      <c r="X102" s="90"/>
      <c r="Y102" s="90"/>
      <c r="Z102" s="90"/>
    </row>
    <row r="103" ht="12.75" hidden="1" customHeight="1" outlineLevel="1">
      <c r="A103" s="612" t="s">
        <v>1587</v>
      </c>
      <c r="B103" s="613">
        <v>55550.43</v>
      </c>
      <c r="C103" s="613">
        <v>8936.36</v>
      </c>
      <c r="D103" s="613">
        <v>0.0</v>
      </c>
      <c r="E103" s="613">
        <f t="shared" si="1"/>
        <v>64486.79</v>
      </c>
      <c r="F103" s="614">
        <v>51182.5</v>
      </c>
      <c r="G103" s="613">
        <f t="shared" si="2"/>
        <v>115669.29</v>
      </c>
      <c r="H103" s="615"/>
      <c r="I103" s="613"/>
      <c r="J103" s="613" t="str">
        <f t="shared" si="3"/>
        <v/>
      </c>
      <c r="K103" s="613">
        <v>115669.29</v>
      </c>
      <c r="L103" s="90"/>
      <c r="M103" s="90"/>
      <c r="N103" s="90"/>
      <c r="O103" s="90"/>
      <c r="P103" s="90"/>
      <c r="Q103" s="90"/>
      <c r="R103" s="90"/>
      <c r="S103" s="90"/>
      <c r="T103" s="90"/>
      <c r="U103" s="90"/>
      <c r="V103" s="90"/>
      <c r="W103" s="90"/>
      <c r="X103" s="90"/>
      <c r="Y103" s="90"/>
      <c r="Z103" s="90"/>
    </row>
    <row r="104" ht="12.75" hidden="1" customHeight="1" outlineLevel="1">
      <c r="A104" s="612" t="s">
        <v>1588</v>
      </c>
      <c r="B104" s="616">
        <v>55550.43</v>
      </c>
      <c r="C104" s="616">
        <v>8936.36</v>
      </c>
      <c r="D104" s="616">
        <v>0.0</v>
      </c>
      <c r="E104" s="616">
        <f t="shared" si="1"/>
        <v>64486.79</v>
      </c>
      <c r="F104" s="617">
        <v>51182.5</v>
      </c>
      <c r="G104" s="616">
        <f t="shared" si="2"/>
        <v>115669.29</v>
      </c>
      <c r="H104" s="616">
        <v>0.0</v>
      </c>
      <c r="I104" s="616">
        <v>0.0</v>
      </c>
      <c r="J104" s="616">
        <f t="shared" si="3"/>
        <v>0</v>
      </c>
      <c r="K104" s="616">
        <v>115669.29</v>
      </c>
      <c r="L104" s="90"/>
      <c r="M104" s="90"/>
      <c r="N104" s="90"/>
      <c r="O104" s="90"/>
      <c r="P104" s="90"/>
      <c r="Q104" s="90"/>
      <c r="R104" s="90"/>
      <c r="S104" s="90"/>
      <c r="T104" s="90"/>
      <c r="U104" s="90"/>
      <c r="V104" s="90"/>
      <c r="W104" s="90"/>
      <c r="X104" s="90"/>
      <c r="Y104" s="90"/>
      <c r="Z104" s="90"/>
    </row>
    <row r="105" ht="12.75" hidden="1" customHeight="1" outlineLevel="1">
      <c r="A105" s="618" t="s">
        <v>1589</v>
      </c>
      <c r="B105" s="613">
        <v>0.0</v>
      </c>
      <c r="C105" s="613">
        <v>0.0</v>
      </c>
      <c r="D105" s="613">
        <v>0.0</v>
      </c>
      <c r="E105" s="613">
        <f t="shared" si="1"/>
        <v>0</v>
      </c>
      <c r="F105" s="614">
        <v>0.0</v>
      </c>
      <c r="G105" s="613">
        <f t="shared" si="2"/>
        <v>0</v>
      </c>
      <c r="H105" s="615"/>
      <c r="I105" s="613"/>
      <c r="J105" s="613" t="str">
        <f t="shared" si="3"/>
        <v/>
      </c>
      <c r="K105" s="613">
        <v>0.0</v>
      </c>
      <c r="L105" s="90"/>
      <c r="M105" s="90"/>
      <c r="N105" s="90"/>
      <c r="O105" s="90"/>
      <c r="P105" s="90"/>
      <c r="Q105" s="90"/>
      <c r="R105" s="90"/>
      <c r="S105" s="90"/>
      <c r="T105" s="90"/>
      <c r="U105" s="90"/>
      <c r="V105" s="90"/>
      <c r="W105" s="90"/>
      <c r="X105" s="90"/>
      <c r="Y105" s="90"/>
      <c r="Z105" s="90"/>
    </row>
    <row r="106" ht="12.75" hidden="1" customHeight="1" outlineLevel="1">
      <c r="A106" s="612" t="s">
        <v>1590</v>
      </c>
      <c r="B106" s="613">
        <v>0.0</v>
      </c>
      <c r="C106" s="613">
        <v>0.0</v>
      </c>
      <c r="D106" s="613">
        <v>0.0</v>
      </c>
      <c r="E106" s="613">
        <f t="shared" si="1"/>
        <v>0</v>
      </c>
      <c r="F106" s="614">
        <v>0.0</v>
      </c>
      <c r="G106" s="613">
        <f t="shared" si="2"/>
        <v>0</v>
      </c>
      <c r="H106" s="615"/>
      <c r="I106" s="613"/>
      <c r="J106" s="613" t="str">
        <f t="shared" si="3"/>
        <v/>
      </c>
      <c r="K106" s="613">
        <v>0.0</v>
      </c>
      <c r="L106" s="90"/>
      <c r="M106" s="90"/>
      <c r="N106" s="90"/>
      <c r="O106" s="90"/>
      <c r="P106" s="90"/>
      <c r="Q106" s="90"/>
      <c r="R106" s="90"/>
      <c r="S106" s="90"/>
      <c r="T106" s="90"/>
      <c r="U106" s="90"/>
      <c r="V106" s="90"/>
      <c r="W106" s="90"/>
      <c r="X106" s="90"/>
      <c r="Y106" s="90"/>
      <c r="Z106" s="90"/>
    </row>
    <row r="107" ht="12.75" hidden="1" customHeight="1" outlineLevel="1">
      <c r="A107" s="612" t="s">
        <v>1591</v>
      </c>
      <c r="B107" s="616">
        <v>0.0</v>
      </c>
      <c r="C107" s="616">
        <v>0.0</v>
      </c>
      <c r="D107" s="616">
        <v>0.0</v>
      </c>
      <c r="E107" s="616">
        <f t="shared" si="1"/>
        <v>0</v>
      </c>
      <c r="F107" s="617">
        <v>0.0</v>
      </c>
      <c r="G107" s="616">
        <f t="shared" si="2"/>
        <v>0</v>
      </c>
      <c r="H107" s="616">
        <v>0.0</v>
      </c>
      <c r="I107" s="616">
        <v>0.0</v>
      </c>
      <c r="J107" s="616">
        <f t="shared" si="3"/>
        <v>0</v>
      </c>
      <c r="K107" s="616">
        <v>0.0</v>
      </c>
      <c r="L107" s="90"/>
      <c r="M107" s="90"/>
      <c r="N107" s="90"/>
      <c r="O107" s="90"/>
      <c r="P107" s="90"/>
      <c r="Q107" s="90"/>
      <c r="R107" s="90"/>
      <c r="S107" s="90"/>
      <c r="T107" s="90"/>
      <c r="U107" s="90"/>
      <c r="V107" s="90"/>
      <c r="W107" s="90"/>
      <c r="X107" s="90"/>
      <c r="Y107" s="90"/>
      <c r="Z107" s="90"/>
    </row>
    <row r="108" ht="12.75" customHeight="1">
      <c r="A108" s="618" t="s">
        <v>1592</v>
      </c>
      <c r="B108" s="616">
        <v>142542.03</v>
      </c>
      <c r="C108" s="616">
        <v>8936.36</v>
      </c>
      <c r="D108" s="616">
        <v>0.0</v>
      </c>
      <c r="E108" s="616">
        <f t="shared" si="1"/>
        <v>151478.39</v>
      </c>
      <c r="F108" s="617">
        <v>157489.5</v>
      </c>
      <c r="G108" s="616">
        <f t="shared" si="2"/>
        <v>308967.89</v>
      </c>
      <c r="H108" s="616">
        <v>0.0</v>
      </c>
      <c r="I108" s="616">
        <v>0.0</v>
      </c>
      <c r="J108" s="616">
        <f t="shared" si="3"/>
        <v>0</v>
      </c>
      <c r="K108" s="616">
        <v>308967.89</v>
      </c>
      <c r="L108" s="90"/>
      <c r="M108" s="90"/>
      <c r="N108" s="90"/>
      <c r="O108" s="90"/>
      <c r="P108" s="90"/>
      <c r="Q108" s="90"/>
      <c r="R108" s="90"/>
      <c r="S108" s="90"/>
      <c r="T108" s="90"/>
      <c r="U108" s="90"/>
      <c r="V108" s="90"/>
      <c r="W108" s="90"/>
      <c r="X108" s="90"/>
      <c r="Y108" s="90"/>
      <c r="Z108" s="90"/>
    </row>
    <row r="109" ht="12.75" hidden="1" customHeight="1" outlineLevel="1">
      <c r="A109" s="618" t="s">
        <v>1593</v>
      </c>
      <c r="B109" s="613">
        <v>0.0</v>
      </c>
      <c r="C109" s="613">
        <v>0.0</v>
      </c>
      <c r="D109" s="613">
        <v>0.0</v>
      </c>
      <c r="E109" s="613">
        <f t="shared" si="1"/>
        <v>0</v>
      </c>
      <c r="F109" s="614">
        <v>0.0</v>
      </c>
      <c r="G109" s="613">
        <f t="shared" si="2"/>
        <v>0</v>
      </c>
      <c r="H109" s="615"/>
      <c r="I109" s="613"/>
      <c r="J109" s="613" t="str">
        <f t="shared" si="3"/>
        <v/>
      </c>
      <c r="K109" s="613">
        <v>0.0</v>
      </c>
      <c r="L109" s="90"/>
      <c r="M109" s="90"/>
      <c r="N109" s="90"/>
      <c r="O109" s="90"/>
      <c r="P109" s="90"/>
      <c r="Q109" s="90"/>
      <c r="R109" s="90"/>
      <c r="S109" s="90"/>
      <c r="T109" s="90"/>
      <c r="U109" s="90"/>
      <c r="V109" s="90"/>
      <c r="W109" s="90"/>
      <c r="X109" s="90"/>
      <c r="Y109" s="90"/>
      <c r="Z109" s="90"/>
    </row>
    <row r="110" ht="12.75" hidden="1" customHeight="1" outlineLevel="1">
      <c r="A110" s="612" t="s">
        <v>1594</v>
      </c>
      <c r="B110" s="613">
        <v>0.0</v>
      </c>
      <c r="C110" s="613">
        <v>0.0</v>
      </c>
      <c r="D110" s="613">
        <v>0.0</v>
      </c>
      <c r="E110" s="613">
        <f t="shared" si="1"/>
        <v>0</v>
      </c>
      <c r="F110" s="614">
        <v>0.0</v>
      </c>
      <c r="G110" s="613">
        <f t="shared" si="2"/>
        <v>0</v>
      </c>
      <c r="H110" s="615"/>
      <c r="I110" s="613"/>
      <c r="J110" s="613" t="str">
        <f t="shared" si="3"/>
        <v/>
      </c>
      <c r="K110" s="613">
        <v>0.0</v>
      </c>
      <c r="L110" s="90"/>
      <c r="M110" s="90"/>
      <c r="N110" s="90"/>
      <c r="O110" s="90"/>
      <c r="P110" s="90"/>
      <c r="Q110" s="90"/>
      <c r="R110" s="90"/>
      <c r="S110" s="90"/>
      <c r="T110" s="90"/>
      <c r="U110" s="90"/>
      <c r="V110" s="90"/>
      <c r="W110" s="90"/>
      <c r="X110" s="90"/>
      <c r="Y110" s="90"/>
      <c r="Z110" s="90"/>
    </row>
    <row r="111" ht="12.75" hidden="1" customHeight="1" outlineLevel="1">
      <c r="A111" s="612" t="s">
        <v>1595</v>
      </c>
      <c r="B111" s="613">
        <v>62208.8</v>
      </c>
      <c r="C111" s="613">
        <v>4276.08</v>
      </c>
      <c r="D111" s="613">
        <v>0.0</v>
      </c>
      <c r="E111" s="613">
        <f t="shared" si="1"/>
        <v>66484.88</v>
      </c>
      <c r="F111" s="614">
        <v>0.0</v>
      </c>
      <c r="G111" s="613">
        <f t="shared" si="2"/>
        <v>66484.88</v>
      </c>
      <c r="H111" s="615"/>
      <c r="I111" s="613"/>
      <c r="J111" s="613" t="str">
        <f t="shared" si="3"/>
        <v/>
      </c>
      <c r="K111" s="613">
        <v>66484.88</v>
      </c>
      <c r="L111" s="90"/>
      <c r="M111" s="90"/>
      <c r="N111" s="90"/>
      <c r="O111" s="90"/>
      <c r="P111" s="90"/>
      <c r="Q111" s="90"/>
      <c r="R111" s="90"/>
      <c r="S111" s="90"/>
      <c r="T111" s="90"/>
      <c r="U111" s="90"/>
      <c r="V111" s="90"/>
      <c r="W111" s="90"/>
      <c r="X111" s="90"/>
      <c r="Y111" s="90"/>
      <c r="Z111" s="90"/>
    </row>
    <row r="112" ht="12.75" hidden="1" customHeight="1" outlineLevel="1">
      <c r="A112" s="612" t="s">
        <v>1596</v>
      </c>
      <c r="B112" s="616">
        <v>62208.8</v>
      </c>
      <c r="C112" s="616">
        <v>4276.08</v>
      </c>
      <c r="D112" s="616">
        <v>0.0</v>
      </c>
      <c r="E112" s="616">
        <f t="shared" si="1"/>
        <v>66484.88</v>
      </c>
      <c r="F112" s="617">
        <v>0.0</v>
      </c>
      <c r="G112" s="616">
        <f t="shared" si="2"/>
        <v>66484.88</v>
      </c>
      <c r="H112" s="616">
        <v>0.0</v>
      </c>
      <c r="I112" s="616">
        <v>0.0</v>
      </c>
      <c r="J112" s="616">
        <f t="shared" si="3"/>
        <v>0</v>
      </c>
      <c r="K112" s="616">
        <v>66484.88</v>
      </c>
      <c r="L112" s="90"/>
      <c r="M112" s="90"/>
      <c r="N112" s="90"/>
      <c r="O112" s="90"/>
      <c r="P112" s="90"/>
      <c r="Q112" s="90"/>
      <c r="R112" s="90"/>
      <c r="S112" s="90"/>
      <c r="T112" s="90"/>
      <c r="U112" s="90"/>
      <c r="V112" s="90"/>
      <c r="W112" s="90"/>
      <c r="X112" s="90"/>
      <c r="Y112" s="90"/>
      <c r="Z112" s="90"/>
    </row>
    <row r="113" ht="12.75" hidden="1" customHeight="1" outlineLevel="1">
      <c r="A113" s="618" t="s">
        <v>1597</v>
      </c>
      <c r="B113" s="613">
        <v>0.0</v>
      </c>
      <c r="C113" s="613">
        <v>0.0</v>
      </c>
      <c r="D113" s="613">
        <v>0.0</v>
      </c>
      <c r="E113" s="613">
        <f t="shared" si="1"/>
        <v>0</v>
      </c>
      <c r="F113" s="614">
        <v>0.0</v>
      </c>
      <c r="G113" s="613">
        <f t="shared" si="2"/>
        <v>0</v>
      </c>
      <c r="H113" s="615"/>
      <c r="I113" s="613"/>
      <c r="J113" s="613" t="str">
        <f t="shared" si="3"/>
        <v/>
      </c>
      <c r="K113" s="613">
        <v>0.0</v>
      </c>
      <c r="L113" s="90"/>
      <c r="M113" s="90"/>
      <c r="N113" s="90"/>
      <c r="O113" s="90"/>
      <c r="P113" s="90"/>
      <c r="Q113" s="90"/>
      <c r="R113" s="90"/>
      <c r="S113" s="90"/>
      <c r="T113" s="90"/>
      <c r="U113" s="90"/>
      <c r="V113" s="90"/>
      <c r="W113" s="90"/>
      <c r="X113" s="90"/>
      <c r="Y113" s="90"/>
      <c r="Z113" s="90"/>
    </row>
    <row r="114" ht="12.75" hidden="1" customHeight="1" outlineLevel="1">
      <c r="A114" s="612" t="s">
        <v>1598</v>
      </c>
      <c r="B114" s="613">
        <v>15070.08</v>
      </c>
      <c r="C114" s="613">
        <v>1240.99</v>
      </c>
      <c r="D114" s="613">
        <v>0.0</v>
      </c>
      <c r="E114" s="613">
        <f t="shared" si="1"/>
        <v>16311.07</v>
      </c>
      <c r="F114" s="614">
        <v>1000.0</v>
      </c>
      <c r="G114" s="613">
        <f t="shared" si="2"/>
        <v>17311.07</v>
      </c>
      <c r="H114" s="615"/>
      <c r="I114" s="613"/>
      <c r="J114" s="613" t="str">
        <f t="shared" si="3"/>
        <v/>
      </c>
      <c r="K114" s="613">
        <v>17311.07</v>
      </c>
      <c r="L114" s="90"/>
      <c r="M114" s="90"/>
      <c r="N114" s="90"/>
      <c r="O114" s="90"/>
      <c r="P114" s="90"/>
      <c r="Q114" s="90"/>
      <c r="R114" s="90"/>
      <c r="S114" s="90"/>
      <c r="T114" s="90"/>
      <c r="U114" s="90"/>
      <c r="V114" s="90"/>
      <c r="W114" s="90"/>
      <c r="X114" s="90"/>
      <c r="Y114" s="90"/>
      <c r="Z114" s="90"/>
    </row>
    <row r="115" ht="12.75" hidden="1" customHeight="1" outlineLevel="1">
      <c r="A115" s="612" t="s">
        <v>1599</v>
      </c>
      <c r="B115" s="613">
        <v>8178.6</v>
      </c>
      <c r="C115" s="613">
        <v>272.64</v>
      </c>
      <c r="D115" s="613">
        <v>0.0</v>
      </c>
      <c r="E115" s="613">
        <f t="shared" si="1"/>
        <v>8451.24</v>
      </c>
      <c r="F115" s="614">
        <v>10716.75</v>
      </c>
      <c r="G115" s="613">
        <f t="shared" si="2"/>
        <v>19167.99</v>
      </c>
      <c r="H115" s="615"/>
      <c r="I115" s="613"/>
      <c r="J115" s="613" t="str">
        <f t="shared" si="3"/>
        <v/>
      </c>
      <c r="K115" s="613">
        <v>19167.99</v>
      </c>
      <c r="L115" s="90"/>
      <c r="M115" s="90"/>
      <c r="N115" s="90"/>
      <c r="O115" s="90"/>
      <c r="P115" s="90"/>
      <c r="Q115" s="90"/>
      <c r="R115" s="90"/>
      <c r="S115" s="90"/>
      <c r="T115" s="90"/>
      <c r="U115" s="90"/>
      <c r="V115" s="90"/>
      <c r="W115" s="90"/>
      <c r="X115" s="90"/>
      <c r="Y115" s="90"/>
      <c r="Z115" s="90"/>
    </row>
    <row r="116" ht="12.75" hidden="1" customHeight="1" outlineLevel="1">
      <c r="A116" s="612" t="s">
        <v>1600</v>
      </c>
      <c r="B116" s="616">
        <v>23248.68</v>
      </c>
      <c r="C116" s="616">
        <v>1513.63</v>
      </c>
      <c r="D116" s="616">
        <v>0.0</v>
      </c>
      <c r="E116" s="616">
        <f t="shared" si="1"/>
        <v>24762.31</v>
      </c>
      <c r="F116" s="617">
        <v>11716.75</v>
      </c>
      <c r="G116" s="616">
        <f t="shared" si="2"/>
        <v>36479.06</v>
      </c>
      <c r="H116" s="616">
        <v>0.0</v>
      </c>
      <c r="I116" s="616">
        <v>0.0</v>
      </c>
      <c r="J116" s="616">
        <f t="shared" si="3"/>
        <v>0</v>
      </c>
      <c r="K116" s="616">
        <v>36479.06</v>
      </c>
      <c r="L116" s="90"/>
      <c r="M116" s="90"/>
      <c r="N116" s="90"/>
      <c r="O116" s="90"/>
      <c r="P116" s="90"/>
      <c r="Q116" s="90"/>
      <c r="R116" s="90"/>
      <c r="S116" s="90"/>
      <c r="T116" s="90"/>
      <c r="U116" s="90"/>
      <c r="V116" s="90"/>
      <c r="W116" s="90"/>
      <c r="X116" s="90"/>
      <c r="Y116" s="90"/>
      <c r="Z116" s="90"/>
    </row>
    <row r="117" ht="12.75" hidden="1" customHeight="1" outlineLevel="1">
      <c r="A117" s="618" t="s">
        <v>1601</v>
      </c>
      <c r="B117" s="613">
        <v>0.0</v>
      </c>
      <c r="C117" s="613">
        <v>0.0</v>
      </c>
      <c r="D117" s="613">
        <v>0.0</v>
      </c>
      <c r="E117" s="613">
        <f t="shared" si="1"/>
        <v>0</v>
      </c>
      <c r="F117" s="614">
        <v>0.0</v>
      </c>
      <c r="G117" s="613">
        <f t="shared" si="2"/>
        <v>0</v>
      </c>
      <c r="H117" s="615"/>
      <c r="I117" s="613"/>
      <c r="J117" s="613" t="str">
        <f t="shared" si="3"/>
        <v/>
      </c>
      <c r="K117" s="613">
        <v>0.0</v>
      </c>
      <c r="L117" s="90"/>
      <c r="M117" s="90"/>
      <c r="N117" s="90"/>
      <c r="O117" s="90"/>
      <c r="P117" s="90"/>
      <c r="Q117" s="90"/>
      <c r="R117" s="90"/>
      <c r="S117" s="90"/>
      <c r="T117" s="90"/>
      <c r="U117" s="90"/>
      <c r="V117" s="90"/>
      <c r="W117" s="90"/>
      <c r="X117" s="90"/>
      <c r="Y117" s="90"/>
      <c r="Z117" s="90"/>
    </row>
    <row r="118" ht="12.75" hidden="1" customHeight="1" outlineLevel="1">
      <c r="A118" s="612" t="s">
        <v>1602</v>
      </c>
      <c r="B118" s="613">
        <v>73385.55</v>
      </c>
      <c r="C118" s="613">
        <v>6990.61</v>
      </c>
      <c r="D118" s="613">
        <v>0.0</v>
      </c>
      <c r="E118" s="613">
        <f t="shared" si="1"/>
        <v>80376.16</v>
      </c>
      <c r="F118" s="614">
        <v>10692.9</v>
      </c>
      <c r="G118" s="613">
        <f t="shared" si="2"/>
        <v>91069.06</v>
      </c>
      <c r="H118" s="615"/>
      <c r="I118" s="613"/>
      <c r="J118" s="613" t="str">
        <f t="shared" si="3"/>
        <v/>
      </c>
      <c r="K118" s="613">
        <v>91069.06</v>
      </c>
      <c r="L118" s="90"/>
      <c r="M118" s="90"/>
      <c r="N118" s="90"/>
      <c r="O118" s="90"/>
      <c r="P118" s="90"/>
      <c r="Q118" s="90"/>
      <c r="R118" s="90"/>
      <c r="S118" s="90"/>
      <c r="T118" s="90"/>
      <c r="U118" s="90"/>
      <c r="V118" s="90"/>
      <c r="W118" s="90"/>
      <c r="X118" s="90"/>
      <c r="Y118" s="90"/>
      <c r="Z118" s="90"/>
    </row>
    <row r="119" ht="12.75" hidden="1" customHeight="1" outlineLevel="1">
      <c r="A119" s="612" t="s">
        <v>1603</v>
      </c>
      <c r="B119" s="613">
        <v>14439.4</v>
      </c>
      <c r="C119" s="613">
        <v>0.0</v>
      </c>
      <c r="D119" s="613">
        <v>0.0</v>
      </c>
      <c r="E119" s="613">
        <f t="shared" si="1"/>
        <v>14439.4</v>
      </c>
      <c r="F119" s="614">
        <v>2297.8</v>
      </c>
      <c r="G119" s="613">
        <f t="shared" si="2"/>
        <v>16737.2</v>
      </c>
      <c r="H119" s="615"/>
      <c r="I119" s="613"/>
      <c r="J119" s="613" t="str">
        <f t="shared" si="3"/>
        <v/>
      </c>
      <c r="K119" s="613">
        <v>16737.2</v>
      </c>
      <c r="L119" s="90"/>
      <c r="M119" s="90"/>
      <c r="N119" s="90"/>
      <c r="O119" s="90"/>
      <c r="P119" s="90"/>
      <c r="Q119" s="90"/>
      <c r="R119" s="90"/>
      <c r="S119" s="90"/>
      <c r="T119" s="90"/>
      <c r="U119" s="90"/>
      <c r="V119" s="90"/>
      <c r="W119" s="90"/>
      <c r="X119" s="90"/>
      <c r="Y119" s="90"/>
      <c r="Z119" s="90"/>
    </row>
    <row r="120" ht="12.75" hidden="1" customHeight="1" outlineLevel="1">
      <c r="A120" s="612" t="s">
        <v>1604</v>
      </c>
      <c r="B120" s="616">
        <v>87824.95</v>
      </c>
      <c r="C120" s="616">
        <v>6990.61</v>
      </c>
      <c r="D120" s="616">
        <v>0.0</v>
      </c>
      <c r="E120" s="616">
        <f t="shared" si="1"/>
        <v>94815.56</v>
      </c>
      <c r="F120" s="617">
        <v>12990.7</v>
      </c>
      <c r="G120" s="616">
        <f t="shared" si="2"/>
        <v>107806.26</v>
      </c>
      <c r="H120" s="616">
        <v>0.0</v>
      </c>
      <c r="I120" s="616">
        <v>0.0</v>
      </c>
      <c r="J120" s="616">
        <f t="shared" si="3"/>
        <v>0</v>
      </c>
      <c r="K120" s="616">
        <v>107806.26</v>
      </c>
      <c r="L120" s="90"/>
      <c r="M120" s="90"/>
      <c r="N120" s="90"/>
      <c r="O120" s="90"/>
      <c r="P120" s="90"/>
      <c r="Q120" s="90"/>
      <c r="R120" s="90"/>
      <c r="S120" s="90"/>
      <c r="T120" s="90"/>
      <c r="U120" s="90"/>
      <c r="V120" s="90"/>
      <c r="W120" s="90"/>
      <c r="X120" s="90"/>
      <c r="Y120" s="90"/>
      <c r="Z120" s="90"/>
    </row>
    <row r="121" ht="12.75" hidden="1" customHeight="1" outlineLevel="1">
      <c r="A121" s="618" t="s">
        <v>1605</v>
      </c>
      <c r="B121" s="613">
        <v>0.0</v>
      </c>
      <c r="C121" s="613">
        <v>0.0</v>
      </c>
      <c r="D121" s="613">
        <v>0.0</v>
      </c>
      <c r="E121" s="613">
        <f t="shared" si="1"/>
        <v>0</v>
      </c>
      <c r="F121" s="614">
        <v>0.0</v>
      </c>
      <c r="G121" s="613">
        <f t="shared" si="2"/>
        <v>0</v>
      </c>
      <c r="H121" s="615"/>
      <c r="I121" s="613"/>
      <c r="J121" s="613" t="str">
        <f t="shared" si="3"/>
        <v/>
      </c>
      <c r="K121" s="613">
        <v>0.0</v>
      </c>
      <c r="L121" s="90"/>
      <c r="M121" s="90"/>
      <c r="N121" s="90"/>
      <c r="O121" s="90"/>
      <c r="P121" s="90"/>
      <c r="Q121" s="90"/>
      <c r="R121" s="90"/>
      <c r="S121" s="90"/>
      <c r="T121" s="90"/>
      <c r="U121" s="90"/>
      <c r="V121" s="90"/>
      <c r="W121" s="90"/>
      <c r="X121" s="90"/>
      <c r="Y121" s="90"/>
      <c r="Z121" s="90"/>
    </row>
    <row r="122" ht="12.75" hidden="1" customHeight="1" outlineLevel="1">
      <c r="A122" s="612" t="s">
        <v>1606</v>
      </c>
      <c r="B122" s="613">
        <v>4321.8</v>
      </c>
      <c r="C122" s="613">
        <v>207.1</v>
      </c>
      <c r="D122" s="613">
        <v>0.0</v>
      </c>
      <c r="E122" s="613">
        <f t="shared" si="1"/>
        <v>4528.9</v>
      </c>
      <c r="F122" s="614">
        <v>406.76</v>
      </c>
      <c r="G122" s="613">
        <f t="shared" si="2"/>
        <v>4935.66</v>
      </c>
      <c r="H122" s="615"/>
      <c r="I122" s="613"/>
      <c r="J122" s="613" t="str">
        <f t="shared" si="3"/>
        <v/>
      </c>
      <c r="K122" s="613">
        <v>4935.66</v>
      </c>
      <c r="L122" s="90"/>
      <c r="M122" s="90"/>
      <c r="N122" s="90"/>
      <c r="O122" s="90"/>
      <c r="P122" s="90"/>
      <c r="Q122" s="90"/>
      <c r="R122" s="90"/>
      <c r="S122" s="90"/>
      <c r="T122" s="90"/>
      <c r="U122" s="90"/>
      <c r="V122" s="90"/>
      <c r="W122" s="90"/>
      <c r="X122" s="90"/>
      <c r="Y122" s="90"/>
      <c r="Z122" s="90"/>
    </row>
    <row r="123" ht="12.75" hidden="1" customHeight="1" outlineLevel="1">
      <c r="A123" s="612" t="s">
        <v>1607</v>
      </c>
      <c r="B123" s="613">
        <v>0.78</v>
      </c>
      <c r="C123" s="613">
        <v>2.62</v>
      </c>
      <c r="D123" s="613">
        <v>0.0</v>
      </c>
      <c r="E123" s="613">
        <f t="shared" si="1"/>
        <v>3.4</v>
      </c>
      <c r="F123" s="614">
        <v>13.5</v>
      </c>
      <c r="G123" s="613">
        <f t="shared" si="2"/>
        <v>16.9</v>
      </c>
      <c r="H123" s="615"/>
      <c r="I123" s="613"/>
      <c r="J123" s="613" t="str">
        <f t="shared" si="3"/>
        <v/>
      </c>
      <c r="K123" s="613">
        <v>16.9</v>
      </c>
      <c r="L123" s="90"/>
      <c r="M123" s="90"/>
      <c r="N123" s="90"/>
      <c r="O123" s="90"/>
      <c r="P123" s="90"/>
      <c r="Q123" s="90"/>
      <c r="R123" s="90"/>
      <c r="S123" s="90"/>
      <c r="T123" s="90"/>
      <c r="U123" s="90"/>
      <c r="V123" s="90"/>
      <c r="W123" s="90"/>
      <c r="X123" s="90"/>
      <c r="Y123" s="90"/>
      <c r="Z123" s="90"/>
    </row>
    <row r="124" ht="12.75" hidden="1" customHeight="1" outlineLevel="1">
      <c r="A124" s="612" t="s">
        <v>1608</v>
      </c>
      <c r="B124" s="616">
        <v>4322.58</v>
      </c>
      <c r="C124" s="616">
        <v>209.72</v>
      </c>
      <c r="D124" s="616">
        <v>0.0</v>
      </c>
      <c r="E124" s="616">
        <f t="shared" si="1"/>
        <v>4532.3</v>
      </c>
      <c r="F124" s="617">
        <v>420.26</v>
      </c>
      <c r="G124" s="616">
        <f t="shared" si="2"/>
        <v>4952.56</v>
      </c>
      <c r="H124" s="616">
        <v>0.0</v>
      </c>
      <c r="I124" s="616">
        <v>0.0</v>
      </c>
      <c r="J124" s="616">
        <f t="shared" si="3"/>
        <v>0</v>
      </c>
      <c r="K124" s="616">
        <v>4952.56</v>
      </c>
      <c r="L124" s="90"/>
      <c r="M124" s="90"/>
      <c r="N124" s="90"/>
      <c r="O124" s="90"/>
      <c r="P124" s="90"/>
      <c r="Q124" s="90"/>
      <c r="R124" s="90"/>
      <c r="S124" s="90"/>
      <c r="T124" s="90"/>
      <c r="U124" s="90"/>
      <c r="V124" s="90"/>
      <c r="W124" s="90"/>
      <c r="X124" s="90"/>
      <c r="Y124" s="90"/>
      <c r="Z124" s="90"/>
    </row>
    <row r="125" ht="12.75" hidden="1" customHeight="1" outlineLevel="1">
      <c r="A125" s="618" t="s">
        <v>1609</v>
      </c>
      <c r="B125" s="613">
        <v>0.0</v>
      </c>
      <c r="C125" s="613">
        <v>0.0</v>
      </c>
      <c r="D125" s="613">
        <v>0.0</v>
      </c>
      <c r="E125" s="613">
        <f t="shared" si="1"/>
        <v>0</v>
      </c>
      <c r="F125" s="614">
        <v>0.0</v>
      </c>
      <c r="G125" s="613">
        <f t="shared" si="2"/>
        <v>0</v>
      </c>
      <c r="H125" s="615"/>
      <c r="I125" s="613"/>
      <c r="J125" s="613" t="str">
        <f t="shared" si="3"/>
        <v/>
      </c>
      <c r="K125" s="613">
        <v>0.0</v>
      </c>
      <c r="L125" s="90"/>
      <c r="M125" s="90"/>
      <c r="N125" s="90"/>
      <c r="O125" s="90"/>
      <c r="P125" s="90"/>
      <c r="Q125" s="90"/>
      <c r="R125" s="90"/>
      <c r="S125" s="90"/>
      <c r="T125" s="90"/>
      <c r="U125" s="90"/>
      <c r="V125" s="90"/>
      <c r="W125" s="90"/>
      <c r="X125" s="90"/>
      <c r="Y125" s="90"/>
      <c r="Z125" s="90"/>
    </row>
    <row r="126" ht="12.75" hidden="1" customHeight="1" outlineLevel="1">
      <c r="A126" s="612" t="s">
        <v>1610</v>
      </c>
      <c r="B126" s="613">
        <v>15574.38</v>
      </c>
      <c r="C126" s="613">
        <v>1242.57</v>
      </c>
      <c r="D126" s="613">
        <v>0.0</v>
      </c>
      <c r="E126" s="613">
        <f t="shared" si="1"/>
        <v>16816.95</v>
      </c>
      <c r="F126" s="614">
        <v>2440.59</v>
      </c>
      <c r="G126" s="613">
        <f t="shared" si="2"/>
        <v>19257.54</v>
      </c>
      <c r="H126" s="615"/>
      <c r="I126" s="613"/>
      <c r="J126" s="613" t="str">
        <f t="shared" si="3"/>
        <v/>
      </c>
      <c r="K126" s="613">
        <v>19257.54</v>
      </c>
      <c r="L126" s="90"/>
      <c r="M126" s="90"/>
      <c r="N126" s="90"/>
      <c r="O126" s="90"/>
      <c r="P126" s="90"/>
      <c r="Q126" s="90"/>
      <c r="R126" s="90"/>
      <c r="S126" s="90"/>
      <c r="T126" s="90"/>
      <c r="U126" s="90"/>
      <c r="V126" s="90"/>
      <c r="W126" s="90"/>
      <c r="X126" s="90"/>
      <c r="Y126" s="90"/>
      <c r="Z126" s="90"/>
    </row>
    <row r="127" ht="12.75" hidden="1" customHeight="1" outlineLevel="1">
      <c r="A127" s="612" t="s">
        <v>1611</v>
      </c>
      <c r="B127" s="613">
        <v>35.88</v>
      </c>
      <c r="C127" s="613">
        <v>15.74</v>
      </c>
      <c r="D127" s="613">
        <v>0.0</v>
      </c>
      <c r="E127" s="613">
        <f t="shared" si="1"/>
        <v>51.62</v>
      </c>
      <c r="F127" s="614">
        <v>81.0</v>
      </c>
      <c r="G127" s="613">
        <f t="shared" si="2"/>
        <v>132.62</v>
      </c>
      <c r="H127" s="615"/>
      <c r="I127" s="613"/>
      <c r="J127" s="613" t="str">
        <f t="shared" si="3"/>
        <v/>
      </c>
      <c r="K127" s="613">
        <v>132.62</v>
      </c>
      <c r="L127" s="90"/>
      <c r="M127" s="90"/>
      <c r="N127" s="90"/>
      <c r="O127" s="90"/>
      <c r="P127" s="90"/>
      <c r="Q127" s="90"/>
      <c r="R127" s="90"/>
      <c r="S127" s="90"/>
      <c r="T127" s="90"/>
      <c r="U127" s="90"/>
      <c r="V127" s="90"/>
      <c r="W127" s="90"/>
      <c r="X127" s="90"/>
      <c r="Y127" s="90"/>
      <c r="Z127" s="90"/>
    </row>
    <row r="128" ht="12.75" hidden="1" customHeight="1" outlineLevel="1">
      <c r="A128" s="612" t="s">
        <v>1612</v>
      </c>
      <c r="B128" s="616">
        <v>15610.26</v>
      </c>
      <c r="C128" s="616">
        <v>1258.31</v>
      </c>
      <c r="D128" s="616">
        <v>0.0</v>
      </c>
      <c r="E128" s="616">
        <f t="shared" si="1"/>
        <v>16868.57</v>
      </c>
      <c r="F128" s="617">
        <v>2521.59</v>
      </c>
      <c r="G128" s="616">
        <f t="shared" si="2"/>
        <v>19390.16</v>
      </c>
      <c r="H128" s="616">
        <v>0.0</v>
      </c>
      <c r="I128" s="616">
        <v>0.0</v>
      </c>
      <c r="J128" s="616">
        <f t="shared" si="3"/>
        <v>0</v>
      </c>
      <c r="K128" s="616">
        <v>19390.16</v>
      </c>
      <c r="L128" s="90"/>
      <c r="M128" s="90"/>
      <c r="N128" s="90"/>
      <c r="O128" s="90"/>
      <c r="P128" s="90"/>
      <c r="Q128" s="90"/>
      <c r="R128" s="90"/>
      <c r="S128" s="90"/>
      <c r="T128" s="90"/>
      <c r="U128" s="90"/>
      <c r="V128" s="90"/>
      <c r="W128" s="90"/>
      <c r="X128" s="90"/>
      <c r="Y128" s="90"/>
      <c r="Z128" s="90"/>
    </row>
    <row r="129" ht="12.75" hidden="1" customHeight="1" outlineLevel="1">
      <c r="A129" s="618" t="s">
        <v>1613</v>
      </c>
      <c r="B129" s="613">
        <v>0.0</v>
      </c>
      <c r="C129" s="613">
        <v>0.0</v>
      </c>
      <c r="D129" s="613">
        <v>0.0</v>
      </c>
      <c r="E129" s="613">
        <f t="shared" si="1"/>
        <v>0</v>
      </c>
      <c r="F129" s="614">
        <v>0.0</v>
      </c>
      <c r="G129" s="613">
        <f t="shared" si="2"/>
        <v>0</v>
      </c>
      <c r="H129" s="615"/>
      <c r="I129" s="613"/>
      <c r="J129" s="613" t="str">
        <f t="shared" si="3"/>
        <v/>
      </c>
      <c r="K129" s="613">
        <v>0.0</v>
      </c>
      <c r="L129" s="90"/>
      <c r="M129" s="90"/>
      <c r="N129" s="90"/>
      <c r="O129" s="90"/>
      <c r="P129" s="90"/>
      <c r="Q129" s="90"/>
      <c r="R129" s="90"/>
      <c r="S129" s="90"/>
      <c r="T129" s="90"/>
      <c r="U129" s="90"/>
      <c r="V129" s="90"/>
      <c r="W129" s="90"/>
      <c r="X129" s="90"/>
      <c r="Y129" s="90"/>
      <c r="Z129" s="90"/>
    </row>
    <row r="130" ht="12.75" hidden="1" customHeight="1" outlineLevel="1">
      <c r="A130" s="612" t="s">
        <v>1614</v>
      </c>
      <c r="B130" s="613">
        <v>11153.18</v>
      </c>
      <c r="C130" s="613">
        <v>768.97</v>
      </c>
      <c r="D130" s="613">
        <v>0.0</v>
      </c>
      <c r="E130" s="613">
        <f t="shared" si="1"/>
        <v>11922.15</v>
      </c>
      <c r="F130" s="614">
        <v>1540.97</v>
      </c>
      <c r="G130" s="613">
        <f t="shared" si="2"/>
        <v>13463.12</v>
      </c>
      <c r="H130" s="615"/>
      <c r="I130" s="613"/>
      <c r="J130" s="613" t="str">
        <f t="shared" si="3"/>
        <v/>
      </c>
      <c r="K130" s="613">
        <v>13463.12</v>
      </c>
      <c r="L130" s="90"/>
      <c r="M130" s="90"/>
      <c r="N130" s="90"/>
      <c r="O130" s="90"/>
      <c r="P130" s="90"/>
      <c r="Q130" s="90"/>
      <c r="R130" s="90"/>
      <c r="S130" s="90"/>
      <c r="T130" s="90"/>
      <c r="U130" s="90"/>
      <c r="V130" s="90"/>
      <c r="W130" s="90"/>
      <c r="X130" s="90"/>
      <c r="Y130" s="90"/>
      <c r="Z130" s="90"/>
    </row>
    <row r="131" ht="12.75" hidden="1" customHeight="1" outlineLevel="1">
      <c r="A131" s="612" t="s">
        <v>1615</v>
      </c>
      <c r="B131" s="616">
        <v>11153.18</v>
      </c>
      <c r="C131" s="616">
        <v>768.97</v>
      </c>
      <c r="D131" s="616">
        <v>0.0</v>
      </c>
      <c r="E131" s="616">
        <f t="shared" si="1"/>
        <v>11922.15</v>
      </c>
      <c r="F131" s="617">
        <v>1540.97</v>
      </c>
      <c r="G131" s="616">
        <f t="shared" si="2"/>
        <v>13463.12</v>
      </c>
      <c r="H131" s="616">
        <v>0.0</v>
      </c>
      <c r="I131" s="616">
        <v>0.0</v>
      </c>
      <c r="J131" s="616">
        <f t="shared" si="3"/>
        <v>0</v>
      </c>
      <c r="K131" s="616">
        <v>13463.12</v>
      </c>
      <c r="L131" s="90"/>
      <c r="M131" s="90"/>
      <c r="N131" s="90"/>
      <c r="O131" s="90"/>
      <c r="P131" s="90"/>
      <c r="Q131" s="90"/>
      <c r="R131" s="90"/>
      <c r="S131" s="90"/>
      <c r="T131" s="90"/>
      <c r="U131" s="90"/>
      <c r="V131" s="90"/>
      <c r="W131" s="90"/>
      <c r="X131" s="90"/>
      <c r="Y131" s="90"/>
      <c r="Z131" s="90"/>
    </row>
    <row r="132" ht="12.75" customHeight="1">
      <c r="A132" s="618" t="s">
        <v>1616</v>
      </c>
      <c r="B132" s="616">
        <v>204368.45</v>
      </c>
      <c r="C132" s="616">
        <v>15017.32</v>
      </c>
      <c r="D132" s="616">
        <v>0.0</v>
      </c>
      <c r="E132" s="616">
        <f t="shared" si="1"/>
        <v>219385.77</v>
      </c>
      <c r="F132" s="617">
        <v>29190.27</v>
      </c>
      <c r="G132" s="616">
        <f t="shared" si="2"/>
        <v>248576.04</v>
      </c>
      <c r="H132" s="616">
        <v>0.0</v>
      </c>
      <c r="I132" s="616">
        <v>0.0</v>
      </c>
      <c r="J132" s="616">
        <f t="shared" si="3"/>
        <v>0</v>
      </c>
      <c r="K132" s="616">
        <v>248576.04</v>
      </c>
      <c r="L132" s="90"/>
      <c r="M132" s="90"/>
      <c r="N132" s="90"/>
      <c r="O132" s="90"/>
      <c r="P132" s="90"/>
      <c r="Q132" s="90"/>
      <c r="R132" s="90"/>
      <c r="S132" s="90"/>
      <c r="T132" s="90"/>
      <c r="U132" s="90"/>
      <c r="V132" s="90"/>
      <c r="W132" s="90"/>
      <c r="X132" s="90"/>
      <c r="Y132" s="90"/>
      <c r="Z132" s="90"/>
    </row>
    <row r="133" ht="12.75" hidden="1" customHeight="1" outlineLevel="1">
      <c r="A133" s="618" t="s">
        <v>1617</v>
      </c>
      <c r="B133" s="613">
        <v>0.0</v>
      </c>
      <c r="C133" s="613">
        <v>0.0</v>
      </c>
      <c r="D133" s="613">
        <v>0.0</v>
      </c>
      <c r="E133" s="613">
        <f t="shared" si="1"/>
        <v>0</v>
      </c>
      <c r="F133" s="614">
        <v>0.0</v>
      </c>
      <c r="G133" s="613">
        <f t="shared" si="2"/>
        <v>0</v>
      </c>
      <c r="H133" s="615"/>
      <c r="I133" s="613"/>
      <c r="J133" s="613" t="str">
        <f t="shared" si="3"/>
        <v/>
      </c>
      <c r="K133" s="613">
        <v>0.0</v>
      </c>
      <c r="L133" s="90"/>
      <c r="M133" s="90"/>
      <c r="N133" s="90"/>
      <c r="O133" s="90"/>
      <c r="P133" s="90"/>
      <c r="Q133" s="90"/>
      <c r="R133" s="90"/>
      <c r="S133" s="90"/>
      <c r="T133" s="90"/>
      <c r="U133" s="90"/>
      <c r="V133" s="90"/>
      <c r="W133" s="90"/>
      <c r="X133" s="90"/>
      <c r="Y133" s="90"/>
      <c r="Z133" s="90"/>
    </row>
    <row r="134" ht="12.75" hidden="1" customHeight="1" outlineLevel="1">
      <c r="A134" s="612" t="s">
        <v>1618</v>
      </c>
      <c r="B134" s="613">
        <v>33297.77</v>
      </c>
      <c r="C134" s="613">
        <v>0.0</v>
      </c>
      <c r="D134" s="613">
        <v>0.0</v>
      </c>
      <c r="E134" s="613">
        <f t="shared" si="1"/>
        <v>33297.77</v>
      </c>
      <c r="F134" s="614">
        <v>0.0</v>
      </c>
      <c r="G134" s="613">
        <f t="shared" si="2"/>
        <v>33297.77</v>
      </c>
      <c r="H134" s="615"/>
      <c r="I134" s="613"/>
      <c r="J134" s="613" t="str">
        <f t="shared" si="3"/>
        <v/>
      </c>
      <c r="K134" s="613">
        <v>33297.77</v>
      </c>
      <c r="L134" s="90"/>
      <c r="M134" s="90"/>
      <c r="N134" s="90"/>
      <c r="O134" s="90"/>
      <c r="P134" s="90"/>
      <c r="Q134" s="90"/>
      <c r="R134" s="90"/>
      <c r="S134" s="90"/>
      <c r="T134" s="90"/>
      <c r="U134" s="90"/>
      <c r="V134" s="90"/>
      <c r="W134" s="90"/>
      <c r="X134" s="90"/>
      <c r="Y134" s="90"/>
      <c r="Z134" s="90"/>
    </row>
    <row r="135" ht="12.75" hidden="1" customHeight="1" outlineLevel="1">
      <c r="A135" s="612" t="s">
        <v>1619</v>
      </c>
      <c r="B135" s="613">
        <v>36138.7</v>
      </c>
      <c r="C135" s="613">
        <v>316.0</v>
      </c>
      <c r="D135" s="613">
        <v>0.0</v>
      </c>
      <c r="E135" s="613">
        <f t="shared" si="1"/>
        <v>36454.7</v>
      </c>
      <c r="F135" s="614">
        <v>0.0</v>
      </c>
      <c r="G135" s="613">
        <f t="shared" si="2"/>
        <v>36454.7</v>
      </c>
      <c r="H135" s="615"/>
      <c r="I135" s="613"/>
      <c r="J135" s="613" t="str">
        <f t="shared" si="3"/>
        <v/>
      </c>
      <c r="K135" s="613">
        <v>36454.7</v>
      </c>
      <c r="L135" s="90"/>
      <c r="M135" s="90"/>
      <c r="N135" s="90"/>
      <c r="O135" s="90"/>
      <c r="P135" s="90"/>
      <c r="Q135" s="90"/>
      <c r="R135" s="90"/>
      <c r="S135" s="90"/>
      <c r="T135" s="90"/>
      <c r="U135" s="90"/>
      <c r="V135" s="90"/>
      <c r="W135" s="90"/>
      <c r="X135" s="90"/>
      <c r="Y135" s="90"/>
      <c r="Z135" s="90"/>
    </row>
    <row r="136" ht="12.75" hidden="1" customHeight="1" outlineLevel="1">
      <c r="A136" s="612" t="s">
        <v>1620</v>
      </c>
      <c r="B136" s="616">
        <v>69436.47</v>
      </c>
      <c r="C136" s="616">
        <v>316.0</v>
      </c>
      <c r="D136" s="616">
        <v>0.0</v>
      </c>
      <c r="E136" s="616">
        <f t="shared" si="1"/>
        <v>69752.47</v>
      </c>
      <c r="F136" s="617">
        <v>0.0</v>
      </c>
      <c r="G136" s="616">
        <f t="shared" si="2"/>
        <v>69752.47</v>
      </c>
      <c r="H136" s="616">
        <v>0.0</v>
      </c>
      <c r="I136" s="616">
        <v>0.0</v>
      </c>
      <c r="J136" s="616">
        <f t="shared" si="3"/>
        <v>0</v>
      </c>
      <c r="K136" s="616">
        <v>69752.47</v>
      </c>
      <c r="L136" s="90"/>
      <c r="M136" s="90"/>
      <c r="N136" s="90"/>
      <c r="O136" s="90"/>
      <c r="P136" s="90"/>
      <c r="Q136" s="90"/>
      <c r="R136" s="90"/>
      <c r="S136" s="90"/>
      <c r="T136" s="90"/>
      <c r="U136" s="90"/>
      <c r="V136" s="90"/>
      <c r="W136" s="90"/>
      <c r="X136" s="90"/>
      <c r="Y136" s="90"/>
      <c r="Z136" s="90"/>
    </row>
    <row r="137" ht="12.75" hidden="1" customHeight="1" outlineLevel="1">
      <c r="A137" s="618" t="s">
        <v>1621</v>
      </c>
      <c r="B137" s="613">
        <v>0.0</v>
      </c>
      <c r="C137" s="613">
        <v>0.0</v>
      </c>
      <c r="D137" s="613">
        <v>0.0</v>
      </c>
      <c r="E137" s="613">
        <f t="shared" si="1"/>
        <v>0</v>
      </c>
      <c r="F137" s="614">
        <v>0.0</v>
      </c>
      <c r="G137" s="613">
        <f t="shared" si="2"/>
        <v>0</v>
      </c>
      <c r="H137" s="615"/>
      <c r="I137" s="613"/>
      <c r="J137" s="613" t="str">
        <f t="shared" si="3"/>
        <v/>
      </c>
      <c r="K137" s="613">
        <v>0.0</v>
      </c>
      <c r="L137" s="90"/>
      <c r="M137" s="90"/>
      <c r="N137" s="90"/>
      <c r="O137" s="90"/>
      <c r="P137" s="90"/>
      <c r="Q137" s="90"/>
      <c r="R137" s="90"/>
      <c r="S137" s="90"/>
      <c r="T137" s="90"/>
      <c r="U137" s="90"/>
      <c r="V137" s="90"/>
      <c r="W137" s="90"/>
      <c r="X137" s="90"/>
      <c r="Y137" s="90"/>
      <c r="Z137" s="90"/>
    </row>
    <row r="138" ht="12.75" hidden="1" customHeight="1" outlineLevel="1">
      <c r="A138" s="612" t="s">
        <v>1622</v>
      </c>
      <c r="B138" s="613">
        <v>0.0</v>
      </c>
      <c r="C138" s="613">
        <v>307.82</v>
      </c>
      <c r="D138" s="613">
        <v>0.0</v>
      </c>
      <c r="E138" s="613">
        <f t="shared" si="1"/>
        <v>307.82</v>
      </c>
      <c r="F138" s="614">
        <v>0.0</v>
      </c>
      <c r="G138" s="613">
        <f t="shared" si="2"/>
        <v>307.82</v>
      </c>
      <c r="H138" s="615"/>
      <c r="I138" s="613"/>
      <c r="J138" s="613" t="str">
        <f t="shared" si="3"/>
        <v/>
      </c>
      <c r="K138" s="613">
        <v>307.82</v>
      </c>
      <c r="L138" s="90"/>
      <c r="M138" s="90"/>
      <c r="N138" s="90"/>
      <c r="O138" s="90"/>
      <c r="P138" s="90"/>
      <c r="Q138" s="90"/>
      <c r="R138" s="90"/>
      <c r="S138" s="90"/>
      <c r="T138" s="90"/>
      <c r="U138" s="90"/>
      <c r="V138" s="90"/>
      <c r="W138" s="90"/>
      <c r="X138" s="90"/>
      <c r="Y138" s="90"/>
      <c r="Z138" s="90"/>
    </row>
    <row r="139" ht="12.75" hidden="1" customHeight="1" outlineLevel="1">
      <c r="A139" s="612" t="s">
        <v>1623</v>
      </c>
      <c r="B139" s="616">
        <v>0.0</v>
      </c>
      <c r="C139" s="616">
        <v>307.82</v>
      </c>
      <c r="D139" s="616">
        <v>0.0</v>
      </c>
      <c r="E139" s="616">
        <f t="shared" si="1"/>
        <v>307.82</v>
      </c>
      <c r="F139" s="617">
        <v>0.0</v>
      </c>
      <c r="G139" s="616">
        <f t="shared" si="2"/>
        <v>307.82</v>
      </c>
      <c r="H139" s="616">
        <v>0.0</v>
      </c>
      <c r="I139" s="616">
        <v>0.0</v>
      </c>
      <c r="J139" s="616">
        <f t="shared" si="3"/>
        <v>0</v>
      </c>
      <c r="K139" s="616">
        <v>307.82</v>
      </c>
      <c r="L139" s="90"/>
      <c r="M139" s="90"/>
      <c r="N139" s="90"/>
      <c r="O139" s="90"/>
      <c r="P139" s="90"/>
      <c r="Q139" s="90"/>
      <c r="R139" s="90"/>
      <c r="S139" s="90"/>
      <c r="T139" s="90"/>
      <c r="U139" s="90"/>
      <c r="V139" s="90"/>
      <c r="W139" s="90"/>
      <c r="X139" s="90"/>
      <c r="Y139" s="90"/>
      <c r="Z139" s="90"/>
    </row>
    <row r="140" ht="12.75" hidden="1" customHeight="1" outlineLevel="1">
      <c r="A140" s="618" t="s">
        <v>1624</v>
      </c>
      <c r="B140" s="613">
        <v>0.0</v>
      </c>
      <c r="C140" s="613">
        <v>0.0</v>
      </c>
      <c r="D140" s="613">
        <v>0.0</v>
      </c>
      <c r="E140" s="613">
        <f t="shared" si="1"/>
        <v>0</v>
      </c>
      <c r="F140" s="614">
        <v>0.0</v>
      </c>
      <c r="G140" s="613">
        <f t="shared" si="2"/>
        <v>0</v>
      </c>
      <c r="H140" s="615"/>
      <c r="I140" s="613"/>
      <c r="J140" s="613" t="str">
        <f t="shared" si="3"/>
        <v/>
      </c>
      <c r="K140" s="613">
        <v>0.0</v>
      </c>
      <c r="L140" s="90"/>
      <c r="M140" s="90"/>
      <c r="N140" s="90"/>
      <c r="O140" s="90"/>
      <c r="P140" s="90"/>
      <c r="Q140" s="90"/>
      <c r="R140" s="90"/>
      <c r="S140" s="90"/>
      <c r="T140" s="90"/>
      <c r="U140" s="90"/>
      <c r="V140" s="90"/>
      <c r="W140" s="90"/>
      <c r="X140" s="90"/>
      <c r="Y140" s="90"/>
      <c r="Z140" s="90"/>
    </row>
    <row r="141" ht="12.75" hidden="1" customHeight="1" outlineLevel="1">
      <c r="A141" s="612" t="s">
        <v>1625</v>
      </c>
      <c r="B141" s="613">
        <v>8303.77</v>
      </c>
      <c r="C141" s="613">
        <v>0.0</v>
      </c>
      <c r="D141" s="613">
        <v>0.0</v>
      </c>
      <c r="E141" s="613">
        <f t="shared" si="1"/>
        <v>8303.77</v>
      </c>
      <c r="F141" s="614">
        <v>184.34</v>
      </c>
      <c r="G141" s="613">
        <f t="shared" si="2"/>
        <v>8488.11</v>
      </c>
      <c r="H141" s="615"/>
      <c r="I141" s="613"/>
      <c r="J141" s="613" t="str">
        <f t="shared" si="3"/>
        <v/>
      </c>
      <c r="K141" s="613">
        <v>8488.11</v>
      </c>
      <c r="L141" s="90"/>
      <c r="M141" s="90"/>
      <c r="N141" s="90"/>
      <c r="O141" s="90"/>
      <c r="P141" s="90"/>
      <c r="Q141" s="90"/>
      <c r="R141" s="90"/>
      <c r="S141" s="90"/>
      <c r="T141" s="90"/>
      <c r="U141" s="90"/>
      <c r="V141" s="90"/>
      <c r="W141" s="90"/>
      <c r="X141" s="90"/>
      <c r="Y141" s="90"/>
      <c r="Z141" s="90"/>
    </row>
    <row r="142" ht="12.75" hidden="1" customHeight="1" outlineLevel="1">
      <c r="A142" s="612" t="s">
        <v>1626</v>
      </c>
      <c r="B142" s="613">
        <v>51595.82</v>
      </c>
      <c r="C142" s="613">
        <v>0.0</v>
      </c>
      <c r="D142" s="613">
        <v>0.0</v>
      </c>
      <c r="E142" s="613">
        <f t="shared" si="1"/>
        <v>51595.82</v>
      </c>
      <c r="F142" s="614">
        <v>245.31</v>
      </c>
      <c r="G142" s="613">
        <f t="shared" si="2"/>
        <v>51841.13</v>
      </c>
      <c r="H142" s="615"/>
      <c r="I142" s="613"/>
      <c r="J142" s="613" t="str">
        <f t="shared" si="3"/>
        <v/>
      </c>
      <c r="K142" s="613">
        <v>51841.13</v>
      </c>
      <c r="L142" s="90"/>
      <c r="M142" s="90"/>
      <c r="N142" s="90"/>
      <c r="O142" s="90"/>
      <c r="P142" s="90"/>
      <c r="Q142" s="90"/>
      <c r="R142" s="90"/>
      <c r="S142" s="90"/>
      <c r="T142" s="90"/>
      <c r="U142" s="90"/>
      <c r="V142" s="90"/>
      <c r="W142" s="90"/>
      <c r="X142" s="90"/>
      <c r="Y142" s="90"/>
      <c r="Z142" s="90"/>
    </row>
    <row r="143" ht="12.75" hidden="1" customHeight="1" outlineLevel="1">
      <c r="A143" s="612" t="s">
        <v>1627</v>
      </c>
      <c r="B143" s="613">
        <v>1760.98</v>
      </c>
      <c r="C143" s="613">
        <v>0.0</v>
      </c>
      <c r="D143" s="613">
        <v>0.0</v>
      </c>
      <c r="E143" s="613">
        <f t="shared" si="1"/>
        <v>1760.98</v>
      </c>
      <c r="F143" s="614">
        <v>0.0</v>
      </c>
      <c r="G143" s="613">
        <f t="shared" si="2"/>
        <v>1760.98</v>
      </c>
      <c r="H143" s="615"/>
      <c r="I143" s="613"/>
      <c r="J143" s="613" t="str">
        <f t="shared" si="3"/>
        <v/>
      </c>
      <c r="K143" s="613">
        <v>1760.98</v>
      </c>
      <c r="L143" s="90"/>
      <c r="M143" s="90"/>
      <c r="N143" s="90"/>
      <c r="O143" s="90"/>
      <c r="P143" s="90"/>
      <c r="Q143" s="90"/>
      <c r="R143" s="90"/>
      <c r="S143" s="90"/>
      <c r="T143" s="90"/>
      <c r="U143" s="90"/>
      <c r="V143" s="90"/>
      <c r="W143" s="90"/>
      <c r="X143" s="90"/>
      <c r="Y143" s="90"/>
      <c r="Z143" s="90"/>
    </row>
    <row r="144" ht="12.75" hidden="1" customHeight="1" outlineLevel="1">
      <c r="A144" s="612" t="s">
        <v>1628</v>
      </c>
      <c r="B144" s="613">
        <v>26511.87</v>
      </c>
      <c r="C144" s="613">
        <v>221.46</v>
      </c>
      <c r="D144" s="613">
        <v>0.0</v>
      </c>
      <c r="E144" s="613">
        <f t="shared" si="1"/>
        <v>26733.33</v>
      </c>
      <c r="F144" s="614">
        <v>3542.91</v>
      </c>
      <c r="G144" s="613">
        <f t="shared" si="2"/>
        <v>30276.24</v>
      </c>
      <c r="H144" s="615"/>
      <c r="I144" s="613">
        <v>0.0</v>
      </c>
      <c r="J144" s="613">
        <f t="shared" si="3"/>
        <v>0</v>
      </c>
      <c r="K144" s="613">
        <v>30276.24</v>
      </c>
      <c r="L144" s="90"/>
      <c r="M144" s="90"/>
      <c r="N144" s="90"/>
      <c r="O144" s="90"/>
      <c r="P144" s="90"/>
      <c r="Q144" s="90"/>
      <c r="R144" s="90"/>
      <c r="S144" s="90"/>
      <c r="T144" s="90"/>
      <c r="U144" s="90"/>
      <c r="V144" s="90"/>
      <c r="W144" s="90"/>
      <c r="X144" s="90"/>
      <c r="Y144" s="90"/>
      <c r="Z144" s="90"/>
    </row>
    <row r="145" ht="12.75" hidden="1" customHeight="1" outlineLevel="1">
      <c r="A145" s="612" t="s">
        <v>1629</v>
      </c>
      <c r="B145" s="616">
        <v>88172.44</v>
      </c>
      <c r="C145" s="616">
        <v>221.46</v>
      </c>
      <c r="D145" s="616">
        <v>0.0</v>
      </c>
      <c r="E145" s="616">
        <f t="shared" si="1"/>
        <v>88393.9</v>
      </c>
      <c r="F145" s="617">
        <v>3972.56</v>
      </c>
      <c r="G145" s="616">
        <f t="shared" si="2"/>
        <v>92366.46</v>
      </c>
      <c r="H145" s="616">
        <v>0.0</v>
      </c>
      <c r="I145" s="616">
        <v>0.0</v>
      </c>
      <c r="J145" s="616">
        <f t="shared" si="3"/>
        <v>0</v>
      </c>
      <c r="K145" s="616">
        <v>92366.46</v>
      </c>
      <c r="L145" s="90"/>
      <c r="M145" s="90"/>
      <c r="N145" s="90"/>
      <c r="O145" s="90"/>
      <c r="P145" s="90"/>
      <c r="Q145" s="90"/>
      <c r="R145" s="90"/>
      <c r="S145" s="90"/>
      <c r="T145" s="90"/>
      <c r="U145" s="90"/>
      <c r="V145" s="90"/>
      <c r="W145" s="90"/>
      <c r="X145" s="90"/>
      <c r="Y145" s="90"/>
      <c r="Z145" s="90"/>
    </row>
    <row r="146" ht="12.75" hidden="1" customHeight="1" outlineLevel="1">
      <c r="A146" s="618" t="s">
        <v>1630</v>
      </c>
      <c r="B146" s="613">
        <v>35998.05</v>
      </c>
      <c r="C146" s="613">
        <v>504.44</v>
      </c>
      <c r="D146" s="613">
        <v>0.0</v>
      </c>
      <c r="E146" s="613">
        <f t="shared" si="1"/>
        <v>36502.49</v>
      </c>
      <c r="F146" s="614">
        <v>102.83</v>
      </c>
      <c r="G146" s="613">
        <f t="shared" si="2"/>
        <v>36605.32</v>
      </c>
      <c r="H146" s="615"/>
      <c r="I146" s="613"/>
      <c r="J146" s="613" t="str">
        <f t="shared" si="3"/>
        <v/>
      </c>
      <c r="K146" s="613">
        <v>36605.32</v>
      </c>
      <c r="L146" s="90"/>
      <c r="M146" s="90"/>
      <c r="N146" s="90"/>
      <c r="O146" s="90"/>
      <c r="P146" s="90"/>
      <c r="Q146" s="90"/>
      <c r="R146" s="90"/>
      <c r="S146" s="90"/>
      <c r="T146" s="90"/>
      <c r="U146" s="90"/>
      <c r="V146" s="90"/>
      <c r="W146" s="90"/>
      <c r="X146" s="90"/>
      <c r="Y146" s="90"/>
      <c r="Z146" s="90"/>
    </row>
    <row r="147" ht="12.75" hidden="1" customHeight="1" outlineLevel="1">
      <c r="A147" s="612" t="s">
        <v>1631</v>
      </c>
      <c r="B147" s="613">
        <v>0.0</v>
      </c>
      <c r="C147" s="613">
        <v>0.0</v>
      </c>
      <c r="D147" s="613">
        <v>0.0</v>
      </c>
      <c r="E147" s="613">
        <f t="shared" si="1"/>
        <v>0</v>
      </c>
      <c r="F147" s="614">
        <v>0.0</v>
      </c>
      <c r="G147" s="613">
        <f t="shared" si="2"/>
        <v>0</v>
      </c>
      <c r="H147" s="615"/>
      <c r="I147" s="613"/>
      <c r="J147" s="613" t="str">
        <f t="shared" si="3"/>
        <v/>
      </c>
      <c r="K147" s="613">
        <v>0.0</v>
      </c>
      <c r="L147" s="90"/>
      <c r="M147" s="90"/>
      <c r="N147" s="90"/>
      <c r="O147" s="90"/>
      <c r="P147" s="90"/>
      <c r="Q147" s="90"/>
      <c r="R147" s="90"/>
      <c r="S147" s="90"/>
      <c r="T147" s="90"/>
      <c r="U147" s="90"/>
      <c r="V147" s="90"/>
      <c r="W147" s="90"/>
      <c r="X147" s="90"/>
      <c r="Y147" s="90"/>
      <c r="Z147" s="90"/>
    </row>
    <row r="148" ht="12.75" hidden="1" customHeight="1" outlineLevel="1">
      <c r="A148" s="612" t="s">
        <v>1632</v>
      </c>
      <c r="B148" s="613">
        <v>5638.38</v>
      </c>
      <c r="C148" s="613">
        <v>0.0</v>
      </c>
      <c r="D148" s="613">
        <v>0.0</v>
      </c>
      <c r="E148" s="613">
        <f t="shared" si="1"/>
        <v>5638.38</v>
      </c>
      <c r="F148" s="614">
        <v>0.0</v>
      </c>
      <c r="G148" s="613">
        <f t="shared" si="2"/>
        <v>5638.38</v>
      </c>
      <c r="H148" s="615"/>
      <c r="I148" s="613"/>
      <c r="J148" s="613" t="str">
        <f t="shared" si="3"/>
        <v/>
      </c>
      <c r="K148" s="613">
        <v>5638.38</v>
      </c>
      <c r="L148" s="90"/>
      <c r="M148" s="90"/>
      <c r="N148" s="90"/>
      <c r="O148" s="90"/>
      <c r="P148" s="90"/>
      <c r="Q148" s="90"/>
      <c r="R148" s="90"/>
      <c r="S148" s="90"/>
      <c r="T148" s="90"/>
      <c r="U148" s="90"/>
      <c r="V148" s="90"/>
      <c r="W148" s="90"/>
      <c r="X148" s="90"/>
      <c r="Y148" s="90"/>
      <c r="Z148" s="90"/>
    </row>
    <row r="149" ht="12.75" hidden="1" customHeight="1" outlineLevel="1">
      <c r="A149" s="612" t="s">
        <v>1633</v>
      </c>
      <c r="B149" s="613">
        <v>2089.75</v>
      </c>
      <c r="C149" s="613">
        <v>0.0</v>
      </c>
      <c r="D149" s="613">
        <v>0.0</v>
      </c>
      <c r="E149" s="613">
        <f t="shared" si="1"/>
        <v>2089.75</v>
      </c>
      <c r="F149" s="614">
        <v>2773.39</v>
      </c>
      <c r="G149" s="613">
        <f t="shared" si="2"/>
        <v>4863.14</v>
      </c>
      <c r="H149" s="615"/>
      <c r="I149" s="613"/>
      <c r="J149" s="613" t="str">
        <f t="shared" si="3"/>
        <v/>
      </c>
      <c r="K149" s="613">
        <v>4863.14</v>
      </c>
      <c r="L149" s="90"/>
      <c r="M149" s="90"/>
      <c r="N149" s="90"/>
      <c r="O149" s="90"/>
      <c r="P149" s="90"/>
      <c r="Q149" s="90"/>
      <c r="R149" s="90"/>
      <c r="S149" s="90"/>
      <c r="T149" s="90"/>
      <c r="U149" s="90"/>
      <c r="V149" s="90"/>
      <c r="W149" s="90"/>
      <c r="X149" s="90"/>
      <c r="Y149" s="90"/>
      <c r="Z149" s="90"/>
    </row>
    <row r="150" ht="12.75" hidden="1" customHeight="1" outlineLevel="1">
      <c r="A150" s="612" t="s">
        <v>1634</v>
      </c>
      <c r="B150" s="613">
        <v>0.0</v>
      </c>
      <c r="C150" s="613">
        <v>0.0</v>
      </c>
      <c r="D150" s="613">
        <v>0.0</v>
      </c>
      <c r="E150" s="613">
        <f t="shared" si="1"/>
        <v>0</v>
      </c>
      <c r="F150" s="614">
        <v>0.0</v>
      </c>
      <c r="G150" s="613">
        <f t="shared" si="2"/>
        <v>0</v>
      </c>
      <c r="H150" s="615"/>
      <c r="I150" s="613"/>
      <c r="J150" s="613" t="str">
        <f t="shared" si="3"/>
        <v/>
      </c>
      <c r="K150" s="613">
        <v>0.0</v>
      </c>
      <c r="L150" s="90"/>
      <c r="M150" s="90"/>
      <c r="N150" s="90"/>
      <c r="O150" s="90"/>
      <c r="P150" s="90"/>
      <c r="Q150" s="90"/>
      <c r="R150" s="90"/>
      <c r="S150" s="90"/>
      <c r="T150" s="90"/>
      <c r="U150" s="90"/>
      <c r="V150" s="90"/>
      <c r="W150" s="90"/>
      <c r="X150" s="90"/>
      <c r="Y150" s="90"/>
      <c r="Z150" s="90"/>
    </row>
    <row r="151" ht="12.75" hidden="1" customHeight="1" outlineLevel="1">
      <c r="A151" s="612" t="s">
        <v>1635</v>
      </c>
      <c r="B151" s="616">
        <v>7728.13</v>
      </c>
      <c r="C151" s="616">
        <v>0.0</v>
      </c>
      <c r="D151" s="616">
        <v>0.0</v>
      </c>
      <c r="E151" s="616">
        <f t="shared" si="1"/>
        <v>7728.13</v>
      </c>
      <c r="F151" s="617">
        <v>2773.39</v>
      </c>
      <c r="G151" s="616">
        <f t="shared" si="2"/>
        <v>10501.52</v>
      </c>
      <c r="H151" s="616">
        <v>0.0</v>
      </c>
      <c r="I151" s="616">
        <v>0.0</v>
      </c>
      <c r="J151" s="616">
        <f t="shared" si="3"/>
        <v>0</v>
      </c>
      <c r="K151" s="616">
        <v>10501.52</v>
      </c>
      <c r="L151" s="90"/>
      <c r="M151" s="90"/>
      <c r="N151" s="90"/>
      <c r="O151" s="90"/>
      <c r="P151" s="90"/>
      <c r="Q151" s="90"/>
      <c r="R151" s="90"/>
      <c r="S151" s="90"/>
      <c r="T151" s="90"/>
      <c r="U151" s="90"/>
      <c r="V151" s="90"/>
      <c r="W151" s="90"/>
      <c r="X151" s="90"/>
      <c r="Y151" s="90"/>
      <c r="Z151" s="90"/>
    </row>
    <row r="152" ht="12.75" hidden="1" customHeight="1" outlineLevel="1">
      <c r="A152" s="618" t="s">
        <v>1636</v>
      </c>
      <c r="B152" s="613">
        <v>0.0</v>
      </c>
      <c r="C152" s="613">
        <v>0.0</v>
      </c>
      <c r="D152" s="613">
        <v>0.0</v>
      </c>
      <c r="E152" s="613">
        <f t="shared" si="1"/>
        <v>0</v>
      </c>
      <c r="F152" s="614">
        <v>1200.0</v>
      </c>
      <c r="G152" s="613">
        <f t="shared" si="2"/>
        <v>1200</v>
      </c>
      <c r="H152" s="615"/>
      <c r="I152" s="613"/>
      <c r="J152" s="613" t="str">
        <f t="shared" si="3"/>
        <v/>
      </c>
      <c r="K152" s="613">
        <v>1200.0</v>
      </c>
      <c r="L152" s="90"/>
      <c r="M152" s="90"/>
      <c r="N152" s="90"/>
      <c r="O152" s="90"/>
      <c r="P152" s="90"/>
      <c r="Q152" s="90"/>
      <c r="R152" s="90"/>
      <c r="S152" s="90"/>
      <c r="T152" s="90"/>
      <c r="U152" s="90"/>
      <c r="V152" s="90"/>
      <c r="W152" s="90"/>
      <c r="X152" s="90"/>
      <c r="Y152" s="90"/>
      <c r="Z152" s="90"/>
    </row>
    <row r="153" ht="12.75" hidden="1" customHeight="1" outlineLevel="1">
      <c r="A153" s="612" t="s">
        <v>1637</v>
      </c>
      <c r="B153" s="613">
        <v>4360.95</v>
      </c>
      <c r="C153" s="613">
        <v>687.71</v>
      </c>
      <c r="D153" s="613">
        <v>0.0</v>
      </c>
      <c r="E153" s="613">
        <f t="shared" si="1"/>
        <v>5048.66</v>
      </c>
      <c r="F153" s="614">
        <v>0.0</v>
      </c>
      <c r="G153" s="613">
        <f t="shared" si="2"/>
        <v>5048.66</v>
      </c>
      <c r="H153" s="615"/>
      <c r="I153" s="613"/>
      <c r="J153" s="613" t="str">
        <f t="shared" si="3"/>
        <v/>
      </c>
      <c r="K153" s="613">
        <v>5048.66</v>
      </c>
      <c r="L153" s="90"/>
      <c r="M153" s="90"/>
      <c r="N153" s="90"/>
      <c r="O153" s="90"/>
      <c r="P153" s="90"/>
      <c r="Q153" s="90"/>
      <c r="R153" s="90"/>
      <c r="S153" s="90"/>
      <c r="T153" s="90"/>
      <c r="U153" s="90"/>
      <c r="V153" s="90"/>
      <c r="W153" s="90"/>
      <c r="X153" s="90"/>
      <c r="Y153" s="90"/>
      <c r="Z153" s="90"/>
    </row>
    <row r="154" ht="12.75" hidden="1" customHeight="1" outlineLevel="1">
      <c r="A154" s="612" t="s">
        <v>1638</v>
      </c>
      <c r="B154" s="613">
        <v>0.0</v>
      </c>
      <c r="C154" s="613">
        <v>0.0</v>
      </c>
      <c r="D154" s="613">
        <v>0.0</v>
      </c>
      <c r="E154" s="613">
        <f t="shared" si="1"/>
        <v>0</v>
      </c>
      <c r="F154" s="614">
        <v>203.74</v>
      </c>
      <c r="G154" s="613">
        <f t="shared" si="2"/>
        <v>203.74</v>
      </c>
      <c r="H154" s="615"/>
      <c r="I154" s="613"/>
      <c r="J154" s="613" t="str">
        <f t="shared" si="3"/>
        <v/>
      </c>
      <c r="K154" s="613">
        <v>203.74</v>
      </c>
      <c r="L154" s="90"/>
      <c r="M154" s="90"/>
      <c r="N154" s="90"/>
      <c r="O154" s="90"/>
      <c r="P154" s="90"/>
      <c r="Q154" s="90"/>
      <c r="R154" s="90"/>
      <c r="S154" s="90"/>
      <c r="T154" s="90"/>
      <c r="U154" s="90"/>
      <c r="V154" s="90"/>
      <c r="W154" s="90"/>
      <c r="X154" s="90"/>
      <c r="Y154" s="90"/>
      <c r="Z154" s="90"/>
    </row>
    <row r="155" ht="12.75" hidden="1" customHeight="1" outlineLevel="1">
      <c r="A155" s="612" t="s">
        <v>1639</v>
      </c>
      <c r="B155" s="616">
        <v>4360.95</v>
      </c>
      <c r="C155" s="616">
        <v>687.71</v>
      </c>
      <c r="D155" s="616">
        <v>0.0</v>
      </c>
      <c r="E155" s="616">
        <f t="shared" si="1"/>
        <v>5048.66</v>
      </c>
      <c r="F155" s="617">
        <v>1403.74</v>
      </c>
      <c r="G155" s="616">
        <f t="shared" si="2"/>
        <v>6452.4</v>
      </c>
      <c r="H155" s="616">
        <v>0.0</v>
      </c>
      <c r="I155" s="616">
        <v>0.0</v>
      </c>
      <c r="J155" s="616">
        <f t="shared" si="3"/>
        <v>0</v>
      </c>
      <c r="K155" s="616">
        <v>6452.4</v>
      </c>
      <c r="L155" s="90"/>
      <c r="M155" s="90"/>
      <c r="N155" s="90"/>
      <c r="O155" s="90"/>
      <c r="P155" s="90"/>
      <c r="Q155" s="90"/>
      <c r="R155" s="90"/>
      <c r="S155" s="90"/>
      <c r="T155" s="90"/>
      <c r="U155" s="90"/>
      <c r="V155" s="90"/>
      <c r="W155" s="90"/>
      <c r="X155" s="90"/>
      <c r="Y155" s="90"/>
      <c r="Z155" s="90"/>
    </row>
    <row r="156" ht="12.75" hidden="1" customHeight="1" outlineLevel="1">
      <c r="A156" s="618" t="s">
        <v>1640</v>
      </c>
      <c r="B156" s="613">
        <v>24874.1</v>
      </c>
      <c r="C156" s="613">
        <v>0.0</v>
      </c>
      <c r="D156" s="613">
        <v>0.0</v>
      </c>
      <c r="E156" s="613">
        <f t="shared" si="1"/>
        <v>24874.1</v>
      </c>
      <c r="F156" s="614">
        <v>2377.33</v>
      </c>
      <c r="G156" s="613">
        <f t="shared" si="2"/>
        <v>27251.43</v>
      </c>
      <c r="H156" s="615"/>
      <c r="I156" s="613"/>
      <c r="J156" s="613" t="str">
        <f t="shared" si="3"/>
        <v/>
      </c>
      <c r="K156" s="613">
        <v>27251.43</v>
      </c>
      <c r="L156" s="90"/>
      <c r="M156" s="90"/>
      <c r="N156" s="90"/>
      <c r="O156" s="90"/>
      <c r="P156" s="90"/>
      <c r="Q156" s="90"/>
      <c r="R156" s="90"/>
      <c r="S156" s="90"/>
      <c r="T156" s="90"/>
      <c r="U156" s="90"/>
      <c r="V156" s="90"/>
      <c r="W156" s="90"/>
      <c r="X156" s="90"/>
      <c r="Y156" s="90"/>
      <c r="Z156" s="90"/>
    </row>
    <row r="157" ht="12.75" hidden="1" customHeight="1" outlineLevel="1">
      <c r="A157" s="612" t="s">
        <v>1641</v>
      </c>
      <c r="B157" s="616">
        <v>72961.23</v>
      </c>
      <c r="C157" s="616">
        <v>1192.15</v>
      </c>
      <c r="D157" s="616">
        <v>0.0</v>
      </c>
      <c r="E157" s="616">
        <f t="shared" si="1"/>
        <v>74153.38</v>
      </c>
      <c r="F157" s="617">
        <v>6657.29</v>
      </c>
      <c r="G157" s="616">
        <f t="shared" si="2"/>
        <v>80810.67</v>
      </c>
      <c r="H157" s="616">
        <v>0.0</v>
      </c>
      <c r="I157" s="616">
        <v>0.0</v>
      </c>
      <c r="J157" s="616">
        <f t="shared" si="3"/>
        <v>0</v>
      </c>
      <c r="K157" s="616">
        <v>80810.67</v>
      </c>
      <c r="L157" s="90"/>
      <c r="M157" s="90"/>
      <c r="N157" s="90"/>
      <c r="O157" s="90"/>
      <c r="P157" s="90"/>
      <c r="Q157" s="90"/>
      <c r="R157" s="90"/>
      <c r="S157" s="90"/>
      <c r="T157" s="90"/>
      <c r="U157" s="90"/>
      <c r="V157" s="90"/>
      <c r="W157" s="90"/>
      <c r="X157" s="90"/>
      <c r="Y157" s="90"/>
      <c r="Z157" s="90"/>
    </row>
    <row r="158" ht="12.75" hidden="1" customHeight="1" outlineLevel="1">
      <c r="A158" s="618" t="s">
        <v>1642</v>
      </c>
      <c r="B158" s="613">
        <v>0.0</v>
      </c>
      <c r="C158" s="613">
        <v>0.0</v>
      </c>
      <c r="D158" s="613">
        <v>0.0</v>
      </c>
      <c r="E158" s="613">
        <f t="shared" si="1"/>
        <v>0</v>
      </c>
      <c r="F158" s="614">
        <v>0.0</v>
      </c>
      <c r="G158" s="613">
        <f t="shared" si="2"/>
        <v>0</v>
      </c>
      <c r="H158" s="615"/>
      <c r="I158" s="613"/>
      <c r="J158" s="613" t="str">
        <f t="shared" si="3"/>
        <v/>
      </c>
      <c r="K158" s="613">
        <v>0.0</v>
      </c>
      <c r="L158" s="90"/>
      <c r="M158" s="90"/>
      <c r="N158" s="90"/>
      <c r="O158" s="90"/>
      <c r="P158" s="90"/>
      <c r="Q158" s="90"/>
      <c r="R158" s="90"/>
      <c r="S158" s="90"/>
      <c r="T158" s="90"/>
      <c r="U158" s="90"/>
      <c r="V158" s="90"/>
      <c r="W158" s="90"/>
      <c r="X158" s="90"/>
      <c r="Y158" s="90"/>
      <c r="Z158" s="90"/>
    </row>
    <row r="159" ht="12.75" hidden="1" customHeight="1" outlineLevel="1">
      <c r="A159" s="612" t="s">
        <v>1643</v>
      </c>
      <c r="B159" s="613">
        <v>131743.06</v>
      </c>
      <c r="C159" s="613">
        <v>126.0</v>
      </c>
      <c r="D159" s="613">
        <v>0.0</v>
      </c>
      <c r="E159" s="613">
        <f t="shared" si="1"/>
        <v>131869.06</v>
      </c>
      <c r="F159" s="614">
        <v>750.0</v>
      </c>
      <c r="G159" s="613">
        <f t="shared" si="2"/>
        <v>132619.06</v>
      </c>
      <c r="H159" s="615"/>
      <c r="I159" s="613"/>
      <c r="J159" s="613" t="str">
        <f t="shared" si="3"/>
        <v/>
      </c>
      <c r="K159" s="613">
        <v>132619.06</v>
      </c>
      <c r="L159" s="90"/>
      <c r="M159" s="90"/>
      <c r="N159" s="90"/>
      <c r="O159" s="90"/>
      <c r="P159" s="90"/>
      <c r="Q159" s="90"/>
      <c r="R159" s="90"/>
      <c r="S159" s="90"/>
      <c r="T159" s="90"/>
      <c r="U159" s="90"/>
      <c r="V159" s="90"/>
      <c r="W159" s="90"/>
      <c r="X159" s="90"/>
      <c r="Y159" s="90"/>
      <c r="Z159" s="90"/>
    </row>
    <row r="160" ht="12.75" hidden="1" customHeight="1" outlineLevel="1">
      <c r="A160" s="612" t="s">
        <v>1644</v>
      </c>
      <c r="B160" s="613">
        <v>1245.07</v>
      </c>
      <c r="C160" s="613">
        <v>0.0</v>
      </c>
      <c r="D160" s="613">
        <v>0.0</v>
      </c>
      <c r="E160" s="613">
        <f t="shared" si="1"/>
        <v>1245.07</v>
      </c>
      <c r="F160" s="614">
        <v>0.0</v>
      </c>
      <c r="G160" s="613">
        <f t="shared" si="2"/>
        <v>1245.07</v>
      </c>
      <c r="H160" s="615"/>
      <c r="I160" s="613"/>
      <c r="J160" s="613" t="str">
        <f t="shared" si="3"/>
        <v/>
      </c>
      <c r="K160" s="613">
        <v>1245.07</v>
      </c>
      <c r="L160" s="90"/>
      <c r="M160" s="90"/>
      <c r="N160" s="90"/>
      <c r="O160" s="90"/>
      <c r="P160" s="90"/>
      <c r="Q160" s="90"/>
      <c r="R160" s="90"/>
      <c r="S160" s="90"/>
      <c r="T160" s="90"/>
      <c r="U160" s="90"/>
      <c r="V160" s="90"/>
      <c r="W160" s="90"/>
      <c r="X160" s="90"/>
      <c r="Y160" s="90"/>
      <c r="Z160" s="90"/>
    </row>
    <row r="161" ht="12.75" hidden="1" customHeight="1" outlineLevel="1">
      <c r="A161" s="612" t="s">
        <v>1645</v>
      </c>
      <c r="B161" s="616">
        <v>132988.13</v>
      </c>
      <c r="C161" s="616">
        <v>126.0</v>
      </c>
      <c r="D161" s="616">
        <v>0.0</v>
      </c>
      <c r="E161" s="616">
        <f t="shared" si="1"/>
        <v>133114.13</v>
      </c>
      <c r="F161" s="617">
        <v>750.0</v>
      </c>
      <c r="G161" s="616">
        <f t="shared" si="2"/>
        <v>133864.13</v>
      </c>
      <c r="H161" s="616">
        <v>0.0</v>
      </c>
      <c r="I161" s="616">
        <v>0.0</v>
      </c>
      <c r="J161" s="616">
        <f t="shared" si="3"/>
        <v>0</v>
      </c>
      <c r="K161" s="616">
        <v>133864.13</v>
      </c>
      <c r="L161" s="90"/>
      <c r="M161" s="90"/>
      <c r="N161" s="90"/>
      <c r="O161" s="90"/>
      <c r="P161" s="90"/>
      <c r="Q161" s="90"/>
      <c r="R161" s="90"/>
      <c r="S161" s="90"/>
      <c r="T161" s="90"/>
      <c r="U161" s="90"/>
      <c r="V161" s="90"/>
      <c r="W161" s="90"/>
      <c r="X161" s="90"/>
      <c r="Y161" s="90"/>
      <c r="Z161" s="90"/>
    </row>
    <row r="162" ht="12.75" customHeight="1">
      <c r="A162" s="618" t="s">
        <v>1646</v>
      </c>
      <c r="B162" s="616">
        <v>363558.27</v>
      </c>
      <c r="C162" s="616">
        <v>2163.43</v>
      </c>
      <c r="D162" s="616">
        <v>0.0</v>
      </c>
      <c r="E162" s="616">
        <f t="shared" si="1"/>
        <v>365721.7</v>
      </c>
      <c r="F162" s="617">
        <v>11379.85</v>
      </c>
      <c r="G162" s="616">
        <f t="shared" si="2"/>
        <v>377101.55</v>
      </c>
      <c r="H162" s="616">
        <v>0.0</v>
      </c>
      <c r="I162" s="616">
        <v>0.0</v>
      </c>
      <c r="J162" s="616">
        <f t="shared" si="3"/>
        <v>0</v>
      </c>
      <c r="K162" s="616">
        <v>377101.55</v>
      </c>
      <c r="L162" s="90"/>
      <c r="M162" s="90"/>
      <c r="N162" s="90"/>
      <c r="O162" s="90"/>
      <c r="P162" s="90"/>
      <c r="Q162" s="90"/>
      <c r="R162" s="90"/>
      <c r="S162" s="90"/>
      <c r="T162" s="90"/>
      <c r="U162" s="90"/>
      <c r="V162" s="90"/>
      <c r="W162" s="90"/>
      <c r="X162" s="90"/>
      <c r="Y162" s="90"/>
      <c r="Z162" s="90"/>
    </row>
    <row r="163" ht="12.75" customHeight="1" outlineLevel="1">
      <c r="A163" s="618" t="s">
        <v>1647</v>
      </c>
      <c r="B163" s="613">
        <v>0.0</v>
      </c>
      <c r="C163" s="613">
        <v>0.0</v>
      </c>
      <c r="D163" s="613">
        <v>0.0</v>
      </c>
      <c r="E163" s="613">
        <f t="shared" si="1"/>
        <v>0</v>
      </c>
      <c r="F163" s="614">
        <v>0.0</v>
      </c>
      <c r="G163" s="613">
        <f t="shared" si="2"/>
        <v>0</v>
      </c>
      <c r="H163" s="615"/>
      <c r="I163" s="613"/>
      <c r="J163" s="613" t="str">
        <f t="shared" si="3"/>
        <v/>
      </c>
      <c r="K163" s="613">
        <v>0.0</v>
      </c>
      <c r="L163" s="90"/>
      <c r="M163" s="90"/>
      <c r="N163" s="90"/>
      <c r="O163" s="90"/>
      <c r="P163" s="90"/>
      <c r="Q163" s="90"/>
      <c r="R163" s="90"/>
      <c r="S163" s="90"/>
      <c r="T163" s="90"/>
      <c r="U163" s="90"/>
      <c r="V163" s="90"/>
      <c r="W163" s="90"/>
      <c r="X163" s="90"/>
      <c r="Y163" s="90"/>
      <c r="Z163" s="90"/>
    </row>
    <row r="164" ht="12.75" customHeight="1" outlineLevel="1">
      <c r="A164" s="612" t="s">
        <v>1648</v>
      </c>
      <c r="B164" s="613">
        <v>0.0</v>
      </c>
      <c r="C164" s="613">
        <v>0.0</v>
      </c>
      <c r="D164" s="613">
        <v>0.0</v>
      </c>
      <c r="E164" s="613">
        <f t="shared" si="1"/>
        <v>0</v>
      </c>
      <c r="F164" s="614">
        <v>1693.0</v>
      </c>
      <c r="G164" s="613">
        <f t="shared" si="2"/>
        <v>1693</v>
      </c>
      <c r="H164" s="615"/>
      <c r="I164" s="613"/>
      <c r="J164" s="613" t="str">
        <f t="shared" si="3"/>
        <v/>
      </c>
      <c r="K164" s="613">
        <v>1693.0</v>
      </c>
      <c r="L164" s="90"/>
      <c r="M164" s="90"/>
      <c r="N164" s="90"/>
      <c r="O164" s="90"/>
      <c r="P164" s="90"/>
      <c r="Q164" s="90"/>
      <c r="R164" s="90"/>
      <c r="S164" s="90"/>
      <c r="T164" s="90"/>
      <c r="U164" s="90"/>
      <c r="V164" s="90"/>
      <c r="W164" s="90"/>
      <c r="X164" s="90"/>
      <c r="Y164" s="90"/>
      <c r="Z164" s="90"/>
    </row>
    <row r="165" ht="12.75" customHeight="1" outlineLevel="1">
      <c r="A165" s="612" t="s">
        <v>1649</v>
      </c>
      <c r="B165" s="613">
        <v>0.0</v>
      </c>
      <c r="C165" s="613">
        <v>2754.17</v>
      </c>
      <c r="D165" s="613">
        <v>0.0</v>
      </c>
      <c r="E165" s="613">
        <f t="shared" si="1"/>
        <v>2754.17</v>
      </c>
      <c r="F165" s="614">
        <v>3364.02</v>
      </c>
      <c r="G165" s="613">
        <f t="shared" si="2"/>
        <v>6118.19</v>
      </c>
      <c r="H165" s="615"/>
      <c r="I165" s="613"/>
      <c r="J165" s="613" t="str">
        <f t="shared" si="3"/>
        <v/>
      </c>
      <c r="K165" s="613">
        <v>6118.19</v>
      </c>
      <c r="L165" s="90"/>
      <c r="M165" s="90"/>
      <c r="N165" s="90"/>
      <c r="O165" s="90"/>
      <c r="P165" s="90"/>
      <c r="Q165" s="90"/>
      <c r="R165" s="90"/>
      <c r="S165" s="90"/>
      <c r="T165" s="90"/>
      <c r="U165" s="90"/>
      <c r="V165" s="90"/>
      <c r="W165" s="90"/>
      <c r="X165" s="90"/>
      <c r="Y165" s="90"/>
      <c r="Z165" s="90"/>
    </row>
    <row r="166" ht="12.75" customHeight="1" outlineLevel="1">
      <c r="A166" s="612" t="s">
        <v>1650</v>
      </c>
      <c r="B166" s="613">
        <v>1269.0</v>
      </c>
      <c r="C166" s="613">
        <v>0.0</v>
      </c>
      <c r="D166" s="613">
        <v>0.0</v>
      </c>
      <c r="E166" s="613">
        <f t="shared" si="1"/>
        <v>1269</v>
      </c>
      <c r="F166" s="614">
        <v>743.71</v>
      </c>
      <c r="G166" s="613">
        <f t="shared" si="2"/>
        <v>2012.71</v>
      </c>
      <c r="H166" s="615"/>
      <c r="I166" s="613"/>
      <c r="J166" s="613" t="str">
        <f t="shared" si="3"/>
        <v/>
      </c>
      <c r="K166" s="613">
        <v>2012.71</v>
      </c>
      <c r="L166" s="90"/>
      <c r="M166" s="90"/>
      <c r="N166" s="90"/>
      <c r="O166" s="90"/>
      <c r="P166" s="90"/>
      <c r="Q166" s="90"/>
      <c r="R166" s="90"/>
      <c r="S166" s="90"/>
      <c r="T166" s="90"/>
      <c r="U166" s="90"/>
      <c r="V166" s="90"/>
      <c r="W166" s="90"/>
      <c r="X166" s="90"/>
      <c r="Y166" s="90"/>
      <c r="Z166" s="90"/>
    </row>
    <row r="167" ht="12.75" customHeight="1" outlineLevel="1">
      <c r="A167" s="612" t="s">
        <v>1651</v>
      </c>
      <c r="B167" s="613">
        <v>682.16</v>
      </c>
      <c r="C167" s="613">
        <v>0.0</v>
      </c>
      <c r="D167" s="613">
        <v>0.0</v>
      </c>
      <c r="E167" s="613">
        <f t="shared" si="1"/>
        <v>682.16</v>
      </c>
      <c r="F167" s="614">
        <v>2153.14</v>
      </c>
      <c r="G167" s="613">
        <f t="shared" si="2"/>
        <v>2835.3</v>
      </c>
      <c r="H167" s="615"/>
      <c r="I167" s="613"/>
      <c r="J167" s="613" t="str">
        <f t="shared" si="3"/>
        <v/>
      </c>
      <c r="K167" s="613">
        <v>2835.3</v>
      </c>
      <c r="L167" s="90"/>
      <c r="M167" s="90"/>
      <c r="N167" s="90"/>
      <c r="O167" s="90"/>
      <c r="P167" s="90"/>
      <c r="Q167" s="90"/>
      <c r="R167" s="90"/>
      <c r="S167" s="90"/>
      <c r="T167" s="90"/>
      <c r="U167" s="90"/>
      <c r="V167" s="90"/>
      <c r="W167" s="90"/>
      <c r="X167" s="90"/>
      <c r="Y167" s="90"/>
      <c r="Z167" s="90"/>
    </row>
    <row r="168" ht="12.75" customHeight="1" outlineLevel="1">
      <c r="A168" s="612" t="s">
        <v>1652</v>
      </c>
      <c r="B168" s="613">
        <v>586.5</v>
      </c>
      <c r="C168" s="613">
        <v>0.0</v>
      </c>
      <c r="D168" s="613">
        <v>0.0</v>
      </c>
      <c r="E168" s="613">
        <f t="shared" si="1"/>
        <v>586.5</v>
      </c>
      <c r="F168" s="614">
        <v>2057.73</v>
      </c>
      <c r="G168" s="613">
        <f t="shared" si="2"/>
        <v>2644.23</v>
      </c>
      <c r="H168" s="615"/>
      <c r="I168" s="613"/>
      <c r="J168" s="613" t="str">
        <f t="shared" si="3"/>
        <v/>
      </c>
      <c r="K168" s="613">
        <v>2644.23</v>
      </c>
      <c r="L168" s="90"/>
      <c r="M168" s="90"/>
      <c r="N168" s="90"/>
      <c r="O168" s="90"/>
      <c r="P168" s="90"/>
      <c r="Q168" s="90"/>
      <c r="R168" s="90"/>
      <c r="S168" s="90"/>
      <c r="T168" s="90"/>
      <c r="U168" s="90"/>
      <c r="V168" s="90"/>
      <c r="W168" s="90"/>
      <c r="X168" s="90"/>
      <c r="Y168" s="90"/>
      <c r="Z168" s="90"/>
    </row>
    <row r="169" ht="12.75" customHeight="1" outlineLevel="1">
      <c r="A169" s="612" t="s">
        <v>1653</v>
      </c>
      <c r="B169" s="613">
        <v>0.0</v>
      </c>
      <c r="C169" s="613">
        <v>0.0</v>
      </c>
      <c r="D169" s="613">
        <v>0.0</v>
      </c>
      <c r="E169" s="613">
        <f t="shared" si="1"/>
        <v>0</v>
      </c>
      <c r="F169" s="614">
        <v>370.2</v>
      </c>
      <c r="G169" s="613">
        <f t="shared" si="2"/>
        <v>370.2</v>
      </c>
      <c r="H169" s="615"/>
      <c r="I169" s="613"/>
      <c r="J169" s="613" t="str">
        <f t="shared" si="3"/>
        <v/>
      </c>
      <c r="K169" s="613">
        <v>370.2</v>
      </c>
      <c r="L169" s="90"/>
      <c r="M169" s="90"/>
      <c r="N169" s="90"/>
      <c r="O169" s="90"/>
      <c r="P169" s="90"/>
      <c r="Q169" s="90"/>
      <c r="R169" s="90"/>
      <c r="S169" s="90"/>
      <c r="T169" s="90"/>
      <c r="U169" s="90"/>
      <c r="V169" s="90"/>
      <c r="W169" s="90"/>
      <c r="X169" s="90"/>
      <c r="Y169" s="90"/>
      <c r="Z169" s="90"/>
    </row>
    <row r="170" ht="12.75" customHeight="1" outlineLevel="1">
      <c r="A170" s="612" t="s">
        <v>1654</v>
      </c>
      <c r="B170" s="617">
        <v>2537.66</v>
      </c>
      <c r="C170" s="616">
        <v>2754.17</v>
      </c>
      <c r="D170" s="616">
        <v>0.0</v>
      </c>
      <c r="E170" s="616">
        <f t="shared" si="1"/>
        <v>5291.83</v>
      </c>
      <c r="F170" s="617">
        <v>10381.8</v>
      </c>
      <c r="G170" s="616">
        <f t="shared" si="2"/>
        <v>15673.63</v>
      </c>
      <c r="H170" s="616">
        <v>0.0</v>
      </c>
      <c r="I170" s="616">
        <v>0.0</v>
      </c>
      <c r="J170" s="616">
        <f t="shared" si="3"/>
        <v>0</v>
      </c>
      <c r="K170" s="616">
        <v>15673.63</v>
      </c>
      <c r="L170" s="90"/>
      <c r="M170" s="90"/>
      <c r="N170" s="90"/>
      <c r="O170" s="90"/>
      <c r="P170" s="90"/>
      <c r="Q170" s="90"/>
      <c r="R170" s="90"/>
      <c r="S170" s="90"/>
      <c r="T170" s="90"/>
      <c r="U170" s="90"/>
      <c r="V170" s="90"/>
      <c r="W170" s="90"/>
      <c r="X170" s="90"/>
      <c r="Y170" s="90"/>
      <c r="Z170" s="90"/>
    </row>
    <row r="171" ht="12.75" customHeight="1" outlineLevel="1">
      <c r="A171" s="618" t="s">
        <v>1655</v>
      </c>
      <c r="B171" s="613">
        <v>500.0</v>
      </c>
      <c r="C171" s="613">
        <v>0.0</v>
      </c>
      <c r="D171" s="613">
        <v>0.0</v>
      </c>
      <c r="E171" s="613">
        <f t="shared" si="1"/>
        <v>500</v>
      </c>
      <c r="F171" s="614">
        <v>49.95</v>
      </c>
      <c r="G171" s="613">
        <f t="shared" si="2"/>
        <v>549.95</v>
      </c>
      <c r="H171" s="615"/>
      <c r="I171" s="613"/>
      <c r="J171" s="613" t="str">
        <f t="shared" si="3"/>
        <v/>
      </c>
      <c r="K171" s="613">
        <v>549.95</v>
      </c>
      <c r="L171" s="90"/>
      <c r="M171" s="90"/>
      <c r="N171" s="90"/>
      <c r="O171" s="90"/>
      <c r="P171" s="90"/>
      <c r="Q171" s="90"/>
      <c r="R171" s="90"/>
      <c r="S171" s="90"/>
      <c r="T171" s="90"/>
      <c r="U171" s="90"/>
      <c r="V171" s="90"/>
      <c r="W171" s="90"/>
      <c r="X171" s="90"/>
      <c r="Y171" s="90"/>
      <c r="Z171" s="90"/>
    </row>
    <row r="172" ht="12.75" customHeight="1" outlineLevel="1">
      <c r="A172" s="612" t="s">
        <v>1656</v>
      </c>
      <c r="B172" s="613">
        <v>4585.32</v>
      </c>
      <c r="C172" s="613">
        <v>0.0</v>
      </c>
      <c r="D172" s="613">
        <v>0.0</v>
      </c>
      <c r="E172" s="613">
        <f t="shared" si="1"/>
        <v>4585.32</v>
      </c>
      <c r="F172" s="614">
        <v>20.0</v>
      </c>
      <c r="G172" s="613">
        <f t="shared" si="2"/>
        <v>4605.32</v>
      </c>
      <c r="H172" s="615"/>
      <c r="I172" s="613"/>
      <c r="J172" s="613" t="str">
        <f t="shared" si="3"/>
        <v/>
      </c>
      <c r="K172" s="613">
        <v>4605.32</v>
      </c>
      <c r="L172" s="90"/>
      <c r="M172" s="90"/>
      <c r="N172" s="90"/>
      <c r="O172" s="90"/>
      <c r="P172" s="90"/>
      <c r="Q172" s="90"/>
      <c r="R172" s="90"/>
      <c r="S172" s="90"/>
      <c r="T172" s="90"/>
      <c r="U172" s="90"/>
      <c r="V172" s="90"/>
      <c r="W172" s="90"/>
      <c r="X172" s="90"/>
      <c r="Y172" s="90"/>
      <c r="Z172" s="90"/>
    </row>
    <row r="173" ht="12.75" customHeight="1" outlineLevel="1">
      <c r="A173" s="612" t="s">
        <v>1657</v>
      </c>
      <c r="B173" s="616">
        <v>5085.32</v>
      </c>
      <c r="C173" s="616">
        <v>0.0</v>
      </c>
      <c r="D173" s="616">
        <v>0.0</v>
      </c>
      <c r="E173" s="616">
        <f t="shared" si="1"/>
        <v>5085.32</v>
      </c>
      <c r="F173" s="617">
        <v>69.95</v>
      </c>
      <c r="G173" s="616">
        <f t="shared" si="2"/>
        <v>5155.27</v>
      </c>
      <c r="H173" s="616">
        <v>0.0</v>
      </c>
      <c r="I173" s="616">
        <v>0.0</v>
      </c>
      <c r="J173" s="616">
        <f t="shared" si="3"/>
        <v>0</v>
      </c>
      <c r="K173" s="616">
        <v>5155.27</v>
      </c>
      <c r="L173" s="90"/>
      <c r="M173" s="90"/>
      <c r="N173" s="90"/>
      <c r="O173" s="90"/>
      <c r="P173" s="90"/>
      <c r="Q173" s="90"/>
      <c r="R173" s="90"/>
      <c r="S173" s="90"/>
      <c r="T173" s="90"/>
      <c r="U173" s="90"/>
      <c r="V173" s="90"/>
      <c r="W173" s="90"/>
      <c r="X173" s="90"/>
      <c r="Y173" s="90"/>
      <c r="Z173" s="90"/>
    </row>
    <row r="174" ht="12.75" customHeight="1" outlineLevel="1">
      <c r="A174" s="618" t="s">
        <v>1658</v>
      </c>
      <c r="B174" s="613">
        <v>22402.56</v>
      </c>
      <c r="C174" s="613">
        <v>0.0</v>
      </c>
      <c r="D174" s="613">
        <v>0.0</v>
      </c>
      <c r="E174" s="613">
        <f t="shared" si="1"/>
        <v>22402.56</v>
      </c>
      <c r="F174" s="614">
        <v>0.0</v>
      </c>
      <c r="G174" s="613">
        <f t="shared" si="2"/>
        <v>22402.56</v>
      </c>
      <c r="H174" s="615"/>
      <c r="I174" s="613"/>
      <c r="J174" s="613" t="str">
        <f t="shared" si="3"/>
        <v/>
      </c>
      <c r="K174" s="613">
        <v>22402.56</v>
      </c>
      <c r="L174" s="90"/>
      <c r="M174" s="90"/>
      <c r="N174" s="90"/>
      <c r="O174" s="90"/>
      <c r="P174" s="90"/>
      <c r="Q174" s="90"/>
      <c r="R174" s="90"/>
      <c r="S174" s="90"/>
      <c r="T174" s="90"/>
      <c r="U174" s="90"/>
      <c r="V174" s="90"/>
      <c r="W174" s="90"/>
      <c r="X174" s="90"/>
      <c r="Y174" s="90"/>
      <c r="Z174" s="90"/>
    </row>
    <row r="175" ht="12.75" customHeight="1" outlineLevel="1">
      <c r="A175" s="612" t="s">
        <v>1659</v>
      </c>
      <c r="B175" s="613">
        <v>0.0</v>
      </c>
      <c r="C175" s="613">
        <v>0.0</v>
      </c>
      <c r="D175" s="613">
        <v>0.0</v>
      </c>
      <c r="E175" s="613">
        <f t="shared" si="1"/>
        <v>0</v>
      </c>
      <c r="F175" s="614">
        <v>0.0</v>
      </c>
      <c r="G175" s="613">
        <f t="shared" si="2"/>
        <v>0</v>
      </c>
      <c r="H175" s="615"/>
      <c r="I175" s="613"/>
      <c r="J175" s="613" t="str">
        <f t="shared" si="3"/>
        <v/>
      </c>
      <c r="K175" s="613">
        <v>0.0</v>
      </c>
      <c r="L175" s="90"/>
      <c r="M175" s="90"/>
      <c r="N175" s="90"/>
      <c r="O175" s="90"/>
      <c r="P175" s="90"/>
      <c r="Q175" s="90"/>
      <c r="R175" s="90"/>
      <c r="S175" s="90"/>
      <c r="T175" s="90"/>
      <c r="U175" s="90"/>
      <c r="V175" s="90"/>
      <c r="W175" s="90"/>
      <c r="X175" s="90"/>
      <c r="Y175" s="90"/>
      <c r="Z175" s="90"/>
    </row>
    <row r="176" ht="12.75" customHeight="1" outlineLevel="1">
      <c r="A176" s="612" t="s">
        <v>1660</v>
      </c>
      <c r="B176" s="613">
        <v>26471.04</v>
      </c>
      <c r="C176" s="613">
        <v>0.0</v>
      </c>
      <c r="D176" s="613">
        <v>0.0</v>
      </c>
      <c r="E176" s="613">
        <f t="shared" si="1"/>
        <v>26471.04</v>
      </c>
      <c r="F176" s="614">
        <v>0.0</v>
      </c>
      <c r="G176" s="613">
        <f t="shared" si="2"/>
        <v>26471.04</v>
      </c>
      <c r="H176" s="615"/>
      <c r="I176" s="613"/>
      <c r="J176" s="613" t="str">
        <f t="shared" si="3"/>
        <v/>
      </c>
      <c r="K176" s="613">
        <v>26471.04</v>
      </c>
      <c r="L176" s="90"/>
      <c r="M176" s="90"/>
      <c r="N176" s="90"/>
      <c r="O176" s="90"/>
      <c r="P176" s="90"/>
      <c r="Q176" s="90"/>
      <c r="R176" s="90"/>
      <c r="S176" s="90"/>
      <c r="T176" s="90"/>
      <c r="U176" s="90"/>
      <c r="V176" s="90"/>
      <c r="W176" s="90"/>
      <c r="X176" s="90"/>
      <c r="Y176" s="90"/>
      <c r="Z176" s="90"/>
    </row>
    <row r="177" ht="12.75" customHeight="1" outlineLevel="1">
      <c r="A177" s="612" t="s">
        <v>1661</v>
      </c>
      <c r="B177" s="613">
        <v>402.6</v>
      </c>
      <c r="C177" s="613">
        <v>0.0</v>
      </c>
      <c r="D177" s="613">
        <v>0.0</v>
      </c>
      <c r="E177" s="613">
        <f t="shared" si="1"/>
        <v>402.6</v>
      </c>
      <c r="F177" s="614">
        <v>0.0</v>
      </c>
      <c r="G177" s="613">
        <f t="shared" si="2"/>
        <v>402.6</v>
      </c>
      <c r="H177" s="615"/>
      <c r="I177" s="613"/>
      <c r="J177" s="613" t="str">
        <f t="shared" si="3"/>
        <v/>
      </c>
      <c r="K177" s="613">
        <v>402.6</v>
      </c>
      <c r="L177" s="90"/>
      <c r="M177" s="90"/>
      <c r="N177" s="90"/>
      <c r="O177" s="90"/>
      <c r="P177" s="90"/>
      <c r="Q177" s="90"/>
      <c r="R177" s="90"/>
      <c r="S177" s="90"/>
      <c r="T177" s="90"/>
      <c r="U177" s="90"/>
      <c r="V177" s="90"/>
      <c r="W177" s="90"/>
      <c r="X177" s="90"/>
      <c r="Y177" s="90"/>
      <c r="Z177" s="90"/>
    </row>
    <row r="178" ht="12.75" customHeight="1" outlineLevel="1">
      <c r="A178" s="612" t="s">
        <v>1662</v>
      </c>
      <c r="B178" s="613">
        <v>5205.84</v>
      </c>
      <c r="C178" s="613">
        <v>0.0</v>
      </c>
      <c r="D178" s="613">
        <v>0.0</v>
      </c>
      <c r="E178" s="613">
        <f t="shared" si="1"/>
        <v>5205.84</v>
      </c>
      <c r="F178" s="614">
        <v>507.6</v>
      </c>
      <c r="G178" s="613">
        <f t="shared" si="2"/>
        <v>5713.44</v>
      </c>
      <c r="H178" s="615"/>
      <c r="I178" s="613"/>
      <c r="J178" s="613" t="str">
        <f t="shared" si="3"/>
        <v/>
      </c>
      <c r="K178" s="613">
        <v>5713.44</v>
      </c>
      <c r="L178" s="90"/>
      <c r="M178" s="90"/>
      <c r="N178" s="90"/>
      <c r="O178" s="90"/>
      <c r="P178" s="90"/>
      <c r="Q178" s="90"/>
      <c r="R178" s="90"/>
      <c r="S178" s="90"/>
      <c r="T178" s="90"/>
      <c r="U178" s="90"/>
      <c r="V178" s="90"/>
      <c r="W178" s="90"/>
      <c r="X178" s="90"/>
      <c r="Y178" s="90"/>
      <c r="Z178" s="90"/>
    </row>
    <row r="179" ht="12.75" customHeight="1" outlineLevel="1">
      <c r="A179" s="612" t="s">
        <v>1663</v>
      </c>
      <c r="B179" s="617">
        <v>32079.48</v>
      </c>
      <c r="C179" s="616">
        <v>0.0</v>
      </c>
      <c r="D179" s="616">
        <v>0.0</v>
      </c>
      <c r="E179" s="616">
        <f t="shared" si="1"/>
        <v>32079.48</v>
      </c>
      <c r="F179" s="617">
        <v>507.6</v>
      </c>
      <c r="G179" s="616">
        <f t="shared" si="2"/>
        <v>32587.08</v>
      </c>
      <c r="H179" s="616">
        <v>0.0</v>
      </c>
      <c r="I179" s="616">
        <v>0.0</v>
      </c>
      <c r="J179" s="616">
        <f t="shared" si="3"/>
        <v>0</v>
      </c>
      <c r="K179" s="616">
        <v>32587.08</v>
      </c>
      <c r="L179" s="90"/>
      <c r="M179" s="90"/>
      <c r="N179" s="90"/>
      <c r="O179" s="90"/>
      <c r="P179" s="90"/>
      <c r="Q179" s="90"/>
      <c r="R179" s="90"/>
      <c r="S179" s="90"/>
      <c r="T179" s="90"/>
      <c r="U179" s="90"/>
      <c r="V179" s="90"/>
      <c r="W179" s="90"/>
      <c r="X179" s="90"/>
      <c r="Y179" s="90"/>
      <c r="Z179" s="90"/>
    </row>
    <row r="180" ht="12.75" customHeight="1" outlineLevel="1">
      <c r="A180" s="618" t="s">
        <v>1664</v>
      </c>
      <c r="B180" s="613">
        <v>0.0</v>
      </c>
      <c r="C180" s="613">
        <v>0.0</v>
      </c>
      <c r="D180" s="613">
        <v>0.0</v>
      </c>
      <c r="E180" s="613">
        <f t="shared" si="1"/>
        <v>0</v>
      </c>
      <c r="F180" s="614">
        <v>0.0</v>
      </c>
      <c r="G180" s="613">
        <f t="shared" si="2"/>
        <v>0</v>
      </c>
      <c r="H180" s="615"/>
      <c r="I180" s="613"/>
      <c r="J180" s="613" t="str">
        <f t="shared" si="3"/>
        <v/>
      </c>
      <c r="K180" s="613">
        <v>0.0</v>
      </c>
      <c r="L180" s="90"/>
      <c r="M180" s="90"/>
      <c r="N180" s="90"/>
      <c r="O180" s="90"/>
      <c r="P180" s="90"/>
      <c r="Q180" s="90"/>
      <c r="R180" s="90"/>
      <c r="S180" s="90"/>
      <c r="T180" s="90"/>
      <c r="U180" s="90"/>
      <c r="V180" s="90"/>
      <c r="W180" s="90"/>
      <c r="X180" s="90"/>
      <c r="Y180" s="90"/>
      <c r="Z180" s="90"/>
    </row>
    <row r="181" ht="12.75" customHeight="1" outlineLevel="1">
      <c r="A181" s="612" t="s">
        <v>1665</v>
      </c>
      <c r="B181" s="614">
        <v>-1036.9</v>
      </c>
      <c r="C181" s="613">
        <v>0.0</v>
      </c>
      <c r="D181" s="613">
        <v>0.0</v>
      </c>
      <c r="E181" s="613">
        <f t="shared" si="1"/>
        <v>-1036.9</v>
      </c>
      <c r="F181" s="614">
        <v>0.0</v>
      </c>
      <c r="G181" s="613">
        <f t="shared" si="2"/>
        <v>-1036.9</v>
      </c>
      <c r="H181" s="613">
        <v>124800.0</v>
      </c>
      <c r="I181" s="613"/>
      <c r="J181" s="613" t="str">
        <f t="shared" si="3"/>
        <v/>
      </c>
      <c r="K181" s="613">
        <v>123763.1</v>
      </c>
      <c r="L181" s="90"/>
      <c r="M181" s="90"/>
      <c r="N181" s="90"/>
      <c r="O181" s="90"/>
      <c r="P181" s="90"/>
      <c r="Q181" s="90"/>
      <c r="R181" s="90"/>
      <c r="S181" s="90"/>
      <c r="T181" s="90"/>
      <c r="U181" s="90"/>
      <c r="V181" s="90"/>
      <c r="W181" s="90"/>
      <c r="X181" s="90"/>
      <c r="Y181" s="90"/>
      <c r="Z181" s="90"/>
    </row>
    <row r="182" ht="12.75" customHeight="1" outlineLevel="1">
      <c r="A182" s="612" t="s">
        <v>1666</v>
      </c>
      <c r="B182" s="613">
        <v>460003.59</v>
      </c>
      <c r="C182" s="613">
        <v>232000.0</v>
      </c>
      <c r="D182" s="613">
        <v>0.0</v>
      </c>
      <c r="E182" s="613">
        <f t="shared" si="1"/>
        <v>692003.59</v>
      </c>
      <c r="F182" s="614">
        <v>0.0</v>
      </c>
      <c r="G182" s="613">
        <f t="shared" si="2"/>
        <v>692003.59</v>
      </c>
      <c r="H182" s="615"/>
      <c r="I182" s="613"/>
      <c r="J182" s="613" t="str">
        <f t="shared" si="3"/>
        <v/>
      </c>
      <c r="K182" s="613">
        <v>692003.59</v>
      </c>
      <c r="L182" s="90"/>
      <c r="M182" s="90"/>
      <c r="N182" s="90"/>
      <c r="O182" s="90"/>
      <c r="P182" s="90"/>
      <c r="Q182" s="90"/>
      <c r="R182" s="90"/>
      <c r="S182" s="90"/>
      <c r="T182" s="90"/>
      <c r="U182" s="90"/>
      <c r="V182" s="90"/>
      <c r="W182" s="90"/>
      <c r="X182" s="90"/>
      <c r="Y182" s="90"/>
      <c r="Z182" s="90"/>
    </row>
    <row r="183" ht="12.75" customHeight="1" outlineLevel="1">
      <c r="A183" s="612" t="s">
        <v>1667</v>
      </c>
      <c r="B183" s="614">
        <v>30759.29</v>
      </c>
      <c r="C183" s="613">
        <v>0.0</v>
      </c>
      <c r="D183" s="613">
        <v>0.0</v>
      </c>
      <c r="E183" s="613">
        <f t="shared" si="1"/>
        <v>30759.29</v>
      </c>
      <c r="F183" s="614">
        <v>0.0</v>
      </c>
      <c r="G183" s="613">
        <f t="shared" si="2"/>
        <v>30759.29</v>
      </c>
      <c r="H183" s="615"/>
      <c r="I183" s="613"/>
      <c r="J183" s="613" t="str">
        <f t="shared" si="3"/>
        <v/>
      </c>
      <c r="K183" s="613">
        <v>30759.29</v>
      </c>
      <c r="L183" s="90"/>
      <c r="M183" s="90"/>
      <c r="N183" s="90"/>
      <c r="O183" s="90"/>
      <c r="P183" s="90"/>
      <c r="Q183" s="90"/>
      <c r="R183" s="90"/>
      <c r="S183" s="90"/>
      <c r="T183" s="90"/>
      <c r="U183" s="90"/>
      <c r="V183" s="90"/>
      <c r="W183" s="90"/>
      <c r="X183" s="90"/>
      <c r="Y183" s="90"/>
      <c r="Z183" s="90"/>
    </row>
    <row r="184" ht="12.75" customHeight="1" outlineLevel="1">
      <c r="A184" s="612" t="s">
        <v>1668</v>
      </c>
      <c r="B184" s="613">
        <v>2531.58</v>
      </c>
      <c r="C184" s="613">
        <v>0.0</v>
      </c>
      <c r="D184" s="613">
        <v>0.0</v>
      </c>
      <c r="E184" s="613">
        <f t="shared" si="1"/>
        <v>2531.58</v>
      </c>
      <c r="F184" s="614">
        <v>0.0</v>
      </c>
      <c r="G184" s="613">
        <f t="shared" si="2"/>
        <v>2531.58</v>
      </c>
      <c r="H184" s="615"/>
      <c r="I184" s="613"/>
      <c r="J184" s="613" t="str">
        <f t="shared" si="3"/>
        <v/>
      </c>
      <c r="K184" s="613">
        <v>2531.58</v>
      </c>
      <c r="L184" s="90"/>
      <c r="M184" s="90"/>
      <c r="N184" s="90"/>
      <c r="O184" s="90"/>
      <c r="P184" s="90"/>
      <c r="Q184" s="90"/>
      <c r="R184" s="90"/>
      <c r="S184" s="90"/>
      <c r="T184" s="90"/>
      <c r="U184" s="90"/>
      <c r="V184" s="90"/>
      <c r="W184" s="90"/>
      <c r="X184" s="90"/>
      <c r="Y184" s="90"/>
      <c r="Z184" s="90"/>
    </row>
    <row r="185" ht="12.75" customHeight="1" outlineLevel="1">
      <c r="A185" s="612" t="s">
        <v>1669</v>
      </c>
      <c r="B185" s="613">
        <v>0.0</v>
      </c>
      <c r="C185" s="613">
        <v>0.0</v>
      </c>
      <c r="D185" s="613">
        <v>0.0</v>
      </c>
      <c r="E185" s="613">
        <f t="shared" si="1"/>
        <v>0</v>
      </c>
      <c r="F185" s="614">
        <v>0.0</v>
      </c>
      <c r="G185" s="613">
        <f t="shared" si="2"/>
        <v>0</v>
      </c>
      <c r="H185" s="613">
        <v>5483.74</v>
      </c>
      <c r="I185" s="613"/>
      <c r="J185" s="613" t="str">
        <f t="shared" si="3"/>
        <v/>
      </c>
      <c r="K185" s="613">
        <v>5483.74</v>
      </c>
      <c r="L185" s="90"/>
      <c r="M185" s="90"/>
      <c r="N185" s="90"/>
      <c r="O185" s="90"/>
      <c r="P185" s="90"/>
      <c r="Q185" s="90"/>
      <c r="R185" s="90"/>
      <c r="S185" s="90"/>
      <c r="T185" s="90"/>
      <c r="U185" s="90"/>
      <c r="V185" s="90"/>
      <c r="W185" s="90"/>
      <c r="X185" s="90"/>
      <c r="Y185" s="90"/>
      <c r="Z185" s="90"/>
    </row>
    <row r="186" ht="12.75" customHeight="1" outlineLevel="1">
      <c r="A186" s="612" t="s">
        <v>1670</v>
      </c>
      <c r="B186" s="613">
        <v>75.0</v>
      </c>
      <c r="C186" s="613">
        <v>0.0</v>
      </c>
      <c r="D186" s="613">
        <v>0.0</v>
      </c>
      <c r="E186" s="613">
        <f t="shared" si="1"/>
        <v>75</v>
      </c>
      <c r="F186" s="614">
        <v>0.0</v>
      </c>
      <c r="G186" s="613">
        <f t="shared" si="2"/>
        <v>75</v>
      </c>
      <c r="H186" s="615"/>
      <c r="I186" s="613"/>
      <c r="J186" s="613" t="str">
        <f t="shared" si="3"/>
        <v/>
      </c>
      <c r="K186" s="613">
        <v>75.0</v>
      </c>
      <c r="L186" s="90"/>
      <c r="M186" s="90"/>
      <c r="N186" s="90"/>
      <c r="O186" s="90"/>
      <c r="P186" s="90"/>
      <c r="Q186" s="90"/>
      <c r="R186" s="90"/>
      <c r="S186" s="90"/>
      <c r="T186" s="90"/>
      <c r="U186" s="90"/>
      <c r="V186" s="90"/>
      <c r="W186" s="90"/>
      <c r="X186" s="90"/>
      <c r="Y186" s="90"/>
      <c r="Z186" s="90"/>
    </row>
    <row r="187" ht="12.75" customHeight="1" outlineLevel="1">
      <c r="A187" s="612" t="s">
        <v>1671</v>
      </c>
      <c r="B187" s="617">
        <v>2606.58</v>
      </c>
      <c r="C187" s="616">
        <v>0.0</v>
      </c>
      <c r="D187" s="616">
        <v>0.0</v>
      </c>
      <c r="E187" s="616">
        <f t="shared" si="1"/>
        <v>2606.58</v>
      </c>
      <c r="F187" s="617">
        <v>0.0</v>
      </c>
      <c r="G187" s="616">
        <f t="shared" si="2"/>
        <v>2606.58</v>
      </c>
      <c r="H187" s="616">
        <v>5483.74</v>
      </c>
      <c r="I187" s="616">
        <v>0.0</v>
      </c>
      <c r="J187" s="616">
        <f t="shared" si="3"/>
        <v>5483.74</v>
      </c>
      <c r="K187" s="616">
        <v>8090.32</v>
      </c>
      <c r="L187" s="90"/>
      <c r="M187" s="90"/>
      <c r="N187" s="90"/>
      <c r="O187" s="90"/>
      <c r="P187" s="90"/>
      <c r="Q187" s="90"/>
      <c r="R187" s="90"/>
      <c r="S187" s="90"/>
      <c r="T187" s="90"/>
      <c r="U187" s="90"/>
      <c r="V187" s="90"/>
      <c r="W187" s="90"/>
      <c r="X187" s="90"/>
      <c r="Y187" s="90"/>
      <c r="Z187" s="90"/>
    </row>
    <row r="188" ht="12.75" customHeight="1" outlineLevel="1">
      <c r="A188" s="618" t="s">
        <v>1672</v>
      </c>
      <c r="B188" s="616">
        <v>492332.56</v>
      </c>
      <c r="C188" s="616">
        <v>232000.0</v>
      </c>
      <c r="D188" s="616">
        <v>0.0</v>
      </c>
      <c r="E188" s="616">
        <f t="shared" si="1"/>
        <v>724332.56</v>
      </c>
      <c r="F188" s="617">
        <v>0.0</v>
      </c>
      <c r="G188" s="616">
        <f t="shared" si="2"/>
        <v>724332.56</v>
      </c>
      <c r="H188" s="616">
        <v>130283.74</v>
      </c>
      <c r="I188" s="616">
        <v>0.0</v>
      </c>
      <c r="J188" s="616">
        <f t="shared" si="3"/>
        <v>130283.74</v>
      </c>
      <c r="K188" s="616">
        <v>854616.3</v>
      </c>
      <c r="L188" s="90"/>
      <c r="M188" s="90"/>
      <c r="N188" s="90"/>
      <c r="O188" s="90"/>
      <c r="P188" s="90"/>
      <c r="Q188" s="90"/>
      <c r="R188" s="90"/>
      <c r="S188" s="90"/>
      <c r="T188" s="90"/>
      <c r="U188" s="90"/>
      <c r="V188" s="90"/>
      <c r="W188" s="90"/>
      <c r="X188" s="90"/>
      <c r="Y188" s="90"/>
      <c r="Z188" s="90"/>
    </row>
    <row r="189" ht="12.75" customHeight="1" outlineLevel="1">
      <c r="A189" s="618" t="s">
        <v>1673</v>
      </c>
      <c r="B189" s="613">
        <v>0.0</v>
      </c>
      <c r="C189" s="613">
        <v>0.0</v>
      </c>
      <c r="D189" s="613">
        <v>0.0</v>
      </c>
      <c r="E189" s="613">
        <f t="shared" si="1"/>
        <v>0</v>
      </c>
      <c r="F189" s="614">
        <v>0.0</v>
      </c>
      <c r="G189" s="613">
        <f t="shared" si="2"/>
        <v>0</v>
      </c>
      <c r="H189" s="615"/>
      <c r="I189" s="613"/>
      <c r="J189" s="613" t="str">
        <f t="shared" si="3"/>
        <v/>
      </c>
      <c r="K189" s="613">
        <v>0.0</v>
      </c>
      <c r="L189" s="90"/>
      <c r="M189" s="90"/>
      <c r="N189" s="90"/>
      <c r="O189" s="90"/>
      <c r="P189" s="90"/>
      <c r="Q189" s="90"/>
      <c r="R189" s="90"/>
      <c r="S189" s="90"/>
      <c r="T189" s="90"/>
      <c r="U189" s="90"/>
      <c r="V189" s="90"/>
      <c r="W189" s="90"/>
      <c r="X189" s="90"/>
      <c r="Y189" s="90"/>
      <c r="Z189" s="90"/>
    </row>
    <row r="190" ht="12.75" customHeight="1" outlineLevel="1">
      <c r="A190" s="612" t="s">
        <v>1674</v>
      </c>
      <c r="B190" s="614">
        <v>5420.0</v>
      </c>
      <c r="C190" s="613">
        <v>368.75</v>
      </c>
      <c r="D190" s="613">
        <v>0.0</v>
      </c>
      <c r="E190" s="613">
        <f t="shared" si="1"/>
        <v>5788.75</v>
      </c>
      <c r="F190" s="614">
        <v>0.0</v>
      </c>
      <c r="G190" s="613">
        <f t="shared" si="2"/>
        <v>5788.75</v>
      </c>
      <c r="H190" s="615"/>
      <c r="I190" s="613"/>
      <c r="J190" s="613" t="str">
        <f t="shared" si="3"/>
        <v/>
      </c>
      <c r="K190" s="613">
        <v>5788.75</v>
      </c>
      <c r="L190" s="90"/>
      <c r="M190" s="90"/>
      <c r="N190" s="90"/>
      <c r="O190" s="90"/>
      <c r="P190" s="90"/>
      <c r="Q190" s="90"/>
      <c r="R190" s="90"/>
      <c r="S190" s="90"/>
      <c r="T190" s="90"/>
      <c r="U190" s="90"/>
      <c r="V190" s="90"/>
      <c r="W190" s="90"/>
      <c r="X190" s="90"/>
      <c r="Y190" s="90"/>
      <c r="Z190" s="90"/>
    </row>
    <row r="191" ht="12.75" customHeight="1" outlineLevel="1">
      <c r="A191" s="612" t="s">
        <v>1675</v>
      </c>
      <c r="B191" s="614">
        <v>2762.5</v>
      </c>
      <c r="C191" s="613">
        <v>0.0</v>
      </c>
      <c r="D191" s="613">
        <v>0.0</v>
      </c>
      <c r="E191" s="613">
        <f t="shared" si="1"/>
        <v>2762.5</v>
      </c>
      <c r="F191" s="614">
        <v>0.0</v>
      </c>
      <c r="G191" s="613">
        <f t="shared" si="2"/>
        <v>2762.5</v>
      </c>
      <c r="H191" s="615"/>
      <c r="I191" s="613"/>
      <c r="J191" s="613" t="str">
        <f t="shared" si="3"/>
        <v/>
      </c>
      <c r="K191" s="613">
        <v>2762.5</v>
      </c>
      <c r="L191" s="90"/>
      <c r="M191" s="90"/>
      <c r="N191" s="90"/>
      <c r="O191" s="90"/>
      <c r="P191" s="90"/>
      <c r="Q191" s="90"/>
      <c r="R191" s="90"/>
      <c r="S191" s="90"/>
      <c r="T191" s="90"/>
      <c r="U191" s="90"/>
      <c r="V191" s="90"/>
      <c r="W191" s="90"/>
      <c r="X191" s="90"/>
      <c r="Y191" s="90"/>
      <c r="Z191" s="90"/>
    </row>
    <row r="192" ht="12.75" customHeight="1" outlineLevel="1">
      <c r="A192" s="612" t="s">
        <v>1676</v>
      </c>
      <c r="B192" s="614">
        <v>18340.0</v>
      </c>
      <c r="C192" s="613">
        <v>0.0</v>
      </c>
      <c r="D192" s="613">
        <v>0.0</v>
      </c>
      <c r="E192" s="613">
        <f t="shared" si="1"/>
        <v>18340</v>
      </c>
      <c r="F192" s="614">
        <v>0.0</v>
      </c>
      <c r="G192" s="613">
        <f t="shared" si="2"/>
        <v>18340</v>
      </c>
      <c r="H192" s="615"/>
      <c r="I192" s="613"/>
      <c r="J192" s="613" t="str">
        <f t="shared" si="3"/>
        <v/>
      </c>
      <c r="K192" s="613">
        <v>18340.0</v>
      </c>
      <c r="L192" s="90"/>
      <c r="M192" s="90"/>
      <c r="N192" s="90"/>
      <c r="O192" s="90"/>
      <c r="P192" s="90"/>
      <c r="Q192" s="90"/>
      <c r="R192" s="90"/>
      <c r="S192" s="90"/>
      <c r="T192" s="90"/>
      <c r="U192" s="90"/>
      <c r="V192" s="90"/>
      <c r="W192" s="90"/>
      <c r="X192" s="90"/>
      <c r="Y192" s="90"/>
      <c r="Z192" s="90"/>
    </row>
    <row r="193" ht="12.75" customHeight="1" outlineLevel="1">
      <c r="A193" s="612" t="s">
        <v>1677</v>
      </c>
      <c r="B193" s="614">
        <v>20215.0</v>
      </c>
      <c r="C193" s="613">
        <v>0.0</v>
      </c>
      <c r="D193" s="613">
        <v>0.0</v>
      </c>
      <c r="E193" s="613">
        <f t="shared" si="1"/>
        <v>20215</v>
      </c>
      <c r="F193" s="614">
        <v>0.0</v>
      </c>
      <c r="G193" s="613">
        <f t="shared" si="2"/>
        <v>20215</v>
      </c>
      <c r="H193" s="615"/>
      <c r="I193" s="613"/>
      <c r="J193" s="613" t="str">
        <f t="shared" si="3"/>
        <v/>
      </c>
      <c r="K193" s="613">
        <v>20215.0</v>
      </c>
      <c r="L193" s="90"/>
      <c r="M193" s="90"/>
      <c r="N193" s="90"/>
      <c r="O193" s="90"/>
      <c r="P193" s="90"/>
      <c r="Q193" s="90"/>
      <c r="R193" s="90"/>
      <c r="S193" s="90"/>
      <c r="T193" s="90"/>
      <c r="U193" s="90"/>
      <c r="V193" s="90"/>
      <c r="W193" s="90"/>
      <c r="X193" s="90"/>
      <c r="Y193" s="90"/>
      <c r="Z193" s="90"/>
    </row>
    <row r="194" ht="12.75" customHeight="1" outlineLevel="1">
      <c r="A194" s="612" t="s">
        <v>1678</v>
      </c>
      <c r="B194" s="614">
        <v>39641.31</v>
      </c>
      <c r="C194" s="613">
        <v>0.0</v>
      </c>
      <c r="D194" s="613">
        <v>0.0</v>
      </c>
      <c r="E194" s="613">
        <f t="shared" si="1"/>
        <v>39641.31</v>
      </c>
      <c r="F194" s="614">
        <v>0.0</v>
      </c>
      <c r="G194" s="613">
        <f t="shared" si="2"/>
        <v>39641.31</v>
      </c>
      <c r="H194" s="615"/>
      <c r="I194" s="613"/>
      <c r="J194" s="613" t="str">
        <f t="shared" si="3"/>
        <v/>
      </c>
      <c r="K194" s="613">
        <v>39641.31</v>
      </c>
      <c r="L194" s="90"/>
      <c r="M194" s="90"/>
      <c r="N194" s="90"/>
      <c r="O194" s="90"/>
      <c r="P194" s="90"/>
      <c r="Q194" s="90"/>
      <c r="R194" s="90"/>
      <c r="S194" s="90"/>
      <c r="T194" s="90"/>
      <c r="U194" s="90"/>
      <c r="V194" s="90"/>
      <c r="W194" s="90"/>
      <c r="X194" s="90"/>
      <c r="Y194" s="90"/>
      <c r="Z194" s="90"/>
    </row>
    <row r="195" ht="12.75" customHeight="1" outlineLevel="1">
      <c r="A195" s="612" t="s">
        <v>1679</v>
      </c>
      <c r="B195" s="616">
        <v>86378.81</v>
      </c>
      <c r="C195" s="616">
        <v>368.75</v>
      </c>
      <c r="D195" s="616">
        <v>0.0</v>
      </c>
      <c r="E195" s="616">
        <f t="shared" si="1"/>
        <v>86747.56</v>
      </c>
      <c r="F195" s="617">
        <v>0.0</v>
      </c>
      <c r="G195" s="616">
        <f t="shared" si="2"/>
        <v>86747.56</v>
      </c>
      <c r="H195" s="616">
        <v>0.0</v>
      </c>
      <c r="I195" s="616">
        <v>0.0</v>
      </c>
      <c r="J195" s="616">
        <f t="shared" si="3"/>
        <v>0</v>
      </c>
      <c r="K195" s="616">
        <v>86747.56</v>
      </c>
      <c r="L195" s="90"/>
      <c r="M195" s="90"/>
      <c r="N195" s="90"/>
      <c r="O195" s="90"/>
      <c r="P195" s="90"/>
      <c r="Q195" s="90"/>
      <c r="R195" s="90"/>
      <c r="S195" s="90"/>
      <c r="T195" s="90"/>
      <c r="U195" s="90"/>
      <c r="V195" s="90"/>
      <c r="W195" s="90"/>
      <c r="X195" s="90"/>
      <c r="Y195" s="90"/>
      <c r="Z195" s="90"/>
    </row>
    <row r="196" ht="12.75" customHeight="1" outlineLevel="1">
      <c r="A196" s="618" t="s">
        <v>1680</v>
      </c>
      <c r="B196" s="614">
        <v>22238.65</v>
      </c>
      <c r="C196" s="613">
        <v>167.68</v>
      </c>
      <c r="D196" s="613">
        <v>0.0</v>
      </c>
      <c r="E196" s="613">
        <f t="shared" si="1"/>
        <v>22406.33</v>
      </c>
      <c r="F196" s="614">
        <v>5260.0</v>
      </c>
      <c r="G196" s="613">
        <f t="shared" si="2"/>
        <v>27666.33</v>
      </c>
      <c r="H196" s="615"/>
      <c r="I196" s="613"/>
      <c r="J196" s="613" t="str">
        <f t="shared" si="3"/>
        <v/>
      </c>
      <c r="K196" s="613">
        <v>27666.33</v>
      </c>
      <c r="L196" s="90"/>
      <c r="M196" s="90"/>
      <c r="N196" s="90"/>
      <c r="O196" s="90"/>
      <c r="P196" s="90"/>
      <c r="Q196" s="90"/>
      <c r="R196" s="90"/>
      <c r="S196" s="90"/>
      <c r="T196" s="90"/>
      <c r="U196" s="90"/>
      <c r="V196" s="90"/>
      <c r="W196" s="90"/>
      <c r="X196" s="90"/>
      <c r="Y196" s="90"/>
      <c r="Z196" s="90"/>
    </row>
    <row r="197" ht="12.75" customHeight="1" outlineLevel="1">
      <c r="A197" s="612" t="s">
        <v>1681</v>
      </c>
      <c r="B197" s="614">
        <v>3569.08</v>
      </c>
      <c r="C197" s="613">
        <v>17785.37</v>
      </c>
      <c r="D197" s="613">
        <v>5360.6</v>
      </c>
      <c r="E197" s="613">
        <f t="shared" si="1"/>
        <v>26715.05</v>
      </c>
      <c r="F197" s="614">
        <v>28686.33</v>
      </c>
      <c r="G197" s="613">
        <f t="shared" si="2"/>
        <v>55401.38</v>
      </c>
      <c r="H197" s="613">
        <v>510.0</v>
      </c>
      <c r="I197" s="613"/>
      <c r="J197" s="613" t="str">
        <f t="shared" si="3"/>
        <v/>
      </c>
      <c r="K197" s="613">
        <v>55911.38</v>
      </c>
      <c r="L197" s="90"/>
      <c r="M197" s="90"/>
      <c r="N197" s="90"/>
      <c r="O197" s="90"/>
      <c r="P197" s="90"/>
      <c r="Q197" s="90"/>
      <c r="R197" s="90"/>
      <c r="S197" s="90"/>
      <c r="T197" s="90"/>
      <c r="U197" s="90"/>
      <c r="V197" s="90"/>
      <c r="W197" s="90"/>
      <c r="X197" s="90"/>
      <c r="Y197" s="90"/>
      <c r="Z197" s="90"/>
    </row>
    <row r="198" ht="12.75" customHeight="1" outlineLevel="1">
      <c r="A198" s="612" t="s">
        <v>1682</v>
      </c>
      <c r="B198" s="614">
        <v>2088.7</v>
      </c>
      <c r="C198" s="613">
        <v>0.0</v>
      </c>
      <c r="D198" s="613">
        <v>0.0</v>
      </c>
      <c r="E198" s="613">
        <f t="shared" si="1"/>
        <v>2088.7</v>
      </c>
      <c r="F198" s="614">
        <v>2566.0</v>
      </c>
      <c r="G198" s="613">
        <f t="shared" si="2"/>
        <v>4654.7</v>
      </c>
      <c r="H198" s="615"/>
      <c r="I198" s="613"/>
      <c r="J198" s="613" t="str">
        <f t="shared" si="3"/>
        <v/>
      </c>
      <c r="K198" s="613">
        <v>4654.7</v>
      </c>
      <c r="L198" s="90"/>
      <c r="M198" s="90"/>
      <c r="N198" s="90"/>
      <c r="O198" s="90"/>
      <c r="P198" s="90"/>
      <c r="Q198" s="90"/>
      <c r="R198" s="90"/>
      <c r="S198" s="90"/>
      <c r="T198" s="90"/>
      <c r="U198" s="90"/>
      <c r="V198" s="90"/>
      <c r="W198" s="90"/>
      <c r="X198" s="90"/>
      <c r="Y198" s="90"/>
      <c r="Z198" s="90"/>
    </row>
    <row r="199" ht="12.75" customHeight="1" outlineLevel="1">
      <c r="A199" s="612" t="s">
        <v>1683</v>
      </c>
      <c r="B199" s="613">
        <v>0.0</v>
      </c>
      <c r="C199" s="613">
        <v>750.0</v>
      </c>
      <c r="D199" s="613">
        <v>0.0</v>
      </c>
      <c r="E199" s="613">
        <f t="shared" si="1"/>
        <v>750</v>
      </c>
      <c r="F199" s="614">
        <v>29342.0</v>
      </c>
      <c r="G199" s="613">
        <f t="shared" si="2"/>
        <v>30092</v>
      </c>
      <c r="H199" s="615"/>
      <c r="I199" s="613"/>
      <c r="J199" s="613" t="str">
        <f t="shared" si="3"/>
        <v/>
      </c>
      <c r="K199" s="613">
        <v>30092.0</v>
      </c>
      <c r="L199" s="90"/>
      <c r="M199" s="90"/>
      <c r="N199" s="90"/>
      <c r="O199" s="90"/>
      <c r="P199" s="90"/>
      <c r="Q199" s="90"/>
      <c r="R199" s="90"/>
      <c r="S199" s="90"/>
      <c r="T199" s="90"/>
      <c r="U199" s="90"/>
      <c r="V199" s="90"/>
      <c r="W199" s="90"/>
      <c r="X199" s="90"/>
      <c r="Y199" s="90"/>
      <c r="Z199" s="90"/>
    </row>
    <row r="200" ht="12.75" customHeight="1" outlineLevel="1">
      <c r="A200" s="612" t="s">
        <v>1684</v>
      </c>
      <c r="B200" s="613">
        <v>5417.0</v>
      </c>
      <c r="C200" s="613">
        <v>1675.0</v>
      </c>
      <c r="D200" s="613">
        <v>0.0</v>
      </c>
      <c r="E200" s="613">
        <f t="shared" si="1"/>
        <v>7092</v>
      </c>
      <c r="F200" s="614">
        <v>44368.75</v>
      </c>
      <c r="G200" s="613">
        <f t="shared" si="2"/>
        <v>51460.75</v>
      </c>
      <c r="H200" s="615"/>
      <c r="I200" s="613"/>
      <c r="J200" s="613" t="str">
        <f t="shared" si="3"/>
        <v/>
      </c>
      <c r="K200" s="613">
        <v>51460.75</v>
      </c>
      <c r="L200" s="90"/>
      <c r="M200" s="90"/>
      <c r="N200" s="90"/>
      <c r="O200" s="90"/>
      <c r="P200" s="90"/>
      <c r="Q200" s="90"/>
      <c r="R200" s="90"/>
      <c r="S200" s="90"/>
      <c r="T200" s="90"/>
      <c r="U200" s="90"/>
      <c r="V200" s="90"/>
      <c r="W200" s="90"/>
      <c r="X200" s="90"/>
      <c r="Y200" s="90"/>
      <c r="Z200" s="90"/>
    </row>
    <row r="201" ht="12.75" customHeight="1" outlineLevel="1">
      <c r="A201" s="612" t="s">
        <v>1685</v>
      </c>
      <c r="B201" s="614">
        <v>75.0</v>
      </c>
      <c r="C201" s="613">
        <v>0.0</v>
      </c>
      <c r="D201" s="613">
        <v>0.0</v>
      </c>
      <c r="E201" s="613">
        <f t="shared" si="1"/>
        <v>75</v>
      </c>
      <c r="F201" s="614">
        <v>1109.0</v>
      </c>
      <c r="G201" s="613">
        <f t="shared" si="2"/>
        <v>1184</v>
      </c>
      <c r="H201" s="615"/>
      <c r="I201" s="613"/>
      <c r="J201" s="613" t="str">
        <f t="shared" si="3"/>
        <v/>
      </c>
      <c r="K201" s="613">
        <v>1184.0</v>
      </c>
      <c r="L201" s="90"/>
      <c r="M201" s="90"/>
      <c r="N201" s="90"/>
      <c r="O201" s="90"/>
      <c r="P201" s="90"/>
      <c r="Q201" s="90"/>
      <c r="R201" s="90"/>
      <c r="S201" s="90"/>
      <c r="T201" s="90"/>
      <c r="U201" s="90"/>
      <c r="V201" s="90"/>
      <c r="W201" s="90"/>
      <c r="X201" s="90"/>
      <c r="Y201" s="90"/>
      <c r="Z201" s="90"/>
    </row>
    <row r="202" ht="12.75" customHeight="1" outlineLevel="1">
      <c r="A202" s="612" t="s">
        <v>1686</v>
      </c>
      <c r="B202" s="613">
        <v>0.0</v>
      </c>
      <c r="C202" s="613">
        <v>389.7</v>
      </c>
      <c r="D202" s="613">
        <v>0.0</v>
      </c>
      <c r="E202" s="613">
        <f t="shared" si="1"/>
        <v>389.7</v>
      </c>
      <c r="F202" s="614">
        <v>0.0</v>
      </c>
      <c r="G202" s="613">
        <f t="shared" si="2"/>
        <v>389.7</v>
      </c>
      <c r="H202" s="615"/>
      <c r="I202" s="613"/>
      <c r="J202" s="613" t="str">
        <f t="shared" si="3"/>
        <v/>
      </c>
      <c r="K202" s="613">
        <v>389.7</v>
      </c>
      <c r="L202" s="90"/>
      <c r="M202" s="90"/>
      <c r="N202" s="90"/>
      <c r="O202" s="90"/>
      <c r="P202" s="90"/>
      <c r="Q202" s="90"/>
      <c r="R202" s="90"/>
      <c r="S202" s="90"/>
      <c r="T202" s="90"/>
      <c r="U202" s="90"/>
      <c r="V202" s="90"/>
      <c r="W202" s="90"/>
      <c r="X202" s="90"/>
      <c r="Y202" s="90"/>
      <c r="Z202" s="90"/>
    </row>
    <row r="203" ht="12.75" customHeight="1" outlineLevel="1">
      <c r="A203" s="612" t="s">
        <v>1687</v>
      </c>
      <c r="B203" s="616">
        <v>75.0</v>
      </c>
      <c r="C203" s="616">
        <v>389.7</v>
      </c>
      <c r="D203" s="616">
        <v>0.0</v>
      </c>
      <c r="E203" s="616">
        <f t="shared" si="1"/>
        <v>464.7</v>
      </c>
      <c r="F203" s="617">
        <v>1109.0</v>
      </c>
      <c r="G203" s="616">
        <f t="shared" si="2"/>
        <v>1573.7</v>
      </c>
      <c r="H203" s="616">
        <v>0.0</v>
      </c>
      <c r="I203" s="616">
        <v>0.0</v>
      </c>
      <c r="J203" s="616">
        <f t="shared" si="3"/>
        <v>0</v>
      </c>
      <c r="K203" s="616">
        <v>1573.7</v>
      </c>
      <c r="L203" s="90"/>
      <c r="M203" s="90"/>
      <c r="N203" s="90"/>
      <c r="O203" s="90"/>
      <c r="P203" s="90"/>
      <c r="Q203" s="90"/>
      <c r="R203" s="90"/>
      <c r="S203" s="90"/>
      <c r="T203" s="90"/>
      <c r="U203" s="90"/>
      <c r="V203" s="90"/>
      <c r="W203" s="90"/>
      <c r="X203" s="90"/>
      <c r="Y203" s="90"/>
      <c r="Z203" s="90"/>
    </row>
    <row r="204" ht="12.75" customHeight="1" outlineLevel="1">
      <c r="A204" s="618" t="s">
        <v>1688</v>
      </c>
      <c r="B204" s="614">
        <v>77485.45</v>
      </c>
      <c r="C204" s="613">
        <v>0.0</v>
      </c>
      <c r="D204" s="613">
        <v>0.0</v>
      </c>
      <c r="E204" s="613">
        <f t="shared" si="1"/>
        <v>77485.45</v>
      </c>
      <c r="F204" s="614">
        <v>0.0</v>
      </c>
      <c r="G204" s="613">
        <f t="shared" si="2"/>
        <v>77485.45</v>
      </c>
      <c r="H204" s="615"/>
      <c r="I204" s="613"/>
      <c r="J204" s="613" t="str">
        <f t="shared" si="3"/>
        <v/>
      </c>
      <c r="K204" s="613">
        <v>77485.45</v>
      </c>
      <c r="L204" s="90"/>
      <c r="M204" s="90"/>
      <c r="N204" s="90"/>
      <c r="O204" s="90"/>
      <c r="P204" s="90"/>
      <c r="Q204" s="90"/>
      <c r="R204" s="90"/>
      <c r="S204" s="90"/>
      <c r="T204" s="90"/>
      <c r="U204" s="90"/>
      <c r="V204" s="90"/>
      <c r="W204" s="90"/>
      <c r="X204" s="90"/>
      <c r="Y204" s="90"/>
      <c r="Z204" s="90"/>
    </row>
    <row r="205" ht="12.75" customHeight="1" outlineLevel="1">
      <c r="A205" s="612" t="s">
        <v>1689</v>
      </c>
      <c r="B205" s="613">
        <v>0.0</v>
      </c>
      <c r="C205" s="613">
        <v>0.0</v>
      </c>
      <c r="D205" s="613">
        <v>0.0</v>
      </c>
      <c r="E205" s="613">
        <f t="shared" si="1"/>
        <v>0</v>
      </c>
      <c r="F205" s="614">
        <v>84.9</v>
      </c>
      <c r="G205" s="613">
        <f t="shared" si="2"/>
        <v>84.9</v>
      </c>
      <c r="H205" s="615"/>
      <c r="I205" s="613"/>
      <c r="J205" s="613" t="str">
        <f t="shared" si="3"/>
        <v/>
      </c>
      <c r="K205" s="613">
        <v>84.9</v>
      </c>
      <c r="L205" s="90"/>
      <c r="M205" s="90"/>
      <c r="N205" s="90"/>
      <c r="O205" s="90"/>
      <c r="P205" s="90"/>
      <c r="Q205" s="90"/>
      <c r="R205" s="90"/>
      <c r="S205" s="90"/>
      <c r="T205" s="90"/>
      <c r="U205" s="90"/>
      <c r="V205" s="90"/>
      <c r="W205" s="90"/>
      <c r="X205" s="90"/>
      <c r="Y205" s="90"/>
      <c r="Z205" s="90"/>
    </row>
    <row r="206" ht="12.75" customHeight="1" outlineLevel="1">
      <c r="A206" s="612" t="s">
        <v>1690</v>
      </c>
      <c r="B206" s="614">
        <v>23807.61</v>
      </c>
      <c r="C206" s="613">
        <v>0.0</v>
      </c>
      <c r="D206" s="613">
        <v>0.0</v>
      </c>
      <c r="E206" s="613">
        <f t="shared" si="1"/>
        <v>23807.61</v>
      </c>
      <c r="F206" s="614">
        <v>35565.95</v>
      </c>
      <c r="G206" s="613">
        <f t="shared" si="2"/>
        <v>59373.56</v>
      </c>
      <c r="H206" s="615"/>
      <c r="I206" s="613"/>
      <c r="J206" s="613" t="str">
        <f t="shared" si="3"/>
        <v/>
      </c>
      <c r="K206" s="613">
        <v>59373.56</v>
      </c>
      <c r="L206" s="90"/>
      <c r="M206" s="90"/>
      <c r="N206" s="90"/>
      <c r="O206" s="90"/>
      <c r="P206" s="90"/>
      <c r="Q206" s="90"/>
      <c r="R206" s="90"/>
      <c r="S206" s="90"/>
      <c r="T206" s="90"/>
      <c r="U206" s="90"/>
      <c r="V206" s="90"/>
      <c r="W206" s="90"/>
      <c r="X206" s="90"/>
      <c r="Y206" s="90"/>
      <c r="Z206" s="90"/>
    </row>
    <row r="207" ht="12.75" customHeight="1" outlineLevel="1">
      <c r="A207" s="612" t="s">
        <v>1691</v>
      </c>
      <c r="B207" s="613">
        <v>7087.05</v>
      </c>
      <c r="C207" s="613">
        <v>0.0</v>
      </c>
      <c r="D207" s="613">
        <v>0.0</v>
      </c>
      <c r="E207" s="613">
        <f t="shared" si="1"/>
        <v>7087.05</v>
      </c>
      <c r="F207" s="614">
        <v>3258.8</v>
      </c>
      <c r="G207" s="613">
        <f t="shared" si="2"/>
        <v>10345.85</v>
      </c>
      <c r="H207" s="615"/>
      <c r="I207" s="613"/>
      <c r="J207" s="613" t="str">
        <f t="shared" si="3"/>
        <v/>
      </c>
      <c r="K207" s="613">
        <v>10345.85</v>
      </c>
      <c r="L207" s="90"/>
      <c r="M207" s="90"/>
      <c r="N207" s="90"/>
      <c r="O207" s="90"/>
      <c r="P207" s="90"/>
      <c r="Q207" s="90"/>
      <c r="R207" s="90"/>
      <c r="S207" s="90"/>
      <c r="T207" s="90"/>
      <c r="U207" s="90"/>
      <c r="V207" s="90"/>
      <c r="W207" s="90"/>
      <c r="X207" s="90"/>
      <c r="Y207" s="90"/>
      <c r="Z207" s="90"/>
    </row>
    <row r="208" ht="12.75" customHeight="1" outlineLevel="1">
      <c r="A208" s="612" t="s">
        <v>1692</v>
      </c>
      <c r="B208" s="616">
        <v>30894.66</v>
      </c>
      <c r="C208" s="616">
        <v>0.0</v>
      </c>
      <c r="D208" s="616">
        <v>0.0</v>
      </c>
      <c r="E208" s="616">
        <f t="shared" si="1"/>
        <v>30894.66</v>
      </c>
      <c r="F208" s="617">
        <v>38909.65</v>
      </c>
      <c r="G208" s="616">
        <f t="shared" si="2"/>
        <v>69804.31</v>
      </c>
      <c r="H208" s="616">
        <v>0.0</v>
      </c>
      <c r="I208" s="616">
        <v>0.0</v>
      </c>
      <c r="J208" s="616">
        <f t="shared" si="3"/>
        <v>0</v>
      </c>
      <c r="K208" s="616">
        <v>69804.31</v>
      </c>
      <c r="L208" s="90"/>
      <c r="M208" s="90"/>
      <c r="N208" s="90"/>
      <c r="O208" s="90"/>
      <c r="P208" s="90"/>
      <c r="Q208" s="90"/>
      <c r="R208" s="90"/>
      <c r="S208" s="90"/>
      <c r="T208" s="90"/>
      <c r="U208" s="90"/>
      <c r="V208" s="90"/>
      <c r="W208" s="90"/>
      <c r="X208" s="90"/>
      <c r="Y208" s="90"/>
      <c r="Z208" s="90"/>
    </row>
    <row r="209" ht="12.75" customHeight="1" outlineLevel="1">
      <c r="A209" s="618" t="s">
        <v>1693</v>
      </c>
      <c r="B209" s="613">
        <v>18996.0</v>
      </c>
      <c r="C209" s="613">
        <v>0.0</v>
      </c>
      <c r="D209" s="613">
        <v>0.0</v>
      </c>
      <c r="E209" s="613">
        <f t="shared" si="1"/>
        <v>18996</v>
      </c>
      <c r="F209" s="614">
        <v>0.0</v>
      </c>
      <c r="G209" s="613">
        <f t="shared" si="2"/>
        <v>18996</v>
      </c>
      <c r="H209" s="615"/>
      <c r="I209" s="613"/>
      <c r="J209" s="613" t="str">
        <f t="shared" si="3"/>
        <v/>
      </c>
      <c r="K209" s="613">
        <v>18996.0</v>
      </c>
      <c r="L209" s="90"/>
      <c r="M209" s="90"/>
      <c r="N209" s="90"/>
      <c r="O209" s="90"/>
      <c r="P209" s="90"/>
      <c r="Q209" s="90"/>
      <c r="R209" s="90"/>
      <c r="S209" s="90"/>
      <c r="T209" s="90"/>
      <c r="U209" s="90"/>
      <c r="V209" s="90"/>
      <c r="W209" s="90"/>
      <c r="X209" s="90"/>
      <c r="Y209" s="90"/>
      <c r="Z209" s="90"/>
    </row>
    <row r="210" ht="12.75" customHeight="1" outlineLevel="1">
      <c r="A210" s="612" t="s">
        <v>1694</v>
      </c>
      <c r="B210" s="613">
        <v>2062.5</v>
      </c>
      <c r="C210" s="613">
        <v>2067.0</v>
      </c>
      <c r="D210" s="613">
        <v>9037.5</v>
      </c>
      <c r="E210" s="613">
        <f t="shared" si="1"/>
        <v>13167</v>
      </c>
      <c r="F210" s="614">
        <v>98173.75</v>
      </c>
      <c r="G210" s="613">
        <f t="shared" si="2"/>
        <v>111340.75</v>
      </c>
      <c r="H210" s="615"/>
      <c r="I210" s="613"/>
      <c r="J210" s="613" t="str">
        <f t="shared" si="3"/>
        <v/>
      </c>
      <c r="K210" s="613">
        <v>111340.75</v>
      </c>
      <c r="L210" s="90"/>
      <c r="M210" s="90"/>
      <c r="N210" s="90"/>
      <c r="O210" s="90"/>
      <c r="P210" s="90"/>
      <c r="Q210" s="90"/>
      <c r="R210" s="90"/>
      <c r="S210" s="90"/>
      <c r="T210" s="90"/>
      <c r="U210" s="90"/>
      <c r="V210" s="90"/>
      <c r="W210" s="90"/>
      <c r="X210" s="90"/>
      <c r="Y210" s="90"/>
      <c r="Z210" s="90"/>
    </row>
    <row r="211" ht="12.75" customHeight="1" outlineLevel="1">
      <c r="A211" s="612" t="s">
        <v>1695</v>
      </c>
      <c r="B211" s="614">
        <v>19674.62</v>
      </c>
      <c r="C211" s="613">
        <v>0.0</v>
      </c>
      <c r="D211" s="613">
        <v>0.0</v>
      </c>
      <c r="E211" s="613">
        <f t="shared" si="1"/>
        <v>19674.62</v>
      </c>
      <c r="F211" s="614">
        <v>0.0</v>
      </c>
      <c r="G211" s="613">
        <f t="shared" si="2"/>
        <v>19674.62</v>
      </c>
      <c r="H211" s="615"/>
      <c r="I211" s="613"/>
      <c r="J211" s="613" t="str">
        <f t="shared" si="3"/>
        <v/>
      </c>
      <c r="K211" s="613">
        <v>19674.62</v>
      </c>
      <c r="L211" s="90"/>
      <c r="M211" s="90"/>
      <c r="N211" s="90"/>
      <c r="O211" s="90"/>
      <c r="P211" s="90"/>
      <c r="Q211" s="90"/>
      <c r="R211" s="90"/>
      <c r="S211" s="90"/>
      <c r="T211" s="90"/>
      <c r="U211" s="90"/>
      <c r="V211" s="90"/>
      <c r="W211" s="90"/>
      <c r="X211" s="90"/>
      <c r="Y211" s="90"/>
      <c r="Z211" s="90"/>
    </row>
    <row r="212" ht="12.75" customHeight="1" outlineLevel="1">
      <c r="A212" s="612" t="s">
        <v>1696</v>
      </c>
      <c r="B212" s="613">
        <v>4464.66</v>
      </c>
      <c r="C212" s="613">
        <v>0.0</v>
      </c>
      <c r="D212" s="613">
        <v>0.0</v>
      </c>
      <c r="E212" s="613">
        <f t="shared" si="1"/>
        <v>4464.66</v>
      </c>
      <c r="F212" s="614">
        <v>3551.07</v>
      </c>
      <c r="G212" s="613">
        <f t="shared" si="2"/>
        <v>8015.73</v>
      </c>
      <c r="H212" s="615"/>
      <c r="I212" s="613"/>
      <c r="J212" s="613" t="str">
        <f t="shared" si="3"/>
        <v/>
      </c>
      <c r="K212" s="613">
        <v>8015.73</v>
      </c>
      <c r="L212" s="90"/>
      <c r="M212" s="90"/>
      <c r="N212" s="90"/>
      <c r="O212" s="90"/>
      <c r="P212" s="90"/>
      <c r="Q212" s="90"/>
      <c r="R212" s="90"/>
      <c r="S212" s="90"/>
      <c r="T212" s="90"/>
      <c r="U212" s="90"/>
      <c r="V212" s="90"/>
      <c r="W212" s="90"/>
      <c r="X212" s="90"/>
      <c r="Y212" s="90"/>
      <c r="Z212" s="90"/>
    </row>
    <row r="213" ht="12.75" customHeight="1" outlineLevel="1">
      <c r="A213" s="612" t="s">
        <v>1697</v>
      </c>
      <c r="B213" s="614">
        <v>16332.0</v>
      </c>
      <c r="C213" s="613">
        <v>0.0</v>
      </c>
      <c r="D213" s="613">
        <v>0.0</v>
      </c>
      <c r="E213" s="613">
        <f t="shared" si="1"/>
        <v>16332</v>
      </c>
      <c r="F213" s="614">
        <v>0.0</v>
      </c>
      <c r="G213" s="613">
        <f t="shared" si="2"/>
        <v>16332</v>
      </c>
      <c r="H213" s="615"/>
      <c r="I213" s="613"/>
      <c r="J213" s="613" t="str">
        <f t="shared" si="3"/>
        <v/>
      </c>
      <c r="K213" s="613">
        <v>16332.0</v>
      </c>
      <c r="L213" s="90"/>
      <c r="M213" s="90"/>
      <c r="N213" s="90"/>
      <c r="O213" s="90"/>
      <c r="P213" s="90"/>
      <c r="Q213" s="90"/>
      <c r="R213" s="90"/>
      <c r="S213" s="90"/>
      <c r="T213" s="90"/>
      <c r="U213" s="90"/>
      <c r="V213" s="90"/>
      <c r="W213" s="90"/>
      <c r="X213" s="90"/>
      <c r="Y213" s="90"/>
      <c r="Z213" s="90"/>
    </row>
    <row r="214" ht="12.75" customHeight="1" outlineLevel="1">
      <c r="A214" s="612" t="s">
        <v>1698</v>
      </c>
      <c r="B214" s="616">
        <v>42533.78</v>
      </c>
      <c r="C214" s="616">
        <v>2067.0</v>
      </c>
      <c r="D214" s="616">
        <v>9037.5</v>
      </c>
      <c r="E214" s="616">
        <f t="shared" si="1"/>
        <v>53638.28</v>
      </c>
      <c r="F214" s="617">
        <v>101724.82</v>
      </c>
      <c r="G214" s="616">
        <f t="shared" si="2"/>
        <v>155363.1</v>
      </c>
      <c r="H214" s="616">
        <v>0.0</v>
      </c>
      <c r="I214" s="616">
        <v>0.0</v>
      </c>
      <c r="J214" s="616">
        <f t="shared" si="3"/>
        <v>0</v>
      </c>
      <c r="K214" s="616">
        <v>155363.1</v>
      </c>
      <c r="L214" s="90"/>
      <c r="M214" s="90"/>
      <c r="N214" s="90"/>
      <c r="O214" s="90"/>
      <c r="P214" s="90"/>
      <c r="Q214" s="90"/>
      <c r="R214" s="90"/>
      <c r="S214" s="90"/>
      <c r="T214" s="90"/>
      <c r="U214" s="90"/>
      <c r="V214" s="90"/>
      <c r="W214" s="90"/>
      <c r="X214" s="90"/>
      <c r="Y214" s="90"/>
      <c r="Z214" s="90"/>
    </row>
    <row r="215" ht="12.75" customHeight="1" outlineLevel="1">
      <c r="A215" s="618" t="s">
        <v>1699</v>
      </c>
      <c r="B215" s="614">
        <v>13448.67</v>
      </c>
      <c r="C215" s="613">
        <v>0.0</v>
      </c>
      <c r="D215" s="613">
        <v>0.0</v>
      </c>
      <c r="E215" s="613">
        <f t="shared" si="1"/>
        <v>13448.67</v>
      </c>
      <c r="F215" s="614">
        <v>0.0</v>
      </c>
      <c r="G215" s="613">
        <f t="shared" si="2"/>
        <v>13448.67</v>
      </c>
      <c r="H215" s="615"/>
      <c r="I215" s="613"/>
      <c r="J215" s="613" t="str">
        <f t="shared" si="3"/>
        <v/>
      </c>
      <c r="K215" s="613">
        <v>13448.67</v>
      </c>
      <c r="L215" s="90"/>
      <c r="M215" s="90"/>
      <c r="N215" s="90"/>
      <c r="O215" s="90"/>
      <c r="P215" s="90"/>
      <c r="Q215" s="90"/>
      <c r="R215" s="90"/>
      <c r="S215" s="90"/>
      <c r="T215" s="90"/>
      <c r="U215" s="90"/>
      <c r="V215" s="90"/>
      <c r="W215" s="90"/>
      <c r="X215" s="90"/>
      <c r="Y215" s="90"/>
      <c r="Z215" s="90"/>
    </row>
    <row r="216" ht="12.75" customHeight="1" outlineLevel="1">
      <c r="A216" s="612" t="s">
        <v>1700</v>
      </c>
      <c r="B216" s="613">
        <v>1133.8</v>
      </c>
      <c r="C216" s="613">
        <v>0.0</v>
      </c>
      <c r="D216" s="613">
        <v>0.0</v>
      </c>
      <c r="E216" s="613">
        <f t="shared" si="1"/>
        <v>1133.8</v>
      </c>
      <c r="F216" s="614">
        <v>0.0</v>
      </c>
      <c r="G216" s="613">
        <f t="shared" si="2"/>
        <v>1133.8</v>
      </c>
      <c r="H216" s="615"/>
      <c r="I216" s="613"/>
      <c r="J216" s="613" t="str">
        <f t="shared" si="3"/>
        <v/>
      </c>
      <c r="K216" s="613">
        <v>1133.8</v>
      </c>
      <c r="L216" s="90"/>
      <c r="M216" s="90"/>
      <c r="N216" s="90"/>
      <c r="O216" s="90"/>
      <c r="P216" s="90"/>
      <c r="Q216" s="90"/>
      <c r="R216" s="90"/>
      <c r="S216" s="90"/>
      <c r="T216" s="90"/>
      <c r="U216" s="90"/>
      <c r="V216" s="90"/>
      <c r="W216" s="90"/>
      <c r="X216" s="90"/>
      <c r="Y216" s="90"/>
      <c r="Z216" s="90"/>
    </row>
    <row r="217" ht="12.75" customHeight="1" outlineLevel="1">
      <c r="A217" s="612" t="s">
        <v>1701</v>
      </c>
      <c r="B217" s="613">
        <v>6183.18</v>
      </c>
      <c r="C217" s="613">
        <v>0.0</v>
      </c>
      <c r="D217" s="613">
        <v>0.0</v>
      </c>
      <c r="E217" s="613">
        <f t="shared" si="1"/>
        <v>6183.18</v>
      </c>
      <c r="F217" s="614">
        <v>0.0</v>
      </c>
      <c r="G217" s="613">
        <f t="shared" si="2"/>
        <v>6183.18</v>
      </c>
      <c r="H217" s="615"/>
      <c r="I217" s="613"/>
      <c r="J217" s="613" t="str">
        <f t="shared" si="3"/>
        <v/>
      </c>
      <c r="K217" s="613">
        <v>6183.18</v>
      </c>
      <c r="L217" s="90"/>
      <c r="M217" s="90"/>
      <c r="N217" s="90"/>
      <c r="O217" s="90"/>
      <c r="P217" s="90"/>
      <c r="Q217" s="90"/>
      <c r="R217" s="90"/>
      <c r="S217" s="90"/>
      <c r="T217" s="90"/>
      <c r="U217" s="90"/>
      <c r="V217" s="90"/>
      <c r="W217" s="90"/>
      <c r="X217" s="90"/>
      <c r="Y217" s="90"/>
      <c r="Z217" s="90"/>
    </row>
    <row r="218" ht="12.75" customHeight="1" outlineLevel="1">
      <c r="A218" s="612" t="s">
        <v>1702</v>
      </c>
      <c r="B218" s="617">
        <v>7316.98</v>
      </c>
      <c r="C218" s="616">
        <v>0.0</v>
      </c>
      <c r="D218" s="616">
        <v>0.0</v>
      </c>
      <c r="E218" s="616">
        <f t="shared" si="1"/>
        <v>7316.98</v>
      </c>
      <c r="F218" s="617">
        <v>0.0</v>
      </c>
      <c r="G218" s="616">
        <f t="shared" si="2"/>
        <v>7316.98</v>
      </c>
      <c r="H218" s="616">
        <v>0.0</v>
      </c>
      <c r="I218" s="616">
        <v>0.0</v>
      </c>
      <c r="J218" s="616">
        <f t="shared" si="3"/>
        <v>0</v>
      </c>
      <c r="K218" s="616">
        <v>7316.98</v>
      </c>
      <c r="L218" s="90"/>
      <c r="M218" s="90"/>
      <c r="N218" s="90"/>
      <c r="O218" s="90"/>
      <c r="P218" s="90"/>
      <c r="Q218" s="90"/>
      <c r="R218" s="90"/>
      <c r="S218" s="90"/>
      <c r="T218" s="90"/>
      <c r="U218" s="90"/>
      <c r="V218" s="90"/>
      <c r="W218" s="90"/>
      <c r="X218" s="90"/>
      <c r="Y218" s="90"/>
      <c r="Z218" s="90"/>
    </row>
    <row r="219" ht="12.75" customHeight="1" outlineLevel="1">
      <c r="A219" s="618" t="s">
        <v>1703</v>
      </c>
      <c r="B219" s="613">
        <v>0.0</v>
      </c>
      <c r="C219" s="613">
        <v>0.0</v>
      </c>
      <c r="D219" s="613">
        <v>0.0</v>
      </c>
      <c r="E219" s="613">
        <f t="shared" si="1"/>
        <v>0</v>
      </c>
      <c r="F219" s="614">
        <v>0.0</v>
      </c>
      <c r="G219" s="613">
        <f t="shared" si="2"/>
        <v>0</v>
      </c>
      <c r="H219" s="615"/>
      <c r="I219" s="613"/>
      <c r="J219" s="613" t="str">
        <f t="shared" si="3"/>
        <v/>
      </c>
      <c r="K219" s="613">
        <v>0.0</v>
      </c>
      <c r="L219" s="90"/>
      <c r="M219" s="90"/>
      <c r="N219" s="90"/>
      <c r="O219" s="90"/>
      <c r="P219" s="90"/>
      <c r="Q219" s="90"/>
      <c r="R219" s="90"/>
      <c r="S219" s="90"/>
      <c r="T219" s="90"/>
      <c r="U219" s="90"/>
      <c r="V219" s="90"/>
      <c r="W219" s="90"/>
      <c r="X219" s="90"/>
      <c r="Y219" s="90"/>
      <c r="Z219" s="90"/>
    </row>
    <row r="220" ht="12.75" customHeight="1" outlineLevel="1">
      <c r="A220" s="612" t="s">
        <v>1704</v>
      </c>
      <c r="B220" s="614">
        <v>11151.09</v>
      </c>
      <c r="C220" s="613">
        <v>863.54</v>
      </c>
      <c r="D220" s="613">
        <v>0.0</v>
      </c>
      <c r="E220" s="613">
        <f t="shared" si="1"/>
        <v>12014.63</v>
      </c>
      <c r="F220" s="614">
        <v>740.62</v>
      </c>
      <c r="G220" s="613">
        <f t="shared" si="2"/>
        <v>12755.25</v>
      </c>
      <c r="H220" s="615"/>
      <c r="I220" s="613"/>
      <c r="J220" s="613" t="str">
        <f t="shared" si="3"/>
        <v/>
      </c>
      <c r="K220" s="613">
        <v>12755.25</v>
      </c>
      <c r="L220" s="90"/>
      <c r="M220" s="90"/>
      <c r="N220" s="90"/>
      <c r="O220" s="90"/>
      <c r="P220" s="90"/>
      <c r="Q220" s="90"/>
      <c r="R220" s="90"/>
      <c r="S220" s="90"/>
      <c r="T220" s="90"/>
      <c r="U220" s="90"/>
      <c r="V220" s="90"/>
      <c r="W220" s="90"/>
      <c r="X220" s="90"/>
      <c r="Y220" s="90"/>
      <c r="Z220" s="90"/>
    </row>
    <row r="221" ht="12.75" customHeight="1" outlineLevel="1">
      <c r="A221" s="612" t="s">
        <v>1705</v>
      </c>
      <c r="B221" s="613">
        <v>2054.0</v>
      </c>
      <c r="C221" s="613">
        <v>0.0</v>
      </c>
      <c r="D221" s="613">
        <v>0.0</v>
      </c>
      <c r="E221" s="613">
        <f t="shared" si="1"/>
        <v>2054</v>
      </c>
      <c r="F221" s="614">
        <v>0.0</v>
      </c>
      <c r="G221" s="613">
        <f t="shared" si="2"/>
        <v>2054</v>
      </c>
      <c r="H221" s="615"/>
      <c r="I221" s="613"/>
      <c r="J221" s="613" t="str">
        <f t="shared" si="3"/>
        <v/>
      </c>
      <c r="K221" s="613">
        <v>2054.0</v>
      </c>
      <c r="L221" s="90"/>
      <c r="M221" s="90"/>
      <c r="N221" s="90"/>
      <c r="O221" s="90"/>
      <c r="P221" s="90"/>
      <c r="Q221" s="90"/>
      <c r="R221" s="90"/>
      <c r="S221" s="90"/>
      <c r="T221" s="90"/>
      <c r="U221" s="90"/>
      <c r="V221" s="90"/>
      <c r="W221" s="90"/>
      <c r="X221" s="90"/>
      <c r="Y221" s="90"/>
      <c r="Z221" s="90"/>
    </row>
    <row r="222" ht="12.75" customHeight="1" outlineLevel="1">
      <c r="A222" s="612" t="s">
        <v>1706</v>
      </c>
      <c r="B222" s="616">
        <v>13205.09</v>
      </c>
      <c r="C222" s="616">
        <v>863.54</v>
      </c>
      <c r="D222" s="616">
        <v>0.0</v>
      </c>
      <c r="E222" s="616">
        <f t="shared" si="1"/>
        <v>14068.63</v>
      </c>
      <c r="F222" s="617">
        <v>740.62</v>
      </c>
      <c r="G222" s="616">
        <f t="shared" si="2"/>
        <v>14809.25</v>
      </c>
      <c r="H222" s="616">
        <v>0.0</v>
      </c>
      <c r="I222" s="616">
        <v>0.0</v>
      </c>
      <c r="J222" s="616">
        <f t="shared" si="3"/>
        <v>0</v>
      </c>
      <c r="K222" s="616">
        <v>14809.25</v>
      </c>
      <c r="L222" s="90"/>
      <c r="M222" s="90"/>
      <c r="N222" s="90"/>
      <c r="O222" s="90"/>
      <c r="P222" s="90"/>
      <c r="Q222" s="90"/>
      <c r="R222" s="90"/>
      <c r="S222" s="90"/>
      <c r="T222" s="90"/>
      <c r="U222" s="90"/>
      <c r="V222" s="90"/>
      <c r="W222" s="90"/>
      <c r="X222" s="90"/>
      <c r="Y222" s="90"/>
      <c r="Z222" s="90"/>
    </row>
    <row r="223" ht="12.75" customHeight="1" outlineLevel="1">
      <c r="A223" s="618" t="s">
        <v>1707</v>
      </c>
      <c r="B223" s="613">
        <v>0.0</v>
      </c>
      <c r="C223" s="613">
        <v>0.0</v>
      </c>
      <c r="D223" s="613">
        <v>0.0</v>
      </c>
      <c r="E223" s="613">
        <f t="shared" si="1"/>
        <v>0</v>
      </c>
      <c r="F223" s="614">
        <v>0.0</v>
      </c>
      <c r="G223" s="613">
        <f t="shared" si="2"/>
        <v>0</v>
      </c>
      <c r="H223" s="615"/>
      <c r="I223" s="613"/>
      <c r="J223" s="613" t="str">
        <f t="shared" si="3"/>
        <v/>
      </c>
      <c r="K223" s="613">
        <v>0.0</v>
      </c>
      <c r="L223" s="90"/>
      <c r="M223" s="90"/>
      <c r="N223" s="90"/>
      <c r="O223" s="90"/>
      <c r="P223" s="90"/>
      <c r="Q223" s="90"/>
      <c r="R223" s="90"/>
      <c r="S223" s="90"/>
      <c r="T223" s="90"/>
      <c r="U223" s="90"/>
      <c r="V223" s="90"/>
      <c r="W223" s="90"/>
      <c r="X223" s="90"/>
      <c r="Y223" s="90"/>
      <c r="Z223" s="90"/>
    </row>
    <row r="224" ht="12.75" customHeight="1" outlineLevel="1">
      <c r="A224" s="612" t="s">
        <v>1708</v>
      </c>
      <c r="B224" s="613">
        <v>338237.93</v>
      </c>
      <c r="C224" s="613">
        <v>78125.0</v>
      </c>
      <c r="D224" s="613">
        <v>31250.0</v>
      </c>
      <c r="E224" s="613">
        <f t="shared" si="1"/>
        <v>447612.93</v>
      </c>
      <c r="F224" s="614">
        <v>0.0</v>
      </c>
      <c r="G224" s="613">
        <f t="shared" si="2"/>
        <v>447612.93</v>
      </c>
      <c r="H224" s="615"/>
      <c r="I224" s="613"/>
      <c r="J224" s="613" t="str">
        <f t="shared" si="3"/>
        <v/>
      </c>
      <c r="K224" s="613">
        <v>447612.93</v>
      </c>
      <c r="L224" s="90"/>
      <c r="M224" s="90"/>
      <c r="N224" s="90"/>
      <c r="O224" s="90"/>
      <c r="P224" s="90"/>
      <c r="Q224" s="90"/>
      <c r="R224" s="90"/>
      <c r="S224" s="90"/>
      <c r="T224" s="90"/>
      <c r="U224" s="90"/>
      <c r="V224" s="90"/>
      <c r="W224" s="90"/>
      <c r="X224" s="90"/>
      <c r="Y224" s="90"/>
      <c r="Z224" s="90"/>
    </row>
    <row r="225" ht="12.75" customHeight="1" outlineLevel="1">
      <c r="A225" s="612" t="s">
        <v>1709</v>
      </c>
      <c r="B225" s="616">
        <v>338237.93</v>
      </c>
      <c r="C225" s="616">
        <v>78125.0</v>
      </c>
      <c r="D225" s="616">
        <v>31250.0</v>
      </c>
      <c r="E225" s="616">
        <f t="shared" si="1"/>
        <v>447612.93</v>
      </c>
      <c r="F225" s="617">
        <v>0.0</v>
      </c>
      <c r="G225" s="616">
        <f t="shared" si="2"/>
        <v>447612.93</v>
      </c>
      <c r="H225" s="616">
        <v>0.0</v>
      </c>
      <c r="I225" s="616">
        <v>0.0</v>
      </c>
      <c r="J225" s="616">
        <f t="shared" si="3"/>
        <v>0</v>
      </c>
      <c r="K225" s="616">
        <v>447612.93</v>
      </c>
      <c r="L225" s="90"/>
      <c r="M225" s="90"/>
      <c r="N225" s="90"/>
      <c r="O225" s="90"/>
      <c r="P225" s="90"/>
      <c r="Q225" s="90"/>
      <c r="R225" s="90"/>
      <c r="S225" s="90"/>
      <c r="T225" s="90"/>
      <c r="U225" s="90"/>
      <c r="V225" s="90"/>
      <c r="W225" s="90"/>
      <c r="X225" s="90"/>
      <c r="Y225" s="90"/>
      <c r="Z225" s="90"/>
    </row>
    <row r="226" ht="12.75" customHeight="1" outlineLevel="1">
      <c r="A226" s="618" t="s">
        <v>1710</v>
      </c>
      <c r="B226" s="613">
        <v>0.0</v>
      </c>
      <c r="C226" s="613">
        <v>0.0</v>
      </c>
      <c r="D226" s="613">
        <v>0.0</v>
      </c>
      <c r="E226" s="613">
        <f t="shared" si="1"/>
        <v>0</v>
      </c>
      <c r="F226" s="614">
        <v>156000.0</v>
      </c>
      <c r="G226" s="613">
        <f t="shared" si="2"/>
        <v>156000</v>
      </c>
      <c r="H226" s="615"/>
      <c r="I226" s="613"/>
      <c r="J226" s="613" t="str">
        <f t="shared" si="3"/>
        <v/>
      </c>
      <c r="K226" s="613">
        <v>156000.0</v>
      </c>
      <c r="L226" s="90"/>
      <c r="M226" s="90"/>
      <c r="N226" s="90"/>
      <c r="O226" s="90"/>
      <c r="P226" s="90"/>
      <c r="Q226" s="90"/>
      <c r="R226" s="90"/>
      <c r="S226" s="90"/>
      <c r="T226" s="90"/>
      <c r="U226" s="90"/>
      <c r="V226" s="90"/>
      <c r="W226" s="90"/>
      <c r="X226" s="90"/>
      <c r="Y226" s="90"/>
      <c r="Z226" s="90"/>
    </row>
    <row r="227" ht="12.75" customHeight="1" outlineLevel="1">
      <c r="A227" s="612" t="s">
        <v>1711</v>
      </c>
      <c r="B227" s="613">
        <v>66.84</v>
      </c>
      <c r="C227" s="613">
        <v>10.0</v>
      </c>
      <c r="D227" s="613">
        <v>0.0</v>
      </c>
      <c r="E227" s="613">
        <f t="shared" si="1"/>
        <v>76.84</v>
      </c>
      <c r="F227" s="614">
        <v>1399.14</v>
      </c>
      <c r="G227" s="613">
        <f t="shared" si="2"/>
        <v>1475.98</v>
      </c>
      <c r="H227" s="613">
        <v>2694.72</v>
      </c>
      <c r="I227" s="613">
        <v>0.0</v>
      </c>
      <c r="J227" s="613">
        <f t="shared" si="3"/>
        <v>2694.72</v>
      </c>
      <c r="K227" s="613">
        <v>4170.7</v>
      </c>
      <c r="L227" s="90"/>
      <c r="M227" s="90"/>
      <c r="N227" s="90"/>
      <c r="O227" s="90"/>
      <c r="P227" s="90"/>
      <c r="Q227" s="90"/>
      <c r="R227" s="90"/>
      <c r="S227" s="90"/>
      <c r="T227" s="90"/>
      <c r="U227" s="90"/>
      <c r="V227" s="90"/>
      <c r="W227" s="90"/>
      <c r="X227" s="90"/>
      <c r="Y227" s="90"/>
      <c r="Z227" s="90"/>
    </row>
    <row r="228" ht="12.75" customHeight="1" outlineLevel="1">
      <c r="A228" s="612" t="s">
        <v>1712</v>
      </c>
      <c r="B228" s="613">
        <v>0.0</v>
      </c>
      <c r="C228" s="613">
        <v>0.0</v>
      </c>
      <c r="D228" s="613">
        <v>0.0</v>
      </c>
      <c r="E228" s="613">
        <f t="shared" si="1"/>
        <v>0</v>
      </c>
      <c r="F228" s="614">
        <v>0.0</v>
      </c>
      <c r="G228" s="613">
        <f t="shared" si="2"/>
        <v>0</v>
      </c>
      <c r="H228" s="615"/>
      <c r="I228" s="613">
        <v>0.0</v>
      </c>
      <c r="J228" s="613">
        <f t="shared" si="3"/>
        <v>0</v>
      </c>
      <c r="K228" s="613">
        <v>0.0</v>
      </c>
      <c r="L228" s="90"/>
      <c r="M228" s="90"/>
      <c r="N228" s="90"/>
      <c r="O228" s="90"/>
      <c r="P228" s="90"/>
      <c r="Q228" s="90"/>
      <c r="R228" s="90"/>
      <c r="S228" s="90"/>
      <c r="T228" s="90"/>
      <c r="U228" s="90"/>
      <c r="V228" s="90"/>
      <c r="W228" s="90"/>
      <c r="X228" s="90"/>
      <c r="Y228" s="90"/>
      <c r="Z228" s="90"/>
    </row>
    <row r="229" ht="12.75" customHeight="1" outlineLevel="1">
      <c r="A229" s="612" t="s">
        <v>1713</v>
      </c>
      <c r="B229" s="613">
        <v>41.95</v>
      </c>
      <c r="C229" s="613">
        <v>0.0</v>
      </c>
      <c r="D229" s="613">
        <v>0.0</v>
      </c>
      <c r="E229" s="613">
        <f t="shared" si="1"/>
        <v>41.95</v>
      </c>
      <c r="F229" s="614">
        <v>0.0</v>
      </c>
      <c r="G229" s="613">
        <f t="shared" si="2"/>
        <v>41.95</v>
      </c>
      <c r="H229" s="615"/>
      <c r="I229" s="613"/>
      <c r="J229" s="613" t="str">
        <f t="shared" si="3"/>
        <v/>
      </c>
      <c r="K229" s="613">
        <v>41.95</v>
      </c>
      <c r="L229" s="90"/>
      <c r="M229" s="90"/>
      <c r="N229" s="90"/>
      <c r="O229" s="90"/>
      <c r="P229" s="90"/>
      <c r="Q229" s="90"/>
      <c r="R229" s="90"/>
      <c r="S229" s="90"/>
      <c r="T229" s="90"/>
      <c r="U229" s="90"/>
      <c r="V229" s="90"/>
      <c r="W229" s="90"/>
      <c r="X229" s="90"/>
      <c r="Y229" s="90"/>
      <c r="Z229" s="90"/>
    </row>
    <row r="230" ht="12.75" customHeight="1" outlineLevel="1">
      <c r="A230" s="612" t="s">
        <v>1714</v>
      </c>
      <c r="B230" s="617">
        <v>108.79</v>
      </c>
      <c r="C230" s="616">
        <v>10.0</v>
      </c>
      <c r="D230" s="616">
        <v>0.0</v>
      </c>
      <c r="E230" s="616">
        <f t="shared" si="1"/>
        <v>118.79</v>
      </c>
      <c r="F230" s="617">
        <v>1399.14</v>
      </c>
      <c r="G230" s="616">
        <f t="shared" si="2"/>
        <v>1517.93</v>
      </c>
      <c r="H230" s="616">
        <v>2694.72</v>
      </c>
      <c r="I230" s="616">
        <v>0.0</v>
      </c>
      <c r="J230" s="616">
        <f t="shared" si="3"/>
        <v>2694.72</v>
      </c>
      <c r="K230" s="616">
        <v>4212.65</v>
      </c>
      <c r="L230" s="90"/>
      <c r="M230" s="90"/>
      <c r="N230" s="90"/>
      <c r="O230" s="90"/>
      <c r="P230" s="90"/>
      <c r="Q230" s="90"/>
      <c r="R230" s="90"/>
      <c r="S230" s="90"/>
      <c r="T230" s="90"/>
      <c r="U230" s="90"/>
      <c r="V230" s="90"/>
      <c r="W230" s="90"/>
      <c r="X230" s="90"/>
      <c r="Y230" s="90"/>
      <c r="Z230" s="90"/>
    </row>
    <row r="231" ht="12.75" customHeight="1" outlineLevel="1">
      <c r="A231" s="618" t="s">
        <v>1715</v>
      </c>
      <c r="B231" s="616">
        <v>661994.59</v>
      </c>
      <c r="C231" s="616">
        <v>102202.04</v>
      </c>
      <c r="D231" s="616">
        <v>45648.1</v>
      </c>
      <c r="E231" s="616">
        <f t="shared" si="1"/>
        <v>809844.73</v>
      </c>
      <c r="F231" s="617">
        <v>410106.31</v>
      </c>
      <c r="G231" s="616">
        <f t="shared" si="2"/>
        <v>1219951.04</v>
      </c>
      <c r="H231" s="616">
        <v>3204.72</v>
      </c>
      <c r="I231" s="616">
        <v>0.0</v>
      </c>
      <c r="J231" s="616">
        <f t="shared" si="3"/>
        <v>3204.72</v>
      </c>
      <c r="K231" s="616">
        <v>1223155.76</v>
      </c>
      <c r="L231" s="90"/>
      <c r="M231" s="90"/>
      <c r="N231" s="90"/>
      <c r="O231" s="90"/>
      <c r="P231" s="90"/>
      <c r="Q231" s="90"/>
      <c r="R231" s="90"/>
      <c r="S231" s="90"/>
      <c r="T231" s="90"/>
      <c r="U231" s="90"/>
      <c r="V231" s="90"/>
      <c r="W231" s="90"/>
      <c r="X231" s="90"/>
      <c r="Y231" s="90"/>
      <c r="Z231" s="90"/>
    </row>
    <row r="232" ht="12.75" customHeight="1" outlineLevel="1">
      <c r="A232" s="618" t="s">
        <v>1716</v>
      </c>
      <c r="B232" s="614">
        <v>9799.71</v>
      </c>
      <c r="C232" s="613">
        <v>60.47</v>
      </c>
      <c r="D232" s="613">
        <v>0.0</v>
      </c>
      <c r="E232" s="613">
        <f t="shared" si="1"/>
        <v>9860.18</v>
      </c>
      <c r="F232" s="614">
        <v>2944.22</v>
      </c>
      <c r="G232" s="613">
        <f t="shared" si="2"/>
        <v>12804.4</v>
      </c>
      <c r="H232" s="615"/>
      <c r="I232" s="613"/>
      <c r="J232" s="613" t="str">
        <f t="shared" si="3"/>
        <v/>
      </c>
      <c r="K232" s="613">
        <v>12804.4</v>
      </c>
      <c r="L232" s="90"/>
      <c r="M232" s="90"/>
      <c r="N232" s="90"/>
      <c r="O232" s="90"/>
      <c r="P232" s="90"/>
      <c r="Q232" s="90"/>
      <c r="R232" s="90"/>
      <c r="S232" s="90"/>
      <c r="T232" s="90"/>
      <c r="U232" s="90"/>
      <c r="V232" s="90"/>
      <c r="W232" s="90"/>
      <c r="X232" s="90"/>
      <c r="Y232" s="90"/>
      <c r="Z232" s="90"/>
    </row>
    <row r="233" ht="12.75" customHeight="1" outlineLevel="1">
      <c r="A233" s="612" t="s">
        <v>1717</v>
      </c>
      <c r="B233" s="613">
        <v>0.0</v>
      </c>
      <c r="C233" s="613">
        <v>0.0</v>
      </c>
      <c r="D233" s="613">
        <v>0.0</v>
      </c>
      <c r="E233" s="613">
        <f t="shared" si="1"/>
        <v>0</v>
      </c>
      <c r="F233" s="614">
        <v>14.11</v>
      </c>
      <c r="G233" s="613">
        <f t="shared" si="2"/>
        <v>14.11</v>
      </c>
      <c r="H233" s="615"/>
      <c r="I233" s="613"/>
      <c r="J233" s="613" t="str">
        <f t="shared" si="3"/>
        <v/>
      </c>
      <c r="K233" s="613">
        <v>14.11</v>
      </c>
      <c r="L233" s="90"/>
      <c r="M233" s="90"/>
      <c r="N233" s="90"/>
      <c r="O233" s="90"/>
      <c r="P233" s="90"/>
      <c r="Q233" s="90"/>
      <c r="R233" s="90"/>
      <c r="S233" s="90"/>
      <c r="T233" s="90"/>
      <c r="U233" s="90"/>
      <c r="V233" s="90"/>
      <c r="W233" s="90"/>
      <c r="X233" s="90"/>
      <c r="Y233" s="90"/>
      <c r="Z233" s="90"/>
    </row>
    <row r="234" ht="12.75" customHeight="1" outlineLevel="1">
      <c r="A234" s="612" t="s">
        <v>1718</v>
      </c>
      <c r="B234" s="613">
        <v>981.77</v>
      </c>
      <c r="C234" s="613">
        <v>919.31</v>
      </c>
      <c r="D234" s="613">
        <v>0.0</v>
      </c>
      <c r="E234" s="613">
        <f t="shared" si="1"/>
        <v>1901.08</v>
      </c>
      <c r="F234" s="614">
        <v>1422.31</v>
      </c>
      <c r="G234" s="613">
        <f t="shared" si="2"/>
        <v>3323.39</v>
      </c>
      <c r="H234" s="615"/>
      <c r="I234" s="613"/>
      <c r="J234" s="613" t="str">
        <f t="shared" si="3"/>
        <v/>
      </c>
      <c r="K234" s="613">
        <v>3323.39</v>
      </c>
      <c r="L234" s="90"/>
      <c r="M234" s="90"/>
      <c r="N234" s="90"/>
      <c r="O234" s="90"/>
      <c r="P234" s="90"/>
      <c r="Q234" s="90"/>
      <c r="R234" s="90"/>
      <c r="S234" s="90"/>
      <c r="T234" s="90"/>
      <c r="U234" s="90"/>
      <c r="V234" s="90"/>
      <c r="W234" s="90"/>
      <c r="X234" s="90"/>
      <c r="Y234" s="90"/>
      <c r="Z234" s="90"/>
    </row>
    <row r="235" ht="12.75" customHeight="1" outlineLevel="1">
      <c r="A235" s="612" t="s">
        <v>1719</v>
      </c>
      <c r="B235" s="616">
        <v>10781.48</v>
      </c>
      <c r="C235" s="616">
        <v>979.78</v>
      </c>
      <c r="D235" s="616">
        <v>0.0</v>
      </c>
      <c r="E235" s="616">
        <f t="shared" si="1"/>
        <v>11761.26</v>
      </c>
      <c r="F235" s="617">
        <v>4380.64</v>
      </c>
      <c r="G235" s="616">
        <f t="shared" si="2"/>
        <v>16141.9</v>
      </c>
      <c r="H235" s="616">
        <v>0.0</v>
      </c>
      <c r="I235" s="616">
        <v>0.0</v>
      </c>
      <c r="J235" s="616">
        <f t="shared" si="3"/>
        <v>0</v>
      </c>
      <c r="K235" s="616">
        <v>16141.9</v>
      </c>
      <c r="L235" s="90"/>
      <c r="M235" s="90"/>
      <c r="N235" s="90"/>
      <c r="O235" s="90"/>
      <c r="P235" s="90"/>
      <c r="Q235" s="90"/>
      <c r="R235" s="90"/>
      <c r="S235" s="90"/>
      <c r="T235" s="90"/>
      <c r="U235" s="90"/>
      <c r="V235" s="90"/>
      <c r="W235" s="90"/>
      <c r="X235" s="90"/>
      <c r="Y235" s="90"/>
      <c r="Z235" s="90"/>
    </row>
    <row r="236" ht="12.75" customHeight="1">
      <c r="A236" s="618" t="s">
        <v>1720</v>
      </c>
      <c r="B236" s="616">
        <v>1227213.65</v>
      </c>
      <c r="C236" s="616">
        <v>337935.99</v>
      </c>
      <c r="D236" s="616">
        <v>45648.1</v>
      </c>
      <c r="E236" s="616">
        <f t="shared" si="1"/>
        <v>1610797.74</v>
      </c>
      <c r="F236" s="617">
        <v>425446.3</v>
      </c>
      <c r="G236" s="616">
        <f t="shared" si="2"/>
        <v>2036244.04</v>
      </c>
      <c r="H236" s="616">
        <v>133488.46</v>
      </c>
      <c r="I236" s="616">
        <v>0.0</v>
      </c>
      <c r="J236" s="616">
        <f t="shared" si="3"/>
        <v>133488.46</v>
      </c>
      <c r="K236" s="616">
        <v>2169732.5</v>
      </c>
      <c r="L236" s="90"/>
      <c r="M236" s="90"/>
      <c r="N236" s="90"/>
      <c r="O236" s="90"/>
      <c r="P236" s="90"/>
      <c r="Q236" s="90"/>
      <c r="R236" s="90"/>
      <c r="S236" s="90"/>
      <c r="T236" s="90"/>
      <c r="U236" s="90"/>
      <c r="V236" s="90"/>
      <c r="W236" s="90"/>
      <c r="X236" s="90"/>
      <c r="Y236" s="90"/>
      <c r="Z236" s="90"/>
    </row>
    <row r="237" ht="12.75" hidden="1" customHeight="1" outlineLevel="1">
      <c r="A237" s="618" t="s">
        <v>1721</v>
      </c>
      <c r="B237" s="613">
        <v>0.0</v>
      </c>
      <c r="C237" s="613">
        <v>0.0</v>
      </c>
      <c r="D237" s="613">
        <v>0.0</v>
      </c>
      <c r="E237" s="613">
        <f t="shared" si="1"/>
        <v>0</v>
      </c>
      <c r="F237" s="614">
        <v>0.0</v>
      </c>
      <c r="G237" s="613">
        <f t="shared" si="2"/>
        <v>0</v>
      </c>
      <c r="H237" s="615"/>
      <c r="I237" s="613"/>
      <c r="J237" s="613" t="str">
        <f t="shared" si="3"/>
        <v/>
      </c>
      <c r="K237" s="613">
        <v>0.0</v>
      </c>
      <c r="L237" s="90"/>
      <c r="M237" s="90"/>
      <c r="N237" s="90"/>
      <c r="O237" s="90"/>
      <c r="P237" s="90"/>
      <c r="Q237" s="90"/>
      <c r="R237" s="90"/>
      <c r="S237" s="90"/>
      <c r="T237" s="90"/>
      <c r="U237" s="90"/>
      <c r="V237" s="90"/>
      <c r="W237" s="90"/>
      <c r="X237" s="90"/>
      <c r="Y237" s="90"/>
      <c r="Z237" s="90"/>
    </row>
    <row r="238" ht="12.75" customHeight="1">
      <c r="A238" s="612" t="s">
        <v>1722</v>
      </c>
      <c r="B238" s="613">
        <v>44042.09</v>
      </c>
      <c r="C238" s="613">
        <v>0.0</v>
      </c>
      <c r="D238" s="613">
        <v>0.0</v>
      </c>
      <c r="E238" s="613">
        <f t="shared" si="1"/>
        <v>44042.09</v>
      </c>
      <c r="F238" s="614">
        <v>0.0</v>
      </c>
      <c r="G238" s="613">
        <f t="shared" si="2"/>
        <v>44042.09</v>
      </c>
      <c r="H238" s="613">
        <v>241227.9</v>
      </c>
      <c r="I238" s="613"/>
      <c r="J238" s="613" t="str">
        <f t="shared" si="3"/>
        <v/>
      </c>
      <c r="K238" s="613">
        <v>285269.99</v>
      </c>
      <c r="L238" s="90"/>
      <c r="M238" s="90"/>
      <c r="N238" s="90"/>
      <c r="O238" s="90"/>
      <c r="P238" s="90"/>
      <c r="Q238" s="90"/>
      <c r="R238" s="90"/>
      <c r="S238" s="90"/>
      <c r="T238" s="90"/>
      <c r="U238" s="90"/>
      <c r="V238" s="90"/>
      <c r="W238" s="90"/>
      <c r="X238" s="90"/>
      <c r="Y238" s="90"/>
      <c r="Z238" s="90"/>
    </row>
    <row r="239" ht="12.75" hidden="1" customHeight="1" outlineLevel="1">
      <c r="A239" s="612" t="s">
        <v>1723</v>
      </c>
      <c r="B239" s="616">
        <v>44042.09</v>
      </c>
      <c r="C239" s="616">
        <v>0.0</v>
      </c>
      <c r="D239" s="616">
        <v>0.0</v>
      </c>
      <c r="E239" s="616">
        <f t="shared" si="1"/>
        <v>44042.09</v>
      </c>
      <c r="F239" s="617">
        <v>0.0</v>
      </c>
      <c r="G239" s="616">
        <f t="shared" si="2"/>
        <v>44042.09</v>
      </c>
      <c r="H239" s="616">
        <v>241227.9</v>
      </c>
      <c r="I239" s="616">
        <v>0.0</v>
      </c>
      <c r="J239" s="616">
        <f t="shared" si="3"/>
        <v>241227.9</v>
      </c>
      <c r="K239" s="616">
        <v>285269.99</v>
      </c>
      <c r="L239" s="90"/>
      <c r="M239" s="90"/>
      <c r="N239" s="90"/>
      <c r="O239" s="90"/>
      <c r="P239" s="90"/>
      <c r="Q239" s="90"/>
      <c r="R239" s="90"/>
      <c r="S239" s="90"/>
      <c r="T239" s="90"/>
      <c r="U239" s="90"/>
      <c r="V239" s="90"/>
      <c r="W239" s="90"/>
      <c r="X239" s="90"/>
      <c r="Y239" s="90"/>
      <c r="Z239" s="90"/>
    </row>
    <row r="240" ht="12.75" hidden="1" customHeight="1" outlineLevel="1">
      <c r="A240" s="618" t="s">
        <v>1724</v>
      </c>
      <c r="B240" s="613">
        <v>0.0</v>
      </c>
      <c r="C240" s="613">
        <v>0.0</v>
      </c>
      <c r="D240" s="613">
        <v>0.0</v>
      </c>
      <c r="E240" s="613">
        <f t="shared" si="1"/>
        <v>0</v>
      </c>
      <c r="F240" s="614">
        <v>0.0</v>
      </c>
      <c r="G240" s="613">
        <f t="shared" si="2"/>
        <v>0</v>
      </c>
      <c r="H240" s="615"/>
      <c r="I240" s="613"/>
      <c r="J240" s="613" t="str">
        <f t="shared" si="3"/>
        <v/>
      </c>
      <c r="K240" s="613">
        <v>0.0</v>
      </c>
      <c r="L240" s="90"/>
      <c r="M240" s="90"/>
      <c r="N240" s="90"/>
      <c r="O240" s="90"/>
      <c r="P240" s="90"/>
      <c r="Q240" s="90"/>
      <c r="R240" s="90"/>
      <c r="S240" s="90"/>
      <c r="T240" s="90"/>
      <c r="U240" s="90"/>
      <c r="V240" s="90"/>
      <c r="W240" s="90"/>
      <c r="X240" s="90"/>
      <c r="Y240" s="90"/>
      <c r="Z240" s="90"/>
    </row>
    <row r="241" ht="12.75" customHeight="1">
      <c r="A241" s="612" t="s">
        <v>1725</v>
      </c>
      <c r="B241" s="613">
        <v>59677.25</v>
      </c>
      <c r="C241" s="613">
        <v>0.0</v>
      </c>
      <c r="D241" s="613">
        <v>0.0</v>
      </c>
      <c r="E241" s="613">
        <f t="shared" si="1"/>
        <v>59677.25</v>
      </c>
      <c r="F241" s="614">
        <v>29340.87</v>
      </c>
      <c r="G241" s="613">
        <f t="shared" si="2"/>
        <v>89018.12</v>
      </c>
      <c r="H241" s="613">
        <v>246922.83</v>
      </c>
      <c r="I241" s="613">
        <v>0.0</v>
      </c>
      <c r="J241" s="613">
        <f t="shared" si="3"/>
        <v>246922.83</v>
      </c>
      <c r="K241" s="613">
        <v>335940.95</v>
      </c>
      <c r="L241" s="90"/>
      <c r="M241" s="90"/>
      <c r="N241" s="90"/>
      <c r="O241" s="90"/>
      <c r="P241" s="90"/>
      <c r="Q241" s="90"/>
      <c r="R241" s="90"/>
      <c r="S241" s="90"/>
      <c r="T241" s="90"/>
      <c r="U241" s="90"/>
      <c r="V241" s="90"/>
      <c r="W241" s="90"/>
      <c r="X241" s="90"/>
      <c r="Y241" s="90"/>
      <c r="Z241" s="90"/>
    </row>
    <row r="242" ht="12.75" hidden="1" customHeight="1" outlineLevel="1">
      <c r="A242" s="612" t="s">
        <v>1726</v>
      </c>
      <c r="B242" s="616">
        <v>59677.25</v>
      </c>
      <c r="C242" s="616">
        <v>0.0</v>
      </c>
      <c r="D242" s="616">
        <v>0.0</v>
      </c>
      <c r="E242" s="616">
        <f t="shared" si="1"/>
        <v>59677.25</v>
      </c>
      <c r="F242" s="617">
        <v>29340.87</v>
      </c>
      <c r="G242" s="616">
        <f t="shared" si="2"/>
        <v>89018.12</v>
      </c>
      <c r="H242" s="616">
        <v>246922.83</v>
      </c>
      <c r="I242" s="616">
        <v>0.0</v>
      </c>
      <c r="J242" s="616">
        <f t="shared" si="3"/>
        <v>246922.83</v>
      </c>
      <c r="K242" s="616">
        <v>335940.95</v>
      </c>
      <c r="L242" s="90"/>
      <c r="M242" s="90"/>
      <c r="N242" s="90"/>
      <c r="O242" s="90"/>
      <c r="P242" s="90"/>
      <c r="Q242" s="90"/>
      <c r="R242" s="90"/>
      <c r="S242" s="90"/>
      <c r="T242" s="90"/>
      <c r="U242" s="90"/>
      <c r="V242" s="90"/>
      <c r="W242" s="90"/>
      <c r="X242" s="90"/>
      <c r="Y242" s="90"/>
      <c r="Z242" s="90"/>
    </row>
    <row r="243" ht="12.75" customHeight="1">
      <c r="A243" s="618" t="s">
        <v>231</v>
      </c>
      <c r="B243" s="616">
        <v>2885210.29</v>
      </c>
      <c r="C243" s="616">
        <v>426916.83</v>
      </c>
      <c r="D243" s="616">
        <v>45648.1</v>
      </c>
      <c r="E243" s="616">
        <f t="shared" si="1"/>
        <v>3357775.22</v>
      </c>
      <c r="F243" s="617">
        <v>652846.79</v>
      </c>
      <c r="G243" s="616">
        <f t="shared" si="2"/>
        <v>4010622.01</v>
      </c>
      <c r="H243" s="616">
        <v>621639.19</v>
      </c>
      <c r="I243" s="616">
        <v>0.0</v>
      </c>
      <c r="J243" s="616">
        <f t="shared" si="3"/>
        <v>621639.19</v>
      </c>
      <c r="K243" s="616">
        <v>4632261.2</v>
      </c>
      <c r="L243" s="90"/>
      <c r="M243" s="90"/>
      <c r="N243" s="90"/>
      <c r="O243" s="90"/>
      <c r="P243" s="90"/>
      <c r="Q243" s="90"/>
      <c r="R243" s="90"/>
      <c r="S243" s="90"/>
      <c r="T243" s="90"/>
      <c r="U243" s="90"/>
      <c r="V243" s="90"/>
      <c r="W243" s="90"/>
      <c r="X243" s="90"/>
      <c r="Y243" s="90"/>
      <c r="Z243" s="90"/>
    </row>
    <row r="244" ht="12.75" customHeight="1">
      <c r="A244" s="618" t="s">
        <v>1727</v>
      </c>
      <c r="B244" s="616">
        <v>217501.51</v>
      </c>
      <c r="C244" s="616">
        <v>-114416.83</v>
      </c>
      <c r="D244" s="616">
        <v>79351.9</v>
      </c>
      <c r="E244" s="616">
        <f t="shared" si="1"/>
        <v>182436.58</v>
      </c>
      <c r="F244" s="617">
        <v>366668.53</v>
      </c>
      <c r="G244" s="616">
        <f t="shared" si="2"/>
        <v>549105.11</v>
      </c>
      <c r="H244" s="616">
        <v>-161635.6</v>
      </c>
      <c r="I244" s="616">
        <v>232232.85</v>
      </c>
      <c r="J244" s="616">
        <f t="shared" si="3"/>
        <v>70597.25</v>
      </c>
      <c r="K244" s="616">
        <v>619702.36</v>
      </c>
      <c r="L244" s="90"/>
      <c r="M244" s="90"/>
      <c r="N244" s="90"/>
      <c r="O244" s="90"/>
      <c r="P244" s="90"/>
      <c r="Q244" s="90"/>
      <c r="R244" s="90"/>
      <c r="S244" s="90"/>
      <c r="T244" s="90"/>
      <c r="U244" s="90"/>
      <c r="V244" s="90"/>
      <c r="W244" s="90"/>
      <c r="X244" s="90"/>
      <c r="Y244" s="90"/>
      <c r="Z244" s="90"/>
    </row>
    <row r="245" ht="12.75" customHeight="1">
      <c r="A245" s="618" t="s">
        <v>194</v>
      </c>
      <c r="B245" s="620">
        <v>217501.51</v>
      </c>
      <c r="C245" s="620">
        <v>-114416.83</v>
      </c>
      <c r="D245" s="620">
        <v>79351.9</v>
      </c>
      <c r="E245" s="620">
        <f t="shared" si="1"/>
        <v>182436.58</v>
      </c>
      <c r="F245" s="621">
        <v>366668.53</v>
      </c>
      <c r="G245" s="620">
        <f t="shared" si="2"/>
        <v>549105.11</v>
      </c>
      <c r="H245" s="620">
        <v>-161635.6</v>
      </c>
      <c r="I245" s="620">
        <v>232232.85</v>
      </c>
      <c r="J245" s="620">
        <f t="shared" si="3"/>
        <v>70597.25</v>
      </c>
      <c r="K245" s="620">
        <v>619702.36</v>
      </c>
      <c r="L245" s="90"/>
      <c r="M245" s="90"/>
      <c r="N245" s="90"/>
      <c r="O245" s="90"/>
      <c r="P245" s="90"/>
      <c r="Q245" s="90"/>
      <c r="R245" s="90"/>
      <c r="S245" s="90"/>
      <c r="T245" s="90"/>
      <c r="U245" s="90"/>
      <c r="V245" s="90"/>
      <c r="W245" s="90"/>
      <c r="X245" s="90"/>
      <c r="Y245" s="90"/>
      <c r="Z245" s="90"/>
    </row>
    <row r="246" ht="12.75" customHeight="1">
      <c r="A246" s="618"/>
      <c r="B246" s="610"/>
      <c r="C246" s="610">
        <f>C243-'RS2'!J398</f>
        <v>0</v>
      </c>
      <c r="D246" s="610"/>
      <c r="E246" s="610"/>
      <c r="F246" s="611">
        <f>F245-'RSED National'!K379</f>
        <v>366668.53</v>
      </c>
      <c r="G246" s="610"/>
      <c r="H246" s="610"/>
      <c r="I246" s="610"/>
      <c r="J246" s="610"/>
      <c r="K246" s="610"/>
      <c r="L246" s="90"/>
      <c r="M246" s="90"/>
      <c r="N246" s="90"/>
      <c r="O246" s="90"/>
      <c r="P246" s="90"/>
      <c r="Q246" s="90"/>
      <c r="R246" s="90"/>
      <c r="S246" s="90"/>
      <c r="T246" s="90"/>
      <c r="U246" s="90"/>
      <c r="V246" s="90"/>
      <c r="W246" s="90"/>
      <c r="X246" s="90"/>
      <c r="Y246" s="90"/>
      <c r="Z246" s="90"/>
    </row>
    <row r="247" ht="12.75" customHeight="1">
      <c r="A247" s="90"/>
      <c r="B247" s="90"/>
      <c r="C247" s="90"/>
      <c r="D247" s="90"/>
      <c r="E247" s="90"/>
      <c r="F247" s="237"/>
      <c r="G247" s="90"/>
      <c r="H247" s="90"/>
      <c r="I247" s="90"/>
      <c r="J247" s="90"/>
      <c r="K247" s="90"/>
      <c r="L247" s="90"/>
      <c r="M247" s="90"/>
      <c r="N247" s="90"/>
      <c r="O247" s="90"/>
      <c r="P247" s="90"/>
      <c r="Q247" s="90"/>
      <c r="R247" s="90"/>
      <c r="S247" s="90"/>
      <c r="T247" s="90"/>
      <c r="U247" s="90"/>
      <c r="V247" s="90"/>
      <c r="W247" s="90"/>
      <c r="X247" s="90"/>
      <c r="Y247" s="90"/>
      <c r="Z247" s="90"/>
    </row>
    <row r="248" ht="12.75" customHeight="1">
      <c r="A248" s="90"/>
      <c r="B248" s="90"/>
      <c r="C248" s="90"/>
      <c r="D248" s="90"/>
      <c r="E248" s="90"/>
      <c r="F248" s="237"/>
      <c r="G248" s="90"/>
      <c r="H248" s="90"/>
      <c r="I248" s="90"/>
      <c r="J248" s="90"/>
      <c r="K248" s="90"/>
      <c r="L248" s="90"/>
      <c r="M248" s="90"/>
      <c r="N248" s="90"/>
      <c r="O248" s="90"/>
      <c r="P248" s="90"/>
      <c r="Q248" s="90"/>
      <c r="R248" s="90"/>
      <c r="S248" s="90"/>
      <c r="T248" s="90"/>
      <c r="U248" s="90"/>
      <c r="V248" s="90"/>
      <c r="W248" s="90"/>
      <c r="X248" s="90"/>
      <c r="Y248" s="90"/>
      <c r="Z248" s="90"/>
    </row>
    <row r="249" ht="12.75" customHeight="1">
      <c r="A249" s="622" t="s">
        <v>1728</v>
      </c>
      <c r="B249" s="622"/>
      <c r="C249" s="622"/>
      <c r="D249" s="622"/>
      <c r="E249" s="622"/>
      <c r="F249" s="623"/>
      <c r="G249" s="622"/>
      <c r="H249" s="622"/>
      <c r="I249" s="622"/>
      <c r="J249" s="622"/>
      <c r="K249" s="622"/>
      <c r="L249" s="90"/>
      <c r="M249" s="90"/>
      <c r="N249" s="90"/>
      <c r="O249" s="90"/>
      <c r="P249" s="90"/>
      <c r="Q249" s="90"/>
      <c r="R249" s="90"/>
      <c r="S249" s="90"/>
      <c r="T249" s="90"/>
      <c r="U249" s="90"/>
      <c r="V249" s="90"/>
      <c r="W249" s="90"/>
      <c r="X249" s="90"/>
      <c r="Y249" s="90"/>
      <c r="Z249" s="90"/>
    </row>
    <row r="250" ht="12.75" customHeight="1">
      <c r="A250" s="90"/>
      <c r="B250" s="90"/>
      <c r="C250" s="90"/>
      <c r="D250" s="90"/>
      <c r="E250" s="90"/>
      <c r="F250" s="237"/>
      <c r="G250" s="90"/>
      <c r="H250" s="90"/>
      <c r="I250" s="90"/>
      <c r="J250" s="90"/>
      <c r="K250" s="90"/>
      <c r="L250" s="90"/>
      <c r="M250" s="90"/>
      <c r="N250" s="90"/>
      <c r="O250" s="90"/>
      <c r="P250" s="90"/>
      <c r="Q250" s="90"/>
      <c r="R250" s="90"/>
      <c r="S250" s="90"/>
      <c r="T250" s="90"/>
      <c r="U250" s="90"/>
      <c r="V250" s="90"/>
      <c r="W250" s="90"/>
      <c r="X250" s="90"/>
      <c r="Y250" s="90"/>
      <c r="Z250" s="90"/>
    </row>
    <row r="251" ht="12.75" customHeight="1">
      <c r="A251" s="90"/>
      <c r="B251" s="90"/>
      <c r="C251" s="90"/>
      <c r="D251" s="90"/>
      <c r="E251" s="90"/>
      <c r="F251" s="237"/>
      <c r="G251" s="90"/>
      <c r="H251" s="90"/>
      <c r="I251" s="90"/>
      <c r="J251" s="90"/>
      <c r="K251" s="90"/>
      <c r="L251" s="90"/>
      <c r="M251" s="90"/>
      <c r="N251" s="90"/>
      <c r="O251" s="90"/>
      <c r="P251" s="90"/>
      <c r="Q251" s="90"/>
      <c r="R251" s="90"/>
      <c r="S251" s="90"/>
      <c r="T251" s="90"/>
      <c r="U251" s="90"/>
      <c r="V251" s="90"/>
      <c r="W251" s="90"/>
      <c r="X251" s="90"/>
      <c r="Y251" s="90"/>
      <c r="Z251" s="90"/>
    </row>
    <row r="252" ht="12.75" customHeight="1">
      <c r="A252" s="90"/>
      <c r="B252" s="90"/>
      <c r="C252" s="90"/>
      <c r="D252" s="90"/>
      <c r="E252" s="90"/>
      <c r="F252" s="237"/>
      <c r="G252" s="90"/>
      <c r="H252" s="90"/>
      <c r="I252" s="90"/>
      <c r="J252" s="90"/>
      <c r="K252" s="90"/>
      <c r="L252" s="90"/>
      <c r="M252" s="90"/>
      <c r="N252" s="90"/>
      <c r="O252" s="90"/>
      <c r="P252" s="90"/>
      <c r="Q252" s="90"/>
      <c r="R252" s="90"/>
      <c r="S252" s="90"/>
      <c r="T252" s="90"/>
      <c r="U252" s="90"/>
      <c r="V252" s="90"/>
      <c r="W252" s="90"/>
      <c r="X252" s="90"/>
      <c r="Y252" s="90"/>
      <c r="Z252" s="90"/>
    </row>
    <row r="253" ht="12.75" customHeight="1">
      <c r="A253" s="90"/>
      <c r="B253" s="90"/>
      <c r="C253" s="90"/>
      <c r="D253" s="90"/>
      <c r="E253" s="90"/>
      <c r="F253" s="237"/>
      <c r="G253" s="90"/>
      <c r="H253" s="90"/>
      <c r="I253" s="90"/>
      <c r="J253" s="90"/>
      <c r="K253" s="90"/>
      <c r="L253" s="90"/>
      <c r="M253" s="90"/>
      <c r="N253" s="90"/>
      <c r="O253" s="90"/>
      <c r="P253" s="90"/>
      <c r="Q253" s="90"/>
      <c r="R253" s="90"/>
      <c r="S253" s="90"/>
      <c r="T253" s="90"/>
      <c r="U253" s="90"/>
      <c r="V253" s="90"/>
      <c r="W253" s="90"/>
      <c r="X253" s="90"/>
      <c r="Y253" s="90"/>
      <c r="Z253" s="90"/>
    </row>
    <row r="254" ht="12.75" customHeight="1">
      <c r="A254" s="90"/>
      <c r="B254" s="90"/>
      <c r="C254" s="90"/>
      <c r="D254" s="90"/>
      <c r="E254" s="90"/>
      <c r="F254" s="237"/>
      <c r="G254" s="90"/>
      <c r="H254" s="90"/>
      <c r="I254" s="90"/>
      <c r="J254" s="90"/>
      <c r="K254" s="90"/>
      <c r="L254" s="90"/>
      <c r="M254" s="90"/>
      <c r="N254" s="90"/>
      <c r="O254" s="90"/>
      <c r="P254" s="90"/>
      <c r="Q254" s="90"/>
      <c r="R254" s="90"/>
      <c r="S254" s="90"/>
      <c r="T254" s="90"/>
      <c r="U254" s="90"/>
      <c r="V254" s="90"/>
      <c r="W254" s="90"/>
      <c r="X254" s="90"/>
      <c r="Y254" s="90"/>
      <c r="Z254" s="90"/>
    </row>
    <row r="255" ht="12.75" customHeight="1">
      <c r="A255" s="90"/>
      <c r="B255" s="90"/>
      <c r="C255" s="90"/>
      <c r="D255" s="90"/>
      <c r="E255" s="90"/>
      <c r="F255" s="237"/>
      <c r="G255" s="90"/>
      <c r="H255" s="90"/>
      <c r="I255" s="90"/>
      <c r="J255" s="90"/>
      <c r="K255" s="90"/>
      <c r="L255" s="90"/>
      <c r="M255" s="90"/>
      <c r="N255" s="90"/>
      <c r="O255" s="90"/>
      <c r="P255" s="90"/>
      <c r="Q255" s="90"/>
      <c r="R255" s="90"/>
      <c r="S255" s="90"/>
      <c r="T255" s="90"/>
      <c r="U255" s="90"/>
      <c r="V255" s="90"/>
      <c r="W255" s="90"/>
      <c r="X255" s="90"/>
      <c r="Y255" s="90"/>
      <c r="Z255" s="90"/>
    </row>
    <row r="256" ht="12.75" customHeight="1">
      <c r="A256" s="90"/>
      <c r="B256" s="90"/>
      <c r="C256" s="90"/>
      <c r="D256" s="90"/>
      <c r="E256" s="90"/>
      <c r="F256" s="237"/>
      <c r="G256" s="90"/>
      <c r="H256" s="90"/>
      <c r="I256" s="90"/>
      <c r="J256" s="90"/>
      <c r="K256" s="90"/>
      <c r="L256" s="90"/>
      <c r="M256" s="90"/>
      <c r="N256" s="90"/>
      <c r="O256" s="90"/>
      <c r="P256" s="90"/>
      <c r="Q256" s="90"/>
      <c r="R256" s="90"/>
      <c r="S256" s="90"/>
      <c r="T256" s="90"/>
      <c r="U256" s="90"/>
      <c r="V256" s="90"/>
      <c r="W256" s="90"/>
      <c r="X256" s="90"/>
      <c r="Y256" s="90"/>
      <c r="Z256" s="90"/>
    </row>
    <row r="257" ht="12.75" customHeight="1">
      <c r="A257" s="90"/>
      <c r="B257" s="90"/>
      <c r="C257" s="90"/>
      <c r="D257" s="90"/>
      <c r="E257" s="90"/>
      <c r="F257" s="237"/>
      <c r="G257" s="90"/>
      <c r="H257" s="90"/>
      <c r="I257" s="90"/>
      <c r="J257" s="90"/>
      <c r="K257" s="90"/>
      <c r="L257" s="90"/>
      <c r="M257" s="90"/>
      <c r="N257" s="90"/>
      <c r="O257" s="90"/>
      <c r="P257" s="90"/>
      <c r="Q257" s="90"/>
      <c r="R257" s="90"/>
      <c r="S257" s="90"/>
      <c r="T257" s="90"/>
      <c r="U257" s="90"/>
      <c r="V257" s="90"/>
      <c r="W257" s="90"/>
      <c r="X257" s="90"/>
      <c r="Y257" s="90"/>
      <c r="Z257" s="90"/>
    </row>
    <row r="258" ht="12.75" customHeight="1">
      <c r="A258" s="90"/>
      <c r="B258" s="90"/>
      <c r="C258" s="90"/>
      <c r="D258" s="90"/>
      <c r="E258" s="90"/>
      <c r="F258" s="237"/>
      <c r="G258" s="90"/>
      <c r="H258" s="90"/>
      <c r="I258" s="90"/>
      <c r="J258" s="90"/>
      <c r="K258" s="90"/>
      <c r="L258" s="90"/>
      <c r="M258" s="90"/>
      <c r="N258" s="90"/>
      <c r="O258" s="90"/>
      <c r="P258" s="90"/>
      <c r="Q258" s="90"/>
      <c r="R258" s="90"/>
      <c r="S258" s="90"/>
      <c r="T258" s="90"/>
      <c r="U258" s="90"/>
      <c r="V258" s="90"/>
      <c r="W258" s="90"/>
      <c r="X258" s="90"/>
      <c r="Y258" s="90"/>
      <c r="Z258" s="90"/>
    </row>
    <row r="259" ht="12.75" customHeight="1">
      <c r="A259" s="90"/>
      <c r="B259" s="90"/>
      <c r="C259" s="90"/>
      <c r="D259" s="90"/>
      <c r="E259" s="90"/>
      <c r="F259" s="237"/>
      <c r="G259" s="90"/>
      <c r="H259" s="90"/>
      <c r="I259" s="90"/>
      <c r="J259" s="90"/>
      <c r="K259" s="90"/>
      <c r="L259" s="90"/>
      <c r="M259" s="90"/>
      <c r="N259" s="90"/>
      <c r="O259" s="90"/>
      <c r="P259" s="90"/>
      <c r="Q259" s="90"/>
      <c r="R259" s="90"/>
      <c r="S259" s="90"/>
      <c r="T259" s="90"/>
      <c r="U259" s="90"/>
      <c r="V259" s="90"/>
      <c r="W259" s="90"/>
      <c r="X259" s="90"/>
      <c r="Y259" s="90"/>
      <c r="Z259" s="90"/>
    </row>
    <row r="260" ht="12.75" customHeight="1">
      <c r="A260" s="90"/>
      <c r="B260" s="90"/>
      <c r="C260" s="90"/>
      <c r="D260" s="90"/>
      <c r="E260" s="90"/>
      <c r="F260" s="237"/>
      <c r="G260" s="90"/>
      <c r="H260" s="90"/>
      <c r="I260" s="90"/>
      <c r="J260" s="90"/>
      <c r="K260" s="90"/>
      <c r="L260" s="90"/>
      <c r="M260" s="90"/>
      <c r="N260" s="90"/>
      <c r="O260" s="90"/>
      <c r="P260" s="90"/>
      <c r="Q260" s="90"/>
      <c r="R260" s="90"/>
      <c r="S260" s="90"/>
      <c r="T260" s="90"/>
      <c r="U260" s="90"/>
      <c r="V260" s="90"/>
      <c r="W260" s="90"/>
      <c r="X260" s="90"/>
      <c r="Y260" s="90"/>
      <c r="Z260" s="90"/>
    </row>
    <row r="261" ht="12.75" customHeight="1">
      <c r="A261" s="90"/>
      <c r="B261" s="90"/>
      <c r="C261" s="90"/>
      <c r="D261" s="90"/>
      <c r="E261" s="90"/>
      <c r="F261" s="237"/>
      <c r="G261" s="90"/>
      <c r="H261" s="90"/>
      <c r="I261" s="90"/>
      <c r="J261" s="90"/>
      <c r="K261" s="90"/>
      <c r="L261" s="90"/>
      <c r="M261" s="90"/>
      <c r="N261" s="90"/>
      <c r="O261" s="90"/>
      <c r="P261" s="90"/>
      <c r="Q261" s="90"/>
      <c r="R261" s="90"/>
      <c r="S261" s="90"/>
      <c r="T261" s="90"/>
      <c r="U261" s="90"/>
      <c r="V261" s="90"/>
      <c r="W261" s="90"/>
      <c r="X261" s="90"/>
      <c r="Y261" s="90"/>
      <c r="Z261" s="90"/>
    </row>
    <row r="262" ht="12.75" customHeight="1">
      <c r="A262" s="90"/>
      <c r="B262" s="90"/>
      <c r="C262" s="90"/>
      <c r="D262" s="90"/>
      <c r="E262" s="90"/>
      <c r="F262" s="237"/>
      <c r="G262" s="90"/>
      <c r="H262" s="90"/>
      <c r="I262" s="90"/>
      <c r="J262" s="90"/>
      <c r="K262" s="90"/>
      <c r="L262" s="90"/>
      <c r="M262" s="90"/>
      <c r="N262" s="90"/>
      <c r="O262" s="90"/>
      <c r="P262" s="90"/>
      <c r="Q262" s="90"/>
      <c r="R262" s="90"/>
      <c r="S262" s="90"/>
      <c r="T262" s="90"/>
      <c r="U262" s="90"/>
      <c r="V262" s="90"/>
      <c r="W262" s="90"/>
      <c r="X262" s="90"/>
      <c r="Y262" s="90"/>
      <c r="Z262" s="90"/>
    </row>
    <row r="263" ht="12.75" customHeight="1">
      <c r="A263" s="90"/>
      <c r="B263" s="90"/>
      <c r="C263" s="90"/>
      <c r="D263" s="90"/>
      <c r="E263" s="90"/>
      <c r="F263" s="237"/>
      <c r="G263" s="90"/>
      <c r="H263" s="90"/>
      <c r="I263" s="90"/>
      <c r="J263" s="90"/>
      <c r="K263" s="90"/>
      <c r="L263" s="90"/>
      <c r="M263" s="90"/>
      <c r="N263" s="90"/>
      <c r="O263" s="90"/>
      <c r="P263" s="90"/>
      <c r="Q263" s="90"/>
      <c r="R263" s="90"/>
      <c r="S263" s="90"/>
      <c r="T263" s="90"/>
      <c r="U263" s="90"/>
      <c r="V263" s="90"/>
      <c r="W263" s="90"/>
      <c r="X263" s="90"/>
      <c r="Y263" s="90"/>
      <c r="Z263" s="90"/>
    </row>
    <row r="264" ht="12.75" customHeight="1">
      <c r="A264" s="90"/>
      <c r="B264" s="90"/>
      <c r="C264" s="90"/>
      <c r="D264" s="90"/>
      <c r="E264" s="90"/>
      <c r="F264" s="237"/>
      <c r="G264" s="90"/>
      <c r="H264" s="90"/>
      <c r="I264" s="90"/>
      <c r="J264" s="90"/>
      <c r="K264" s="90"/>
      <c r="L264" s="90"/>
      <c r="M264" s="90"/>
      <c r="N264" s="90"/>
      <c r="O264" s="90"/>
      <c r="P264" s="90"/>
      <c r="Q264" s="90"/>
      <c r="R264" s="90"/>
      <c r="S264" s="90"/>
      <c r="T264" s="90"/>
      <c r="U264" s="90"/>
      <c r="V264" s="90"/>
      <c r="W264" s="90"/>
      <c r="X264" s="90"/>
      <c r="Y264" s="90"/>
      <c r="Z264" s="90"/>
    </row>
    <row r="265" ht="12.75" customHeight="1">
      <c r="A265" s="90"/>
      <c r="B265" s="90"/>
      <c r="C265" s="90"/>
      <c r="D265" s="90"/>
      <c r="E265" s="90"/>
      <c r="F265" s="237"/>
      <c r="G265" s="90"/>
      <c r="H265" s="90"/>
      <c r="I265" s="90"/>
      <c r="J265" s="90"/>
      <c r="K265" s="90"/>
      <c r="L265" s="90"/>
      <c r="M265" s="90"/>
      <c r="N265" s="90"/>
      <c r="O265" s="90"/>
      <c r="P265" s="90"/>
      <c r="Q265" s="90"/>
      <c r="R265" s="90"/>
      <c r="S265" s="90"/>
      <c r="T265" s="90"/>
      <c r="U265" s="90"/>
      <c r="V265" s="90"/>
      <c r="W265" s="90"/>
      <c r="X265" s="90"/>
      <c r="Y265" s="90"/>
      <c r="Z265" s="90"/>
    </row>
    <row r="266" ht="12.75" customHeight="1">
      <c r="A266" s="90"/>
      <c r="B266" s="90"/>
      <c r="C266" s="90"/>
      <c r="D266" s="90"/>
      <c r="E266" s="90"/>
      <c r="F266" s="237"/>
      <c r="G266" s="90"/>
      <c r="H266" s="90"/>
      <c r="I266" s="90"/>
      <c r="J266" s="90"/>
      <c r="K266" s="90"/>
      <c r="L266" s="90"/>
      <c r="M266" s="90"/>
      <c r="N266" s="90"/>
      <c r="O266" s="90"/>
      <c r="P266" s="90"/>
      <c r="Q266" s="90"/>
      <c r="R266" s="90"/>
      <c r="S266" s="90"/>
      <c r="T266" s="90"/>
      <c r="U266" s="90"/>
      <c r="V266" s="90"/>
      <c r="W266" s="90"/>
      <c r="X266" s="90"/>
      <c r="Y266" s="90"/>
      <c r="Z266" s="90"/>
    </row>
    <row r="267" ht="12.75" customHeight="1">
      <c r="A267" s="90"/>
      <c r="B267" s="90"/>
      <c r="C267" s="90"/>
      <c r="D267" s="90"/>
      <c r="E267" s="90"/>
      <c r="F267" s="237"/>
      <c r="G267" s="90"/>
      <c r="H267" s="90"/>
      <c r="I267" s="90"/>
      <c r="J267" s="90"/>
      <c r="K267" s="90"/>
      <c r="L267" s="90"/>
      <c r="M267" s="90"/>
      <c r="N267" s="90"/>
      <c r="O267" s="90"/>
      <c r="P267" s="90"/>
      <c r="Q267" s="90"/>
      <c r="R267" s="90"/>
      <c r="S267" s="90"/>
      <c r="T267" s="90"/>
      <c r="U267" s="90"/>
      <c r="V267" s="90"/>
      <c r="W267" s="90"/>
      <c r="X267" s="90"/>
      <c r="Y267" s="90"/>
      <c r="Z267" s="90"/>
    </row>
    <row r="268" ht="12.75" customHeight="1">
      <c r="A268" s="90"/>
      <c r="B268" s="90"/>
      <c r="C268" s="90"/>
      <c r="D268" s="90"/>
      <c r="E268" s="90"/>
      <c r="F268" s="237"/>
      <c r="G268" s="90"/>
      <c r="H268" s="90"/>
      <c r="I268" s="90"/>
      <c r="J268" s="90"/>
      <c r="K268" s="90"/>
      <c r="L268" s="90"/>
      <c r="M268" s="90"/>
      <c r="N268" s="90"/>
      <c r="O268" s="90"/>
      <c r="P268" s="90"/>
      <c r="Q268" s="90"/>
      <c r="R268" s="90"/>
      <c r="S268" s="90"/>
      <c r="T268" s="90"/>
      <c r="U268" s="90"/>
      <c r="V268" s="90"/>
      <c r="W268" s="90"/>
      <c r="X268" s="90"/>
      <c r="Y268" s="90"/>
      <c r="Z268" s="90"/>
    </row>
    <row r="269" ht="12.75" customHeight="1">
      <c r="A269" s="90"/>
      <c r="B269" s="90"/>
      <c r="C269" s="90"/>
      <c r="D269" s="90"/>
      <c r="E269" s="90"/>
      <c r="F269" s="237"/>
      <c r="G269" s="90"/>
      <c r="H269" s="90"/>
      <c r="I269" s="90"/>
      <c r="J269" s="90"/>
      <c r="K269" s="90"/>
      <c r="L269" s="90"/>
      <c r="M269" s="90"/>
      <c r="N269" s="90"/>
      <c r="O269" s="90"/>
      <c r="P269" s="90"/>
      <c r="Q269" s="90"/>
      <c r="R269" s="90"/>
      <c r="S269" s="90"/>
      <c r="T269" s="90"/>
      <c r="U269" s="90"/>
      <c r="V269" s="90"/>
      <c r="W269" s="90"/>
      <c r="X269" s="90"/>
      <c r="Y269" s="90"/>
      <c r="Z269" s="90"/>
    </row>
    <row r="270" ht="12.75" customHeight="1">
      <c r="A270" s="90"/>
      <c r="B270" s="90"/>
      <c r="C270" s="90"/>
      <c r="D270" s="90"/>
      <c r="E270" s="90"/>
      <c r="F270" s="237"/>
      <c r="G270" s="90"/>
      <c r="H270" s="90"/>
      <c r="I270" s="90"/>
      <c r="J270" s="90"/>
      <c r="K270" s="90"/>
      <c r="L270" s="90"/>
      <c r="M270" s="90"/>
      <c r="N270" s="90"/>
      <c r="O270" s="90"/>
      <c r="P270" s="90"/>
      <c r="Q270" s="90"/>
      <c r="R270" s="90"/>
      <c r="S270" s="90"/>
      <c r="T270" s="90"/>
      <c r="U270" s="90"/>
      <c r="V270" s="90"/>
      <c r="W270" s="90"/>
      <c r="X270" s="90"/>
      <c r="Y270" s="90"/>
      <c r="Z270" s="90"/>
    </row>
    <row r="271" ht="12.75" customHeight="1">
      <c r="A271" s="90"/>
      <c r="B271" s="90"/>
      <c r="C271" s="90"/>
      <c r="D271" s="90"/>
      <c r="E271" s="90"/>
      <c r="F271" s="237"/>
      <c r="G271" s="90"/>
      <c r="H271" s="90"/>
      <c r="I271" s="90"/>
      <c r="J271" s="90"/>
      <c r="K271" s="90"/>
      <c r="L271" s="90"/>
      <c r="M271" s="90"/>
      <c r="N271" s="90"/>
      <c r="O271" s="90"/>
      <c r="P271" s="90"/>
      <c r="Q271" s="90"/>
      <c r="R271" s="90"/>
      <c r="S271" s="90"/>
      <c r="T271" s="90"/>
      <c r="U271" s="90"/>
      <c r="V271" s="90"/>
      <c r="W271" s="90"/>
      <c r="X271" s="90"/>
      <c r="Y271" s="90"/>
      <c r="Z271" s="90"/>
    </row>
    <row r="272" ht="12.75" customHeight="1">
      <c r="A272" s="90"/>
      <c r="B272" s="90"/>
      <c r="C272" s="90"/>
      <c r="D272" s="90"/>
      <c r="E272" s="90"/>
      <c r="F272" s="237"/>
      <c r="G272" s="90"/>
      <c r="H272" s="90"/>
      <c r="I272" s="90"/>
      <c r="J272" s="90"/>
      <c r="K272" s="90"/>
      <c r="L272" s="90"/>
      <c r="M272" s="90"/>
      <c r="N272" s="90"/>
      <c r="O272" s="90"/>
      <c r="P272" s="90"/>
      <c r="Q272" s="90"/>
      <c r="R272" s="90"/>
      <c r="S272" s="90"/>
      <c r="T272" s="90"/>
      <c r="U272" s="90"/>
      <c r="V272" s="90"/>
      <c r="W272" s="90"/>
      <c r="X272" s="90"/>
      <c r="Y272" s="90"/>
      <c r="Z272" s="90"/>
    </row>
    <row r="273" ht="12.75" customHeight="1">
      <c r="A273" s="90"/>
      <c r="B273" s="90"/>
      <c r="C273" s="90"/>
      <c r="D273" s="90"/>
      <c r="E273" s="90"/>
      <c r="F273" s="237"/>
      <c r="G273" s="90"/>
      <c r="H273" s="90"/>
      <c r="I273" s="90"/>
      <c r="J273" s="90"/>
      <c r="K273" s="90"/>
      <c r="L273" s="90"/>
      <c r="M273" s="90"/>
      <c r="N273" s="90"/>
      <c r="O273" s="90"/>
      <c r="P273" s="90"/>
      <c r="Q273" s="90"/>
      <c r="R273" s="90"/>
      <c r="S273" s="90"/>
      <c r="T273" s="90"/>
      <c r="U273" s="90"/>
      <c r="V273" s="90"/>
      <c r="W273" s="90"/>
      <c r="X273" s="90"/>
      <c r="Y273" s="90"/>
      <c r="Z273" s="90"/>
    </row>
    <row r="274" ht="12.75" customHeight="1">
      <c r="A274" s="90"/>
      <c r="B274" s="90"/>
      <c r="C274" s="90"/>
      <c r="D274" s="90"/>
      <c r="E274" s="90"/>
      <c r="F274" s="237"/>
      <c r="G274" s="90"/>
      <c r="H274" s="90"/>
      <c r="I274" s="90"/>
      <c r="J274" s="90"/>
      <c r="K274" s="90"/>
      <c r="L274" s="90"/>
      <c r="M274" s="90"/>
      <c r="N274" s="90"/>
      <c r="O274" s="90"/>
      <c r="P274" s="90"/>
      <c r="Q274" s="90"/>
      <c r="R274" s="90"/>
      <c r="S274" s="90"/>
      <c r="T274" s="90"/>
      <c r="U274" s="90"/>
      <c r="V274" s="90"/>
      <c r="W274" s="90"/>
      <c r="X274" s="90"/>
      <c r="Y274" s="90"/>
      <c r="Z274" s="90"/>
    </row>
    <row r="275" ht="12.75" customHeight="1">
      <c r="A275" s="90"/>
      <c r="B275" s="90"/>
      <c r="C275" s="90"/>
      <c r="D275" s="90"/>
      <c r="E275" s="90"/>
      <c r="F275" s="237"/>
      <c r="G275" s="90"/>
      <c r="H275" s="90"/>
      <c r="I275" s="90"/>
      <c r="J275" s="90"/>
      <c r="K275" s="90"/>
      <c r="L275" s="90"/>
      <c r="M275" s="90"/>
      <c r="N275" s="90"/>
      <c r="O275" s="90"/>
      <c r="P275" s="90"/>
      <c r="Q275" s="90"/>
      <c r="R275" s="90"/>
      <c r="S275" s="90"/>
      <c r="T275" s="90"/>
      <c r="U275" s="90"/>
      <c r="V275" s="90"/>
      <c r="W275" s="90"/>
      <c r="X275" s="90"/>
      <c r="Y275" s="90"/>
      <c r="Z275" s="90"/>
    </row>
    <row r="276" ht="12.75" customHeight="1">
      <c r="A276" s="90"/>
      <c r="B276" s="90"/>
      <c r="C276" s="90"/>
      <c r="D276" s="90"/>
      <c r="E276" s="90"/>
      <c r="F276" s="237"/>
      <c r="G276" s="90"/>
      <c r="H276" s="90"/>
      <c r="I276" s="90"/>
      <c r="J276" s="90"/>
      <c r="K276" s="90"/>
      <c r="L276" s="90"/>
      <c r="M276" s="90"/>
      <c r="N276" s="90"/>
      <c r="O276" s="90"/>
      <c r="P276" s="90"/>
      <c r="Q276" s="90"/>
      <c r="R276" s="90"/>
      <c r="S276" s="90"/>
      <c r="T276" s="90"/>
      <c r="U276" s="90"/>
      <c r="V276" s="90"/>
      <c r="W276" s="90"/>
      <c r="X276" s="90"/>
      <c r="Y276" s="90"/>
      <c r="Z276" s="90"/>
    </row>
    <row r="277" ht="12.75" customHeight="1">
      <c r="A277" s="90"/>
      <c r="B277" s="90"/>
      <c r="C277" s="90"/>
      <c r="D277" s="90"/>
      <c r="E277" s="90"/>
      <c r="F277" s="237"/>
      <c r="G277" s="90"/>
      <c r="H277" s="90"/>
      <c r="I277" s="90"/>
      <c r="J277" s="90"/>
      <c r="K277" s="90"/>
      <c r="L277" s="90"/>
      <c r="M277" s="90"/>
      <c r="N277" s="90"/>
      <c r="O277" s="90"/>
      <c r="P277" s="90"/>
      <c r="Q277" s="90"/>
      <c r="R277" s="90"/>
      <c r="S277" s="90"/>
      <c r="T277" s="90"/>
      <c r="U277" s="90"/>
      <c r="V277" s="90"/>
      <c r="W277" s="90"/>
      <c r="X277" s="90"/>
      <c r="Y277" s="90"/>
      <c r="Z277" s="90"/>
    </row>
    <row r="278" ht="12.75" customHeight="1">
      <c r="A278" s="90"/>
      <c r="B278" s="90"/>
      <c r="C278" s="90"/>
      <c r="D278" s="90"/>
      <c r="E278" s="90"/>
      <c r="F278" s="237"/>
      <c r="G278" s="90"/>
      <c r="H278" s="90"/>
      <c r="I278" s="90"/>
      <c r="J278" s="90"/>
      <c r="K278" s="90"/>
      <c r="L278" s="90"/>
      <c r="M278" s="90"/>
      <c r="N278" s="90"/>
      <c r="O278" s="90"/>
      <c r="P278" s="90"/>
      <c r="Q278" s="90"/>
      <c r="R278" s="90"/>
      <c r="S278" s="90"/>
      <c r="T278" s="90"/>
      <c r="U278" s="90"/>
      <c r="V278" s="90"/>
      <c r="W278" s="90"/>
      <c r="X278" s="90"/>
      <c r="Y278" s="90"/>
      <c r="Z278" s="90"/>
    </row>
    <row r="279" ht="12.75" customHeight="1">
      <c r="A279" s="90"/>
      <c r="B279" s="90"/>
      <c r="C279" s="90"/>
      <c r="D279" s="90"/>
      <c r="E279" s="90"/>
      <c r="F279" s="237"/>
      <c r="G279" s="90"/>
      <c r="H279" s="90"/>
      <c r="I279" s="90"/>
      <c r="J279" s="90"/>
      <c r="K279" s="90"/>
      <c r="L279" s="90"/>
      <c r="M279" s="90"/>
      <c r="N279" s="90"/>
      <c r="O279" s="90"/>
      <c r="P279" s="90"/>
      <c r="Q279" s="90"/>
      <c r="R279" s="90"/>
      <c r="S279" s="90"/>
      <c r="T279" s="90"/>
      <c r="U279" s="90"/>
      <c r="V279" s="90"/>
      <c r="W279" s="90"/>
      <c r="X279" s="90"/>
      <c r="Y279" s="90"/>
      <c r="Z279" s="90"/>
    </row>
    <row r="280" ht="12.75" customHeight="1">
      <c r="A280" s="90"/>
      <c r="B280" s="90"/>
      <c r="C280" s="90"/>
      <c r="D280" s="90"/>
      <c r="E280" s="90"/>
      <c r="F280" s="237"/>
      <c r="G280" s="90"/>
      <c r="H280" s="90"/>
      <c r="I280" s="90"/>
      <c r="J280" s="90"/>
      <c r="K280" s="90"/>
      <c r="L280" s="90"/>
      <c r="M280" s="90"/>
      <c r="N280" s="90"/>
      <c r="O280" s="90"/>
      <c r="P280" s="90"/>
      <c r="Q280" s="90"/>
      <c r="R280" s="90"/>
      <c r="S280" s="90"/>
      <c r="T280" s="90"/>
      <c r="U280" s="90"/>
      <c r="V280" s="90"/>
      <c r="W280" s="90"/>
      <c r="X280" s="90"/>
      <c r="Y280" s="90"/>
      <c r="Z280" s="90"/>
    </row>
    <row r="281" ht="12.75" customHeight="1">
      <c r="A281" s="90"/>
      <c r="B281" s="90"/>
      <c r="C281" s="90"/>
      <c r="D281" s="90"/>
      <c r="E281" s="90"/>
      <c r="F281" s="237"/>
      <c r="G281" s="90"/>
      <c r="H281" s="90"/>
      <c r="I281" s="90"/>
      <c r="J281" s="90"/>
      <c r="K281" s="90"/>
      <c r="L281" s="90"/>
      <c r="M281" s="90"/>
      <c r="N281" s="90"/>
      <c r="O281" s="90"/>
      <c r="P281" s="90"/>
      <c r="Q281" s="90"/>
      <c r="R281" s="90"/>
      <c r="S281" s="90"/>
      <c r="T281" s="90"/>
      <c r="U281" s="90"/>
      <c r="V281" s="90"/>
      <c r="W281" s="90"/>
      <c r="X281" s="90"/>
      <c r="Y281" s="90"/>
      <c r="Z281" s="90"/>
    </row>
    <row r="282" ht="12.75" customHeight="1">
      <c r="A282" s="90"/>
      <c r="B282" s="90"/>
      <c r="C282" s="90"/>
      <c r="D282" s="90"/>
      <c r="E282" s="90"/>
      <c r="F282" s="237"/>
      <c r="G282" s="90"/>
      <c r="H282" s="90"/>
      <c r="I282" s="90"/>
      <c r="J282" s="90"/>
      <c r="K282" s="90"/>
      <c r="L282" s="90"/>
      <c r="M282" s="90"/>
      <c r="N282" s="90"/>
      <c r="O282" s="90"/>
      <c r="P282" s="90"/>
      <c r="Q282" s="90"/>
      <c r="R282" s="90"/>
      <c r="S282" s="90"/>
      <c r="T282" s="90"/>
      <c r="U282" s="90"/>
      <c r="V282" s="90"/>
      <c r="W282" s="90"/>
      <c r="X282" s="90"/>
      <c r="Y282" s="90"/>
      <c r="Z282" s="90"/>
    </row>
    <row r="283" ht="12.75" customHeight="1">
      <c r="A283" s="90"/>
      <c r="B283" s="90"/>
      <c r="C283" s="90"/>
      <c r="D283" s="90"/>
      <c r="E283" s="90"/>
      <c r="F283" s="237"/>
      <c r="G283" s="90"/>
      <c r="H283" s="90"/>
      <c r="I283" s="90"/>
      <c r="J283" s="90"/>
      <c r="K283" s="90"/>
      <c r="L283" s="90"/>
      <c r="M283" s="90"/>
      <c r="N283" s="90"/>
      <c r="O283" s="90"/>
      <c r="P283" s="90"/>
      <c r="Q283" s="90"/>
      <c r="R283" s="90"/>
      <c r="S283" s="90"/>
      <c r="T283" s="90"/>
      <c r="U283" s="90"/>
      <c r="V283" s="90"/>
      <c r="W283" s="90"/>
      <c r="X283" s="90"/>
      <c r="Y283" s="90"/>
      <c r="Z283" s="90"/>
    </row>
    <row r="284" ht="12.75" customHeight="1">
      <c r="A284" s="90"/>
      <c r="B284" s="90"/>
      <c r="C284" s="90"/>
      <c r="D284" s="90"/>
      <c r="E284" s="90"/>
      <c r="F284" s="237"/>
      <c r="G284" s="90"/>
      <c r="H284" s="90"/>
      <c r="I284" s="90"/>
      <c r="J284" s="90"/>
      <c r="K284" s="90"/>
      <c r="L284" s="90"/>
      <c r="M284" s="90"/>
      <c r="N284" s="90"/>
      <c r="O284" s="90"/>
      <c r="P284" s="90"/>
      <c r="Q284" s="90"/>
      <c r="R284" s="90"/>
      <c r="S284" s="90"/>
      <c r="T284" s="90"/>
      <c r="U284" s="90"/>
      <c r="V284" s="90"/>
      <c r="W284" s="90"/>
      <c r="X284" s="90"/>
      <c r="Y284" s="90"/>
      <c r="Z284" s="90"/>
    </row>
    <row r="285" ht="12.75" customHeight="1">
      <c r="A285" s="90"/>
      <c r="B285" s="90"/>
      <c r="C285" s="90"/>
      <c r="D285" s="90"/>
      <c r="E285" s="90"/>
      <c r="F285" s="237"/>
      <c r="G285" s="90"/>
      <c r="H285" s="90"/>
      <c r="I285" s="90"/>
      <c r="J285" s="90"/>
      <c r="K285" s="90"/>
      <c r="L285" s="90"/>
      <c r="M285" s="90"/>
      <c r="N285" s="90"/>
      <c r="O285" s="90"/>
      <c r="P285" s="90"/>
      <c r="Q285" s="90"/>
      <c r="R285" s="90"/>
      <c r="S285" s="90"/>
      <c r="T285" s="90"/>
      <c r="U285" s="90"/>
      <c r="V285" s="90"/>
      <c r="W285" s="90"/>
      <c r="X285" s="90"/>
      <c r="Y285" s="90"/>
      <c r="Z285" s="90"/>
    </row>
    <row r="286" ht="12.75" customHeight="1">
      <c r="A286" s="90"/>
      <c r="B286" s="90"/>
      <c r="C286" s="90"/>
      <c r="D286" s="90"/>
      <c r="E286" s="90"/>
      <c r="F286" s="237"/>
      <c r="G286" s="90"/>
      <c r="H286" s="90"/>
      <c r="I286" s="90"/>
      <c r="J286" s="90"/>
      <c r="K286" s="90"/>
      <c r="L286" s="90"/>
      <c r="M286" s="90"/>
      <c r="N286" s="90"/>
      <c r="O286" s="90"/>
      <c r="P286" s="90"/>
      <c r="Q286" s="90"/>
      <c r="R286" s="90"/>
      <c r="S286" s="90"/>
      <c r="T286" s="90"/>
      <c r="U286" s="90"/>
      <c r="V286" s="90"/>
      <c r="W286" s="90"/>
      <c r="X286" s="90"/>
      <c r="Y286" s="90"/>
      <c r="Z286" s="90"/>
    </row>
    <row r="287" ht="12.75" customHeight="1">
      <c r="A287" s="90"/>
      <c r="B287" s="90"/>
      <c r="C287" s="90"/>
      <c r="D287" s="90"/>
      <c r="E287" s="90"/>
      <c r="F287" s="237"/>
      <c r="G287" s="90"/>
      <c r="H287" s="90"/>
      <c r="I287" s="90"/>
      <c r="J287" s="90"/>
      <c r="K287" s="90"/>
      <c r="L287" s="90"/>
      <c r="M287" s="90"/>
      <c r="N287" s="90"/>
      <c r="O287" s="90"/>
      <c r="P287" s="90"/>
      <c r="Q287" s="90"/>
      <c r="R287" s="90"/>
      <c r="S287" s="90"/>
      <c r="T287" s="90"/>
      <c r="U287" s="90"/>
      <c r="V287" s="90"/>
      <c r="W287" s="90"/>
      <c r="X287" s="90"/>
      <c r="Y287" s="90"/>
      <c r="Z287" s="90"/>
    </row>
    <row r="288" ht="12.75" customHeight="1">
      <c r="A288" s="90"/>
      <c r="B288" s="90"/>
      <c r="C288" s="90"/>
      <c r="D288" s="90"/>
      <c r="E288" s="90"/>
      <c r="F288" s="237"/>
      <c r="G288" s="90"/>
      <c r="H288" s="90"/>
      <c r="I288" s="90"/>
      <c r="J288" s="90"/>
      <c r="K288" s="90"/>
      <c r="L288" s="90"/>
      <c r="M288" s="90"/>
      <c r="N288" s="90"/>
      <c r="O288" s="90"/>
      <c r="P288" s="90"/>
      <c r="Q288" s="90"/>
      <c r="R288" s="90"/>
      <c r="S288" s="90"/>
      <c r="T288" s="90"/>
      <c r="U288" s="90"/>
      <c r="V288" s="90"/>
      <c r="W288" s="90"/>
      <c r="X288" s="90"/>
      <c r="Y288" s="90"/>
      <c r="Z288" s="90"/>
    </row>
    <row r="289" ht="12.75" customHeight="1">
      <c r="A289" s="90"/>
      <c r="B289" s="90"/>
      <c r="C289" s="90"/>
      <c r="D289" s="90"/>
      <c r="E289" s="90"/>
      <c r="F289" s="237"/>
      <c r="G289" s="90"/>
      <c r="H289" s="90"/>
      <c r="I289" s="90"/>
      <c r="J289" s="90"/>
      <c r="K289" s="90"/>
      <c r="L289" s="90"/>
      <c r="M289" s="90"/>
      <c r="N289" s="90"/>
      <c r="O289" s="90"/>
      <c r="P289" s="90"/>
      <c r="Q289" s="90"/>
      <c r="R289" s="90"/>
      <c r="S289" s="90"/>
      <c r="T289" s="90"/>
      <c r="U289" s="90"/>
      <c r="V289" s="90"/>
      <c r="W289" s="90"/>
      <c r="X289" s="90"/>
      <c r="Y289" s="90"/>
      <c r="Z289" s="90"/>
    </row>
    <row r="290" ht="12.75" customHeight="1">
      <c r="A290" s="90"/>
      <c r="B290" s="90"/>
      <c r="C290" s="90"/>
      <c r="D290" s="90"/>
      <c r="E290" s="90"/>
      <c r="F290" s="237"/>
      <c r="G290" s="90"/>
      <c r="H290" s="90"/>
      <c r="I290" s="90"/>
      <c r="J290" s="90"/>
      <c r="K290" s="90"/>
      <c r="L290" s="90"/>
      <c r="M290" s="90"/>
      <c r="N290" s="90"/>
      <c r="O290" s="90"/>
      <c r="P290" s="90"/>
      <c r="Q290" s="90"/>
      <c r="R290" s="90"/>
      <c r="S290" s="90"/>
      <c r="T290" s="90"/>
      <c r="U290" s="90"/>
      <c r="V290" s="90"/>
      <c r="W290" s="90"/>
      <c r="X290" s="90"/>
      <c r="Y290" s="90"/>
      <c r="Z290" s="90"/>
    </row>
    <row r="291" ht="12.75" customHeight="1">
      <c r="A291" s="90"/>
      <c r="B291" s="90"/>
      <c r="C291" s="90"/>
      <c r="D291" s="90"/>
      <c r="E291" s="90"/>
      <c r="F291" s="237"/>
      <c r="G291" s="90"/>
      <c r="H291" s="90"/>
      <c r="I291" s="90"/>
      <c r="J291" s="90"/>
      <c r="K291" s="90"/>
      <c r="L291" s="90"/>
      <c r="M291" s="90"/>
      <c r="N291" s="90"/>
      <c r="O291" s="90"/>
      <c r="P291" s="90"/>
      <c r="Q291" s="90"/>
      <c r="R291" s="90"/>
      <c r="S291" s="90"/>
      <c r="T291" s="90"/>
      <c r="U291" s="90"/>
      <c r="V291" s="90"/>
      <c r="W291" s="90"/>
      <c r="X291" s="90"/>
      <c r="Y291" s="90"/>
      <c r="Z291" s="90"/>
    </row>
    <row r="292" ht="12.75" customHeight="1">
      <c r="A292" s="90"/>
      <c r="B292" s="90"/>
      <c r="C292" s="90"/>
      <c r="D292" s="90"/>
      <c r="E292" s="90"/>
      <c r="F292" s="237"/>
      <c r="G292" s="90"/>
      <c r="H292" s="90"/>
      <c r="I292" s="90"/>
      <c r="J292" s="90"/>
      <c r="K292" s="90"/>
      <c r="L292" s="90"/>
      <c r="M292" s="90"/>
      <c r="N292" s="90"/>
      <c r="O292" s="90"/>
      <c r="P292" s="90"/>
      <c r="Q292" s="90"/>
      <c r="R292" s="90"/>
      <c r="S292" s="90"/>
      <c r="T292" s="90"/>
      <c r="U292" s="90"/>
      <c r="V292" s="90"/>
      <c r="W292" s="90"/>
      <c r="X292" s="90"/>
      <c r="Y292" s="90"/>
      <c r="Z292" s="90"/>
    </row>
    <row r="293" ht="12.75" customHeight="1">
      <c r="A293" s="90"/>
      <c r="B293" s="90"/>
      <c r="C293" s="90"/>
      <c r="D293" s="90"/>
      <c r="E293" s="90"/>
      <c r="F293" s="237"/>
      <c r="G293" s="90"/>
      <c r="H293" s="90"/>
      <c r="I293" s="90"/>
      <c r="J293" s="90"/>
      <c r="K293" s="90"/>
      <c r="L293" s="90"/>
      <c r="M293" s="90"/>
      <c r="N293" s="90"/>
      <c r="O293" s="90"/>
      <c r="P293" s="90"/>
      <c r="Q293" s="90"/>
      <c r="R293" s="90"/>
      <c r="S293" s="90"/>
      <c r="T293" s="90"/>
      <c r="U293" s="90"/>
      <c r="V293" s="90"/>
      <c r="W293" s="90"/>
      <c r="X293" s="90"/>
      <c r="Y293" s="90"/>
      <c r="Z293" s="90"/>
    </row>
    <row r="294" ht="12.75" customHeight="1">
      <c r="A294" s="90"/>
      <c r="B294" s="90"/>
      <c r="C294" s="90"/>
      <c r="D294" s="90"/>
      <c r="E294" s="90"/>
      <c r="F294" s="237"/>
      <c r="G294" s="90"/>
      <c r="H294" s="90"/>
      <c r="I294" s="90"/>
      <c r="J294" s="90"/>
      <c r="K294" s="90"/>
      <c r="L294" s="90"/>
      <c r="M294" s="90"/>
      <c r="N294" s="90"/>
      <c r="O294" s="90"/>
      <c r="P294" s="90"/>
      <c r="Q294" s="90"/>
      <c r="R294" s="90"/>
      <c r="S294" s="90"/>
      <c r="T294" s="90"/>
      <c r="U294" s="90"/>
      <c r="V294" s="90"/>
      <c r="W294" s="90"/>
      <c r="X294" s="90"/>
      <c r="Y294" s="90"/>
      <c r="Z294" s="90"/>
    </row>
    <row r="295" ht="12.75" customHeight="1">
      <c r="A295" s="90"/>
      <c r="B295" s="90"/>
      <c r="C295" s="90"/>
      <c r="D295" s="90"/>
      <c r="E295" s="90"/>
      <c r="F295" s="237"/>
      <c r="G295" s="90"/>
      <c r="H295" s="90"/>
      <c r="I295" s="90"/>
      <c r="J295" s="90"/>
      <c r="K295" s="90"/>
      <c r="L295" s="90"/>
      <c r="M295" s="90"/>
      <c r="N295" s="90"/>
      <c r="O295" s="90"/>
      <c r="P295" s="90"/>
      <c r="Q295" s="90"/>
      <c r="R295" s="90"/>
      <c r="S295" s="90"/>
      <c r="T295" s="90"/>
      <c r="U295" s="90"/>
      <c r="V295" s="90"/>
      <c r="W295" s="90"/>
      <c r="X295" s="90"/>
      <c r="Y295" s="90"/>
      <c r="Z295" s="90"/>
    </row>
    <row r="296" ht="12.75" customHeight="1">
      <c r="A296" s="90"/>
      <c r="B296" s="90"/>
      <c r="C296" s="90"/>
      <c r="D296" s="90"/>
      <c r="E296" s="90"/>
      <c r="F296" s="237"/>
      <c r="G296" s="90"/>
      <c r="H296" s="90"/>
      <c r="I296" s="90"/>
      <c r="J296" s="90"/>
      <c r="K296" s="90"/>
      <c r="L296" s="90"/>
      <c r="M296" s="90"/>
      <c r="N296" s="90"/>
      <c r="O296" s="90"/>
      <c r="P296" s="90"/>
      <c r="Q296" s="90"/>
      <c r="R296" s="90"/>
      <c r="S296" s="90"/>
      <c r="T296" s="90"/>
      <c r="U296" s="90"/>
      <c r="V296" s="90"/>
      <c r="W296" s="90"/>
      <c r="X296" s="90"/>
      <c r="Y296" s="90"/>
      <c r="Z296" s="90"/>
    </row>
    <row r="297" ht="12.75" customHeight="1">
      <c r="A297" s="90"/>
      <c r="B297" s="90"/>
      <c r="C297" s="90"/>
      <c r="D297" s="90"/>
      <c r="E297" s="90"/>
      <c r="F297" s="237"/>
      <c r="G297" s="90"/>
      <c r="H297" s="90"/>
      <c r="I297" s="90"/>
      <c r="J297" s="90"/>
      <c r="K297" s="90"/>
      <c r="L297" s="90"/>
      <c r="M297" s="90"/>
      <c r="N297" s="90"/>
      <c r="O297" s="90"/>
      <c r="P297" s="90"/>
      <c r="Q297" s="90"/>
      <c r="R297" s="90"/>
      <c r="S297" s="90"/>
      <c r="T297" s="90"/>
      <c r="U297" s="90"/>
      <c r="V297" s="90"/>
      <c r="W297" s="90"/>
      <c r="X297" s="90"/>
      <c r="Y297" s="90"/>
      <c r="Z297" s="90"/>
    </row>
    <row r="298" ht="12.75" customHeight="1">
      <c r="A298" s="90"/>
      <c r="B298" s="90"/>
      <c r="C298" s="90"/>
      <c r="D298" s="90"/>
      <c r="E298" s="90"/>
      <c r="F298" s="237"/>
      <c r="G298" s="90"/>
      <c r="H298" s="90"/>
      <c r="I298" s="90"/>
      <c r="J298" s="90"/>
      <c r="K298" s="90"/>
      <c r="L298" s="90"/>
      <c r="M298" s="90"/>
      <c r="N298" s="90"/>
      <c r="O298" s="90"/>
      <c r="P298" s="90"/>
      <c r="Q298" s="90"/>
      <c r="R298" s="90"/>
      <c r="S298" s="90"/>
      <c r="T298" s="90"/>
      <c r="U298" s="90"/>
      <c r="V298" s="90"/>
      <c r="W298" s="90"/>
      <c r="X298" s="90"/>
      <c r="Y298" s="90"/>
      <c r="Z298" s="90"/>
    </row>
    <row r="299" ht="12.75" customHeight="1">
      <c r="A299" s="90"/>
      <c r="B299" s="90"/>
      <c r="C299" s="90"/>
      <c r="D299" s="90"/>
      <c r="E299" s="90"/>
      <c r="F299" s="237"/>
      <c r="G299" s="90"/>
      <c r="H299" s="90"/>
      <c r="I299" s="90"/>
      <c r="J299" s="90"/>
      <c r="K299" s="90"/>
      <c r="L299" s="90"/>
      <c r="M299" s="90"/>
      <c r="N299" s="90"/>
      <c r="O299" s="90"/>
      <c r="P299" s="90"/>
      <c r="Q299" s="90"/>
      <c r="R299" s="90"/>
      <c r="S299" s="90"/>
      <c r="T299" s="90"/>
      <c r="U299" s="90"/>
      <c r="V299" s="90"/>
      <c r="W299" s="90"/>
      <c r="X299" s="90"/>
      <c r="Y299" s="90"/>
      <c r="Z299" s="90"/>
    </row>
    <row r="300" ht="12.75" customHeight="1">
      <c r="A300" s="90"/>
      <c r="B300" s="90"/>
      <c r="C300" s="90"/>
      <c r="D300" s="90"/>
      <c r="E300" s="90"/>
      <c r="F300" s="237"/>
      <c r="G300" s="90"/>
      <c r="H300" s="90"/>
      <c r="I300" s="90"/>
      <c r="J300" s="90"/>
      <c r="K300" s="90"/>
      <c r="L300" s="90"/>
      <c r="M300" s="90"/>
      <c r="N300" s="90"/>
      <c r="O300" s="90"/>
      <c r="P300" s="90"/>
      <c r="Q300" s="90"/>
      <c r="R300" s="90"/>
      <c r="S300" s="90"/>
      <c r="T300" s="90"/>
      <c r="U300" s="90"/>
      <c r="V300" s="90"/>
      <c r="W300" s="90"/>
      <c r="X300" s="90"/>
      <c r="Y300" s="90"/>
      <c r="Z300" s="90"/>
    </row>
    <row r="301" ht="12.75" customHeight="1">
      <c r="A301" s="90"/>
      <c r="B301" s="90"/>
      <c r="C301" s="90"/>
      <c r="D301" s="90"/>
      <c r="E301" s="90"/>
      <c r="F301" s="237"/>
      <c r="G301" s="90"/>
      <c r="H301" s="90"/>
      <c r="I301" s="90"/>
      <c r="J301" s="90"/>
      <c r="K301" s="90"/>
      <c r="L301" s="90"/>
      <c r="M301" s="90"/>
      <c r="N301" s="90"/>
      <c r="O301" s="90"/>
      <c r="P301" s="90"/>
      <c r="Q301" s="90"/>
      <c r="R301" s="90"/>
      <c r="S301" s="90"/>
      <c r="T301" s="90"/>
      <c r="U301" s="90"/>
      <c r="V301" s="90"/>
      <c r="W301" s="90"/>
      <c r="X301" s="90"/>
      <c r="Y301" s="90"/>
      <c r="Z301" s="90"/>
    </row>
    <row r="302" ht="12.75" customHeight="1">
      <c r="A302" s="90"/>
      <c r="B302" s="90"/>
      <c r="C302" s="90"/>
      <c r="D302" s="90"/>
      <c r="E302" s="90"/>
      <c r="F302" s="237"/>
      <c r="G302" s="90"/>
      <c r="H302" s="90"/>
      <c r="I302" s="90"/>
      <c r="J302" s="90"/>
      <c r="K302" s="90"/>
      <c r="L302" s="90"/>
      <c r="M302" s="90"/>
      <c r="N302" s="90"/>
      <c r="O302" s="90"/>
      <c r="P302" s="90"/>
      <c r="Q302" s="90"/>
      <c r="R302" s="90"/>
      <c r="S302" s="90"/>
      <c r="T302" s="90"/>
      <c r="U302" s="90"/>
      <c r="V302" s="90"/>
      <c r="W302" s="90"/>
      <c r="X302" s="90"/>
      <c r="Y302" s="90"/>
      <c r="Z302" s="90"/>
    </row>
    <row r="303" ht="12.75" customHeight="1">
      <c r="A303" s="90"/>
      <c r="B303" s="90"/>
      <c r="C303" s="90"/>
      <c r="D303" s="90"/>
      <c r="E303" s="90"/>
      <c r="F303" s="237"/>
      <c r="G303" s="90"/>
      <c r="H303" s="90"/>
      <c r="I303" s="90"/>
      <c r="J303" s="90"/>
      <c r="K303" s="90"/>
      <c r="L303" s="90"/>
      <c r="M303" s="90"/>
      <c r="N303" s="90"/>
      <c r="O303" s="90"/>
      <c r="P303" s="90"/>
      <c r="Q303" s="90"/>
      <c r="R303" s="90"/>
      <c r="S303" s="90"/>
      <c r="T303" s="90"/>
      <c r="U303" s="90"/>
      <c r="V303" s="90"/>
      <c r="W303" s="90"/>
      <c r="X303" s="90"/>
      <c r="Y303" s="90"/>
      <c r="Z303" s="90"/>
    </row>
    <row r="304" ht="12.75" customHeight="1">
      <c r="A304" s="90"/>
      <c r="B304" s="90"/>
      <c r="C304" s="90"/>
      <c r="D304" s="90"/>
      <c r="E304" s="90"/>
      <c r="F304" s="237"/>
      <c r="G304" s="90"/>
      <c r="H304" s="90"/>
      <c r="I304" s="90"/>
      <c r="J304" s="90"/>
      <c r="K304" s="90"/>
      <c r="L304" s="90"/>
      <c r="M304" s="90"/>
      <c r="N304" s="90"/>
      <c r="O304" s="90"/>
      <c r="P304" s="90"/>
      <c r="Q304" s="90"/>
      <c r="R304" s="90"/>
      <c r="S304" s="90"/>
      <c r="T304" s="90"/>
      <c r="U304" s="90"/>
      <c r="V304" s="90"/>
      <c r="W304" s="90"/>
      <c r="X304" s="90"/>
      <c r="Y304" s="90"/>
      <c r="Z304" s="90"/>
    </row>
    <row r="305" ht="12.75" customHeight="1">
      <c r="A305" s="90"/>
      <c r="B305" s="90"/>
      <c r="C305" s="90"/>
      <c r="D305" s="90"/>
      <c r="E305" s="90"/>
      <c r="F305" s="237"/>
      <c r="G305" s="90"/>
      <c r="H305" s="90"/>
      <c r="I305" s="90"/>
      <c r="J305" s="90"/>
      <c r="K305" s="90"/>
      <c r="L305" s="90"/>
      <c r="M305" s="90"/>
      <c r="N305" s="90"/>
      <c r="O305" s="90"/>
      <c r="P305" s="90"/>
      <c r="Q305" s="90"/>
      <c r="R305" s="90"/>
      <c r="S305" s="90"/>
      <c r="T305" s="90"/>
      <c r="U305" s="90"/>
      <c r="V305" s="90"/>
      <c r="W305" s="90"/>
      <c r="X305" s="90"/>
      <c r="Y305" s="90"/>
      <c r="Z305" s="90"/>
    </row>
    <row r="306" ht="12.75" customHeight="1">
      <c r="A306" s="90"/>
      <c r="B306" s="90"/>
      <c r="C306" s="90"/>
      <c r="D306" s="90"/>
      <c r="E306" s="90"/>
      <c r="F306" s="237"/>
      <c r="G306" s="90"/>
      <c r="H306" s="90"/>
      <c r="I306" s="90"/>
      <c r="J306" s="90"/>
      <c r="K306" s="90"/>
      <c r="L306" s="90"/>
      <c r="M306" s="90"/>
      <c r="N306" s="90"/>
      <c r="O306" s="90"/>
      <c r="P306" s="90"/>
      <c r="Q306" s="90"/>
      <c r="R306" s="90"/>
      <c r="S306" s="90"/>
      <c r="T306" s="90"/>
      <c r="U306" s="90"/>
      <c r="V306" s="90"/>
      <c r="W306" s="90"/>
      <c r="X306" s="90"/>
      <c r="Y306" s="90"/>
      <c r="Z306" s="90"/>
    </row>
    <row r="307" ht="12.75" customHeight="1">
      <c r="A307" s="90"/>
      <c r="B307" s="90"/>
      <c r="C307" s="90"/>
      <c r="D307" s="90"/>
      <c r="E307" s="90"/>
      <c r="F307" s="237"/>
      <c r="G307" s="90"/>
      <c r="H307" s="90"/>
      <c r="I307" s="90"/>
      <c r="J307" s="90"/>
      <c r="K307" s="90"/>
      <c r="L307" s="90"/>
      <c r="M307" s="90"/>
      <c r="N307" s="90"/>
      <c r="O307" s="90"/>
      <c r="P307" s="90"/>
      <c r="Q307" s="90"/>
      <c r="R307" s="90"/>
      <c r="S307" s="90"/>
      <c r="T307" s="90"/>
      <c r="U307" s="90"/>
      <c r="V307" s="90"/>
      <c r="W307" s="90"/>
      <c r="X307" s="90"/>
      <c r="Y307" s="90"/>
      <c r="Z307" s="90"/>
    </row>
    <row r="308" ht="12.75" customHeight="1">
      <c r="A308" s="90"/>
      <c r="B308" s="90"/>
      <c r="C308" s="90"/>
      <c r="D308" s="90"/>
      <c r="E308" s="90"/>
      <c r="F308" s="237"/>
      <c r="G308" s="90"/>
      <c r="H308" s="90"/>
      <c r="I308" s="90"/>
      <c r="J308" s="90"/>
      <c r="K308" s="90"/>
      <c r="L308" s="90"/>
      <c r="M308" s="90"/>
      <c r="N308" s="90"/>
      <c r="O308" s="90"/>
      <c r="P308" s="90"/>
      <c r="Q308" s="90"/>
      <c r="R308" s="90"/>
      <c r="S308" s="90"/>
      <c r="T308" s="90"/>
      <c r="U308" s="90"/>
      <c r="V308" s="90"/>
      <c r="W308" s="90"/>
      <c r="X308" s="90"/>
      <c r="Y308" s="90"/>
      <c r="Z308" s="90"/>
    </row>
    <row r="309" ht="12.75" customHeight="1">
      <c r="A309" s="90"/>
      <c r="B309" s="90"/>
      <c r="C309" s="90"/>
      <c r="D309" s="90"/>
      <c r="E309" s="90"/>
      <c r="F309" s="237"/>
      <c r="G309" s="90"/>
      <c r="H309" s="90"/>
      <c r="I309" s="90"/>
      <c r="J309" s="90"/>
      <c r="K309" s="90"/>
      <c r="L309" s="90"/>
      <c r="M309" s="90"/>
      <c r="N309" s="90"/>
      <c r="O309" s="90"/>
      <c r="P309" s="90"/>
      <c r="Q309" s="90"/>
      <c r="R309" s="90"/>
      <c r="S309" s="90"/>
      <c r="T309" s="90"/>
      <c r="U309" s="90"/>
      <c r="V309" s="90"/>
      <c r="W309" s="90"/>
      <c r="X309" s="90"/>
      <c r="Y309" s="90"/>
      <c r="Z309" s="90"/>
    </row>
    <row r="310" ht="12.75" customHeight="1">
      <c r="A310" s="90"/>
      <c r="B310" s="90"/>
      <c r="C310" s="90"/>
      <c r="D310" s="90"/>
      <c r="E310" s="90"/>
      <c r="F310" s="237"/>
      <c r="G310" s="90"/>
      <c r="H310" s="90"/>
      <c r="I310" s="90"/>
      <c r="J310" s="90"/>
      <c r="K310" s="90"/>
      <c r="L310" s="90"/>
      <c r="M310" s="90"/>
      <c r="N310" s="90"/>
      <c r="O310" s="90"/>
      <c r="P310" s="90"/>
      <c r="Q310" s="90"/>
      <c r="R310" s="90"/>
      <c r="S310" s="90"/>
      <c r="T310" s="90"/>
      <c r="U310" s="90"/>
      <c r="V310" s="90"/>
      <c r="W310" s="90"/>
      <c r="X310" s="90"/>
      <c r="Y310" s="90"/>
      <c r="Z310" s="90"/>
    </row>
    <row r="311" ht="12.75" customHeight="1">
      <c r="A311" s="90"/>
      <c r="B311" s="90"/>
      <c r="C311" s="90"/>
      <c r="D311" s="90"/>
      <c r="E311" s="90"/>
      <c r="F311" s="237"/>
      <c r="G311" s="90"/>
      <c r="H311" s="90"/>
      <c r="I311" s="90"/>
      <c r="J311" s="90"/>
      <c r="K311" s="90"/>
      <c r="L311" s="90"/>
      <c r="M311" s="90"/>
      <c r="N311" s="90"/>
      <c r="O311" s="90"/>
      <c r="P311" s="90"/>
      <c r="Q311" s="90"/>
      <c r="R311" s="90"/>
      <c r="S311" s="90"/>
      <c r="T311" s="90"/>
      <c r="U311" s="90"/>
      <c r="V311" s="90"/>
      <c r="W311" s="90"/>
      <c r="X311" s="90"/>
      <c r="Y311" s="90"/>
      <c r="Z311" s="90"/>
    </row>
    <row r="312" ht="12.75" customHeight="1">
      <c r="F312" s="237"/>
    </row>
    <row r="313" ht="12.75" customHeight="1">
      <c r="F313" s="237"/>
    </row>
    <row r="314" ht="12.75" customHeight="1">
      <c r="F314" s="237"/>
    </row>
    <row r="315" ht="12.75" customHeight="1">
      <c r="F315" s="237"/>
    </row>
    <row r="316" ht="12.75" customHeight="1">
      <c r="F316" s="237"/>
    </row>
    <row r="317" ht="12.75" customHeight="1">
      <c r="F317" s="237"/>
    </row>
    <row r="318" ht="12.75" customHeight="1">
      <c r="F318" s="237"/>
    </row>
    <row r="319" ht="12.75" customHeight="1">
      <c r="F319" s="237"/>
    </row>
    <row r="320" ht="12.75" customHeight="1">
      <c r="F320" s="237"/>
    </row>
    <row r="321" ht="12.75" customHeight="1">
      <c r="F321" s="237"/>
    </row>
    <row r="322" ht="12.75" customHeight="1">
      <c r="F322" s="237"/>
    </row>
    <row r="323" ht="12.75" customHeight="1">
      <c r="F323" s="237"/>
    </row>
    <row r="324" ht="12.75" customHeight="1">
      <c r="F324" s="237"/>
    </row>
    <row r="325" ht="12.75" customHeight="1">
      <c r="F325" s="237"/>
    </row>
    <row r="326" ht="12.75" customHeight="1">
      <c r="F326" s="237"/>
    </row>
    <row r="327" ht="12.75" customHeight="1">
      <c r="F327" s="237"/>
    </row>
    <row r="328" ht="12.75" customHeight="1">
      <c r="F328" s="237"/>
    </row>
    <row r="329" ht="12.75" customHeight="1">
      <c r="F329" s="237"/>
    </row>
    <row r="330" ht="12.75" customHeight="1">
      <c r="F330" s="237"/>
    </row>
    <row r="331" ht="12.75" customHeight="1">
      <c r="F331" s="237"/>
    </row>
    <row r="332" ht="12.75" customHeight="1">
      <c r="F332" s="237"/>
    </row>
    <row r="333" ht="12.75" customHeight="1">
      <c r="F333" s="237"/>
    </row>
    <row r="334" ht="12.75" customHeight="1">
      <c r="F334" s="237"/>
    </row>
    <row r="335" ht="12.75" customHeight="1">
      <c r="F335" s="237"/>
    </row>
    <row r="336" ht="12.75" customHeight="1">
      <c r="F336" s="237"/>
    </row>
    <row r="337" ht="12.75" customHeight="1">
      <c r="F337" s="237"/>
    </row>
    <row r="338" ht="12.75" customHeight="1">
      <c r="F338" s="237"/>
    </row>
    <row r="339" ht="12.75" customHeight="1">
      <c r="F339" s="237"/>
    </row>
    <row r="340" ht="12.75" customHeight="1">
      <c r="F340" s="237"/>
    </row>
    <row r="341" ht="12.75" customHeight="1">
      <c r="F341" s="237"/>
    </row>
    <row r="342" ht="12.75" customHeight="1">
      <c r="F342" s="237"/>
    </row>
    <row r="343" ht="12.75" customHeight="1">
      <c r="F343" s="237"/>
    </row>
    <row r="344" ht="12.75" customHeight="1">
      <c r="F344" s="237"/>
    </row>
    <row r="345" ht="12.75" customHeight="1">
      <c r="F345" s="237"/>
    </row>
    <row r="346" ht="12.75" customHeight="1">
      <c r="F346" s="237"/>
    </row>
    <row r="347" ht="12.75" customHeight="1">
      <c r="F347" s="237"/>
    </row>
    <row r="348" ht="12.75" customHeight="1">
      <c r="F348" s="237"/>
    </row>
    <row r="349" ht="12.75" customHeight="1">
      <c r="F349" s="237"/>
    </row>
    <row r="350" ht="12.75" customHeight="1">
      <c r="F350" s="237"/>
    </row>
    <row r="351" ht="12.75" customHeight="1">
      <c r="F351" s="237"/>
    </row>
    <row r="352" ht="12.75" customHeight="1">
      <c r="F352" s="237"/>
    </row>
    <row r="353" ht="12.75" customHeight="1">
      <c r="F353" s="237"/>
    </row>
    <row r="354" ht="12.75" customHeight="1">
      <c r="F354" s="237"/>
    </row>
    <row r="355" ht="12.75" customHeight="1">
      <c r="F355" s="237"/>
    </row>
    <row r="356" ht="12.75" customHeight="1">
      <c r="F356" s="237"/>
    </row>
    <row r="357" ht="12.75" customHeight="1">
      <c r="F357" s="237"/>
    </row>
    <row r="358" ht="12.75" customHeight="1">
      <c r="F358" s="237"/>
    </row>
    <row r="359" ht="12.75" customHeight="1">
      <c r="F359" s="237"/>
    </row>
    <row r="360" ht="12.75" customHeight="1">
      <c r="F360" s="237"/>
    </row>
    <row r="361" ht="12.75" customHeight="1">
      <c r="F361" s="237"/>
    </row>
    <row r="362" ht="12.75" customHeight="1">
      <c r="F362" s="237"/>
    </row>
    <row r="363" ht="12.75" customHeight="1">
      <c r="F363" s="237"/>
    </row>
    <row r="364" ht="12.75" customHeight="1">
      <c r="F364" s="237"/>
    </row>
    <row r="365" ht="12.75" customHeight="1">
      <c r="F365" s="237"/>
    </row>
    <row r="366" ht="12.75" customHeight="1">
      <c r="F366" s="237"/>
    </row>
    <row r="367" ht="12.75" customHeight="1">
      <c r="F367" s="237"/>
    </row>
    <row r="368" ht="12.75" customHeight="1">
      <c r="F368" s="237"/>
    </row>
    <row r="369" ht="12.75" customHeight="1">
      <c r="F369" s="237"/>
    </row>
    <row r="370" ht="12.75" customHeight="1">
      <c r="F370" s="237"/>
    </row>
    <row r="371" ht="12.75" customHeight="1">
      <c r="F371" s="237"/>
    </row>
    <row r="372" ht="12.75" customHeight="1">
      <c r="F372" s="237"/>
    </row>
    <row r="373" ht="12.75" customHeight="1">
      <c r="F373" s="237"/>
    </row>
    <row r="374" ht="12.75" customHeight="1">
      <c r="F374" s="237"/>
    </row>
    <row r="375" ht="12.75" customHeight="1">
      <c r="F375" s="237"/>
    </row>
    <row r="376" ht="12.75" customHeight="1">
      <c r="F376" s="237"/>
    </row>
    <row r="377" ht="12.75" customHeight="1">
      <c r="F377" s="237"/>
    </row>
    <row r="378" ht="12.75" customHeight="1">
      <c r="F378" s="237"/>
    </row>
    <row r="379" ht="12.75" customHeight="1">
      <c r="F379" s="237"/>
    </row>
    <row r="380" ht="12.75" customHeight="1">
      <c r="F380" s="237"/>
    </row>
    <row r="381" ht="12.75" customHeight="1">
      <c r="F381" s="237"/>
    </row>
    <row r="382" ht="12.75" customHeight="1">
      <c r="F382" s="237"/>
    </row>
    <row r="383" ht="12.75" customHeight="1">
      <c r="F383" s="237"/>
    </row>
    <row r="384" ht="12.75" customHeight="1">
      <c r="F384" s="237"/>
    </row>
    <row r="385" ht="12.75" customHeight="1">
      <c r="F385" s="237"/>
    </row>
    <row r="386" ht="12.75" customHeight="1">
      <c r="F386" s="237"/>
    </row>
    <row r="387" ht="12.75" customHeight="1">
      <c r="F387" s="237"/>
    </row>
    <row r="388" ht="12.75" customHeight="1">
      <c r="F388" s="237"/>
    </row>
    <row r="389" ht="12.75" customHeight="1">
      <c r="F389" s="237"/>
    </row>
    <row r="390" ht="12.75" customHeight="1">
      <c r="F390" s="237"/>
    </row>
    <row r="391" ht="12.75" customHeight="1">
      <c r="F391" s="237"/>
    </row>
    <row r="392" ht="12.75" customHeight="1">
      <c r="F392" s="237"/>
    </row>
    <row r="393" ht="12.75" customHeight="1">
      <c r="F393" s="237"/>
    </row>
    <row r="394" ht="12.75" customHeight="1">
      <c r="F394" s="237"/>
    </row>
    <row r="395" ht="12.75" customHeight="1">
      <c r="F395" s="237"/>
    </row>
    <row r="396" ht="12.75" customHeight="1">
      <c r="F396" s="237"/>
    </row>
    <row r="397" ht="12.75" customHeight="1">
      <c r="F397" s="237"/>
    </row>
    <row r="398" ht="12.75" customHeight="1">
      <c r="F398" s="237"/>
    </row>
    <row r="399" ht="12.75" customHeight="1">
      <c r="F399" s="237"/>
    </row>
    <row r="400" ht="12.75" customHeight="1">
      <c r="F400" s="237"/>
    </row>
    <row r="401" ht="12.75" customHeight="1">
      <c r="F401" s="237"/>
    </row>
    <row r="402" ht="12.75" customHeight="1">
      <c r="F402" s="237"/>
    </row>
    <row r="403" ht="12.75" customHeight="1">
      <c r="F403" s="237"/>
    </row>
    <row r="404" ht="12.75" customHeight="1">
      <c r="F404" s="237"/>
    </row>
    <row r="405" ht="12.75" customHeight="1">
      <c r="F405" s="237"/>
    </row>
    <row r="406" ht="12.75" customHeight="1">
      <c r="F406" s="237"/>
    </row>
    <row r="407" ht="12.75" customHeight="1">
      <c r="F407" s="237"/>
    </row>
    <row r="408" ht="12.75" customHeight="1">
      <c r="F408" s="237"/>
    </row>
    <row r="409" ht="12.75" customHeight="1">
      <c r="F409" s="237"/>
    </row>
    <row r="410" ht="12.75" customHeight="1">
      <c r="F410" s="237"/>
    </row>
    <row r="411" ht="12.75" customHeight="1">
      <c r="F411" s="237"/>
    </row>
    <row r="412" ht="12.75" customHeight="1">
      <c r="F412" s="237"/>
    </row>
    <row r="413" ht="12.75" customHeight="1">
      <c r="F413" s="237"/>
    </row>
    <row r="414" ht="12.75" customHeight="1">
      <c r="F414" s="237"/>
    </row>
    <row r="415" ht="12.75" customHeight="1">
      <c r="F415" s="237"/>
    </row>
    <row r="416" ht="12.75" customHeight="1">
      <c r="F416" s="237"/>
    </row>
    <row r="417" ht="12.75" customHeight="1">
      <c r="F417" s="237"/>
    </row>
    <row r="418" ht="12.75" customHeight="1">
      <c r="F418" s="237"/>
    </row>
    <row r="419" ht="12.75" customHeight="1">
      <c r="F419" s="237"/>
    </row>
    <row r="420" ht="12.75" customHeight="1">
      <c r="F420" s="237"/>
    </row>
    <row r="421" ht="12.75" customHeight="1">
      <c r="F421" s="237"/>
    </row>
    <row r="422" ht="12.75" customHeight="1">
      <c r="F422" s="237"/>
    </row>
    <row r="423" ht="12.75" customHeight="1">
      <c r="F423" s="237"/>
    </row>
    <row r="424" ht="12.75" customHeight="1">
      <c r="F424" s="237"/>
    </row>
    <row r="425" ht="12.75" customHeight="1">
      <c r="F425" s="237"/>
    </row>
    <row r="426" ht="12.75" customHeight="1">
      <c r="F426" s="237"/>
    </row>
    <row r="427" ht="12.75" customHeight="1">
      <c r="F427" s="237"/>
    </row>
    <row r="428" ht="12.75" customHeight="1">
      <c r="F428" s="237"/>
    </row>
    <row r="429" ht="12.75" customHeight="1">
      <c r="F429" s="237"/>
    </row>
    <row r="430" ht="12.75" customHeight="1">
      <c r="F430" s="237"/>
    </row>
    <row r="431" ht="12.75" customHeight="1">
      <c r="F431" s="237"/>
    </row>
    <row r="432" ht="12.75" customHeight="1">
      <c r="F432" s="237"/>
    </row>
    <row r="433" ht="12.75" customHeight="1">
      <c r="F433" s="237"/>
    </row>
    <row r="434" ht="12.75" customHeight="1">
      <c r="F434" s="237"/>
    </row>
    <row r="435" ht="12.75" customHeight="1">
      <c r="F435" s="237"/>
    </row>
    <row r="436" ht="12.75" customHeight="1">
      <c r="F436" s="237"/>
    </row>
    <row r="437" ht="12.75" customHeight="1">
      <c r="F437" s="237"/>
    </row>
    <row r="438" ht="12.75" customHeight="1">
      <c r="F438" s="237"/>
    </row>
    <row r="439" ht="12.75" customHeight="1">
      <c r="F439" s="237"/>
    </row>
    <row r="440" ht="12.75" customHeight="1">
      <c r="F440" s="237"/>
    </row>
    <row r="441" ht="12.75" customHeight="1">
      <c r="F441" s="237"/>
    </row>
    <row r="442" ht="12.75" customHeight="1">
      <c r="F442" s="237"/>
    </row>
    <row r="443" ht="12.75" customHeight="1">
      <c r="F443" s="237"/>
    </row>
    <row r="444" ht="12.75" customHeight="1">
      <c r="F444" s="237"/>
    </row>
    <row r="445" ht="12.75" customHeight="1">
      <c r="F445" s="237"/>
    </row>
    <row r="446" ht="12.75" customHeight="1">
      <c r="F446" s="237"/>
    </row>
    <row r="447" ht="12.75" customHeight="1">
      <c r="F447" s="237"/>
    </row>
    <row r="448" ht="12.75" customHeight="1">
      <c r="F448" s="237"/>
    </row>
    <row r="449" ht="12.75" customHeight="1">
      <c r="F449" s="237"/>
    </row>
    <row r="450" ht="12.75" customHeight="1">
      <c r="F450" s="237"/>
    </row>
    <row r="451" ht="12.75" customHeight="1">
      <c r="F451" s="237"/>
    </row>
    <row r="452" ht="12.75" customHeight="1">
      <c r="F452" s="237"/>
    </row>
    <row r="453" ht="12.75" customHeight="1">
      <c r="F453" s="237"/>
    </row>
    <row r="454" ht="12.75" customHeight="1">
      <c r="F454" s="237"/>
    </row>
    <row r="455" ht="12.75" customHeight="1">
      <c r="F455" s="237"/>
    </row>
    <row r="456" ht="12.75" customHeight="1">
      <c r="F456" s="237"/>
    </row>
    <row r="457" ht="12.75" customHeight="1">
      <c r="F457" s="237"/>
    </row>
    <row r="458" ht="12.75" customHeight="1">
      <c r="F458" s="237"/>
    </row>
    <row r="459" ht="12.75" customHeight="1">
      <c r="F459" s="237"/>
    </row>
    <row r="460" ht="12.75" customHeight="1">
      <c r="F460" s="237"/>
    </row>
    <row r="461" ht="12.75" customHeight="1">
      <c r="F461" s="237"/>
    </row>
    <row r="462" ht="12.75" customHeight="1">
      <c r="F462" s="237"/>
    </row>
    <row r="463" ht="12.75" customHeight="1">
      <c r="F463" s="237"/>
    </row>
    <row r="464" ht="12.75" customHeight="1">
      <c r="F464" s="237"/>
    </row>
    <row r="465" ht="12.75" customHeight="1">
      <c r="F465" s="237"/>
    </row>
    <row r="466" ht="12.75" customHeight="1">
      <c r="F466" s="237"/>
    </row>
    <row r="467" ht="12.75" customHeight="1">
      <c r="F467" s="237"/>
    </row>
    <row r="468" ht="12.75" customHeight="1">
      <c r="F468" s="237"/>
    </row>
    <row r="469" ht="12.75" customHeight="1">
      <c r="F469" s="237"/>
    </row>
    <row r="470" ht="12.75" customHeight="1">
      <c r="F470" s="237"/>
    </row>
    <row r="471" ht="12.75" customHeight="1">
      <c r="F471" s="237"/>
    </row>
    <row r="472" ht="12.75" customHeight="1">
      <c r="F472" s="237"/>
    </row>
    <row r="473" ht="12.75" customHeight="1">
      <c r="F473" s="237"/>
    </row>
    <row r="474" ht="12.75" customHeight="1">
      <c r="F474" s="237"/>
    </row>
    <row r="475" ht="12.75" customHeight="1">
      <c r="F475" s="237"/>
    </row>
    <row r="476" ht="12.75" customHeight="1">
      <c r="F476" s="237"/>
    </row>
    <row r="477" ht="12.75" customHeight="1">
      <c r="F477" s="237"/>
    </row>
    <row r="478" ht="12.75" customHeight="1">
      <c r="F478" s="237"/>
    </row>
    <row r="479" ht="12.75" customHeight="1">
      <c r="F479" s="237"/>
    </row>
    <row r="480" ht="12.75" customHeight="1">
      <c r="F480" s="237"/>
    </row>
    <row r="481" ht="12.75" customHeight="1">
      <c r="F481" s="237"/>
    </row>
    <row r="482" ht="12.75" customHeight="1">
      <c r="F482" s="237"/>
    </row>
    <row r="483" ht="12.75" customHeight="1">
      <c r="F483" s="237"/>
    </row>
    <row r="484" ht="12.75" customHeight="1">
      <c r="F484" s="237"/>
    </row>
    <row r="485" ht="12.75" customHeight="1">
      <c r="F485" s="237"/>
    </row>
    <row r="486" ht="12.75" customHeight="1">
      <c r="F486" s="237"/>
    </row>
    <row r="487" ht="12.75" customHeight="1">
      <c r="F487" s="237"/>
    </row>
    <row r="488" ht="12.75" customHeight="1">
      <c r="F488" s="237"/>
    </row>
    <row r="489" ht="12.75" customHeight="1">
      <c r="F489" s="237"/>
    </row>
    <row r="490" ht="12.75" customHeight="1">
      <c r="F490" s="237"/>
    </row>
    <row r="491" ht="12.75" customHeight="1">
      <c r="F491" s="237"/>
    </row>
    <row r="492" ht="12.75" customHeight="1">
      <c r="F492" s="237"/>
    </row>
    <row r="493" ht="12.75" customHeight="1">
      <c r="F493" s="237"/>
    </row>
    <row r="494" ht="12.75" customHeight="1">
      <c r="F494" s="237"/>
    </row>
    <row r="495" ht="12.75" customHeight="1">
      <c r="F495" s="237"/>
    </row>
    <row r="496" ht="12.75" customHeight="1">
      <c r="F496" s="237"/>
    </row>
    <row r="497" ht="12.75" customHeight="1">
      <c r="F497" s="237"/>
    </row>
    <row r="498" ht="12.75" customHeight="1">
      <c r="F498" s="237"/>
    </row>
    <row r="499" ht="12.75" customHeight="1">
      <c r="F499" s="237"/>
    </row>
    <row r="500" ht="12.75" customHeight="1">
      <c r="F500" s="237"/>
    </row>
    <row r="501" ht="12.75" customHeight="1">
      <c r="F501" s="237"/>
    </row>
    <row r="502" ht="12.75" customHeight="1">
      <c r="F502" s="237"/>
    </row>
    <row r="503" ht="12.75" customHeight="1">
      <c r="F503" s="237"/>
    </row>
    <row r="504" ht="12.75" customHeight="1">
      <c r="F504" s="237"/>
    </row>
    <row r="505" ht="12.75" customHeight="1">
      <c r="F505" s="237"/>
    </row>
    <row r="506" ht="12.75" customHeight="1">
      <c r="F506" s="237"/>
    </row>
    <row r="507" ht="12.75" customHeight="1">
      <c r="F507" s="237"/>
    </row>
    <row r="508" ht="12.75" customHeight="1">
      <c r="F508" s="237"/>
    </row>
    <row r="509" ht="12.75" customHeight="1">
      <c r="F509" s="237"/>
    </row>
    <row r="510" ht="12.75" customHeight="1">
      <c r="F510" s="237"/>
    </row>
    <row r="511" ht="12.75" customHeight="1">
      <c r="F511" s="237"/>
    </row>
    <row r="512" ht="12.75" customHeight="1">
      <c r="F512" s="237"/>
    </row>
    <row r="513" ht="12.75" customHeight="1">
      <c r="F513" s="237"/>
    </row>
    <row r="514" ht="12.75" customHeight="1">
      <c r="F514" s="237"/>
    </row>
    <row r="515" ht="12.75" customHeight="1">
      <c r="F515" s="237"/>
    </row>
    <row r="516" ht="12.75" customHeight="1">
      <c r="F516" s="237"/>
    </row>
    <row r="517" ht="12.75" customHeight="1">
      <c r="F517" s="237"/>
    </row>
    <row r="518" ht="12.75" customHeight="1">
      <c r="F518" s="237"/>
    </row>
    <row r="519" ht="12.75" customHeight="1">
      <c r="F519" s="237"/>
    </row>
    <row r="520" ht="12.75" customHeight="1">
      <c r="F520" s="237"/>
    </row>
    <row r="521" ht="12.75" customHeight="1">
      <c r="F521" s="237"/>
    </row>
    <row r="522" ht="12.75" customHeight="1">
      <c r="F522" s="237"/>
    </row>
    <row r="523" ht="12.75" customHeight="1">
      <c r="F523" s="237"/>
    </row>
    <row r="524" ht="12.75" customHeight="1">
      <c r="F524" s="237"/>
    </row>
    <row r="525" ht="12.75" customHeight="1">
      <c r="F525" s="237"/>
    </row>
    <row r="526" ht="12.75" customHeight="1">
      <c r="F526" s="237"/>
    </row>
    <row r="527" ht="12.75" customHeight="1">
      <c r="F527" s="237"/>
    </row>
    <row r="528" ht="12.75" customHeight="1">
      <c r="F528" s="237"/>
    </row>
    <row r="529" ht="12.75" customHeight="1">
      <c r="F529" s="237"/>
    </row>
    <row r="530" ht="12.75" customHeight="1">
      <c r="F530" s="237"/>
    </row>
    <row r="531" ht="12.75" customHeight="1">
      <c r="F531" s="237"/>
    </row>
    <row r="532" ht="12.75" customHeight="1">
      <c r="F532" s="237"/>
    </row>
    <row r="533" ht="12.75" customHeight="1">
      <c r="F533" s="237"/>
    </row>
    <row r="534" ht="12.75" customHeight="1">
      <c r="F534" s="237"/>
    </row>
    <row r="535" ht="12.75" customHeight="1">
      <c r="F535" s="237"/>
    </row>
    <row r="536" ht="12.75" customHeight="1">
      <c r="F536" s="237"/>
    </row>
    <row r="537" ht="12.75" customHeight="1">
      <c r="F537" s="237"/>
    </row>
    <row r="538" ht="12.75" customHeight="1">
      <c r="F538" s="237"/>
    </row>
    <row r="539" ht="12.75" customHeight="1">
      <c r="F539" s="237"/>
    </row>
    <row r="540" ht="12.75" customHeight="1">
      <c r="F540" s="237"/>
    </row>
    <row r="541" ht="12.75" customHeight="1">
      <c r="F541" s="237"/>
    </row>
    <row r="542" ht="12.75" customHeight="1">
      <c r="F542" s="237"/>
    </row>
    <row r="543" ht="12.75" customHeight="1">
      <c r="F543" s="237"/>
    </row>
    <row r="544" ht="12.75" customHeight="1">
      <c r="F544" s="237"/>
    </row>
    <row r="545" ht="12.75" customHeight="1">
      <c r="F545" s="237"/>
    </row>
    <row r="546" ht="12.75" customHeight="1">
      <c r="F546" s="237"/>
    </row>
    <row r="547" ht="12.75" customHeight="1">
      <c r="F547" s="237"/>
    </row>
    <row r="548" ht="12.75" customHeight="1">
      <c r="F548" s="237"/>
    </row>
    <row r="549" ht="12.75" customHeight="1">
      <c r="F549" s="237"/>
    </row>
    <row r="550" ht="12.75" customHeight="1">
      <c r="F550" s="237"/>
    </row>
    <row r="551" ht="12.75" customHeight="1">
      <c r="F551" s="237"/>
    </row>
    <row r="552" ht="12.75" customHeight="1">
      <c r="F552" s="237"/>
    </row>
    <row r="553" ht="12.75" customHeight="1">
      <c r="F553" s="237"/>
    </row>
    <row r="554" ht="12.75" customHeight="1">
      <c r="F554" s="237"/>
    </row>
    <row r="555" ht="12.75" customHeight="1">
      <c r="F555" s="237"/>
    </row>
    <row r="556" ht="12.75" customHeight="1">
      <c r="F556" s="237"/>
    </row>
    <row r="557" ht="12.75" customHeight="1">
      <c r="F557" s="237"/>
    </row>
    <row r="558" ht="12.75" customHeight="1">
      <c r="F558" s="237"/>
    </row>
    <row r="559" ht="12.75" customHeight="1">
      <c r="F559" s="237"/>
    </row>
    <row r="560" ht="12.75" customHeight="1">
      <c r="F560" s="237"/>
    </row>
    <row r="561" ht="12.75" customHeight="1">
      <c r="F561" s="237"/>
    </row>
    <row r="562" ht="12.75" customHeight="1">
      <c r="F562" s="237"/>
    </row>
    <row r="563" ht="12.75" customHeight="1">
      <c r="F563" s="237"/>
    </row>
    <row r="564" ht="12.75" customHeight="1">
      <c r="F564" s="237"/>
    </row>
    <row r="565" ht="12.75" customHeight="1">
      <c r="F565" s="237"/>
    </row>
    <row r="566" ht="12.75" customHeight="1">
      <c r="F566" s="237"/>
    </row>
    <row r="567" ht="12.75" customHeight="1">
      <c r="F567" s="237"/>
    </row>
    <row r="568" ht="12.75" customHeight="1">
      <c r="F568" s="237"/>
    </row>
    <row r="569" ht="12.75" customHeight="1">
      <c r="F569" s="237"/>
    </row>
    <row r="570" ht="12.75" customHeight="1">
      <c r="F570" s="237"/>
    </row>
    <row r="571" ht="12.75" customHeight="1">
      <c r="F571" s="237"/>
    </row>
    <row r="572" ht="12.75" customHeight="1">
      <c r="F572" s="237"/>
    </row>
    <row r="573" ht="12.75" customHeight="1">
      <c r="F573" s="237"/>
    </row>
    <row r="574" ht="12.75" customHeight="1">
      <c r="F574" s="237"/>
    </row>
    <row r="575" ht="12.75" customHeight="1">
      <c r="F575" s="237"/>
    </row>
    <row r="576" ht="12.75" customHeight="1">
      <c r="F576" s="237"/>
    </row>
    <row r="577" ht="12.75" customHeight="1">
      <c r="F577" s="237"/>
    </row>
    <row r="578" ht="12.75" customHeight="1">
      <c r="F578" s="237"/>
    </row>
    <row r="579" ht="12.75" customHeight="1">
      <c r="F579" s="237"/>
    </row>
    <row r="580" ht="12.75" customHeight="1">
      <c r="F580" s="237"/>
    </row>
    <row r="581" ht="12.75" customHeight="1">
      <c r="F581" s="237"/>
    </row>
    <row r="582" ht="12.75" customHeight="1">
      <c r="F582" s="237"/>
    </row>
    <row r="583" ht="12.75" customHeight="1">
      <c r="F583" s="237"/>
    </row>
    <row r="584" ht="12.75" customHeight="1">
      <c r="F584" s="237"/>
    </row>
    <row r="585" ht="12.75" customHeight="1">
      <c r="F585" s="237"/>
    </row>
    <row r="586" ht="12.75" customHeight="1">
      <c r="F586" s="237"/>
    </row>
    <row r="587" ht="12.75" customHeight="1">
      <c r="F587" s="237"/>
    </row>
    <row r="588" ht="12.75" customHeight="1">
      <c r="F588" s="237"/>
    </row>
    <row r="589" ht="12.75" customHeight="1">
      <c r="F589" s="237"/>
    </row>
    <row r="590" ht="12.75" customHeight="1">
      <c r="F590" s="237"/>
    </row>
    <row r="591" ht="12.75" customHeight="1">
      <c r="F591" s="237"/>
    </row>
    <row r="592" ht="12.75" customHeight="1">
      <c r="F592" s="237"/>
    </row>
    <row r="593" ht="12.75" customHeight="1">
      <c r="F593" s="237"/>
    </row>
    <row r="594" ht="12.75" customHeight="1">
      <c r="F594" s="237"/>
    </row>
    <row r="595" ht="12.75" customHeight="1">
      <c r="F595" s="237"/>
    </row>
    <row r="596" ht="12.75" customHeight="1">
      <c r="F596" s="237"/>
    </row>
    <row r="597" ht="12.75" customHeight="1">
      <c r="F597" s="237"/>
    </row>
    <row r="598" ht="12.75" customHeight="1">
      <c r="F598" s="237"/>
    </row>
    <row r="599" ht="12.75" customHeight="1">
      <c r="F599" s="237"/>
    </row>
    <row r="600" ht="12.75" customHeight="1">
      <c r="F600" s="237"/>
    </row>
    <row r="601" ht="12.75" customHeight="1">
      <c r="F601" s="237"/>
    </row>
    <row r="602" ht="12.75" customHeight="1">
      <c r="F602" s="237"/>
    </row>
    <row r="603" ht="12.75" customHeight="1">
      <c r="F603" s="237"/>
    </row>
    <row r="604" ht="12.75" customHeight="1">
      <c r="F604" s="237"/>
    </row>
    <row r="605" ht="12.75" customHeight="1">
      <c r="F605" s="237"/>
    </row>
    <row r="606" ht="12.75" customHeight="1">
      <c r="F606" s="237"/>
    </row>
    <row r="607" ht="12.75" customHeight="1">
      <c r="F607" s="237"/>
    </row>
    <row r="608" ht="12.75" customHeight="1">
      <c r="F608" s="237"/>
    </row>
    <row r="609" ht="12.75" customHeight="1">
      <c r="F609" s="237"/>
    </row>
    <row r="610" ht="12.75" customHeight="1">
      <c r="F610" s="237"/>
    </row>
    <row r="611" ht="12.75" customHeight="1">
      <c r="F611" s="237"/>
    </row>
    <row r="612" ht="12.75" customHeight="1">
      <c r="F612" s="237"/>
    </row>
    <row r="613" ht="12.75" customHeight="1">
      <c r="F613" s="237"/>
    </row>
    <row r="614" ht="12.75" customHeight="1">
      <c r="F614" s="237"/>
    </row>
    <row r="615" ht="12.75" customHeight="1">
      <c r="F615" s="237"/>
    </row>
    <row r="616" ht="12.75" customHeight="1">
      <c r="F616" s="237"/>
    </row>
    <row r="617" ht="12.75" customHeight="1">
      <c r="F617" s="237"/>
    </row>
    <row r="618" ht="12.75" customHeight="1">
      <c r="F618" s="237"/>
    </row>
    <row r="619" ht="12.75" customHeight="1">
      <c r="F619" s="237"/>
    </row>
    <row r="620" ht="12.75" customHeight="1">
      <c r="F620" s="237"/>
    </row>
    <row r="621" ht="12.75" customHeight="1">
      <c r="F621" s="237"/>
    </row>
    <row r="622" ht="12.75" customHeight="1">
      <c r="F622" s="237"/>
    </row>
    <row r="623" ht="12.75" customHeight="1">
      <c r="F623" s="237"/>
    </row>
    <row r="624" ht="12.75" customHeight="1">
      <c r="F624" s="237"/>
    </row>
    <row r="625" ht="12.75" customHeight="1">
      <c r="F625" s="237"/>
    </row>
    <row r="626" ht="12.75" customHeight="1">
      <c r="F626" s="237"/>
    </row>
    <row r="627" ht="12.75" customHeight="1">
      <c r="F627" s="237"/>
    </row>
    <row r="628" ht="12.75" customHeight="1">
      <c r="F628" s="237"/>
    </row>
    <row r="629" ht="12.75" customHeight="1">
      <c r="F629" s="237"/>
    </row>
    <row r="630" ht="12.75" customHeight="1">
      <c r="F630" s="237"/>
    </row>
    <row r="631" ht="12.75" customHeight="1">
      <c r="F631" s="237"/>
    </row>
    <row r="632" ht="12.75" customHeight="1">
      <c r="F632" s="237"/>
    </row>
    <row r="633" ht="12.75" customHeight="1">
      <c r="F633" s="237"/>
    </row>
    <row r="634" ht="12.75" customHeight="1">
      <c r="F634" s="237"/>
    </row>
    <row r="635" ht="12.75" customHeight="1">
      <c r="F635" s="237"/>
    </row>
    <row r="636" ht="12.75" customHeight="1">
      <c r="F636" s="237"/>
    </row>
    <row r="637" ht="12.75" customHeight="1">
      <c r="F637" s="237"/>
    </row>
    <row r="638" ht="12.75" customHeight="1">
      <c r="F638" s="237"/>
    </row>
    <row r="639" ht="12.75" customHeight="1">
      <c r="F639" s="237"/>
    </row>
    <row r="640" ht="12.75" customHeight="1">
      <c r="F640" s="237"/>
    </row>
    <row r="641" ht="12.75" customHeight="1">
      <c r="F641" s="237"/>
    </row>
    <row r="642" ht="12.75" customHeight="1">
      <c r="F642" s="237"/>
    </row>
    <row r="643" ht="12.75" customHeight="1">
      <c r="F643" s="237"/>
    </row>
    <row r="644" ht="12.75" customHeight="1">
      <c r="F644" s="237"/>
    </row>
    <row r="645" ht="12.75" customHeight="1">
      <c r="F645" s="237"/>
    </row>
    <row r="646" ht="12.75" customHeight="1">
      <c r="F646" s="237"/>
    </row>
    <row r="647" ht="12.75" customHeight="1">
      <c r="F647" s="237"/>
    </row>
    <row r="648" ht="12.75" customHeight="1">
      <c r="F648" s="237"/>
    </row>
    <row r="649" ht="12.75" customHeight="1">
      <c r="F649" s="237"/>
    </row>
    <row r="650" ht="12.75" customHeight="1">
      <c r="F650" s="237"/>
    </row>
    <row r="651" ht="12.75" customHeight="1">
      <c r="F651" s="237"/>
    </row>
    <row r="652" ht="12.75" customHeight="1">
      <c r="F652" s="237"/>
    </row>
    <row r="653" ht="12.75" customHeight="1">
      <c r="F653" s="237"/>
    </row>
    <row r="654" ht="12.75" customHeight="1">
      <c r="F654" s="237"/>
    </row>
    <row r="655" ht="12.75" customHeight="1">
      <c r="F655" s="237"/>
    </row>
    <row r="656" ht="12.75" customHeight="1">
      <c r="F656" s="237"/>
    </row>
    <row r="657" ht="12.75" customHeight="1">
      <c r="F657" s="237"/>
    </row>
    <row r="658" ht="12.75" customHeight="1">
      <c r="F658" s="237"/>
    </row>
    <row r="659" ht="12.75" customHeight="1">
      <c r="F659" s="237"/>
    </row>
    <row r="660" ht="12.75" customHeight="1">
      <c r="F660" s="237"/>
    </row>
    <row r="661" ht="12.75" customHeight="1">
      <c r="F661" s="237"/>
    </row>
    <row r="662" ht="12.75" customHeight="1">
      <c r="F662" s="237"/>
    </row>
    <row r="663" ht="12.75" customHeight="1">
      <c r="F663" s="237"/>
    </row>
    <row r="664" ht="12.75" customHeight="1">
      <c r="F664" s="237"/>
    </row>
    <row r="665" ht="12.75" customHeight="1">
      <c r="F665" s="237"/>
    </row>
    <row r="666" ht="12.75" customHeight="1">
      <c r="F666" s="237"/>
    </row>
    <row r="667" ht="12.75" customHeight="1">
      <c r="F667" s="237"/>
    </row>
    <row r="668" ht="12.75" customHeight="1">
      <c r="F668" s="237"/>
    </row>
    <row r="669" ht="12.75" customHeight="1">
      <c r="F669" s="237"/>
    </row>
    <row r="670" ht="12.75" customHeight="1">
      <c r="F670" s="237"/>
    </row>
    <row r="671" ht="12.75" customHeight="1">
      <c r="F671" s="237"/>
    </row>
    <row r="672" ht="12.75" customHeight="1">
      <c r="F672" s="237"/>
    </row>
    <row r="673" ht="12.75" customHeight="1">
      <c r="F673" s="237"/>
    </row>
    <row r="674" ht="12.75" customHeight="1">
      <c r="F674" s="237"/>
    </row>
    <row r="675" ht="12.75" customHeight="1">
      <c r="F675" s="237"/>
    </row>
    <row r="676" ht="12.75" customHeight="1">
      <c r="F676" s="237"/>
    </row>
    <row r="677" ht="12.75" customHeight="1">
      <c r="F677" s="237"/>
    </row>
    <row r="678" ht="12.75" customHeight="1">
      <c r="F678" s="237"/>
    </row>
    <row r="679" ht="12.75" customHeight="1">
      <c r="F679" s="237"/>
    </row>
    <row r="680" ht="12.75" customHeight="1">
      <c r="F680" s="237"/>
    </row>
    <row r="681" ht="12.75" customHeight="1">
      <c r="F681" s="237"/>
    </row>
    <row r="682" ht="12.75" customHeight="1">
      <c r="F682" s="237"/>
    </row>
    <row r="683" ht="12.75" customHeight="1">
      <c r="F683" s="237"/>
    </row>
    <row r="684" ht="12.75" customHeight="1">
      <c r="F684" s="237"/>
    </row>
    <row r="685" ht="12.75" customHeight="1">
      <c r="F685" s="237"/>
    </row>
    <row r="686" ht="12.75" customHeight="1">
      <c r="F686" s="237"/>
    </row>
    <row r="687" ht="12.75" customHeight="1">
      <c r="F687" s="237"/>
    </row>
    <row r="688" ht="12.75" customHeight="1">
      <c r="F688" s="237"/>
    </row>
    <row r="689" ht="12.75" customHeight="1">
      <c r="F689" s="237"/>
    </row>
    <row r="690" ht="12.75" customHeight="1">
      <c r="F690" s="237"/>
    </row>
    <row r="691" ht="12.75" customHeight="1">
      <c r="F691" s="237"/>
    </row>
    <row r="692" ht="12.75" customHeight="1">
      <c r="F692" s="237"/>
    </row>
    <row r="693" ht="12.75" customHeight="1">
      <c r="F693" s="237"/>
    </row>
    <row r="694" ht="12.75" customHeight="1">
      <c r="F694" s="237"/>
    </row>
    <row r="695" ht="12.75" customHeight="1">
      <c r="F695" s="237"/>
    </row>
    <row r="696" ht="12.75" customHeight="1">
      <c r="F696" s="237"/>
    </row>
    <row r="697" ht="12.75" customHeight="1">
      <c r="F697" s="237"/>
    </row>
    <row r="698" ht="12.75" customHeight="1">
      <c r="F698" s="237"/>
    </row>
    <row r="699" ht="12.75" customHeight="1">
      <c r="F699" s="237"/>
    </row>
    <row r="700" ht="12.75" customHeight="1">
      <c r="F700" s="237"/>
    </row>
    <row r="701" ht="12.75" customHeight="1">
      <c r="F701" s="237"/>
    </row>
    <row r="702" ht="12.75" customHeight="1">
      <c r="F702" s="237"/>
    </row>
    <row r="703" ht="12.75" customHeight="1">
      <c r="F703" s="237"/>
    </row>
    <row r="704" ht="12.75" customHeight="1">
      <c r="F704" s="237"/>
    </row>
    <row r="705" ht="12.75" customHeight="1">
      <c r="F705" s="237"/>
    </row>
    <row r="706" ht="12.75" customHeight="1">
      <c r="F706" s="237"/>
    </row>
    <row r="707" ht="12.75" customHeight="1">
      <c r="F707" s="237"/>
    </row>
    <row r="708" ht="12.75" customHeight="1">
      <c r="F708" s="237"/>
    </row>
    <row r="709" ht="12.75" customHeight="1">
      <c r="F709" s="237"/>
    </row>
    <row r="710" ht="12.75" customHeight="1">
      <c r="F710" s="237"/>
    </row>
    <row r="711" ht="12.75" customHeight="1">
      <c r="F711" s="237"/>
    </row>
    <row r="712" ht="12.75" customHeight="1">
      <c r="F712" s="237"/>
    </row>
    <row r="713" ht="12.75" customHeight="1">
      <c r="F713" s="237"/>
    </row>
    <row r="714" ht="12.75" customHeight="1">
      <c r="F714" s="237"/>
    </row>
    <row r="715" ht="12.75" customHeight="1">
      <c r="F715" s="237"/>
    </row>
    <row r="716" ht="12.75" customHeight="1">
      <c r="F716" s="237"/>
    </row>
    <row r="717" ht="12.75" customHeight="1">
      <c r="F717" s="237"/>
    </row>
    <row r="718" ht="12.75" customHeight="1">
      <c r="F718" s="237"/>
    </row>
    <row r="719" ht="12.75" customHeight="1">
      <c r="F719" s="237"/>
    </row>
    <row r="720" ht="12.75" customHeight="1">
      <c r="F720" s="237"/>
    </row>
    <row r="721" ht="12.75" customHeight="1">
      <c r="F721" s="237"/>
    </row>
    <row r="722" ht="12.75" customHeight="1">
      <c r="F722" s="237"/>
    </row>
    <row r="723" ht="12.75" customHeight="1">
      <c r="F723" s="237"/>
    </row>
    <row r="724" ht="12.75" customHeight="1">
      <c r="F724" s="237"/>
    </row>
    <row r="725" ht="12.75" customHeight="1">
      <c r="F725" s="237"/>
    </row>
    <row r="726" ht="12.75" customHeight="1">
      <c r="F726" s="237"/>
    </row>
    <row r="727" ht="12.75" customHeight="1">
      <c r="F727" s="237"/>
    </row>
    <row r="728" ht="12.75" customHeight="1">
      <c r="F728" s="237"/>
    </row>
    <row r="729" ht="12.75" customHeight="1">
      <c r="F729" s="237"/>
    </row>
    <row r="730" ht="12.75" customHeight="1">
      <c r="F730" s="237"/>
    </row>
    <row r="731" ht="12.75" customHeight="1">
      <c r="F731" s="237"/>
    </row>
    <row r="732" ht="12.75" customHeight="1">
      <c r="F732" s="237"/>
    </row>
    <row r="733" ht="12.75" customHeight="1">
      <c r="F733" s="237"/>
    </row>
    <row r="734" ht="12.75" customHeight="1">
      <c r="F734" s="237"/>
    </row>
    <row r="735" ht="12.75" customHeight="1">
      <c r="F735" s="237"/>
    </row>
    <row r="736" ht="12.75" customHeight="1">
      <c r="F736" s="237"/>
    </row>
    <row r="737" ht="12.75" customHeight="1">
      <c r="F737" s="237"/>
    </row>
    <row r="738" ht="12.75" customHeight="1">
      <c r="F738" s="237"/>
    </row>
    <row r="739" ht="12.75" customHeight="1">
      <c r="F739" s="237"/>
    </row>
    <row r="740" ht="12.75" customHeight="1">
      <c r="F740" s="237"/>
    </row>
    <row r="741" ht="12.75" customHeight="1">
      <c r="F741" s="237"/>
    </row>
    <row r="742" ht="12.75" customHeight="1">
      <c r="F742" s="237"/>
    </row>
    <row r="743" ht="12.75" customHeight="1">
      <c r="F743" s="237"/>
    </row>
    <row r="744" ht="12.75" customHeight="1">
      <c r="F744" s="237"/>
    </row>
    <row r="745" ht="12.75" customHeight="1">
      <c r="F745" s="237"/>
    </row>
    <row r="746" ht="12.75" customHeight="1">
      <c r="F746" s="237"/>
    </row>
    <row r="747" ht="12.75" customHeight="1">
      <c r="F747" s="237"/>
    </row>
    <row r="748" ht="12.75" customHeight="1">
      <c r="F748" s="237"/>
    </row>
    <row r="749" ht="12.75" customHeight="1">
      <c r="F749" s="237"/>
    </row>
    <row r="750" ht="12.75" customHeight="1">
      <c r="F750" s="237"/>
    </row>
    <row r="751" ht="12.75" customHeight="1">
      <c r="F751" s="237"/>
    </row>
    <row r="752" ht="12.75" customHeight="1">
      <c r="F752" s="237"/>
    </row>
    <row r="753" ht="12.75" customHeight="1">
      <c r="F753" s="237"/>
    </row>
    <row r="754" ht="12.75" customHeight="1">
      <c r="F754" s="237"/>
    </row>
    <row r="755" ht="12.75" customHeight="1">
      <c r="F755" s="237"/>
    </row>
    <row r="756" ht="12.75" customHeight="1">
      <c r="F756" s="237"/>
    </row>
    <row r="757" ht="12.75" customHeight="1">
      <c r="F757" s="237"/>
    </row>
    <row r="758" ht="12.75" customHeight="1">
      <c r="F758" s="237"/>
    </row>
    <row r="759" ht="12.75" customHeight="1">
      <c r="F759" s="237"/>
    </row>
    <row r="760" ht="12.75" customHeight="1">
      <c r="F760" s="237"/>
    </row>
    <row r="761" ht="12.75" customHeight="1">
      <c r="F761" s="237"/>
    </row>
    <row r="762" ht="12.75" customHeight="1">
      <c r="F762" s="237"/>
    </row>
    <row r="763" ht="12.75" customHeight="1">
      <c r="F763" s="237"/>
    </row>
    <row r="764" ht="12.75" customHeight="1">
      <c r="F764" s="237"/>
    </row>
    <row r="765" ht="12.75" customHeight="1">
      <c r="F765" s="237"/>
    </row>
    <row r="766" ht="12.75" customHeight="1">
      <c r="F766" s="237"/>
    </row>
    <row r="767" ht="12.75" customHeight="1">
      <c r="F767" s="237"/>
    </row>
    <row r="768" ht="12.75" customHeight="1">
      <c r="F768" s="237"/>
    </row>
    <row r="769" ht="12.75" customHeight="1">
      <c r="F769" s="237"/>
    </row>
    <row r="770" ht="12.75" customHeight="1">
      <c r="F770" s="237"/>
    </row>
    <row r="771" ht="12.75" customHeight="1">
      <c r="F771" s="237"/>
    </row>
    <row r="772" ht="12.75" customHeight="1">
      <c r="F772" s="237"/>
    </row>
    <row r="773" ht="12.75" customHeight="1">
      <c r="F773" s="237"/>
    </row>
    <row r="774" ht="12.75" customHeight="1">
      <c r="F774" s="237"/>
    </row>
    <row r="775" ht="12.75" customHeight="1">
      <c r="F775" s="237"/>
    </row>
    <row r="776" ht="12.75" customHeight="1">
      <c r="F776" s="237"/>
    </row>
    <row r="777" ht="12.75" customHeight="1">
      <c r="F777" s="237"/>
    </row>
    <row r="778" ht="12.75" customHeight="1">
      <c r="F778" s="237"/>
    </row>
    <row r="779" ht="12.75" customHeight="1">
      <c r="F779" s="237"/>
    </row>
    <row r="780" ht="12.75" customHeight="1">
      <c r="F780" s="237"/>
    </row>
    <row r="781" ht="12.75" customHeight="1">
      <c r="F781" s="237"/>
    </row>
    <row r="782" ht="12.75" customHeight="1">
      <c r="F782" s="237"/>
    </row>
    <row r="783" ht="12.75" customHeight="1">
      <c r="F783" s="237"/>
    </row>
    <row r="784" ht="12.75" customHeight="1">
      <c r="F784" s="237"/>
    </row>
    <row r="785" ht="12.75" customHeight="1">
      <c r="F785" s="237"/>
    </row>
    <row r="786" ht="12.75" customHeight="1">
      <c r="F786" s="237"/>
    </row>
    <row r="787" ht="12.75" customHeight="1">
      <c r="F787" s="237"/>
    </row>
    <row r="788" ht="12.75" customHeight="1">
      <c r="F788" s="237"/>
    </row>
    <row r="789" ht="12.75" customHeight="1">
      <c r="F789" s="237"/>
    </row>
    <row r="790" ht="12.75" customHeight="1">
      <c r="F790" s="237"/>
    </row>
    <row r="791" ht="12.75" customHeight="1">
      <c r="F791" s="237"/>
    </row>
    <row r="792" ht="12.75" customHeight="1">
      <c r="F792" s="237"/>
    </row>
    <row r="793" ht="12.75" customHeight="1">
      <c r="F793" s="237"/>
    </row>
    <row r="794" ht="12.75" customHeight="1">
      <c r="F794" s="237"/>
    </row>
    <row r="795" ht="12.75" customHeight="1">
      <c r="F795" s="237"/>
    </row>
    <row r="796" ht="12.75" customHeight="1">
      <c r="F796" s="237"/>
    </row>
    <row r="797" ht="12.75" customHeight="1">
      <c r="F797" s="237"/>
    </row>
    <row r="798" ht="12.75" customHeight="1">
      <c r="F798" s="237"/>
    </row>
    <row r="799" ht="12.75" customHeight="1">
      <c r="F799" s="237"/>
    </row>
    <row r="800" ht="12.75" customHeight="1">
      <c r="F800" s="237"/>
    </row>
    <row r="801" ht="12.75" customHeight="1">
      <c r="F801" s="237"/>
    </row>
    <row r="802" ht="12.75" customHeight="1">
      <c r="F802" s="237"/>
    </row>
    <row r="803" ht="12.75" customHeight="1">
      <c r="F803" s="237"/>
    </row>
    <row r="804" ht="12.75" customHeight="1">
      <c r="F804" s="237"/>
    </row>
    <row r="805" ht="12.75" customHeight="1">
      <c r="F805" s="237"/>
    </row>
    <row r="806" ht="12.75" customHeight="1">
      <c r="F806" s="237"/>
    </row>
    <row r="807" ht="12.75" customHeight="1">
      <c r="F807" s="237"/>
    </row>
    <row r="808" ht="12.75" customHeight="1">
      <c r="F808" s="237"/>
    </row>
    <row r="809" ht="12.75" customHeight="1">
      <c r="F809" s="237"/>
    </row>
    <row r="810" ht="12.75" customHeight="1">
      <c r="F810" s="237"/>
    </row>
    <row r="811" ht="12.75" customHeight="1">
      <c r="F811" s="237"/>
    </row>
    <row r="812" ht="12.75" customHeight="1">
      <c r="F812" s="237"/>
    </row>
    <row r="813" ht="12.75" customHeight="1">
      <c r="F813" s="237"/>
    </row>
    <row r="814" ht="12.75" customHeight="1">
      <c r="F814" s="237"/>
    </row>
    <row r="815" ht="12.75" customHeight="1">
      <c r="F815" s="237"/>
    </row>
    <row r="816" ht="12.75" customHeight="1">
      <c r="F816" s="237"/>
    </row>
    <row r="817" ht="12.75" customHeight="1">
      <c r="F817" s="237"/>
    </row>
    <row r="818" ht="12.75" customHeight="1">
      <c r="F818" s="237"/>
    </row>
    <row r="819" ht="12.75" customHeight="1">
      <c r="F819" s="237"/>
    </row>
    <row r="820" ht="12.75" customHeight="1">
      <c r="F820" s="237"/>
    </row>
    <row r="821" ht="12.75" customHeight="1">
      <c r="F821" s="237"/>
    </row>
    <row r="822" ht="12.75" customHeight="1">
      <c r="F822" s="237"/>
    </row>
    <row r="823" ht="12.75" customHeight="1">
      <c r="F823" s="237"/>
    </row>
    <row r="824" ht="12.75" customHeight="1">
      <c r="F824" s="237"/>
    </row>
    <row r="825" ht="12.75" customHeight="1">
      <c r="F825" s="237"/>
    </row>
    <row r="826" ht="12.75" customHeight="1">
      <c r="F826" s="237"/>
    </row>
    <row r="827" ht="12.75" customHeight="1">
      <c r="F827" s="237"/>
    </row>
    <row r="828" ht="12.75" customHeight="1">
      <c r="F828" s="237"/>
    </row>
    <row r="829" ht="12.75" customHeight="1">
      <c r="F829" s="237"/>
    </row>
    <row r="830" ht="12.75" customHeight="1">
      <c r="F830" s="237"/>
    </row>
    <row r="831" ht="12.75" customHeight="1">
      <c r="F831" s="237"/>
    </row>
    <row r="832" ht="12.75" customHeight="1">
      <c r="F832" s="237"/>
    </row>
    <row r="833" ht="12.75" customHeight="1">
      <c r="F833" s="237"/>
    </row>
    <row r="834" ht="12.75" customHeight="1">
      <c r="F834" s="237"/>
    </row>
    <row r="835" ht="12.75" customHeight="1">
      <c r="F835" s="237"/>
    </row>
    <row r="836" ht="12.75" customHeight="1">
      <c r="F836" s="237"/>
    </row>
    <row r="837" ht="12.75" customHeight="1">
      <c r="F837" s="237"/>
    </row>
    <row r="838" ht="12.75" customHeight="1">
      <c r="F838" s="237"/>
    </row>
    <row r="839" ht="12.75" customHeight="1">
      <c r="F839" s="237"/>
    </row>
    <row r="840" ht="12.75" customHeight="1">
      <c r="F840" s="237"/>
    </row>
    <row r="841" ht="12.75" customHeight="1">
      <c r="F841" s="237"/>
    </row>
    <row r="842" ht="12.75" customHeight="1">
      <c r="F842" s="237"/>
    </row>
    <row r="843" ht="12.75" customHeight="1">
      <c r="F843" s="237"/>
    </row>
    <row r="844" ht="12.75" customHeight="1">
      <c r="F844" s="237"/>
    </row>
    <row r="845" ht="12.75" customHeight="1">
      <c r="F845" s="237"/>
    </row>
    <row r="846" ht="12.75" customHeight="1">
      <c r="F846" s="237"/>
    </row>
    <row r="847" ht="12.75" customHeight="1">
      <c r="F847" s="237"/>
    </row>
    <row r="848" ht="12.75" customHeight="1">
      <c r="F848" s="237"/>
    </row>
    <row r="849" ht="12.75" customHeight="1">
      <c r="F849" s="237"/>
    </row>
    <row r="850" ht="12.75" customHeight="1">
      <c r="F850" s="237"/>
    </row>
    <row r="851" ht="12.75" customHeight="1">
      <c r="F851" s="237"/>
    </row>
    <row r="852" ht="12.75" customHeight="1">
      <c r="F852" s="237"/>
    </row>
    <row r="853" ht="12.75" customHeight="1">
      <c r="F853" s="237"/>
    </row>
    <row r="854" ht="12.75" customHeight="1">
      <c r="F854" s="237"/>
    </row>
    <row r="855" ht="12.75" customHeight="1">
      <c r="F855" s="237"/>
    </row>
    <row r="856" ht="12.75" customHeight="1">
      <c r="F856" s="237"/>
    </row>
    <row r="857" ht="12.75" customHeight="1">
      <c r="F857" s="237"/>
    </row>
    <row r="858" ht="12.75" customHeight="1">
      <c r="F858" s="237"/>
    </row>
    <row r="859" ht="12.75" customHeight="1">
      <c r="F859" s="237"/>
    </row>
    <row r="860" ht="12.75" customHeight="1">
      <c r="F860" s="237"/>
    </row>
    <row r="861" ht="12.75" customHeight="1">
      <c r="F861" s="237"/>
    </row>
    <row r="862" ht="12.75" customHeight="1">
      <c r="F862" s="237"/>
    </row>
    <row r="863" ht="12.75" customHeight="1">
      <c r="F863" s="237"/>
    </row>
    <row r="864" ht="12.75" customHeight="1">
      <c r="F864" s="237"/>
    </row>
    <row r="865" ht="12.75" customHeight="1">
      <c r="F865" s="237"/>
    </row>
    <row r="866" ht="12.75" customHeight="1">
      <c r="F866" s="237"/>
    </row>
    <row r="867" ht="12.75" customHeight="1">
      <c r="F867" s="237"/>
    </row>
    <row r="868" ht="12.75" customHeight="1">
      <c r="F868" s="237"/>
    </row>
    <row r="869" ht="12.75" customHeight="1">
      <c r="F869" s="237"/>
    </row>
    <row r="870" ht="12.75" customHeight="1">
      <c r="F870" s="237"/>
    </row>
    <row r="871" ht="12.75" customHeight="1">
      <c r="F871" s="237"/>
    </row>
    <row r="872" ht="12.75" customHeight="1">
      <c r="F872" s="237"/>
    </row>
    <row r="873" ht="12.75" customHeight="1">
      <c r="F873" s="237"/>
    </row>
    <row r="874" ht="12.75" customHeight="1">
      <c r="F874" s="237"/>
    </row>
    <row r="875" ht="12.75" customHeight="1">
      <c r="F875" s="237"/>
    </row>
    <row r="876" ht="12.75" customHeight="1">
      <c r="F876" s="237"/>
    </row>
    <row r="877" ht="12.75" customHeight="1">
      <c r="F877" s="237"/>
    </row>
    <row r="878" ht="12.75" customHeight="1">
      <c r="F878" s="237"/>
    </row>
    <row r="879" ht="12.75" customHeight="1">
      <c r="F879" s="237"/>
    </row>
    <row r="880" ht="12.75" customHeight="1">
      <c r="F880" s="237"/>
    </row>
    <row r="881" ht="12.75" customHeight="1">
      <c r="F881" s="237"/>
    </row>
    <row r="882" ht="12.75" customHeight="1">
      <c r="F882" s="237"/>
    </row>
    <row r="883" ht="12.75" customHeight="1">
      <c r="F883" s="237"/>
    </row>
    <row r="884" ht="12.75" customHeight="1">
      <c r="F884" s="237"/>
    </row>
    <row r="885" ht="12.75" customHeight="1">
      <c r="F885" s="237"/>
    </row>
    <row r="886" ht="12.75" customHeight="1">
      <c r="F886" s="237"/>
    </row>
    <row r="887" ht="12.75" customHeight="1">
      <c r="F887" s="237"/>
    </row>
    <row r="888" ht="12.75" customHeight="1">
      <c r="F888" s="237"/>
    </row>
    <row r="889" ht="12.75" customHeight="1">
      <c r="F889" s="237"/>
    </row>
    <row r="890" ht="12.75" customHeight="1">
      <c r="F890" s="237"/>
    </row>
    <row r="891" ht="12.75" customHeight="1">
      <c r="F891" s="237"/>
    </row>
    <row r="892" ht="12.75" customHeight="1">
      <c r="F892" s="237"/>
    </row>
    <row r="893" ht="12.75" customHeight="1">
      <c r="F893" s="237"/>
    </row>
    <row r="894" ht="12.75" customHeight="1">
      <c r="F894" s="237"/>
    </row>
    <row r="895" ht="12.75" customHeight="1">
      <c r="F895" s="237"/>
    </row>
    <row r="896" ht="12.75" customHeight="1">
      <c r="F896" s="237"/>
    </row>
    <row r="897" ht="12.75" customHeight="1">
      <c r="F897" s="237"/>
    </row>
    <row r="898" ht="12.75" customHeight="1">
      <c r="F898" s="237"/>
    </row>
    <row r="899" ht="12.75" customHeight="1">
      <c r="F899" s="237"/>
    </row>
    <row r="900" ht="12.75" customHeight="1">
      <c r="F900" s="237"/>
    </row>
    <row r="901" ht="12.75" customHeight="1">
      <c r="F901" s="237"/>
    </row>
    <row r="902" ht="12.75" customHeight="1">
      <c r="F902" s="237"/>
    </row>
    <row r="903" ht="12.75" customHeight="1">
      <c r="F903" s="237"/>
    </row>
    <row r="904" ht="12.75" customHeight="1">
      <c r="F904" s="237"/>
    </row>
    <row r="905" ht="12.75" customHeight="1">
      <c r="F905" s="237"/>
    </row>
    <row r="906" ht="12.75" customHeight="1">
      <c r="F906" s="237"/>
    </row>
    <row r="907" ht="12.75" customHeight="1">
      <c r="F907" s="237"/>
    </row>
    <row r="908" ht="12.75" customHeight="1">
      <c r="F908" s="237"/>
    </row>
    <row r="909" ht="12.75" customHeight="1">
      <c r="F909" s="237"/>
    </row>
    <row r="910" ht="12.75" customHeight="1">
      <c r="F910" s="237"/>
    </row>
    <row r="911" ht="12.75" customHeight="1">
      <c r="F911" s="237"/>
    </row>
    <row r="912" ht="12.75" customHeight="1">
      <c r="F912" s="237"/>
    </row>
    <row r="913" ht="12.75" customHeight="1">
      <c r="F913" s="237"/>
    </row>
    <row r="914" ht="12.75" customHeight="1">
      <c r="F914" s="237"/>
    </row>
    <row r="915" ht="12.75" customHeight="1">
      <c r="F915" s="237"/>
    </row>
    <row r="916" ht="12.75" customHeight="1">
      <c r="F916" s="237"/>
    </row>
    <row r="917" ht="12.75" customHeight="1">
      <c r="F917" s="237"/>
    </row>
    <row r="918" ht="12.75" customHeight="1">
      <c r="F918" s="237"/>
    </row>
    <row r="919" ht="12.75" customHeight="1">
      <c r="F919" s="237"/>
    </row>
    <row r="920" ht="12.75" customHeight="1">
      <c r="F920" s="237"/>
    </row>
    <row r="921" ht="12.75" customHeight="1">
      <c r="F921" s="237"/>
    </row>
    <row r="922" ht="12.75" customHeight="1">
      <c r="F922" s="237"/>
    </row>
    <row r="923" ht="12.75" customHeight="1">
      <c r="F923" s="237"/>
    </row>
    <row r="924" ht="12.75" customHeight="1">
      <c r="F924" s="237"/>
    </row>
    <row r="925" ht="12.75" customHeight="1">
      <c r="F925" s="237"/>
    </row>
    <row r="926" ht="12.75" customHeight="1">
      <c r="F926" s="237"/>
    </row>
    <row r="927" ht="12.75" customHeight="1">
      <c r="F927" s="237"/>
    </row>
    <row r="928" ht="12.75" customHeight="1">
      <c r="F928" s="237"/>
    </row>
    <row r="929" ht="12.75" customHeight="1">
      <c r="F929" s="237"/>
    </row>
    <row r="930" ht="12.75" customHeight="1">
      <c r="F930" s="237"/>
    </row>
    <row r="931" ht="12.75" customHeight="1">
      <c r="F931" s="237"/>
    </row>
    <row r="932" ht="12.75" customHeight="1">
      <c r="F932" s="237"/>
    </row>
    <row r="933" ht="12.75" customHeight="1">
      <c r="F933" s="237"/>
    </row>
    <row r="934" ht="12.75" customHeight="1">
      <c r="F934" s="237"/>
    </row>
    <row r="935" ht="12.75" customHeight="1">
      <c r="F935" s="237"/>
    </row>
    <row r="936" ht="12.75" customHeight="1">
      <c r="F936" s="237"/>
    </row>
    <row r="937" ht="12.75" customHeight="1">
      <c r="F937" s="237"/>
    </row>
    <row r="938" ht="12.75" customHeight="1">
      <c r="F938" s="237"/>
    </row>
    <row r="939" ht="12.75" customHeight="1">
      <c r="F939" s="237"/>
    </row>
    <row r="940" ht="12.75" customHeight="1">
      <c r="F940" s="237"/>
    </row>
    <row r="941" ht="12.75" customHeight="1">
      <c r="F941" s="237"/>
    </row>
    <row r="942" ht="12.75" customHeight="1">
      <c r="F942" s="237"/>
    </row>
    <row r="943" ht="12.75" customHeight="1">
      <c r="F943" s="237"/>
    </row>
    <row r="944" ht="12.75" customHeight="1">
      <c r="F944" s="237"/>
    </row>
    <row r="945" ht="12.75" customHeight="1">
      <c r="F945" s="237"/>
    </row>
    <row r="946" ht="12.75" customHeight="1">
      <c r="F946" s="237"/>
    </row>
    <row r="947" ht="12.75" customHeight="1">
      <c r="F947" s="237"/>
    </row>
    <row r="948" ht="12.75" customHeight="1">
      <c r="F948" s="237"/>
    </row>
    <row r="949" ht="12.75" customHeight="1">
      <c r="F949" s="237"/>
    </row>
    <row r="950" ht="12.75" customHeight="1">
      <c r="F950" s="237"/>
    </row>
    <row r="951" ht="12.75" customHeight="1">
      <c r="F951" s="237"/>
    </row>
    <row r="952" ht="12.75" customHeight="1">
      <c r="F952" s="237"/>
    </row>
    <row r="953" ht="12.75" customHeight="1">
      <c r="F953" s="237"/>
    </row>
    <row r="954" ht="12.75" customHeight="1">
      <c r="F954" s="237"/>
    </row>
    <row r="955" ht="12.75" customHeight="1">
      <c r="F955" s="237"/>
    </row>
    <row r="956" ht="12.75" customHeight="1">
      <c r="F956" s="237"/>
    </row>
    <row r="957" ht="12.75" customHeight="1">
      <c r="F957" s="237"/>
    </row>
    <row r="958" ht="12.75" customHeight="1">
      <c r="F958" s="237"/>
    </row>
    <row r="959" ht="12.75" customHeight="1">
      <c r="F959" s="237"/>
    </row>
    <row r="960" ht="12.75" customHeight="1">
      <c r="F960" s="237"/>
    </row>
    <row r="961" ht="12.75" customHeight="1">
      <c r="F961" s="237"/>
    </row>
    <row r="962" ht="12.75" customHeight="1">
      <c r="F962" s="237"/>
    </row>
    <row r="963" ht="12.75" customHeight="1">
      <c r="F963" s="237"/>
    </row>
    <row r="964" ht="12.75" customHeight="1">
      <c r="F964" s="237"/>
    </row>
    <row r="965" ht="12.75" customHeight="1">
      <c r="F965" s="237"/>
    </row>
    <row r="966" ht="12.75" customHeight="1">
      <c r="F966" s="237"/>
    </row>
    <row r="967" ht="12.75" customHeight="1">
      <c r="F967" s="237"/>
    </row>
    <row r="968" ht="12.75" customHeight="1">
      <c r="F968" s="237"/>
    </row>
    <row r="969" ht="12.75" customHeight="1">
      <c r="F969" s="237"/>
    </row>
    <row r="970" ht="12.75" customHeight="1">
      <c r="F970" s="237"/>
    </row>
    <row r="971" ht="12.75" customHeight="1">
      <c r="F971" s="237"/>
    </row>
    <row r="972" ht="12.75" customHeight="1">
      <c r="F972" s="237"/>
    </row>
    <row r="973" ht="12.75" customHeight="1">
      <c r="F973" s="237"/>
    </row>
    <row r="974" ht="12.75" customHeight="1">
      <c r="F974" s="237"/>
    </row>
    <row r="975" ht="12.75" customHeight="1">
      <c r="F975" s="237"/>
    </row>
    <row r="976" ht="12.75" customHeight="1">
      <c r="F976" s="237"/>
    </row>
    <row r="977" ht="12.75" customHeight="1">
      <c r="F977" s="237"/>
    </row>
    <row r="978" ht="12.75" customHeight="1">
      <c r="F978" s="237"/>
    </row>
    <row r="979" ht="12.75" customHeight="1">
      <c r="F979" s="237"/>
    </row>
    <row r="980" ht="12.75" customHeight="1">
      <c r="F980" s="237"/>
    </row>
    <row r="981" ht="12.75" customHeight="1">
      <c r="F981" s="237"/>
    </row>
    <row r="982" ht="12.75" customHeight="1">
      <c r="F982" s="237"/>
    </row>
    <row r="983" ht="12.75" customHeight="1">
      <c r="F983" s="237"/>
    </row>
    <row r="984" ht="12.75" customHeight="1">
      <c r="F984" s="237"/>
    </row>
    <row r="985" ht="12.75" customHeight="1">
      <c r="F985" s="237"/>
    </row>
    <row r="986" ht="12.75" customHeight="1">
      <c r="F986" s="237"/>
    </row>
    <row r="987" ht="12.75" customHeight="1">
      <c r="F987" s="237"/>
    </row>
    <row r="988" ht="12.75" customHeight="1">
      <c r="F988" s="237"/>
    </row>
    <row r="989" ht="12.75" customHeight="1">
      <c r="F989" s="237"/>
    </row>
    <row r="990" ht="12.75" customHeight="1">
      <c r="F990" s="237"/>
    </row>
    <row r="991" ht="12.75" customHeight="1">
      <c r="F991" s="237"/>
    </row>
    <row r="992" ht="12.75" customHeight="1">
      <c r="F992" s="237"/>
    </row>
    <row r="993" ht="12.75" customHeight="1">
      <c r="F993" s="237"/>
    </row>
    <row r="994" ht="12.75" customHeight="1">
      <c r="F994" s="237"/>
    </row>
    <row r="995" ht="12.75" customHeight="1">
      <c r="F995" s="237"/>
    </row>
    <row r="996" ht="12.75" customHeight="1">
      <c r="F996" s="237"/>
    </row>
    <row r="997" ht="12.75" customHeight="1">
      <c r="F997" s="237"/>
    </row>
    <row r="998" ht="12.75" customHeight="1">
      <c r="F998" s="237"/>
    </row>
    <row r="999" ht="12.75" customHeight="1">
      <c r="F999" s="237"/>
    </row>
    <row r="1000" ht="12.75" customHeight="1">
      <c r="F1000" s="237"/>
    </row>
  </sheetData>
  <mergeCells count="5">
    <mergeCell ref="A1:K1"/>
    <mergeCell ref="A2:K2"/>
    <mergeCell ref="A3:K3"/>
    <mergeCell ref="B4:G4"/>
    <mergeCell ref="H4:J4"/>
  </mergeCells>
  <printOptions gridLines="1"/>
  <pageMargins bottom="0.984027777777778" footer="0.0" header="0.0" left="0.747916666666667" right="0.747916666666667" top="0.984027777777778"/>
  <pageSetup orientation="portrait"/>
  <drawing r:id="rId1"/>
</worksheet>
</file>